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tabRatio="701" firstSheet="1" activeTab="10"/>
  </bookViews>
  <sheets>
    <sheet name="月数据汇总" sheetId="1" state="hidden" r:id="rId1"/>
    <sheet name="月数据汇总-" sheetId="2" r:id="rId2"/>
    <sheet name="明星店铺" sheetId="6" r:id="rId3"/>
    <sheet name="直通车" sheetId="9" r:id="rId4"/>
    <sheet name="对比超品日" sheetId="3" state="hidden" r:id="rId5"/>
    <sheet name="对比前30天" sheetId="4" state="hidden" r:id="rId6"/>
    <sheet name="月度环比" sheetId="5" state="hidden" r:id="rId7"/>
    <sheet name="钻展素材" sheetId="7" state="hidden" r:id="rId8"/>
    <sheet name="明星店铺素材" sheetId="8" state="hidden" r:id="rId9"/>
    <sheet name="直通车素材" sheetId="10" state="hidden" r:id="rId10"/>
    <sheet name="引力魔方" sheetId="11" r:id="rId11"/>
    <sheet name="万相台" sheetId="12" r:id="rId12"/>
    <sheet name="万相台2" sheetId="13" r:id="rId13"/>
    <sheet name="阿里妈妈Raw Data" sheetId="14" state="hidden" r:id="rId14"/>
    <sheet name="超级互动城" sheetId="15" state="hidden" r:id="rId15"/>
    <sheet name=" 钻展 " sheetId="16" state="hidden" r:id="rId16"/>
    <sheet name="超级推荐素材" sheetId="17" state="hidden" r:id="rId17"/>
  </sheets>
  <definedNames>
    <definedName name="_xlnm._FilterDatabase" localSheetId="10" hidden="1">引力魔方!$A$1:$N$62</definedName>
    <definedName name="_xlnm._FilterDatabase" localSheetId="12" hidden="1">万相台2!$A$1:$R$3504</definedName>
    <definedName name="_xlnm._FilterDatabase" localSheetId="15" hidden="1">' 钻展 '!$A$1:$Q$368</definedName>
    <definedName name="_xlnm._FilterDatabase" localSheetId="2" hidden="1">明星店铺!$A$1:$R$1493</definedName>
    <definedName name="_xlnm._FilterDatabase" localSheetId="3" hidden="1">直通车!$A$1:$Q$596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<sst xmlns="http://schemas.openxmlformats.org/spreadsheetml/2006/main" count="10221" uniqueCount="136">
  <si>
    <t>1月</t>
  </si>
  <si>
    <t>Cost
花费</t>
  </si>
  <si>
    <t>IMP
展示</t>
  </si>
  <si>
    <t>Click
点击</t>
  </si>
  <si>
    <t>Order
订单</t>
  </si>
  <si>
    <t>Sales
销量</t>
  </si>
  <si>
    <t>ShoppingCart
加入购物车</t>
  </si>
  <si>
    <t>Bookmark-Product
宝贝收藏</t>
  </si>
  <si>
    <t>Bookmark-Store
店铺收藏</t>
  </si>
  <si>
    <t>CTR
点击率</t>
  </si>
  <si>
    <t>CPC
点击成本</t>
  </si>
  <si>
    <t>CPM
千次展现成本</t>
  </si>
  <si>
    <t>ROI
投资回报率</t>
  </si>
  <si>
    <t>CVR
点击转化率</t>
  </si>
  <si>
    <t>ASP
订单均价</t>
  </si>
  <si>
    <t>Cporder
订单成本</t>
  </si>
  <si>
    <t>CPshopping cart
加购成本</t>
  </si>
  <si>
    <t>钻展</t>
  </si>
  <si>
    <t>-</t>
  </si>
  <si>
    <t>明星店铺</t>
  </si>
  <si>
    <t>直通车</t>
  </si>
  <si>
    <t>引力魔方</t>
  </si>
  <si>
    <t>总计</t>
  </si>
  <si>
    <t>2月</t>
  </si>
  <si>
    <t>3月</t>
  </si>
  <si>
    <t>2023年</t>
  </si>
  <si>
    <t>8月</t>
  </si>
  <si>
    <t>万相台</t>
  </si>
  <si>
    <t>9月</t>
  </si>
  <si>
    <t>10月</t>
  </si>
  <si>
    <t>11月</t>
  </si>
  <si>
    <t>12月</t>
  </si>
  <si>
    <t>2024年</t>
  </si>
  <si>
    <t>4月</t>
  </si>
  <si>
    <t>总收藏数</t>
  </si>
  <si>
    <t>收藏加购数</t>
  </si>
  <si>
    <t>收藏加购
成本</t>
  </si>
  <si>
    <t>收藏加购
环比</t>
  </si>
  <si>
    <t>花费环比</t>
  </si>
  <si>
    <t>点击占比</t>
  </si>
  <si>
    <t>加购环比</t>
  </si>
  <si>
    <t>成交环比</t>
  </si>
  <si>
    <t>加购成本
环比</t>
  </si>
  <si>
    <t>收藏加购
成本环比</t>
  </si>
  <si>
    <t>花费占比</t>
  </si>
  <si>
    <t>环比3月</t>
  </si>
  <si>
    <t>5月</t>
  </si>
  <si>
    <t>环比4月</t>
  </si>
  <si>
    <t>6月</t>
  </si>
  <si>
    <t>费率</t>
  </si>
  <si>
    <t>环比5月</t>
  </si>
  <si>
    <t>7月</t>
  </si>
  <si>
    <t>环比6月</t>
  </si>
  <si>
    <t>环比7月</t>
  </si>
  <si>
    <t>环比8月</t>
  </si>
  <si>
    <t>环比9月</t>
  </si>
  <si>
    <t>环比10月</t>
  </si>
  <si>
    <t>环比11月</t>
  </si>
  <si>
    <t>环比12月</t>
  </si>
  <si>
    <t>环比1月</t>
  </si>
  <si>
    <t>环比2月</t>
  </si>
  <si>
    <r>
      <rPr>
        <b/>
        <sz val="11"/>
        <color rgb="FFF2F2F2"/>
        <rFont val="等线"/>
        <charset val="134"/>
      </rPr>
      <t>1</t>
    </r>
    <r>
      <rPr>
        <b/>
        <sz val="11"/>
        <color rgb="FFF2F2F2"/>
        <rFont val="等线"/>
        <charset val="134"/>
      </rPr>
      <t>2</t>
    </r>
    <r>
      <rPr>
        <b/>
        <sz val="11"/>
        <color rgb="FFF2F2F2"/>
        <rFont val="等线"/>
        <charset val="134"/>
      </rPr>
      <t>月</t>
    </r>
  </si>
  <si>
    <r>
      <rPr>
        <sz val="11"/>
        <color rgb="FF000000"/>
        <rFont val="等线"/>
        <charset val="134"/>
      </rPr>
      <t>环比1</t>
    </r>
    <r>
      <rPr>
        <sz val="11"/>
        <color rgb="FF000000"/>
        <rFont val="等线"/>
        <charset val="134"/>
      </rPr>
      <t>1</t>
    </r>
    <r>
      <rPr>
        <sz val="11"/>
        <color rgb="FF000000"/>
        <rFont val="等线"/>
        <charset val="134"/>
      </rPr>
      <t>月</t>
    </r>
  </si>
  <si>
    <r>
      <rPr>
        <b/>
        <sz val="11"/>
        <color rgb="FFF2F2F2"/>
        <rFont val="等线"/>
        <charset val="134"/>
      </rPr>
      <t>1</t>
    </r>
    <r>
      <rPr>
        <b/>
        <sz val="11"/>
        <color rgb="FFF2F2F2"/>
        <rFont val="等线"/>
        <charset val="134"/>
      </rPr>
      <t>月</t>
    </r>
  </si>
  <si>
    <t>1月21号-2月20号</t>
  </si>
  <si>
    <t>2月21号-3月20号</t>
  </si>
  <si>
    <t>3月21号-4月20号</t>
  </si>
  <si>
    <t>4月21号-5月20号</t>
  </si>
  <si>
    <t>Date
时间</t>
  </si>
  <si>
    <t>加购率</t>
  </si>
  <si>
    <t/>
  </si>
  <si>
    <t>Sales
销量GMV</t>
  </si>
  <si>
    <t>收藏加购成本</t>
  </si>
  <si>
    <t>收藏加购率</t>
  </si>
  <si>
    <t>50,=102.00</t>
  </si>
  <si>
    <t>618前30天</t>
  </si>
  <si>
    <r>
      <rPr>
        <b/>
        <sz val="11"/>
        <color rgb="FFF2F2F2"/>
        <rFont val="等线"/>
        <charset val="134"/>
      </rPr>
      <t xml:space="preserve">618活动
</t>
    </r>
    <r>
      <rPr>
        <b/>
        <sz val="10"/>
        <color rgb="FFF2F2F2"/>
        <rFont val="等线"/>
        <charset val="134"/>
      </rPr>
      <t>（5月18-6月20）</t>
    </r>
  </si>
  <si>
    <t>对比超品</t>
  </si>
  <si>
    <t>点击环比</t>
  </si>
  <si>
    <t>对比超品日</t>
  </si>
  <si>
    <r>
      <rPr>
        <b/>
        <sz val="11"/>
        <color rgb="FFF2F2F2"/>
        <rFont val="等线"/>
        <charset val="134"/>
      </rPr>
      <t xml:space="preserve">618活动
</t>
    </r>
    <r>
      <rPr>
        <b/>
        <sz val="10"/>
        <color rgb="FFF2F2F2"/>
        <rFont val="等线"/>
        <charset val="134"/>
      </rPr>
      <t>（5月20-6月20）</t>
    </r>
  </si>
  <si>
    <t>环比618前30天</t>
  </si>
  <si>
    <t>总收藏加购数</t>
  </si>
  <si>
    <t>roi</t>
  </si>
  <si>
    <t>roi下降原因：3月飞猪超级品牌日，主要销售通兑产品在4月无销售，4月主要销售依靠24年上海日历房出游产品；但从收藏加购率、收藏加购成本看却是正向向好，即加购成本下降、加购率增加。</t>
  </si>
  <si>
    <t>素材</t>
  </si>
  <si>
    <t>CPM
拉新成本</t>
  </si>
  <si>
    <t>收藏加购量</t>
  </si>
  <si>
    <t>IMP
观看量</t>
  </si>
  <si>
    <t>日期</t>
  </si>
  <si>
    <t>CPM
拉新成本
（千次曝光）</t>
  </si>
  <si>
    <t>万相台-超级短视频</t>
  </si>
  <si>
    <t>万相台-超级直播</t>
  </si>
  <si>
    <t>万相台-货品加速</t>
  </si>
  <si>
    <t>万相台-全店智投</t>
  </si>
  <si>
    <t>万相台-上新快</t>
  </si>
  <si>
    <t>小计</t>
  </si>
  <si>
    <t>万相台-货品运营</t>
  </si>
  <si>
    <t>超级短视频</t>
  </si>
  <si>
    <t>超级直播</t>
  </si>
  <si>
    <t>货品运营</t>
  </si>
  <si>
    <t>全站推广</t>
  </si>
  <si>
    <t>/</t>
  </si>
  <si>
    <t>Date</t>
  </si>
  <si>
    <r>
      <rPr>
        <b/>
        <sz val="11"/>
        <color rgb="FFFFFFFF"/>
        <rFont val="Calibri"/>
        <charset val="134"/>
      </rPr>
      <t>Pingxiaobao(</t>
    </r>
    <r>
      <rPr>
        <b/>
        <sz val="11"/>
        <color rgb="FFFFFFFF"/>
        <rFont val="宋体"/>
        <charset val="134"/>
      </rPr>
      <t>品销宝）</t>
    </r>
  </si>
  <si>
    <r>
      <rPr>
        <b/>
        <sz val="11"/>
        <color rgb="FFFFFFFF"/>
        <rFont val="Calibri"/>
        <charset val="134"/>
      </rPr>
      <t>Tmall Express</t>
    </r>
    <r>
      <rPr>
        <b/>
        <sz val="11"/>
        <color rgb="FFFFFFFF"/>
        <rFont val="宋体"/>
        <charset val="134"/>
      </rPr>
      <t>（直通车）</t>
    </r>
  </si>
  <si>
    <r>
      <rPr>
        <b/>
        <sz val="11"/>
        <color rgb="FFFFFFFF"/>
        <rFont val="Calibri"/>
        <charset val="134"/>
      </rPr>
      <t>Gravity rubik's cube</t>
    </r>
    <r>
      <rPr>
        <b/>
        <sz val="11"/>
        <color rgb="FFFFFFFF"/>
        <rFont val="方正书宋_GBK"/>
        <charset val="134"/>
      </rPr>
      <t>（引力魔方）</t>
    </r>
  </si>
  <si>
    <r>
      <rPr>
        <b/>
        <sz val="11"/>
        <color rgb="FFFFFFFF"/>
        <rFont val="Calibri"/>
        <charset val="134"/>
      </rPr>
      <t>wanxiangtai</t>
    </r>
    <r>
      <rPr>
        <b/>
        <sz val="11"/>
        <color rgb="FFFFFFFF"/>
        <rFont val="宋体"/>
        <charset val="134"/>
      </rPr>
      <t>（万相台）</t>
    </r>
  </si>
  <si>
    <t>Remark</t>
  </si>
  <si>
    <t>Budget</t>
  </si>
  <si>
    <t>费用占比</t>
  </si>
  <si>
    <t>Act. Cost</t>
  </si>
  <si>
    <t>IMP</t>
  </si>
  <si>
    <t>Click</t>
  </si>
  <si>
    <r>
      <rPr>
        <b/>
        <sz val="11"/>
        <color rgb="FFFFFFFF"/>
        <rFont val="宋体"/>
        <charset val="134"/>
      </rPr>
      <t>加购</t>
    </r>
    <r>
      <rPr>
        <b/>
        <sz val="11"/>
        <color rgb="FFFFFFFF"/>
        <rFont val="Calibri"/>
        <charset val="134"/>
      </rPr>
      <t>+</t>
    </r>
    <r>
      <rPr>
        <b/>
        <sz val="11"/>
        <color rgb="FFFFFFFF"/>
        <rFont val="宋体"/>
        <charset val="134"/>
      </rPr>
      <t>收藏</t>
    </r>
  </si>
  <si>
    <t>计划合计限额</t>
  </si>
  <si>
    <t>实际消耗</t>
  </si>
  <si>
    <t>合计加购收藏</t>
  </si>
  <si>
    <t>合计点击</t>
  </si>
  <si>
    <t>点击单价</t>
  </si>
  <si>
    <t>千次展现成本</t>
  </si>
  <si>
    <t>Total</t>
  </si>
  <si>
    <t>Average</t>
  </si>
  <si>
    <t xml:space="preserve">
Followers
粉丝关注量</t>
  </si>
  <si>
    <t>Average watch time
观看时长</t>
  </si>
  <si>
    <t>CPC
观看成本</t>
  </si>
  <si>
    <t>Amount of interaction
互动量</t>
  </si>
  <si>
    <r>
      <rPr>
        <b/>
        <sz val="10"/>
        <color rgb="FFF2F2F2"/>
        <rFont val="微软雅黑"/>
        <charset val="134"/>
      </rPr>
      <t>消耗</t>
    </r>
    <r>
      <rPr>
        <sz val="7"/>
        <color rgb="FF999999"/>
        <rFont val="Mc-iconfont"/>
        <charset val="134"/>
      </rPr>
      <t></t>
    </r>
  </si>
  <si>
    <r>
      <rPr>
        <b/>
        <sz val="10"/>
        <color rgb="FFF2F2F2"/>
        <rFont val="微软雅黑"/>
        <charset val="134"/>
      </rPr>
      <t>展现量</t>
    </r>
    <r>
      <rPr>
        <sz val="7"/>
        <color rgb="FF999999"/>
        <rFont val="Mc-iconfont"/>
        <charset val="134"/>
      </rPr>
      <t></t>
    </r>
  </si>
  <si>
    <r>
      <rPr>
        <b/>
        <sz val="10"/>
        <color rgb="FFF2F2F2"/>
        <rFont val="微软雅黑"/>
        <charset val="134"/>
      </rPr>
      <t>千次展现成本</t>
    </r>
    <r>
      <rPr>
        <sz val="7"/>
        <color rgb="FF999999"/>
        <rFont val="Mc-iconfont"/>
        <charset val="134"/>
      </rPr>
      <t></t>
    </r>
  </si>
  <si>
    <r>
      <rPr>
        <b/>
        <sz val="10"/>
        <color rgb="FFF2F2F2"/>
        <rFont val="微软雅黑"/>
        <charset val="134"/>
      </rPr>
      <t>点击量</t>
    </r>
    <r>
      <rPr>
        <sz val="7"/>
        <color rgb="FF999999"/>
        <rFont val="Mc-iconfont"/>
        <charset val="134"/>
      </rPr>
      <t></t>
    </r>
  </si>
  <si>
    <r>
      <rPr>
        <b/>
        <sz val="10"/>
        <color rgb="FFF2F2F2"/>
        <rFont val="微软雅黑"/>
        <charset val="134"/>
      </rPr>
      <t>点击率</t>
    </r>
    <r>
      <rPr>
        <sz val="7"/>
        <color rgb="FF999999"/>
        <rFont val="Mc-iconfont"/>
        <charset val="134"/>
      </rPr>
      <t></t>
    </r>
  </si>
  <si>
    <r>
      <rPr>
        <b/>
        <sz val="10"/>
        <color rgb="FFF2F2F2"/>
        <rFont val="微软雅黑"/>
        <charset val="134"/>
      </rPr>
      <t>点击单价</t>
    </r>
    <r>
      <rPr>
        <sz val="7"/>
        <color rgb="FF999999"/>
        <rFont val="Mc-iconfont"/>
        <charset val="134"/>
      </rPr>
      <t></t>
    </r>
  </si>
  <si>
    <t>￥326.47</t>
  </si>
  <si>
    <t>￥161.08</t>
  </si>
  <si>
    <t>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</si>
</sst>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2">
    <numFmt numFmtId="5" formatCode="&quot;￥&quot;#,##0;&quot;￥&quot;\-#,##0"/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\¥#,##0_);[Red]&quot;(¥&quot;#,##0\)"/>
    <numFmt numFmtId="178" formatCode="\¥#,##0.0_);[Red]\(\¥#,##0.0\)"/>
    <numFmt numFmtId="179" formatCode="\¥#,##0.00_);[Red]&quot;(¥&quot;#,##0.00\)"/>
    <numFmt numFmtId="180" formatCode="_ * #,##0_ ;_ * \-#,##0_ ;_ * &quot;-&quot;??_ ;_ @_ "/>
    <numFmt numFmtId="181" formatCode="0.00_);[Red]\(0.00\)"/>
    <numFmt numFmtId="182" formatCode="#,##0_);[Red]\(#,##0\)"/>
    <numFmt numFmtId="183" formatCode="\¥#,##0.00;[Red]\¥#,##0.00"/>
    <numFmt numFmtId="184" formatCode="#,##0_ "/>
    <numFmt numFmtId="185" formatCode="yyyy/m/d;@"/>
    <numFmt numFmtId="186" formatCode="0.0%"/>
    <numFmt numFmtId="187" formatCode="0_);[Red]\(0\)"/>
    <numFmt numFmtId="188" formatCode="_ \¥* #,##0_ ;_ \¥* \-#,##0_ ;_ \¥* &quot;-&quot;??_ ;_ @_ "/>
    <numFmt numFmtId="189" formatCode="&quot;￥&quot;#,##0.00_);[Red]\(&quot;￥&quot;#,##0.00\)"/>
    <numFmt numFmtId="190" formatCode="_ \¥* #,##0.00_ ;_ \¥* \-#,##0.00_ ;_ \¥* &quot;-&quot;??.00_ ;_ @_ "/>
    <numFmt numFmtId="191" formatCode="0_ "/>
    <numFmt numFmtId="192" formatCode="\¥#,##0.00_);[Red]\(\¥#,##0.00\)"/>
    <numFmt numFmtId="193" formatCode="#,##0.00_ "/>
    <numFmt numFmtId="194" formatCode="0.0_);[Red]\(0.0\)"/>
    <numFmt numFmtId="195" formatCode="&quot;￥&quot;#,##0_);[Red]\(&quot;￥&quot;#,##0\)"/>
    <numFmt numFmtId="196" formatCode="0.00_ "/>
    <numFmt numFmtId="197" formatCode="\¥#,##0.00;[Red]\¥\-#,##0.00"/>
    <numFmt numFmtId="198" formatCode="0\.0,&quot;万&quot;"/>
    <numFmt numFmtId="199" formatCode="\¥#,##0.0_);[Red]&quot;(¥&quot;#,##0.0\)"/>
    <numFmt numFmtId="200" formatCode="[$¥-804]#,##0.00"/>
    <numFmt numFmtId="201" formatCode="\¥#,##0.00;\¥\-#,##0.00"/>
  </numFmts>
  <fonts count="47">
    <font>
      <sz val="11"/>
      <name val="等线"/>
      <charset val="134"/>
    </font>
    <font>
      <sz val="10"/>
      <color rgb="FF000000"/>
      <name val="微软雅黑"/>
      <charset val="134"/>
    </font>
    <font>
      <b/>
      <sz val="10"/>
      <color rgb="FFF2F2F2"/>
      <name val="微软雅黑"/>
      <charset val="134"/>
    </font>
    <font>
      <sz val="11"/>
      <color rgb="FF000000"/>
      <name val="等线"/>
      <charset val="134"/>
    </font>
    <font>
      <sz val="12"/>
      <color rgb="FF000000"/>
      <name val="等线"/>
      <charset val="134"/>
    </font>
    <font>
      <b/>
      <sz val="12"/>
      <color rgb="FFF2F2F2"/>
      <name val="微软雅黑"/>
      <charset val="134"/>
    </font>
    <font>
      <sz val="12"/>
      <color rgb="FF000000"/>
      <name val="微软雅黑"/>
      <charset val="134"/>
    </font>
    <font>
      <b/>
      <sz val="11"/>
      <color rgb="FFFFFFFF"/>
      <name val="Calibri"/>
      <charset val="134"/>
    </font>
    <font>
      <b/>
      <sz val="11"/>
      <color rgb="FFFFFFFF"/>
      <name val="宋体"/>
      <charset val="134"/>
    </font>
    <font>
      <sz val="11"/>
      <color rgb="FF002060"/>
      <name val="等线"/>
      <charset val="134"/>
    </font>
    <font>
      <sz val="11"/>
      <color rgb="FFC6E0B4"/>
      <name val="等线"/>
      <charset val="134"/>
    </font>
    <font>
      <sz val="11"/>
      <color rgb="FF92D05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宋体"/>
      <charset val="134"/>
    </font>
    <font>
      <sz val="11"/>
      <color rgb="FF333333"/>
      <name val="等线"/>
      <charset val="134"/>
    </font>
    <font>
      <sz val="11"/>
      <color rgb="FFFF0000"/>
      <name val="等线"/>
      <charset val="134"/>
    </font>
    <font>
      <sz val="11"/>
      <color theme="1"/>
      <name val="等线"/>
      <charset val="134"/>
      <scheme val="minor"/>
    </font>
    <font>
      <sz val="10"/>
      <color rgb="FF000000"/>
      <name val="等线"/>
      <charset val="134"/>
    </font>
    <font>
      <b/>
      <sz val="10"/>
      <color rgb="FFFF0000"/>
      <name val="Tahoma"/>
      <charset val="134"/>
    </font>
    <font>
      <sz val="11"/>
      <color rgb="FFFFFFFF"/>
      <name val="等线"/>
      <charset val="134"/>
    </font>
    <font>
      <b/>
      <sz val="11"/>
      <color rgb="FFF2F2F2"/>
      <name val="等线"/>
      <charset val="134"/>
    </font>
    <font>
      <b/>
      <sz val="11"/>
      <color rgb="FFFF0000"/>
      <name val="等线"/>
      <charset val="134"/>
    </font>
    <font>
      <sz val="10"/>
      <color rgb="FFFFFFFF"/>
      <name val="微软雅黑"/>
      <charset val="134"/>
    </font>
    <font>
      <sz val="11"/>
      <color indexed="8"/>
      <name val="等线"/>
      <charset val="134"/>
    </font>
    <font>
      <sz val="9"/>
      <color rgb="FF333333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7"/>
      <color rgb="FF999999"/>
      <name val="Mc-iconfont"/>
      <charset val="134"/>
    </font>
    <font>
      <b/>
      <sz val="10"/>
      <color rgb="FFF2F2F2"/>
      <name val="等线"/>
      <charset val="134"/>
    </font>
    <font>
      <b/>
      <sz val="11"/>
      <color rgb="FFFFFFFF"/>
      <name val="方正书宋_GBK"/>
      <charset val="134"/>
    </font>
  </fonts>
  <fills count="4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305496"/>
        <bgColor rgb="FFE2F0D9"/>
      </patternFill>
    </fill>
    <fill>
      <patternFill patternType="solid">
        <fgColor rgb="FFFFF2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0051"/>
        <bgColor rgb="FFE2F0D9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rgb="FFE2F0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rgb="FFFFFFFF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/>
      <bottom style="thin">
        <color theme="4" tint="0.399212622455519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/>
      <diagonal/>
    </border>
    <border>
      <left style="thin">
        <color rgb="FFD0CECE"/>
      </left>
      <right/>
      <top style="thin">
        <color rgb="FFD0CECE"/>
      </top>
      <bottom style="thin">
        <color rgb="FFD0CECE"/>
      </bottom>
      <diagonal/>
    </border>
    <border>
      <left/>
      <right style="thin">
        <color rgb="FFD0CECE"/>
      </right>
      <top/>
      <bottom style="thin">
        <color rgb="FFD0CECE"/>
      </bottom>
      <diagonal/>
    </border>
    <border>
      <left style="thin">
        <color rgb="FFD0CECE"/>
      </left>
      <right style="thin">
        <color rgb="FFD0CECE"/>
      </right>
      <top/>
      <bottom style="thin">
        <color rgb="FFD0CECE"/>
      </bottom>
      <diagonal/>
    </border>
    <border>
      <left style="thin">
        <color rgb="FFD0CECE"/>
      </left>
      <right/>
      <top/>
      <bottom style="thin">
        <color rgb="FFD0CECE"/>
      </bottom>
      <diagonal/>
    </border>
    <border>
      <left/>
      <right style="thin">
        <color rgb="FFD0CECE"/>
      </right>
      <top style="thin">
        <color rgb="FFD0CECE"/>
      </top>
      <bottom style="thin">
        <color rgb="FFD0CECE"/>
      </bottom>
      <diagonal/>
    </border>
    <border>
      <left/>
      <right style="thin">
        <color rgb="FFD0CECE"/>
      </right>
      <top style="thin">
        <color rgb="FFD0CECE"/>
      </top>
      <bottom/>
      <diagonal/>
    </border>
    <border>
      <left style="thin">
        <color rgb="FFD0CECE"/>
      </left>
      <right/>
      <top style="thin">
        <color rgb="FFD0CECE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8EA9DB"/>
      </bottom>
      <diagonal/>
    </border>
    <border>
      <left style="thin">
        <color rgb="FFD0CECE"/>
      </left>
      <right style="thin">
        <color rgb="FFD0CECE"/>
      </right>
      <top/>
      <bottom/>
      <diagonal/>
    </border>
    <border>
      <left style="thin">
        <color rgb="FFD9D9D9"/>
      </left>
      <right/>
      <top style="thin">
        <color auto="1"/>
      </top>
      <bottom style="thin">
        <color auto="1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>
      <protection locked="0"/>
    </xf>
    <xf numFmtId="176" fontId="3" fillId="0" borderId="0">
      <protection locked="0"/>
    </xf>
    <xf numFmtId="9" fontId="3" fillId="0" borderId="0">
      <protection locked="0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3" borderId="93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94" applyNumberFormat="0" applyFill="0" applyAlignment="0" applyProtection="0">
      <alignment vertical="center"/>
    </xf>
    <xf numFmtId="0" fontId="31" fillId="0" borderId="94" applyNumberFormat="0" applyFill="0" applyAlignment="0" applyProtection="0">
      <alignment vertical="center"/>
    </xf>
    <xf numFmtId="0" fontId="32" fillId="0" borderId="95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4" borderId="96" applyNumberFormat="0" applyAlignment="0" applyProtection="0">
      <alignment vertical="center"/>
    </xf>
    <xf numFmtId="0" fontId="34" fillId="15" borderId="97" applyNumberFormat="0" applyAlignment="0" applyProtection="0">
      <alignment vertical="center"/>
    </xf>
    <xf numFmtId="0" fontId="35" fillId="15" borderId="96" applyNumberFormat="0" applyAlignment="0" applyProtection="0">
      <alignment vertical="center"/>
    </xf>
    <xf numFmtId="0" fontId="36" fillId="16" borderId="98" applyNumberFormat="0" applyAlignment="0" applyProtection="0">
      <alignment vertical="center"/>
    </xf>
    <xf numFmtId="0" fontId="37" fillId="0" borderId="99" applyNumberFormat="0" applyFill="0" applyAlignment="0" applyProtection="0">
      <alignment vertical="center"/>
    </xf>
    <xf numFmtId="0" fontId="38" fillId="0" borderId="100" applyNumberFormat="0" applyFill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" fillId="0" borderId="0">
      <protection locked="0"/>
    </xf>
  </cellStyleXfs>
  <cellXfs count="1090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177" fontId="2" fillId="3" borderId="1" xfId="0" applyNumberFormat="1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178" fontId="1" fillId="2" borderId="0" xfId="0" applyNumberFormat="1" applyFont="1" applyFill="1" applyAlignment="1">
      <alignment horizontal="center"/>
    </xf>
    <xf numFmtId="176" fontId="3" fillId="0" borderId="0" xfId="2" applyFont="1" applyAlignment="1" applyProtection="1">
      <alignment vertical="center"/>
    </xf>
    <xf numFmtId="3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10" fontId="3" fillId="0" borderId="0" xfId="3" applyNumberFormat="1" applyFont="1" applyAlignment="1" applyProtection="1">
      <alignment vertical="center"/>
    </xf>
    <xf numFmtId="179" fontId="3" fillId="0" borderId="0" xfId="0" applyNumberFormat="1" applyFont="1">
      <alignment vertical="center"/>
    </xf>
    <xf numFmtId="0" fontId="1" fillId="2" borderId="0" xfId="0" applyFont="1" applyFill="1" applyAlignment="1"/>
    <xf numFmtId="180" fontId="3" fillId="0" borderId="0" xfId="1" applyNumberFormat="1" applyFont="1" applyAlignment="1" applyProtection="1">
      <alignment vertical="center"/>
    </xf>
    <xf numFmtId="181" fontId="3" fillId="0" borderId="0" xfId="0" applyNumberFormat="1" applyFont="1">
      <alignment vertical="center"/>
    </xf>
    <xf numFmtId="177" fontId="2" fillId="3" borderId="2" xfId="0" applyNumberFormat="1" applyFont="1" applyFill="1" applyBorder="1" applyAlignment="1">
      <alignment horizontal="center" vertical="center" wrapText="1"/>
    </xf>
    <xf numFmtId="176" fontId="2" fillId="3" borderId="1" xfId="2" applyFont="1" applyFill="1" applyBorder="1" applyAlignment="1" applyProtection="1">
      <alignment horizontal="center" vertical="center" wrapText="1"/>
    </xf>
    <xf numFmtId="180" fontId="2" fillId="3" borderId="1" xfId="1" applyNumberFormat="1" applyFont="1" applyFill="1" applyBorder="1" applyAlignment="1" applyProtection="1">
      <alignment horizontal="center" vertical="center" wrapText="1"/>
    </xf>
    <xf numFmtId="182" fontId="2" fillId="3" borderId="1" xfId="0" applyNumberFormat="1" applyFont="1" applyFill="1" applyBorder="1" applyAlignment="1">
      <alignment horizontal="center" vertical="center" wrapText="1"/>
    </xf>
    <xf numFmtId="10" fontId="2" fillId="3" borderId="1" xfId="3" applyNumberFormat="1" applyFont="1" applyFill="1" applyBorder="1" applyAlignment="1" applyProtection="1">
      <alignment horizontal="center" vertical="center" wrapText="1"/>
    </xf>
    <xf numFmtId="181" fontId="2" fillId="3" borderId="1" xfId="0" applyNumberFormat="1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176" fontId="2" fillId="3" borderId="3" xfId="2" applyFont="1" applyFill="1" applyBorder="1" applyAlignment="1" applyProtection="1">
      <alignment horizontal="center" vertical="center" wrapText="1"/>
    </xf>
    <xf numFmtId="14" fontId="3" fillId="0" borderId="4" xfId="0" applyNumberFormat="1" applyFont="1" applyBorder="1">
      <alignment vertical="center"/>
    </xf>
    <xf numFmtId="176" fontId="3" fillId="0" borderId="4" xfId="2" applyFont="1" applyBorder="1" applyAlignment="1" applyProtection="1">
      <alignment vertical="center"/>
    </xf>
    <xf numFmtId="0" fontId="3" fillId="0" borderId="4" xfId="0" applyFont="1" applyBorder="1">
      <alignment vertical="center"/>
    </xf>
    <xf numFmtId="10" fontId="3" fillId="0" borderId="4" xfId="3" applyNumberFormat="1" applyFont="1" applyBorder="1" applyAlignment="1" applyProtection="1">
      <alignment vertical="center"/>
    </xf>
    <xf numFmtId="3" fontId="3" fillId="0" borderId="4" xfId="0" applyNumberFormat="1" applyFont="1" applyBorder="1">
      <alignment vertical="center"/>
    </xf>
    <xf numFmtId="10" fontId="3" fillId="0" borderId="4" xfId="0" applyNumberFormat="1" applyFont="1" applyBorder="1">
      <alignment vertical="center"/>
    </xf>
    <xf numFmtId="176" fontId="3" fillId="0" borderId="4" xfId="2" applyFont="1" applyBorder="1" applyAlignment="1" applyProtection="1">
      <alignment vertical="center" wrapText="1"/>
    </xf>
    <xf numFmtId="0" fontId="3" fillId="0" borderId="5" xfId="0" applyFont="1" applyBorder="1">
      <alignment vertical="center"/>
    </xf>
    <xf numFmtId="180" fontId="3" fillId="0" borderId="5" xfId="1" applyNumberFormat="1" applyFont="1" applyFill="1" applyBorder="1" applyAlignment="1" applyProtection="1">
      <alignment vertical="center"/>
    </xf>
    <xf numFmtId="181" fontId="3" fillId="0" borderId="5" xfId="0" applyNumberFormat="1" applyFont="1" applyBorder="1">
      <alignment vertical="center"/>
    </xf>
    <xf numFmtId="180" fontId="3" fillId="0" borderId="5" xfId="0" applyNumberFormat="1" applyFont="1" applyBorder="1">
      <alignment vertical="center"/>
    </xf>
    <xf numFmtId="0" fontId="3" fillId="0" borderId="0" xfId="2" applyNumberFormat="1" applyFont="1" applyAlignment="1" applyProtection="1">
      <alignment vertical="center"/>
    </xf>
    <xf numFmtId="10" fontId="3" fillId="0" borderId="5" xfId="3" applyNumberFormat="1" applyFont="1" applyFill="1" applyBorder="1" applyAlignment="1" applyProtection="1">
      <alignment vertical="center"/>
    </xf>
    <xf numFmtId="10" fontId="3" fillId="0" borderId="0" xfId="3" applyNumberFormat="1" applyFont="1" applyFill="1" applyBorder="1" applyAlignment="1" applyProtection="1">
      <alignment vertical="center"/>
    </xf>
    <xf numFmtId="14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6" fontId="3" fillId="0" borderId="0" xfId="2" applyFont="1" applyAlignment="1" applyProtection="1">
      <alignment horizontal="center" vertical="center"/>
    </xf>
    <xf numFmtId="180" fontId="3" fillId="0" borderId="0" xfId="1" applyNumberFormat="1" applyFont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  <xf numFmtId="183" fontId="4" fillId="0" borderId="0" xfId="0" applyNumberFormat="1" applyFont="1" applyAlignment="1">
      <alignment horizontal="center" vertical="center"/>
    </xf>
    <xf numFmtId="184" fontId="4" fillId="0" borderId="0" xfId="0" applyNumberFormat="1" applyFont="1" applyAlignment="1">
      <alignment horizontal="center" vertical="center"/>
    </xf>
    <xf numFmtId="37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177" fontId="5" fillId="3" borderId="4" xfId="0" applyNumberFormat="1" applyFont="1" applyFill="1" applyBorder="1" applyAlignment="1">
      <alignment horizontal="center" vertical="center" wrapText="1"/>
    </xf>
    <xf numFmtId="183" fontId="5" fillId="3" borderId="4" xfId="2" applyNumberFormat="1" applyFont="1" applyFill="1" applyBorder="1" applyAlignment="1" applyProtection="1">
      <alignment horizontal="center" vertical="center" wrapText="1"/>
    </xf>
    <xf numFmtId="184" fontId="5" fillId="3" borderId="4" xfId="0" applyNumberFormat="1" applyFont="1" applyFill="1" applyBorder="1" applyAlignment="1">
      <alignment horizontal="center" vertical="center" wrapText="1"/>
    </xf>
    <xf numFmtId="179" fontId="5" fillId="3" borderId="4" xfId="0" applyNumberFormat="1" applyFont="1" applyFill="1" applyBorder="1" applyAlignment="1">
      <alignment horizontal="center" vertical="center" wrapText="1"/>
    </xf>
    <xf numFmtId="37" fontId="5" fillId="3" borderId="4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7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3" fillId="0" borderId="0" xfId="49" applyAlignment="1" applyProtection="1">
      <alignment horizontal="center"/>
    </xf>
    <xf numFmtId="0" fontId="3" fillId="0" borderId="0" xfId="49" applyFill="1" applyAlignment="1" applyProtection="1"/>
    <xf numFmtId="0" fontId="3" fillId="4" borderId="0" xfId="49" applyFill="1" applyAlignment="1" applyProtection="1"/>
    <xf numFmtId="0" fontId="3" fillId="4" borderId="0" xfId="49" applyFill="1" applyAlignment="1" applyProtection="1">
      <alignment horizontal="center"/>
    </xf>
    <xf numFmtId="185" fontId="3" fillId="0" borderId="0" xfId="49" applyNumberFormat="1" applyAlignment="1" applyProtection="1">
      <alignment horizontal="center"/>
    </xf>
    <xf numFmtId="0" fontId="3" fillId="0" borderId="0" xfId="49" applyAlignment="1" applyProtection="1">
      <alignment horizontal="right" vertical="center"/>
    </xf>
    <xf numFmtId="186" fontId="3" fillId="0" borderId="0" xfId="3" applyNumberFormat="1" applyFont="1" applyFill="1" applyBorder="1" applyAlignment="1" applyProtection="1">
      <alignment horizontal="right" vertical="center"/>
    </xf>
    <xf numFmtId="187" fontId="3" fillId="0" borderId="0" xfId="49" applyNumberFormat="1" applyAlignment="1" applyProtection="1">
      <alignment horizontal="right" vertical="center"/>
    </xf>
    <xf numFmtId="7" fontId="3" fillId="0" borderId="0" xfId="49" applyNumberFormat="1" applyAlignment="1" applyProtection="1">
      <alignment horizontal="right" vertical="center"/>
    </xf>
    <xf numFmtId="3" fontId="3" fillId="0" borderId="0" xfId="49" applyNumberFormat="1" applyAlignment="1" applyProtection="1">
      <alignment horizontal="right" vertical="center"/>
    </xf>
    <xf numFmtId="187" fontId="3" fillId="0" borderId="0" xfId="49" applyNumberFormat="1" applyAlignment="1" applyProtection="1">
      <alignment horizontal="center"/>
    </xf>
    <xf numFmtId="0" fontId="3" fillId="0" borderId="0" xfId="49" applyAlignment="1" applyProtection="1">
      <alignment horizontal="center" vertical="center"/>
    </xf>
    <xf numFmtId="187" fontId="3" fillId="0" borderId="0" xfId="49" applyNumberFormat="1" applyAlignment="1" applyProtection="1"/>
    <xf numFmtId="0" fontId="3" fillId="0" borderId="0" xfId="49" applyAlignment="1" applyProtection="1"/>
    <xf numFmtId="181" fontId="3" fillId="0" borderId="0" xfId="49" applyNumberFormat="1" applyAlignment="1" applyProtection="1"/>
    <xf numFmtId="185" fontId="7" fillId="5" borderId="6" xfId="49" applyNumberFormat="1" applyFont="1" applyFill="1" applyBorder="1" applyAlignment="1" applyProtection="1">
      <alignment horizontal="center" vertical="center"/>
    </xf>
    <xf numFmtId="0" fontId="7" fillId="5" borderId="7" xfId="49" applyFont="1" applyFill="1" applyBorder="1" applyAlignment="1" applyProtection="1">
      <alignment horizontal="center" vertical="center"/>
    </xf>
    <xf numFmtId="186" fontId="7" fillId="5" borderId="7" xfId="3" applyNumberFormat="1" applyFont="1" applyFill="1" applyBorder="1" applyAlignment="1" applyProtection="1">
      <alignment horizontal="center" vertical="center"/>
    </xf>
    <xf numFmtId="187" fontId="7" fillId="5" borderId="7" xfId="49" applyNumberFormat="1" applyFont="1" applyFill="1" applyBorder="1" applyAlignment="1" applyProtection="1">
      <alignment horizontal="center" vertical="center"/>
    </xf>
    <xf numFmtId="0" fontId="7" fillId="5" borderId="8" xfId="49" applyFont="1" applyFill="1" applyBorder="1" applyAlignment="1" applyProtection="1">
      <alignment horizontal="center" vertical="center"/>
    </xf>
    <xf numFmtId="181" fontId="3" fillId="0" borderId="0" xfId="49" applyNumberFormat="1" applyAlignment="1" applyProtection="1">
      <alignment horizontal="center"/>
    </xf>
    <xf numFmtId="185" fontId="7" fillId="5" borderId="9" xfId="49" applyNumberFormat="1" applyFont="1" applyFill="1" applyBorder="1" applyAlignment="1" applyProtection="1">
      <alignment horizontal="center" vertical="center"/>
    </xf>
    <xf numFmtId="0" fontId="7" fillId="5" borderId="7" xfId="49" applyFont="1" applyFill="1" applyBorder="1" applyAlignment="1" applyProtection="1">
      <alignment horizontal="right" vertical="center"/>
    </xf>
    <xf numFmtId="186" fontId="8" fillId="5" borderId="7" xfId="3" applyNumberFormat="1" applyFont="1" applyFill="1" applyBorder="1" applyAlignment="1" applyProtection="1">
      <alignment horizontal="right" vertical="center"/>
    </xf>
    <xf numFmtId="187" fontId="7" fillId="5" borderId="7" xfId="49" applyNumberFormat="1" applyFont="1" applyFill="1" applyBorder="1" applyAlignment="1" applyProtection="1">
      <alignment horizontal="right" vertical="center"/>
    </xf>
    <xf numFmtId="187" fontId="8" fillId="5" borderId="7" xfId="49" applyNumberFormat="1" applyFont="1" applyFill="1" applyBorder="1" applyAlignment="1" applyProtection="1">
      <alignment horizontal="right" vertical="center"/>
    </xf>
    <xf numFmtId="186" fontId="7" fillId="5" borderId="7" xfId="3" applyNumberFormat="1" applyFont="1" applyFill="1" applyBorder="1" applyAlignment="1" applyProtection="1">
      <alignment horizontal="right" vertical="center"/>
    </xf>
    <xf numFmtId="7" fontId="7" fillId="5" borderId="7" xfId="49" applyNumberFormat="1" applyFont="1" applyFill="1" applyBorder="1" applyAlignment="1" applyProtection="1">
      <alignment horizontal="right" vertical="center"/>
    </xf>
    <xf numFmtId="3" fontId="7" fillId="5" borderId="7" xfId="49" applyNumberFormat="1" applyFont="1" applyFill="1" applyBorder="1" applyAlignment="1" applyProtection="1">
      <alignment horizontal="right" vertical="center"/>
    </xf>
    <xf numFmtId="0" fontId="7" fillId="5" borderId="10" xfId="49" applyFont="1" applyFill="1" applyBorder="1" applyAlignment="1" applyProtection="1">
      <alignment horizontal="center" vertical="center"/>
    </xf>
    <xf numFmtId="185" fontId="3" fillId="6" borderId="11" xfId="49" applyNumberFormat="1" applyFill="1" applyBorder="1" applyAlignment="1" applyProtection="1">
      <alignment horizontal="center"/>
    </xf>
    <xf numFmtId="188" fontId="3" fillId="6" borderId="12" xfId="49" applyNumberFormat="1" applyFill="1" applyBorder="1" applyAlignment="1" applyProtection="1">
      <alignment horizontal="right" vertical="center"/>
    </xf>
    <xf numFmtId="186" fontId="3" fillId="6" borderId="13" xfId="3" applyNumberFormat="1" applyFont="1" applyFill="1" applyBorder="1" applyAlignment="1" applyProtection="1">
      <alignment horizontal="right" vertical="center"/>
    </xf>
    <xf numFmtId="188" fontId="9" fillId="6" borderId="14" xfId="49" applyNumberFormat="1" applyFont="1" applyFill="1" applyBorder="1" applyAlignment="1" applyProtection="1">
      <alignment horizontal="right" vertical="center"/>
    </xf>
    <xf numFmtId="187" fontId="3" fillId="6" borderId="14" xfId="49" applyNumberFormat="1" applyFill="1" applyBorder="1" applyAlignment="1" applyProtection="1">
      <alignment horizontal="right" vertical="center"/>
    </xf>
    <xf numFmtId="187" fontId="3" fillId="6" borderId="15" xfId="49" applyNumberFormat="1" applyFill="1" applyBorder="1" applyAlignment="1" applyProtection="1">
      <alignment horizontal="right" vertical="center"/>
    </xf>
    <xf numFmtId="187" fontId="3" fillId="6" borderId="13" xfId="49" applyNumberFormat="1" applyFill="1" applyBorder="1" applyAlignment="1" applyProtection="1">
      <alignment horizontal="right" vertical="center"/>
    </xf>
    <xf numFmtId="188" fontId="3" fillId="6" borderId="16" xfId="49" applyNumberFormat="1" applyFill="1" applyBorder="1" applyAlignment="1" applyProtection="1">
      <alignment horizontal="right" vertical="center"/>
    </xf>
    <xf numFmtId="7" fontId="3" fillId="6" borderId="17" xfId="49" applyNumberFormat="1" applyFill="1" applyBorder="1" applyAlignment="1" applyProtection="1">
      <alignment horizontal="right" vertical="center"/>
    </xf>
    <xf numFmtId="3" fontId="3" fillId="6" borderId="14" xfId="49" applyNumberFormat="1" applyFill="1" applyBorder="1" applyAlignment="1" applyProtection="1">
      <alignment horizontal="right" vertical="center"/>
    </xf>
    <xf numFmtId="3" fontId="3" fillId="6" borderId="17" xfId="49" applyNumberFormat="1" applyFill="1" applyBorder="1" applyAlignment="1" applyProtection="1">
      <alignment horizontal="right" vertical="center"/>
    </xf>
    <xf numFmtId="188" fontId="3" fillId="6" borderId="18" xfId="49" applyNumberFormat="1" applyFill="1" applyBorder="1" applyAlignment="1" applyProtection="1">
      <alignment horizontal="right" vertical="center"/>
    </xf>
    <xf numFmtId="186" fontId="3" fillId="6" borderId="18" xfId="3" applyNumberFormat="1" applyFont="1" applyFill="1" applyBorder="1" applyAlignment="1" applyProtection="1">
      <alignment horizontal="right" vertical="center"/>
    </xf>
    <xf numFmtId="188" fontId="3" fillId="6" borderId="14" xfId="49" applyNumberFormat="1" applyFill="1" applyBorder="1" applyAlignment="1" applyProtection="1">
      <alignment horizontal="right" vertical="center"/>
    </xf>
    <xf numFmtId="3" fontId="3" fillId="6" borderId="15" xfId="49" applyNumberFormat="1" applyFill="1" applyBorder="1" applyAlignment="1" applyProtection="1">
      <alignment horizontal="right" vertical="center"/>
    </xf>
    <xf numFmtId="188" fontId="3" fillId="6" borderId="17" xfId="49" applyNumberFormat="1" applyFill="1" applyBorder="1" applyAlignment="1" applyProtection="1">
      <alignment horizontal="right" vertical="center"/>
    </xf>
    <xf numFmtId="187" fontId="3" fillId="6" borderId="17" xfId="49" applyNumberFormat="1" applyFill="1" applyBorder="1" applyAlignment="1" applyProtection="1">
      <alignment horizontal="center" vertical="center" wrapText="1"/>
    </xf>
    <xf numFmtId="0" fontId="3" fillId="6" borderId="19" xfId="49" applyFill="1" applyBorder="1" applyAlignment="1" applyProtection="1">
      <alignment horizontal="center" vertical="center" wrapText="1"/>
    </xf>
    <xf numFmtId="185" fontId="3" fillId="6" borderId="20" xfId="49" applyNumberFormat="1" applyFill="1" applyBorder="1" applyAlignment="1" applyProtection="1">
      <alignment horizontal="center"/>
    </xf>
    <xf numFmtId="188" fontId="3" fillId="6" borderId="20" xfId="49" applyNumberFormat="1" applyFill="1" applyBorder="1" applyAlignment="1" applyProtection="1">
      <alignment horizontal="right" vertical="center"/>
    </xf>
    <xf numFmtId="186" fontId="3" fillId="6" borderId="21" xfId="3" applyNumberFormat="1" applyFont="1" applyFill="1" applyBorder="1" applyAlignment="1" applyProtection="1">
      <alignment horizontal="right" vertical="center"/>
    </xf>
    <xf numFmtId="188" fontId="3" fillId="6" borderId="4" xfId="49" applyNumberFormat="1" applyFill="1" applyBorder="1" applyAlignment="1" applyProtection="1">
      <alignment horizontal="right" vertical="center"/>
    </xf>
    <xf numFmtId="187" fontId="3" fillId="6" borderId="4" xfId="49" applyNumberFormat="1" applyFill="1" applyBorder="1" applyAlignment="1" applyProtection="1">
      <alignment horizontal="right" vertical="center"/>
    </xf>
    <xf numFmtId="187" fontId="3" fillId="6" borderId="22" xfId="49" applyNumberFormat="1" applyFill="1" applyBorder="1" applyAlignment="1" applyProtection="1">
      <alignment horizontal="right" vertical="center"/>
    </xf>
    <xf numFmtId="187" fontId="3" fillId="6" borderId="21" xfId="49" applyNumberFormat="1" applyFill="1" applyBorder="1" applyAlignment="1" applyProtection="1">
      <alignment horizontal="right" vertical="center"/>
    </xf>
    <xf numFmtId="188" fontId="3" fillId="6" borderId="23" xfId="49" applyNumberFormat="1" applyFill="1" applyBorder="1" applyAlignment="1" applyProtection="1">
      <alignment horizontal="right" vertical="center"/>
    </xf>
    <xf numFmtId="7" fontId="3" fillId="6" borderId="24" xfId="49" applyNumberFormat="1" applyFill="1" applyBorder="1" applyAlignment="1" applyProtection="1">
      <alignment horizontal="right" vertical="center"/>
    </xf>
    <xf numFmtId="3" fontId="3" fillId="6" borderId="4" xfId="49" applyNumberFormat="1" applyFill="1" applyBorder="1" applyAlignment="1" applyProtection="1">
      <alignment horizontal="right" vertical="center"/>
    </xf>
    <xf numFmtId="3" fontId="3" fillId="6" borderId="24" xfId="49" applyNumberFormat="1" applyFill="1" applyBorder="1" applyAlignment="1" applyProtection="1">
      <alignment horizontal="right" vertical="center"/>
    </xf>
    <xf numFmtId="188" fontId="3" fillId="6" borderId="25" xfId="49" applyNumberFormat="1" applyFill="1" applyBorder="1" applyAlignment="1" applyProtection="1">
      <alignment horizontal="right" vertical="center"/>
    </xf>
    <xf numFmtId="186" fontId="3" fillId="6" borderId="25" xfId="3" applyNumberFormat="1" applyFont="1" applyFill="1" applyBorder="1" applyAlignment="1" applyProtection="1">
      <alignment horizontal="right" vertical="center"/>
    </xf>
    <xf numFmtId="3" fontId="3" fillId="6" borderId="22" xfId="49" applyNumberFormat="1" applyFill="1" applyBorder="1" applyAlignment="1" applyProtection="1">
      <alignment horizontal="right" vertical="center"/>
    </xf>
    <xf numFmtId="188" fontId="3" fillId="6" borderId="24" xfId="49" applyNumberFormat="1" applyFill="1" applyBorder="1" applyAlignment="1" applyProtection="1">
      <alignment horizontal="right" vertical="center"/>
    </xf>
    <xf numFmtId="187" fontId="3" fillId="6" borderId="24" xfId="49" applyNumberFormat="1" applyFill="1" applyBorder="1" applyAlignment="1" applyProtection="1">
      <alignment horizontal="center" vertical="center" wrapText="1"/>
    </xf>
    <xf numFmtId="0" fontId="3" fillId="6" borderId="22" xfId="49" applyFill="1" applyBorder="1" applyAlignment="1" applyProtection="1">
      <alignment horizontal="center" vertical="center" wrapText="1"/>
    </xf>
    <xf numFmtId="188" fontId="9" fillId="6" borderId="4" xfId="49" applyNumberFormat="1" applyFont="1" applyFill="1" applyBorder="1" applyAlignment="1" applyProtection="1">
      <alignment horizontal="right" vertical="center"/>
    </xf>
    <xf numFmtId="185" fontId="3" fillId="6" borderId="26" xfId="49" applyNumberFormat="1" applyFill="1" applyBorder="1" applyAlignment="1" applyProtection="1">
      <alignment horizontal="center"/>
    </xf>
    <xf numFmtId="188" fontId="3" fillId="6" borderId="26" xfId="49" applyNumberFormat="1" applyFill="1" applyBorder="1" applyAlignment="1" applyProtection="1">
      <alignment horizontal="right" vertical="center"/>
    </xf>
    <xf numFmtId="186" fontId="3" fillId="6" borderId="27" xfId="3" applyNumberFormat="1" applyFont="1" applyFill="1" applyBorder="1" applyAlignment="1" applyProtection="1">
      <alignment horizontal="right" vertical="center"/>
    </xf>
    <xf numFmtId="188" fontId="3" fillId="6" borderId="28" xfId="49" applyNumberFormat="1" applyFill="1" applyBorder="1" applyAlignment="1" applyProtection="1">
      <alignment horizontal="right" vertical="center"/>
    </xf>
    <xf numFmtId="187" fontId="3" fillId="6" borderId="28" xfId="49" applyNumberFormat="1" applyFill="1" applyBorder="1" applyAlignment="1" applyProtection="1">
      <alignment horizontal="right" vertical="center"/>
    </xf>
    <xf numFmtId="187" fontId="3" fillId="6" borderId="29" xfId="49" applyNumberFormat="1" applyFill="1" applyBorder="1" applyAlignment="1" applyProtection="1">
      <alignment horizontal="right" vertical="center"/>
    </xf>
    <xf numFmtId="187" fontId="3" fillId="6" borderId="27" xfId="49" applyNumberFormat="1" applyFill="1" applyBorder="1" applyAlignment="1" applyProtection="1">
      <alignment horizontal="right" vertical="center"/>
    </xf>
    <xf numFmtId="188" fontId="3" fillId="6" borderId="30" xfId="49" applyNumberFormat="1" applyFill="1" applyBorder="1" applyAlignment="1" applyProtection="1">
      <alignment horizontal="right" vertical="center"/>
    </xf>
    <xf numFmtId="7" fontId="3" fillId="6" borderId="31" xfId="49" applyNumberFormat="1" applyFill="1" applyBorder="1" applyAlignment="1" applyProtection="1">
      <alignment horizontal="right" vertical="center"/>
    </xf>
    <xf numFmtId="3" fontId="3" fillId="6" borderId="28" xfId="49" applyNumberFormat="1" applyFill="1" applyBorder="1" applyAlignment="1" applyProtection="1">
      <alignment horizontal="right" vertical="center"/>
    </xf>
    <xf numFmtId="3" fontId="3" fillId="6" borderId="31" xfId="49" applyNumberFormat="1" applyFill="1" applyBorder="1" applyAlignment="1" applyProtection="1">
      <alignment horizontal="right" vertical="center"/>
    </xf>
    <xf numFmtId="187" fontId="3" fillId="6" borderId="32" xfId="49" applyNumberFormat="1" applyFill="1" applyBorder="1" applyAlignment="1" applyProtection="1">
      <alignment horizontal="right" vertical="center"/>
    </xf>
    <xf numFmtId="188" fontId="3" fillId="6" borderId="33" xfId="49" applyNumberFormat="1" applyFill="1" applyBorder="1" applyAlignment="1" applyProtection="1">
      <alignment horizontal="right" vertical="center"/>
    </xf>
    <xf numFmtId="186" fontId="3" fillId="6" borderId="33" xfId="3" applyNumberFormat="1" applyFont="1" applyFill="1" applyBorder="1" applyAlignment="1" applyProtection="1">
      <alignment horizontal="right" vertical="center"/>
    </xf>
    <xf numFmtId="188" fontId="3" fillId="6" borderId="34" xfId="49" applyNumberFormat="1" applyFill="1" applyBorder="1" applyAlignment="1" applyProtection="1">
      <alignment horizontal="right" vertical="center"/>
    </xf>
    <xf numFmtId="3" fontId="3" fillId="6" borderId="34" xfId="49" applyNumberFormat="1" applyFill="1" applyBorder="1" applyAlignment="1" applyProtection="1">
      <alignment horizontal="right" vertical="center"/>
    </xf>
    <xf numFmtId="3" fontId="3" fillId="6" borderId="3" xfId="49" applyNumberFormat="1" applyFill="1" applyBorder="1" applyAlignment="1" applyProtection="1">
      <alignment horizontal="right" vertical="center"/>
    </xf>
    <xf numFmtId="187" fontId="3" fillId="6" borderId="35" xfId="49" applyNumberFormat="1" applyFill="1" applyBorder="1" applyAlignment="1" applyProtection="1">
      <alignment horizontal="center" vertical="center" wrapText="1"/>
    </xf>
    <xf numFmtId="0" fontId="3" fillId="6" borderId="29" xfId="49" applyFill="1" applyBorder="1" applyAlignment="1" applyProtection="1">
      <alignment horizontal="center" vertical="center" wrapText="1"/>
    </xf>
    <xf numFmtId="185" fontId="3" fillId="4" borderId="12" xfId="49" applyNumberFormat="1" applyFill="1" applyBorder="1" applyAlignment="1" applyProtection="1">
      <alignment horizontal="center"/>
    </xf>
    <xf numFmtId="188" fontId="3" fillId="4" borderId="11" xfId="49" applyNumberFormat="1" applyFill="1" applyBorder="1" applyAlignment="1" applyProtection="1">
      <alignment horizontal="right" vertical="center"/>
    </xf>
    <xf numFmtId="186" fontId="3" fillId="4" borderId="36" xfId="3" applyNumberFormat="1" applyFont="1" applyFill="1" applyBorder="1" applyAlignment="1" applyProtection="1">
      <alignment horizontal="right" vertical="center"/>
    </xf>
    <xf numFmtId="188" fontId="3" fillId="4" borderId="37" xfId="49" applyNumberFormat="1" applyFill="1" applyBorder="1" applyAlignment="1" applyProtection="1">
      <alignment horizontal="right" vertical="center"/>
    </xf>
    <xf numFmtId="187" fontId="3" fillId="4" borderId="37" xfId="49" applyNumberFormat="1" applyFill="1" applyBorder="1" applyAlignment="1" applyProtection="1">
      <alignment horizontal="right" vertical="center"/>
    </xf>
    <xf numFmtId="187" fontId="3" fillId="4" borderId="19" xfId="49" applyNumberFormat="1" applyFill="1" applyBorder="1" applyAlignment="1" applyProtection="1">
      <alignment horizontal="right" vertical="center"/>
    </xf>
    <xf numFmtId="187" fontId="3" fillId="4" borderId="13" xfId="49" applyNumberFormat="1" applyFill="1" applyBorder="1" applyAlignment="1" applyProtection="1">
      <alignment horizontal="right" vertical="center"/>
    </xf>
    <xf numFmtId="188" fontId="3" fillId="4" borderId="16" xfId="49" applyNumberFormat="1" applyFill="1" applyBorder="1" applyAlignment="1" applyProtection="1">
      <alignment horizontal="right" vertical="center"/>
    </xf>
    <xf numFmtId="186" fontId="3" fillId="4" borderId="13" xfId="3" applyNumberFormat="1" applyFont="1" applyFill="1" applyBorder="1" applyAlignment="1" applyProtection="1">
      <alignment horizontal="right" vertical="center"/>
    </xf>
    <xf numFmtId="7" fontId="3" fillId="4" borderId="17" xfId="49" applyNumberFormat="1" applyFill="1" applyBorder="1" applyAlignment="1" applyProtection="1">
      <alignment horizontal="right" vertical="center"/>
    </xf>
    <xf numFmtId="3" fontId="3" fillId="4" borderId="14" xfId="49" applyNumberFormat="1" applyFill="1" applyBorder="1" applyAlignment="1" applyProtection="1">
      <alignment horizontal="right" vertical="center"/>
    </xf>
    <xf numFmtId="3" fontId="3" fillId="4" borderId="17" xfId="49" applyNumberFormat="1" applyFill="1" applyBorder="1" applyAlignment="1" applyProtection="1">
      <alignment horizontal="right" vertical="center"/>
    </xf>
    <xf numFmtId="188" fontId="3" fillId="4" borderId="38" xfId="49" applyNumberFormat="1" applyFill="1" applyBorder="1" applyAlignment="1" applyProtection="1">
      <alignment horizontal="right" vertical="center"/>
    </xf>
    <xf numFmtId="186" fontId="3" fillId="4" borderId="39" xfId="3" applyNumberFormat="1" applyFont="1" applyFill="1" applyBorder="1" applyAlignment="1" applyProtection="1">
      <alignment horizontal="right" vertical="center"/>
    </xf>
    <xf numFmtId="3" fontId="3" fillId="4" borderId="37" xfId="49" applyNumberFormat="1" applyFill="1" applyBorder="1" applyAlignment="1" applyProtection="1">
      <alignment horizontal="right" vertical="center"/>
    </xf>
    <xf numFmtId="3" fontId="3" fillId="4" borderId="19" xfId="49" applyNumberFormat="1" applyFill="1" applyBorder="1" applyAlignment="1" applyProtection="1">
      <alignment horizontal="right" vertical="center"/>
    </xf>
    <xf numFmtId="187" fontId="3" fillId="4" borderId="17" xfId="49" applyNumberFormat="1" applyFill="1" applyBorder="1" applyAlignment="1" applyProtection="1">
      <alignment horizontal="right" vertical="center"/>
    </xf>
    <xf numFmtId="188" fontId="3" fillId="4" borderId="14" xfId="49" applyNumberFormat="1" applyFill="1" applyBorder="1" applyAlignment="1" applyProtection="1">
      <alignment horizontal="right" vertical="center"/>
    </xf>
    <xf numFmtId="186" fontId="3" fillId="4" borderId="14" xfId="3" applyNumberFormat="1" applyFont="1" applyFill="1" applyBorder="1" applyAlignment="1" applyProtection="1">
      <alignment horizontal="right" vertical="center"/>
    </xf>
    <xf numFmtId="187" fontId="3" fillId="4" borderId="13" xfId="49" applyNumberFormat="1" applyFill="1" applyBorder="1" applyAlignment="1" applyProtection="1">
      <alignment horizontal="center" vertical="center" wrapText="1"/>
    </xf>
    <xf numFmtId="0" fontId="3" fillId="4" borderId="40" xfId="49" applyFill="1" applyBorder="1" applyAlignment="1" applyProtection="1">
      <alignment horizontal="center" vertical="center" wrapText="1"/>
    </xf>
    <xf numFmtId="188" fontId="3" fillId="4" borderId="20" xfId="49" applyNumberFormat="1" applyFill="1" applyBorder="1" applyAlignment="1" applyProtection="1">
      <alignment horizontal="right" vertical="center"/>
    </xf>
    <xf numFmtId="186" fontId="3" fillId="4" borderId="21" xfId="3" applyNumberFormat="1" applyFont="1" applyFill="1" applyBorder="1" applyAlignment="1" applyProtection="1">
      <alignment horizontal="right" vertical="center"/>
    </xf>
    <xf numFmtId="188" fontId="3" fillId="4" borderId="4" xfId="49" applyNumberFormat="1" applyFill="1" applyBorder="1" applyAlignment="1" applyProtection="1">
      <alignment horizontal="right" vertical="center"/>
    </xf>
    <xf numFmtId="187" fontId="3" fillId="4" borderId="4" xfId="49" applyNumberFormat="1" applyFill="1" applyBorder="1" applyAlignment="1" applyProtection="1">
      <alignment horizontal="right" vertical="center"/>
    </xf>
    <xf numFmtId="187" fontId="3" fillId="4" borderId="22" xfId="49" applyNumberFormat="1" applyFill="1" applyBorder="1" applyAlignment="1" applyProtection="1">
      <alignment horizontal="right" vertical="center"/>
    </xf>
    <xf numFmtId="187" fontId="3" fillId="4" borderId="21" xfId="49" applyNumberFormat="1" applyFill="1" applyBorder="1" applyAlignment="1" applyProtection="1">
      <alignment horizontal="right" vertical="center"/>
    </xf>
    <xf numFmtId="188" fontId="3" fillId="4" borderId="23" xfId="49" applyNumberFormat="1" applyFill="1" applyBorder="1" applyAlignment="1" applyProtection="1">
      <alignment horizontal="right" vertical="center"/>
    </xf>
    <xf numFmtId="7" fontId="3" fillId="4" borderId="24" xfId="49" applyNumberFormat="1" applyFill="1" applyBorder="1" applyAlignment="1" applyProtection="1">
      <alignment horizontal="right" vertical="center"/>
    </xf>
    <xf numFmtId="3" fontId="3" fillId="4" borderId="4" xfId="49" applyNumberFormat="1" applyFill="1" applyBorder="1" applyAlignment="1" applyProtection="1">
      <alignment horizontal="right" vertical="center"/>
    </xf>
    <xf numFmtId="3" fontId="3" fillId="4" borderId="24" xfId="49" applyNumberFormat="1" applyFill="1" applyBorder="1" applyAlignment="1" applyProtection="1">
      <alignment horizontal="right" vertical="center"/>
    </xf>
    <xf numFmtId="186" fontId="3" fillId="4" borderId="25" xfId="3" applyNumberFormat="1" applyFont="1" applyFill="1" applyBorder="1" applyAlignment="1" applyProtection="1">
      <alignment horizontal="right" vertical="center"/>
    </xf>
    <xf numFmtId="3" fontId="3" fillId="4" borderId="22" xfId="49" applyNumberFormat="1" applyFill="1" applyBorder="1" applyAlignment="1" applyProtection="1">
      <alignment horizontal="right" vertical="center"/>
    </xf>
    <xf numFmtId="187" fontId="3" fillId="4" borderId="24" xfId="49" applyNumberFormat="1" applyFill="1" applyBorder="1" applyAlignment="1" applyProtection="1">
      <alignment horizontal="right" vertical="center"/>
    </xf>
    <xf numFmtId="186" fontId="3" fillId="4" borderId="4" xfId="3" applyNumberFormat="1" applyFont="1" applyFill="1" applyBorder="1" applyAlignment="1" applyProtection="1">
      <alignment horizontal="right" vertical="center"/>
    </xf>
    <xf numFmtId="187" fontId="3" fillId="4" borderId="21" xfId="49" applyNumberFormat="1" applyFill="1" applyBorder="1" applyAlignment="1" applyProtection="1">
      <alignment horizontal="center" vertical="center" wrapText="1"/>
    </xf>
    <xf numFmtId="0" fontId="3" fillId="4" borderId="41" xfId="49" applyFill="1" applyBorder="1" applyAlignment="1" applyProtection="1">
      <alignment horizontal="center" vertical="center" wrapText="1"/>
    </xf>
    <xf numFmtId="188" fontId="10" fillId="4" borderId="4" xfId="49" applyNumberFormat="1" applyFont="1" applyFill="1" applyBorder="1" applyAlignment="1" applyProtection="1">
      <alignment horizontal="right" vertical="center"/>
    </xf>
    <xf numFmtId="189" fontId="10" fillId="4" borderId="4" xfId="49" applyNumberFormat="1" applyFont="1" applyFill="1" applyBorder="1" applyAlignment="1" applyProtection="1">
      <alignment horizontal="right" vertical="center"/>
    </xf>
    <xf numFmtId="7" fontId="3" fillId="4" borderId="24" xfId="49" applyNumberFormat="1" applyFont="1" applyFill="1" applyBorder="1" applyAlignment="1" applyProtection="1">
      <alignment horizontal="right" vertical="center"/>
    </xf>
    <xf numFmtId="185" fontId="3" fillId="7" borderId="12" xfId="49" applyNumberFormat="1" applyFill="1" applyBorder="1" applyAlignment="1" applyProtection="1">
      <alignment horizontal="center"/>
    </xf>
    <xf numFmtId="3" fontId="3" fillId="4" borderId="34" xfId="49" applyNumberFormat="1" applyFill="1" applyBorder="1" applyAlignment="1" applyProtection="1">
      <alignment horizontal="right" vertical="center"/>
    </xf>
    <xf numFmtId="3" fontId="3" fillId="4" borderId="35" xfId="49" applyNumberFormat="1" applyFill="1" applyBorder="1" applyAlignment="1" applyProtection="1">
      <alignment horizontal="right" vertical="center"/>
    </xf>
    <xf numFmtId="187" fontId="3" fillId="4" borderId="32" xfId="49" applyNumberFormat="1" applyFill="1" applyBorder="1" applyAlignment="1" applyProtection="1">
      <alignment horizontal="right" vertical="center"/>
    </xf>
    <xf numFmtId="190" fontId="3" fillId="4" borderId="4" xfId="49" applyNumberFormat="1" applyFill="1" applyBorder="1" applyAlignment="1" applyProtection="1">
      <alignment horizontal="right" vertical="center"/>
    </xf>
    <xf numFmtId="190" fontId="11" fillId="4" borderId="4" xfId="49" applyNumberFormat="1" applyFont="1" applyFill="1" applyBorder="1" applyAlignment="1" applyProtection="1">
      <alignment horizontal="right" vertical="center"/>
    </xf>
    <xf numFmtId="188" fontId="3" fillId="4" borderId="26" xfId="49" applyNumberFormat="1" applyFill="1" applyBorder="1" applyAlignment="1" applyProtection="1">
      <alignment horizontal="right" vertical="center"/>
    </xf>
    <xf numFmtId="186" fontId="3" fillId="4" borderId="27" xfId="3" applyNumberFormat="1" applyFont="1" applyFill="1" applyBorder="1" applyAlignment="1" applyProtection="1">
      <alignment horizontal="right" vertical="center"/>
    </xf>
    <xf numFmtId="188" fontId="10" fillId="4" borderId="28" xfId="49" applyNumberFormat="1" applyFont="1" applyFill="1" applyBorder="1" applyAlignment="1" applyProtection="1">
      <alignment horizontal="right" vertical="center"/>
    </xf>
    <xf numFmtId="187" fontId="3" fillId="4" borderId="28" xfId="49" applyNumberFormat="1" applyFill="1" applyBorder="1" applyAlignment="1" applyProtection="1">
      <alignment horizontal="right" vertical="center"/>
    </xf>
    <xf numFmtId="187" fontId="3" fillId="4" borderId="29" xfId="49" applyNumberFormat="1" applyFill="1" applyBorder="1" applyAlignment="1" applyProtection="1">
      <alignment horizontal="right" vertical="center"/>
    </xf>
    <xf numFmtId="187" fontId="0" fillId="4" borderId="32" xfId="49" applyNumberFormat="1" applyFont="1" applyFill="1" applyBorder="1" applyAlignment="1" applyProtection="1">
      <alignment horizontal="right" vertical="center"/>
    </xf>
    <xf numFmtId="188" fontId="0" fillId="4" borderId="42" xfId="49" applyNumberFormat="1" applyFont="1" applyFill="1" applyBorder="1" applyAlignment="1" applyProtection="1">
      <alignment horizontal="right" vertical="center"/>
    </xf>
    <xf numFmtId="186" fontId="0" fillId="4" borderId="32" xfId="3" applyNumberFormat="1" applyFont="1" applyFill="1" applyBorder="1" applyAlignment="1" applyProtection="1">
      <alignment horizontal="right" vertical="center"/>
    </xf>
    <xf numFmtId="7" fontId="3" fillId="4" borderId="35" xfId="49" applyNumberFormat="1" applyFont="1" applyFill="1" applyBorder="1" applyAlignment="1" applyProtection="1">
      <alignment horizontal="right" vertical="center"/>
    </xf>
    <xf numFmtId="188" fontId="3" fillId="4" borderId="30" xfId="49" applyNumberFormat="1" applyFill="1" applyBorder="1" applyAlignment="1" applyProtection="1">
      <alignment horizontal="right" vertical="center"/>
    </xf>
    <xf numFmtId="186" fontId="3" fillId="4" borderId="43" xfId="3" applyNumberFormat="1" applyFont="1" applyFill="1" applyBorder="1" applyAlignment="1" applyProtection="1">
      <alignment horizontal="right" vertical="center"/>
    </xf>
    <xf numFmtId="190" fontId="11" fillId="4" borderId="28" xfId="49" applyNumberFormat="1" applyFont="1" applyFill="1" applyBorder="1" applyAlignment="1" applyProtection="1">
      <alignment horizontal="right" vertical="center"/>
    </xf>
    <xf numFmtId="3" fontId="3" fillId="4" borderId="28" xfId="49" applyNumberFormat="1" applyFill="1" applyBorder="1" applyAlignment="1" applyProtection="1">
      <alignment horizontal="right" vertical="center"/>
    </xf>
    <xf numFmtId="3" fontId="3" fillId="4" borderId="29" xfId="49" applyNumberFormat="1" applyFill="1" applyBorder="1" applyAlignment="1" applyProtection="1">
      <alignment horizontal="right" vertical="center"/>
    </xf>
    <xf numFmtId="187" fontId="3" fillId="4" borderId="35" xfId="49" applyNumberFormat="1" applyFill="1" applyBorder="1" applyAlignment="1" applyProtection="1">
      <alignment horizontal="right" vertical="center"/>
    </xf>
    <xf numFmtId="187" fontId="3" fillId="4" borderId="32" xfId="49" applyNumberFormat="1" applyFill="1" applyBorder="1" applyAlignment="1" applyProtection="1">
      <alignment horizontal="center" vertical="center" wrapText="1"/>
    </xf>
    <xf numFmtId="0" fontId="3" fillId="4" borderId="44" xfId="49" applyFill="1" applyBorder="1" applyAlignment="1" applyProtection="1">
      <alignment horizontal="center" vertical="center" wrapText="1"/>
    </xf>
    <xf numFmtId="188" fontId="10" fillId="4" borderId="37" xfId="49" applyNumberFormat="1" applyFont="1" applyFill="1" applyBorder="1" applyAlignment="1" applyProtection="1">
      <alignment horizontal="right" vertical="center"/>
    </xf>
    <xf numFmtId="187" fontId="3" fillId="4" borderId="36" xfId="49" applyNumberFormat="1" applyFill="1" applyBorder="1" applyAlignment="1" applyProtection="1">
      <alignment horizontal="right" vertical="center"/>
    </xf>
    <xf numFmtId="7" fontId="3" fillId="4" borderId="45" xfId="49" applyNumberFormat="1" applyFont="1" applyFill="1" applyBorder="1" applyAlignment="1" applyProtection="1">
      <alignment horizontal="right" vertical="center"/>
    </xf>
    <xf numFmtId="190" fontId="11" fillId="4" borderId="37" xfId="49" applyNumberFormat="1" applyFont="1" applyFill="1" applyBorder="1" applyAlignment="1" applyProtection="1">
      <alignment horizontal="right" vertical="center"/>
    </xf>
    <xf numFmtId="187" fontId="3" fillId="4" borderId="34" xfId="49" applyNumberFormat="1" applyFill="1" applyBorder="1" applyAlignment="1" applyProtection="1">
      <alignment horizontal="right" vertical="center"/>
    </xf>
    <xf numFmtId="187" fontId="3" fillId="4" borderId="3" xfId="49" applyNumberFormat="1" applyFill="1" applyBorder="1" applyAlignment="1" applyProtection="1">
      <alignment horizontal="right" vertical="center"/>
    </xf>
    <xf numFmtId="3" fontId="3" fillId="4" borderId="3" xfId="49" applyNumberFormat="1" applyFill="1" applyBorder="1" applyAlignment="1" applyProtection="1">
      <alignment horizontal="right" vertical="center"/>
    </xf>
    <xf numFmtId="186" fontId="3" fillId="4" borderId="32" xfId="3" applyNumberFormat="1" applyFont="1" applyFill="1" applyBorder="1" applyAlignment="1" applyProtection="1">
      <alignment horizontal="right" vertical="center"/>
    </xf>
    <xf numFmtId="188" fontId="3" fillId="4" borderId="34" xfId="49" applyNumberFormat="1" applyFill="1" applyBorder="1" applyAlignment="1" applyProtection="1">
      <alignment horizontal="right" vertical="center"/>
    </xf>
    <xf numFmtId="188" fontId="3" fillId="4" borderId="28" xfId="49" applyNumberFormat="1" applyFill="1" applyBorder="1" applyAlignment="1" applyProtection="1">
      <alignment horizontal="right" vertical="center"/>
    </xf>
    <xf numFmtId="188" fontId="3" fillId="4" borderId="46" xfId="49" applyNumberFormat="1" applyFill="1" applyBorder="1" applyAlignment="1" applyProtection="1">
      <alignment horizontal="right" vertical="center"/>
    </xf>
    <xf numFmtId="3" fontId="3" fillId="4" borderId="34" xfId="49" applyNumberFormat="1" applyFont="1" applyFill="1" applyBorder="1" applyAlignment="1" applyProtection="1">
      <alignment horizontal="right" vertical="center"/>
    </xf>
    <xf numFmtId="3" fontId="3" fillId="4" borderId="3" xfId="49" applyNumberFormat="1" applyFont="1" applyFill="1" applyBorder="1" applyAlignment="1" applyProtection="1">
      <alignment horizontal="right" vertical="center"/>
    </xf>
    <xf numFmtId="190" fontId="11" fillId="4" borderId="34" xfId="49" applyNumberFormat="1" applyFont="1" applyFill="1" applyBorder="1" applyAlignment="1" applyProtection="1">
      <alignment horizontal="right" vertical="center"/>
    </xf>
    <xf numFmtId="0" fontId="3" fillId="4" borderId="47" xfId="49" applyFill="1" applyBorder="1" applyAlignment="1" applyProtection="1">
      <alignment horizontal="center" vertical="center" wrapText="1"/>
    </xf>
    <xf numFmtId="186" fontId="3" fillId="4" borderId="48" xfId="3" applyNumberFormat="1" applyFont="1" applyFill="1" applyBorder="1" applyAlignment="1" applyProtection="1">
      <alignment horizontal="right" vertical="center"/>
    </xf>
    <xf numFmtId="188" fontId="3" fillId="4" borderId="1" xfId="49" applyNumberFormat="1" applyFill="1" applyBorder="1" applyAlignment="1" applyProtection="1">
      <alignment horizontal="right" vertical="center"/>
    </xf>
    <xf numFmtId="3" fontId="3" fillId="4" borderId="1" xfId="49" applyNumberFormat="1" applyFont="1" applyFill="1" applyBorder="1" applyAlignment="1" applyProtection="1">
      <alignment horizontal="right" vertical="center"/>
    </xf>
    <xf numFmtId="3" fontId="3" fillId="4" borderId="49" xfId="49" applyNumberFormat="1" applyFont="1" applyFill="1" applyBorder="1" applyAlignment="1" applyProtection="1">
      <alignment horizontal="right" vertical="center"/>
    </xf>
    <xf numFmtId="187" fontId="3" fillId="4" borderId="48" xfId="49" applyNumberFormat="1" applyFill="1" applyBorder="1" applyAlignment="1" applyProtection="1">
      <alignment horizontal="right" vertical="center"/>
    </xf>
    <xf numFmtId="3" fontId="3" fillId="4" borderId="37" xfId="49" applyNumberFormat="1" applyFont="1" applyFill="1" applyBorder="1" applyAlignment="1" applyProtection="1">
      <alignment horizontal="right" vertical="center"/>
    </xf>
    <xf numFmtId="3" fontId="3" fillId="4" borderId="19" xfId="49" applyNumberFormat="1" applyFont="1" applyFill="1" applyBorder="1" applyAlignment="1" applyProtection="1">
      <alignment horizontal="right" vertical="center"/>
    </xf>
    <xf numFmtId="3" fontId="3" fillId="4" borderId="4" xfId="49" applyNumberFormat="1" applyFont="1" applyFill="1" applyBorder="1" applyAlignment="1" applyProtection="1">
      <alignment horizontal="right" vertical="center"/>
    </xf>
    <xf numFmtId="3" fontId="3" fillId="4" borderId="22" xfId="49" applyNumberFormat="1" applyFont="1" applyFill="1" applyBorder="1" applyAlignment="1" applyProtection="1">
      <alignment horizontal="right" vertical="center"/>
    </xf>
    <xf numFmtId="7" fontId="3" fillId="4" borderId="4" xfId="49" applyNumberFormat="1" applyFont="1" applyFill="1" applyBorder="1" applyAlignment="1" applyProtection="1">
      <alignment horizontal="right" vertical="center"/>
    </xf>
    <xf numFmtId="187" fontId="3" fillId="4" borderId="25" xfId="49" applyNumberFormat="1" applyFill="1" applyBorder="1" applyAlignment="1" applyProtection="1">
      <alignment horizontal="center" vertical="center" wrapText="1"/>
    </xf>
    <xf numFmtId="0" fontId="3" fillId="4" borderId="25" xfId="49" applyFill="1" applyBorder="1" applyAlignment="1" applyProtection="1">
      <alignment horizontal="center" vertical="center" wrapText="1"/>
    </xf>
    <xf numFmtId="187" fontId="3" fillId="4" borderId="27" xfId="49" applyNumberFormat="1" applyFill="1" applyBorder="1" applyAlignment="1" applyProtection="1">
      <alignment horizontal="right" vertical="center"/>
    </xf>
    <xf numFmtId="7" fontId="3" fillId="4" borderId="28" xfId="49" applyNumberFormat="1" applyFont="1" applyFill="1" applyBorder="1" applyAlignment="1" applyProtection="1">
      <alignment horizontal="right" vertical="center"/>
    </xf>
    <xf numFmtId="3" fontId="3" fillId="4" borderId="28" xfId="49" applyNumberFormat="1" applyFont="1" applyFill="1" applyBorder="1" applyAlignment="1" applyProtection="1">
      <alignment horizontal="right" vertical="center"/>
    </xf>
    <xf numFmtId="3" fontId="3" fillId="4" borderId="29" xfId="49" applyNumberFormat="1" applyFont="1" applyFill="1" applyBorder="1" applyAlignment="1" applyProtection="1">
      <alignment horizontal="right" vertical="center"/>
    </xf>
    <xf numFmtId="188" fontId="3" fillId="4" borderId="12" xfId="49" applyNumberFormat="1" applyFill="1" applyBorder="1" applyAlignment="1" applyProtection="1">
      <alignment horizontal="right" vertical="center"/>
    </xf>
    <xf numFmtId="187" fontId="3" fillId="4" borderId="14" xfId="49" applyNumberFormat="1" applyFill="1" applyBorder="1" applyAlignment="1" applyProtection="1">
      <alignment horizontal="right" vertical="center"/>
    </xf>
    <xf numFmtId="187" fontId="3" fillId="4" borderId="15" xfId="49" applyNumberFormat="1" applyFill="1" applyBorder="1" applyAlignment="1" applyProtection="1">
      <alignment horizontal="right" vertical="center"/>
    </xf>
    <xf numFmtId="7" fontId="3" fillId="4" borderId="14" xfId="49" applyNumberFormat="1" applyFont="1" applyFill="1" applyBorder="1" applyAlignment="1" applyProtection="1">
      <alignment horizontal="right" vertical="center"/>
    </xf>
    <xf numFmtId="3" fontId="3" fillId="4" borderId="15" xfId="49" applyNumberFormat="1" applyFill="1" applyBorder="1" applyAlignment="1" applyProtection="1">
      <alignment horizontal="right" vertical="center"/>
    </xf>
    <xf numFmtId="190" fontId="11" fillId="4" borderId="14" xfId="49" applyNumberFormat="1" applyFont="1" applyFill="1" applyBorder="1" applyAlignment="1" applyProtection="1">
      <alignment horizontal="right" vertical="center"/>
    </xf>
    <xf numFmtId="187" fontId="0" fillId="4" borderId="21" xfId="49" applyNumberFormat="1" applyFont="1" applyFill="1" applyBorder="1" applyAlignment="1" applyProtection="1">
      <alignment horizontal="right" vertical="center"/>
    </xf>
    <xf numFmtId="188" fontId="0" fillId="4" borderId="23" xfId="49" applyNumberFormat="1" applyFont="1" applyFill="1" applyBorder="1" applyAlignment="1" applyProtection="1">
      <alignment horizontal="right" vertical="center"/>
    </xf>
    <xf numFmtId="186" fontId="0" fillId="4" borderId="25" xfId="3" applyNumberFormat="1" applyFont="1" applyFill="1" applyBorder="1" applyAlignment="1" applyProtection="1">
      <alignment horizontal="right" vertical="center"/>
    </xf>
    <xf numFmtId="7" fontId="3" fillId="4" borderId="4" xfId="49" applyNumberFormat="1" applyFill="1" applyBorder="1" applyAlignment="1" applyProtection="1">
      <alignment horizontal="right" vertical="center"/>
    </xf>
    <xf numFmtId="185" fontId="3" fillId="7" borderId="50" xfId="49" applyNumberFormat="1" applyFill="1" applyBorder="1" applyAlignment="1" applyProtection="1">
      <alignment horizontal="center"/>
    </xf>
    <xf numFmtId="188" fontId="3" fillId="4" borderId="42" xfId="49" applyNumberFormat="1" applyFill="1" applyBorder="1" applyAlignment="1" applyProtection="1">
      <alignment horizontal="right" vertical="center"/>
    </xf>
    <xf numFmtId="186" fontId="3" fillId="4" borderId="33" xfId="3" applyNumberFormat="1" applyFont="1" applyFill="1" applyBorder="1" applyAlignment="1" applyProtection="1">
      <alignment horizontal="right" vertical="center"/>
    </xf>
    <xf numFmtId="186" fontId="0" fillId="4" borderId="33" xfId="3" applyNumberFormat="1" applyFont="1" applyFill="1" applyBorder="1" applyAlignment="1" applyProtection="1">
      <alignment horizontal="right" vertical="center"/>
    </xf>
    <xf numFmtId="7" fontId="3" fillId="4" borderId="34" xfId="49" applyNumberFormat="1" applyFill="1" applyBorder="1" applyAlignment="1" applyProtection="1">
      <alignment horizontal="right" vertical="center"/>
    </xf>
    <xf numFmtId="186" fontId="3" fillId="4" borderId="34" xfId="3" applyNumberFormat="1" applyFont="1" applyFill="1" applyBorder="1" applyAlignment="1" applyProtection="1">
      <alignment horizontal="right" vertical="center"/>
    </xf>
    <xf numFmtId="187" fontId="3" fillId="4" borderId="33" xfId="49" applyNumberFormat="1" applyFill="1" applyBorder="1" applyAlignment="1" applyProtection="1">
      <alignment horizontal="center" vertical="center" wrapText="1"/>
    </xf>
    <xf numFmtId="0" fontId="3" fillId="4" borderId="33" xfId="49" applyFill="1" applyBorder="1" applyAlignment="1" applyProtection="1">
      <alignment horizontal="center" vertical="center" wrapText="1"/>
    </xf>
    <xf numFmtId="185" fontId="12" fillId="7" borderId="38" xfId="49" applyNumberFormat="1" applyFont="1" applyFill="1" applyBorder="1" applyAlignment="1" applyProtection="1">
      <alignment horizontal="center"/>
    </xf>
    <xf numFmtId="188" fontId="3" fillId="8" borderId="37" xfId="49" applyNumberFormat="1" applyFill="1" applyBorder="1" applyAlignment="1" applyProtection="1">
      <alignment horizontal="right" vertical="center"/>
    </xf>
    <xf numFmtId="186" fontId="3" fillId="8" borderId="37" xfId="3" applyNumberFormat="1" applyFont="1" applyFill="1" applyBorder="1" applyAlignment="1" applyProtection="1">
      <alignment horizontal="right" vertical="center"/>
    </xf>
    <xf numFmtId="187" fontId="3" fillId="8" borderId="37" xfId="49" applyNumberFormat="1" applyFill="1" applyBorder="1" applyAlignment="1" applyProtection="1">
      <alignment horizontal="right" vertical="center"/>
    </xf>
    <xf numFmtId="7" fontId="3" fillId="8" borderId="37" xfId="49" applyNumberFormat="1" applyFill="1" applyBorder="1" applyAlignment="1" applyProtection="1">
      <alignment horizontal="right" vertical="center"/>
    </xf>
    <xf numFmtId="3" fontId="3" fillId="8" borderId="37" xfId="49" applyNumberFormat="1" applyFill="1" applyBorder="1" applyAlignment="1" applyProtection="1">
      <alignment horizontal="right" vertical="center"/>
    </xf>
    <xf numFmtId="187" fontId="3" fillId="8" borderId="45" xfId="49" applyNumberFormat="1" applyFill="1" applyBorder="1" applyAlignment="1" applyProtection="1">
      <alignment horizontal="center"/>
    </xf>
    <xf numFmtId="0" fontId="3" fillId="8" borderId="19" xfId="49" applyFill="1" applyBorder="1" applyAlignment="1" applyProtection="1">
      <alignment horizontal="center"/>
    </xf>
    <xf numFmtId="185" fontId="12" fillId="7" borderId="30" xfId="49" applyNumberFormat="1" applyFont="1" applyFill="1" applyBorder="1" applyAlignment="1" applyProtection="1">
      <alignment horizontal="center"/>
    </xf>
    <xf numFmtId="188" fontId="3" fillId="8" borderId="34" xfId="49" applyNumberFormat="1" applyFill="1" applyBorder="1" applyAlignment="1" applyProtection="1">
      <alignment horizontal="right" vertical="center"/>
    </xf>
    <xf numFmtId="186" fontId="3" fillId="8" borderId="34" xfId="3" applyNumberFormat="1" applyFont="1" applyFill="1" applyBorder="1" applyAlignment="1" applyProtection="1">
      <alignment horizontal="right" vertical="center"/>
    </xf>
    <xf numFmtId="187" fontId="3" fillId="8" borderId="34" xfId="49" applyNumberFormat="1" applyFill="1" applyBorder="1" applyAlignment="1" applyProtection="1">
      <alignment horizontal="right" vertical="center"/>
    </xf>
    <xf numFmtId="7" fontId="3" fillId="8" borderId="34" xfId="49" applyNumberFormat="1" applyFill="1" applyBorder="1" applyAlignment="1" applyProtection="1">
      <alignment horizontal="right" vertical="center"/>
    </xf>
    <xf numFmtId="3" fontId="3" fillId="8" borderId="34" xfId="49" applyNumberFormat="1" applyFill="1" applyBorder="1" applyAlignment="1" applyProtection="1">
      <alignment horizontal="right" vertical="center"/>
    </xf>
    <xf numFmtId="187" fontId="12" fillId="8" borderId="35" xfId="49" applyNumberFormat="1" applyFont="1" applyFill="1" applyBorder="1" applyAlignment="1" applyProtection="1">
      <alignment horizontal="center"/>
    </xf>
    <xf numFmtId="0" fontId="12" fillId="8" borderId="3" xfId="49" applyFont="1" applyFill="1" applyBorder="1" applyAlignment="1" applyProtection="1">
      <alignment horizontal="center"/>
    </xf>
    <xf numFmtId="188" fontId="0" fillId="4" borderId="4" xfId="49" applyNumberFormat="1" applyFont="1" applyFill="1" applyBorder="1" applyAlignment="1" applyProtection="1">
      <alignment horizontal="right" vertical="center"/>
    </xf>
    <xf numFmtId="191" fontId="3" fillId="4" borderId="4" xfId="49" applyNumberFormat="1" applyFill="1" applyBorder="1" applyAlignment="1" applyProtection="1">
      <alignment horizontal="right" vertical="center"/>
    </xf>
    <xf numFmtId="187" fontId="3" fillId="4" borderId="4" xfId="49" applyNumberFormat="1" applyFill="1" applyBorder="1" applyAlignment="1" applyProtection="1">
      <alignment horizontal="center" vertical="center" wrapText="1"/>
    </xf>
    <xf numFmtId="0" fontId="3" fillId="4" borderId="4" xfId="49" applyFill="1" applyBorder="1" applyAlignment="1" applyProtection="1">
      <alignment horizontal="center" vertical="center" wrapText="1"/>
    </xf>
    <xf numFmtId="185" fontId="12" fillId="7" borderId="11" xfId="49" applyNumberFormat="1" applyFont="1" applyFill="1" applyBorder="1" applyAlignment="1" applyProtection="1">
      <alignment horizontal="center"/>
    </xf>
    <xf numFmtId="188" fontId="3" fillId="8" borderId="4" xfId="49" applyNumberFormat="1" applyFill="1" applyBorder="1" applyAlignment="1" applyProtection="1">
      <alignment horizontal="right" vertical="center"/>
    </xf>
    <xf numFmtId="186" fontId="3" fillId="8" borderId="4" xfId="3" applyNumberFormat="1" applyFont="1" applyFill="1" applyBorder="1" applyAlignment="1" applyProtection="1">
      <alignment horizontal="right" vertical="center"/>
    </xf>
    <xf numFmtId="187" fontId="3" fillId="8" borderId="4" xfId="49" applyNumberFormat="1" applyFill="1" applyBorder="1" applyAlignment="1" applyProtection="1">
      <alignment horizontal="right" vertical="center"/>
    </xf>
    <xf numFmtId="7" fontId="3" fillId="8" borderId="4" xfId="49" applyNumberFormat="1" applyFill="1" applyBorder="1" applyAlignment="1" applyProtection="1">
      <alignment horizontal="right" vertical="center"/>
    </xf>
    <xf numFmtId="191" fontId="3" fillId="8" borderId="4" xfId="49" applyNumberFormat="1" applyFill="1" applyBorder="1" applyAlignment="1" applyProtection="1">
      <alignment horizontal="right" vertical="center"/>
    </xf>
    <xf numFmtId="187" fontId="3" fillId="8" borderId="4" xfId="49" applyNumberFormat="1" applyFill="1" applyBorder="1" applyAlignment="1" applyProtection="1">
      <alignment horizontal="center" vertical="center" wrapText="1"/>
    </xf>
    <xf numFmtId="0" fontId="3" fillId="8" borderId="4" xfId="49" applyFill="1" applyBorder="1" applyAlignment="1" applyProtection="1">
      <alignment horizontal="center" vertical="center" wrapText="1"/>
    </xf>
    <xf numFmtId="0" fontId="3" fillId="0" borderId="0" xfId="49" applyFill="1" applyAlignment="1" applyProtection="1">
      <alignment horizontal="center" vertical="center"/>
    </xf>
    <xf numFmtId="187" fontId="3" fillId="0" borderId="0" xfId="49" applyNumberFormat="1" applyFill="1" applyAlignment="1" applyProtection="1"/>
    <xf numFmtId="181" fontId="3" fillId="0" borderId="0" xfId="49" applyNumberFormat="1" applyFill="1" applyAlignment="1" applyProtection="1"/>
    <xf numFmtId="191" fontId="3" fillId="4" borderId="34" xfId="49" applyNumberFormat="1" applyFill="1" applyBorder="1" applyAlignment="1" applyProtection="1">
      <alignment horizontal="right" vertical="center"/>
    </xf>
    <xf numFmtId="187" fontId="3" fillId="4" borderId="34" xfId="49" applyNumberFormat="1" applyFill="1" applyBorder="1" applyAlignment="1" applyProtection="1">
      <alignment horizontal="center" vertical="center" wrapText="1"/>
    </xf>
    <xf numFmtId="0" fontId="3" fillId="4" borderId="34" xfId="49" applyFill="1" applyBorder="1" applyAlignment="1" applyProtection="1">
      <alignment horizontal="center" vertical="center" wrapText="1"/>
    </xf>
    <xf numFmtId="185" fontId="12" fillId="7" borderId="51" xfId="49" applyNumberFormat="1" applyFont="1" applyFill="1" applyBorder="1" applyAlignment="1" applyProtection="1">
      <alignment horizontal="center"/>
    </xf>
    <xf numFmtId="188" fontId="3" fillId="8" borderId="51" xfId="49" applyNumberFormat="1" applyFill="1" applyBorder="1" applyAlignment="1" applyProtection="1">
      <alignment horizontal="right" vertical="center"/>
    </xf>
    <xf numFmtId="186" fontId="3" fillId="8" borderId="51" xfId="3" applyNumberFormat="1" applyFont="1" applyFill="1" applyBorder="1" applyAlignment="1" applyProtection="1">
      <alignment horizontal="right" vertical="center"/>
    </xf>
    <xf numFmtId="187" fontId="3" fillId="8" borderId="51" xfId="49" applyNumberFormat="1" applyFill="1" applyBorder="1" applyAlignment="1" applyProtection="1">
      <alignment horizontal="right" vertical="center"/>
    </xf>
    <xf numFmtId="7" fontId="3" fillId="8" borderId="51" xfId="49" applyNumberFormat="1" applyFill="1" applyBorder="1" applyAlignment="1" applyProtection="1">
      <alignment horizontal="right" vertical="center"/>
    </xf>
    <xf numFmtId="5" fontId="3" fillId="8" borderId="51" xfId="49" applyNumberFormat="1" applyFill="1" applyBorder="1" applyAlignment="1" applyProtection="1">
      <alignment horizontal="right" vertical="center"/>
    </xf>
    <xf numFmtId="191" fontId="3" fillId="8" borderId="51" xfId="49" applyNumberFormat="1" applyFill="1" applyBorder="1" applyAlignment="1" applyProtection="1">
      <alignment horizontal="right" vertical="center"/>
    </xf>
    <xf numFmtId="187" fontId="3" fillId="8" borderId="51" xfId="49" applyNumberFormat="1" applyFill="1" applyBorder="1" applyAlignment="1" applyProtection="1">
      <alignment horizontal="center" vertical="center" wrapText="1"/>
    </xf>
    <xf numFmtId="5" fontId="3" fillId="8" borderId="51" xfId="49" applyNumberFormat="1" applyFill="1" applyBorder="1" applyAlignment="1" applyProtection="1">
      <alignment horizontal="center" vertical="center" wrapText="1"/>
    </xf>
    <xf numFmtId="185" fontId="3" fillId="7" borderId="51" xfId="49" applyNumberFormat="1" applyFill="1" applyBorder="1" applyAlignment="1" applyProtection="1">
      <alignment horizontal="center"/>
    </xf>
    <xf numFmtId="5" fontId="3" fillId="4" borderId="4" xfId="49" applyNumberFormat="1" applyFill="1" applyBorder="1" applyAlignment="1" applyProtection="1">
      <alignment horizontal="right" vertical="center"/>
    </xf>
    <xf numFmtId="5" fontId="3" fillId="4" borderId="4" xfId="49" applyNumberFormat="1" applyFill="1" applyBorder="1" applyAlignment="1" applyProtection="1">
      <alignment horizontal="center" vertical="center" wrapText="1"/>
    </xf>
    <xf numFmtId="187" fontId="3" fillId="4" borderId="0" xfId="49" applyNumberFormat="1" applyFill="1" applyAlignment="1" applyProtection="1">
      <alignment horizontal="right" vertical="center"/>
    </xf>
    <xf numFmtId="185" fontId="3" fillId="7" borderId="52" xfId="49" applyNumberFormat="1" applyFill="1" applyBorder="1" applyAlignment="1" applyProtection="1">
      <alignment horizontal="center"/>
    </xf>
    <xf numFmtId="5" fontId="3" fillId="4" borderId="34" xfId="49" applyNumberFormat="1" applyFill="1" applyBorder="1" applyAlignment="1" applyProtection="1">
      <alignment horizontal="right" vertical="center"/>
    </xf>
    <xf numFmtId="5" fontId="3" fillId="4" borderId="34" xfId="49" applyNumberFormat="1" applyFill="1" applyBorder="1" applyAlignment="1" applyProtection="1">
      <alignment horizontal="center" vertical="center" wrapText="1"/>
    </xf>
    <xf numFmtId="185" fontId="3" fillId="7" borderId="4" xfId="49" applyNumberFormat="1" applyFill="1" applyBorder="1" applyAlignment="1" applyProtection="1">
      <alignment horizontal="center"/>
    </xf>
    <xf numFmtId="0" fontId="3" fillId="4" borderId="4" xfId="49" applyFill="1" applyBorder="1" applyAlignment="1" applyProtection="1">
      <alignment horizontal="right" vertical="center"/>
    </xf>
    <xf numFmtId="187" fontId="3" fillId="4" borderId="4" xfId="49" applyNumberFormat="1" applyFill="1" applyBorder="1" applyAlignment="1" applyProtection="1">
      <alignment horizontal="center"/>
    </xf>
    <xf numFmtId="5" fontId="3" fillId="4" borderId="4" xfId="49" applyNumberFormat="1" applyFill="1" applyBorder="1" applyAlignment="1" applyProtection="1">
      <alignment horizontal="center"/>
    </xf>
    <xf numFmtId="0" fontId="3" fillId="4" borderId="4" xfId="49" applyFill="1" applyBorder="1" applyAlignment="1" applyProtection="1">
      <alignment horizontal="center"/>
    </xf>
    <xf numFmtId="7" fontId="3" fillId="4" borderId="4" xfId="0" applyNumberFormat="1" applyFont="1" applyFill="1" applyBorder="1" applyAlignment="1">
      <alignment horizontal="right" vertical="center" wrapText="1"/>
    </xf>
    <xf numFmtId="187" fontId="3" fillId="4" borderId="4" xfId="0" applyNumberFormat="1" applyFont="1" applyFill="1" applyBorder="1" applyAlignment="1">
      <alignment horizontal="right" vertical="center" wrapText="1"/>
    </xf>
    <xf numFmtId="7" fontId="3" fillId="4" borderId="53" xfId="49" applyNumberFormat="1" applyFont="1" applyFill="1" applyBorder="1" applyAlignment="1" applyProtection="1">
      <alignment horizontal="right" vertical="center"/>
    </xf>
    <xf numFmtId="0" fontId="3" fillId="4" borderId="53" xfId="49" applyNumberFormat="1" applyFont="1" applyFill="1" applyBorder="1" applyAlignment="1" applyProtection="1">
      <alignment horizontal="right" vertical="center"/>
    </xf>
    <xf numFmtId="0" fontId="3" fillId="4" borderId="0" xfId="49" applyFill="1" applyAlignment="1" applyProtection="1">
      <alignment horizontal="center" vertical="center"/>
    </xf>
    <xf numFmtId="187" fontId="3" fillId="4" borderId="0" xfId="49" applyNumberFormat="1" applyFill="1" applyAlignment="1" applyProtection="1"/>
    <xf numFmtId="181" fontId="3" fillId="4" borderId="0" xfId="49" applyNumberFormat="1" applyFill="1" applyAlignment="1" applyProtection="1"/>
    <xf numFmtId="7" fontId="3" fillId="4" borderId="34" xfId="0" applyNumberFormat="1" applyFont="1" applyFill="1" applyBorder="1" applyAlignment="1">
      <alignment horizontal="right" vertical="center" wrapText="1"/>
    </xf>
    <xf numFmtId="187" fontId="3" fillId="4" borderId="34" xfId="0" applyNumberFormat="1" applyFont="1" applyFill="1" applyBorder="1" applyAlignment="1">
      <alignment horizontal="right" vertical="center" wrapText="1"/>
    </xf>
    <xf numFmtId="7" fontId="3" fillId="4" borderId="54" xfId="49" applyNumberFormat="1" applyFont="1" applyFill="1" applyBorder="1" applyAlignment="1" applyProtection="1">
      <alignment horizontal="right" vertical="center"/>
    </xf>
    <xf numFmtId="0" fontId="3" fillId="4" borderId="54" xfId="49" applyNumberFormat="1" applyFont="1" applyFill="1" applyBorder="1" applyAlignment="1" applyProtection="1">
      <alignment horizontal="right" vertical="center"/>
    </xf>
    <xf numFmtId="187" fontId="3" fillId="4" borderId="34" xfId="49" applyNumberFormat="1" applyFill="1" applyBorder="1" applyAlignment="1" applyProtection="1">
      <alignment horizontal="center"/>
    </xf>
    <xf numFmtId="0" fontId="3" fillId="4" borderId="34" xfId="49" applyFill="1" applyBorder="1" applyAlignment="1" applyProtection="1">
      <alignment horizontal="center"/>
    </xf>
    <xf numFmtId="7" fontId="3" fillId="4" borderId="53" xfId="0" applyNumberFormat="1" applyFont="1" applyFill="1" applyBorder="1" applyAlignment="1">
      <alignment horizontal="right" vertical="center" wrapText="1"/>
    </xf>
    <xf numFmtId="3" fontId="3" fillId="4" borderId="53" xfId="0" applyNumberFormat="1" applyFont="1" applyFill="1" applyBorder="1" applyAlignment="1">
      <alignment horizontal="right" vertical="center" wrapText="1"/>
    </xf>
    <xf numFmtId="3" fontId="3" fillId="4" borderId="4" xfId="0" applyNumberFormat="1" applyFont="1" applyFill="1" applyBorder="1" applyAlignment="1">
      <alignment horizontal="right" vertical="center" wrapText="1"/>
    </xf>
    <xf numFmtId="187" fontId="3" fillId="4" borderId="4" xfId="49" applyNumberFormat="1" applyFont="1" applyFill="1" applyBorder="1" applyAlignment="1" applyProtection="1">
      <alignment horizontal="right" vertical="center"/>
    </xf>
    <xf numFmtId="5" fontId="3" fillId="4" borderId="4" xfId="49" applyNumberFormat="1" applyFont="1" applyFill="1" applyBorder="1" applyAlignment="1" applyProtection="1">
      <alignment horizontal="right" vertical="center"/>
    </xf>
    <xf numFmtId="187" fontId="3" fillId="4" borderId="53" xfId="0" applyNumberFormat="1" applyFont="1" applyFill="1" applyBorder="1" applyAlignment="1">
      <alignment horizontal="right" vertical="center" wrapText="1"/>
    </xf>
    <xf numFmtId="7" fontId="3" fillId="4" borderId="54" xfId="0" applyNumberFormat="1" applyFont="1" applyFill="1" applyBorder="1" applyAlignment="1">
      <alignment horizontal="right" vertical="center" wrapText="1"/>
    </xf>
    <xf numFmtId="3" fontId="3" fillId="4" borderId="54" xfId="0" applyNumberFormat="1" applyFont="1" applyFill="1" applyBorder="1" applyAlignment="1">
      <alignment horizontal="right" vertical="center" wrapText="1"/>
    </xf>
    <xf numFmtId="186" fontId="3" fillId="4" borderId="55" xfId="3" applyNumberFormat="1" applyFont="1" applyFill="1" applyBorder="1" applyAlignment="1" applyProtection="1">
      <alignment horizontal="right" vertical="center"/>
    </xf>
    <xf numFmtId="7" fontId="3" fillId="4" borderId="56" xfId="0" applyNumberFormat="1" applyFont="1" applyFill="1" applyBorder="1" applyAlignment="1">
      <alignment horizontal="right" vertical="center" wrapText="1"/>
    </xf>
    <xf numFmtId="187" fontId="3" fillId="4" borderId="57" xfId="0" applyNumberFormat="1" applyFont="1" applyFill="1" applyBorder="1" applyAlignment="1">
      <alignment horizontal="right" vertical="center" wrapText="1"/>
    </xf>
    <xf numFmtId="3" fontId="3" fillId="4" borderId="34" xfId="0" applyNumberFormat="1" applyFont="1" applyFill="1" applyBorder="1" applyAlignment="1">
      <alignment horizontal="right" vertical="center" wrapText="1"/>
    </xf>
    <xf numFmtId="3" fontId="3" fillId="4" borderId="35" xfId="0" applyNumberFormat="1" applyFont="1" applyFill="1" applyBorder="1" applyAlignment="1">
      <alignment horizontal="right" vertical="center" wrapText="1"/>
    </xf>
    <xf numFmtId="44" fontId="3" fillId="4" borderId="4" xfId="0" applyNumberFormat="1" applyFont="1" applyFill="1" applyBorder="1" applyAlignment="1">
      <alignment horizontal="right" vertical="center" wrapText="1"/>
    </xf>
    <xf numFmtId="186" fontId="3" fillId="4" borderId="18" xfId="3" applyNumberFormat="1" applyFont="1" applyFill="1" applyBorder="1" applyAlignment="1" applyProtection="1">
      <alignment horizontal="right" vertical="center"/>
    </xf>
    <xf numFmtId="7" fontId="3" fillId="4" borderId="58" xfId="0" applyNumberFormat="1" applyFont="1" applyFill="1" applyBorder="1" applyAlignment="1">
      <alignment horizontal="right" vertical="center" wrapText="1"/>
    </xf>
    <xf numFmtId="3" fontId="3" fillId="4" borderId="57" xfId="0" applyNumberFormat="1" applyFont="1" applyFill="1" applyBorder="1" applyAlignment="1">
      <alignment horizontal="right" vertical="center" wrapText="1"/>
    </xf>
    <xf numFmtId="187" fontId="3" fillId="4" borderId="14" xfId="49" applyNumberFormat="1" applyFill="1" applyBorder="1" applyAlignment="1" applyProtection="1">
      <alignment horizontal="center"/>
    </xf>
    <xf numFmtId="7" fontId="3" fillId="4" borderId="25" xfId="0" applyNumberFormat="1" applyFont="1" applyFill="1" applyBorder="1" applyAlignment="1">
      <alignment horizontal="right" vertical="center" wrapText="1"/>
    </xf>
    <xf numFmtId="187" fontId="3" fillId="4" borderId="54" xfId="0" applyNumberFormat="1" applyFont="1" applyFill="1" applyBorder="1" applyAlignment="1">
      <alignment horizontal="right" vertical="center" wrapText="1"/>
    </xf>
    <xf numFmtId="188" fontId="3" fillId="4" borderId="35" xfId="49" applyNumberFormat="1" applyFill="1" applyBorder="1" applyAlignment="1" applyProtection="1">
      <alignment horizontal="right" vertical="center"/>
    </xf>
    <xf numFmtId="186" fontId="3" fillId="4" borderId="35" xfId="3" applyNumberFormat="1" applyFont="1" applyFill="1" applyBorder="1" applyAlignment="1" applyProtection="1">
      <alignment horizontal="right" vertical="center"/>
    </xf>
    <xf numFmtId="7" fontId="3" fillId="4" borderId="53" xfId="49" applyNumberFormat="1" applyFill="1" applyBorder="1" applyAlignment="1" applyProtection="1">
      <alignment horizontal="right" vertical="center"/>
    </xf>
    <xf numFmtId="187" fontId="3" fillId="4" borderId="33" xfId="49" applyNumberFormat="1" applyFill="1" applyBorder="1" applyAlignment="1" applyProtection="1">
      <alignment horizontal="right" vertical="center"/>
    </xf>
    <xf numFmtId="188" fontId="3" fillId="4" borderId="33" xfId="49" applyNumberFormat="1" applyFill="1" applyBorder="1" applyAlignment="1" applyProtection="1">
      <alignment horizontal="right" vertical="center"/>
    </xf>
    <xf numFmtId="44" fontId="3" fillId="4" borderId="4" xfId="49" applyNumberFormat="1" applyFill="1" applyBorder="1" applyAlignment="1" applyProtection="1">
      <alignment horizontal="right" vertical="center"/>
    </xf>
    <xf numFmtId="7" fontId="3" fillId="4" borderId="25" xfId="49" applyNumberFormat="1" applyFill="1" applyBorder="1" applyAlignment="1" applyProtection="1">
      <alignment horizontal="right" vertical="center"/>
    </xf>
    <xf numFmtId="188" fontId="3" fillId="4" borderId="24" xfId="49" applyNumberFormat="1" applyFill="1" applyBorder="1" applyAlignment="1" applyProtection="1">
      <alignment horizontal="right" vertical="center"/>
    </xf>
    <xf numFmtId="186" fontId="3" fillId="4" borderId="24" xfId="3" applyNumberFormat="1" applyFont="1" applyFill="1" applyBorder="1" applyAlignment="1" applyProtection="1">
      <alignment horizontal="right" vertical="center"/>
    </xf>
    <xf numFmtId="187" fontId="3" fillId="4" borderId="25" xfId="49" applyNumberFormat="1" applyFill="1" applyBorder="1" applyAlignment="1" applyProtection="1">
      <alignment horizontal="right" vertical="center"/>
    </xf>
    <xf numFmtId="188" fontId="3" fillId="4" borderId="25" xfId="49" applyNumberFormat="1" applyFill="1" applyBorder="1" applyAlignment="1" applyProtection="1">
      <alignment horizontal="right" vertical="center"/>
    </xf>
    <xf numFmtId="7" fontId="3" fillId="4" borderId="33" xfId="49" applyNumberFormat="1" applyFill="1" applyBorder="1" applyAlignment="1" applyProtection="1">
      <alignment horizontal="right" vertical="center"/>
    </xf>
    <xf numFmtId="186" fontId="3" fillId="4" borderId="0" xfId="3" applyNumberFormat="1" applyFont="1" applyFill="1" applyBorder="1" applyAlignment="1" applyProtection="1">
      <alignment horizontal="right" vertical="center"/>
    </xf>
    <xf numFmtId="7" fontId="3" fillId="4" borderId="0" xfId="49" applyNumberFormat="1" applyFill="1" applyAlignment="1" applyProtection="1">
      <alignment horizontal="right" vertical="center"/>
    </xf>
    <xf numFmtId="3" fontId="3" fillId="4" borderId="5" xfId="0" applyNumberFormat="1" applyFont="1" applyFill="1" applyBorder="1" applyAlignment="1">
      <alignment horizontal="right" vertical="center" wrapText="1"/>
    </xf>
    <xf numFmtId="187" fontId="3" fillId="4" borderId="5" xfId="49" applyNumberFormat="1" applyFill="1" applyBorder="1" applyAlignment="1" applyProtection="1">
      <alignment horizontal="right" vertical="center"/>
    </xf>
    <xf numFmtId="187" fontId="3" fillId="4" borderId="5" xfId="49" applyNumberFormat="1" applyFill="1" applyBorder="1" applyAlignment="1" applyProtection="1">
      <alignment horizontal="center"/>
    </xf>
    <xf numFmtId="7" fontId="3" fillId="4" borderId="18" xfId="49" applyNumberFormat="1" applyFill="1" applyBorder="1" applyAlignment="1" applyProtection="1">
      <alignment horizontal="right" vertical="center"/>
    </xf>
    <xf numFmtId="187" fontId="3" fillId="4" borderId="14" xfId="0" applyNumberFormat="1" applyFont="1" applyFill="1" applyBorder="1" applyAlignment="1">
      <alignment horizontal="right" vertical="center" wrapText="1"/>
    </xf>
    <xf numFmtId="7" fontId="3" fillId="4" borderId="25" xfId="2" applyNumberFormat="1" applyFont="1" applyFill="1" applyBorder="1" applyAlignment="1" applyProtection="1">
      <alignment horizontal="right" vertical="center"/>
    </xf>
    <xf numFmtId="191" fontId="3" fillId="4" borderId="4" xfId="0" applyNumberFormat="1" applyFont="1" applyFill="1" applyBorder="1" applyAlignment="1">
      <alignment horizontal="right" vertical="center" wrapText="1"/>
    </xf>
    <xf numFmtId="7" fontId="3" fillId="4" borderId="13" xfId="49" applyNumberFormat="1" applyFill="1" applyBorder="1" applyAlignment="1" applyProtection="1">
      <alignment horizontal="right" vertical="center"/>
    </xf>
    <xf numFmtId="3" fontId="3" fillId="4" borderId="14" xfId="0" applyNumberFormat="1" applyFont="1" applyFill="1" applyBorder="1" applyAlignment="1">
      <alignment horizontal="right" vertical="center" wrapText="1"/>
    </xf>
    <xf numFmtId="191" fontId="3" fillId="4" borderId="14" xfId="0" applyNumberFormat="1" applyFont="1" applyFill="1" applyBorder="1" applyAlignment="1">
      <alignment horizontal="right" vertical="center" wrapText="1"/>
    </xf>
    <xf numFmtId="7" fontId="3" fillId="4" borderId="18" xfId="0" applyNumberFormat="1" applyFont="1" applyFill="1" applyBorder="1" applyAlignment="1">
      <alignment horizontal="right" vertical="center" wrapText="1"/>
    </xf>
    <xf numFmtId="7" fontId="3" fillId="4" borderId="21" xfId="49" applyNumberFormat="1" applyFill="1" applyBorder="1" applyAlignment="1" applyProtection="1">
      <alignment horizontal="right" vertical="center"/>
    </xf>
    <xf numFmtId="7" fontId="3" fillId="4" borderId="59" xfId="0" applyNumberFormat="1" applyFont="1" applyFill="1" applyBorder="1" applyAlignment="1">
      <alignment horizontal="right" vertical="center" wrapText="1"/>
    </xf>
    <xf numFmtId="7" fontId="3" fillId="4" borderId="32" xfId="49" applyNumberFormat="1" applyFill="1" applyBorder="1" applyAlignment="1" applyProtection="1">
      <alignment horizontal="right" vertical="center"/>
    </xf>
    <xf numFmtId="7" fontId="3" fillId="4" borderId="60" xfId="0" applyNumberFormat="1" applyFont="1" applyFill="1" applyBorder="1" applyAlignment="1">
      <alignment horizontal="right" vertical="center" wrapText="1"/>
    </xf>
    <xf numFmtId="7" fontId="3" fillId="4" borderId="33" xfId="0" applyNumberFormat="1" applyFont="1" applyFill="1" applyBorder="1" applyAlignment="1">
      <alignment horizontal="right" vertical="center" wrapText="1"/>
    </xf>
    <xf numFmtId="187" fontId="3" fillId="4" borderId="18" xfId="49" applyNumberFormat="1" applyFill="1" applyBorder="1" applyAlignment="1" applyProtection="1">
      <alignment horizontal="center"/>
    </xf>
    <xf numFmtId="0" fontId="3" fillId="4" borderId="18" xfId="49" applyFill="1" applyBorder="1" applyAlignment="1" applyProtection="1">
      <alignment horizontal="center"/>
    </xf>
    <xf numFmtId="187" fontId="3" fillId="4" borderId="61" xfId="0" applyNumberFormat="1" applyFont="1" applyFill="1" applyBorder="1" applyAlignment="1">
      <alignment horizontal="right" vertical="center" wrapText="1"/>
    </xf>
    <xf numFmtId="7" fontId="3" fillId="4" borderId="57" xfId="0" applyNumberFormat="1" applyFont="1" applyFill="1" applyBorder="1" applyAlignment="1">
      <alignment horizontal="right" vertical="center" wrapText="1"/>
    </xf>
    <xf numFmtId="0" fontId="3" fillId="4" borderId="25" xfId="49" applyFill="1" applyBorder="1" applyAlignment="1" applyProtection="1">
      <alignment horizontal="center"/>
    </xf>
    <xf numFmtId="7" fontId="0" fillId="4" borderId="0" xfId="49" applyNumberFormat="1" applyFont="1" applyFill="1" applyAlignment="1" applyProtection="1">
      <alignment horizontal="right" vertical="center"/>
    </xf>
    <xf numFmtId="3" fontId="0" fillId="4" borderId="61" xfId="0" applyNumberFormat="1" applyFont="1" applyFill="1" applyBorder="1" applyAlignment="1">
      <alignment horizontal="right" vertical="center" wrapText="1"/>
    </xf>
    <xf numFmtId="3" fontId="3" fillId="4" borderId="61" xfId="0" applyNumberFormat="1" applyFont="1" applyFill="1" applyBorder="1" applyAlignment="1">
      <alignment horizontal="right" vertical="center" wrapText="1"/>
    </xf>
    <xf numFmtId="187" fontId="3" fillId="4" borderId="55" xfId="49" applyNumberFormat="1" applyFill="1" applyBorder="1" applyAlignment="1" applyProtection="1">
      <alignment horizontal="center"/>
    </xf>
    <xf numFmtId="7" fontId="3" fillId="4" borderId="55" xfId="0" applyNumberFormat="1" applyFont="1" applyFill="1" applyBorder="1" applyAlignment="1">
      <alignment horizontal="right" vertical="center" wrapText="1"/>
    </xf>
    <xf numFmtId="187" fontId="3" fillId="4" borderId="5" xfId="0" applyNumberFormat="1" applyFont="1" applyFill="1" applyBorder="1" applyAlignment="1">
      <alignment horizontal="right" vertical="center" wrapText="1"/>
    </xf>
    <xf numFmtId="187" fontId="3" fillId="4" borderId="62" xfId="0" applyNumberFormat="1" applyFont="1" applyFill="1" applyBorder="1" applyAlignment="1">
      <alignment horizontal="right" vertical="center" wrapText="1"/>
    </xf>
    <xf numFmtId="187" fontId="3" fillId="4" borderId="62" xfId="49" applyNumberFormat="1" applyFill="1" applyBorder="1" applyAlignment="1" applyProtection="1">
      <alignment horizontal="right" vertical="center"/>
    </xf>
    <xf numFmtId="187" fontId="3" fillId="4" borderId="53" xfId="49" applyNumberFormat="1" applyFill="1" applyBorder="1" applyAlignment="1" applyProtection="1">
      <alignment horizontal="right" vertical="center"/>
    </xf>
    <xf numFmtId="5" fontId="3" fillId="4" borderId="53" xfId="49" applyNumberFormat="1" applyFill="1" applyBorder="1" applyAlignment="1" applyProtection="1">
      <alignment horizontal="right" vertical="center"/>
    </xf>
    <xf numFmtId="186" fontId="3" fillId="4" borderId="53" xfId="3" applyNumberFormat="1" applyFont="1" applyFill="1" applyBorder="1" applyAlignment="1" applyProtection="1">
      <alignment horizontal="right" vertical="center"/>
    </xf>
    <xf numFmtId="187" fontId="3" fillId="4" borderId="25" xfId="49" applyNumberFormat="1" applyFill="1" applyBorder="1" applyAlignment="1" applyProtection="1">
      <alignment horizontal="center"/>
    </xf>
    <xf numFmtId="7" fontId="3" fillId="4" borderId="14" xfId="49" applyNumberFormat="1" applyFill="1" applyBorder="1" applyAlignment="1" applyProtection="1">
      <alignment horizontal="right" vertical="center"/>
    </xf>
    <xf numFmtId="5" fontId="3" fillId="4" borderId="14" xfId="49" applyNumberFormat="1" applyFill="1" applyBorder="1" applyAlignment="1" applyProtection="1">
      <alignment horizontal="right" vertical="center"/>
    </xf>
    <xf numFmtId="0" fontId="3" fillId="4" borderId="14" xfId="49" applyFill="1" applyBorder="1" applyAlignment="1" applyProtection="1">
      <alignment horizontal="right" vertical="center"/>
    </xf>
    <xf numFmtId="188" fontId="3" fillId="4" borderId="4" xfId="49" applyNumberFormat="1" applyFont="1" applyFill="1" applyBorder="1" applyAlignment="1" applyProtection="1">
      <alignment horizontal="right" vertical="center"/>
    </xf>
    <xf numFmtId="7" fontId="3" fillId="4" borderId="4" xfId="0" applyNumberFormat="1" applyFont="1" applyFill="1" applyBorder="1" applyAlignment="1">
      <alignment horizontal="right"/>
    </xf>
    <xf numFmtId="187" fontId="3" fillId="4" borderId="4" xfId="0" applyNumberFormat="1" applyFont="1" applyFill="1" applyBorder="1" applyAlignment="1">
      <alignment horizontal="right"/>
    </xf>
    <xf numFmtId="187" fontId="3" fillId="4" borderId="34" xfId="49" applyNumberFormat="1" applyFont="1" applyFill="1" applyBorder="1" applyAlignment="1" applyProtection="1">
      <alignment horizontal="right" vertical="center"/>
    </xf>
    <xf numFmtId="188" fontId="3" fillId="4" borderId="34" xfId="49" applyNumberFormat="1" applyFont="1" applyFill="1" applyBorder="1" applyAlignment="1" applyProtection="1">
      <alignment horizontal="right" vertical="center"/>
    </xf>
    <xf numFmtId="192" fontId="3" fillId="4" borderId="4" xfId="0" applyNumberFormat="1" applyFont="1" applyFill="1" applyBorder="1" applyAlignment="1">
      <alignment horizontal="right" vertical="center"/>
    </xf>
    <xf numFmtId="38" fontId="3" fillId="4" borderId="4" xfId="0" applyNumberFormat="1" applyFont="1" applyFill="1" applyBorder="1" applyAlignment="1">
      <alignment horizontal="right" vertical="center"/>
    </xf>
    <xf numFmtId="3" fontId="3" fillId="4" borderId="4" xfId="0" applyNumberFormat="1" applyFont="1" applyFill="1" applyBorder="1" applyAlignment="1">
      <alignment horizontal="right" vertical="center"/>
    </xf>
    <xf numFmtId="0" fontId="3" fillId="4" borderId="4" xfId="0" applyNumberFormat="1" applyFont="1" applyFill="1" applyBorder="1" applyAlignment="1">
      <alignment horizontal="right"/>
    </xf>
    <xf numFmtId="187" fontId="3" fillId="4" borderId="4" xfId="49" applyNumberFormat="1" applyFont="1" applyFill="1" applyBorder="1" applyAlignment="1" applyProtection="1">
      <alignment horizontal="center"/>
    </xf>
    <xf numFmtId="0" fontId="3" fillId="4" borderId="4" xfId="49" applyFont="1" applyFill="1" applyBorder="1" applyAlignment="1" applyProtection="1">
      <alignment horizontal="center"/>
    </xf>
    <xf numFmtId="7" fontId="3" fillId="4" borderId="4" xfId="0" applyNumberFormat="1" applyFont="1" applyFill="1" applyBorder="1" applyAlignment="1">
      <alignment horizontal="right" vertical="center"/>
    </xf>
    <xf numFmtId="187" fontId="3" fillId="4" borderId="4" xfId="0" applyNumberFormat="1" applyFont="1" applyFill="1" applyBorder="1" applyAlignment="1">
      <alignment horizontal="right" vertical="center"/>
    </xf>
    <xf numFmtId="0" fontId="3" fillId="4" borderId="4" xfId="0" applyNumberFormat="1" applyFont="1" applyFill="1" applyBorder="1" applyAlignment="1">
      <alignment horizontal="right" vertical="center"/>
    </xf>
    <xf numFmtId="7" fontId="3" fillId="4" borderId="0" xfId="0" applyNumberFormat="1" applyFont="1" applyFill="1" applyAlignment="1">
      <alignment horizontal="right"/>
    </xf>
    <xf numFmtId="3" fontId="3" fillId="4" borderId="4" xfId="0" applyNumberFormat="1" applyFont="1" applyFill="1" applyBorder="1" applyAlignment="1">
      <alignment horizontal="right"/>
    </xf>
    <xf numFmtId="7" fontId="3" fillId="4" borderId="18" xfId="0" applyNumberFormat="1" applyFont="1" applyFill="1" applyBorder="1" applyAlignment="1">
      <alignment horizontal="right"/>
    </xf>
    <xf numFmtId="7" fontId="3" fillId="4" borderId="34" xfId="0" applyNumberFormat="1" applyFont="1" applyFill="1" applyBorder="1" applyAlignment="1">
      <alignment horizontal="right"/>
    </xf>
    <xf numFmtId="187" fontId="3" fillId="4" borderId="34" xfId="0" applyNumberFormat="1" applyFont="1" applyFill="1" applyBorder="1" applyAlignment="1">
      <alignment horizontal="right"/>
    </xf>
    <xf numFmtId="0" fontId="3" fillId="4" borderId="34" xfId="0" applyNumberFormat="1" applyFont="1" applyFill="1" applyBorder="1" applyAlignment="1">
      <alignment horizontal="right"/>
    </xf>
    <xf numFmtId="3" fontId="3" fillId="4" borderId="34" xfId="0" applyNumberFormat="1" applyFont="1" applyFill="1" applyBorder="1" applyAlignment="1">
      <alignment horizontal="right"/>
    </xf>
    <xf numFmtId="187" fontId="3" fillId="4" borderId="34" xfId="49" applyNumberFormat="1" applyFont="1" applyFill="1" applyBorder="1" applyAlignment="1" applyProtection="1">
      <alignment horizontal="center"/>
    </xf>
    <xf numFmtId="0" fontId="3" fillId="4" borderId="4" xfId="49" applyFont="1" applyFill="1" applyBorder="1" applyAlignment="1" applyProtection="1">
      <alignment horizontal="right" vertical="center"/>
    </xf>
    <xf numFmtId="187" fontId="3" fillId="4" borderId="5" xfId="49" applyNumberFormat="1" applyFont="1" applyFill="1" applyBorder="1" applyAlignment="1" applyProtection="1">
      <alignment horizontal="center"/>
    </xf>
    <xf numFmtId="0" fontId="3" fillId="4" borderId="5" xfId="49" applyFont="1" applyFill="1" applyBorder="1" applyAlignment="1" applyProtection="1">
      <alignment horizontal="center"/>
    </xf>
    <xf numFmtId="0" fontId="3" fillId="4" borderId="4" xfId="0" applyFont="1" applyFill="1" applyBorder="1" applyAlignment="1">
      <alignment horizontal="right" vertical="center"/>
    </xf>
    <xf numFmtId="7" fontId="3" fillId="4" borderId="18" xfId="49" applyNumberFormat="1" applyFont="1" applyFill="1" applyBorder="1" applyAlignment="1" applyProtection="1">
      <alignment horizontal="right" vertical="center"/>
    </xf>
    <xf numFmtId="187" fontId="3" fillId="4" borderId="14" xfId="49" applyNumberFormat="1" applyFont="1" applyFill="1" applyBorder="1" applyAlignment="1" applyProtection="1">
      <alignment horizontal="right" vertical="center"/>
    </xf>
    <xf numFmtId="3" fontId="3" fillId="4" borderId="24" xfId="0" applyNumberFormat="1" applyFont="1" applyFill="1" applyBorder="1" applyAlignment="1">
      <alignment horizontal="right" vertical="center" wrapText="1"/>
    </xf>
    <xf numFmtId="187" fontId="3" fillId="4" borderId="24" xfId="49" applyNumberFormat="1" applyFont="1" applyFill="1" applyBorder="1" applyAlignment="1" applyProtection="1">
      <alignment horizontal="center"/>
    </xf>
    <xf numFmtId="7" fontId="3" fillId="4" borderId="25" xfId="49" applyNumberFormat="1" applyFont="1" applyFill="1" applyBorder="1" applyAlignment="1" applyProtection="1">
      <alignment horizontal="right" vertical="center"/>
    </xf>
    <xf numFmtId="187" fontId="3" fillId="4" borderId="14" xfId="49" applyNumberFormat="1" applyFont="1" applyFill="1" applyBorder="1" applyAlignment="1" applyProtection="1">
      <alignment horizontal="center"/>
    </xf>
    <xf numFmtId="0" fontId="3" fillId="4" borderId="14" xfId="49" applyFont="1" applyFill="1" applyBorder="1" applyAlignment="1" applyProtection="1">
      <alignment horizontal="center"/>
    </xf>
    <xf numFmtId="7" fontId="3" fillId="4" borderId="34" xfId="49" applyNumberFormat="1" applyFont="1" applyFill="1" applyBorder="1" applyAlignment="1" applyProtection="1">
      <alignment horizontal="right" vertical="center"/>
    </xf>
    <xf numFmtId="7" fontId="3" fillId="4" borderId="0" xfId="49" applyNumberFormat="1" applyFont="1" applyFill="1" applyAlignment="1" applyProtection="1">
      <alignment horizontal="right" vertical="center"/>
    </xf>
    <xf numFmtId="3" fontId="3" fillId="4" borderId="34" xfId="0" applyNumberFormat="1" applyFont="1" applyFill="1" applyBorder="1" applyAlignment="1">
      <alignment horizontal="right" vertical="center"/>
    </xf>
    <xf numFmtId="0" fontId="3" fillId="4" borderId="34" xfId="0" applyNumberFormat="1" applyFont="1" applyFill="1" applyBorder="1" applyAlignment="1">
      <alignment horizontal="right" vertical="center"/>
    </xf>
    <xf numFmtId="193" fontId="3" fillId="4" borderId="34" xfId="0" applyNumberFormat="1" applyFont="1" applyFill="1" applyBorder="1" applyAlignment="1">
      <alignment horizontal="right" vertical="center" wrapText="1"/>
    </xf>
    <xf numFmtId="5" fontId="3" fillId="4" borderId="34" xfId="49" applyNumberFormat="1" applyFont="1" applyFill="1" applyBorder="1" applyAlignment="1" applyProtection="1">
      <alignment horizontal="right" vertical="center"/>
    </xf>
    <xf numFmtId="187" fontId="3" fillId="4" borderId="62" xfId="49" applyNumberFormat="1" applyFont="1" applyFill="1" applyBorder="1" applyAlignment="1" applyProtection="1">
      <alignment horizontal="right" vertical="center"/>
    </xf>
    <xf numFmtId="3" fontId="3" fillId="4" borderId="62" xfId="0" applyNumberFormat="1" applyFont="1" applyFill="1" applyBorder="1" applyAlignment="1">
      <alignment horizontal="right" vertical="center" wrapText="1"/>
    </xf>
    <xf numFmtId="187" fontId="3" fillId="4" borderId="24" xfId="49" applyNumberFormat="1" applyFont="1" applyFill="1" applyBorder="1" applyAlignment="1" applyProtection="1">
      <alignment horizontal="right" vertical="center"/>
    </xf>
    <xf numFmtId="188" fontId="3" fillId="4" borderId="24" xfId="49" applyNumberFormat="1" applyFont="1" applyFill="1" applyBorder="1" applyAlignment="1" applyProtection="1">
      <alignment horizontal="right" vertical="center"/>
    </xf>
    <xf numFmtId="187" fontId="3" fillId="4" borderId="25" xfId="49" applyNumberFormat="1" applyFont="1" applyFill="1" applyBorder="1" applyAlignment="1" applyProtection="1">
      <alignment horizontal="right" vertical="center"/>
    </xf>
    <xf numFmtId="188" fontId="3" fillId="4" borderId="25" xfId="49" applyNumberFormat="1" applyFont="1" applyFill="1" applyBorder="1" applyAlignment="1" applyProtection="1">
      <alignment horizontal="right" vertical="center"/>
    </xf>
    <xf numFmtId="187" fontId="3" fillId="4" borderId="18" xfId="49" applyNumberFormat="1" applyFont="1" applyFill="1" applyBorder="1" applyAlignment="1" applyProtection="1">
      <alignment horizontal="center"/>
    </xf>
    <xf numFmtId="0" fontId="3" fillId="4" borderId="25" xfId="49" applyFont="1" applyFill="1" applyBorder="1" applyAlignment="1" applyProtection="1">
      <alignment horizontal="center"/>
    </xf>
    <xf numFmtId="187" fontId="3" fillId="4" borderId="25" xfId="49" applyNumberFormat="1" applyFont="1" applyFill="1" applyBorder="1" applyAlignment="1" applyProtection="1">
      <alignment horizontal="center"/>
    </xf>
    <xf numFmtId="187" fontId="3" fillId="4" borderId="33" xfId="49" applyNumberFormat="1" applyFont="1" applyFill="1" applyBorder="1" applyAlignment="1" applyProtection="1">
      <alignment horizontal="right" vertical="center"/>
    </xf>
    <xf numFmtId="187" fontId="3" fillId="4" borderId="35" xfId="49" applyNumberFormat="1" applyFont="1" applyFill="1" applyBorder="1" applyAlignment="1" applyProtection="1">
      <alignment horizontal="right" vertical="center"/>
    </xf>
    <xf numFmtId="0" fontId="3" fillId="4" borderId="34" xfId="49" applyFont="1" applyFill="1" applyBorder="1" applyAlignment="1" applyProtection="1">
      <alignment horizontal="center"/>
    </xf>
    <xf numFmtId="7" fontId="3" fillId="4" borderId="4" xfId="2" applyNumberFormat="1" applyFont="1" applyFill="1" applyBorder="1" applyAlignment="1" applyProtection="1">
      <alignment horizontal="right" vertical="center"/>
    </xf>
    <xf numFmtId="189" fontId="3" fillId="4" borderId="4" xfId="0" applyNumberFormat="1" applyFont="1" applyFill="1" applyBorder="1" applyAlignment="1">
      <alignment horizontal="right"/>
    </xf>
    <xf numFmtId="184" fontId="3" fillId="4" borderId="4" xfId="0" applyNumberFormat="1" applyFont="1" applyFill="1" applyBorder="1" applyAlignment="1">
      <alignment horizontal="right"/>
    </xf>
    <xf numFmtId="7" fontId="0" fillId="4" borderId="4" xfId="0" applyNumberFormat="1" applyFont="1" applyFill="1" applyBorder="1" applyAlignment="1">
      <alignment horizontal="right"/>
    </xf>
    <xf numFmtId="184" fontId="3" fillId="4" borderId="4" xfId="0" applyNumberFormat="1" applyFont="1" applyFill="1" applyBorder="1" applyAlignment="1">
      <alignment horizontal="right" vertical="center"/>
    </xf>
    <xf numFmtId="7" fontId="0" fillId="4" borderId="4" xfId="0" applyNumberFormat="1" applyFont="1" applyFill="1" applyBorder="1" applyAlignment="1">
      <alignment horizontal="right" vertical="center"/>
    </xf>
    <xf numFmtId="176" fontId="3" fillId="4" borderId="4" xfId="2" applyNumberFormat="1" applyFont="1" applyFill="1" applyBorder="1" applyAlignment="1" applyProtection="1">
      <alignment horizontal="right" vertical="center"/>
    </xf>
    <xf numFmtId="0" fontId="3" fillId="4" borderId="14" xfId="49" applyFill="1" applyBorder="1" applyAlignment="1" applyProtection="1">
      <alignment horizontal="center"/>
    </xf>
    <xf numFmtId="7" fontId="3" fillId="4" borderId="34" xfId="2" applyNumberFormat="1" applyFont="1" applyFill="1" applyBorder="1" applyAlignment="1" applyProtection="1">
      <alignment horizontal="right" vertical="center"/>
    </xf>
    <xf numFmtId="7" fontId="13" fillId="4" borderId="34" xfId="2" applyNumberFormat="1" applyFont="1" applyFill="1" applyBorder="1" applyAlignment="1" applyProtection="1">
      <alignment horizontal="right" vertical="center"/>
    </xf>
    <xf numFmtId="187" fontId="3" fillId="4" borderId="0" xfId="49" applyNumberFormat="1" applyFill="1" applyAlignment="1" applyProtection="1">
      <alignment horizontal="center"/>
    </xf>
    <xf numFmtId="187" fontId="3" fillId="4" borderId="59" xfId="49" applyNumberFormat="1" applyFill="1" applyBorder="1" applyAlignment="1" applyProtection="1">
      <alignment horizontal="center"/>
    </xf>
    <xf numFmtId="0" fontId="3" fillId="4" borderId="59" xfId="49" applyFill="1" applyBorder="1" applyAlignment="1" applyProtection="1">
      <alignment horizontal="center"/>
    </xf>
    <xf numFmtId="187" fontId="3" fillId="4" borderId="54" xfId="49" applyNumberFormat="1" applyFont="1" applyFill="1" applyBorder="1" applyAlignment="1" applyProtection="1">
      <alignment horizontal="right" vertical="center"/>
    </xf>
    <xf numFmtId="188" fontId="3" fillId="4" borderId="54" xfId="49" applyNumberFormat="1" applyFont="1" applyFill="1" applyBorder="1" applyAlignment="1" applyProtection="1">
      <alignment horizontal="right" vertical="center"/>
    </xf>
    <xf numFmtId="186" fontId="3" fillId="4" borderId="54" xfId="3" applyNumberFormat="1" applyFont="1" applyFill="1" applyBorder="1" applyAlignment="1" applyProtection="1">
      <alignment horizontal="right" vertical="center"/>
    </xf>
    <xf numFmtId="5" fontId="3" fillId="4" borderId="54" xfId="49" applyNumberFormat="1" applyFont="1" applyFill="1" applyBorder="1" applyAlignment="1" applyProtection="1">
      <alignment horizontal="right" vertical="center"/>
    </xf>
    <xf numFmtId="187" fontId="3" fillId="4" borderId="60" xfId="49" applyNumberFormat="1" applyFill="1" applyBorder="1" applyAlignment="1" applyProtection="1">
      <alignment horizontal="center"/>
    </xf>
    <xf numFmtId="187" fontId="3" fillId="4" borderId="33" xfId="49" applyNumberFormat="1" applyFill="1" applyBorder="1" applyAlignment="1" applyProtection="1">
      <alignment horizontal="center"/>
    </xf>
    <xf numFmtId="0" fontId="3" fillId="4" borderId="60" xfId="49" applyFill="1" applyBorder="1" applyAlignment="1" applyProtection="1">
      <alignment horizontal="center"/>
    </xf>
    <xf numFmtId="0" fontId="3" fillId="4" borderId="34" xfId="0" applyFont="1" applyFill="1" applyBorder="1" applyAlignment="1">
      <alignment horizontal="right" vertical="center"/>
    </xf>
    <xf numFmtId="184" fontId="3" fillId="4" borderId="34" xfId="49" applyNumberFormat="1" applyFill="1" applyBorder="1" applyAlignment="1" applyProtection="1">
      <alignment horizontal="right" vertical="center"/>
    </xf>
    <xf numFmtId="0" fontId="3" fillId="4" borderId="34" xfId="49" applyFill="1" applyBorder="1" applyAlignment="1" applyProtection="1">
      <alignment horizontal="right" vertical="center"/>
    </xf>
    <xf numFmtId="0" fontId="3" fillId="4" borderId="33" xfId="49" applyFill="1" applyBorder="1" applyAlignment="1" applyProtection="1">
      <alignment horizontal="center"/>
    </xf>
    <xf numFmtId="187" fontId="3" fillId="4" borderId="34" xfId="0" applyNumberFormat="1" applyFont="1" applyFill="1" applyBorder="1" applyAlignment="1">
      <alignment horizontal="right" vertical="center"/>
    </xf>
    <xf numFmtId="176" fontId="3" fillId="4" borderId="34" xfId="2" applyNumberFormat="1" applyFont="1" applyFill="1" applyBorder="1" applyAlignment="1" applyProtection="1">
      <alignment horizontal="right" vertical="center"/>
    </xf>
    <xf numFmtId="187" fontId="3" fillId="4" borderId="24" xfId="0" applyNumberFormat="1" applyFont="1" applyFill="1" applyBorder="1" applyAlignment="1">
      <alignment horizontal="right" vertical="center" wrapText="1"/>
    </xf>
    <xf numFmtId="187" fontId="3" fillId="4" borderId="53" xfId="49" applyNumberFormat="1" applyFont="1" applyFill="1" applyBorder="1" applyAlignment="1" applyProtection="1">
      <alignment horizontal="right" vertical="center"/>
    </xf>
    <xf numFmtId="188" fontId="3" fillId="4" borderId="53" xfId="49" applyNumberFormat="1" applyFont="1" applyFill="1" applyBorder="1" applyAlignment="1" applyProtection="1">
      <alignment horizontal="right" vertical="center"/>
    </xf>
    <xf numFmtId="176" fontId="3" fillId="4" borderId="53" xfId="2" applyNumberFormat="1" applyFont="1" applyFill="1" applyBorder="1" applyAlignment="1" applyProtection="1">
      <alignment horizontal="right" vertical="center"/>
    </xf>
    <xf numFmtId="7" fontId="3" fillId="4" borderId="53" xfId="2" applyNumberFormat="1" applyFont="1" applyFill="1" applyBorder="1" applyAlignment="1" applyProtection="1">
      <alignment horizontal="right" vertical="center"/>
    </xf>
    <xf numFmtId="3" fontId="3" fillId="4" borderId="53" xfId="0" applyNumberFormat="1" applyFont="1" applyFill="1" applyBorder="1" applyAlignment="1">
      <alignment horizontal="right" vertical="center"/>
    </xf>
    <xf numFmtId="0" fontId="3" fillId="4" borderId="53" xfId="0" applyFont="1" applyFill="1" applyBorder="1" applyAlignment="1">
      <alignment horizontal="right" vertical="center"/>
    </xf>
    <xf numFmtId="0" fontId="3" fillId="4" borderId="24" xfId="49" applyFill="1" applyBorder="1" applyAlignment="1" applyProtection="1">
      <alignment horizontal="right" vertical="center"/>
    </xf>
    <xf numFmtId="187" fontId="3" fillId="4" borderId="24" xfId="49" applyNumberFormat="1" applyFill="1" applyBorder="1" applyAlignment="1" applyProtection="1">
      <alignment horizontal="center"/>
    </xf>
    <xf numFmtId="3" fontId="3" fillId="4" borderId="53" xfId="49" applyNumberFormat="1" applyFill="1" applyBorder="1" applyAlignment="1" applyProtection="1">
      <alignment horizontal="right" vertical="center"/>
    </xf>
    <xf numFmtId="176" fontId="3" fillId="4" borderId="54" xfId="2" applyNumberFormat="1" applyFont="1" applyFill="1" applyBorder="1" applyAlignment="1" applyProtection="1">
      <alignment horizontal="right" vertical="center"/>
    </xf>
    <xf numFmtId="187" fontId="3" fillId="4" borderId="63" xfId="0" applyNumberFormat="1" applyFont="1" applyFill="1" applyBorder="1" applyAlignment="1">
      <alignment horizontal="right" vertical="center"/>
    </xf>
    <xf numFmtId="187" fontId="3" fillId="4" borderId="54" xfId="0" applyNumberFormat="1" applyFont="1" applyFill="1" applyBorder="1" applyAlignment="1">
      <alignment horizontal="right" vertical="center"/>
    </xf>
    <xf numFmtId="7" fontId="3" fillId="4" borderId="54" xfId="2" applyNumberFormat="1" applyFont="1" applyFill="1" applyBorder="1" applyAlignment="1" applyProtection="1">
      <alignment horizontal="right" vertical="center"/>
    </xf>
    <xf numFmtId="3" fontId="3" fillId="4" borderId="54" xfId="0" applyNumberFormat="1" applyFont="1" applyFill="1" applyBorder="1" applyAlignment="1">
      <alignment horizontal="right" vertical="center"/>
    </xf>
    <xf numFmtId="0" fontId="3" fillId="4" borderId="54" xfId="0" applyFont="1" applyFill="1" applyBorder="1" applyAlignment="1">
      <alignment horizontal="right" vertical="center"/>
    </xf>
    <xf numFmtId="0" fontId="3" fillId="4" borderId="54" xfId="0" applyNumberFormat="1" applyFont="1" applyFill="1" applyBorder="1" applyAlignment="1">
      <alignment horizontal="right" vertical="center"/>
    </xf>
    <xf numFmtId="7" fontId="3" fillId="4" borderId="4" xfId="49" applyNumberFormat="1" applyFill="1" applyBorder="1" applyAlignment="1" applyProtection="1">
      <alignment horizontal="right"/>
    </xf>
    <xf numFmtId="181" fontId="3" fillId="4" borderId="0" xfId="49" applyNumberFormat="1" applyFill="1" applyAlignment="1" applyProtection="1">
      <alignment horizontal="center"/>
    </xf>
    <xf numFmtId="186" fontId="3" fillId="4" borderId="5" xfId="3" applyNumberFormat="1" applyFont="1" applyFill="1" applyBorder="1" applyAlignment="1" applyProtection="1">
      <alignment horizontal="right" vertical="center"/>
    </xf>
    <xf numFmtId="7" fontId="3" fillId="4" borderId="5" xfId="2" applyNumberFormat="1" applyFont="1" applyFill="1" applyBorder="1" applyAlignment="1" applyProtection="1">
      <alignment horizontal="right" vertical="center"/>
    </xf>
    <xf numFmtId="0" fontId="3" fillId="4" borderId="5" xfId="0" applyFont="1" applyFill="1" applyBorder="1" applyAlignment="1">
      <alignment horizontal="right" vertical="center"/>
    </xf>
    <xf numFmtId="187" fontId="3" fillId="4" borderId="5" xfId="49" applyNumberFormat="1" applyFont="1" applyFill="1" applyBorder="1" applyAlignment="1" applyProtection="1">
      <alignment horizontal="right" vertical="center"/>
    </xf>
    <xf numFmtId="7" fontId="3" fillId="4" borderId="64" xfId="2" applyNumberFormat="1" applyFont="1" applyFill="1" applyBorder="1" applyAlignment="1" applyProtection="1">
      <alignment horizontal="right" vertical="center"/>
    </xf>
    <xf numFmtId="38" fontId="3" fillId="4" borderId="64" xfId="0" applyNumberFormat="1" applyFont="1" applyFill="1" applyBorder="1" applyAlignment="1">
      <alignment horizontal="right" vertical="center"/>
    </xf>
    <xf numFmtId="0" fontId="3" fillId="4" borderId="64" xfId="0" applyFont="1" applyFill="1" applyBorder="1" applyAlignment="1">
      <alignment horizontal="right" vertical="center"/>
    </xf>
    <xf numFmtId="7" fontId="3" fillId="4" borderId="5" xfId="0" applyNumberFormat="1" applyFont="1" applyFill="1" applyBorder="1" applyAlignment="1">
      <alignment horizontal="right" vertical="center"/>
    </xf>
    <xf numFmtId="3" fontId="3" fillId="4" borderId="5" xfId="0" applyNumberFormat="1" applyFont="1" applyFill="1" applyBorder="1" applyAlignment="1">
      <alignment horizontal="right" vertical="center"/>
    </xf>
    <xf numFmtId="7" fontId="3" fillId="4" borderId="54" xfId="0" applyNumberFormat="1" applyFont="1" applyFill="1" applyBorder="1" applyAlignment="1">
      <alignment horizontal="right" vertical="center"/>
    </xf>
    <xf numFmtId="187" fontId="3" fillId="4" borderId="54" xfId="49" applyNumberFormat="1" applyFill="1" applyBorder="1" applyAlignment="1" applyProtection="1">
      <alignment horizontal="center"/>
    </xf>
    <xf numFmtId="0" fontId="3" fillId="4" borderId="54" xfId="49" applyFill="1" applyBorder="1" applyAlignment="1" applyProtection="1">
      <alignment horizontal="center"/>
    </xf>
    <xf numFmtId="3" fontId="1" fillId="4" borderId="0" xfId="0" applyNumberFormat="1" applyFont="1" applyFill="1" applyAlignment="1">
      <alignment horizontal="right" vertical="center"/>
    </xf>
    <xf numFmtId="0" fontId="3" fillId="4" borderId="24" xfId="0" applyFont="1" applyFill="1" applyBorder="1" applyAlignment="1">
      <alignment horizontal="right" vertical="center"/>
    </xf>
    <xf numFmtId="3" fontId="14" fillId="4" borderId="0" xfId="0" applyNumberFormat="1" applyFont="1" applyFill="1" applyAlignment="1">
      <alignment horizontal="right" vertical="center"/>
    </xf>
    <xf numFmtId="3" fontId="3" fillId="4" borderId="4" xfId="49" applyNumberFormat="1" applyFill="1" applyBorder="1" applyAlignment="1" applyProtection="1">
      <alignment horizontal="right" vertical="center" wrapText="1"/>
    </xf>
    <xf numFmtId="44" fontId="3" fillId="4" borderId="25" xfId="49" applyNumberFormat="1" applyFill="1" applyBorder="1" applyAlignment="1" applyProtection="1">
      <alignment horizontal="right" vertical="center"/>
    </xf>
    <xf numFmtId="194" fontId="3" fillId="0" borderId="0" xfId="49" applyNumberFormat="1" applyAlignment="1" applyProtection="1">
      <alignment horizontal="center"/>
    </xf>
    <xf numFmtId="186" fontId="3" fillId="0" borderId="0" xfId="3" applyNumberFormat="1" applyFont="1" applyFill="1" applyBorder="1" applyAlignment="1" applyProtection="1"/>
    <xf numFmtId="185" fontId="3" fillId="7" borderId="14" xfId="49" applyNumberFormat="1" applyFill="1" applyBorder="1" applyAlignment="1" applyProtection="1">
      <alignment horizontal="center"/>
    </xf>
    <xf numFmtId="0" fontId="3" fillId="4" borderId="4" xfId="49" applyFill="1" applyBorder="1" applyAlignment="1" applyProtection="1"/>
    <xf numFmtId="0" fontId="3" fillId="4" borderId="34" xfId="0" applyFont="1" applyFill="1" applyBorder="1" applyAlignment="1">
      <alignment horizontal="right" vertical="center" wrapText="1"/>
    </xf>
    <xf numFmtId="38" fontId="3" fillId="4" borderId="34" xfId="0" applyNumberFormat="1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right" vertical="center" wrapText="1"/>
    </xf>
    <xf numFmtId="185" fontId="15" fillId="7" borderId="4" xfId="49" applyNumberFormat="1" applyFont="1" applyFill="1" applyBorder="1" applyAlignment="1" applyProtection="1">
      <alignment horizontal="center"/>
    </xf>
    <xf numFmtId="195" fontId="3" fillId="0" borderId="0" xfId="0" applyNumberFormat="1" applyFont="1">
      <alignment vertical="center"/>
    </xf>
    <xf numFmtId="187" fontId="3" fillId="0" borderId="0" xfId="0" applyNumberFormat="1" applyFont="1">
      <alignment vertical="center"/>
    </xf>
    <xf numFmtId="7" fontId="2" fillId="3" borderId="34" xfId="2" applyNumberFormat="1" applyFont="1" applyFill="1" applyBorder="1" applyAlignment="1" applyProtection="1">
      <alignment horizontal="center" vertical="center" wrapText="1"/>
    </xf>
    <xf numFmtId="195" fontId="2" fillId="3" borderId="34" xfId="2" applyNumberFormat="1" applyFont="1" applyFill="1" applyBorder="1" applyAlignment="1" applyProtection="1">
      <alignment horizontal="center" vertical="center" wrapText="1"/>
    </xf>
    <xf numFmtId="187" fontId="2" fillId="3" borderId="34" xfId="0" applyNumberFormat="1" applyFont="1" applyFill="1" applyBorder="1" applyAlignment="1">
      <alignment horizontal="center" vertical="center" wrapText="1"/>
    </xf>
    <xf numFmtId="187" fontId="2" fillId="3" borderId="34" xfId="2" applyNumberFormat="1" applyFont="1" applyFill="1" applyBorder="1" applyAlignment="1" applyProtection="1">
      <alignment horizontal="center" vertical="center" wrapText="1"/>
    </xf>
    <xf numFmtId="10" fontId="2" fillId="3" borderId="34" xfId="3" applyNumberFormat="1" applyFont="1" applyFill="1" applyBorder="1" applyAlignment="1" applyProtection="1">
      <alignment horizontal="center" vertical="center" wrapText="1"/>
    </xf>
    <xf numFmtId="196" fontId="2" fillId="3" borderId="34" xfId="0" applyNumberFormat="1" applyFont="1" applyFill="1" applyBorder="1" applyAlignment="1">
      <alignment horizontal="center" vertical="center" wrapText="1"/>
    </xf>
    <xf numFmtId="197" fontId="2" fillId="3" borderId="34" xfId="0" applyNumberFormat="1" applyFont="1" applyFill="1" applyBorder="1" applyAlignment="1">
      <alignment horizontal="center" vertical="center" wrapText="1"/>
    </xf>
    <xf numFmtId="177" fontId="2" fillId="3" borderId="34" xfId="0" applyNumberFormat="1" applyFont="1" applyFill="1" applyBorder="1" applyAlignment="1">
      <alignment horizontal="center" vertical="center" wrapText="1"/>
    </xf>
    <xf numFmtId="10" fontId="2" fillId="3" borderId="34" xfId="0" applyNumberFormat="1" applyFont="1" applyFill="1" applyBorder="1" applyAlignment="1">
      <alignment horizontal="center" vertical="center" wrapText="1"/>
    </xf>
    <xf numFmtId="58" fontId="3" fillId="0" borderId="4" xfId="0" applyNumberFormat="1" applyFont="1" applyBorder="1" applyAlignment="1">
      <alignment horizontal="center" vertical="center"/>
    </xf>
    <xf numFmtId="195" fontId="3" fillId="0" borderId="4" xfId="0" applyNumberFormat="1" applyFont="1" applyFill="1" applyBorder="1">
      <alignment vertical="center"/>
    </xf>
    <xf numFmtId="187" fontId="3" fillId="0" borderId="4" xfId="0" applyNumberFormat="1" applyFont="1" applyFill="1" applyBorder="1">
      <alignment vertical="center"/>
    </xf>
    <xf numFmtId="10" fontId="3" fillId="0" borderId="4" xfId="0" applyNumberFormat="1" applyFont="1" applyBorder="1" applyAlignment="1">
      <alignment horizontal="center" vertical="center"/>
    </xf>
    <xf numFmtId="196" fontId="3" fillId="0" borderId="4" xfId="0" applyNumberFormat="1" applyFont="1" applyBorder="1" applyAlignment="1">
      <alignment horizontal="center" vertical="center"/>
    </xf>
    <xf numFmtId="194" fontId="3" fillId="0" borderId="4" xfId="0" applyNumberFormat="1" applyFont="1" applyBorder="1">
      <alignment vertical="center"/>
    </xf>
    <xf numFmtId="186" fontId="3" fillId="0" borderId="4" xfId="3" applyNumberFormat="1" applyBorder="1" applyAlignment="1" applyProtection="1">
      <alignment vertical="center"/>
    </xf>
    <xf numFmtId="0" fontId="3" fillId="6" borderId="4" xfId="0" applyFont="1" applyFill="1" applyBorder="1">
      <alignment vertical="center"/>
    </xf>
    <xf numFmtId="195" fontId="3" fillId="6" borderId="4" xfId="0" applyNumberFormat="1" applyFont="1" applyFill="1" applyBorder="1">
      <alignment vertical="center"/>
    </xf>
    <xf numFmtId="187" fontId="3" fillId="6" borderId="4" xfId="0" applyNumberFormat="1" applyFont="1" applyFill="1" applyBorder="1">
      <alignment vertical="center"/>
    </xf>
    <xf numFmtId="10" fontId="3" fillId="6" borderId="4" xfId="0" applyNumberFormat="1" applyFont="1" applyFill="1" applyBorder="1" applyAlignment="1">
      <alignment horizontal="center" vertical="center"/>
    </xf>
    <xf numFmtId="196" fontId="3" fillId="6" borderId="4" xfId="0" applyNumberFormat="1" applyFont="1" applyFill="1" applyBorder="1" applyAlignment="1">
      <alignment horizontal="center" vertical="center"/>
    </xf>
    <xf numFmtId="194" fontId="3" fillId="6" borderId="4" xfId="0" applyNumberFormat="1" applyFont="1" applyFill="1" applyBorder="1">
      <alignment vertical="center"/>
    </xf>
    <xf numFmtId="186" fontId="3" fillId="6" borderId="4" xfId="3" applyNumberFormat="1" applyFill="1" applyBorder="1" applyAlignment="1" applyProtection="1">
      <alignment vertical="center"/>
    </xf>
    <xf numFmtId="195" fontId="3" fillId="0" borderId="4" xfId="0" applyNumberFormat="1" applyFont="1" applyBorder="1">
      <alignment vertical="center"/>
    </xf>
    <xf numFmtId="187" fontId="3" fillId="0" borderId="4" xfId="0" applyNumberFormat="1" applyFont="1" applyBorder="1">
      <alignment vertical="center"/>
    </xf>
    <xf numFmtId="0" fontId="3" fillId="0" borderId="4" xfId="0" applyFont="1" applyFill="1" applyBorder="1">
      <alignment vertical="center"/>
    </xf>
    <xf numFmtId="0" fontId="3" fillId="0" borderId="0" xfId="0" applyFont="1" applyFill="1">
      <alignment vertical="center"/>
    </xf>
    <xf numFmtId="195" fontId="3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vertical="center"/>
    </xf>
    <xf numFmtId="10" fontId="3" fillId="9" borderId="4" xfId="0" applyNumberFormat="1" applyFont="1" applyFill="1" applyBorder="1" applyAlignment="1">
      <alignment horizontal="center" vertical="center"/>
    </xf>
    <xf numFmtId="196" fontId="3" fillId="9" borderId="4" xfId="0" applyNumberFormat="1" applyFont="1" applyFill="1" applyBorder="1" applyAlignment="1">
      <alignment horizontal="center" vertical="center"/>
    </xf>
    <xf numFmtId="194" fontId="3" fillId="9" borderId="4" xfId="0" applyNumberFormat="1" applyFont="1" applyFill="1" applyBorder="1">
      <alignment vertical="center"/>
    </xf>
    <xf numFmtId="0" fontId="3" fillId="9" borderId="4" xfId="0" applyFont="1" applyFill="1" applyBorder="1">
      <alignment vertical="center"/>
    </xf>
    <xf numFmtId="186" fontId="3" fillId="9" borderId="4" xfId="3" applyNumberFormat="1" applyFill="1" applyBorder="1" applyAlignment="1" applyProtection="1">
      <alignment vertical="center"/>
    </xf>
    <xf numFmtId="0" fontId="16" fillId="0" borderId="0" xfId="0" applyFont="1" applyFill="1" applyAlignment="1">
      <alignment vertical="center"/>
    </xf>
    <xf numFmtId="0" fontId="16" fillId="0" borderId="65" xfId="0" applyFont="1" applyFill="1" applyBorder="1" applyAlignment="1">
      <alignment vertical="center"/>
    </xf>
    <xf numFmtId="0" fontId="16" fillId="0" borderId="4" xfId="0" applyFont="1" applyFill="1" applyBorder="1" applyAlignment="1">
      <alignment vertical="center"/>
    </xf>
    <xf numFmtId="4" fontId="16" fillId="0" borderId="4" xfId="0" applyNumberFormat="1" applyFont="1" applyFill="1" applyBorder="1" applyAlignment="1">
      <alignment vertical="center"/>
    </xf>
    <xf numFmtId="3" fontId="16" fillId="0" borderId="4" xfId="0" applyNumberFormat="1" applyFont="1" applyFill="1" applyBorder="1" applyAlignment="1">
      <alignment vertical="center"/>
    </xf>
    <xf numFmtId="196" fontId="16" fillId="0" borderId="4" xfId="0" applyNumberFormat="1" applyFont="1" applyFill="1" applyBorder="1" applyAlignment="1">
      <alignment vertical="center"/>
    </xf>
    <xf numFmtId="0" fontId="16" fillId="0" borderId="4" xfId="0" applyFont="1" applyFill="1" applyBorder="1" applyAlignment="1">
      <alignment horizontal="right" vertical="center"/>
    </xf>
    <xf numFmtId="3" fontId="16" fillId="0" borderId="4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distributed" vertical="center"/>
    </xf>
    <xf numFmtId="187" fontId="3" fillId="0" borderId="0" xfId="0" applyNumberFormat="1" applyFont="1" applyAlignment="1">
      <alignment horizontal="center" vertical="center"/>
    </xf>
    <xf numFmtId="196" fontId="3" fillId="0" borderId="0" xfId="0" applyNumberFormat="1" applyFont="1" applyAlignment="1">
      <alignment horizontal="center" vertical="center"/>
    </xf>
    <xf numFmtId="194" fontId="3" fillId="0" borderId="0" xfId="0" applyNumberFormat="1" applyFont="1">
      <alignment vertical="center"/>
    </xf>
    <xf numFmtId="176" fontId="2" fillId="3" borderId="34" xfId="2" applyFont="1" applyFill="1" applyBorder="1" applyAlignment="1" applyProtection="1">
      <alignment horizontal="center" vertical="center" wrapText="1"/>
    </xf>
    <xf numFmtId="38" fontId="2" fillId="3" borderId="34" xfId="0" applyNumberFormat="1" applyFont="1" applyFill="1" applyBorder="1" applyAlignment="1">
      <alignment horizontal="center" vertical="center" wrapText="1"/>
    </xf>
    <xf numFmtId="187" fontId="2" fillId="3" borderId="4" xfId="0" applyNumberFormat="1" applyFont="1" applyFill="1" applyBorder="1" applyAlignment="1">
      <alignment horizontal="center" vertical="center" wrapText="1"/>
    </xf>
    <xf numFmtId="14" fontId="3" fillId="0" borderId="66" xfId="0" applyNumberFormat="1" applyFont="1" applyFill="1" applyBorder="1" applyAlignment="1">
      <alignment horizontal="center" vertical="center"/>
    </xf>
    <xf numFmtId="0" fontId="3" fillId="0" borderId="66" xfId="0" applyFont="1" applyFill="1" applyBorder="1" applyAlignment="1">
      <alignment horizontal="distributed" vertical="center"/>
    </xf>
    <xf numFmtId="0" fontId="3" fillId="0" borderId="66" xfId="0" applyFont="1" applyFill="1" applyBorder="1" applyAlignment="1">
      <alignment horizontal="center" vertical="center"/>
    </xf>
    <xf numFmtId="187" fontId="3" fillId="0" borderId="66" xfId="0" applyNumberFormat="1" applyFont="1" applyFill="1" applyBorder="1" applyAlignment="1">
      <alignment horizontal="center" vertical="center"/>
    </xf>
    <xf numFmtId="10" fontId="3" fillId="0" borderId="66" xfId="0" applyNumberFormat="1" applyFont="1" applyFill="1" applyBorder="1" applyAlignment="1">
      <alignment horizontal="center" vertical="center"/>
    </xf>
    <xf numFmtId="196" fontId="3" fillId="0" borderId="66" xfId="0" applyNumberFormat="1" applyFont="1" applyFill="1" applyBorder="1" applyAlignment="1">
      <alignment horizontal="center" vertical="center"/>
    </xf>
    <xf numFmtId="194" fontId="3" fillId="0" borderId="0" xfId="0" applyNumberFormat="1" applyFont="1" applyFill="1">
      <alignment vertical="center"/>
    </xf>
    <xf numFmtId="0" fontId="3" fillId="0" borderId="66" xfId="49" applyFill="1" applyBorder="1" applyAlignment="1" applyProtection="1">
      <alignment horizontal="distributed" vertical="center"/>
    </xf>
    <xf numFmtId="0" fontId="3" fillId="0" borderId="66" xfId="49" applyFill="1" applyBorder="1" applyAlignment="1" applyProtection="1">
      <alignment horizontal="center" vertical="center"/>
    </xf>
    <xf numFmtId="4" fontId="3" fillId="0" borderId="66" xfId="0" applyNumberFormat="1" applyFont="1" applyFill="1" applyBorder="1" applyAlignment="1">
      <alignment horizontal="distributed" vertical="center" wrapText="1"/>
    </xf>
    <xf numFmtId="3" fontId="3" fillId="0" borderId="66" xfId="0" applyNumberFormat="1" applyFont="1" applyFill="1" applyBorder="1" applyAlignment="1">
      <alignment horizontal="center" vertical="center" wrapText="1"/>
    </xf>
    <xf numFmtId="3" fontId="3" fillId="0" borderId="66" xfId="0" applyNumberFormat="1" applyFont="1" applyFill="1" applyBorder="1" applyAlignment="1">
      <alignment horizontal="distributed" vertical="center" wrapText="1"/>
    </xf>
    <xf numFmtId="196" fontId="3" fillId="0" borderId="66" xfId="49" applyNumberFormat="1" applyFill="1" applyBorder="1" applyAlignment="1" applyProtection="1">
      <alignment horizontal="distributed" vertical="center"/>
    </xf>
    <xf numFmtId="196" fontId="3" fillId="0" borderId="66" xfId="0" applyNumberFormat="1" applyFont="1" applyFill="1" applyBorder="1" applyAlignment="1">
      <alignment horizontal="distributed" vertical="center" wrapText="1"/>
    </xf>
    <xf numFmtId="196" fontId="3" fillId="0" borderId="67" xfId="49" applyNumberFormat="1" applyFill="1" applyBorder="1" applyAlignment="1" applyProtection="1">
      <alignment horizontal="distributed" vertical="center"/>
    </xf>
    <xf numFmtId="3" fontId="3" fillId="0" borderId="67" xfId="0" applyNumberFormat="1" applyFont="1" applyFill="1" applyBorder="1" applyAlignment="1">
      <alignment horizontal="center" vertical="center" wrapText="1"/>
    </xf>
    <xf numFmtId="0" fontId="3" fillId="0" borderId="67" xfId="0" applyFont="1" applyFill="1" applyBorder="1" applyAlignment="1">
      <alignment horizontal="center" vertical="center"/>
    </xf>
    <xf numFmtId="187" fontId="3" fillId="0" borderId="67" xfId="0" applyNumberFormat="1" applyFont="1" applyFill="1" applyBorder="1" applyAlignment="1">
      <alignment horizontal="center" vertical="center"/>
    </xf>
    <xf numFmtId="14" fontId="3" fillId="0" borderId="68" xfId="0" applyNumberFormat="1" applyFont="1" applyFill="1" applyBorder="1" applyAlignment="1">
      <alignment horizontal="center" vertical="center"/>
    </xf>
    <xf numFmtId="193" fontId="3" fillId="0" borderId="69" xfId="0" applyNumberFormat="1" applyFont="1" applyFill="1" applyBorder="1" applyAlignment="1">
      <alignment horizontal="distributed" vertical="center" wrapText="1"/>
    </xf>
    <xf numFmtId="3" fontId="3" fillId="0" borderId="70" xfId="0" applyNumberFormat="1" applyFont="1" applyFill="1" applyBorder="1" applyAlignment="1">
      <alignment horizontal="center" vertical="center" wrapText="1"/>
    </xf>
    <xf numFmtId="0" fontId="3" fillId="0" borderId="71" xfId="0" applyFont="1" applyFill="1" applyBorder="1" applyAlignment="1">
      <alignment horizontal="center" vertical="center"/>
    </xf>
    <xf numFmtId="0" fontId="3" fillId="0" borderId="72" xfId="0" applyFont="1" applyFill="1" applyBorder="1" applyAlignment="1">
      <alignment horizontal="center" vertical="center"/>
    </xf>
    <xf numFmtId="196" fontId="3" fillId="0" borderId="73" xfId="49" applyNumberFormat="1" applyFill="1" applyBorder="1" applyAlignment="1" applyProtection="1">
      <alignment horizontal="distributed" vertical="center"/>
    </xf>
    <xf numFmtId="0" fontId="3" fillId="0" borderId="74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87" fontId="3" fillId="0" borderId="0" xfId="0" applyNumberFormat="1" applyFont="1" applyFill="1" applyAlignment="1">
      <alignment horizontal="center" vertical="center"/>
    </xf>
    <xf numFmtId="196" fontId="3" fillId="0" borderId="67" xfId="0" applyNumberFormat="1" applyFont="1" applyFill="1" applyBorder="1" applyAlignment="1">
      <alignment horizontal="distributed" vertical="center" wrapText="1"/>
    </xf>
    <xf numFmtId="196" fontId="3" fillId="0" borderId="0" xfId="0" applyNumberFormat="1" applyFont="1" applyFill="1" applyAlignment="1">
      <alignment horizontal="distributed" vertical="center" wrapText="1"/>
    </xf>
    <xf numFmtId="3" fontId="3" fillId="0" borderId="0" xfId="0" applyNumberFormat="1" applyFont="1" applyFill="1" applyAlignment="1">
      <alignment horizontal="center" vertical="center" wrapText="1"/>
    </xf>
    <xf numFmtId="196" fontId="3" fillId="0" borderId="0" xfId="49" applyNumberFormat="1" applyFill="1" applyAlignment="1" applyProtection="1">
      <alignment horizontal="distributed" vertical="center"/>
    </xf>
    <xf numFmtId="196" fontId="3" fillId="0" borderId="0" xfId="49" applyNumberFormat="1" applyFill="1" applyAlignment="1" applyProtection="1">
      <alignment horizontal="center" vertical="center"/>
    </xf>
    <xf numFmtId="14" fontId="3" fillId="0" borderId="74" xfId="0" applyNumberFormat="1" applyFont="1" applyFill="1" applyBorder="1" applyAlignment="1">
      <alignment horizontal="center" vertical="center"/>
    </xf>
    <xf numFmtId="196" fontId="3" fillId="0" borderId="66" xfId="49" applyNumberFormat="1" applyFill="1" applyBorder="1" applyAlignment="1" applyProtection="1">
      <alignment horizontal="center" vertical="center"/>
    </xf>
    <xf numFmtId="196" fontId="3" fillId="0" borderId="67" xfId="49" applyNumberFormat="1" applyFill="1" applyBorder="1" applyAlignment="1" applyProtection="1">
      <alignment horizontal="center" vertical="center"/>
    </xf>
    <xf numFmtId="0" fontId="3" fillId="0" borderId="67" xfId="49" applyFill="1" applyBorder="1" applyAlignment="1" applyProtection="1">
      <alignment horizontal="center" vertical="center"/>
    </xf>
    <xf numFmtId="196" fontId="3" fillId="0" borderId="75" xfId="0" applyNumberFormat="1" applyFont="1" applyFill="1" applyBorder="1" applyAlignment="1">
      <alignment horizontal="center"/>
    </xf>
    <xf numFmtId="38" fontId="3" fillId="0" borderId="75" xfId="0" applyNumberFormat="1" applyFont="1" applyFill="1" applyBorder="1" applyAlignment="1">
      <alignment horizontal="center" vertical="center"/>
    </xf>
    <xf numFmtId="0" fontId="3" fillId="0" borderId="75" xfId="0" applyFont="1" applyFill="1" applyBorder="1" applyAlignment="1">
      <alignment horizontal="center"/>
    </xf>
    <xf numFmtId="196" fontId="3" fillId="0" borderId="75" xfId="0" applyNumberFormat="1" applyFont="1" applyFill="1" applyBorder="1" applyAlignment="1">
      <alignment horizontal="center" vertical="center"/>
    </xf>
    <xf numFmtId="0" fontId="3" fillId="0" borderId="75" xfId="0" applyFont="1" applyFill="1" applyBorder="1" applyAlignment="1">
      <alignment horizontal="center" vertical="center"/>
    </xf>
    <xf numFmtId="3" fontId="3" fillId="0" borderId="75" xfId="0" applyNumberFormat="1" applyFont="1" applyFill="1" applyBorder="1" applyAlignment="1">
      <alignment horizontal="center" vertical="center"/>
    </xf>
    <xf numFmtId="3" fontId="3" fillId="0" borderId="75" xfId="0" applyNumberFormat="1" applyFont="1" applyFill="1" applyBorder="1" applyAlignment="1">
      <alignment horizontal="center"/>
    </xf>
    <xf numFmtId="193" fontId="3" fillId="0" borderId="70" xfId="0" applyNumberFormat="1" applyFont="1" applyFill="1" applyBorder="1" applyAlignment="1">
      <alignment horizontal="center" vertical="center" wrapText="1"/>
    </xf>
    <xf numFmtId="196" fontId="3" fillId="0" borderId="69" xfId="0" applyNumberFormat="1" applyFont="1" applyFill="1" applyBorder="1" applyAlignment="1">
      <alignment horizontal="center" vertical="center" wrapText="1"/>
    </xf>
    <xf numFmtId="196" fontId="3" fillId="0" borderId="0" xfId="0" applyNumberFormat="1" applyFont="1" applyFill="1" applyAlignment="1">
      <alignment horizontal="distributed" vertical="center"/>
    </xf>
    <xf numFmtId="196" fontId="3" fillId="0" borderId="75" xfId="0" applyNumberFormat="1" applyFont="1" applyFill="1" applyBorder="1" applyAlignment="1">
      <alignment horizontal="center" vertical="center" wrapText="1"/>
    </xf>
    <xf numFmtId="3" fontId="3" fillId="0" borderId="75" xfId="0" applyNumberFormat="1" applyFont="1" applyFill="1" applyBorder="1" applyAlignment="1">
      <alignment horizontal="center" vertical="center" wrapText="1"/>
    </xf>
    <xf numFmtId="196" fontId="3" fillId="0" borderId="76" xfId="0" applyNumberFormat="1" applyFont="1" applyFill="1" applyBorder="1" applyAlignment="1">
      <alignment horizontal="center" vertical="center" wrapText="1"/>
    </xf>
    <xf numFmtId="3" fontId="3" fillId="0" borderId="76" xfId="0" applyNumberFormat="1" applyFont="1" applyFill="1" applyBorder="1" applyAlignment="1">
      <alignment horizontal="center" vertical="center" wrapText="1"/>
    </xf>
    <xf numFmtId="193" fontId="3" fillId="0" borderId="76" xfId="0" applyNumberFormat="1" applyFont="1" applyFill="1" applyBorder="1" applyAlignment="1">
      <alignment horizontal="center" vertical="center" wrapText="1"/>
    </xf>
    <xf numFmtId="0" fontId="3" fillId="0" borderId="76" xfId="0" applyFont="1" applyFill="1" applyBorder="1" applyAlignment="1">
      <alignment horizontal="center" vertical="center"/>
    </xf>
    <xf numFmtId="193" fontId="3" fillId="0" borderId="75" xfId="0" applyNumberFormat="1" applyFont="1" applyFill="1" applyBorder="1" applyAlignment="1">
      <alignment horizontal="center" vertical="center" wrapText="1"/>
    </xf>
    <xf numFmtId="187" fontId="3" fillId="0" borderId="34" xfId="0" applyNumberFormat="1" applyFont="1" applyFill="1" applyBorder="1" applyAlignment="1">
      <alignment horizontal="center" vertical="center"/>
    </xf>
    <xf numFmtId="193" fontId="3" fillId="0" borderId="77" xfId="0" applyNumberFormat="1" applyFont="1" applyFill="1" applyBorder="1" applyAlignment="1">
      <alignment horizontal="center" vertical="center" wrapText="1"/>
    </xf>
    <xf numFmtId="3" fontId="3" fillId="0" borderId="77" xfId="0" applyNumberFormat="1" applyFont="1" applyFill="1" applyBorder="1" applyAlignment="1">
      <alignment horizontal="center" vertical="center" wrapText="1"/>
    </xf>
    <xf numFmtId="3" fontId="3" fillId="0" borderId="78" xfId="0" applyNumberFormat="1" applyFont="1" applyFill="1" applyBorder="1" applyAlignment="1">
      <alignment horizontal="center" vertical="center" wrapText="1"/>
    </xf>
    <xf numFmtId="10" fontId="3" fillId="0" borderId="72" xfId="0" applyNumberFormat="1" applyFont="1" applyFill="1" applyBorder="1" applyAlignment="1">
      <alignment horizontal="center" vertical="center"/>
    </xf>
    <xf numFmtId="3" fontId="3" fillId="0" borderId="79" xfId="0" applyNumberFormat="1" applyFont="1" applyFill="1" applyBorder="1" applyAlignment="1">
      <alignment horizontal="center" vertical="center" wrapText="1"/>
    </xf>
    <xf numFmtId="193" fontId="3" fillId="0" borderId="79" xfId="0" applyNumberFormat="1" applyFont="1" applyFill="1" applyBorder="1" applyAlignment="1">
      <alignment horizontal="center" vertical="center" wrapText="1"/>
    </xf>
    <xf numFmtId="3" fontId="3" fillId="0" borderId="80" xfId="0" applyNumberFormat="1" applyFont="1" applyFill="1" applyBorder="1" applyAlignment="1">
      <alignment horizontal="center" vertical="center" wrapText="1"/>
    </xf>
    <xf numFmtId="193" fontId="3" fillId="0" borderId="81" xfId="0" applyNumberFormat="1" applyFont="1" applyFill="1" applyBorder="1" applyAlignment="1">
      <alignment horizontal="center" vertical="center" wrapText="1"/>
    </xf>
    <xf numFmtId="196" fontId="3" fillId="0" borderId="0" xfId="0" applyNumberFormat="1" applyFont="1" applyFill="1" applyAlignment="1">
      <alignment horizontal="center"/>
    </xf>
    <xf numFmtId="3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3" fontId="3" fillId="0" borderId="0" xfId="0" applyNumberFormat="1" applyFont="1" applyFill="1" applyAlignment="1">
      <alignment horizontal="center" vertical="center"/>
    </xf>
    <xf numFmtId="184" fontId="3" fillId="0" borderId="0" xfId="0" applyNumberFormat="1" applyFont="1" applyFill="1" applyAlignment="1">
      <alignment horizontal="center"/>
    </xf>
    <xf numFmtId="196" fontId="0" fillId="0" borderId="0" xfId="0" applyNumberFormat="1" applyFont="1" applyFill="1" applyAlignment="1">
      <alignment horizontal="center"/>
    </xf>
    <xf numFmtId="196" fontId="3" fillId="0" borderId="0" xfId="2" applyNumberFormat="1" applyFont="1" applyFill="1" applyBorder="1" applyAlignment="1" applyProtection="1">
      <alignment horizontal="center" vertical="center"/>
    </xf>
    <xf numFmtId="184" fontId="3" fillId="0" borderId="0" xfId="0" applyNumberFormat="1" applyFont="1" applyFill="1" applyAlignment="1">
      <alignment horizontal="center" vertical="center"/>
    </xf>
    <xf numFmtId="196" fontId="0" fillId="0" borderId="0" xfId="0" applyNumberFormat="1" applyFont="1" applyFill="1" applyAlignment="1">
      <alignment horizontal="center" vertical="center"/>
    </xf>
    <xf numFmtId="10" fontId="3" fillId="0" borderId="73" xfId="0" applyNumberFormat="1" applyFont="1" applyFill="1" applyBorder="1" applyAlignment="1">
      <alignment horizontal="center" vertical="center"/>
    </xf>
    <xf numFmtId="196" fontId="3" fillId="0" borderId="67" xfId="0" applyNumberFormat="1" applyFont="1" applyFill="1" applyBorder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/>
    </xf>
    <xf numFmtId="10" fontId="3" fillId="0" borderId="0" xfId="0" applyNumberFormat="1" applyFont="1" applyFill="1" applyAlignment="1">
      <alignment horizontal="center" vertical="center"/>
    </xf>
    <xf numFmtId="196" fontId="3" fillId="0" borderId="0" xfId="0" applyNumberFormat="1" applyFont="1" applyFill="1" applyAlignment="1">
      <alignment horizontal="center" vertical="center"/>
    </xf>
    <xf numFmtId="196" fontId="3" fillId="0" borderId="72" xfId="0" applyNumberFormat="1" applyFont="1" applyFill="1" applyBorder="1" applyAlignment="1">
      <alignment horizontal="center" vertical="center"/>
    </xf>
    <xf numFmtId="196" fontId="3" fillId="0" borderId="75" xfId="49" applyNumberFormat="1" applyFill="1" applyBorder="1" applyAlignment="1" applyProtection="1">
      <alignment horizontal="center" vertical="center"/>
    </xf>
    <xf numFmtId="3" fontId="3" fillId="0" borderId="75" xfId="49" applyNumberFormat="1" applyFill="1" applyBorder="1" applyAlignment="1" applyProtection="1">
      <alignment horizontal="center" vertical="center"/>
    </xf>
    <xf numFmtId="0" fontId="3" fillId="0" borderId="75" xfId="49" applyFill="1" applyBorder="1" applyAlignment="1" applyProtection="1">
      <alignment horizontal="center" vertical="center"/>
    </xf>
    <xf numFmtId="0" fontId="3" fillId="0" borderId="0" xfId="0" applyFont="1" applyFill="1" applyAlignment="1">
      <alignment horizontal="distributed" vertical="center"/>
    </xf>
    <xf numFmtId="3" fontId="3" fillId="0" borderId="0" xfId="49" applyNumberFormat="1" applyFill="1" applyAlignment="1" applyProtection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96" fontId="3" fillId="0" borderId="72" xfId="0" applyNumberFormat="1" applyFont="1" applyBorder="1" applyAlignment="1">
      <alignment horizontal="center" vertical="center"/>
    </xf>
    <xf numFmtId="196" fontId="3" fillId="0" borderId="66" xfId="0" applyNumberFormat="1" applyFont="1" applyBorder="1" applyAlignment="1">
      <alignment horizontal="center" vertical="center"/>
    </xf>
    <xf numFmtId="10" fontId="3" fillId="0" borderId="66" xfId="0" applyNumberFormat="1" applyFont="1" applyBorder="1" applyAlignment="1">
      <alignment horizontal="center" vertical="center"/>
    </xf>
    <xf numFmtId="196" fontId="3" fillId="0" borderId="73" xfId="0" applyNumberFormat="1" applyFont="1" applyBorder="1" applyAlignment="1">
      <alignment horizontal="center" vertical="center"/>
    </xf>
    <xf numFmtId="196" fontId="3" fillId="0" borderId="67" xfId="0" applyNumberFormat="1" applyFont="1" applyBorder="1" applyAlignment="1">
      <alignment horizontal="center" vertical="center"/>
    </xf>
    <xf numFmtId="10" fontId="3" fillId="0" borderId="67" xfId="0" applyNumberFormat="1" applyFont="1" applyBorder="1" applyAlignment="1">
      <alignment horizontal="center" vertical="center"/>
    </xf>
    <xf numFmtId="14" fontId="3" fillId="0" borderId="66" xfId="0" applyNumberFormat="1" applyFont="1" applyBorder="1" applyAlignment="1">
      <alignment horizontal="center" vertical="center"/>
    </xf>
    <xf numFmtId="193" fontId="3" fillId="9" borderId="66" xfId="0" applyNumberFormat="1" applyFont="1" applyFill="1" applyBorder="1" applyAlignment="1">
      <alignment horizontal="center" vertical="center" wrapText="1"/>
    </xf>
    <xf numFmtId="3" fontId="3" fillId="9" borderId="66" xfId="0" applyNumberFormat="1" applyFont="1" applyFill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/>
    </xf>
    <xf numFmtId="3" fontId="3" fillId="0" borderId="66" xfId="0" applyNumberFormat="1" applyFont="1" applyBorder="1" applyAlignment="1">
      <alignment horizontal="center" vertical="center"/>
    </xf>
    <xf numFmtId="187" fontId="3" fillId="0" borderId="66" xfId="0" applyNumberFormat="1" applyFont="1" applyBorder="1" applyAlignment="1">
      <alignment horizontal="center" vertical="center"/>
    </xf>
    <xf numFmtId="0" fontId="3" fillId="0" borderId="66" xfId="0" applyFont="1" applyBorder="1" applyAlignment="1">
      <alignment horizontal="distributed" vertical="center"/>
    </xf>
    <xf numFmtId="196" fontId="3" fillId="0" borderId="0" xfId="0" applyNumberFormat="1" applyFont="1" applyAlignment="1">
      <alignment horizontal="distributed" vertical="center"/>
    </xf>
    <xf numFmtId="186" fontId="3" fillId="0" borderId="0" xfId="3" applyNumberFormat="1" applyAlignment="1" applyProtection="1">
      <alignment vertical="center"/>
    </xf>
    <xf numFmtId="4" fontId="3" fillId="0" borderId="0" xfId="0" applyNumberFormat="1" applyFont="1" applyAlignment="1">
      <alignment horizontal="distributed" vertical="center"/>
    </xf>
    <xf numFmtId="3" fontId="3" fillId="0" borderId="0" xfId="0" applyNumberFormat="1" applyFont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0" fontId="16" fillId="0" borderId="65" xfId="0" applyFont="1" applyFill="1" applyBorder="1" applyAlignment="1">
      <alignment horizontal="center" vertical="center"/>
    </xf>
    <xf numFmtId="186" fontId="3" fillId="0" borderId="0" xfId="3" applyNumberFormat="1" applyFill="1" applyAlignment="1" applyProtection="1">
      <alignment vertical="center"/>
    </xf>
    <xf numFmtId="186" fontId="3" fillId="0" borderId="0" xfId="3" applyNumberFormat="1" applyFont="1" applyFill="1" applyAlignment="1" applyProtection="1">
      <alignment vertical="center"/>
    </xf>
    <xf numFmtId="191" fontId="3" fillId="0" borderId="0" xfId="0" applyNumberFormat="1" applyFont="1" applyAlignment="1">
      <alignment horizontal="distributed" vertical="center"/>
    </xf>
    <xf numFmtId="191" fontId="3" fillId="0" borderId="0" xfId="0" applyNumberFormat="1" applyFont="1" applyAlignment="1">
      <alignment horizontal="center" vertical="center"/>
    </xf>
    <xf numFmtId="7" fontId="3" fillId="0" borderId="0" xfId="2" applyNumberFormat="1" applyFont="1" applyAlignment="1" applyProtection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10" fontId="3" fillId="0" borderId="0" xfId="3" applyNumberFormat="1" applyFont="1" applyAlignment="1" applyProtection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97" fontId="3" fillId="0" borderId="0" xfId="0" applyNumberFormat="1" applyFont="1" applyAlignment="1">
      <alignment horizontal="center" vertical="center"/>
    </xf>
    <xf numFmtId="187" fontId="3" fillId="0" borderId="0" xfId="0" applyNumberFormat="1" applyFont="1" applyAlignment="1">
      <alignment horizontal="right" vertical="center"/>
    </xf>
    <xf numFmtId="177" fontId="2" fillId="3" borderId="4" xfId="0" applyNumberFormat="1" applyFont="1" applyFill="1" applyBorder="1" applyAlignment="1">
      <alignment horizontal="center" vertical="center" wrapText="1"/>
    </xf>
    <xf numFmtId="7" fontId="2" fillId="3" borderId="4" xfId="2" applyNumberFormat="1" applyFont="1" applyFill="1" applyBorder="1" applyAlignment="1" applyProtection="1">
      <alignment horizontal="center" vertical="center" wrapText="1"/>
    </xf>
    <xf numFmtId="38" fontId="2" fillId="3" borderId="4" xfId="0" applyNumberFormat="1" applyFont="1" applyFill="1" applyBorder="1" applyAlignment="1">
      <alignment horizontal="center" vertical="center" wrapText="1"/>
    </xf>
    <xf numFmtId="176" fontId="2" fillId="3" borderId="4" xfId="2" applyFont="1" applyFill="1" applyBorder="1" applyAlignment="1" applyProtection="1">
      <alignment horizontal="center" vertical="center" wrapText="1"/>
    </xf>
    <xf numFmtId="10" fontId="2" fillId="3" borderId="4" xfId="3" applyNumberFormat="1" applyFont="1" applyFill="1" applyBorder="1" applyAlignment="1" applyProtection="1">
      <alignment horizontal="center" vertical="center" wrapText="1"/>
    </xf>
    <xf numFmtId="179" fontId="2" fillId="3" borderId="4" xfId="0" applyNumberFormat="1" applyFont="1" applyFill="1" applyBorder="1" applyAlignment="1">
      <alignment horizontal="center" vertical="center" wrapText="1"/>
    </xf>
    <xf numFmtId="197" fontId="2" fillId="3" borderId="4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/>
    </xf>
    <xf numFmtId="7" fontId="3" fillId="0" borderId="4" xfId="2" applyNumberFormat="1" applyFont="1" applyBorder="1" applyAlignment="1" applyProtection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4" xfId="2" applyFont="1" applyBorder="1" applyAlignment="1" applyProtection="1">
      <alignment horizontal="center" vertical="center"/>
    </xf>
    <xf numFmtId="10" fontId="3" fillId="0" borderId="4" xfId="3" applyNumberFormat="1" applyFont="1" applyBorder="1" applyAlignment="1" applyProtection="1">
      <alignment horizontal="center" vertical="center"/>
    </xf>
    <xf numFmtId="179" fontId="3" fillId="0" borderId="4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38" fontId="3" fillId="0" borderId="4" xfId="0" applyNumberFormat="1" applyFont="1" applyBorder="1" applyAlignment="1">
      <alignment horizontal="center" vertical="center"/>
    </xf>
    <xf numFmtId="197" fontId="3" fillId="0" borderId="4" xfId="0" applyNumberFormat="1" applyFont="1" applyBorder="1" applyAlignment="1">
      <alignment horizontal="center" vertical="center"/>
    </xf>
    <xf numFmtId="10" fontId="3" fillId="0" borderId="4" xfId="2" applyNumberFormat="1" applyFont="1" applyBorder="1" applyAlignment="1" applyProtection="1">
      <alignment horizontal="center" vertical="center"/>
    </xf>
    <xf numFmtId="181" fontId="3" fillId="0" borderId="4" xfId="2" applyNumberFormat="1" applyFont="1" applyBorder="1" applyAlignment="1" applyProtection="1">
      <alignment horizontal="center" vertical="center"/>
    </xf>
    <xf numFmtId="14" fontId="3" fillId="0" borderId="4" xfId="0" applyNumberFormat="1" applyFont="1" applyFill="1" applyBorder="1" applyAlignment="1">
      <alignment horizontal="center" vertical="center"/>
    </xf>
    <xf numFmtId="7" fontId="3" fillId="0" borderId="4" xfId="2" applyNumberFormat="1" applyFont="1" applyFill="1" applyBorder="1" applyAlignment="1" applyProtection="1">
      <alignment horizontal="center" vertical="center"/>
    </xf>
    <xf numFmtId="38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0" fontId="3" fillId="0" borderId="4" xfId="3" applyNumberFormat="1" applyFont="1" applyFill="1" applyBorder="1" applyAlignment="1" applyProtection="1">
      <alignment horizontal="center" vertical="center"/>
    </xf>
    <xf numFmtId="179" fontId="3" fillId="0" borderId="4" xfId="0" applyNumberFormat="1" applyFont="1" applyFill="1" applyBorder="1" applyAlignment="1">
      <alignment horizontal="center" vertical="center"/>
    </xf>
    <xf numFmtId="197" fontId="3" fillId="0" borderId="4" xfId="0" applyNumberFormat="1" applyFont="1" applyFill="1" applyBorder="1" applyAlignment="1">
      <alignment horizontal="center" vertical="center"/>
    </xf>
    <xf numFmtId="196" fontId="3" fillId="0" borderId="4" xfId="0" applyNumberFormat="1" applyFont="1" applyFill="1" applyBorder="1" applyAlignment="1">
      <alignment horizontal="center" vertical="center"/>
    </xf>
    <xf numFmtId="10" fontId="3" fillId="0" borderId="4" xfId="0" applyNumberFormat="1" applyFont="1" applyFill="1" applyBorder="1" applyAlignment="1">
      <alignment horizontal="center" vertical="center"/>
    </xf>
    <xf numFmtId="7" fontId="3" fillId="0" borderId="4" xfId="49" applyNumberFormat="1" applyFill="1" applyBorder="1" applyAlignment="1" applyProtection="1">
      <alignment horizontal="center" vertical="center"/>
    </xf>
    <xf numFmtId="0" fontId="3" fillId="0" borderId="4" xfId="49" applyFill="1" applyBorder="1" applyAlignment="1" applyProtection="1">
      <alignment horizontal="center" vertical="center"/>
    </xf>
    <xf numFmtId="3" fontId="3" fillId="0" borderId="4" xfId="49" applyNumberFormat="1" applyFill="1" applyBorder="1" applyAlignment="1" applyProtection="1">
      <alignment horizontal="center" vertical="center"/>
    </xf>
    <xf numFmtId="3" fontId="3" fillId="0" borderId="4" xfId="0" applyNumberFormat="1" applyFont="1" applyFill="1" applyBorder="1" applyAlignment="1">
      <alignment horizontal="center" vertical="center" wrapText="1"/>
    </xf>
    <xf numFmtId="7" fontId="3" fillId="0" borderId="0" xfId="2" applyNumberFormat="1" applyFont="1" applyFill="1" applyAlignment="1" applyProtection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14" fontId="3" fillId="0" borderId="34" xfId="0" applyNumberFormat="1" applyFont="1" applyFill="1" applyBorder="1" applyAlignment="1">
      <alignment horizontal="center" vertical="center"/>
    </xf>
    <xf numFmtId="7" fontId="3" fillId="0" borderId="34" xfId="49" applyNumberFormat="1" applyFill="1" applyBorder="1" applyAlignment="1" applyProtection="1">
      <alignment horizontal="center" vertical="center"/>
    </xf>
    <xf numFmtId="3" fontId="3" fillId="0" borderId="34" xfId="0" applyNumberFormat="1" applyFont="1" applyFill="1" applyBorder="1" applyAlignment="1">
      <alignment horizontal="center" vertical="center" wrapText="1"/>
    </xf>
    <xf numFmtId="7" fontId="3" fillId="0" borderId="34" xfId="2" applyNumberFormat="1" applyFont="1" applyFill="1" applyBorder="1" applyAlignment="1" applyProtection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7" fontId="3" fillId="0" borderId="25" xfId="2" applyNumberFormat="1" applyFont="1" applyFill="1" applyBorder="1" applyAlignment="1" applyProtection="1">
      <alignment horizontal="center" vertical="center"/>
    </xf>
    <xf numFmtId="191" fontId="3" fillId="0" borderId="4" xfId="0" applyNumberFormat="1" applyFont="1" applyFill="1" applyBorder="1" applyAlignment="1">
      <alignment horizontal="center" vertical="center" wrapText="1"/>
    </xf>
    <xf numFmtId="7" fontId="3" fillId="0" borderId="33" xfId="49" applyNumberFormat="1" applyFill="1" applyBorder="1" applyAlignment="1" applyProtection="1">
      <alignment horizontal="center" vertical="center"/>
    </xf>
    <xf numFmtId="7" fontId="3" fillId="0" borderId="54" xfId="0" applyNumberFormat="1" applyFont="1" applyFill="1" applyBorder="1" applyAlignment="1">
      <alignment horizontal="distributed" vertical="center" wrapText="1"/>
    </xf>
    <xf numFmtId="3" fontId="3" fillId="0" borderId="54" xfId="0" applyNumberFormat="1" applyFont="1" applyFill="1" applyBorder="1" applyAlignment="1">
      <alignment horizontal="center" vertical="center" wrapText="1"/>
    </xf>
    <xf numFmtId="0" fontId="3" fillId="0" borderId="54" xfId="0" applyFont="1" applyFill="1" applyBorder="1" applyAlignment="1">
      <alignment horizontal="center" vertical="center"/>
    </xf>
    <xf numFmtId="7" fontId="3" fillId="0" borderId="54" xfId="2" applyNumberFormat="1" applyFont="1" applyFill="1" applyBorder="1" applyAlignment="1" applyProtection="1">
      <alignment horizontal="center" vertical="center"/>
    </xf>
    <xf numFmtId="7" fontId="0" fillId="0" borderId="34" xfId="49" applyNumberFormat="1" applyFont="1" applyFill="1" applyBorder="1" applyAlignment="1" applyProtection="1">
      <alignment horizontal="center" vertical="center"/>
    </xf>
    <xf numFmtId="3" fontId="0" fillId="0" borderId="34" xfId="0" applyNumberFormat="1" applyFont="1" applyFill="1" applyBorder="1" applyAlignment="1">
      <alignment horizontal="center" vertical="center" wrapText="1"/>
    </xf>
    <xf numFmtId="191" fontId="3" fillId="0" borderId="4" xfId="2" applyNumberFormat="1" applyFont="1" applyFill="1" applyBorder="1" applyAlignment="1" applyProtection="1">
      <alignment horizontal="center" vertical="center"/>
    </xf>
    <xf numFmtId="7" fontId="17" fillId="0" borderId="4" xfId="0" applyNumberFormat="1" applyFont="1" applyFill="1" applyBorder="1" applyAlignment="1">
      <alignment horizontal="center"/>
    </xf>
    <xf numFmtId="0" fontId="17" fillId="0" borderId="4" xfId="0" applyFont="1" applyFill="1" applyBorder="1" applyAlignment="1">
      <alignment horizontal="center"/>
    </xf>
    <xf numFmtId="7" fontId="17" fillId="0" borderId="4" xfId="0" applyNumberFormat="1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3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/>
    </xf>
    <xf numFmtId="3" fontId="3" fillId="0" borderId="4" xfId="0" applyNumberFormat="1" applyFont="1" applyFill="1" applyBorder="1" applyAlignment="1">
      <alignment horizontal="center"/>
    </xf>
    <xf numFmtId="7" fontId="17" fillId="0" borderId="34" xfId="0" applyNumberFormat="1" applyFont="1" applyFill="1" applyBorder="1" applyAlignment="1">
      <alignment horizontal="center"/>
    </xf>
    <xf numFmtId="0" fontId="3" fillId="0" borderId="34" xfId="0" applyFont="1" applyFill="1" applyBorder="1" applyAlignment="1">
      <alignment horizontal="center"/>
    </xf>
    <xf numFmtId="3" fontId="3" fillId="0" borderId="34" xfId="0" applyNumberFormat="1" applyFont="1" applyFill="1" applyBorder="1" applyAlignment="1">
      <alignment horizontal="center"/>
    </xf>
    <xf numFmtId="3" fontId="17" fillId="0" borderId="4" xfId="0" applyNumberFormat="1" applyFont="1" applyFill="1" applyBorder="1" applyAlignment="1">
      <alignment horizontal="center"/>
    </xf>
    <xf numFmtId="7" fontId="3" fillId="0" borderId="14" xfId="0" applyNumberFormat="1" applyFont="1" applyFill="1" applyBorder="1" applyAlignment="1">
      <alignment horizontal="distributed" vertical="center" wrapText="1"/>
    </xf>
    <xf numFmtId="3" fontId="3" fillId="0" borderId="14" xfId="0" applyNumberFormat="1" applyFont="1" applyFill="1" applyBorder="1" applyAlignment="1">
      <alignment horizontal="center" vertical="center" wrapText="1"/>
    </xf>
    <xf numFmtId="7" fontId="3" fillId="0" borderId="14" xfId="2" applyNumberFormat="1" applyFont="1" applyFill="1" applyBorder="1" applyAlignment="1" applyProtection="1">
      <alignment horizontal="center" vertical="center"/>
    </xf>
    <xf numFmtId="7" fontId="3" fillId="0" borderId="4" xfId="0" applyNumberFormat="1" applyFont="1" applyFill="1" applyBorder="1" applyAlignment="1">
      <alignment horizontal="center" vertical="center" wrapText="1"/>
    </xf>
    <xf numFmtId="7" fontId="3" fillId="0" borderId="4" xfId="49" applyNumberFormat="1" applyFont="1" applyFill="1" applyBorder="1" applyAlignment="1" applyProtection="1">
      <alignment horizontal="center" vertical="center"/>
    </xf>
    <xf numFmtId="3" fontId="3" fillId="0" borderId="4" xfId="49" applyNumberFormat="1" applyFont="1" applyFill="1" applyBorder="1" applyAlignment="1" applyProtection="1">
      <alignment horizontal="center" vertical="center"/>
    </xf>
    <xf numFmtId="0" fontId="3" fillId="0" borderId="4" xfId="49" applyFont="1" applyFill="1" applyBorder="1" applyAlignment="1" applyProtection="1">
      <alignment horizontal="center" vertical="center"/>
    </xf>
    <xf numFmtId="7" fontId="3" fillId="0" borderId="25" xfId="0" applyNumberFormat="1" applyFont="1" applyFill="1" applyBorder="1" applyAlignment="1">
      <alignment horizontal="center" vertical="center" wrapText="1"/>
    </xf>
    <xf numFmtId="7" fontId="3" fillId="0" borderId="4" xfId="0" applyNumberFormat="1" applyFont="1" applyFill="1" applyBorder="1" applyAlignment="1">
      <alignment horizontal="center"/>
    </xf>
    <xf numFmtId="184" fontId="3" fillId="0" borderId="4" xfId="0" applyNumberFormat="1" applyFont="1" applyFill="1" applyBorder="1" applyAlignment="1">
      <alignment horizontal="center"/>
    </xf>
    <xf numFmtId="7" fontId="3" fillId="0" borderId="34" xfId="0" applyNumberFormat="1" applyFont="1" applyFill="1" applyBorder="1" applyAlignment="1">
      <alignment horizontal="center"/>
    </xf>
    <xf numFmtId="184" fontId="3" fillId="0" borderId="34" xfId="0" applyNumberFormat="1" applyFont="1" applyFill="1" applyBorder="1" applyAlignment="1">
      <alignment horizontal="center"/>
    </xf>
    <xf numFmtId="10" fontId="3" fillId="0" borderId="34" xfId="3" applyNumberFormat="1" applyFont="1" applyFill="1" applyBorder="1" applyAlignment="1" applyProtection="1">
      <alignment horizontal="center" vertical="center"/>
    </xf>
    <xf numFmtId="179" fontId="3" fillId="0" borderId="34" xfId="0" applyNumberFormat="1" applyFont="1" applyFill="1" applyBorder="1" applyAlignment="1">
      <alignment horizontal="center" vertical="center"/>
    </xf>
    <xf numFmtId="197" fontId="3" fillId="0" borderId="34" xfId="0" applyNumberFormat="1" applyFont="1" applyFill="1" applyBorder="1" applyAlignment="1">
      <alignment horizontal="center" vertical="center"/>
    </xf>
    <xf numFmtId="14" fontId="3" fillId="0" borderId="53" xfId="0" applyNumberFormat="1" applyFont="1" applyFill="1" applyBorder="1" applyAlignment="1">
      <alignment horizontal="center" vertical="center"/>
    </xf>
    <xf numFmtId="7" fontId="3" fillId="0" borderId="53" xfId="2" applyNumberFormat="1" applyFont="1" applyFill="1" applyBorder="1" applyAlignment="1" applyProtection="1">
      <alignment horizontal="center" vertical="center"/>
    </xf>
    <xf numFmtId="38" fontId="3" fillId="0" borderId="53" xfId="0" applyNumberFormat="1" applyFont="1" applyFill="1" applyBorder="1" applyAlignment="1">
      <alignment horizontal="center" vertical="center"/>
    </xf>
    <xf numFmtId="3" fontId="3" fillId="0" borderId="53" xfId="0" applyNumberFormat="1" applyFont="1" applyFill="1" applyBorder="1" applyAlignment="1">
      <alignment horizontal="center" vertical="center"/>
    </xf>
    <xf numFmtId="0" fontId="3" fillId="0" borderId="53" xfId="0" applyFont="1" applyFill="1" applyBorder="1" applyAlignment="1">
      <alignment horizontal="center" vertical="center"/>
    </xf>
    <xf numFmtId="176" fontId="3" fillId="0" borderId="53" xfId="2" applyFont="1" applyFill="1" applyBorder="1" applyAlignment="1" applyProtection="1">
      <alignment horizontal="center" vertical="center"/>
    </xf>
    <xf numFmtId="10" fontId="3" fillId="0" borderId="53" xfId="3" applyNumberFormat="1" applyFont="1" applyFill="1" applyBorder="1" applyAlignment="1" applyProtection="1">
      <alignment horizontal="center" vertical="center"/>
    </xf>
    <xf numFmtId="179" fontId="3" fillId="0" borderId="53" xfId="0" applyNumberFormat="1" applyFont="1" applyFill="1" applyBorder="1" applyAlignment="1">
      <alignment horizontal="center" vertical="center"/>
    </xf>
    <xf numFmtId="197" fontId="3" fillId="0" borderId="53" xfId="0" applyNumberFormat="1" applyFont="1" applyFill="1" applyBorder="1" applyAlignment="1">
      <alignment horizontal="center" vertical="center"/>
    </xf>
    <xf numFmtId="196" fontId="3" fillId="0" borderId="25" xfId="0" applyNumberFormat="1" applyFont="1" applyFill="1" applyBorder="1" applyAlignment="1">
      <alignment horizontal="center" vertical="center"/>
    </xf>
    <xf numFmtId="14" fontId="3" fillId="0" borderId="54" xfId="0" applyNumberFormat="1" applyFont="1" applyFill="1" applyBorder="1" applyAlignment="1">
      <alignment horizontal="center" vertical="center"/>
    </xf>
    <xf numFmtId="38" fontId="3" fillId="0" borderId="54" xfId="0" applyNumberFormat="1" applyFont="1" applyFill="1" applyBorder="1" applyAlignment="1">
      <alignment horizontal="center" vertical="center"/>
    </xf>
    <xf numFmtId="176" fontId="3" fillId="0" borderId="54" xfId="2" applyFont="1" applyFill="1" applyBorder="1" applyAlignment="1" applyProtection="1">
      <alignment horizontal="center" vertical="center"/>
    </xf>
    <xf numFmtId="10" fontId="3" fillId="0" borderId="54" xfId="3" applyNumberFormat="1" applyFont="1" applyFill="1" applyBorder="1" applyAlignment="1" applyProtection="1">
      <alignment horizontal="center" vertical="center"/>
    </xf>
    <xf numFmtId="179" fontId="3" fillId="0" borderId="54" xfId="0" applyNumberFormat="1" applyFont="1" applyFill="1" applyBorder="1" applyAlignment="1">
      <alignment horizontal="center" vertical="center"/>
    </xf>
    <xf numFmtId="197" fontId="3" fillId="0" borderId="54" xfId="0" applyNumberFormat="1" applyFont="1" applyFill="1" applyBorder="1" applyAlignment="1">
      <alignment horizontal="center" vertical="center"/>
    </xf>
    <xf numFmtId="196" fontId="3" fillId="0" borderId="33" xfId="0" applyNumberFormat="1" applyFont="1" applyFill="1" applyBorder="1" applyAlignment="1">
      <alignment horizontal="center" vertical="center"/>
    </xf>
    <xf numFmtId="10" fontId="3" fillId="0" borderId="34" xfId="0" applyNumberFormat="1" applyFont="1" applyFill="1" applyBorder="1" applyAlignment="1">
      <alignment horizontal="center" vertical="center"/>
    </xf>
    <xf numFmtId="7" fontId="3" fillId="0" borderId="53" xfId="0" applyNumberFormat="1" applyFont="1" applyFill="1" applyBorder="1" applyAlignment="1">
      <alignment horizontal="center"/>
    </xf>
    <xf numFmtId="184" fontId="3" fillId="0" borderId="53" xfId="0" applyNumberFormat="1" applyFont="1" applyFill="1" applyBorder="1" applyAlignment="1">
      <alignment horizontal="center"/>
    </xf>
    <xf numFmtId="0" fontId="3" fillId="0" borderId="53" xfId="0" applyFont="1" applyFill="1" applyBorder="1" applyAlignment="1">
      <alignment horizontal="center"/>
    </xf>
    <xf numFmtId="196" fontId="3" fillId="0" borderId="53" xfId="0" applyNumberFormat="1" applyFont="1" applyFill="1" applyBorder="1" applyAlignment="1">
      <alignment horizontal="center" vertical="center"/>
    </xf>
    <xf numFmtId="10" fontId="3" fillId="0" borderId="53" xfId="0" applyNumberFormat="1" applyFont="1" applyFill="1" applyBorder="1" applyAlignment="1">
      <alignment horizontal="center" vertical="center"/>
    </xf>
    <xf numFmtId="191" fontId="3" fillId="0" borderId="53" xfId="0" applyNumberFormat="1" applyFont="1" applyFill="1" applyBorder="1" applyAlignment="1">
      <alignment horizontal="center"/>
    </xf>
    <xf numFmtId="176" fontId="3" fillId="0" borderId="82" xfId="2" applyFont="1" applyFill="1" applyBorder="1" applyAlignment="1" applyProtection="1">
      <alignment horizontal="center" vertical="center"/>
    </xf>
    <xf numFmtId="176" fontId="3" fillId="0" borderId="83" xfId="2" applyFont="1" applyFill="1" applyBorder="1" applyAlignment="1" applyProtection="1">
      <alignment horizontal="center" vertical="center"/>
    </xf>
    <xf numFmtId="7" fontId="3" fillId="0" borderId="84" xfId="2" applyNumberFormat="1" applyFont="1" applyFill="1" applyBorder="1" applyAlignment="1" applyProtection="1">
      <alignment horizontal="center" vertical="center"/>
    </xf>
    <xf numFmtId="3" fontId="3" fillId="0" borderId="84" xfId="0" applyNumberFormat="1" applyFont="1" applyFill="1" applyBorder="1" applyAlignment="1">
      <alignment horizontal="center" vertical="center" wrapText="1"/>
    </xf>
    <xf numFmtId="0" fontId="3" fillId="0" borderId="57" xfId="0" applyFont="1" applyFill="1" applyBorder="1" applyAlignment="1">
      <alignment horizontal="center" vertical="center"/>
    </xf>
    <xf numFmtId="176" fontId="3" fillId="0" borderId="57" xfId="2" applyFont="1" applyFill="1" applyBorder="1" applyAlignment="1" applyProtection="1">
      <alignment horizontal="center" vertical="center"/>
    </xf>
    <xf numFmtId="7" fontId="13" fillId="0" borderId="53" xfId="2" applyNumberFormat="1" applyFont="1" applyFill="1" applyBorder="1" applyAlignment="1" applyProtection="1">
      <alignment horizontal="center" vertical="center"/>
    </xf>
    <xf numFmtId="3" fontId="3" fillId="0" borderId="53" xfId="0" applyNumberFormat="1" applyFont="1" applyFill="1" applyBorder="1" applyAlignment="1">
      <alignment horizontal="center" vertical="center" wrapText="1"/>
    </xf>
    <xf numFmtId="7" fontId="3" fillId="0" borderId="53" xfId="49" applyNumberFormat="1" applyFill="1" applyBorder="1" applyAlignment="1" applyProtection="1">
      <alignment horizontal="center" vertical="center"/>
    </xf>
    <xf numFmtId="3" fontId="3" fillId="0" borderId="53" xfId="49" applyNumberFormat="1" applyFill="1" applyBorder="1" applyAlignment="1" applyProtection="1">
      <alignment horizontal="center" vertical="center"/>
    </xf>
    <xf numFmtId="7" fontId="3" fillId="0" borderId="53" xfId="0" applyNumberFormat="1" applyFont="1" applyFill="1" applyBorder="1" applyAlignment="1">
      <alignment horizontal="center" vertical="center" wrapText="1"/>
    </xf>
    <xf numFmtId="0" fontId="3" fillId="0" borderId="59" xfId="0" applyFont="1" applyFill="1" applyBorder="1" applyAlignment="1">
      <alignment horizontal="center" vertical="center"/>
    </xf>
    <xf numFmtId="10" fontId="3" fillId="0" borderId="59" xfId="3" applyNumberFormat="1" applyFont="1" applyFill="1" applyBorder="1" applyAlignment="1" applyProtection="1">
      <alignment horizontal="center" vertical="center"/>
    </xf>
    <xf numFmtId="7" fontId="3" fillId="0" borderId="54" xfId="0" applyNumberFormat="1" applyFont="1" applyFill="1" applyBorder="1" applyAlignment="1">
      <alignment horizontal="center" vertical="center" wrapText="1"/>
    </xf>
    <xf numFmtId="0" fontId="3" fillId="0" borderId="60" xfId="0" applyFont="1" applyFill="1" applyBorder="1" applyAlignment="1">
      <alignment horizontal="center" vertical="center"/>
    </xf>
    <xf numFmtId="10" fontId="3" fillId="0" borderId="60" xfId="3" applyNumberFormat="1" applyFont="1" applyFill="1" applyBorder="1" applyAlignment="1" applyProtection="1">
      <alignment horizontal="center" vertical="center"/>
    </xf>
    <xf numFmtId="196" fontId="3" fillId="0" borderId="54" xfId="0" applyNumberFormat="1" applyFont="1" applyFill="1" applyBorder="1" applyAlignment="1">
      <alignment horizontal="center" vertical="center"/>
    </xf>
    <xf numFmtId="10" fontId="3" fillId="0" borderId="54" xfId="0" applyNumberFormat="1" applyFont="1" applyFill="1" applyBorder="1" applyAlignment="1">
      <alignment horizontal="center" vertical="center"/>
    </xf>
    <xf numFmtId="7" fontId="3" fillId="0" borderId="83" xfId="2" applyNumberFormat="1" applyFont="1" applyFill="1" applyBorder="1" applyAlignment="1" applyProtection="1">
      <alignment horizontal="center" vertical="center"/>
    </xf>
    <xf numFmtId="38" fontId="3" fillId="0" borderId="57" xfId="0" applyNumberFormat="1" applyFont="1" applyFill="1" applyBorder="1" applyAlignment="1">
      <alignment horizontal="center" vertical="center"/>
    </xf>
    <xf numFmtId="3" fontId="3" fillId="0" borderId="57" xfId="0" applyNumberFormat="1" applyFont="1" applyFill="1" applyBorder="1" applyAlignment="1">
      <alignment horizontal="center" vertical="center"/>
    </xf>
    <xf numFmtId="0" fontId="3" fillId="0" borderId="85" xfId="0" applyFont="1" applyFill="1" applyBorder="1" applyAlignment="1">
      <alignment horizontal="center" vertical="center"/>
    </xf>
    <xf numFmtId="7" fontId="3" fillId="0" borderId="86" xfId="2" applyNumberFormat="1" applyFont="1" applyFill="1" applyBorder="1" applyAlignment="1" applyProtection="1">
      <alignment horizontal="center" vertical="center"/>
    </xf>
    <xf numFmtId="7" fontId="3" fillId="0" borderId="58" xfId="0" applyNumberFormat="1" applyFont="1" applyFill="1" applyBorder="1" applyAlignment="1">
      <alignment horizontal="center" vertical="center" wrapText="1"/>
    </xf>
    <xf numFmtId="3" fontId="3" fillId="0" borderId="57" xfId="0" applyNumberFormat="1" applyFont="1" applyFill="1" applyBorder="1" applyAlignment="1">
      <alignment horizontal="center" vertical="center" wrapText="1"/>
    </xf>
    <xf numFmtId="7" fontId="3" fillId="0" borderId="59" xfId="2" applyNumberFormat="1" applyFont="1" applyFill="1" applyBorder="1" applyAlignment="1" applyProtection="1">
      <alignment horizontal="center" vertical="center"/>
    </xf>
    <xf numFmtId="14" fontId="3" fillId="0" borderId="53" xfId="0" applyNumberFormat="1" applyFont="1" applyBorder="1" applyAlignment="1">
      <alignment horizontal="center" vertical="center"/>
    </xf>
    <xf numFmtId="7" fontId="3" fillId="0" borderId="58" xfId="2" applyNumberFormat="1" applyFont="1" applyBorder="1" applyAlignment="1" applyProtection="1">
      <alignment horizontal="center" vertical="center"/>
    </xf>
    <xf numFmtId="38" fontId="3" fillId="0" borderId="57" xfId="0" applyNumberFormat="1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176" fontId="3" fillId="0" borderId="57" xfId="2" applyFont="1" applyBorder="1" applyAlignment="1" applyProtection="1">
      <alignment horizontal="center" vertical="center"/>
    </xf>
    <xf numFmtId="0" fontId="3" fillId="0" borderId="85" xfId="0" applyFont="1" applyBorder="1" applyAlignment="1">
      <alignment horizontal="center" vertical="center"/>
    </xf>
    <xf numFmtId="10" fontId="3" fillId="0" borderId="53" xfId="3" applyNumberFormat="1" applyFont="1" applyBorder="1" applyAlignment="1" applyProtection="1">
      <alignment horizontal="center" vertical="center"/>
    </xf>
    <xf numFmtId="179" fontId="3" fillId="0" borderId="53" xfId="0" applyNumberFormat="1" applyFont="1" applyBorder="1" applyAlignment="1">
      <alignment horizontal="center" vertical="center"/>
    </xf>
    <xf numFmtId="197" fontId="3" fillId="0" borderId="53" xfId="0" applyNumberFormat="1" applyFont="1" applyBorder="1" applyAlignment="1">
      <alignment horizontal="center" vertical="center"/>
    </xf>
    <xf numFmtId="196" fontId="3" fillId="0" borderId="53" xfId="0" applyNumberFormat="1" applyFont="1" applyBorder="1" applyAlignment="1">
      <alignment horizontal="center" vertical="center"/>
    </xf>
    <xf numFmtId="10" fontId="3" fillId="0" borderId="53" xfId="0" applyNumberFormat="1" applyFont="1" applyBorder="1" applyAlignment="1">
      <alignment horizontal="center" vertical="center"/>
    </xf>
    <xf numFmtId="7" fontId="3" fillId="0" borderId="59" xfId="2" applyNumberFormat="1" applyFont="1" applyBorder="1" applyAlignment="1" applyProtection="1">
      <alignment horizontal="center" vertical="center"/>
    </xf>
    <xf numFmtId="38" fontId="3" fillId="0" borderId="53" xfId="0" applyNumberFormat="1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176" fontId="3" fillId="0" borderId="53" xfId="2" applyFont="1" applyBorder="1" applyAlignment="1" applyProtection="1">
      <alignment horizontal="center" vertical="center"/>
    </xf>
    <xf numFmtId="0" fontId="3" fillId="0" borderId="87" xfId="0" applyFont="1" applyBorder="1" applyAlignment="1">
      <alignment horizontal="center" vertical="center"/>
    </xf>
    <xf numFmtId="7" fontId="3" fillId="0" borderId="53" xfId="2" applyNumberFormat="1" applyFont="1" applyBorder="1" applyAlignment="1" applyProtection="1">
      <alignment horizontal="center" vertical="center"/>
    </xf>
    <xf numFmtId="0" fontId="3" fillId="0" borderId="54" xfId="0" applyFont="1" applyBorder="1" applyAlignment="1">
      <alignment horizontal="center" vertical="center"/>
    </xf>
    <xf numFmtId="176" fontId="3" fillId="0" borderId="54" xfId="2" applyFont="1" applyBorder="1" applyAlignment="1" applyProtection="1">
      <alignment horizontal="center" vertical="center"/>
    </xf>
    <xf numFmtId="7" fontId="3" fillId="9" borderId="4" xfId="0" applyNumberFormat="1" applyFont="1" applyFill="1" applyBorder="1" applyAlignment="1">
      <alignment horizontal="center" vertical="center" wrapText="1"/>
    </xf>
    <xf numFmtId="3" fontId="3" fillId="9" borderId="4" xfId="0" applyNumberFormat="1" applyFont="1" applyFill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/>
    </xf>
    <xf numFmtId="7" fontId="3" fillId="9" borderId="34" xfId="0" applyNumberFormat="1" applyFont="1" applyFill="1" applyBorder="1" applyAlignment="1">
      <alignment horizontal="center" vertical="center" wrapText="1"/>
    </xf>
    <xf numFmtId="3" fontId="3" fillId="9" borderId="34" xfId="0" applyNumberFormat="1" applyFont="1" applyFill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76" fontId="3" fillId="0" borderId="34" xfId="2" applyFont="1" applyBorder="1" applyAlignment="1" applyProtection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10" fontId="3" fillId="0" borderId="54" xfId="3" applyNumberFormat="1" applyFont="1" applyBorder="1" applyAlignment="1" applyProtection="1">
      <alignment horizontal="center" vertical="center"/>
    </xf>
    <xf numFmtId="179" fontId="3" fillId="0" borderId="54" xfId="0" applyNumberFormat="1" applyFont="1" applyBorder="1" applyAlignment="1">
      <alignment horizontal="center" vertical="center"/>
    </xf>
    <xf numFmtId="3" fontId="3" fillId="0" borderId="53" xfId="0" applyNumberFormat="1" applyFont="1" applyBorder="1" applyAlignment="1">
      <alignment horizontal="center" vertical="center"/>
    </xf>
    <xf numFmtId="3" fontId="3" fillId="0" borderId="57" xfId="0" applyNumberFormat="1" applyFont="1" applyBorder="1" applyAlignment="1">
      <alignment horizontal="center" vertical="center"/>
    </xf>
    <xf numFmtId="10" fontId="3" fillId="0" borderId="0" xfId="3" applyNumberFormat="1" applyAlignment="1" applyProtection="1">
      <alignment vertical="center"/>
    </xf>
    <xf numFmtId="0" fontId="3" fillId="0" borderId="61" xfId="0" applyFont="1" applyBorder="1" applyAlignment="1">
      <alignment horizontal="center" vertical="center"/>
    </xf>
    <xf numFmtId="176" fontId="3" fillId="0" borderId="61" xfId="2" applyFont="1" applyBorder="1" applyAlignment="1" applyProtection="1">
      <alignment horizontal="center" vertical="center"/>
    </xf>
    <xf numFmtId="7" fontId="3" fillId="0" borderId="60" xfId="2" applyNumberFormat="1" applyFont="1" applyBorder="1" applyAlignment="1" applyProtection="1">
      <alignment horizontal="center" vertical="center"/>
    </xf>
    <xf numFmtId="38" fontId="3" fillId="0" borderId="54" xfId="0" applyNumberFormat="1" applyFont="1" applyBorder="1" applyAlignment="1">
      <alignment horizontal="center" vertical="center"/>
    </xf>
    <xf numFmtId="196" fontId="3" fillId="0" borderId="54" xfId="0" applyNumberFormat="1" applyFont="1" applyBorder="1" applyAlignment="1">
      <alignment horizontal="center" vertical="center"/>
    </xf>
    <xf numFmtId="10" fontId="3" fillId="0" borderId="54" xfId="0" applyNumberFormat="1" applyFont="1" applyBorder="1" applyAlignment="1">
      <alignment horizontal="center" vertical="center"/>
    </xf>
    <xf numFmtId="0" fontId="3" fillId="0" borderId="88" xfId="0" applyFont="1" applyFill="1" applyBorder="1" applyAlignment="1">
      <alignment horizontal="center" vertical="center"/>
    </xf>
    <xf numFmtId="10" fontId="3" fillId="0" borderId="0" xfId="3" applyNumberFormat="1" applyFont="1" applyFill="1" applyAlignment="1" applyProtection="1">
      <alignment vertical="center"/>
    </xf>
    <xf numFmtId="4" fontId="3" fillId="0" borderId="88" xfId="0" applyNumberFormat="1" applyFont="1" applyFill="1" applyBorder="1" applyAlignment="1">
      <alignment horizontal="center" vertical="center"/>
    </xf>
    <xf numFmtId="196" fontId="3" fillId="0" borderId="88" xfId="0" applyNumberFormat="1" applyFont="1" applyFill="1" applyBorder="1" applyAlignment="1">
      <alignment horizontal="center" vertical="center"/>
    </xf>
    <xf numFmtId="176" fontId="3" fillId="0" borderId="0" xfId="2" applyNumberFormat="1" applyFont="1" applyAlignment="1" applyProtection="1">
      <alignment horizontal="center" vertical="center"/>
    </xf>
    <xf numFmtId="189" fontId="3" fillId="0" borderId="0" xfId="2" applyNumberFormat="1" applyFont="1" applyAlignment="1" applyProtection="1">
      <alignment horizontal="center" vertical="center"/>
    </xf>
    <xf numFmtId="177" fontId="2" fillId="10" borderId="1" xfId="0" applyNumberFormat="1" applyFont="1" applyFill="1" applyBorder="1" applyAlignment="1">
      <alignment horizontal="center" vertical="center" wrapText="1"/>
    </xf>
    <xf numFmtId="178" fontId="2" fillId="10" borderId="1" xfId="0" applyNumberFormat="1" applyFont="1" applyFill="1" applyBorder="1" applyAlignment="1">
      <alignment horizontal="center" vertical="center" wrapText="1"/>
    </xf>
    <xf numFmtId="10" fontId="18" fillId="0" borderId="0" xfId="0" applyNumberFormat="1" applyFont="1">
      <alignment vertical="center"/>
    </xf>
    <xf numFmtId="194" fontId="3" fillId="0" borderId="0" xfId="0" applyNumberFormat="1" applyFont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 wrapText="1"/>
    </xf>
    <xf numFmtId="187" fontId="19" fillId="2" borderId="4" xfId="0" applyNumberFormat="1" applyFont="1" applyFill="1" applyBorder="1" applyAlignment="1">
      <alignment horizontal="center" vertical="center"/>
    </xf>
    <xf numFmtId="194" fontId="19" fillId="2" borderId="4" xfId="0" applyNumberFormat="1" applyFont="1" applyFill="1" applyBorder="1" applyAlignment="1">
      <alignment horizontal="center" vertical="center"/>
    </xf>
    <xf numFmtId="186" fontId="19" fillId="2" borderId="4" xfId="3" applyNumberFormat="1" applyFont="1" applyFill="1" applyBorder="1" applyAlignment="1" applyProtection="1">
      <alignment horizontal="center" vertical="center"/>
    </xf>
    <xf numFmtId="198" fontId="3" fillId="0" borderId="4" xfId="0" applyNumberFormat="1" applyFont="1" applyBorder="1" applyAlignment="1">
      <alignment horizontal="center" vertical="center"/>
    </xf>
    <xf numFmtId="194" fontId="3" fillId="0" borderId="4" xfId="0" applyNumberFormat="1" applyFont="1" applyBorder="1" applyAlignment="1">
      <alignment horizontal="center" vertical="center"/>
    </xf>
    <xf numFmtId="186" fontId="3" fillId="0" borderId="4" xfId="3" applyNumberFormat="1" applyBorder="1" applyAlignment="1" applyProtection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198" fontId="3" fillId="11" borderId="4" xfId="0" applyNumberFormat="1" applyFont="1" applyFill="1" applyBorder="1" applyAlignment="1">
      <alignment horizontal="center" vertical="center"/>
    </xf>
    <xf numFmtId="187" fontId="3" fillId="11" borderId="4" xfId="0" applyNumberFormat="1" applyFont="1" applyFill="1" applyBorder="1" applyAlignment="1">
      <alignment horizontal="center" vertical="center"/>
    </xf>
    <xf numFmtId="194" fontId="3" fillId="11" borderId="4" xfId="0" applyNumberFormat="1" applyFont="1" applyFill="1" applyBorder="1" applyAlignment="1">
      <alignment horizontal="center" vertical="center"/>
    </xf>
    <xf numFmtId="186" fontId="3" fillId="11" borderId="4" xfId="3" applyNumberFormat="1" applyFill="1" applyBorder="1" applyAlignment="1" applyProtection="1">
      <alignment horizontal="center" vertical="center"/>
    </xf>
    <xf numFmtId="198" fontId="19" fillId="2" borderId="4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9" fontId="15" fillId="0" borderId="4" xfId="3" applyFont="1" applyBorder="1" applyAlignment="1" applyProtection="1">
      <alignment horizontal="center" vertical="center"/>
    </xf>
    <xf numFmtId="186" fontId="15" fillId="0" borderId="4" xfId="3" applyNumberFormat="1" applyFont="1" applyBorder="1" applyAlignment="1" applyProtection="1">
      <alignment horizontal="center" vertical="center"/>
    </xf>
    <xf numFmtId="177" fontId="20" fillId="3" borderId="34" xfId="0" applyNumberFormat="1" applyFont="1" applyFill="1" applyBorder="1" applyAlignment="1">
      <alignment horizontal="center" vertical="center" wrapText="1"/>
    </xf>
    <xf numFmtId="7" fontId="20" fillId="3" borderId="34" xfId="2" applyNumberFormat="1" applyFont="1" applyFill="1" applyBorder="1" applyAlignment="1" applyProtection="1">
      <alignment horizontal="center" vertical="center" wrapText="1"/>
    </xf>
    <xf numFmtId="3" fontId="20" fillId="3" borderId="34" xfId="1" applyNumberFormat="1" applyFont="1" applyFill="1" applyBorder="1" applyAlignment="1" applyProtection="1">
      <alignment horizontal="center" vertical="center" wrapText="1"/>
    </xf>
    <xf numFmtId="3" fontId="20" fillId="3" borderId="34" xfId="0" applyNumberFormat="1" applyFont="1" applyFill="1" applyBorder="1" applyAlignment="1">
      <alignment horizontal="center" vertical="center" wrapText="1"/>
    </xf>
    <xf numFmtId="3" fontId="3" fillId="0" borderId="4" xfId="2" applyNumberFormat="1" applyFont="1" applyBorder="1" applyAlignment="1" applyProtection="1">
      <alignment horizontal="center" vertical="center"/>
    </xf>
    <xf numFmtId="9" fontId="3" fillId="0" borderId="0" xfId="3" applyAlignment="1" applyProtection="1">
      <alignment vertical="center"/>
    </xf>
    <xf numFmtId="9" fontId="15" fillId="0" borderId="4" xfId="3" applyNumberFormat="1" applyFont="1" applyBorder="1" applyAlignment="1" applyProtection="1">
      <alignment horizontal="center" vertical="center"/>
    </xf>
    <xf numFmtId="176" fontId="20" fillId="3" borderId="34" xfId="2" applyFont="1" applyFill="1" applyBorder="1" applyAlignment="1" applyProtection="1">
      <alignment horizontal="center" vertical="center" wrapText="1"/>
    </xf>
    <xf numFmtId="180" fontId="20" fillId="3" borderId="34" xfId="1" applyNumberFormat="1" applyFont="1" applyFill="1" applyBorder="1" applyAlignment="1" applyProtection="1">
      <alignment horizontal="center" vertical="center" wrapText="1"/>
    </xf>
    <xf numFmtId="187" fontId="20" fillId="3" borderId="34" xfId="1" applyNumberFormat="1" applyFont="1" applyFill="1" applyBorder="1" applyAlignment="1" applyProtection="1">
      <alignment horizontal="center" vertical="center" wrapText="1"/>
    </xf>
    <xf numFmtId="38" fontId="20" fillId="3" borderId="34" xfId="0" applyNumberFormat="1" applyFont="1" applyFill="1" applyBorder="1" applyAlignment="1">
      <alignment horizontal="center" vertical="center" wrapText="1"/>
    </xf>
    <xf numFmtId="10" fontId="20" fillId="3" borderId="34" xfId="3" applyNumberFormat="1" applyFont="1" applyFill="1" applyBorder="1" applyAlignment="1" applyProtection="1">
      <alignment horizontal="center" vertical="center" wrapText="1"/>
    </xf>
    <xf numFmtId="199" fontId="20" fillId="3" borderId="34" xfId="0" applyNumberFormat="1" applyFont="1" applyFill="1" applyBorder="1" applyAlignment="1">
      <alignment horizontal="center" vertical="center" wrapText="1"/>
    </xf>
    <xf numFmtId="43" fontId="20" fillId="3" borderId="34" xfId="1" applyFont="1" applyFill="1" applyBorder="1" applyAlignment="1" applyProtection="1">
      <alignment horizontal="center" vertical="center" wrapText="1"/>
    </xf>
    <xf numFmtId="187" fontId="20" fillId="3" borderId="0" xfId="0" applyNumberFormat="1" applyFont="1" applyFill="1" applyAlignment="1">
      <alignment horizontal="center" vertical="center" wrapText="1"/>
    </xf>
    <xf numFmtId="180" fontId="3" fillId="0" borderId="4" xfId="1" applyNumberFormat="1" applyFont="1" applyBorder="1" applyAlignment="1" applyProtection="1">
      <alignment horizontal="center" vertical="center"/>
    </xf>
    <xf numFmtId="187" fontId="3" fillId="0" borderId="4" xfId="1" applyNumberFormat="1" applyFont="1" applyBorder="1" applyAlignment="1" applyProtection="1">
      <alignment horizontal="center" vertical="center"/>
    </xf>
    <xf numFmtId="187" fontId="3" fillId="0" borderId="0" xfId="1" applyNumberFormat="1" applyFont="1" applyAlignment="1" applyProtection="1">
      <alignment horizontal="center" vertical="center"/>
    </xf>
    <xf numFmtId="199" fontId="3" fillId="0" borderId="4" xfId="2" applyNumberFormat="1" applyFont="1" applyBorder="1" applyAlignment="1" applyProtection="1">
      <alignment horizontal="center" vertical="center"/>
    </xf>
    <xf numFmtId="43" fontId="3" fillId="0" borderId="4" xfId="1" applyFont="1" applyBorder="1" applyAlignment="1" applyProtection="1">
      <alignment horizontal="center" vertical="center"/>
    </xf>
    <xf numFmtId="1" fontId="3" fillId="0" borderId="4" xfId="2" applyNumberFormat="1" applyFont="1" applyBorder="1" applyAlignment="1" applyProtection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187" fontId="3" fillId="0" borderId="0" xfId="2" applyNumberFormat="1" applyFont="1" applyAlignment="1" applyProtection="1">
      <alignment horizontal="center" vertical="center"/>
    </xf>
    <xf numFmtId="0" fontId="12" fillId="0" borderId="4" xfId="0" applyFont="1" applyBorder="1" applyAlignment="1">
      <alignment horizontal="center" vertical="center"/>
    </xf>
    <xf numFmtId="176" fontId="12" fillId="0" borderId="4" xfId="2" applyFont="1" applyBorder="1" applyAlignment="1" applyProtection="1">
      <alignment horizontal="center" vertical="center"/>
    </xf>
    <xf numFmtId="180" fontId="12" fillId="0" borderId="4" xfId="1" applyNumberFormat="1" applyFont="1" applyBorder="1" applyAlignment="1" applyProtection="1">
      <alignment horizontal="center" vertical="center"/>
    </xf>
    <xf numFmtId="187" fontId="12" fillId="0" borderId="4" xfId="1" applyNumberFormat="1" applyFont="1" applyBorder="1" applyAlignment="1" applyProtection="1">
      <alignment horizontal="center" vertical="center"/>
    </xf>
    <xf numFmtId="38" fontId="12" fillId="0" borderId="4" xfId="0" applyNumberFormat="1" applyFont="1" applyBorder="1" applyAlignment="1">
      <alignment horizontal="center" vertical="center"/>
    </xf>
    <xf numFmtId="10" fontId="12" fillId="0" borderId="4" xfId="3" applyNumberFormat="1" applyFont="1" applyBorder="1" applyAlignment="1" applyProtection="1">
      <alignment horizontal="center" vertical="center"/>
    </xf>
    <xf numFmtId="199" fontId="12" fillId="0" borderId="4" xfId="2" applyNumberFormat="1" applyFont="1" applyBorder="1" applyAlignment="1" applyProtection="1">
      <alignment horizontal="center" vertical="center"/>
    </xf>
    <xf numFmtId="43" fontId="12" fillId="0" borderId="4" xfId="1" applyFont="1" applyBorder="1" applyAlignment="1" applyProtection="1">
      <alignment horizontal="center" vertical="center"/>
    </xf>
    <xf numFmtId="0" fontId="12" fillId="0" borderId="4" xfId="2" applyNumberFormat="1" applyFont="1" applyBorder="1" applyAlignment="1" applyProtection="1">
      <alignment horizontal="center" vertical="center"/>
    </xf>
    <xf numFmtId="0" fontId="12" fillId="0" borderId="0" xfId="0" applyFont="1" applyAlignment="1">
      <alignment horizontal="center" vertical="center"/>
    </xf>
    <xf numFmtId="3" fontId="3" fillId="0" borderId="4" xfId="1" applyNumberFormat="1" applyFont="1" applyBorder="1" applyAlignment="1" applyProtection="1">
      <alignment horizontal="center" vertical="center"/>
    </xf>
    <xf numFmtId="7" fontId="3" fillId="0" borderId="4" xfId="0" applyNumberFormat="1" applyFont="1" applyBorder="1" applyAlignment="1">
      <alignment horizontal="center" vertical="center"/>
    </xf>
    <xf numFmtId="7" fontId="12" fillId="0" borderId="4" xfId="2" applyNumberFormat="1" applyFont="1" applyBorder="1" applyAlignment="1" applyProtection="1">
      <alignment horizontal="center" vertical="center"/>
    </xf>
    <xf numFmtId="3" fontId="12" fillId="0" borderId="4" xfId="2" applyNumberFormat="1" applyFont="1" applyBorder="1" applyAlignment="1" applyProtection="1">
      <alignment horizontal="center" vertical="center"/>
    </xf>
    <xf numFmtId="7" fontId="12" fillId="0" borderId="0" xfId="2" applyNumberFormat="1" applyFont="1" applyBorder="1" applyAlignment="1" applyProtection="1">
      <alignment horizontal="center" vertical="center"/>
    </xf>
    <xf numFmtId="3" fontId="12" fillId="0" borderId="0" xfId="2" applyNumberFormat="1" applyFont="1" applyBorder="1" applyAlignment="1" applyProtection="1">
      <alignment horizontal="center" vertical="center"/>
    </xf>
    <xf numFmtId="10" fontId="12" fillId="0" borderId="0" xfId="3" applyNumberFormat="1" applyFont="1" applyBorder="1" applyAlignment="1" applyProtection="1">
      <alignment horizontal="center" vertical="center"/>
    </xf>
    <xf numFmtId="199" fontId="12" fillId="0" borderId="0" xfId="2" applyNumberFormat="1" applyFont="1" applyBorder="1" applyAlignment="1" applyProtection="1">
      <alignment horizontal="center" vertical="center"/>
    </xf>
    <xf numFmtId="43" fontId="12" fillId="0" borderId="0" xfId="1" applyFont="1" applyBorder="1" applyAlignment="1" applyProtection="1">
      <alignment horizontal="center" vertical="center"/>
    </xf>
    <xf numFmtId="176" fontId="12" fillId="0" borderId="0" xfId="2" applyFont="1" applyBorder="1" applyAlignment="1" applyProtection="1">
      <alignment horizontal="center" vertical="center"/>
    </xf>
    <xf numFmtId="7" fontId="3" fillId="0" borderId="0" xfId="0" applyNumberFormat="1" applyFont="1" applyAlignment="1">
      <alignment horizontal="center" vertical="center"/>
    </xf>
    <xf numFmtId="7" fontId="20" fillId="3" borderId="34" xfId="0" applyNumberFormat="1" applyFont="1" applyFill="1" applyBorder="1" applyAlignment="1">
      <alignment horizontal="center" vertical="center" wrapText="1"/>
    </xf>
    <xf numFmtId="7" fontId="3" fillId="0" borderId="4" xfId="2" applyNumberFormat="1" applyFont="1" applyBorder="1" applyAlignment="1" applyProtection="1">
      <alignment horizontal="center" vertical="center" wrapText="1"/>
    </xf>
    <xf numFmtId="7" fontId="3" fillId="0" borderId="4" xfId="1" applyNumberFormat="1" applyFont="1" applyBorder="1" applyAlignment="1" applyProtection="1">
      <alignment horizontal="center" vertical="center"/>
    </xf>
    <xf numFmtId="200" fontId="3" fillId="0" borderId="4" xfId="2" applyNumberFormat="1" applyFont="1" applyBorder="1" applyAlignment="1" applyProtection="1">
      <alignment horizontal="center" vertical="center"/>
    </xf>
    <xf numFmtId="200" fontId="12" fillId="0" borderId="4" xfId="2" applyNumberFormat="1" applyFont="1" applyBorder="1" applyAlignment="1" applyProtection="1">
      <alignment horizontal="center" vertical="center"/>
    </xf>
    <xf numFmtId="9" fontId="3" fillId="0" borderId="0" xfId="3" applyFont="1" applyAlignment="1" applyProtection="1">
      <alignment horizontal="center" vertical="center"/>
    </xf>
    <xf numFmtId="187" fontId="3" fillId="0" borderId="4" xfId="2" applyNumberFormat="1" applyFont="1" applyBorder="1" applyAlignment="1" applyProtection="1">
      <alignment horizontal="center" vertical="center"/>
    </xf>
    <xf numFmtId="49" fontId="20" fillId="3" borderId="34" xfId="0" applyNumberFormat="1" applyFont="1" applyFill="1" applyBorder="1" applyAlignment="1">
      <alignment horizontal="center" vertical="center" wrapText="1"/>
    </xf>
    <xf numFmtId="187" fontId="20" fillId="3" borderId="4" xfId="0" applyNumberFormat="1" applyFont="1" applyFill="1" applyBorder="1" applyAlignment="1">
      <alignment horizontal="center" vertical="center" wrapText="1"/>
    </xf>
    <xf numFmtId="186" fontId="3" fillId="0" borderId="4" xfId="3" applyNumberFormat="1" applyFont="1" applyBorder="1" applyAlignment="1" applyProtection="1">
      <alignment horizontal="center" vertical="center"/>
    </xf>
    <xf numFmtId="49" fontId="20" fillId="3" borderId="4" xfId="0" applyNumberFormat="1" applyFont="1" applyFill="1" applyBorder="1" applyAlignment="1">
      <alignment horizontal="center" vertical="center" wrapText="1"/>
    </xf>
    <xf numFmtId="7" fontId="20" fillId="3" borderId="4" xfId="2" applyNumberFormat="1" applyFont="1" applyFill="1" applyBorder="1" applyAlignment="1" applyProtection="1">
      <alignment horizontal="center" vertical="center" wrapText="1"/>
    </xf>
    <xf numFmtId="3" fontId="21" fillId="12" borderId="4" xfId="1" applyNumberFormat="1" applyFont="1" applyFill="1" applyBorder="1" applyAlignment="1" applyProtection="1">
      <alignment horizontal="center" vertical="center" wrapText="1"/>
    </xf>
    <xf numFmtId="3" fontId="20" fillId="3" borderId="4" xfId="1" applyNumberFormat="1" applyFont="1" applyFill="1" applyBorder="1" applyAlignment="1" applyProtection="1">
      <alignment horizontal="center" vertical="center" wrapText="1"/>
    </xf>
    <xf numFmtId="3" fontId="20" fillId="3" borderId="4" xfId="0" applyNumberFormat="1" applyFont="1" applyFill="1" applyBorder="1" applyAlignment="1">
      <alignment horizontal="center" vertical="center" wrapText="1"/>
    </xf>
    <xf numFmtId="10" fontId="20" fillId="3" borderId="4" xfId="3" applyNumberFormat="1" applyFont="1" applyFill="1" applyBorder="1" applyAlignment="1" applyProtection="1">
      <alignment horizontal="center" vertical="center" wrapText="1"/>
    </xf>
    <xf numFmtId="199" fontId="20" fillId="3" borderId="4" xfId="0" applyNumberFormat="1" applyFont="1" applyFill="1" applyBorder="1" applyAlignment="1">
      <alignment horizontal="center" vertical="center" wrapText="1"/>
    </xf>
    <xf numFmtId="43" fontId="20" fillId="3" borderId="4" xfId="1" applyFont="1" applyFill="1" applyBorder="1" applyAlignment="1" applyProtection="1">
      <alignment horizontal="center" vertical="center" wrapText="1"/>
    </xf>
    <xf numFmtId="176" fontId="20" fillId="3" borderId="4" xfId="2" applyFont="1" applyFill="1" applyBorder="1" applyAlignment="1" applyProtection="1">
      <alignment horizontal="center" vertical="center" wrapText="1"/>
    </xf>
    <xf numFmtId="7" fontId="20" fillId="3" borderId="4" xfId="0" applyNumberFormat="1" applyFont="1" applyFill="1" applyBorder="1" applyAlignment="1">
      <alignment horizontal="center" vertical="center" wrapText="1"/>
    </xf>
    <xf numFmtId="9" fontId="3" fillId="0" borderId="4" xfId="3" applyFont="1" applyBorder="1" applyAlignment="1" applyProtection="1">
      <alignment horizontal="center" vertical="center"/>
    </xf>
    <xf numFmtId="186" fontId="3" fillId="0" borderId="0" xfId="3" applyNumberFormat="1" applyFont="1" applyAlignment="1" applyProtection="1">
      <alignment horizontal="center" vertical="center"/>
    </xf>
    <xf numFmtId="0" fontId="15" fillId="0" borderId="0" xfId="0" applyFont="1" applyAlignment="1">
      <alignment horizontal="center" vertical="center"/>
    </xf>
    <xf numFmtId="9" fontId="15" fillId="0" borderId="0" xfId="3" applyFont="1" applyAlignment="1" applyProtection="1">
      <alignment horizontal="center" vertical="center"/>
    </xf>
    <xf numFmtId="7" fontId="2" fillId="3" borderId="4" xfId="0" applyNumberFormat="1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7" fontId="3" fillId="0" borderId="5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38" fontId="3" fillId="0" borderId="0" xfId="2" applyNumberFormat="1" applyFont="1" applyAlignment="1" applyProtection="1">
      <alignment horizontal="center" vertical="center"/>
    </xf>
    <xf numFmtId="7" fontId="3" fillId="0" borderId="0" xfId="2" applyNumberFormat="1" applyFont="1" applyBorder="1" applyAlignment="1" applyProtection="1">
      <alignment horizontal="center" vertical="center"/>
    </xf>
    <xf numFmtId="180" fontId="3" fillId="0" borderId="0" xfId="1" applyNumberFormat="1" applyFont="1" applyFill="1" applyBorder="1" applyAlignment="1" applyProtection="1">
      <alignment horizontal="center" vertical="center"/>
    </xf>
    <xf numFmtId="10" fontId="3" fillId="0" borderId="0" xfId="3" applyNumberFormat="1" applyFont="1" applyFill="1" applyAlignment="1" applyProtection="1">
      <alignment horizontal="center" vertical="center"/>
    </xf>
    <xf numFmtId="186" fontId="3" fillId="0" borderId="0" xfId="3" applyNumberFormat="1" applyFont="1" applyFill="1" applyAlignment="1" applyProtection="1">
      <alignment horizontal="center" vertical="center"/>
    </xf>
    <xf numFmtId="40" fontId="3" fillId="0" borderId="0" xfId="2" applyNumberFormat="1" applyFont="1" applyAlignment="1" applyProtection="1">
      <alignment horizontal="center" vertical="center"/>
    </xf>
    <xf numFmtId="7" fontId="3" fillId="0" borderId="0" xfId="1" applyNumberFormat="1" applyFont="1" applyFill="1" applyBorder="1" applyAlignment="1" applyProtection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7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0" fillId="0" borderId="14" xfId="0" applyNumberFormat="1" applyFont="1" applyFill="1" applyBorder="1" applyAlignment="1">
      <alignment horizontal="center" vertical="center"/>
    </xf>
    <xf numFmtId="7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0" fontId="0" fillId="0" borderId="0" xfId="0" applyNumberFormat="1" applyFont="1" applyFill="1" applyAlignment="1">
      <alignment horizontal="center" vertical="center"/>
    </xf>
    <xf numFmtId="187" fontId="0" fillId="0" borderId="0" xfId="0" applyNumberFormat="1" applyFont="1" applyAlignment="1">
      <alignment horizontal="center" vertical="center"/>
    </xf>
    <xf numFmtId="3" fontId="0" fillId="0" borderId="0" xfId="0" applyNumberFormat="1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7" fontId="0" fillId="0" borderId="0" xfId="2" applyNumberFormat="1" applyFont="1" applyFill="1" applyAlignment="1" applyProtection="1">
      <alignment horizontal="center" vertical="center"/>
    </xf>
    <xf numFmtId="14" fontId="0" fillId="0" borderId="17" xfId="0" applyNumberFormat="1" applyFont="1" applyFill="1" applyBorder="1" applyAlignment="1">
      <alignment horizontal="center" vertical="center"/>
    </xf>
    <xf numFmtId="7" fontId="3" fillId="0" borderId="0" xfId="49" applyNumberFormat="1" applyFill="1" applyAlignment="1" applyProtection="1">
      <alignment horizontal="center" vertical="center"/>
    </xf>
    <xf numFmtId="7" fontId="3" fillId="0" borderId="66" xfId="49" applyNumberFormat="1" applyFill="1" applyBorder="1" applyAlignment="1" applyProtection="1">
      <alignment horizontal="center" vertical="center"/>
    </xf>
    <xf numFmtId="3" fontId="3" fillId="0" borderId="66" xfId="49" applyNumberFormat="1" applyFill="1" applyBorder="1" applyAlignment="1" applyProtection="1">
      <alignment horizontal="center" vertical="center"/>
    </xf>
    <xf numFmtId="7" fontId="3" fillId="0" borderId="66" xfId="2" applyNumberFormat="1" applyFont="1" applyFill="1" applyBorder="1" applyAlignment="1" applyProtection="1">
      <alignment horizontal="center" vertical="center"/>
    </xf>
    <xf numFmtId="7" fontId="3" fillId="0" borderId="68" xfId="2" applyNumberFormat="1" applyFont="1" applyFill="1" applyBorder="1" applyAlignment="1" applyProtection="1">
      <alignment horizontal="center" vertical="center"/>
    </xf>
    <xf numFmtId="14" fontId="0" fillId="0" borderId="62" xfId="0" applyNumberFormat="1" applyFont="1" applyFill="1" applyBorder="1" applyAlignment="1">
      <alignment horizontal="center" vertical="center"/>
    </xf>
    <xf numFmtId="14" fontId="0" fillId="0" borderId="24" xfId="0" applyNumberFormat="1" applyFont="1" applyFill="1" applyBorder="1" applyAlignment="1">
      <alignment horizontal="center" vertical="center"/>
    </xf>
    <xf numFmtId="191" fontId="3" fillId="0" borderId="67" xfId="0" applyNumberFormat="1" applyFont="1" applyFill="1" applyBorder="1" applyAlignment="1">
      <alignment horizontal="center" vertical="center" wrapText="1"/>
    </xf>
    <xf numFmtId="191" fontId="3" fillId="0" borderId="67" xfId="0" applyNumberFormat="1" applyFont="1" applyFill="1" applyBorder="1" applyAlignment="1">
      <alignment horizontal="distributed" vertical="center"/>
    </xf>
    <xf numFmtId="7" fontId="3" fillId="0" borderId="67" xfId="2" applyNumberFormat="1" applyFont="1" applyFill="1" applyBorder="1" applyAlignment="1" applyProtection="1">
      <alignment horizontal="center" vertical="center"/>
    </xf>
    <xf numFmtId="191" fontId="3" fillId="0" borderId="66" xfId="0" applyNumberFormat="1" applyFont="1" applyFill="1" applyBorder="1" applyAlignment="1">
      <alignment horizontal="distributed" vertical="center"/>
    </xf>
    <xf numFmtId="14" fontId="3" fillId="0" borderId="24" xfId="0" applyNumberFormat="1" applyFont="1" applyFill="1" applyBorder="1" applyAlignment="1">
      <alignment horizontal="center" vertical="center"/>
    </xf>
    <xf numFmtId="7" fontId="3" fillId="0" borderId="66" xfId="0" applyNumberFormat="1" applyFont="1" applyFill="1" applyBorder="1" applyAlignment="1">
      <alignment horizontal="distributed" vertical="center" wrapText="1"/>
    </xf>
    <xf numFmtId="3" fontId="3" fillId="0" borderId="89" xfId="0" applyNumberFormat="1" applyFont="1" applyFill="1" applyBorder="1" applyAlignment="1">
      <alignment horizontal="center" vertical="center" wrapText="1"/>
    </xf>
    <xf numFmtId="0" fontId="3" fillId="0" borderId="70" xfId="0" applyFont="1" applyFill="1" applyBorder="1" applyAlignment="1">
      <alignment horizontal="center" vertical="center"/>
    </xf>
    <xf numFmtId="7" fontId="3" fillId="0" borderId="70" xfId="2" applyNumberFormat="1" applyFont="1" applyFill="1" applyBorder="1" applyAlignment="1" applyProtection="1">
      <alignment horizontal="center" vertical="center"/>
    </xf>
    <xf numFmtId="14" fontId="3" fillId="0" borderId="35" xfId="0" applyNumberFormat="1" applyFont="1" applyFill="1" applyBorder="1" applyAlignment="1">
      <alignment horizontal="center" vertical="center"/>
    </xf>
    <xf numFmtId="7" fontId="3" fillId="0" borderId="67" xfId="0" applyNumberFormat="1" applyFont="1" applyFill="1" applyBorder="1" applyAlignment="1">
      <alignment horizontal="distributed" vertical="center" wrapText="1"/>
    </xf>
    <xf numFmtId="7" fontId="3" fillId="0" borderId="75" xfId="2" applyNumberFormat="1" applyFont="1" applyFill="1" applyBorder="1" applyAlignment="1" applyProtection="1">
      <alignment horizontal="center" vertical="center"/>
    </xf>
    <xf numFmtId="7" fontId="13" fillId="0" borderId="75" xfId="0" applyNumberFormat="1" applyFont="1" applyFill="1" applyBorder="1" applyAlignment="1">
      <alignment horizontal="distributed" vertical="center" wrapText="1"/>
    </xf>
    <xf numFmtId="3" fontId="13" fillId="0" borderId="75" xfId="0" applyNumberFormat="1" applyFont="1" applyFill="1" applyBorder="1" applyAlignment="1">
      <alignment horizontal="center" vertical="center" wrapText="1"/>
    </xf>
    <xf numFmtId="14" fontId="3" fillId="0" borderId="90" xfId="0" applyNumberFormat="1" applyFont="1" applyFill="1" applyBorder="1" applyAlignment="1">
      <alignment horizontal="center" vertical="center"/>
    </xf>
    <xf numFmtId="7" fontId="3" fillId="0" borderId="76" xfId="2" applyNumberFormat="1" applyFont="1" applyFill="1" applyBorder="1" applyAlignment="1" applyProtection="1">
      <alignment horizontal="center" vertical="center"/>
    </xf>
    <xf numFmtId="3" fontId="3" fillId="0" borderId="76" xfId="0" applyNumberFormat="1" applyFont="1" applyFill="1" applyBorder="1" applyAlignment="1">
      <alignment horizontal="center" vertical="center"/>
    </xf>
    <xf numFmtId="192" fontId="17" fillId="0" borderId="75" xfId="0" applyNumberFormat="1" applyFont="1" applyFill="1" applyBorder="1" applyAlignment="1">
      <alignment horizontal="center" vertical="center"/>
    </xf>
    <xf numFmtId="38" fontId="17" fillId="0" borderId="75" xfId="0" applyNumberFormat="1" applyFont="1" applyFill="1" applyBorder="1" applyAlignment="1">
      <alignment horizontal="center" vertical="center"/>
    </xf>
    <xf numFmtId="3" fontId="17" fillId="0" borderId="75" xfId="0" applyNumberFormat="1" applyFont="1" applyFill="1" applyBorder="1" applyAlignment="1">
      <alignment horizontal="center" vertical="center"/>
    </xf>
    <xf numFmtId="7" fontId="17" fillId="0" borderId="75" xfId="0" applyNumberFormat="1" applyFont="1" applyFill="1" applyBorder="1" applyAlignment="1">
      <alignment horizontal="center"/>
    </xf>
    <xf numFmtId="0" fontId="17" fillId="0" borderId="75" xfId="0" applyFont="1" applyFill="1" applyBorder="1" applyAlignment="1">
      <alignment horizontal="center"/>
    </xf>
    <xf numFmtId="7" fontId="17" fillId="0" borderId="75" xfId="0" applyNumberFormat="1" applyFont="1" applyFill="1" applyBorder="1" applyAlignment="1">
      <alignment horizontal="center" vertical="center"/>
    </xf>
    <xf numFmtId="0" fontId="17" fillId="0" borderId="75" xfId="0" applyFont="1" applyFill="1" applyBorder="1" applyAlignment="1">
      <alignment horizontal="center" vertical="center"/>
    </xf>
    <xf numFmtId="7" fontId="3" fillId="0" borderId="75" xfId="0" applyNumberFormat="1" applyFont="1" applyFill="1" applyBorder="1" applyAlignment="1">
      <alignment horizontal="center"/>
    </xf>
    <xf numFmtId="3" fontId="17" fillId="0" borderId="75" xfId="0" applyNumberFormat="1" applyFont="1" applyFill="1" applyBorder="1" applyAlignment="1">
      <alignment horizontal="center"/>
    </xf>
    <xf numFmtId="7" fontId="3" fillId="0" borderId="77" xfId="0" applyNumberFormat="1" applyFont="1" applyFill="1" applyBorder="1" applyAlignment="1">
      <alignment horizontal="distributed" vertical="center" wrapText="1"/>
    </xf>
    <xf numFmtId="0" fontId="3" fillId="0" borderId="77" xfId="0" applyFont="1" applyFill="1" applyBorder="1" applyAlignment="1">
      <alignment horizontal="center" vertical="center"/>
    </xf>
    <xf numFmtId="7" fontId="3" fillId="0" borderId="77" xfId="2" applyNumberFormat="1" applyFont="1" applyFill="1" applyBorder="1" applyAlignment="1" applyProtection="1">
      <alignment horizontal="center" vertical="center"/>
    </xf>
    <xf numFmtId="7" fontId="3" fillId="0" borderId="75" xfId="0" applyNumberFormat="1" applyFont="1" applyFill="1" applyBorder="1" applyAlignment="1">
      <alignment horizontal="center" vertical="center" wrapText="1"/>
    </xf>
    <xf numFmtId="7" fontId="3" fillId="0" borderId="77" xfId="0" applyNumberFormat="1" applyFont="1" applyFill="1" applyBorder="1" applyAlignment="1">
      <alignment horizontal="center" vertical="center" wrapText="1"/>
    </xf>
    <xf numFmtId="0" fontId="3" fillId="0" borderId="91" xfId="0" applyFont="1" applyFill="1" applyBorder="1" applyAlignment="1">
      <alignment horizontal="center" vertical="center"/>
    </xf>
    <xf numFmtId="7" fontId="3" fillId="0" borderId="0" xfId="0" applyNumberFormat="1" applyFont="1" applyFill="1" applyAlignment="1">
      <alignment horizontal="center" vertical="center" wrapText="1"/>
    </xf>
    <xf numFmtId="7" fontId="3" fillId="0" borderId="0" xfId="0" applyNumberFormat="1" applyFont="1" applyFill="1" applyAlignment="1">
      <alignment horizontal="center" vertical="center"/>
    </xf>
    <xf numFmtId="7" fontId="3" fillId="0" borderId="0" xfId="0" applyNumberFormat="1" applyFont="1" applyFill="1" applyAlignment="1">
      <alignment horizontal="center"/>
    </xf>
    <xf numFmtId="3" fontId="1" fillId="0" borderId="0" xfId="0" applyNumberFormat="1" applyFont="1" applyFill="1" applyAlignment="1">
      <alignment horizontal="center"/>
    </xf>
    <xf numFmtId="7" fontId="3" fillId="0" borderId="0" xfId="2" applyNumberFormat="1" applyFont="1" applyFill="1" applyBorder="1" applyAlignment="1" applyProtection="1">
      <alignment horizontal="center" vertical="center"/>
    </xf>
    <xf numFmtId="189" fontId="3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84" fontId="1" fillId="0" borderId="0" xfId="0" applyNumberFormat="1" applyFont="1" applyFill="1" applyAlignment="1">
      <alignment horizontal="center"/>
    </xf>
    <xf numFmtId="184" fontId="3" fillId="0" borderId="75" xfId="0" applyNumberFormat="1" applyFont="1" applyFill="1" applyBorder="1" applyAlignment="1">
      <alignment horizontal="center"/>
    </xf>
    <xf numFmtId="7" fontId="3" fillId="0" borderId="75" xfId="49" applyNumberFormat="1" applyFont="1" applyFill="1" applyBorder="1" applyAlignment="1" applyProtection="1">
      <alignment horizontal="center" vertical="center"/>
    </xf>
    <xf numFmtId="14" fontId="3" fillId="0" borderId="90" xfId="0" applyNumberFormat="1" applyFont="1" applyBorder="1" applyAlignment="1">
      <alignment horizontal="center" vertical="center"/>
    </xf>
    <xf numFmtId="10" fontId="0" fillId="0" borderId="0" xfId="0" applyNumberFormat="1" applyFont="1" applyAlignment="1">
      <alignment horizontal="center" vertical="center"/>
    </xf>
    <xf numFmtId="196" fontId="0" fillId="0" borderId="0" xfId="0" applyNumberFormat="1" applyFont="1" applyAlignment="1">
      <alignment horizontal="center" vertical="center"/>
    </xf>
    <xf numFmtId="7" fontId="3" fillId="0" borderId="75" xfId="2" applyNumberFormat="1" applyFont="1" applyBorder="1" applyAlignment="1" applyProtection="1">
      <alignment horizontal="center" vertical="center"/>
    </xf>
    <xf numFmtId="3" fontId="3" fillId="0" borderId="75" xfId="0" applyNumberFormat="1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3" fontId="3" fillId="9" borderId="75" xfId="0" applyNumberFormat="1" applyFont="1" applyFill="1" applyBorder="1" applyAlignment="1">
      <alignment horizontal="center" vertical="center" wrapText="1"/>
    </xf>
    <xf numFmtId="7" fontId="3" fillId="0" borderId="0" xfId="49" applyNumberFormat="1" applyAlignment="1" applyProtection="1">
      <alignment horizontal="center" vertical="center"/>
    </xf>
    <xf numFmtId="10" fontId="0" fillId="0" borderId="0" xfId="0" applyNumberFormat="1" applyFont="1" applyFill="1" applyBorder="1" applyAlignment="1">
      <alignment horizontal="center" vertical="center"/>
    </xf>
    <xf numFmtId="7" fontId="0" fillId="0" borderId="0" xfId="0" applyNumberFormat="1" applyFont="1" applyFill="1" applyBorder="1" applyAlignment="1">
      <alignment horizontal="center" vertical="center"/>
    </xf>
    <xf numFmtId="196" fontId="0" fillId="0" borderId="0" xfId="0" applyNumberFormat="1" applyFont="1" applyFill="1" applyBorder="1" applyAlignment="1">
      <alignment horizontal="center" vertical="center"/>
    </xf>
    <xf numFmtId="9" fontId="3" fillId="0" borderId="0" xfId="3">
      <protection locked="0"/>
    </xf>
    <xf numFmtId="182" fontId="2" fillId="3" borderId="4" xfId="0" applyNumberFormat="1" applyFont="1" applyFill="1" applyBorder="1" applyAlignment="1">
      <alignment horizontal="center" vertical="center" wrapText="1"/>
    </xf>
    <xf numFmtId="181" fontId="2" fillId="3" borderId="4" xfId="0" applyNumberFormat="1" applyFont="1" applyFill="1" applyBorder="1" applyAlignment="1">
      <alignment horizontal="center" vertical="center" wrapText="1"/>
    </xf>
    <xf numFmtId="196" fontId="2" fillId="3" borderId="4" xfId="0" applyNumberFormat="1" applyFont="1" applyFill="1" applyBorder="1" applyAlignment="1">
      <alignment horizontal="center" vertical="center" wrapText="1"/>
    </xf>
    <xf numFmtId="176" fontId="3" fillId="0" borderId="4" xfId="2" applyFont="1" applyFill="1" applyBorder="1" applyAlignment="1" applyProtection="1">
      <alignment horizontal="center" vertical="center"/>
    </xf>
    <xf numFmtId="7" fontId="3" fillId="0" borderId="0" xfId="0" applyNumberFormat="1" applyFont="1" applyAlignment="1">
      <alignment horizontal="center"/>
    </xf>
    <xf numFmtId="7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89" fontId="23" fillId="0" borderId="0" xfId="0" applyNumberFormat="1" applyFont="1" applyAlignment="1">
      <alignment horizontal="center" vertical="center"/>
    </xf>
    <xf numFmtId="187" fontId="23" fillId="0" borderId="0" xfId="0" applyNumberFormat="1" applyFont="1" applyAlignment="1">
      <alignment horizontal="center" vertical="center"/>
    </xf>
    <xf numFmtId="196" fontId="23" fillId="0" borderId="0" xfId="0" applyNumberFormat="1" applyFont="1" applyAlignment="1">
      <alignment horizontal="center" vertical="center"/>
    </xf>
    <xf numFmtId="14" fontId="3" fillId="0" borderId="34" xfId="0" applyNumberFormat="1" applyFont="1" applyBorder="1" applyAlignment="1">
      <alignment horizontal="center" vertical="center"/>
    </xf>
    <xf numFmtId="7" fontId="3" fillId="0" borderId="34" xfId="2" applyNumberFormat="1" applyFont="1" applyBorder="1" applyAlignment="1" applyProtection="1">
      <alignment horizontal="center" vertical="center"/>
    </xf>
    <xf numFmtId="7" fontId="23" fillId="0" borderId="4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89" fontId="23" fillId="0" borderId="4" xfId="0" applyNumberFormat="1" applyFont="1" applyBorder="1" applyAlignment="1">
      <alignment horizontal="center" vertical="center"/>
    </xf>
    <xf numFmtId="187" fontId="23" fillId="0" borderId="4" xfId="0" applyNumberFormat="1" applyFont="1" applyBorder="1" applyAlignment="1">
      <alignment horizontal="center" vertical="center"/>
    </xf>
    <xf numFmtId="196" fontId="23" fillId="0" borderId="4" xfId="0" applyNumberFormat="1" applyFont="1" applyBorder="1" applyAlignment="1">
      <alignment horizontal="center" vertical="center"/>
    </xf>
    <xf numFmtId="0" fontId="23" fillId="0" borderId="4" xfId="0" applyFont="1" applyFill="1" applyBorder="1" applyAlignment="1">
      <alignment horizontal="center" vertical="center"/>
    </xf>
    <xf numFmtId="7" fontId="23" fillId="0" borderId="4" xfId="0" applyNumberFormat="1" applyFont="1" applyFill="1" applyBorder="1" applyAlignment="1">
      <alignment horizontal="center" vertical="center"/>
    </xf>
    <xf numFmtId="10" fontId="23" fillId="0" borderId="4" xfId="0" applyNumberFormat="1" applyFont="1" applyFill="1" applyBorder="1" applyAlignment="1">
      <alignment horizontal="center" vertical="center"/>
    </xf>
    <xf numFmtId="191" fontId="3" fillId="0" borderId="4" xfId="0" applyNumberFormat="1" applyFont="1" applyFill="1" applyBorder="1" applyAlignment="1">
      <alignment horizontal="center" vertical="center"/>
    </xf>
    <xf numFmtId="7" fontId="3" fillId="0" borderId="4" xfId="0" applyNumberFormat="1" applyFont="1" applyFill="1" applyBorder="1" applyAlignment="1">
      <alignment horizontal="center" vertical="center"/>
    </xf>
    <xf numFmtId="7" fontId="3" fillId="0" borderId="34" xfId="0" applyNumberFormat="1" applyFont="1" applyFill="1" applyBorder="1" applyAlignment="1">
      <alignment horizontal="center" vertical="center"/>
    </xf>
    <xf numFmtId="191" fontId="3" fillId="0" borderId="34" xfId="2" applyNumberFormat="1" applyFont="1" applyFill="1" applyBorder="1" applyAlignment="1" applyProtection="1">
      <alignment horizontal="center" vertical="center"/>
    </xf>
    <xf numFmtId="191" fontId="3" fillId="0" borderId="53" xfId="2" applyNumberFormat="1" applyFont="1" applyFill="1" applyBorder="1" applyAlignment="1" applyProtection="1">
      <alignment horizontal="center" vertical="center"/>
    </xf>
    <xf numFmtId="7" fontId="3" fillId="0" borderId="53" xfId="0" applyNumberFormat="1" applyFont="1" applyFill="1" applyBorder="1" applyAlignment="1">
      <alignment horizontal="center" vertical="center"/>
    </xf>
    <xf numFmtId="7" fontId="3" fillId="0" borderId="57" xfId="49" applyNumberFormat="1" applyFill="1" applyBorder="1" applyAlignment="1" applyProtection="1">
      <alignment horizontal="center" vertical="center"/>
    </xf>
    <xf numFmtId="7" fontId="3" fillId="0" borderId="57" xfId="0" applyNumberFormat="1" applyFont="1" applyFill="1" applyBorder="1" applyAlignment="1">
      <alignment horizontal="center" vertical="center"/>
    </xf>
    <xf numFmtId="10" fontId="3" fillId="0" borderId="57" xfId="0" applyNumberFormat="1" applyFont="1" applyFill="1" applyBorder="1" applyAlignment="1">
      <alignment horizontal="center" vertical="center"/>
    </xf>
    <xf numFmtId="191" fontId="3" fillId="0" borderId="54" xfId="2" applyNumberFormat="1" applyFont="1" applyFill="1" applyBorder="1" applyAlignment="1" applyProtection="1">
      <alignment horizontal="center" vertical="center"/>
    </xf>
    <xf numFmtId="7" fontId="3" fillId="0" borderId="34" xfId="49" applyNumberFormat="1" applyFont="1" applyFill="1" applyBorder="1" applyAlignment="1" applyProtection="1">
      <alignment horizontal="center" vertical="center"/>
    </xf>
    <xf numFmtId="3" fontId="3" fillId="0" borderId="34" xfId="49" applyNumberFormat="1" applyFont="1" applyFill="1" applyBorder="1" applyAlignment="1" applyProtection="1">
      <alignment horizontal="center" vertical="center"/>
    </xf>
    <xf numFmtId="176" fontId="3" fillId="0" borderId="34" xfId="2" applyFont="1" applyFill="1" applyBorder="1" applyAlignment="1" applyProtection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191" fontId="3" fillId="0" borderId="60" xfId="2" applyNumberFormat="1" applyFont="1" applyFill="1" applyBorder="1" applyAlignment="1" applyProtection="1">
      <alignment horizontal="center" vertical="center"/>
    </xf>
    <xf numFmtId="196" fontId="3" fillId="0" borderId="34" xfId="0" applyNumberFormat="1" applyFont="1" applyFill="1" applyBorder="1" applyAlignment="1">
      <alignment horizontal="center" vertical="center"/>
    </xf>
    <xf numFmtId="184" fontId="3" fillId="0" borderId="53" xfId="0" applyNumberFormat="1" applyFont="1" applyFill="1" applyBorder="1" applyAlignment="1">
      <alignment horizontal="center" vertical="center"/>
    </xf>
    <xf numFmtId="7" fontId="3" fillId="0" borderId="82" xfId="2" applyNumberFormat="1" applyFont="1" applyFill="1" applyBorder="1" applyAlignment="1" applyProtection="1">
      <alignment horizontal="center" vertical="center"/>
    </xf>
    <xf numFmtId="191" fontId="3" fillId="0" borderId="53" xfId="0" applyNumberFormat="1" applyFont="1" applyFill="1" applyBorder="1" applyAlignment="1">
      <alignment horizontal="center" vertical="center" wrapText="1"/>
    </xf>
    <xf numFmtId="7" fontId="3" fillId="0" borderId="57" xfId="2" applyNumberFormat="1" applyFont="1" applyFill="1" applyBorder="1" applyAlignment="1" applyProtection="1">
      <alignment horizontal="center" vertical="center"/>
    </xf>
    <xf numFmtId="7" fontId="3" fillId="0" borderId="59" xfId="0" applyNumberFormat="1" applyFont="1" applyFill="1" applyBorder="1" applyAlignment="1">
      <alignment horizontal="center" vertical="center" wrapText="1"/>
    </xf>
    <xf numFmtId="0" fontId="3" fillId="0" borderId="87" xfId="0" applyFont="1" applyFill="1" applyBorder="1" applyAlignment="1">
      <alignment horizontal="center" vertical="center"/>
    </xf>
    <xf numFmtId="7" fontId="3" fillId="0" borderId="57" xfId="2" applyNumberFormat="1" applyFont="1" applyBorder="1" applyAlignment="1" applyProtection="1">
      <alignment horizontal="center" vertical="center"/>
    </xf>
    <xf numFmtId="7" fontId="3" fillId="9" borderId="53" xfId="0" applyNumberFormat="1" applyFont="1" applyFill="1" applyBorder="1" applyAlignment="1">
      <alignment horizontal="center" vertical="center" wrapText="1"/>
    </xf>
    <xf numFmtId="3" fontId="3" fillId="9" borderId="53" xfId="0" applyNumberFormat="1" applyFont="1" applyFill="1" applyBorder="1" applyAlignment="1">
      <alignment horizontal="center" vertical="center" wrapText="1"/>
    </xf>
    <xf numFmtId="3" fontId="3" fillId="9" borderId="54" xfId="0" applyNumberFormat="1" applyFont="1" applyFill="1" applyBorder="1" applyAlignment="1">
      <alignment horizontal="center" vertical="center" wrapText="1"/>
    </xf>
    <xf numFmtId="7" fontId="3" fillId="0" borderId="54" xfId="2" applyNumberFormat="1" applyFont="1" applyBorder="1" applyAlignment="1" applyProtection="1">
      <alignment horizontal="center" vertical="center"/>
    </xf>
    <xf numFmtId="7" fontId="3" fillId="9" borderId="25" xfId="0" applyNumberFormat="1" applyFont="1" applyFill="1" applyBorder="1" applyAlignment="1">
      <alignment horizontal="center" vertical="center" wrapText="1"/>
    </xf>
    <xf numFmtId="7" fontId="3" fillId="9" borderId="33" xfId="0" applyNumberFormat="1" applyFont="1" applyFill="1" applyBorder="1" applyAlignment="1">
      <alignment horizontal="center" vertical="center" wrapText="1"/>
    </xf>
    <xf numFmtId="14" fontId="3" fillId="0" borderId="54" xfId="0" applyNumberFormat="1" applyFont="1" applyBorder="1" applyAlignment="1">
      <alignment horizontal="center" vertical="center"/>
    </xf>
    <xf numFmtId="7" fontId="3" fillId="0" borderId="4" xfId="49" applyNumberFormat="1" applyBorder="1" applyAlignment="1" applyProtection="1">
      <alignment horizontal="center" vertical="center"/>
    </xf>
    <xf numFmtId="3" fontId="3" fillId="0" borderId="4" xfId="49" applyNumberFormat="1" applyBorder="1" applyAlignment="1" applyProtection="1">
      <alignment horizontal="center" vertical="center"/>
    </xf>
    <xf numFmtId="0" fontId="3" fillId="0" borderId="25" xfId="0" applyFont="1" applyBorder="1" applyAlignment="1">
      <alignment horizontal="center" vertical="center"/>
    </xf>
    <xf numFmtId="7" fontId="3" fillId="0" borderId="34" xfId="49" applyNumberFormat="1" applyBorder="1" applyAlignment="1" applyProtection="1">
      <alignment horizontal="center" vertical="center"/>
    </xf>
    <xf numFmtId="3" fontId="3" fillId="0" borderId="34" xfId="49" applyNumberFormat="1" applyBorder="1" applyAlignment="1" applyProtection="1">
      <alignment horizontal="center" vertical="center"/>
    </xf>
    <xf numFmtId="0" fontId="3" fillId="0" borderId="33" xfId="0" applyFont="1" applyBorder="1" applyAlignment="1">
      <alignment horizontal="center" vertical="center"/>
    </xf>
    <xf numFmtId="7" fontId="3" fillId="0" borderId="56" xfId="2" applyNumberFormat="1" applyFont="1" applyBorder="1" applyAlignment="1" applyProtection="1">
      <alignment horizontal="center" vertical="center"/>
    </xf>
    <xf numFmtId="7" fontId="3" fillId="0" borderId="61" xfId="2" applyNumberFormat="1" applyFont="1" applyBorder="1" applyAlignment="1" applyProtection="1">
      <alignment horizontal="center" vertical="center"/>
    </xf>
    <xf numFmtId="0" fontId="3" fillId="0" borderId="92" xfId="0" applyFont="1" applyBorder="1" applyAlignment="1">
      <alignment horizontal="center" vertical="center"/>
    </xf>
    <xf numFmtId="187" fontId="3" fillId="0" borderId="4" xfId="0" applyNumberFormat="1" applyFont="1" applyFill="1" applyBorder="1" applyAlignment="1">
      <alignment horizontal="center" vertical="center"/>
    </xf>
    <xf numFmtId="0" fontId="24" fillId="9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9" fontId="0" fillId="0" borderId="0" xfId="3" applyFont="1" applyAlignment="1" applyProtection="1">
      <alignment horizontal="center" vertical="center"/>
    </xf>
    <xf numFmtId="194" fontId="0" fillId="0" borderId="0" xfId="0" applyNumberFormat="1" applyFont="1" applyAlignment="1">
      <alignment horizontal="center" vertical="center"/>
    </xf>
    <xf numFmtId="0" fontId="3" fillId="0" borderId="4" xfId="2" applyNumberFormat="1" applyFont="1" applyBorder="1" applyAlignment="1" applyProtection="1">
      <alignment horizontal="center" vertical="center"/>
    </xf>
    <xf numFmtId="38" fontId="3" fillId="0" borderId="4" xfId="2" applyNumberFormat="1" applyFont="1" applyBorder="1" applyAlignment="1" applyProtection="1">
      <alignment horizontal="center" vertical="center"/>
    </xf>
    <xf numFmtId="201" fontId="3" fillId="0" borderId="4" xfId="2" applyNumberFormat="1" applyFont="1" applyBorder="1" applyAlignment="1" applyProtection="1">
      <alignment horizontal="center" vertical="center"/>
    </xf>
    <xf numFmtId="58" fontId="3" fillId="0" borderId="0" xfId="0" applyNumberFormat="1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4">
    <dxf>
      <font>
        <b val="0"/>
        <i val="0"/>
        <color rgb="FFFF0000"/>
      </font>
    </dxf>
    <dxf>
      <font>
        <b val="0"/>
        <i val="0"/>
        <color rgb="FF00B05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customXml" Target="../customXml/item4.xml"/><Relationship Id="rId20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2.xml"/><Relationship Id="rId18" Type="http://schemas.openxmlformats.org/officeDocument/2006/relationships/customXml" Target="../customXml/item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引力魔方收藏加购成本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引力魔方!$A$604:$A$672</c:f>
              <c:numCache>
                <c:formatCode>yyyy/m/d</c:formatCode>
                <c:ptCount val="69"/>
                <c:pt idx="0" c:formatCode="yyyy/m/d">
                  <c:v>45352</c:v>
                </c:pt>
                <c:pt idx="1" c:formatCode="yyyy/m/d">
                  <c:v>45353</c:v>
                </c:pt>
                <c:pt idx="2" c:formatCode="yyyy/m/d">
                  <c:v>45354</c:v>
                </c:pt>
                <c:pt idx="3" c:formatCode="yyyy/m/d">
                  <c:v>45355</c:v>
                </c:pt>
                <c:pt idx="4" c:formatCode="yyyy/m/d">
                  <c:v>45356</c:v>
                </c:pt>
                <c:pt idx="5" c:formatCode="yyyy/m/d">
                  <c:v>45357</c:v>
                </c:pt>
                <c:pt idx="6" c:formatCode="yyyy/m/d">
                  <c:v>45358</c:v>
                </c:pt>
                <c:pt idx="7" c:formatCode="yyyy/m/d">
                  <c:v>45359</c:v>
                </c:pt>
                <c:pt idx="8" c:formatCode="yyyy/m/d">
                  <c:v>45360</c:v>
                </c:pt>
                <c:pt idx="9" c:formatCode="yyyy/m/d">
                  <c:v>45361</c:v>
                </c:pt>
                <c:pt idx="10" c:formatCode="yyyy/m/d">
                  <c:v>45362</c:v>
                </c:pt>
                <c:pt idx="11" c:formatCode="yyyy/m/d">
                  <c:v>45363</c:v>
                </c:pt>
                <c:pt idx="12" c:formatCode="yyyy/m/d">
                  <c:v>45364</c:v>
                </c:pt>
                <c:pt idx="13" c:formatCode="yyyy/m/d">
                  <c:v>45365</c:v>
                </c:pt>
                <c:pt idx="14" c:formatCode="yyyy/m/d">
                  <c:v>45366</c:v>
                </c:pt>
                <c:pt idx="15" c:formatCode="yyyy/m/d">
                  <c:v>45367</c:v>
                </c:pt>
                <c:pt idx="16" c:formatCode="yyyy/m/d">
                  <c:v>45368</c:v>
                </c:pt>
                <c:pt idx="17" c:formatCode="yyyy/m/d">
                  <c:v>45369</c:v>
                </c:pt>
                <c:pt idx="18" c:formatCode="yyyy/m/d">
                  <c:v>45370</c:v>
                </c:pt>
                <c:pt idx="19" c:formatCode="yyyy/m/d">
                  <c:v>45371</c:v>
                </c:pt>
                <c:pt idx="20" c:formatCode="yyyy/m/d">
                  <c:v>45372</c:v>
                </c:pt>
                <c:pt idx="21" c:formatCode="yyyy/m/d">
                  <c:v>45373</c:v>
                </c:pt>
                <c:pt idx="22" c:formatCode="yyyy/m/d">
                  <c:v>45374</c:v>
                </c:pt>
                <c:pt idx="23" c:formatCode="yyyy/m/d">
                  <c:v>45375</c:v>
                </c:pt>
                <c:pt idx="24" c:formatCode="yyyy/m/d">
                  <c:v>45376</c:v>
                </c:pt>
                <c:pt idx="25" c:formatCode="yyyy/m/d">
                  <c:v>45377</c:v>
                </c:pt>
                <c:pt idx="26" c:formatCode="yyyy/m/d">
                  <c:v>45378</c:v>
                </c:pt>
                <c:pt idx="27" c:formatCode="yyyy/m/d">
                  <c:v>45379</c:v>
                </c:pt>
                <c:pt idx="28" c:formatCode="yyyy/m/d">
                  <c:v>45380</c:v>
                </c:pt>
                <c:pt idx="29" c:formatCode="yyyy/m/d">
                  <c:v>45381</c:v>
                </c:pt>
                <c:pt idx="30" c:formatCode="yyyy/m/d">
                  <c:v>45382</c:v>
                </c:pt>
                <c:pt idx="31" c:formatCode="yyyy/m/d">
                  <c:v>45383</c:v>
                </c:pt>
                <c:pt idx="32" c:formatCode="yyyy/m/d">
                  <c:v>45384</c:v>
                </c:pt>
                <c:pt idx="33" c:formatCode="yyyy/m/d">
                  <c:v>45385</c:v>
                </c:pt>
                <c:pt idx="34" c:formatCode="yyyy/m/d">
                  <c:v>45386</c:v>
                </c:pt>
                <c:pt idx="35" c:formatCode="yyyy/m/d">
                  <c:v>45387</c:v>
                </c:pt>
                <c:pt idx="36" c:formatCode="yyyy/m/d">
                  <c:v>45388</c:v>
                </c:pt>
                <c:pt idx="37" c:formatCode="yyyy/m/d">
                  <c:v>45389</c:v>
                </c:pt>
                <c:pt idx="38" c:formatCode="yyyy/m/d">
                  <c:v>45390</c:v>
                </c:pt>
                <c:pt idx="39" c:formatCode="yyyy/m/d">
                  <c:v>45391</c:v>
                </c:pt>
                <c:pt idx="40" c:formatCode="yyyy/m/d">
                  <c:v>45392</c:v>
                </c:pt>
                <c:pt idx="41" c:formatCode="yyyy/m/d">
                  <c:v>45393</c:v>
                </c:pt>
                <c:pt idx="42" c:formatCode="yyyy/m/d">
                  <c:v>45394</c:v>
                </c:pt>
                <c:pt idx="43" c:formatCode="yyyy/m/d">
                  <c:v>45395</c:v>
                </c:pt>
                <c:pt idx="44" c:formatCode="yyyy/m/d">
                  <c:v>45396</c:v>
                </c:pt>
                <c:pt idx="45" c:formatCode="yyyy/m/d">
                  <c:v>45397</c:v>
                </c:pt>
                <c:pt idx="46" c:formatCode="yyyy/m/d">
                  <c:v>45398</c:v>
                </c:pt>
                <c:pt idx="47" c:formatCode="yyyy/m/d">
                  <c:v>45399</c:v>
                </c:pt>
                <c:pt idx="48" c:formatCode="yyyy/m/d">
                  <c:v>45400</c:v>
                </c:pt>
                <c:pt idx="49" c:formatCode="yyyy/m/d">
                  <c:v>45401</c:v>
                </c:pt>
                <c:pt idx="50" c:formatCode="yyyy/m/d">
                  <c:v>45402</c:v>
                </c:pt>
                <c:pt idx="51" c:formatCode="yyyy/m/d">
                  <c:v>45403</c:v>
                </c:pt>
                <c:pt idx="52" c:formatCode="yyyy/m/d">
                  <c:v>45404</c:v>
                </c:pt>
                <c:pt idx="53" c:formatCode="yyyy/m/d">
                  <c:v>45405</c:v>
                </c:pt>
                <c:pt idx="54" c:formatCode="yyyy/m/d">
                  <c:v>45406</c:v>
                </c:pt>
                <c:pt idx="55" c:formatCode="yyyy/m/d">
                  <c:v>45407</c:v>
                </c:pt>
                <c:pt idx="56" c:formatCode="yyyy/m/d">
                  <c:v>45408</c:v>
                </c:pt>
                <c:pt idx="57" c:formatCode="yyyy/m/d">
                  <c:v>45409</c:v>
                </c:pt>
                <c:pt idx="58" c:formatCode="yyyy/m/d">
                  <c:v>45410</c:v>
                </c:pt>
                <c:pt idx="59" c:formatCode="yyyy/m/d">
                  <c:v>45411</c:v>
                </c:pt>
                <c:pt idx="60" c:formatCode="yyyy/m/d">
                  <c:v>45412</c:v>
                </c:pt>
                <c:pt idx="61" c:formatCode="yyyy/m/d">
                  <c:v>45413</c:v>
                </c:pt>
                <c:pt idx="62" c:formatCode="yyyy/m/d">
                  <c:v>45414</c:v>
                </c:pt>
                <c:pt idx="63" c:formatCode="yyyy/m/d">
                  <c:v>45415</c:v>
                </c:pt>
                <c:pt idx="64" c:formatCode="yyyy/m/d">
                  <c:v>45416</c:v>
                </c:pt>
                <c:pt idx="65" c:formatCode="yyyy/m/d">
                  <c:v>45417</c:v>
                </c:pt>
                <c:pt idx="66" c:formatCode="yyyy/m/d">
                  <c:v>45418</c:v>
                </c:pt>
                <c:pt idx="67" c:formatCode="yyyy/m/d">
                  <c:v>45419</c:v>
                </c:pt>
                <c:pt idx="68" c:formatCode="yyyy/m/d">
                  <c:v>45420</c:v>
                </c:pt>
              </c:numCache>
            </c:numRef>
          </c:cat>
          <c:val>
            <c:numRef>
              <c:f>引力魔方!$O$604:$O$672</c:f>
              <c:numCache>
                <c:formatCode>0_);[Red]\(0\)</c:formatCode>
                <c:ptCount val="69"/>
                <c:pt idx="0">
                  <c:v>148.42</c:v>
                </c:pt>
                <c:pt idx="1">
                  <c:v>76.23</c:v>
                </c:pt>
                <c:pt idx="2">
                  <c:v>76.2576923076923</c:v>
                </c:pt>
                <c:pt idx="3">
                  <c:v>141.36</c:v>
                </c:pt>
                <c:pt idx="4">
                  <c:v>107.201111111111</c:v>
                </c:pt>
                <c:pt idx="5">
                  <c:v>128.106666666667</c:v>
                </c:pt>
                <c:pt idx="6">
                  <c:v>103.757894736842</c:v>
                </c:pt>
                <c:pt idx="7">
                  <c:v>101.454285714286</c:v>
                </c:pt>
                <c:pt idx="8">
                  <c:v>86.66</c:v>
                </c:pt>
                <c:pt idx="9">
                  <c:v>117.767272727273</c:v>
                </c:pt>
                <c:pt idx="10">
                  <c:v>165.975</c:v>
                </c:pt>
                <c:pt idx="11">
                  <c:v>83.1908333333333</c:v>
                </c:pt>
                <c:pt idx="12">
                  <c:v>165.808333333333</c:v>
                </c:pt>
                <c:pt idx="13">
                  <c:v>55.5222222222222</c:v>
                </c:pt>
                <c:pt idx="14">
                  <c:v>76.6415384615385</c:v>
                </c:pt>
                <c:pt idx="15">
                  <c:v>84.1342307692308</c:v>
                </c:pt>
                <c:pt idx="16">
                  <c:v>57.7218421052632</c:v>
                </c:pt>
                <c:pt idx="17">
                  <c:v>61.0069444444444</c:v>
                </c:pt>
                <c:pt idx="18">
                  <c:v>121.285555555556</c:v>
                </c:pt>
                <c:pt idx="19">
                  <c:v>59.2175675675676</c:v>
                </c:pt>
                <c:pt idx="20">
                  <c:v>62.2888571428571</c:v>
                </c:pt>
                <c:pt idx="21">
                  <c:v>155.231428571429</c:v>
                </c:pt>
                <c:pt idx="22">
                  <c:v>80.7618518518519</c:v>
                </c:pt>
                <c:pt idx="23">
                  <c:v>78.3889285714286</c:v>
                </c:pt>
                <c:pt idx="24">
                  <c:v>99.8077272727273</c:v>
                </c:pt>
                <c:pt idx="25">
                  <c:v>61.6108571428571</c:v>
                </c:pt>
                <c:pt idx="26">
                  <c:v>70.2283333333333</c:v>
                </c:pt>
                <c:pt idx="27">
                  <c:v>113.218666666667</c:v>
                </c:pt>
                <c:pt idx="28">
                  <c:v>62.8222222222222</c:v>
                </c:pt>
                <c:pt idx="29">
                  <c:v>42.7353333333333</c:v>
                </c:pt>
                <c:pt idx="30">
                  <c:v>106.676666666667</c:v>
                </c:pt>
                <c:pt idx="31">
                  <c:v>129.568333333333</c:v>
                </c:pt>
                <c:pt idx="32">
                  <c:v>49.0575</c:v>
                </c:pt>
                <c:pt idx="33">
                  <c:v>396.22</c:v>
                </c:pt>
                <c:pt idx="34">
                  <c:v>72.6127272727273</c:v>
                </c:pt>
                <c:pt idx="35">
                  <c:v>192.885</c:v>
                </c:pt>
                <c:pt idx="36">
                  <c:v>110.132857142857</c:v>
                </c:pt>
                <c:pt idx="37">
                  <c:v>393.765</c:v>
                </c:pt>
                <c:pt idx="38">
                  <c:v>72.6836363636364</c:v>
                </c:pt>
                <c:pt idx="39">
                  <c:v>390.825</c:v>
                </c:pt>
                <c:pt idx="40">
                  <c:v>172.906666666667</c:v>
                </c:pt>
                <c:pt idx="41">
                  <c:v>174.13</c:v>
                </c:pt>
                <c:pt idx="42">
                  <c:v>115.79</c:v>
                </c:pt>
                <c:pt idx="43">
                  <c:v>26.6645454545455</c:v>
                </c:pt>
                <c:pt idx="44">
                  <c:v>15.5252380952381</c:v>
                </c:pt>
                <c:pt idx="45">
                  <c:v>16.7998611111111</c:v>
                </c:pt>
                <c:pt idx="46">
                  <c:v>25.8561666666667</c:v>
                </c:pt>
                <c:pt idx="47">
                  <c:v>25.0116129032258</c:v>
                </c:pt>
                <c:pt idx="48">
                  <c:v>31.488</c:v>
                </c:pt>
                <c:pt idx="49">
                  <c:v>27.7682456140351</c:v>
                </c:pt>
                <c:pt idx="50">
                  <c:v>30.2775</c:v>
                </c:pt>
                <c:pt idx="51">
                  <c:v>24.8860317460317</c:v>
                </c:pt>
                <c:pt idx="52">
                  <c:v>29.4956603773585</c:v>
                </c:pt>
                <c:pt idx="53">
                  <c:v>46.3537142857143</c:v>
                </c:pt>
                <c:pt idx="54">
                  <c:v>39.074</c:v>
                </c:pt>
                <c:pt idx="55">
                  <c:v>30.6888461538462</c:v>
                </c:pt>
                <c:pt idx="56">
                  <c:v>29.485</c:v>
                </c:pt>
                <c:pt idx="57">
                  <c:v>23.821</c:v>
                </c:pt>
                <c:pt idx="58">
                  <c:v>20.6225714285714</c:v>
                </c:pt>
                <c:pt idx="59">
                  <c:v>20.984</c:v>
                </c:pt>
                <c:pt idx="60">
                  <c:v>24.0766101694915</c:v>
                </c:pt>
                <c:pt idx="61">
                  <c:v>19.8215068493151</c:v>
                </c:pt>
                <c:pt idx="62">
                  <c:v>29.4697959183673</c:v>
                </c:pt>
                <c:pt idx="63">
                  <c:v>21.2722058823529</c:v>
                </c:pt>
                <c:pt idx="64">
                  <c:v>22.0591666666667</c:v>
                </c:pt>
                <c:pt idx="65">
                  <c:v>29.7097916666667</c:v>
                </c:pt>
                <c:pt idx="66">
                  <c:v>32.6195454545455</c:v>
                </c:pt>
                <c:pt idx="67">
                  <c:v>20.4746</c:v>
                </c:pt>
                <c:pt idx="68">
                  <c:v>21.1639583333333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59011200"/>
        <c:axId val="159012736"/>
      </c:lineChart>
      <c:dateAx>
        <c:axId val="159011200"/>
        <c:scaling>
          <c:orientation val="minMax"/>
        </c:scaling>
        <c:delete val="0"/>
        <c:axPos val="b"/>
        <c:numFmt formatCode="m\/d\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012736"/>
        <c:crosses val="autoZero"/>
        <c:auto val="1"/>
        <c:lblOffset val="100"/>
        <c:baseTimeUnit val="days"/>
      </c:dateAx>
      <c:valAx>
        <c:axId val="1590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01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a86e46e-c41b-44c5-b650-acc68aba3bd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引力魔方收藏加购率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引力魔方!$A$604:$A$672</c:f>
              <c:numCache>
                <c:formatCode>yyyy/m/d</c:formatCode>
                <c:ptCount val="69"/>
                <c:pt idx="0" c:formatCode="yyyy/m/d">
                  <c:v>45352</c:v>
                </c:pt>
                <c:pt idx="1" c:formatCode="yyyy/m/d">
                  <c:v>45353</c:v>
                </c:pt>
                <c:pt idx="2" c:formatCode="yyyy/m/d">
                  <c:v>45354</c:v>
                </c:pt>
                <c:pt idx="3" c:formatCode="yyyy/m/d">
                  <c:v>45355</c:v>
                </c:pt>
                <c:pt idx="4" c:formatCode="yyyy/m/d">
                  <c:v>45356</c:v>
                </c:pt>
                <c:pt idx="5" c:formatCode="yyyy/m/d">
                  <c:v>45357</c:v>
                </c:pt>
                <c:pt idx="6" c:formatCode="yyyy/m/d">
                  <c:v>45358</c:v>
                </c:pt>
                <c:pt idx="7" c:formatCode="yyyy/m/d">
                  <c:v>45359</c:v>
                </c:pt>
                <c:pt idx="8" c:formatCode="yyyy/m/d">
                  <c:v>45360</c:v>
                </c:pt>
                <c:pt idx="9" c:formatCode="yyyy/m/d">
                  <c:v>45361</c:v>
                </c:pt>
                <c:pt idx="10" c:formatCode="yyyy/m/d">
                  <c:v>45362</c:v>
                </c:pt>
                <c:pt idx="11" c:formatCode="yyyy/m/d">
                  <c:v>45363</c:v>
                </c:pt>
                <c:pt idx="12" c:formatCode="yyyy/m/d">
                  <c:v>45364</c:v>
                </c:pt>
                <c:pt idx="13" c:formatCode="yyyy/m/d">
                  <c:v>45365</c:v>
                </c:pt>
                <c:pt idx="14" c:formatCode="yyyy/m/d">
                  <c:v>45366</c:v>
                </c:pt>
                <c:pt idx="15" c:formatCode="yyyy/m/d">
                  <c:v>45367</c:v>
                </c:pt>
                <c:pt idx="16" c:formatCode="yyyy/m/d">
                  <c:v>45368</c:v>
                </c:pt>
                <c:pt idx="17" c:formatCode="yyyy/m/d">
                  <c:v>45369</c:v>
                </c:pt>
                <c:pt idx="18" c:formatCode="yyyy/m/d">
                  <c:v>45370</c:v>
                </c:pt>
                <c:pt idx="19" c:formatCode="yyyy/m/d">
                  <c:v>45371</c:v>
                </c:pt>
                <c:pt idx="20" c:formatCode="yyyy/m/d">
                  <c:v>45372</c:v>
                </c:pt>
                <c:pt idx="21" c:formatCode="yyyy/m/d">
                  <c:v>45373</c:v>
                </c:pt>
                <c:pt idx="22" c:formatCode="yyyy/m/d">
                  <c:v>45374</c:v>
                </c:pt>
                <c:pt idx="23" c:formatCode="yyyy/m/d">
                  <c:v>45375</c:v>
                </c:pt>
                <c:pt idx="24" c:formatCode="yyyy/m/d">
                  <c:v>45376</c:v>
                </c:pt>
                <c:pt idx="25" c:formatCode="yyyy/m/d">
                  <c:v>45377</c:v>
                </c:pt>
                <c:pt idx="26" c:formatCode="yyyy/m/d">
                  <c:v>45378</c:v>
                </c:pt>
                <c:pt idx="27" c:formatCode="yyyy/m/d">
                  <c:v>45379</c:v>
                </c:pt>
                <c:pt idx="28" c:formatCode="yyyy/m/d">
                  <c:v>45380</c:v>
                </c:pt>
                <c:pt idx="29" c:formatCode="yyyy/m/d">
                  <c:v>45381</c:v>
                </c:pt>
                <c:pt idx="30" c:formatCode="yyyy/m/d">
                  <c:v>45382</c:v>
                </c:pt>
                <c:pt idx="31" c:formatCode="yyyy/m/d">
                  <c:v>45383</c:v>
                </c:pt>
                <c:pt idx="32" c:formatCode="yyyy/m/d">
                  <c:v>45384</c:v>
                </c:pt>
                <c:pt idx="33" c:formatCode="yyyy/m/d">
                  <c:v>45385</c:v>
                </c:pt>
                <c:pt idx="34" c:formatCode="yyyy/m/d">
                  <c:v>45386</c:v>
                </c:pt>
                <c:pt idx="35" c:formatCode="yyyy/m/d">
                  <c:v>45387</c:v>
                </c:pt>
                <c:pt idx="36" c:formatCode="yyyy/m/d">
                  <c:v>45388</c:v>
                </c:pt>
                <c:pt idx="37" c:formatCode="yyyy/m/d">
                  <c:v>45389</c:v>
                </c:pt>
                <c:pt idx="38" c:formatCode="yyyy/m/d">
                  <c:v>45390</c:v>
                </c:pt>
                <c:pt idx="39" c:formatCode="yyyy/m/d">
                  <c:v>45391</c:v>
                </c:pt>
                <c:pt idx="40" c:formatCode="yyyy/m/d">
                  <c:v>45392</c:v>
                </c:pt>
                <c:pt idx="41" c:formatCode="yyyy/m/d">
                  <c:v>45393</c:v>
                </c:pt>
                <c:pt idx="42" c:formatCode="yyyy/m/d">
                  <c:v>45394</c:v>
                </c:pt>
                <c:pt idx="43" c:formatCode="yyyy/m/d">
                  <c:v>45395</c:v>
                </c:pt>
                <c:pt idx="44" c:formatCode="yyyy/m/d">
                  <c:v>45396</c:v>
                </c:pt>
                <c:pt idx="45" c:formatCode="yyyy/m/d">
                  <c:v>45397</c:v>
                </c:pt>
                <c:pt idx="46" c:formatCode="yyyy/m/d">
                  <c:v>45398</c:v>
                </c:pt>
                <c:pt idx="47" c:formatCode="yyyy/m/d">
                  <c:v>45399</c:v>
                </c:pt>
                <c:pt idx="48" c:formatCode="yyyy/m/d">
                  <c:v>45400</c:v>
                </c:pt>
                <c:pt idx="49" c:formatCode="yyyy/m/d">
                  <c:v>45401</c:v>
                </c:pt>
                <c:pt idx="50" c:formatCode="yyyy/m/d">
                  <c:v>45402</c:v>
                </c:pt>
                <c:pt idx="51" c:formatCode="yyyy/m/d">
                  <c:v>45403</c:v>
                </c:pt>
                <c:pt idx="52" c:formatCode="yyyy/m/d">
                  <c:v>45404</c:v>
                </c:pt>
                <c:pt idx="53" c:formatCode="yyyy/m/d">
                  <c:v>45405</c:v>
                </c:pt>
                <c:pt idx="54" c:formatCode="yyyy/m/d">
                  <c:v>45406</c:v>
                </c:pt>
                <c:pt idx="55" c:formatCode="yyyy/m/d">
                  <c:v>45407</c:v>
                </c:pt>
                <c:pt idx="56" c:formatCode="yyyy/m/d">
                  <c:v>45408</c:v>
                </c:pt>
                <c:pt idx="57" c:formatCode="yyyy/m/d">
                  <c:v>45409</c:v>
                </c:pt>
                <c:pt idx="58" c:formatCode="yyyy/m/d">
                  <c:v>45410</c:v>
                </c:pt>
                <c:pt idx="59" c:formatCode="yyyy/m/d">
                  <c:v>45411</c:v>
                </c:pt>
                <c:pt idx="60" c:formatCode="yyyy/m/d">
                  <c:v>45412</c:v>
                </c:pt>
                <c:pt idx="61" c:formatCode="yyyy/m/d">
                  <c:v>45413</c:v>
                </c:pt>
                <c:pt idx="62" c:formatCode="yyyy/m/d">
                  <c:v>45414</c:v>
                </c:pt>
                <c:pt idx="63" c:formatCode="yyyy/m/d">
                  <c:v>45415</c:v>
                </c:pt>
                <c:pt idx="64" c:formatCode="yyyy/m/d">
                  <c:v>45416</c:v>
                </c:pt>
                <c:pt idx="65" c:formatCode="yyyy/m/d">
                  <c:v>45417</c:v>
                </c:pt>
                <c:pt idx="66" c:formatCode="yyyy/m/d">
                  <c:v>45418</c:v>
                </c:pt>
                <c:pt idx="67" c:formatCode="yyyy/m/d">
                  <c:v>45419</c:v>
                </c:pt>
                <c:pt idx="68" c:formatCode="yyyy/m/d">
                  <c:v>45420</c:v>
                </c:pt>
              </c:numCache>
            </c:numRef>
          </c:cat>
          <c:val>
            <c:numRef>
              <c:f>引力魔方!$Q$604:$Q$672</c:f>
              <c:numCache>
                <c:formatCode>0.00%</c:formatCode>
                <c:ptCount val="69"/>
                <c:pt idx="0">
                  <c:v>0.000873362445414847</c:v>
                </c:pt>
                <c:pt idx="1">
                  <c:v>0.00214097496706192</c:v>
                </c:pt>
                <c:pt idx="2">
                  <c:v>0.00182789651293588</c:v>
                </c:pt>
                <c:pt idx="3">
                  <c:v>0.00105263157894737</c:v>
                </c:pt>
                <c:pt idx="4">
                  <c:v>0.00123422929237521</c:v>
                </c:pt>
                <c:pt idx="5">
                  <c:v>0.00111721441206592</c:v>
                </c:pt>
                <c:pt idx="6">
                  <c:v>0.00190648203893237</c:v>
                </c:pt>
                <c:pt idx="7">
                  <c:v>0.00182576943140323</c:v>
                </c:pt>
                <c:pt idx="8">
                  <c:v>0.00186754776612556</c:v>
                </c:pt>
                <c:pt idx="9">
                  <c:v>0.00141716052563772</c:v>
                </c:pt>
                <c:pt idx="10">
                  <c:v>0.000914634146341463</c:v>
                </c:pt>
                <c:pt idx="11">
                  <c:v>0.00177909562638992</c:v>
                </c:pt>
                <c:pt idx="12">
                  <c:v>0.000906481341592386</c:v>
                </c:pt>
                <c:pt idx="13">
                  <c:v>0.00223158938755269</c:v>
                </c:pt>
                <c:pt idx="14">
                  <c:v>0.00169845832244578</c:v>
                </c:pt>
                <c:pt idx="15">
                  <c:v>0.00161872743120408</c:v>
                </c:pt>
                <c:pt idx="16">
                  <c:v>0.00241561248490242</c:v>
                </c:pt>
                <c:pt idx="17">
                  <c:v>0.00223089793641941</c:v>
                </c:pt>
                <c:pt idx="18">
                  <c:v>0.00116550116550117</c:v>
                </c:pt>
                <c:pt idx="19">
                  <c:v>0.00232105890471112</c:v>
                </c:pt>
                <c:pt idx="20">
                  <c:v>0.00223499361430396</c:v>
                </c:pt>
                <c:pt idx="21">
                  <c:v>0.00097799511002445</c:v>
                </c:pt>
                <c:pt idx="22">
                  <c:v>0.00176182707993475</c:v>
                </c:pt>
                <c:pt idx="23">
                  <c:v>0.00174433092449539</c:v>
                </c:pt>
                <c:pt idx="24">
                  <c:v>0.00137818705757063</c:v>
                </c:pt>
                <c:pt idx="25">
                  <c:v>0.00216557356762777</c:v>
                </c:pt>
                <c:pt idx="26">
                  <c:v>0.0017921146953405</c:v>
                </c:pt>
                <c:pt idx="27">
                  <c:v>0.00112917795844625</c:v>
                </c:pt>
                <c:pt idx="28">
                  <c:v>0.00162905756003379</c:v>
                </c:pt>
                <c:pt idx="29">
                  <c:v>0.00234705053982162</c:v>
                </c:pt>
                <c:pt idx="30">
                  <c:v>0.000939114102363437</c:v>
                </c:pt>
                <c:pt idx="31">
                  <c:v>0.00127469725940089</c:v>
                </c:pt>
                <c:pt idx="32">
                  <c:v>0.00353825740822645</c:v>
                </c:pt>
                <c:pt idx="33">
                  <c:v>0.000474495848161329</c:v>
                </c:pt>
                <c:pt idx="34">
                  <c:v>0.002414398595259</c:v>
                </c:pt>
                <c:pt idx="35">
                  <c:v>0.000849617672047579</c:v>
                </c:pt>
                <c:pt idx="36">
                  <c:v>0.00149158320903473</c:v>
                </c:pt>
                <c:pt idx="37">
                  <c:v>0.000392541707556428</c:v>
                </c:pt>
                <c:pt idx="38">
                  <c:v>0.00217391304347826</c:v>
                </c:pt>
                <c:pt idx="39">
                  <c:v>0.000389787565776652</c:v>
                </c:pt>
                <c:pt idx="40">
                  <c:v>0.000980392156862745</c:v>
                </c:pt>
                <c:pt idx="41">
                  <c:v>0.00097799511002445</c:v>
                </c:pt>
                <c:pt idx="42">
                  <c:v>0.00141087944818937</c:v>
                </c:pt>
                <c:pt idx="43">
                  <c:v>0.00845113706207744</c:v>
                </c:pt>
                <c:pt idx="44">
                  <c:v>0.0151231456142878</c:v>
                </c:pt>
                <c:pt idx="45">
                  <c:v>0.0165403170227429</c:v>
                </c:pt>
                <c:pt idx="46">
                  <c:v>0.0098960910440376</c:v>
                </c:pt>
                <c:pt idx="47">
                  <c:v>0.0105567852886089</c:v>
                </c:pt>
                <c:pt idx="48">
                  <c:v>0.00837942014412603</c:v>
                </c:pt>
                <c:pt idx="49">
                  <c:v>0.00876923076923077</c:v>
                </c:pt>
                <c:pt idx="50">
                  <c:v>0.00818382121498269</c:v>
                </c:pt>
                <c:pt idx="51">
                  <c:v>0.00992594926737041</c:v>
                </c:pt>
                <c:pt idx="52">
                  <c:v>0.00838607594936709</c:v>
                </c:pt>
                <c:pt idx="53">
                  <c:v>0.00554587228648392</c:v>
                </c:pt>
                <c:pt idx="54">
                  <c:v>0.00647983152438037</c:v>
                </c:pt>
                <c:pt idx="55">
                  <c:v>0.0111611933891393</c:v>
                </c:pt>
                <c:pt idx="56">
                  <c:v>0.0104206869934388</c:v>
                </c:pt>
                <c:pt idx="57">
                  <c:v>0.0119784388101417</c:v>
                </c:pt>
                <c:pt idx="58">
                  <c:v>0.0123784261715296</c:v>
                </c:pt>
                <c:pt idx="59">
                  <c:v>0.0112690707350902</c:v>
                </c:pt>
                <c:pt idx="60">
                  <c:v>0.00885221305326332</c:v>
                </c:pt>
                <c:pt idx="61">
                  <c:v>0.0107908351810791</c:v>
                </c:pt>
                <c:pt idx="62">
                  <c:v>0.00716688606113793</c:v>
                </c:pt>
                <c:pt idx="63">
                  <c:v>0.00920037883912867</c:v>
                </c:pt>
                <c:pt idx="64">
                  <c:v>0.00888362451880367</c:v>
                </c:pt>
                <c:pt idx="65">
                  <c:v>0.00688073394495413</c:v>
                </c:pt>
                <c:pt idx="66">
                  <c:v>0.00630372492836676</c:v>
                </c:pt>
                <c:pt idx="67">
                  <c:v>0.0103369857349597</c:v>
                </c:pt>
                <c:pt idx="68">
                  <c:v>0.0100988849147907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59041792"/>
        <c:axId val="159047680"/>
      </c:lineChart>
      <c:dateAx>
        <c:axId val="159041792"/>
        <c:scaling>
          <c:orientation val="minMax"/>
        </c:scaling>
        <c:delete val="0"/>
        <c:axPos val="b"/>
        <c:numFmt formatCode="m\/d\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047680"/>
        <c:crosses val="autoZero"/>
        <c:auto val="1"/>
        <c:lblOffset val="100"/>
        <c:baseTimeUnit val="days"/>
      </c:dateAx>
      <c:valAx>
        <c:axId val="15904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04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d11dc88-3dbd-4ecf-a0e8-eb7bb0a552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万相台收藏加购成本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40248962655602"/>
          <c:y val="0.175386882829772"/>
          <c:w val="0.930532503457815"/>
          <c:h val="0.6599852616064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万相台!$A$193:$A$314</c:f>
              <c:numCache>
                <c:formatCode>yyyy/m/d</c:formatCode>
                <c:ptCount val="122"/>
                <c:pt idx="0" c:formatCode="yyyy/m/d">
                  <c:v>45352</c:v>
                </c:pt>
                <c:pt idx="1" c:formatCode="yyyy/m/d">
                  <c:v>45353</c:v>
                </c:pt>
                <c:pt idx="2" c:formatCode="yyyy/m/d">
                  <c:v>45354</c:v>
                </c:pt>
                <c:pt idx="3" c:formatCode="yyyy/m/d">
                  <c:v>45355</c:v>
                </c:pt>
                <c:pt idx="4" c:formatCode="yyyy/m/d">
                  <c:v>45356</c:v>
                </c:pt>
                <c:pt idx="5" c:formatCode="yyyy/m/d">
                  <c:v>45357</c:v>
                </c:pt>
                <c:pt idx="6" c:formatCode="yyyy/m/d">
                  <c:v>45358</c:v>
                </c:pt>
                <c:pt idx="7" c:formatCode="yyyy/m/d">
                  <c:v>45359</c:v>
                </c:pt>
                <c:pt idx="8" c:formatCode="yyyy/m/d">
                  <c:v>45360</c:v>
                </c:pt>
                <c:pt idx="9" c:formatCode="yyyy/m/d">
                  <c:v>45361</c:v>
                </c:pt>
                <c:pt idx="10" c:formatCode="yyyy/m/d">
                  <c:v>45362</c:v>
                </c:pt>
                <c:pt idx="11" c:formatCode="yyyy/m/d">
                  <c:v>45363</c:v>
                </c:pt>
                <c:pt idx="12" c:formatCode="yyyy/m/d">
                  <c:v>45364</c:v>
                </c:pt>
                <c:pt idx="13" c:formatCode="yyyy/m/d">
                  <c:v>45365</c:v>
                </c:pt>
                <c:pt idx="14" c:formatCode="yyyy/m/d">
                  <c:v>45366</c:v>
                </c:pt>
                <c:pt idx="15" c:formatCode="yyyy/m/d">
                  <c:v>45367</c:v>
                </c:pt>
                <c:pt idx="16" c:formatCode="yyyy/m/d">
                  <c:v>45368</c:v>
                </c:pt>
                <c:pt idx="17" c:formatCode="yyyy/m/d">
                  <c:v>45369</c:v>
                </c:pt>
                <c:pt idx="18" c:formatCode="yyyy/m/d">
                  <c:v>45370</c:v>
                </c:pt>
                <c:pt idx="19" c:formatCode="yyyy/m/d">
                  <c:v>45371</c:v>
                </c:pt>
                <c:pt idx="20" c:formatCode="yyyy/m/d">
                  <c:v>45372</c:v>
                </c:pt>
                <c:pt idx="21" c:formatCode="yyyy/m/d">
                  <c:v>45373</c:v>
                </c:pt>
                <c:pt idx="22" c:formatCode="yyyy/m/d">
                  <c:v>45374</c:v>
                </c:pt>
                <c:pt idx="23" c:formatCode="yyyy/m/d">
                  <c:v>45375</c:v>
                </c:pt>
                <c:pt idx="24" c:formatCode="yyyy/m/d">
                  <c:v>45376</c:v>
                </c:pt>
                <c:pt idx="25" c:formatCode="yyyy/m/d">
                  <c:v>45377</c:v>
                </c:pt>
                <c:pt idx="26" c:formatCode="yyyy/m/d">
                  <c:v>45378</c:v>
                </c:pt>
                <c:pt idx="27" c:formatCode="yyyy/m/d">
                  <c:v>45379</c:v>
                </c:pt>
                <c:pt idx="28" c:formatCode="yyyy/m/d">
                  <c:v>45380</c:v>
                </c:pt>
                <c:pt idx="29" c:formatCode="yyyy/m/d">
                  <c:v>45381</c:v>
                </c:pt>
                <c:pt idx="30" c:formatCode="yyyy/m/d">
                  <c:v>45382</c:v>
                </c:pt>
                <c:pt idx="31" c:formatCode="yyyy/m/d">
                  <c:v>45383</c:v>
                </c:pt>
                <c:pt idx="32" c:formatCode="yyyy/m/d">
                  <c:v>45384</c:v>
                </c:pt>
                <c:pt idx="33" c:formatCode="yyyy/m/d">
                  <c:v>45385</c:v>
                </c:pt>
                <c:pt idx="34" c:formatCode="yyyy/m/d">
                  <c:v>45386</c:v>
                </c:pt>
                <c:pt idx="35" c:formatCode="yyyy/m/d">
                  <c:v>45387</c:v>
                </c:pt>
                <c:pt idx="36" c:formatCode="yyyy/m/d">
                  <c:v>45388</c:v>
                </c:pt>
                <c:pt idx="37" c:formatCode="yyyy/m/d">
                  <c:v>45389</c:v>
                </c:pt>
                <c:pt idx="38" c:formatCode="yyyy/m/d">
                  <c:v>45390</c:v>
                </c:pt>
                <c:pt idx="39" c:formatCode="yyyy/m/d">
                  <c:v>45391</c:v>
                </c:pt>
                <c:pt idx="40" c:formatCode="yyyy/m/d">
                  <c:v>45392</c:v>
                </c:pt>
                <c:pt idx="41" c:formatCode="yyyy/m/d">
                  <c:v>45393</c:v>
                </c:pt>
                <c:pt idx="42" c:formatCode="yyyy/m/d">
                  <c:v>45394</c:v>
                </c:pt>
                <c:pt idx="43" c:formatCode="yyyy/m/d">
                  <c:v>45395</c:v>
                </c:pt>
                <c:pt idx="44" c:formatCode="yyyy/m/d">
                  <c:v>45396</c:v>
                </c:pt>
                <c:pt idx="45" c:formatCode="yyyy/m/d">
                  <c:v>45397</c:v>
                </c:pt>
                <c:pt idx="46" c:formatCode="yyyy/m/d">
                  <c:v>45398</c:v>
                </c:pt>
                <c:pt idx="47" c:formatCode="yyyy/m/d">
                  <c:v>45399</c:v>
                </c:pt>
                <c:pt idx="48" c:formatCode="yyyy/m/d">
                  <c:v>45400</c:v>
                </c:pt>
                <c:pt idx="49" c:formatCode="yyyy/m/d">
                  <c:v>45401</c:v>
                </c:pt>
                <c:pt idx="50" c:formatCode="yyyy/m/d">
                  <c:v>45402</c:v>
                </c:pt>
                <c:pt idx="51" c:formatCode="yyyy/m/d">
                  <c:v>45403</c:v>
                </c:pt>
                <c:pt idx="52" c:formatCode="yyyy/m/d">
                  <c:v>45404</c:v>
                </c:pt>
                <c:pt idx="53" c:formatCode="yyyy/m/d">
                  <c:v>45405</c:v>
                </c:pt>
                <c:pt idx="54" c:formatCode="yyyy/m/d">
                  <c:v>45406</c:v>
                </c:pt>
                <c:pt idx="55" c:formatCode="yyyy/m/d">
                  <c:v>45407</c:v>
                </c:pt>
                <c:pt idx="56" c:formatCode="yyyy/m/d">
                  <c:v>45408</c:v>
                </c:pt>
                <c:pt idx="57" c:formatCode="yyyy/m/d">
                  <c:v>45409</c:v>
                </c:pt>
                <c:pt idx="58" c:formatCode="yyyy/m/d">
                  <c:v>45410</c:v>
                </c:pt>
                <c:pt idx="59" c:formatCode="yyyy/m/d">
                  <c:v>45411</c:v>
                </c:pt>
                <c:pt idx="60" c:formatCode="yyyy/m/d">
                  <c:v>45412</c:v>
                </c:pt>
                <c:pt idx="61" c:formatCode="yyyy/m/d">
                  <c:v>45413</c:v>
                </c:pt>
                <c:pt idx="62" c:formatCode="yyyy/m/d">
                  <c:v>45414</c:v>
                </c:pt>
                <c:pt idx="63" c:formatCode="yyyy/m/d">
                  <c:v>45415</c:v>
                </c:pt>
                <c:pt idx="64" c:formatCode="yyyy/m/d">
                  <c:v>45416</c:v>
                </c:pt>
                <c:pt idx="65" c:formatCode="yyyy/m/d">
                  <c:v>45417</c:v>
                </c:pt>
                <c:pt idx="66" c:formatCode="yyyy/m/d">
                  <c:v>45418</c:v>
                </c:pt>
                <c:pt idx="67" c:formatCode="yyyy/m/d">
                  <c:v>45419</c:v>
                </c:pt>
                <c:pt idx="68" c:formatCode="yyyy/m/d">
                  <c:v>45420</c:v>
                </c:pt>
                <c:pt idx="69" c:formatCode="yyyy/m/d">
                  <c:v>45421</c:v>
                </c:pt>
                <c:pt idx="70" c:formatCode="yyyy/m/d">
                  <c:v>45422</c:v>
                </c:pt>
                <c:pt idx="71" c:formatCode="yyyy/m/d">
                  <c:v>45423</c:v>
                </c:pt>
                <c:pt idx="72" c:formatCode="yyyy/m/d">
                  <c:v>45424</c:v>
                </c:pt>
                <c:pt idx="73" c:formatCode="yyyy/m/d">
                  <c:v>45425</c:v>
                </c:pt>
                <c:pt idx="74" c:formatCode="yyyy/m/d">
                  <c:v>45426</c:v>
                </c:pt>
                <c:pt idx="75" c:formatCode="yyyy/m/d">
                  <c:v>45427</c:v>
                </c:pt>
                <c:pt idx="76" c:formatCode="yyyy/m/d">
                  <c:v>45428</c:v>
                </c:pt>
                <c:pt idx="77" c:formatCode="yyyy/m/d">
                  <c:v>45429</c:v>
                </c:pt>
                <c:pt idx="78" c:formatCode="yyyy/m/d">
                  <c:v>45430</c:v>
                </c:pt>
                <c:pt idx="79" c:formatCode="yyyy/m/d">
                  <c:v>45431</c:v>
                </c:pt>
                <c:pt idx="80" c:formatCode="yyyy/m/d">
                  <c:v>45432</c:v>
                </c:pt>
                <c:pt idx="81" c:formatCode="yyyy/m/d">
                  <c:v>45433</c:v>
                </c:pt>
                <c:pt idx="82" c:formatCode="yyyy/m/d">
                  <c:v>45434</c:v>
                </c:pt>
                <c:pt idx="83" c:formatCode="yyyy/m/d">
                  <c:v>45435</c:v>
                </c:pt>
                <c:pt idx="84" c:formatCode="yyyy/m/d">
                  <c:v>45436</c:v>
                </c:pt>
                <c:pt idx="85" c:formatCode="yyyy/m/d">
                  <c:v>45437</c:v>
                </c:pt>
                <c:pt idx="86" c:formatCode="yyyy/m/d">
                  <c:v>45438</c:v>
                </c:pt>
                <c:pt idx="87" c:formatCode="yyyy/m/d">
                  <c:v>45439</c:v>
                </c:pt>
                <c:pt idx="88" c:formatCode="yyyy/m/d">
                  <c:v>45440</c:v>
                </c:pt>
                <c:pt idx="89" c:formatCode="yyyy/m/d">
                  <c:v>45441</c:v>
                </c:pt>
                <c:pt idx="90" c:formatCode="yyyy/m/d">
                  <c:v>45442</c:v>
                </c:pt>
                <c:pt idx="91" c:formatCode="yyyy/m/d">
                  <c:v>45443</c:v>
                </c:pt>
                <c:pt idx="92" c:formatCode="yyyy/m/d">
                  <c:v>45444</c:v>
                </c:pt>
                <c:pt idx="93" c:formatCode="yyyy/m/d">
                  <c:v>45445</c:v>
                </c:pt>
                <c:pt idx="94" c:formatCode="yyyy/m/d">
                  <c:v>45446</c:v>
                </c:pt>
                <c:pt idx="95" c:formatCode="yyyy/m/d">
                  <c:v>45447</c:v>
                </c:pt>
                <c:pt idx="96" c:formatCode="yyyy/m/d">
                  <c:v>45448</c:v>
                </c:pt>
                <c:pt idx="97" c:formatCode="yyyy/m/d">
                  <c:v>45449</c:v>
                </c:pt>
                <c:pt idx="98" c:formatCode="yyyy/m/d">
                  <c:v>45450</c:v>
                </c:pt>
                <c:pt idx="99" c:formatCode="yyyy/m/d">
                  <c:v>45451</c:v>
                </c:pt>
                <c:pt idx="100" c:formatCode="yyyy/m/d">
                  <c:v>45452</c:v>
                </c:pt>
                <c:pt idx="101" c:formatCode="yyyy/m/d">
                  <c:v>45453</c:v>
                </c:pt>
                <c:pt idx="102" c:formatCode="yyyy/m/d">
                  <c:v>45454</c:v>
                </c:pt>
                <c:pt idx="103" c:formatCode="yyyy/m/d">
                  <c:v>45455</c:v>
                </c:pt>
                <c:pt idx="104" c:formatCode="yyyy/m/d">
                  <c:v>45456</c:v>
                </c:pt>
                <c:pt idx="105" c:formatCode="yyyy/m/d">
                  <c:v>45457</c:v>
                </c:pt>
                <c:pt idx="106" c:formatCode="yyyy/m/d">
                  <c:v>45458</c:v>
                </c:pt>
                <c:pt idx="107" c:formatCode="yyyy/m/d">
                  <c:v>45459</c:v>
                </c:pt>
                <c:pt idx="108" c:formatCode="yyyy/m/d">
                  <c:v>45460</c:v>
                </c:pt>
                <c:pt idx="109" c:formatCode="yyyy/m/d">
                  <c:v>45461</c:v>
                </c:pt>
                <c:pt idx="110" c:formatCode="yyyy/m/d">
                  <c:v>45462</c:v>
                </c:pt>
                <c:pt idx="111" c:formatCode="yyyy/m/d">
                  <c:v>45463</c:v>
                </c:pt>
                <c:pt idx="112" c:formatCode="yyyy/m/d">
                  <c:v>45464</c:v>
                </c:pt>
                <c:pt idx="113" c:formatCode="yyyy/m/d">
                  <c:v>45465</c:v>
                </c:pt>
                <c:pt idx="114" c:formatCode="yyyy/m/d">
                  <c:v>45466</c:v>
                </c:pt>
                <c:pt idx="115" c:formatCode="yyyy/m/d">
                  <c:v>45467</c:v>
                </c:pt>
                <c:pt idx="116" c:formatCode="yyyy/m/d">
                  <c:v>45468</c:v>
                </c:pt>
                <c:pt idx="117" c:formatCode="yyyy/m/d">
                  <c:v>45469</c:v>
                </c:pt>
                <c:pt idx="118" c:formatCode="yyyy/m/d">
                  <c:v>45470</c:v>
                </c:pt>
                <c:pt idx="119" c:formatCode="yyyy/m/d">
                  <c:v>45471</c:v>
                </c:pt>
                <c:pt idx="120" c:formatCode="yyyy/m/d">
                  <c:v>45472</c:v>
                </c:pt>
                <c:pt idx="121" c:formatCode="yyyy/m/d">
                  <c:v>45473</c:v>
                </c:pt>
              </c:numCache>
            </c:numRef>
          </c:cat>
          <c:val>
            <c:numRef>
              <c:f>万相台!$O$193:$O$296</c:f>
              <c:numCache>
                <c:formatCode>0.0_);[Red]\(0.0\)</c:formatCode>
                <c:ptCount val="104"/>
                <c:pt idx="0">
                  <c:v>34.41</c:v>
                </c:pt>
                <c:pt idx="1">
                  <c:v>4.87083333333333</c:v>
                </c:pt>
                <c:pt idx="2">
                  <c:v>24.5563636363636</c:v>
                </c:pt>
                <c:pt idx="3">
                  <c:v>40.62</c:v>
                </c:pt>
                <c:pt idx="4">
                  <c:v>52.98</c:v>
                </c:pt>
                <c:pt idx="5">
                  <c:v>25.2295238095238</c:v>
                </c:pt>
                <c:pt idx="6">
                  <c:v>19.3825</c:v>
                </c:pt>
                <c:pt idx="7">
                  <c:v>20.6862962962963</c:v>
                </c:pt>
                <c:pt idx="8">
                  <c:v>25.9789393939394</c:v>
                </c:pt>
                <c:pt idx="9">
                  <c:v>14.6642975206612</c:v>
                </c:pt>
                <c:pt idx="10">
                  <c:v>14.2789230769231</c:v>
                </c:pt>
                <c:pt idx="11">
                  <c:v>11.870243902439</c:v>
                </c:pt>
                <c:pt idx="12">
                  <c:v>12.6486979166667</c:v>
                </c:pt>
                <c:pt idx="13">
                  <c:v>8.98031055900621</c:v>
                </c:pt>
                <c:pt idx="14">
                  <c:v>15.7759793814433</c:v>
                </c:pt>
                <c:pt idx="15">
                  <c:v>11.9224422442244</c:v>
                </c:pt>
                <c:pt idx="16">
                  <c:v>11.9125245901639</c:v>
                </c:pt>
                <c:pt idx="17">
                  <c:v>20.0968609865471</c:v>
                </c:pt>
                <c:pt idx="18">
                  <c:v>15.4735408560311</c:v>
                </c:pt>
                <c:pt idx="19">
                  <c:v>15.2281504702194</c:v>
                </c:pt>
                <c:pt idx="20">
                  <c:v>15.6174193548387</c:v>
                </c:pt>
                <c:pt idx="21">
                  <c:v>14.8605263157895</c:v>
                </c:pt>
                <c:pt idx="22">
                  <c:v>16.5606694560669</c:v>
                </c:pt>
                <c:pt idx="23">
                  <c:v>16.2697071129707</c:v>
                </c:pt>
                <c:pt idx="24">
                  <c:v>18.0808482142857</c:v>
                </c:pt>
                <c:pt idx="25">
                  <c:v>32.94416</c:v>
                </c:pt>
                <c:pt idx="26">
                  <c:v>19.2105333333333</c:v>
                </c:pt>
                <c:pt idx="27">
                  <c:v>16.9388622754491</c:v>
                </c:pt>
                <c:pt idx="28">
                  <c:v>17.7213253012048</c:v>
                </c:pt>
                <c:pt idx="29">
                  <c:v>13.3501793721973</c:v>
                </c:pt>
                <c:pt idx="30">
                  <c:v>16.3919318181818</c:v>
                </c:pt>
                <c:pt idx="31">
                  <c:v>16.2379452054795</c:v>
                </c:pt>
                <c:pt idx="32">
                  <c:v>21.8156944444444</c:v>
                </c:pt>
                <c:pt idx="33">
                  <c:v>16.7614084507042</c:v>
                </c:pt>
                <c:pt idx="34">
                  <c:v>15.6570886075949</c:v>
                </c:pt>
                <c:pt idx="35">
                  <c:v>16.5880263157895</c:v>
                </c:pt>
                <c:pt idx="36">
                  <c:v>14.7231707317073</c:v>
                </c:pt>
                <c:pt idx="37">
                  <c:v>13.9957446808511</c:v>
                </c:pt>
                <c:pt idx="38">
                  <c:v>12.5407407407407</c:v>
                </c:pt>
                <c:pt idx="39">
                  <c:v>14.4921505376344</c:v>
                </c:pt>
                <c:pt idx="40">
                  <c:v>17.5802919708029</c:v>
                </c:pt>
                <c:pt idx="41">
                  <c:v>13.2377931034483</c:v>
                </c:pt>
                <c:pt idx="42">
                  <c:v>11.8793975903614</c:v>
                </c:pt>
                <c:pt idx="43">
                  <c:v>12.2459627329193</c:v>
                </c:pt>
                <c:pt idx="44">
                  <c:v>11.6218674698795</c:v>
                </c:pt>
                <c:pt idx="45">
                  <c:v>15.7605263157895</c:v>
                </c:pt>
                <c:pt idx="46">
                  <c:v>11.2145394736842</c:v>
                </c:pt>
                <c:pt idx="47">
                  <c:v>14.1013157894737</c:v>
                </c:pt>
                <c:pt idx="48">
                  <c:v>12.5877987421384</c:v>
                </c:pt>
                <c:pt idx="49">
                  <c:v>13.8491780821918</c:v>
                </c:pt>
                <c:pt idx="50">
                  <c:v>10.6942408376963</c:v>
                </c:pt>
                <c:pt idx="51">
                  <c:v>10.2619487179487</c:v>
                </c:pt>
                <c:pt idx="52">
                  <c:v>12.567</c:v>
                </c:pt>
                <c:pt idx="53">
                  <c:v>11.7935294117647</c:v>
                </c:pt>
                <c:pt idx="54">
                  <c:v>15.6985714285714</c:v>
                </c:pt>
                <c:pt idx="55">
                  <c:v>11.9907100591716</c:v>
                </c:pt>
                <c:pt idx="56">
                  <c:v>37.0113526570048</c:v>
                </c:pt>
                <c:pt idx="57">
                  <c:v>9.34637209302326</c:v>
                </c:pt>
                <c:pt idx="58">
                  <c:v>10.0462436548223</c:v>
                </c:pt>
                <c:pt idx="59">
                  <c:v>12.8887096774194</c:v>
                </c:pt>
                <c:pt idx="60">
                  <c:v>16.263064516129</c:v>
                </c:pt>
                <c:pt idx="61">
                  <c:v>9.89616504854369</c:v>
                </c:pt>
                <c:pt idx="62">
                  <c:v>10.1683084577114</c:v>
                </c:pt>
                <c:pt idx="63">
                  <c:v>11.218938547486</c:v>
                </c:pt>
                <c:pt idx="64">
                  <c:v>9.43829493087558</c:v>
                </c:pt>
                <c:pt idx="65">
                  <c:v>7.89803149606299</c:v>
                </c:pt>
                <c:pt idx="66">
                  <c:v>11.3758064516129</c:v>
                </c:pt>
                <c:pt idx="67">
                  <c:v>9.1252036199095</c:v>
                </c:pt>
                <c:pt idx="68">
                  <c:v>12.473</c:v>
                </c:pt>
                <c:pt idx="69">
                  <c:v>13.1063684210526</c:v>
                </c:pt>
                <c:pt idx="70">
                  <c:v>12.4402450980392</c:v>
                </c:pt>
                <c:pt idx="71">
                  <c:v>9.39362790697674</c:v>
                </c:pt>
                <c:pt idx="72">
                  <c:v>9.92785</c:v>
                </c:pt>
                <c:pt idx="73">
                  <c:v>11.6991904761905</c:v>
                </c:pt>
                <c:pt idx="74">
                  <c:v>11.7688995215311</c:v>
                </c:pt>
                <c:pt idx="75">
                  <c:v>9.07290178571428</c:v>
                </c:pt>
                <c:pt idx="76">
                  <c:v>10.8659900990099</c:v>
                </c:pt>
                <c:pt idx="77">
                  <c:v>10.5758235294118</c:v>
                </c:pt>
                <c:pt idx="78">
                  <c:v>9.07995</c:v>
                </c:pt>
                <c:pt idx="79">
                  <c:v>11.0440251572327</c:v>
                </c:pt>
                <c:pt idx="80">
                  <c:v>12.8636746987952</c:v>
                </c:pt>
                <c:pt idx="81">
                  <c:v>11.160202020202</c:v>
                </c:pt>
                <c:pt idx="82">
                  <c:v>11.9803141361257</c:v>
                </c:pt>
                <c:pt idx="83">
                  <c:v>10.0798689956332</c:v>
                </c:pt>
                <c:pt idx="84">
                  <c:v>9.77965517241379</c:v>
                </c:pt>
                <c:pt idx="85">
                  <c:v>7.0568284789644</c:v>
                </c:pt>
                <c:pt idx="86">
                  <c:v>7.56985294117647</c:v>
                </c:pt>
                <c:pt idx="87">
                  <c:v>15.4938011695906</c:v>
                </c:pt>
                <c:pt idx="88">
                  <c:v>14.3016425120773</c:v>
                </c:pt>
                <c:pt idx="89">
                  <c:v>21.7957826086956</c:v>
                </c:pt>
                <c:pt idx="90">
                  <c:v>11.4697709923664</c:v>
                </c:pt>
                <c:pt idx="91">
                  <c:v>26.2914666666667</c:v>
                </c:pt>
                <c:pt idx="92">
                  <c:v>10.5233707865169</c:v>
                </c:pt>
                <c:pt idx="93">
                  <c:v>12.0551097178683</c:v>
                </c:pt>
                <c:pt idx="94">
                  <c:v>22.1387906976744</c:v>
                </c:pt>
                <c:pt idx="95">
                  <c:v>16.9125112107623</c:v>
                </c:pt>
                <c:pt idx="96">
                  <c:v>18.3103015075377</c:v>
                </c:pt>
                <c:pt idx="97">
                  <c:v>19.6631034482759</c:v>
                </c:pt>
                <c:pt idx="98">
                  <c:v>23.268152173913</c:v>
                </c:pt>
                <c:pt idx="99">
                  <c:v>17.4138356164384</c:v>
                </c:pt>
                <c:pt idx="100">
                  <c:v>13.0029166666667</c:v>
                </c:pt>
                <c:pt idx="101">
                  <c:v>11.8994312796209</c:v>
                </c:pt>
                <c:pt idx="102">
                  <c:v>17.999387755102</c:v>
                </c:pt>
                <c:pt idx="103">
                  <c:v>17.7548223350254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59952896"/>
        <c:axId val="159954432"/>
      </c:lineChart>
      <c:dateAx>
        <c:axId val="159952896"/>
        <c:scaling>
          <c:orientation val="minMax"/>
        </c:scaling>
        <c:delete val="0"/>
        <c:axPos val="b"/>
        <c:numFmt formatCode="m\/d\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954432"/>
        <c:crosses val="autoZero"/>
        <c:auto val="1"/>
        <c:lblOffset val="100"/>
        <c:baseTimeUnit val="days"/>
      </c:dateAx>
      <c:valAx>
        <c:axId val="15995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95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f2bdf54-1d94-435b-a617-98f456eae9c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综合收藏加购成本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'阿里妈妈Raw Data'!$A$364:$A$638</c:f>
              <c:numCache>
                <c:formatCode>yyyy/m/d;@</c:formatCode>
                <c:ptCount val="275"/>
                <c:pt idx="0" c:formatCode="yyyy/m/d;@">
                  <c:v>45352</c:v>
                </c:pt>
                <c:pt idx="1" c:formatCode="yyyy/m/d;@">
                  <c:v>45353</c:v>
                </c:pt>
                <c:pt idx="2" c:formatCode="yyyy/m/d;@">
                  <c:v>45354</c:v>
                </c:pt>
                <c:pt idx="3" c:formatCode="yyyy/m/d;@">
                  <c:v>45355</c:v>
                </c:pt>
                <c:pt idx="4" c:formatCode="yyyy/m/d;@">
                  <c:v>45356</c:v>
                </c:pt>
                <c:pt idx="5" c:formatCode="yyyy/m/d;@">
                  <c:v>45357</c:v>
                </c:pt>
                <c:pt idx="6" c:formatCode="yyyy/m/d;@">
                  <c:v>45358</c:v>
                </c:pt>
                <c:pt idx="7" c:formatCode="yyyy/m/d;@">
                  <c:v>45359</c:v>
                </c:pt>
                <c:pt idx="8" c:formatCode="yyyy/m/d;@">
                  <c:v>45360</c:v>
                </c:pt>
                <c:pt idx="9" c:formatCode="yyyy/m/d;@">
                  <c:v>45361</c:v>
                </c:pt>
                <c:pt idx="10" c:formatCode="yyyy/m/d;@">
                  <c:v>45362</c:v>
                </c:pt>
                <c:pt idx="11" c:formatCode="yyyy/m/d;@">
                  <c:v>45363</c:v>
                </c:pt>
                <c:pt idx="12" c:formatCode="yyyy/m/d;@">
                  <c:v>45364</c:v>
                </c:pt>
                <c:pt idx="13" c:formatCode="yyyy/m/d;@">
                  <c:v>45365</c:v>
                </c:pt>
                <c:pt idx="14" c:formatCode="yyyy/m/d;@">
                  <c:v>45366</c:v>
                </c:pt>
                <c:pt idx="15" c:formatCode="yyyy/m/d;@">
                  <c:v>45367</c:v>
                </c:pt>
                <c:pt idx="16" c:formatCode="yyyy/m/d;@">
                  <c:v>45368</c:v>
                </c:pt>
                <c:pt idx="17" c:formatCode="yyyy/m/d;@">
                  <c:v>45369</c:v>
                </c:pt>
                <c:pt idx="18" c:formatCode="yyyy/m/d;@">
                  <c:v>45370</c:v>
                </c:pt>
                <c:pt idx="19" c:formatCode="yyyy/m/d;@">
                  <c:v>45371</c:v>
                </c:pt>
                <c:pt idx="20" c:formatCode="yyyy/m/d;@">
                  <c:v>45372</c:v>
                </c:pt>
                <c:pt idx="21" c:formatCode="yyyy/m/d;@">
                  <c:v>45373</c:v>
                </c:pt>
                <c:pt idx="22" c:formatCode="yyyy/m/d;@">
                  <c:v>45374</c:v>
                </c:pt>
                <c:pt idx="23" c:formatCode="yyyy/m/d;@">
                  <c:v>45375</c:v>
                </c:pt>
                <c:pt idx="24" c:formatCode="yyyy/m/d;@">
                  <c:v>45376</c:v>
                </c:pt>
                <c:pt idx="25" c:formatCode="yyyy/m/d;@">
                  <c:v>45377</c:v>
                </c:pt>
                <c:pt idx="26" c:formatCode="yyyy/m/d;@">
                  <c:v>45378</c:v>
                </c:pt>
                <c:pt idx="27" c:formatCode="yyyy/m/d;@">
                  <c:v>45379</c:v>
                </c:pt>
                <c:pt idx="28" c:formatCode="yyyy/m/d;@">
                  <c:v>45380</c:v>
                </c:pt>
                <c:pt idx="29" c:formatCode="yyyy/m/d;@">
                  <c:v>45381</c:v>
                </c:pt>
                <c:pt idx="30" c:formatCode="yyyy/m/d;@">
                  <c:v>45382</c:v>
                </c:pt>
                <c:pt idx="31" c:formatCode="yyyy/m/d;@">
                  <c:v>45383</c:v>
                </c:pt>
                <c:pt idx="32" c:formatCode="yyyy/m/d;@">
                  <c:v>45384</c:v>
                </c:pt>
                <c:pt idx="33" c:formatCode="yyyy/m/d;@">
                  <c:v>45385</c:v>
                </c:pt>
                <c:pt idx="34" c:formatCode="yyyy/m/d;@">
                  <c:v>45386</c:v>
                </c:pt>
                <c:pt idx="35" c:formatCode="yyyy/m/d;@">
                  <c:v>45387</c:v>
                </c:pt>
                <c:pt idx="36" c:formatCode="yyyy/m/d;@">
                  <c:v>45388</c:v>
                </c:pt>
                <c:pt idx="37" c:formatCode="yyyy/m/d;@">
                  <c:v>45389</c:v>
                </c:pt>
                <c:pt idx="38" c:formatCode="yyyy/m/d;@">
                  <c:v>45390</c:v>
                </c:pt>
                <c:pt idx="39" c:formatCode="yyyy/m/d;@">
                  <c:v>45391</c:v>
                </c:pt>
                <c:pt idx="40" c:formatCode="yyyy/m/d;@">
                  <c:v>45392</c:v>
                </c:pt>
                <c:pt idx="41" c:formatCode="yyyy/m/d;@">
                  <c:v>45393</c:v>
                </c:pt>
                <c:pt idx="42" c:formatCode="yyyy/m/d;@">
                  <c:v>45394</c:v>
                </c:pt>
                <c:pt idx="43" c:formatCode="yyyy/m/d;@">
                  <c:v>45395</c:v>
                </c:pt>
                <c:pt idx="44" c:formatCode="yyyy/m/d;@">
                  <c:v>45396</c:v>
                </c:pt>
                <c:pt idx="45" c:formatCode="yyyy/m/d;@">
                  <c:v>45397</c:v>
                </c:pt>
                <c:pt idx="46" c:formatCode="yyyy/m/d;@">
                  <c:v>45398</c:v>
                </c:pt>
                <c:pt idx="47" c:formatCode="yyyy/m/d;@">
                  <c:v>45399</c:v>
                </c:pt>
                <c:pt idx="48" c:formatCode="yyyy/m/d;@">
                  <c:v>45400</c:v>
                </c:pt>
                <c:pt idx="49" c:formatCode="yyyy/m/d;@">
                  <c:v>45401</c:v>
                </c:pt>
                <c:pt idx="50" c:formatCode="yyyy/m/d;@">
                  <c:v>45402</c:v>
                </c:pt>
                <c:pt idx="51" c:formatCode="yyyy/m/d;@">
                  <c:v>45403</c:v>
                </c:pt>
                <c:pt idx="52" c:formatCode="yyyy/m/d;@">
                  <c:v>45404</c:v>
                </c:pt>
                <c:pt idx="53" c:formatCode="yyyy/m/d;@">
                  <c:v>45405</c:v>
                </c:pt>
                <c:pt idx="54" c:formatCode="yyyy/m/d;@">
                  <c:v>45406</c:v>
                </c:pt>
                <c:pt idx="55" c:formatCode="yyyy/m/d;@">
                  <c:v>45407</c:v>
                </c:pt>
                <c:pt idx="56" c:formatCode="yyyy/m/d;@">
                  <c:v>45408</c:v>
                </c:pt>
                <c:pt idx="57" c:formatCode="yyyy/m/d;@">
                  <c:v>45409</c:v>
                </c:pt>
                <c:pt idx="58" c:formatCode="yyyy/m/d;@">
                  <c:v>45410</c:v>
                </c:pt>
                <c:pt idx="59" c:formatCode="yyyy/m/d;@">
                  <c:v>45411</c:v>
                </c:pt>
                <c:pt idx="60" c:formatCode="yyyy/m/d;@">
                  <c:v>45412</c:v>
                </c:pt>
                <c:pt idx="61" c:formatCode="yyyy/m/d;@">
                  <c:v>45413</c:v>
                </c:pt>
                <c:pt idx="62" c:formatCode="yyyy/m/d;@">
                  <c:v>45414</c:v>
                </c:pt>
                <c:pt idx="63" c:formatCode="yyyy/m/d;@">
                  <c:v>45415</c:v>
                </c:pt>
                <c:pt idx="64" c:formatCode="yyyy/m/d;@">
                  <c:v>45416</c:v>
                </c:pt>
                <c:pt idx="65" c:formatCode="yyyy/m/d;@">
                  <c:v>45417</c:v>
                </c:pt>
                <c:pt idx="66" c:formatCode="yyyy/m/d;@">
                  <c:v>45418</c:v>
                </c:pt>
                <c:pt idx="67" c:formatCode="yyyy/m/d;@">
                  <c:v>45419</c:v>
                </c:pt>
                <c:pt idx="68" c:formatCode="yyyy/m/d;@">
                  <c:v>45420</c:v>
                </c:pt>
                <c:pt idx="69" c:formatCode="yyyy/m/d;@">
                  <c:v>45421</c:v>
                </c:pt>
                <c:pt idx="70" c:formatCode="yyyy/m/d;@">
                  <c:v>45422</c:v>
                </c:pt>
                <c:pt idx="71" c:formatCode="yyyy/m/d;@">
                  <c:v>45423</c:v>
                </c:pt>
                <c:pt idx="72" c:formatCode="yyyy/m/d;@">
                  <c:v>45424</c:v>
                </c:pt>
                <c:pt idx="73" c:formatCode="yyyy/m/d;@">
                  <c:v>45425</c:v>
                </c:pt>
                <c:pt idx="74" c:formatCode="yyyy/m/d;@">
                  <c:v>45426</c:v>
                </c:pt>
                <c:pt idx="75" c:formatCode="yyyy/m/d;@">
                  <c:v>45427</c:v>
                </c:pt>
                <c:pt idx="76" c:formatCode="yyyy/m/d;@">
                  <c:v>45428</c:v>
                </c:pt>
                <c:pt idx="77" c:formatCode="yyyy/m/d;@">
                  <c:v>45429</c:v>
                </c:pt>
                <c:pt idx="78" c:formatCode="yyyy/m/d;@">
                  <c:v>45430</c:v>
                </c:pt>
                <c:pt idx="79" c:formatCode="yyyy/m/d;@">
                  <c:v>45431</c:v>
                </c:pt>
                <c:pt idx="80" c:formatCode="yyyy/m/d;@">
                  <c:v>45432</c:v>
                </c:pt>
                <c:pt idx="81" c:formatCode="yyyy/m/d;@">
                  <c:v>45433</c:v>
                </c:pt>
                <c:pt idx="82" c:formatCode="yyyy/m/d;@">
                  <c:v>45434</c:v>
                </c:pt>
                <c:pt idx="83" c:formatCode="yyyy/m/d;@">
                  <c:v>45435</c:v>
                </c:pt>
                <c:pt idx="84" c:formatCode="yyyy/m/d;@">
                  <c:v>45436</c:v>
                </c:pt>
                <c:pt idx="85" c:formatCode="yyyy/m/d;@">
                  <c:v>45437</c:v>
                </c:pt>
                <c:pt idx="86" c:formatCode="yyyy/m/d;@">
                  <c:v>45438</c:v>
                </c:pt>
                <c:pt idx="87" c:formatCode="yyyy/m/d;@">
                  <c:v>45439</c:v>
                </c:pt>
                <c:pt idx="88" c:formatCode="yyyy/m/d;@">
                  <c:v>45440</c:v>
                </c:pt>
                <c:pt idx="89" c:formatCode="yyyy/m/d;@">
                  <c:v>45441</c:v>
                </c:pt>
                <c:pt idx="90" c:formatCode="yyyy/m/d;@">
                  <c:v>45442</c:v>
                </c:pt>
                <c:pt idx="91" c:formatCode="yyyy/m/d;@">
                  <c:v>45443</c:v>
                </c:pt>
                <c:pt idx="92" c:formatCode="yyyy/m/d;@">
                  <c:v>45444</c:v>
                </c:pt>
                <c:pt idx="93" c:formatCode="yyyy/m/d;@">
                  <c:v>45445</c:v>
                </c:pt>
                <c:pt idx="94" c:formatCode="yyyy/m/d;@">
                  <c:v>45446</c:v>
                </c:pt>
                <c:pt idx="95" c:formatCode="yyyy/m/d;@">
                  <c:v>45447</c:v>
                </c:pt>
                <c:pt idx="96" c:formatCode="yyyy/m/d;@">
                  <c:v>45448</c:v>
                </c:pt>
                <c:pt idx="97" c:formatCode="yyyy/m/d;@">
                  <c:v>45449</c:v>
                </c:pt>
                <c:pt idx="98" c:formatCode="yyyy/m/d;@">
                  <c:v>45450</c:v>
                </c:pt>
                <c:pt idx="99" c:formatCode="yyyy/m/d;@">
                  <c:v>45451</c:v>
                </c:pt>
                <c:pt idx="100" c:formatCode="yyyy/m/d;@">
                  <c:v>45452</c:v>
                </c:pt>
                <c:pt idx="101" c:formatCode="yyyy/m/d;@">
                  <c:v>45453</c:v>
                </c:pt>
                <c:pt idx="102" c:formatCode="yyyy/m/d;@">
                  <c:v>45454</c:v>
                </c:pt>
                <c:pt idx="103" c:formatCode="yyyy/m/d;@">
                  <c:v>45455</c:v>
                </c:pt>
                <c:pt idx="104" c:formatCode="yyyy/m/d;@">
                  <c:v>45456</c:v>
                </c:pt>
                <c:pt idx="105" c:formatCode="yyyy/m/d;@">
                  <c:v>45457</c:v>
                </c:pt>
                <c:pt idx="106" c:formatCode="yyyy/m/d;@">
                  <c:v>45458</c:v>
                </c:pt>
                <c:pt idx="107" c:formatCode="yyyy/m/d;@">
                  <c:v>45459</c:v>
                </c:pt>
                <c:pt idx="108" c:formatCode="yyyy/m/d;@">
                  <c:v>45460</c:v>
                </c:pt>
                <c:pt idx="109" c:formatCode="yyyy/m/d;@">
                  <c:v>45461</c:v>
                </c:pt>
                <c:pt idx="110" c:formatCode="yyyy/m/d;@">
                  <c:v>45462</c:v>
                </c:pt>
                <c:pt idx="111" c:formatCode="yyyy/m/d;@">
                  <c:v>45463</c:v>
                </c:pt>
                <c:pt idx="112" c:formatCode="yyyy/m/d;@">
                  <c:v>45464</c:v>
                </c:pt>
                <c:pt idx="113" c:formatCode="yyyy/m/d;@">
                  <c:v>45465</c:v>
                </c:pt>
                <c:pt idx="114" c:formatCode="yyyy/m/d;@">
                  <c:v>45466</c:v>
                </c:pt>
                <c:pt idx="115" c:formatCode="yyyy/m/d;@">
                  <c:v>45467</c:v>
                </c:pt>
                <c:pt idx="116" c:formatCode="yyyy/m/d;@">
                  <c:v>45468</c:v>
                </c:pt>
                <c:pt idx="117" c:formatCode="yyyy/m/d;@">
                  <c:v>45469</c:v>
                </c:pt>
                <c:pt idx="118" c:formatCode="yyyy/m/d;@">
                  <c:v>45470</c:v>
                </c:pt>
                <c:pt idx="119" c:formatCode="yyyy/m/d;@">
                  <c:v>45471</c:v>
                </c:pt>
                <c:pt idx="120" c:formatCode="yyyy/m/d;@">
                  <c:v>45472</c:v>
                </c:pt>
                <c:pt idx="121" c:formatCode="yyyy/m/d;@">
                  <c:v>45473</c:v>
                </c:pt>
                <c:pt idx="122" c:formatCode="yyyy/m/d;@">
                  <c:v>45474</c:v>
                </c:pt>
                <c:pt idx="123" c:formatCode="yyyy/m/d;@">
                  <c:v>45475</c:v>
                </c:pt>
                <c:pt idx="124" c:formatCode="yyyy/m/d;@">
                  <c:v>45476</c:v>
                </c:pt>
                <c:pt idx="125" c:formatCode="yyyy/m/d;@">
                  <c:v>45477</c:v>
                </c:pt>
                <c:pt idx="126" c:formatCode="yyyy/m/d;@">
                  <c:v>45478</c:v>
                </c:pt>
                <c:pt idx="127" c:formatCode="yyyy/m/d;@">
                  <c:v>45479</c:v>
                </c:pt>
                <c:pt idx="128" c:formatCode="yyyy/m/d;@">
                  <c:v>45480</c:v>
                </c:pt>
                <c:pt idx="129" c:formatCode="yyyy/m/d;@">
                  <c:v>45481</c:v>
                </c:pt>
                <c:pt idx="130" c:formatCode="yyyy/m/d;@">
                  <c:v>45482</c:v>
                </c:pt>
                <c:pt idx="131" c:formatCode="yyyy/m/d;@">
                  <c:v>45483</c:v>
                </c:pt>
                <c:pt idx="132" c:formatCode="yyyy/m/d;@">
                  <c:v>45484</c:v>
                </c:pt>
                <c:pt idx="133" c:formatCode="yyyy/m/d;@">
                  <c:v>45485</c:v>
                </c:pt>
                <c:pt idx="134" c:formatCode="yyyy/m/d;@">
                  <c:v>45486</c:v>
                </c:pt>
                <c:pt idx="135" c:formatCode="yyyy/m/d;@">
                  <c:v>45487</c:v>
                </c:pt>
                <c:pt idx="136" c:formatCode="yyyy/m/d;@">
                  <c:v>45488</c:v>
                </c:pt>
                <c:pt idx="137" c:formatCode="yyyy/m/d;@">
                  <c:v>45489</c:v>
                </c:pt>
                <c:pt idx="138" c:formatCode="yyyy/m/d;@">
                  <c:v>45490</c:v>
                </c:pt>
                <c:pt idx="139" c:formatCode="yyyy/m/d;@">
                  <c:v>45491</c:v>
                </c:pt>
                <c:pt idx="140" c:formatCode="yyyy/m/d;@">
                  <c:v>45492</c:v>
                </c:pt>
                <c:pt idx="141" c:formatCode="yyyy/m/d;@">
                  <c:v>45493</c:v>
                </c:pt>
                <c:pt idx="142" c:formatCode="yyyy/m/d;@">
                  <c:v>45494</c:v>
                </c:pt>
                <c:pt idx="143" c:formatCode="yyyy/m/d;@">
                  <c:v>45495</c:v>
                </c:pt>
                <c:pt idx="144" c:formatCode="yyyy/m/d;@">
                  <c:v>45496</c:v>
                </c:pt>
                <c:pt idx="145" c:formatCode="yyyy/m/d;@">
                  <c:v>45497</c:v>
                </c:pt>
                <c:pt idx="146" c:formatCode="yyyy/m/d;@">
                  <c:v>45498</c:v>
                </c:pt>
                <c:pt idx="147" c:formatCode="yyyy/m/d;@">
                  <c:v>45499</c:v>
                </c:pt>
                <c:pt idx="148" c:formatCode="yyyy/m/d;@">
                  <c:v>45500</c:v>
                </c:pt>
                <c:pt idx="149" c:formatCode="yyyy/m/d;@">
                  <c:v>45501</c:v>
                </c:pt>
                <c:pt idx="150" c:formatCode="yyyy/m/d;@">
                  <c:v>45502</c:v>
                </c:pt>
                <c:pt idx="151" c:formatCode="yyyy/m/d;@">
                  <c:v>45503</c:v>
                </c:pt>
                <c:pt idx="152" c:formatCode="yyyy/m/d;@">
                  <c:v>45504</c:v>
                </c:pt>
                <c:pt idx="153" c:formatCode="yyyy/m/d;@">
                  <c:v>45505</c:v>
                </c:pt>
                <c:pt idx="154" c:formatCode="yyyy/m/d;@">
                  <c:v>45506</c:v>
                </c:pt>
                <c:pt idx="155" c:formatCode="yyyy/m/d;@">
                  <c:v>45507</c:v>
                </c:pt>
                <c:pt idx="156" c:formatCode="yyyy/m/d;@">
                  <c:v>45508</c:v>
                </c:pt>
                <c:pt idx="157" c:formatCode="yyyy/m/d;@">
                  <c:v>45509</c:v>
                </c:pt>
                <c:pt idx="158" c:formatCode="yyyy/m/d;@">
                  <c:v>45510</c:v>
                </c:pt>
                <c:pt idx="159" c:formatCode="yyyy/m/d;@">
                  <c:v>45511</c:v>
                </c:pt>
                <c:pt idx="160" c:formatCode="yyyy/m/d;@">
                  <c:v>45512</c:v>
                </c:pt>
                <c:pt idx="161" c:formatCode="yyyy/m/d;@">
                  <c:v>45513</c:v>
                </c:pt>
                <c:pt idx="162" c:formatCode="yyyy/m/d;@">
                  <c:v>45514</c:v>
                </c:pt>
                <c:pt idx="163" c:formatCode="yyyy/m/d;@">
                  <c:v>45515</c:v>
                </c:pt>
                <c:pt idx="164" c:formatCode="yyyy/m/d;@">
                  <c:v>45516</c:v>
                </c:pt>
                <c:pt idx="165" c:formatCode="yyyy/m/d;@">
                  <c:v>45517</c:v>
                </c:pt>
                <c:pt idx="166" c:formatCode="yyyy/m/d;@">
                  <c:v>45518</c:v>
                </c:pt>
                <c:pt idx="167" c:formatCode="yyyy/m/d;@">
                  <c:v>45519</c:v>
                </c:pt>
                <c:pt idx="168" c:formatCode="yyyy/m/d;@">
                  <c:v>45520</c:v>
                </c:pt>
                <c:pt idx="169" c:formatCode="yyyy/m/d;@">
                  <c:v>45521</c:v>
                </c:pt>
                <c:pt idx="170" c:formatCode="yyyy/m/d;@">
                  <c:v>45522</c:v>
                </c:pt>
                <c:pt idx="171" c:formatCode="yyyy/m/d;@">
                  <c:v>45523</c:v>
                </c:pt>
                <c:pt idx="172" c:formatCode="yyyy/m/d;@">
                  <c:v>45524</c:v>
                </c:pt>
                <c:pt idx="173" c:formatCode="yyyy/m/d;@">
                  <c:v>45525</c:v>
                </c:pt>
                <c:pt idx="174" c:formatCode="yyyy/m/d;@">
                  <c:v>45526</c:v>
                </c:pt>
                <c:pt idx="175" c:formatCode="yyyy/m/d;@">
                  <c:v>45527</c:v>
                </c:pt>
                <c:pt idx="176" c:formatCode="yyyy/m/d;@">
                  <c:v>45528</c:v>
                </c:pt>
                <c:pt idx="177" c:formatCode="yyyy/m/d;@">
                  <c:v>45529</c:v>
                </c:pt>
                <c:pt idx="178" c:formatCode="yyyy/m/d;@">
                  <c:v>45530</c:v>
                </c:pt>
                <c:pt idx="179" c:formatCode="yyyy/m/d;@">
                  <c:v>45531</c:v>
                </c:pt>
                <c:pt idx="180" c:formatCode="yyyy/m/d;@">
                  <c:v>45532</c:v>
                </c:pt>
                <c:pt idx="181" c:formatCode="yyyy/m/d;@">
                  <c:v>45533</c:v>
                </c:pt>
                <c:pt idx="182" c:formatCode="yyyy/m/d;@">
                  <c:v>45534</c:v>
                </c:pt>
                <c:pt idx="183" c:formatCode="yyyy/m/d;@">
                  <c:v>45535</c:v>
                </c:pt>
                <c:pt idx="184" c:formatCode="yyyy/m/d;@">
                  <c:v>45536</c:v>
                </c:pt>
                <c:pt idx="185" c:formatCode="yyyy/m/d;@">
                  <c:v>45537</c:v>
                </c:pt>
                <c:pt idx="186" c:formatCode="yyyy/m/d;@">
                  <c:v>45538</c:v>
                </c:pt>
                <c:pt idx="187" c:formatCode="yyyy/m/d;@">
                  <c:v>45539</c:v>
                </c:pt>
                <c:pt idx="188" c:formatCode="yyyy/m/d;@">
                  <c:v>45540</c:v>
                </c:pt>
                <c:pt idx="189" c:formatCode="yyyy/m/d;@">
                  <c:v>45541</c:v>
                </c:pt>
                <c:pt idx="190" c:formatCode="yyyy/m/d;@">
                  <c:v>45542</c:v>
                </c:pt>
                <c:pt idx="191" c:formatCode="yyyy/m/d;@">
                  <c:v>45543</c:v>
                </c:pt>
                <c:pt idx="192" c:formatCode="yyyy/m/d;@">
                  <c:v>45544</c:v>
                </c:pt>
                <c:pt idx="193" c:formatCode="yyyy/m/d;@">
                  <c:v>45545</c:v>
                </c:pt>
                <c:pt idx="194" c:formatCode="yyyy/m/d;@">
                  <c:v>45546</c:v>
                </c:pt>
                <c:pt idx="195" c:formatCode="yyyy/m/d;@">
                  <c:v>45547</c:v>
                </c:pt>
                <c:pt idx="196" c:formatCode="yyyy/m/d;@">
                  <c:v>45548</c:v>
                </c:pt>
                <c:pt idx="197" c:formatCode="yyyy/m/d;@">
                  <c:v>45549</c:v>
                </c:pt>
                <c:pt idx="198" c:formatCode="yyyy/m/d;@">
                  <c:v>45550</c:v>
                </c:pt>
                <c:pt idx="199" c:formatCode="yyyy/m/d;@">
                  <c:v>45551</c:v>
                </c:pt>
                <c:pt idx="200" c:formatCode="yyyy/m/d;@">
                  <c:v>45552</c:v>
                </c:pt>
                <c:pt idx="201" c:formatCode="yyyy/m/d;@">
                  <c:v>45553</c:v>
                </c:pt>
                <c:pt idx="202" c:formatCode="yyyy/m/d;@">
                  <c:v>45554</c:v>
                </c:pt>
                <c:pt idx="203" c:formatCode="yyyy/m/d;@">
                  <c:v>45555</c:v>
                </c:pt>
                <c:pt idx="204" c:formatCode="yyyy/m/d;@">
                  <c:v>45556</c:v>
                </c:pt>
                <c:pt idx="205" c:formatCode="yyyy/m/d;@">
                  <c:v>45557</c:v>
                </c:pt>
                <c:pt idx="206" c:formatCode="yyyy/m/d;@">
                  <c:v>45558</c:v>
                </c:pt>
                <c:pt idx="207" c:formatCode="yyyy/m/d;@">
                  <c:v>45559</c:v>
                </c:pt>
                <c:pt idx="208" c:formatCode="yyyy/m/d;@">
                  <c:v>45560</c:v>
                </c:pt>
                <c:pt idx="209" c:formatCode="yyyy/m/d;@">
                  <c:v>45561</c:v>
                </c:pt>
                <c:pt idx="210" c:formatCode="yyyy/m/d;@">
                  <c:v>45562</c:v>
                </c:pt>
                <c:pt idx="211" c:formatCode="yyyy/m/d;@">
                  <c:v>45563</c:v>
                </c:pt>
                <c:pt idx="212" c:formatCode="yyyy/m/d;@">
                  <c:v>45564</c:v>
                </c:pt>
                <c:pt idx="213" c:formatCode="yyyy/m/d;@">
                  <c:v>45565</c:v>
                </c:pt>
                <c:pt idx="214" c:formatCode="yyyy/m/d;@">
                  <c:v>45566</c:v>
                </c:pt>
                <c:pt idx="215" c:formatCode="yyyy/m/d;@">
                  <c:v>45567</c:v>
                </c:pt>
                <c:pt idx="216" c:formatCode="yyyy/m/d;@">
                  <c:v>45568</c:v>
                </c:pt>
                <c:pt idx="217" c:formatCode="yyyy/m/d;@">
                  <c:v>45569</c:v>
                </c:pt>
                <c:pt idx="218" c:formatCode="yyyy/m/d;@">
                  <c:v>45570</c:v>
                </c:pt>
                <c:pt idx="219" c:formatCode="yyyy/m/d;@">
                  <c:v>45571</c:v>
                </c:pt>
                <c:pt idx="220" c:formatCode="yyyy/m/d;@">
                  <c:v>45572</c:v>
                </c:pt>
                <c:pt idx="221" c:formatCode="yyyy/m/d;@">
                  <c:v>45573</c:v>
                </c:pt>
                <c:pt idx="222" c:formatCode="yyyy/m/d;@">
                  <c:v>45574</c:v>
                </c:pt>
                <c:pt idx="223" c:formatCode="yyyy/m/d;@">
                  <c:v>45575</c:v>
                </c:pt>
                <c:pt idx="224" c:formatCode="yyyy/m/d;@">
                  <c:v>45576</c:v>
                </c:pt>
                <c:pt idx="225" c:formatCode="yyyy/m/d;@">
                  <c:v>45577</c:v>
                </c:pt>
                <c:pt idx="226" c:formatCode="yyyy/m/d;@">
                  <c:v>45578</c:v>
                </c:pt>
                <c:pt idx="227" c:formatCode="yyyy/m/d;@">
                  <c:v>45579</c:v>
                </c:pt>
                <c:pt idx="228" c:formatCode="yyyy/m/d;@">
                  <c:v>45580</c:v>
                </c:pt>
                <c:pt idx="229" c:formatCode="yyyy/m/d;@">
                  <c:v>45581</c:v>
                </c:pt>
                <c:pt idx="230" c:formatCode="yyyy/m/d;@">
                  <c:v>45582</c:v>
                </c:pt>
                <c:pt idx="231" c:formatCode="yyyy/m/d;@">
                  <c:v>45583</c:v>
                </c:pt>
                <c:pt idx="232" c:formatCode="yyyy/m/d;@">
                  <c:v>45584</c:v>
                </c:pt>
                <c:pt idx="233" c:formatCode="yyyy/m/d;@">
                  <c:v>45585</c:v>
                </c:pt>
                <c:pt idx="234" c:formatCode="yyyy/m/d;@">
                  <c:v>45586</c:v>
                </c:pt>
                <c:pt idx="235" c:formatCode="yyyy/m/d;@">
                  <c:v>45587</c:v>
                </c:pt>
                <c:pt idx="236" c:formatCode="yyyy/m/d;@">
                  <c:v>45588</c:v>
                </c:pt>
                <c:pt idx="237" c:formatCode="yyyy/m/d;@">
                  <c:v>45589</c:v>
                </c:pt>
                <c:pt idx="238" c:formatCode="yyyy/m/d;@">
                  <c:v>45590</c:v>
                </c:pt>
                <c:pt idx="239" c:formatCode="yyyy/m/d;@">
                  <c:v>45591</c:v>
                </c:pt>
                <c:pt idx="240" c:formatCode="yyyy/m/d;@">
                  <c:v>45592</c:v>
                </c:pt>
                <c:pt idx="241" c:formatCode="yyyy/m/d;@">
                  <c:v>45593</c:v>
                </c:pt>
                <c:pt idx="242" c:formatCode="yyyy/m/d;@">
                  <c:v>45594</c:v>
                </c:pt>
                <c:pt idx="243" c:formatCode="yyyy/m/d;@">
                  <c:v>45595</c:v>
                </c:pt>
                <c:pt idx="244" c:formatCode="yyyy/m/d;@">
                  <c:v>45596</c:v>
                </c:pt>
                <c:pt idx="245" c:formatCode="yyyy/m/d;@">
                  <c:v>45597</c:v>
                </c:pt>
                <c:pt idx="246" c:formatCode="yyyy/m/d;@">
                  <c:v>45598</c:v>
                </c:pt>
                <c:pt idx="247" c:formatCode="yyyy/m/d;@">
                  <c:v>45599</c:v>
                </c:pt>
                <c:pt idx="248" c:formatCode="yyyy/m/d;@">
                  <c:v>45600</c:v>
                </c:pt>
                <c:pt idx="249" c:formatCode="yyyy/m/d;@">
                  <c:v>45601</c:v>
                </c:pt>
                <c:pt idx="250" c:formatCode="yyyy/m/d;@">
                  <c:v>45602</c:v>
                </c:pt>
                <c:pt idx="251" c:formatCode="yyyy/m/d;@">
                  <c:v>45603</c:v>
                </c:pt>
                <c:pt idx="252" c:formatCode="yyyy/m/d;@">
                  <c:v>45604</c:v>
                </c:pt>
                <c:pt idx="253" c:formatCode="yyyy/m/d;@">
                  <c:v>45605</c:v>
                </c:pt>
                <c:pt idx="254" c:formatCode="yyyy/m/d;@">
                  <c:v>45606</c:v>
                </c:pt>
                <c:pt idx="255" c:formatCode="yyyy/m/d;@">
                  <c:v>45607</c:v>
                </c:pt>
                <c:pt idx="256" c:formatCode="yyyy/m/d;@">
                  <c:v>45608</c:v>
                </c:pt>
                <c:pt idx="257" c:formatCode="yyyy/m/d;@">
                  <c:v>45609</c:v>
                </c:pt>
                <c:pt idx="258" c:formatCode="yyyy/m/d;@">
                  <c:v>45610</c:v>
                </c:pt>
                <c:pt idx="259" c:formatCode="yyyy/m/d;@">
                  <c:v>45611</c:v>
                </c:pt>
                <c:pt idx="260" c:formatCode="yyyy/m/d;@">
                  <c:v>45612</c:v>
                </c:pt>
                <c:pt idx="261" c:formatCode="yyyy/m/d;@">
                  <c:v>45613</c:v>
                </c:pt>
                <c:pt idx="262" c:formatCode="yyyy/m/d;@">
                  <c:v>45614</c:v>
                </c:pt>
                <c:pt idx="263" c:formatCode="yyyy/m/d;@">
                  <c:v>45615</c:v>
                </c:pt>
                <c:pt idx="264" c:formatCode="yyyy/m/d;@">
                  <c:v>45616</c:v>
                </c:pt>
                <c:pt idx="265" c:formatCode="yyyy/m/d;@">
                  <c:v>45617</c:v>
                </c:pt>
                <c:pt idx="266" c:formatCode="yyyy/m/d;@">
                  <c:v>45618</c:v>
                </c:pt>
                <c:pt idx="267" c:formatCode="yyyy/m/d;@">
                  <c:v>45619</c:v>
                </c:pt>
                <c:pt idx="268" c:formatCode="yyyy/m/d;@">
                  <c:v>45620</c:v>
                </c:pt>
                <c:pt idx="269" c:formatCode="yyyy/m/d;@">
                  <c:v>45621</c:v>
                </c:pt>
                <c:pt idx="270" c:formatCode="yyyy/m/d;@">
                  <c:v>45622</c:v>
                </c:pt>
                <c:pt idx="271" c:formatCode="yyyy/m/d;@">
                  <c:v>45623</c:v>
                </c:pt>
                <c:pt idx="272" c:formatCode="yyyy/m/d;@">
                  <c:v>45624</c:v>
                </c:pt>
                <c:pt idx="273" c:formatCode="yyyy/m/d;@">
                  <c:v>45625</c:v>
                </c:pt>
                <c:pt idx="274" c:formatCode="yyyy/m/d;@">
                  <c:v>45626</c:v>
                </c:pt>
              </c:numCache>
            </c:numRef>
          </c:cat>
          <c:val>
            <c:numRef>
              <c:f>'阿里妈妈Raw Data'!$AD$366:$AD$638</c:f>
              <c:numCache>
                <c:formatCode>0.0_);[Red]\(0.0\)</c:formatCode>
                <c:ptCount val="273"/>
                <c:pt idx="0">
                  <c:v>27.5764285714286</c:v>
                </c:pt>
                <c:pt idx="1">
                  <c:v>36.5458208955224</c:v>
                </c:pt>
                <c:pt idx="2">
                  <c:v>31.0922972972973</c:v>
                </c:pt>
                <c:pt idx="3">
                  <c:v>27.736953125</c:v>
                </c:pt>
                <c:pt idx="4">
                  <c:v>35.2974305555556</c:v>
                </c:pt>
                <c:pt idx="5">
                  <c:v>47.087</c:v>
                </c:pt>
                <c:pt idx="6">
                  <c:v>40.8762068965517</c:v>
                </c:pt>
                <c:pt idx="7">
                  <c:v>28.2067111111111</c:v>
                </c:pt>
                <c:pt idx="8">
                  <c:v>23.0036283185841</c:v>
                </c:pt>
                <c:pt idx="9">
                  <c:v>20.2952107279693</c:v>
                </c:pt>
                <c:pt idx="10">
                  <c:v>18.6792492492492</c:v>
                </c:pt>
                <c:pt idx="11">
                  <c:v>19.3212452830189</c:v>
                </c:pt>
                <c:pt idx="12">
                  <c:v>26.978</c:v>
                </c:pt>
                <c:pt idx="13">
                  <c:v>22.0649403341289</c:v>
                </c:pt>
                <c:pt idx="14">
                  <c:v>22.5723364485981</c:v>
                </c:pt>
                <c:pt idx="15">
                  <c:v>31.126350148368</c:v>
                </c:pt>
                <c:pt idx="16">
                  <c:v>29.1485250737463</c:v>
                </c:pt>
                <c:pt idx="17">
                  <c:v>24.9334545454545</c:v>
                </c:pt>
                <c:pt idx="18">
                  <c:v>24.7421464646465</c:v>
                </c:pt>
                <c:pt idx="19">
                  <c:v>25.589756097561</c:v>
                </c:pt>
                <c:pt idx="20">
                  <c:v>28.6782582582583</c:v>
                </c:pt>
                <c:pt idx="21">
                  <c:v>29.1761424332344</c:v>
                </c:pt>
                <c:pt idx="22">
                  <c:v>30.9196604938272</c:v>
                </c:pt>
                <c:pt idx="23">
                  <c:v>40.1223770491803</c:v>
                </c:pt>
                <c:pt idx="24">
                  <c:v>30.2843265306122</c:v>
                </c:pt>
                <c:pt idx="25">
                  <c:v>32.3245614035088</c:v>
                </c:pt>
                <c:pt idx="26">
                  <c:v>31.0096551724138</c:v>
                </c:pt>
                <c:pt idx="27">
                  <c:v>21.4561224489796</c:v>
                </c:pt>
                <c:pt idx="28">
                  <c:v>26.3586610878661</c:v>
                </c:pt>
                <c:pt idx="29">
                  <c:v>26.6531428571429</c:v>
                </c:pt>
                <c:pt idx="30">
                  <c:v>28.7259027777778</c:v>
                </c:pt>
                <c:pt idx="31">
                  <c:v>31.6499090909091</c:v>
                </c:pt>
                <c:pt idx="32">
                  <c:v>27.6228682170543</c:v>
                </c:pt>
                <c:pt idx="33">
                  <c:v>28.870625</c:v>
                </c:pt>
                <c:pt idx="34">
                  <c:v>22.0056725146199</c:v>
                </c:pt>
                <c:pt idx="35">
                  <c:v>24.537</c:v>
                </c:pt>
                <c:pt idx="36">
                  <c:v>22.3817318435754</c:v>
                </c:pt>
                <c:pt idx="37">
                  <c:v>27.5602797202797</c:v>
                </c:pt>
                <c:pt idx="38">
                  <c:v>28.224595959596</c:v>
                </c:pt>
                <c:pt idx="39">
                  <c:v>26.1873039215686</c:v>
                </c:pt>
                <c:pt idx="40">
                  <c:v>22.3541818181818</c:v>
                </c:pt>
                <c:pt idx="41">
                  <c:v>21.3738372093023</c:v>
                </c:pt>
                <c:pt idx="42">
                  <c:v>17.8871732522796</c:v>
                </c:pt>
                <c:pt idx="43">
                  <c:v>20.3183754512635</c:v>
                </c:pt>
                <c:pt idx="44">
                  <c:v>20.0240072202166</c:v>
                </c:pt>
                <c:pt idx="45">
                  <c:v>20.0567791411043</c:v>
                </c:pt>
                <c:pt idx="46">
                  <c:v>21.2944363636364</c:v>
                </c:pt>
                <c:pt idx="47">
                  <c:v>19.6685106382979</c:v>
                </c:pt>
                <c:pt idx="48">
                  <c:v>18.3968243243243</c:v>
                </c:pt>
                <c:pt idx="49">
                  <c:v>17.4261538461538</c:v>
                </c:pt>
                <c:pt idx="50">
                  <c:v>19.1713056379822</c:v>
                </c:pt>
                <c:pt idx="51">
                  <c:v>23.0929387755102</c:v>
                </c:pt>
                <c:pt idx="52">
                  <c:v>24.8360995850622</c:v>
                </c:pt>
                <c:pt idx="53">
                  <c:v>20.5417843866171</c:v>
                </c:pt>
                <c:pt idx="54">
                  <c:v>30.7597389033943</c:v>
                </c:pt>
                <c:pt idx="55">
                  <c:v>16.0486740331492</c:v>
                </c:pt>
                <c:pt idx="56">
                  <c:v>16.7151685393258</c:v>
                </c:pt>
                <c:pt idx="57">
                  <c:v>17.7799697885196</c:v>
                </c:pt>
                <c:pt idx="58">
                  <c:v>22.5721374045802</c:v>
                </c:pt>
                <c:pt idx="59">
                  <c:v>14.9293984962406</c:v>
                </c:pt>
                <c:pt idx="60">
                  <c:v>13.6915859030837</c:v>
                </c:pt>
                <c:pt idx="61">
                  <c:v>16.44975</c:v>
                </c:pt>
                <c:pt idx="62">
                  <c:v>15.1194736842105</c:v>
                </c:pt>
                <c:pt idx="63">
                  <c:v>13.7621218961625</c:v>
                </c:pt>
                <c:pt idx="64">
                  <c:v>15.9017452830189</c:v>
                </c:pt>
                <c:pt idx="65">
                  <c:v>13.9647815533981</c:v>
                </c:pt>
                <c:pt idx="66">
                  <c:v>16.2367374005305</c:v>
                </c:pt>
                <c:pt idx="67">
                  <c:v>18.6286292834891</c:v>
                </c:pt>
                <c:pt idx="68">
                  <c:v>17.6822686567164</c:v>
                </c:pt>
                <c:pt idx="69">
                  <c:v>15.7280780780781</c:v>
                </c:pt>
                <c:pt idx="70">
                  <c:v>15.7481213872832</c:v>
                </c:pt>
                <c:pt idx="71">
                  <c:v>16.6515342465753</c:v>
                </c:pt>
                <c:pt idx="72">
                  <c:v>15.151760391198</c:v>
                </c:pt>
                <c:pt idx="73">
                  <c:v>13.5242685851319</c:v>
                </c:pt>
                <c:pt idx="74">
                  <c:v>14.6162356321839</c:v>
                </c:pt>
                <c:pt idx="75">
                  <c:v>14.2524262295082</c:v>
                </c:pt>
                <c:pt idx="76">
                  <c:v>13.7101796407186</c:v>
                </c:pt>
                <c:pt idx="77">
                  <c:v>12.5015591397849</c:v>
                </c:pt>
                <c:pt idx="78">
                  <c:v>16.6010367892977</c:v>
                </c:pt>
                <c:pt idx="79">
                  <c:v>11.7815935334873</c:v>
                </c:pt>
                <c:pt idx="80">
                  <c:v>13.5695890410959</c:v>
                </c:pt>
                <c:pt idx="81">
                  <c:v>15.6557986111111</c:v>
                </c:pt>
                <c:pt idx="82">
                  <c:v>16.4767647058824</c:v>
                </c:pt>
                <c:pt idx="83">
                  <c:v>12.4393975903614</c:v>
                </c:pt>
                <c:pt idx="84">
                  <c:v>11.1172446555819</c:v>
                </c:pt>
                <c:pt idx="85">
                  <c:v>18.5302005730659</c:v>
                </c:pt>
                <c:pt idx="86">
                  <c:v>19.4496068796069</c:v>
                </c:pt>
                <c:pt idx="87">
                  <c:v>23.9843349753695</c:v>
                </c:pt>
                <c:pt idx="88">
                  <c:v>18.2244036697248</c:v>
                </c:pt>
                <c:pt idx="89">
                  <c:v>27.2546192893401</c:v>
                </c:pt>
                <c:pt idx="90">
                  <c:v>13.8607009345794</c:v>
                </c:pt>
                <c:pt idx="91">
                  <c:v>15.6599659284497</c:v>
                </c:pt>
                <c:pt idx="92">
                  <c:v>20.7675523012552</c:v>
                </c:pt>
                <c:pt idx="93">
                  <c:v>19.6226914660832</c:v>
                </c:pt>
                <c:pt idx="94">
                  <c:v>17.2983296703297</c:v>
                </c:pt>
                <c:pt idx="95">
                  <c:v>17.6697457627119</c:v>
                </c:pt>
                <c:pt idx="96">
                  <c:v>20.2567142857143</c:v>
                </c:pt>
                <c:pt idx="97">
                  <c:v>17.9712209302326</c:v>
                </c:pt>
                <c:pt idx="98">
                  <c:v>15.7937628865979</c:v>
                </c:pt>
                <c:pt idx="99">
                  <c:v>16.6498921832884</c:v>
                </c:pt>
                <c:pt idx="100">
                  <c:v>18.4841282051282</c:v>
                </c:pt>
                <c:pt idx="101">
                  <c:v>19.966914600551</c:v>
                </c:pt>
                <c:pt idx="102">
                  <c:v>15.9222622107969</c:v>
                </c:pt>
                <c:pt idx="103">
                  <c:v>18.7648059701493</c:v>
                </c:pt>
                <c:pt idx="104">
                  <c:v>18.0724838012959</c:v>
                </c:pt>
                <c:pt idx="105">
                  <c:v>17.2485071574642</c:v>
                </c:pt>
                <c:pt idx="106">
                  <c:v>19.478809946714</c:v>
                </c:pt>
                <c:pt idx="107">
                  <c:v>21.0512186379928</c:v>
                </c:pt>
                <c:pt idx="108">
                  <c:v>19.3005701754386</c:v>
                </c:pt>
                <c:pt idx="109">
                  <c:v>23.8996259351621</c:v>
                </c:pt>
                <c:pt idx="110">
                  <c:v>15.3367881548975</c:v>
                </c:pt>
                <c:pt idx="111">
                  <c:v>12.5187606837607</c:v>
                </c:pt>
                <c:pt idx="112">
                  <c:v>11.8585227272727</c:v>
                </c:pt>
                <c:pt idx="113">
                  <c:v>13.974358974359</c:v>
                </c:pt>
                <c:pt idx="114">
                  <c:v>14.3492642140468</c:v>
                </c:pt>
                <c:pt idx="115">
                  <c:v>14.3638983050847</c:v>
                </c:pt>
                <c:pt idx="116">
                  <c:v>13.5656301145663</c:v>
                </c:pt>
                <c:pt idx="117">
                  <c:v>13.9868233387358</c:v>
                </c:pt>
                <c:pt idx="118">
                  <c:v>15.4006357388316</c:v>
                </c:pt>
                <c:pt idx="119">
                  <c:v>14.2966615853659</c:v>
                </c:pt>
                <c:pt idx="120">
                  <c:v>14.5227397260274</c:v>
                </c:pt>
                <c:pt idx="121">
                  <c:v>13.3288354898336</c:v>
                </c:pt>
                <c:pt idx="122">
                  <c:v>13.0464456721915</c:v>
                </c:pt>
                <c:pt idx="123">
                  <c:v>12.1383297180043</c:v>
                </c:pt>
                <c:pt idx="124">
                  <c:v>11.3156972111554</c:v>
                </c:pt>
                <c:pt idx="125">
                  <c:v>10.4488724584104</c:v>
                </c:pt>
                <c:pt idx="126">
                  <c:v>11.317</c:v>
                </c:pt>
                <c:pt idx="127">
                  <c:v>12.6899784946237</c:v>
                </c:pt>
                <c:pt idx="128">
                  <c:v>12.5081352459016</c:v>
                </c:pt>
                <c:pt idx="129">
                  <c:v>12.724375</c:v>
                </c:pt>
                <c:pt idx="130">
                  <c:v>11.5855765595463</c:v>
                </c:pt>
                <c:pt idx="131">
                  <c:v>11.2068028419183</c:v>
                </c:pt>
                <c:pt idx="132">
                  <c:v>10.5638065522621</c:v>
                </c:pt>
                <c:pt idx="133">
                  <c:v>10.8821688741722</c:v>
                </c:pt>
                <c:pt idx="134">
                  <c:v>12.5256739130435</c:v>
                </c:pt>
                <c:pt idx="135">
                  <c:v>12.2990137614679</c:v>
                </c:pt>
                <c:pt idx="136">
                  <c:v>12.3859657701711</c:v>
                </c:pt>
                <c:pt idx="137">
                  <c:v>12.0857729468599</c:v>
                </c:pt>
                <c:pt idx="138">
                  <c:v>10.5210084033613</c:v>
                </c:pt>
                <c:pt idx="139">
                  <c:v>10.5113692946058</c:v>
                </c:pt>
                <c:pt idx="140">
                  <c:v>10.5471428571429</c:v>
                </c:pt>
                <c:pt idx="141">
                  <c:v>12.4316777041943</c:v>
                </c:pt>
                <c:pt idx="142">
                  <c:v>15.80934169279</c:v>
                </c:pt>
                <c:pt idx="143">
                  <c:v>12.4251364764268</c:v>
                </c:pt>
                <c:pt idx="144">
                  <c:v>14.1208988764045</c:v>
                </c:pt>
                <c:pt idx="145">
                  <c:v>13.3260326086957</c:v>
                </c:pt>
                <c:pt idx="146">
                  <c:v>14.4528273809524</c:v>
                </c:pt>
                <c:pt idx="147">
                  <c:v>11.7786904761905</c:v>
                </c:pt>
                <c:pt idx="148">
                  <c:v>13.9459659090909</c:v>
                </c:pt>
                <c:pt idx="149">
                  <c:v>12.0817818181818</c:v>
                </c:pt>
                <c:pt idx="150">
                  <c:v>16.1859842519685</c:v>
                </c:pt>
                <c:pt idx="151">
                  <c:v>10.8602469135802</c:v>
                </c:pt>
                <c:pt idx="152">
                  <c:v>11.8733866666667</c:v>
                </c:pt>
                <c:pt idx="153">
                  <c:v>12.9459718309859</c:v>
                </c:pt>
                <c:pt idx="154">
                  <c:v>11.177803030303</c:v>
                </c:pt>
                <c:pt idx="155">
                  <c:v>13.9642975206612</c:v>
                </c:pt>
                <c:pt idx="156">
                  <c:v>13.3614285714286</c:v>
                </c:pt>
                <c:pt idx="157">
                  <c:v>13.4689841269841</c:v>
                </c:pt>
                <c:pt idx="158">
                  <c:v>14.5303448275862</c:v>
                </c:pt>
                <c:pt idx="159">
                  <c:v>14.1034736842105</c:v>
                </c:pt>
                <c:pt idx="160">
                  <c:v>13.8351655629139</c:v>
                </c:pt>
                <c:pt idx="161">
                  <c:v>13.0025538461538</c:v>
                </c:pt>
                <c:pt idx="162">
                  <c:v>12.2825144508671</c:v>
                </c:pt>
                <c:pt idx="163">
                  <c:v>11.3359950859951</c:v>
                </c:pt>
                <c:pt idx="164">
                  <c:v>12.9072839506173</c:v>
                </c:pt>
                <c:pt idx="165">
                  <c:v>11.6720631067961</c:v>
                </c:pt>
                <c:pt idx="166">
                  <c:v>10.7520737327189</c:v>
                </c:pt>
                <c:pt idx="167">
                  <c:v>12.33992</c:v>
                </c:pt>
                <c:pt idx="168">
                  <c:v>12.0846547314578</c:v>
                </c:pt>
                <c:pt idx="169">
                  <c:v>11.6803201970443</c:v>
                </c:pt>
                <c:pt idx="170">
                  <c:v>13.5053257790368</c:v>
                </c:pt>
                <c:pt idx="171">
                  <c:v>15.4169480519481</c:v>
                </c:pt>
                <c:pt idx="172">
                  <c:v>12.155972972973</c:v>
                </c:pt>
                <c:pt idx="173">
                  <c:v>14.8227</c:v>
                </c:pt>
                <c:pt idx="174">
                  <c:v>12.7300771208226</c:v>
                </c:pt>
                <c:pt idx="175">
                  <c:v>11.4853937947494</c:v>
                </c:pt>
                <c:pt idx="176">
                  <c:v>14.0412526539278</c:v>
                </c:pt>
                <c:pt idx="177">
                  <c:v>14.8708333333333</c:v>
                </c:pt>
                <c:pt idx="178">
                  <c:v>17.481018766756</c:v>
                </c:pt>
                <c:pt idx="179">
                  <c:v>14.2532374100719</c:v>
                </c:pt>
                <c:pt idx="180">
                  <c:v>14.6903608247423</c:v>
                </c:pt>
                <c:pt idx="181">
                  <c:v>15.3291891891892</c:v>
                </c:pt>
                <c:pt idx="182">
                  <c:v>15.3792578849722</c:v>
                </c:pt>
                <c:pt idx="183">
                  <c:v>15.92673828125</c:v>
                </c:pt>
                <c:pt idx="184">
                  <c:v>16.7757389635317</c:v>
                </c:pt>
                <c:pt idx="185">
                  <c:v>16.4507201646091</c:v>
                </c:pt>
                <c:pt idx="186">
                  <c:v>15.3260433070866</c:v>
                </c:pt>
                <c:pt idx="187">
                  <c:v>13.8356466302368</c:v>
                </c:pt>
                <c:pt idx="188">
                  <c:v>12.5702618657938</c:v>
                </c:pt>
                <c:pt idx="189">
                  <c:v>15.9505537459283</c:v>
                </c:pt>
                <c:pt idx="190">
                  <c:v>21.5297897897898</c:v>
                </c:pt>
                <c:pt idx="191">
                  <c:v>18.9366494845361</c:v>
                </c:pt>
                <c:pt idx="192">
                  <c:v>22.6731793478261</c:v>
                </c:pt>
                <c:pt idx="193">
                  <c:v>20.3552393617021</c:v>
                </c:pt>
                <c:pt idx="194">
                  <c:v>20.0233417085427</c:v>
                </c:pt>
                <c:pt idx="195">
                  <c:v>19.4702659574468</c:v>
                </c:pt>
                <c:pt idx="196">
                  <c:v>19.8432533333333</c:v>
                </c:pt>
                <c:pt idx="197">
                  <c:v>18.4263569682152</c:v>
                </c:pt>
                <c:pt idx="198">
                  <c:v>25.7339249146758</c:v>
                </c:pt>
                <c:pt idx="199">
                  <c:v>24.2456386292835</c:v>
                </c:pt>
                <c:pt idx="200">
                  <c:v>23.1770186335404</c:v>
                </c:pt>
                <c:pt idx="201">
                  <c:v>24.0746461538462</c:v>
                </c:pt>
                <c:pt idx="202">
                  <c:v>24.001572327044</c:v>
                </c:pt>
                <c:pt idx="203">
                  <c:v>16.9410569105691</c:v>
                </c:pt>
                <c:pt idx="204">
                  <c:v>17.9161682242991</c:v>
                </c:pt>
                <c:pt idx="205">
                  <c:v>21.6073869346734</c:v>
                </c:pt>
                <c:pt idx="206">
                  <c:v>25.4621301775148</c:v>
                </c:pt>
                <c:pt idx="207">
                  <c:v>20.8052511415525</c:v>
                </c:pt>
                <c:pt idx="208">
                  <c:v>15.7418918918919</c:v>
                </c:pt>
                <c:pt idx="209">
                  <c:v>14.9610038610039</c:v>
                </c:pt>
                <c:pt idx="210">
                  <c:v>17.5767948717949</c:v>
                </c:pt>
                <c:pt idx="211">
                  <c:v>17.5240291262136</c:v>
                </c:pt>
                <c:pt idx="212">
                  <c:v>14.6722348484848</c:v>
                </c:pt>
                <c:pt idx="213">
                  <c:v>15.5213223140496</c:v>
                </c:pt>
                <c:pt idx="214">
                  <c:v>12.2590939597315</c:v>
                </c:pt>
                <c:pt idx="215">
                  <c:v>13.0407067137809</c:v>
                </c:pt>
                <c:pt idx="216">
                  <c:v>12.4399339933993</c:v>
                </c:pt>
                <c:pt idx="217">
                  <c:v>12.2075539568345</c:v>
                </c:pt>
                <c:pt idx="218">
                  <c:v>10.538080495356</c:v>
                </c:pt>
                <c:pt idx="219">
                  <c:v>12.6046959459459</c:v>
                </c:pt>
                <c:pt idx="220">
                  <c:v>11.9648351648352</c:v>
                </c:pt>
                <c:pt idx="221">
                  <c:v>13.2873867595819</c:v>
                </c:pt>
                <c:pt idx="222">
                  <c:v>11.7669627507163</c:v>
                </c:pt>
                <c:pt idx="223">
                  <c:v>11.5017325227964</c:v>
                </c:pt>
                <c:pt idx="224">
                  <c:v>9.07415</c:v>
                </c:pt>
                <c:pt idx="225">
                  <c:v>15.158096</c:v>
                </c:pt>
                <c:pt idx="226">
                  <c:v>13.1216892596455</c:v>
                </c:pt>
                <c:pt idx="227">
                  <c:v>10.5928128460687</c:v>
                </c:pt>
                <c:pt idx="228">
                  <c:v>12.0399609375</c:v>
                </c:pt>
                <c:pt idx="229">
                  <c:v>13.9321024734982</c:v>
                </c:pt>
                <c:pt idx="230">
                  <c:v>11.0471048252912</c:v>
                </c:pt>
                <c:pt idx="231">
                  <c:v>10.871252236136</c:v>
                </c:pt>
                <c:pt idx="232">
                  <c:v>20.120134589502</c:v>
                </c:pt>
                <c:pt idx="233">
                  <c:v>17.8508689248895</c:v>
                </c:pt>
                <c:pt idx="234">
                  <c:v>17.5402777777778</c:v>
                </c:pt>
                <c:pt idx="235">
                  <c:v>16.8529529243937</c:v>
                </c:pt>
                <c:pt idx="236">
                  <c:v>18.4283219645293</c:v>
                </c:pt>
                <c:pt idx="237">
                  <c:v>13.7466433566434</c:v>
                </c:pt>
                <c:pt idx="238">
                  <c:v>15.4258290816327</c:v>
                </c:pt>
                <c:pt idx="239">
                  <c:v>20.7721076923077</c:v>
                </c:pt>
                <c:pt idx="240">
                  <c:v>19.9492989690722</c:v>
                </c:pt>
                <c:pt idx="241">
                  <c:v>17.8882329317269</c:v>
                </c:pt>
                <c:pt idx="242">
                  <c:v>20.6125625</c:v>
                </c:pt>
                <c:pt idx="243">
                  <c:v>18.1386934673367</c:v>
                </c:pt>
                <c:pt idx="244">
                  <c:v>13.6469565217391</c:v>
                </c:pt>
                <c:pt idx="245">
                  <c:v>13.6657389428263</c:v>
                </c:pt>
                <c:pt idx="246">
                  <c:v>16.6441515837104</c:v>
                </c:pt>
                <c:pt idx="247">
                  <c:v>16.6286193548387</c:v>
                </c:pt>
                <c:pt idx="248">
                  <c:v>18.4838880918221</c:v>
                </c:pt>
                <c:pt idx="249">
                  <c:v>15.5167036625971</c:v>
                </c:pt>
                <c:pt idx="250">
                  <c:v>17.9701321138211</c:v>
                </c:pt>
                <c:pt idx="251">
                  <c:v>16.5913575865129</c:v>
                </c:pt>
                <c:pt idx="252">
                  <c:v>19.3364831804281</c:v>
                </c:pt>
                <c:pt idx="253">
                  <c:v>24.7877755511022</c:v>
                </c:pt>
                <c:pt idx="254">
                  <c:v>17.7887955182073</c:v>
                </c:pt>
                <c:pt idx="255">
                  <c:v>14.4943612334802</c:v>
                </c:pt>
                <c:pt idx="256">
                  <c:v>17.1293452380952</c:v>
                </c:pt>
                <c:pt idx="257">
                  <c:v>20.5725984251968</c:v>
                </c:pt>
                <c:pt idx="258">
                  <c:v>14.5135860058309</c:v>
                </c:pt>
                <c:pt idx="259">
                  <c:v>15.8831531531532</c:v>
                </c:pt>
                <c:pt idx="260">
                  <c:v>18.0136267605634</c:v>
                </c:pt>
                <c:pt idx="261">
                  <c:v>18.3658571428571</c:v>
                </c:pt>
                <c:pt idx="262">
                  <c:v>20.5808097165992</c:v>
                </c:pt>
                <c:pt idx="263">
                  <c:v>18.7650592885375</c:v>
                </c:pt>
                <c:pt idx="264">
                  <c:v>14.0957142857143</c:v>
                </c:pt>
                <c:pt idx="265">
                  <c:v>16.2505693950178</c:v>
                </c:pt>
                <c:pt idx="266">
                  <c:v>14.5929666666667</c:v>
                </c:pt>
                <c:pt idx="267">
                  <c:v>18.2376150627615</c:v>
                </c:pt>
                <c:pt idx="268">
                  <c:v>16.9402888086643</c:v>
                </c:pt>
                <c:pt idx="269">
                  <c:v>19.2778969957082</c:v>
                </c:pt>
                <c:pt idx="270">
                  <c:v>15.4234967320261</c:v>
                </c:pt>
                <c:pt idx="271">
                  <c:v>17.5107984790875</c:v>
                </c:pt>
                <c:pt idx="272">
                  <c:v>14.5247987616099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57976064"/>
        <c:axId val="157977600"/>
      </c:lineChart>
      <c:dateAx>
        <c:axId val="157976064"/>
        <c:scaling>
          <c:orientation val="minMax"/>
        </c:scaling>
        <c:delete val="0"/>
        <c:axPos val="b"/>
        <c:numFmt formatCode="yyyy/m/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977600"/>
        <c:crosses val="autoZero"/>
        <c:auto val="1"/>
        <c:lblOffset val="100"/>
        <c:baseTimeUnit val="days"/>
      </c:dateAx>
      <c:valAx>
        <c:axId val="15797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97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6e71a08-3461-4bd6-b8d1-fc2b78fa335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综合收藏加购率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'阿里妈妈Raw Data'!$A$364:$A$638</c:f>
              <c:numCache>
                <c:formatCode>yyyy/m/d;@</c:formatCode>
                <c:ptCount val="275"/>
                <c:pt idx="0" c:formatCode="yyyy/m/d;@">
                  <c:v>45352</c:v>
                </c:pt>
                <c:pt idx="1" c:formatCode="yyyy/m/d;@">
                  <c:v>45353</c:v>
                </c:pt>
                <c:pt idx="2" c:formatCode="yyyy/m/d;@">
                  <c:v>45354</c:v>
                </c:pt>
                <c:pt idx="3" c:formatCode="yyyy/m/d;@">
                  <c:v>45355</c:v>
                </c:pt>
                <c:pt idx="4" c:formatCode="yyyy/m/d;@">
                  <c:v>45356</c:v>
                </c:pt>
                <c:pt idx="5" c:formatCode="yyyy/m/d;@">
                  <c:v>45357</c:v>
                </c:pt>
                <c:pt idx="6" c:formatCode="yyyy/m/d;@">
                  <c:v>45358</c:v>
                </c:pt>
                <c:pt idx="7" c:formatCode="yyyy/m/d;@">
                  <c:v>45359</c:v>
                </c:pt>
                <c:pt idx="8" c:formatCode="yyyy/m/d;@">
                  <c:v>45360</c:v>
                </c:pt>
                <c:pt idx="9" c:formatCode="yyyy/m/d;@">
                  <c:v>45361</c:v>
                </c:pt>
                <c:pt idx="10" c:formatCode="yyyy/m/d;@">
                  <c:v>45362</c:v>
                </c:pt>
                <c:pt idx="11" c:formatCode="yyyy/m/d;@">
                  <c:v>45363</c:v>
                </c:pt>
                <c:pt idx="12" c:formatCode="yyyy/m/d;@">
                  <c:v>45364</c:v>
                </c:pt>
                <c:pt idx="13" c:formatCode="yyyy/m/d;@">
                  <c:v>45365</c:v>
                </c:pt>
                <c:pt idx="14" c:formatCode="yyyy/m/d;@">
                  <c:v>45366</c:v>
                </c:pt>
                <c:pt idx="15" c:formatCode="yyyy/m/d;@">
                  <c:v>45367</c:v>
                </c:pt>
                <c:pt idx="16" c:formatCode="yyyy/m/d;@">
                  <c:v>45368</c:v>
                </c:pt>
                <c:pt idx="17" c:formatCode="yyyy/m/d;@">
                  <c:v>45369</c:v>
                </c:pt>
                <c:pt idx="18" c:formatCode="yyyy/m/d;@">
                  <c:v>45370</c:v>
                </c:pt>
                <c:pt idx="19" c:formatCode="yyyy/m/d;@">
                  <c:v>45371</c:v>
                </c:pt>
                <c:pt idx="20" c:formatCode="yyyy/m/d;@">
                  <c:v>45372</c:v>
                </c:pt>
                <c:pt idx="21" c:formatCode="yyyy/m/d;@">
                  <c:v>45373</c:v>
                </c:pt>
                <c:pt idx="22" c:formatCode="yyyy/m/d;@">
                  <c:v>45374</c:v>
                </c:pt>
                <c:pt idx="23" c:formatCode="yyyy/m/d;@">
                  <c:v>45375</c:v>
                </c:pt>
                <c:pt idx="24" c:formatCode="yyyy/m/d;@">
                  <c:v>45376</c:v>
                </c:pt>
                <c:pt idx="25" c:formatCode="yyyy/m/d;@">
                  <c:v>45377</c:v>
                </c:pt>
                <c:pt idx="26" c:formatCode="yyyy/m/d;@">
                  <c:v>45378</c:v>
                </c:pt>
                <c:pt idx="27" c:formatCode="yyyy/m/d;@">
                  <c:v>45379</c:v>
                </c:pt>
                <c:pt idx="28" c:formatCode="yyyy/m/d;@">
                  <c:v>45380</c:v>
                </c:pt>
                <c:pt idx="29" c:formatCode="yyyy/m/d;@">
                  <c:v>45381</c:v>
                </c:pt>
                <c:pt idx="30" c:formatCode="yyyy/m/d;@">
                  <c:v>45382</c:v>
                </c:pt>
                <c:pt idx="31" c:formatCode="yyyy/m/d;@">
                  <c:v>45383</c:v>
                </c:pt>
                <c:pt idx="32" c:formatCode="yyyy/m/d;@">
                  <c:v>45384</c:v>
                </c:pt>
                <c:pt idx="33" c:formatCode="yyyy/m/d;@">
                  <c:v>45385</c:v>
                </c:pt>
                <c:pt idx="34" c:formatCode="yyyy/m/d;@">
                  <c:v>45386</c:v>
                </c:pt>
                <c:pt idx="35" c:formatCode="yyyy/m/d;@">
                  <c:v>45387</c:v>
                </c:pt>
                <c:pt idx="36" c:formatCode="yyyy/m/d;@">
                  <c:v>45388</c:v>
                </c:pt>
                <c:pt idx="37" c:formatCode="yyyy/m/d;@">
                  <c:v>45389</c:v>
                </c:pt>
                <c:pt idx="38" c:formatCode="yyyy/m/d;@">
                  <c:v>45390</c:v>
                </c:pt>
                <c:pt idx="39" c:formatCode="yyyy/m/d;@">
                  <c:v>45391</c:v>
                </c:pt>
                <c:pt idx="40" c:formatCode="yyyy/m/d;@">
                  <c:v>45392</c:v>
                </c:pt>
                <c:pt idx="41" c:formatCode="yyyy/m/d;@">
                  <c:v>45393</c:v>
                </c:pt>
                <c:pt idx="42" c:formatCode="yyyy/m/d;@">
                  <c:v>45394</c:v>
                </c:pt>
                <c:pt idx="43" c:formatCode="yyyy/m/d;@">
                  <c:v>45395</c:v>
                </c:pt>
                <c:pt idx="44" c:formatCode="yyyy/m/d;@">
                  <c:v>45396</c:v>
                </c:pt>
                <c:pt idx="45" c:formatCode="yyyy/m/d;@">
                  <c:v>45397</c:v>
                </c:pt>
                <c:pt idx="46" c:formatCode="yyyy/m/d;@">
                  <c:v>45398</c:v>
                </c:pt>
                <c:pt idx="47" c:formatCode="yyyy/m/d;@">
                  <c:v>45399</c:v>
                </c:pt>
                <c:pt idx="48" c:formatCode="yyyy/m/d;@">
                  <c:v>45400</c:v>
                </c:pt>
                <c:pt idx="49" c:formatCode="yyyy/m/d;@">
                  <c:v>45401</c:v>
                </c:pt>
                <c:pt idx="50" c:formatCode="yyyy/m/d;@">
                  <c:v>45402</c:v>
                </c:pt>
                <c:pt idx="51" c:formatCode="yyyy/m/d;@">
                  <c:v>45403</c:v>
                </c:pt>
                <c:pt idx="52" c:formatCode="yyyy/m/d;@">
                  <c:v>45404</c:v>
                </c:pt>
                <c:pt idx="53" c:formatCode="yyyy/m/d;@">
                  <c:v>45405</c:v>
                </c:pt>
                <c:pt idx="54" c:formatCode="yyyy/m/d;@">
                  <c:v>45406</c:v>
                </c:pt>
                <c:pt idx="55" c:formatCode="yyyy/m/d;@">
                  <c:v>45407</c:v>
                </c:pt>
                <c:pt idx="56" c:formatCode="yyyy/m/d;@">
                  <c:v>45408</c:v>
                </c:pt>
                <c:pt idx="57" c:formatCode="yyyy/m/d;@">
                  <c:v>45409</c:v>
                </c:pt>
                <c:pt idx="58" c:formatCode="yyyy/m/d;@">
                  <c:v>45410</c:v>
                </c:pt>
                <c:pt idx="59" c:formatCode="yyyy/m/d;@">
                  <c:v>45411</c:v>
                </c:pt>
                <c:pt idx="60" c:formatCode="yyyy/m/d;@">
                  <c:v>45412</c:v>
                </c:pt>
                <c:pt idx="61" c:formatCode="yyyy/m/d;@">
                  <c:v>45413</c:v>
                </c:pt>
                <c:pt idx="62" c:formatCode="yyyy/m/d;@">
                  <c:v>45414</c:v>
                </c:pt>
                <c:pt idx="63" c:formatCode="yyyy/m/d;@">
                  <c:v>45415</c:v>
                </c:pt>
                <c:pt idx="64" c:formatCode="yyyy/m/d;@">
                  <c:v>45416</c:v>
                </c:pt>
                <c:pt idx="65" c:formatCode="yyyy/m/d;@">
                  <c:v>45417</c:v>
                </c:pt>
                <c:pt idx="66" c:formatCode="yyyy/m/d;@">
                  <c:v>45418</c:v>
                </c:pt>
                <c:pt idx="67" c:formatCode="yyyy/m/d;@">
                  <c:v>45419</c:v>
                </c:pt>
                <c:pt idx="68" c:formatCode="yyyy/m/d;@">
                  <c:v>45420</c:v>
                </c:pt>
                <c:pt idx="69" c:formatCode="yyyy/m/d;@">
                  <c:v>45421</c:v>
                </c:pt>
                <c:pt idx="70" c:formatCode="yyyy/m/d;@">
                  <c:v>45422</c:v>
                </c:pt>
                <c:pt idx="71" c:formatCode="yyyy/m/d;@">
                  <c:v>45423</c:v>
                </c:pt>
                <c:pt idx="72" c:formatCode="yyyy/m/d;@">
                  <c:v>45424</c:v>
                </c:pt>
                <c:pt idx="73" c:formatCode="yyyy/m/d;@">
                  <c:v>45425</c:v>
                </c:pt>
                <c:pt idx="74" c:formatCode="yyyy/m/d;@">
                  <c:v>45426</c:v>
                </c:pt>
                <c:pt idx="75" c:formatCode="yyyy/m/d;@">
                  <c:v>45427</c:v>
                </c:pt>
                <c:pt idx="76" c:formatCode="yyyy/m/d;@">
                  <c:v>45428</c:v>
                </c:pt>
                <c:pt idx="77" c:formatCode="yyyy/m/d;@">
                  <c:v>45429</c:v>
                </c:pt>
                <c:pt idx="78" c:formatCode="yyyy/m/d;@">
                  <c:v>45430</c:v>
                </c:pt>
                <c:pt idx="79" c:formatCode="yyyy/m/d;@">
                  <c:v>45431</c:v>
                </c:pt>
                <c:pt idx="80" c:formatCode="yyyy/m/d;@">
                  <c:v>45432</c:v>
                </c:pt>
                <c:pt idx="81" c:formatCode="yyyy/m/d;@">
                  <c:v>45433</c:v>
                </c:pt>
                <c:pt idx="82" c:formatCode="yyyy/m/d;@">
                  <c:v>45434</c:v>
                </c:pt>
                <c:pt idx="83" c:formatCode="yyyy/m/d;@">
                  <c:v>45435</c:v>
                </c:pt>
                <c:pt idx="84" c:formatCode="yyyy/m/d;@">
                  <c:v>45436</c:v>
                </c:pt>
                <c:pt idx="85" c:formatCode="yyyy/m/d;@">
                  <c:v>45437</c:v>
                </c:pt>
                <c:pt idx="86" c:formatCode="yyyy/m/d;@">
                  <c:v>45438</c:v>
                </c:pt>
                <c:pt idx="87" c:formatCode="yyyy/m/d;@">
                  <c:v>45439</c:v>
                </c:pt>
                <c:pt idx="88" c:formatCode="yyyy/m/d;@">
                  <c:v>45440</c:v>
                </c:pt>
                <c:pt idx="89" c:formatCode="yyyy/m/d;@">
                  <c:v>45441</c:v>
                </c:pt>
                <c:pt idx="90" c:formatCode="yyyy/m/d;@">
                  <c:v>45442</c:v>
                </c:pt>
                <c:pt idx="91" c:formatCode="yyyy/m/d;@">
                  <c:v>45443</c:v>
                </c:pt>
                <c:pt idx="92" c:formatCode="yyyy/m/d;@">
                  <c:v>45444</c:v>
                </c:pt>
                <c:pt idx="93" c:formatCode="yyyy/m/d;@">
                  <c:v>45445</c:v>
                </c:pt>
                <c:pt idx="94" c:formatCode="yyyy/m/d;@">
                  <c:v>45446</c:v>
                </c:pt>
                <c:pt idx="95" c:formatCode="yyyy/m/d;@">
                  <c:v>45447</c:v>
                </c:pt>
                <c:pt idx="96" c:formatCode="yyyy/m/d;@">
                  <c:v>45448</c:v>
                </c:pt>
                <c:pt idx="97" c:formatCode="yyyy/m/d;@">
                  <c:v>45449</c:v>
                </c:pt>
                <c:pt idx="98" c:formatCode="yyyy/m/d;@">
                  <c:v>45450</c:v>
                </c:pt>
                <c:pt idx="99" c:formatCode="yyyy/m/d;@">
                  <c:v>45451</c:v>
                </c:pt>
                <c:pt idx="100" c:formatCode="yyyy/m/d;@">
                  <c:v>45452</c:v>
                </c:pt>
                <c:pt idx="101" c:formatCode="yyyy/m/d;@">
                  <c:v>45453</c:v>
                </c:pt>
                <c:pt idx="102" c:formatCode="yyyy/m/d;@">
                  <c:v>45454</c:v>
                </c:pt>
                <c:pt idx="103" c:formatCode="yyyy/m/d;@">
                  <c:v>45455</c:v>
                </c:pt>
                <c:pt idx="104" c:formatCode="yyyy/m/d;@">
                  <c:v>45456</c:v>
                </c:pt>
                <c:pt idx="105" c:formatCode="yyyy/m/d;@">
                  <c:v>45457</c:v>
                </c:pt>
                <c:pt idx="106" c:formatCode="yyyy/m/d;@">
                  <c:v>45458</c:v>
                </c:pt>
                <c:pt idx="107" c:formatCode="yyyy/m/d;@">
                  <c:v>45459</c:v>
                </c:pt>
                <c:pt idx="108" c:formatCode="yyyy/m/d;@">
                  <c:v>45460</c:v>
                </c:pt>
                <c:pt idx="109" c:formatCode="yyyy/m/d;@">
                  <c:v>45461</c:v>
                </c:pt>
                <c:pt idx="110" c:formatCode="yyyy/m/d;@">
                  <c:v>45462</c:v>
                </c:pt>
                <c:pt idx="111" c:formatCode="yyyy/m/d;@">
                  <c:v>45463</c:v>
                </c:pt>
                <c:pt idx="112" c:formatCode="yyyy/m/d;@">
                  <c:v>45464</c:v>
                </c:pt>
                <c:pt idx="113" c:formatCode="yyyy/m/d;@">
                  <c:v>45465</c:v>
                </c:pt>
                <c:pt idx="114" c:formatCode="yyyy/m/d;@">
                  <c:v>45466</c:v>
                </c:pt>
                <c:pt idx="115" c:formatCode="yyyy/m/d;@">
                  <c:v>45467</c:v>
                </c:pt>
                <c:pt idx="116" c:formatCode="yyyy/m/d;@">
                  <c:v>45468</c:v>
                </c:pt>
                <c:pt idx="117" c:formatCode="yyyy/m/d;@">
                  <c:v>45469</c:v>
                </c:pt>
                <c:pt idx="118" c:formatCode="yyyy/m/d;@">
                  <c:v>45470</c:v>
                </c:pt>
                <c:pt idx="119" c:formatCode="yyyy/m/d;@">
                  <c:v>45471</c:v>
                </c:pt>
                <c:pt idx="120" c:formatCode="yyyy/m/d;@">
                  <c:v>45472</c:v>
                </c:pt>
                <c:pt idx="121" c:formatCode="yyyy/m/d;@">
                  <c:v>45473</c:v>
                </c:pt>
                <c:pt idx="122" c:formatCode="yyyy/m/d;@">
                  <c:v>45474</c:v>
                </c:pt>
                <c:pt idx="123" c:formatCode="yyyy/m/d;@">
                  <c:v>45475</c:v>
                </c:pt>
                <c:pt idx="124" c:formatCode="yyyy/m/d;@">
                  <c:v>45476</c:v>
                </c:pt>
                <c:pt idx="125" c:formatCode="yyyy/m/d;@">
                  <c:v>45477</c:v>
                </c:pt>
                <c:pt idx="126" c:formatCode="yyyy/m/d;@">
                  <c:v>45478</c:v>
                </c:pt>
                <c:pt idx="127" c:formatCode="yyyy/m/d;@">
                  <c:v>45479</c:v>
                </c:pt>
                <c:pt idx="128" c:formatCode="yyyy/m/d;@">
                  <c:v>45480</c:v>
                </c:pt>
                <c:pt idx="129" c:formatCode="yyyy/m/d;@">
                  <c:v>45481</c:v>
                </c:pt>
                <c:pt idx="130" c:formatCode="yyyy/m/d;@">
                  <c:v>45482</c:v>
                </c:pt>
                <c:pt idx="131" c:formatCode="yyyy/m/d;@">
                  <c:v>45483</c:v>
                </c:pt>
                <c:pt idx="132" c:formatCode="yyyy/m/d;@">
                  <c:v>45484</c:v>
                </c:pt>
                <c:pt idx="133" c:formatCode="yyyy/m/d;@">
                  <c:v>45485</c:v>
                </c:pt>
                <c:pt idx="134" c:formatCode="yyyy/m/d;@">
                  <c:v>45486</c:v>
                </c:pt>
                <c:pt idx="135" c:formatCode="yyyy/m/d;@">
                  <c:v>45487</c:v>
                </c:pt>
                <c:pt idx="136" c:formatCode="yyyy/m/d;@">
                  <c:v>45488</c:v>
                </c:pt>
                <c:pt idx="137" c:formatCode="yyyy/m/d;@">
                  <c:v>45489</c:v>
                </c:pt>
                <c:pt idx="138" c:formatCode="yyyy/m/d;@">
                  <c:v>45490</c:v>
                </c:pt>
                <c:pt idx="139" c:formatCode="yyyy/m/d;@">
                  <c:v>45491</c:v>
                </c:pt>
                <c:pt idx="140" c:formatCode="yyyy/m/d;@">
                  <c:v>45492</c:v>
                </c:pt>
                <c:pt idx="141" c:formatCode="yyyy/m/d;@">
                  <c:v>45493</c:v>
                </c:pt>
                <c:pt idx="142" c:formatCode="yyyy/m/d;@">
                  <c:v>45494</c:v>
                </c:pt>
                <c:pt idx="143" c:formatCode="yyyy/m/d;@">
                  <c:v>45495</c:v>
                </c:pt>
                <c:pt idx="144" c:formatCode="yyyy/m/d;@">
                  <c:v>45496</c:v>
                </c:pt>
                <c:pt idx="145" c:formatCode="yyyy/m/d;@">
                  <c:v>45497</c:v>
                </c:pt>
                <c:pt idx="146" c:formatCode="yyyy/m/d;@">
                  <c:v>45498</c:v>
                </c:pt>
                <c:pt idx="147" c:formatCode="yyyy/m/d;@">
                  <c:v>45499</c:v>
                </c:pt>
                <c:pt idx="148" c:formatCode="yyyy/m/d;@">
                  <c:v>45500</c:v>
                </c:pt>
                <c:pt idx="149" c:formatCode="yyyy/m/d;@">
                  <c:v>45501</c:v>
                </c:pt>
                <c:pt idx="150" c:formatCode="yyyy/m/d;@">
                  <c:v>45502</c:v>
                </c:pt>
                <c:pt idx="151" c:formatCode="yyyy/m/d;@">
                  <c:v>45503</c:v>
                </c:pt>
                <c:pt idx="152" c:formatCode="yyyy/m/d;@">
                  <c:v>45504</c:v>
                </c:pt>
                <c:pt idx="153" c:formatCode="yyyy/m/d;@">
                  <c:v>45505</c:v>
                </c:pt>
                <c:pt idx="154" c:formatCode="yyyy/m/d;@">
                  <c:v>45506</c:v>
                </c:pt>
                <c:pt idx="155" c:formatCode="yyyy/m/d;@">
                  <c:v>45507</c:v>
                </c:pt>
                <c:pt idx="156" c:formatCode="yyyy/m/d;@">
                  <c:v>45508</c:v>
                </c:pt>
                <c:pt idx="157" c:formatCode="yyyy/m/d;@">
                  <c:v>45509</c:v>
                </c:pt>
                <c:pt idx="158" c:formatCode="yyyy/m/d;@">
                  <c:v>45510</c:v>
                </c:pt>
                <c:pt idx="159" c:formatCode="yyyy/m/d;@">
                  <c:v>45511</c:v>
                </c:pt>
                <c:pt idx="160" c:formatCode="yyyy/m/d;@">
                  <c:v>45512</c:v>
                </c:pt>
                <c:pt idx="161" c:formatCode="yyyy/m/d;@">
                  <c:v>45513</c:v>
                </c:pt>
                <c:pt idx="162" c:formatCode="yyyy/m/d;@">
                  <c:v>45514</c:v>
                </c:pt>
                <c:pt idx="163" c:formatCode="yyyy/m/d;@">
                  <c:v>45515</c:v>
                </c:pt>
                <c:pt idx="164" c:formatCode="yyyy/m/d;@">
                  <c:v>45516</c:v>
                </c:pt>
                <c:pt idx="165" c:formatCode="yyyy/m/d;@">
                  <c:v>45517</c:v>
                </c:pt>
                <c:pt idx="166" c:formatCode="yyyy/m/d;@">
                  <c:v>45518</c:v>
                </c:pt>
                <c:pt idx="167" c:formatCode="yyyy/m/d;@">
                  <c:v>45519</c:v>
                </c:pt>
                <c:pt idx="168" c:formatCode="yyyy/m/d;@">
                  <c:v>45520</c:v>
                </c:pt>
                <c:pt idx="169" c:formatCode="yyyy/m/d;@">
                  <c:v>45521</c:v>
                </c:pt>
                <c:pt idx="170" c:formatCode="yyyy/m/d;@">
                  <c:v>45522</c:v>
                </c:pt>
                <c:pt idx="171" c:formatCode="yyyy/m/d;@">
                  <c:v>45523</c:v>
                </c:pt>
                <c:pt idx="172" c:formatCode="yyyy/m/d;@">
                  <c:v>45524</c:v>
                </c:pt>
                <c:pt idx="173" c:formatCode="yyyy/m/d;@">
                  <c:v>45525</c:v>
                </c:pt>
                <c:pt idx="174" c:formatCode="yyyy/m/d;@">
                  <c:v>45526</c:v>
                </c:pt>
                <c:pt idx="175" c:formatCode="yyyy/m/d;@">
                  <c:v>45527</c:v>
                </c:pt>
                <c:pt idx="176" c:formatCode="yyyy/m/d;@">
                  <c:v>45528</c:v>
                </c:pt>
                <c:pt idx="177" c:formatCode="yyyy/m/d;@">
                  <c:v>45529</c:v>
                </c:pt>
                <c:pt idx="178" c:formatCode="yyyy/m/d;@">
                  <c:v>45530</c:v>
                </c:pt>
                <c:pt idx="179" c:formatCode="yyyy/m/d;@">
                  <c:v>45531</c:v>
                </c:pt>
                <c:pt idx="180" c:formatCode="yyyy/m/d;@">
                  <c:v>45532</c:v>
                </c:pt>
                <c:pt idx="181" c:formatCode="yyyy/m/d;@">
                  <c:v>45533</c:v>
                </c:pt>
                <c:pt idx="182" c:formatCode="yyyy/m/d;@">
                  <c:v>45534</c:v>
                </c:pt>
                <c:pt idx="183" c:formatCode="yyyy/m/d;@">
                  <c:v>45535</c:v>
                </c:pt>
                <c:pt idx="184" c:formatCode="yyyy/m/d;@">
                  <c:v>45536</c:v>
                </c:pt>
                <c:pt idx="185" c:formatCode="yyyy/m/d;@">
                  <c:v>45537</c:v>
                </c:pt>
                <c:pt idx="186" c:formatCode="yyyy/m/d;@">
                  <c:v>45538</c:v>
                </c:pt>
                <c:pt idx="187" c:formatCode="yyyy/m/d;@">
                  <c:v>45539</c:v>
                </c:pt>
                <c:pt idx="188" c:formatCode="yyyy/m/d;@">
                  <c:v>45540</c:v>
                </c:pt>
                <c:pt idx="189" c:formatCode="yyyy/m/d;@">
                  <c:v>45541</c:v>
                </c:pt>
                <c:pt idx="190" c:formatCode="yyyy/m/d;@">
                  <c:v>45542</c:v>
                </c:pt>
                <c:pt idx="191" c:formatCode="yyyy/m/d;@">
                  <c:v>45543</c:v>
                </c:pt>
                <c:pt idx="192" c:formatCode="yyyy/m/d;@">
                  <c:v>45544</c:v>
                </c:pt>
                <c:pt idx="193" c:formatCode="yyyy/m/d;@">
                  <c:v>45545</c:v>
                </c:pt>
                <c:pt idx="194" c:formatCode="yyyy/m/d;@">
                  <c:v>45546</c:v>
                </c:pt>
                <c:pt idx="195" c:formatCode="yyyy/m/d;@">
                  <c:v>45547</c:v>
                </c:pt>
                <c:pt idx="196" c:formatCode="yyyy/m/d;@">
                  <c:v>45548</c:v>
                </c:pt>
                <c:pt idx="197" c:formatCode="yyyy/m/d;@">
                  <c:v>45549</c:v>
                </c:pt>
                <c:pt idx="198" c:formatCode="yyyy/m/d;@">
                  <c:v>45550</c:v>
                </c:pt>
                <c:pt idx="199" c:formatCode="yyyy/m/d;@">
                  <c:v>45551</c:v>
                </c:pt>
                <c:pt idx="200" c:formatCode="yyyy/m/d;@">
                  <c:v>45552</c:v>
                </c:pt>
                <c:pt idx="201" c:formatCode="yyyy/m/d;@">
                  <c:v>45553</c:v>
                </c:pt>
                <c:pt idx="202" c:formatCode="yyyy/m/d;@">
                  <c:v>45554</c:v>
                </c:pt>
                <c:pt idx="203" c:formatCode="yyyy/m/d;@">
                  <c:v>45555</c:v>
                </c:pt>
                <c:pt idx="204" c:formatCode="yyyy/m/d;@">
                  <c:v>45556</c:v>
                </c:pt>
                <c:pt idx="205" c:formatCode="yyyy/m/d;@">
                  <c:v>45557</c:v>
                </c:pt>
                <c:pt idx="206" c:formatCode="yyyy/m/d;@">
                  <c:v>45558</c:v>
                </c:pt>
                <c:pt idx="207" c:formatCode="yyyy/m/d;@">
                  <c:v>45559</c:v>
                </c:pt>
                <c:pt idx="208" c:formatCode="yyyy/m/d;@">
                  <c:v>45560</c:v>
                </c:pt>
                <c:pt idx="209" c:formatCode="yyyy/m/d;@">
                  <c:v>45561</c:v>
                </c:pt>
                <c:pt idx="210" c:formatCode="yyyy/m/d;@">
                  <c:v>45562</c:v>
                </c:pt>
                <c:pt idx="211" c:formatCode="yyyy/m/d;@">
                  <c:v>45563</c:v>
                </c:pt>
                <c:pt idx="212" c:formatCode="yyyy/m/d;@">
                  <c:v>45564</c:v>
                </c:pt>
                <c:pt idx="213" c:formatCode="yyyy/m/d;@">
                  <c:v>45565</c:v>
                </c:pt>
                <c:pt idx="214" c:formatCode="yyyy/m/d;@">
                  <c:v>45566</c:v>
                </c:pt>
                <c:pt idx="215" c:formatCode="yyyy/m/d;@">
                  <c:v>45567</c:v>
                </c:pt>
                <c:pt idx="216" c:formatCode="yyyy/m/d;@">
                  <c:v>45568</c:v>
                </c:pt>
                <c:pt idx="217" c:formatCode="yyyy/m/d;@">
                  <c:v>45569</c:v>
                </c:pt>
                <c:pt idx="218" c:formatCode="yyyy/m/d;@">
                  <c:v>45570</c:v>
                </c:pt>
                <c:pt idx="219" c:formatCode="yyyy/m/d;@">
                  <c:v>45571</c:v>
                </c:pt>
                <c:pt idx="220" c:formatCode="yyyy/m/d;@">
                  <c:v>45572</c:v>
                </c:pt>
                <c:pt idx="221" c:formatCode="yyyy/m/d;@">
                  <c:v>45573</c:v>
                </c:pt>
                <c:pt idx="222" c:formatCode="yyyy/m/d;@">
                  <c:v>45574</c:v>
                </c:pt>
                <c:pt idx="223" c:formatCode="yyyy/m/d;@">
                  <c:v>45575</c:v>
                </c:pt>
                <c:pt idx="224" c:formatCode="yyyy/m/d;@">
                  <c:v>45576</c:v>
                </c:pt>
                <c:pt idx="225" c:formatCode="yyyy/m/d;@">
                  <c:v>45577</c:v>
                </c:pt>
                <c:pt idx="226" c:formatCode="yyyy/m/d;@">
                  <c:v>45578</c:v>
                </c:pt>
                <c:pt idx="227" c:formatCode="yyyy/m/d;@">
                  <c:v>45579</c:v>
                </c:pt>
                <c:pt idx="228" c:formatCode="yyyy/m/d;@">
                  <c:v>45580</c:v>
                </c:pt>
                <c:pt idx="229" c:formatCode="yyyy/m/d;@">
                  <c:v>45581</c:v>
                </c:pt>
                <c:pt idx="230" c:formatCode="yyyy/m/d;@">
                  <c:v>45582</c:v>
                </c:pt>
                <c:pt idx="231" c:formatCode="yyyy/m/d;@">
                  <c:v>45583</c:v>
                </c:pt>
                <c:pt idx="232" c:formatCode="yyyy/m/d;@">
                  <c:v>45584</c:v>
                </c:pt>
                <c:pt idx="233" c:formatCode="yyyy/m/d;@">
                  <c:v>45585</c:v>
                </c:pt>
                <c:pt idx="234" c:formatCode="yyyy/m/d;@">
                  <c:v>45586</c:v>
                </c:pt>
                <c:pt idx="235" c:formatCode="yyyy/m/d;@">
                  <c:v>45587</c:v>
                </c:pt>
                <c:pt idx="236" c:formatCode="yyyy/m/d;@">
                  <c:v>45588</c:v>
                </c:pt>
                <c:pt idx="237" c:formatCode="yyyy/m/d;@">
                  <c:v>45589</c:v>
                </c:pt>
                <c:pt idx="238" c:formatCode="yyyy/m/d;@">
                  <c:v>45590</c:v>
                </c:pt>
                <c:pt idx="239" c:formatCode="yyyy/m/d;@">
                  <c:v>45591</c:v>
                </c:pt>
                <c:pt idx="240" c:formatCode="yyyy/m/d;@">
                  <c:v>45592</c:v>
                </c:pt>
                <c:pt idx="241" c:formatCode="yyyy/m/d;@">
                  <c:v>45593</c:v>
                </c:pt>
                <c:pt idx="242" c:formatCode="yyyy/m/d;@">
                  <c:v>45594</c:v>
                </c:pt>
                <c:pt idx="243" c:formatCode="yyyy/m/d;@">
                  <c:v>45595</c:v>
                </c:pt>
                <c:pt idx="244" c:formatCode="yyyy/m/d;@">
                  <c:v>45596</c:v>
                </c:pt>
                <c:pt idx="245" c:formatCode="yyyy/m/d;@">
                  <c:v>45597</c:v>
                </c:pt>
                <c:pt idx="246" c:formatCode="yyyy/m/d;@">
                  <c:v>45598</c:v>
                </c:pt>
                <c:pt idx="247" c:formatCode="yyyy/m/d;@">
                  <c:v>45599</c:v>
                </c:pt>
                <c:pt idx="248" c:formatCode="yyyy/m/d;@">
                  <c:v>45600</c:v>
                </c:pt>
                <c:pt idx="249" c:formatCode="yyyy/m/d;@">
                  <c:v>45601</c:v>
                </c:pt>
                <c:pt idx="250" c:formatCode="yyyy/m/d;@">
                  <c:v>45602</c:v>
                </c:pt>
                <c:pt idx="251" c:formatCode="yyyy/m/d;@">
                  <c:v>45603</c:v>
                </c:pt>
                <c:pt idx="252" c:formatCode="yyyy/m/d;@">
                  <c:v>45604</c:v>
                </c:pt>
                <c:pt idx="253" c:formatCode="yyyy/m/d;@">
                  <c:v>45605</c:v>
                </c:pt>
                <c:pt idx="254" c:formatCode="yyyy/m/d;@">
                  <c:v>45606</c:v>
                </c:pt>
                <c:pt idx="255" c:formatCode="yyyy/m/d;@">
                  <c:v>45607</c:v>
                </c:pt>
                <c:pt idx="256" c:formatCode="yyyy/m/d;@">
                  <c:v>45608</c:v>
                </c:pt>
                <c:pt idx="257" c:formatCode="yyyy/m/d;@">
                  <c:v>45609</c:v>
                </c:pt>
                <c:pt idx="258" c:formatCode="yyyy/m/d;@">
                  <c:v>45610</c:v>
                </c:pt>
                <c:pt idx="259" c:formatCode="yyyy/m/d;@">
                  <c:v>45611</c:v>
                </c:pt>
                <c:pt idx="260" c:formatCode="yyyy/m/d;@">
                  <c:v>45612</c:v>
                </c:pt>
                <c:pt idx="261" c:formatCode="yyyy/m/d;@">
                  <c:v>45613</c:v>
                </c:pt>
                <c:pt idx="262" c:formatCode="yyyy/m/d;@">
                  <c:v>45614</c:v>
                </c:pt>
                <c:pt idx="263" c:formatCode="yyyy/m/d;@">
                  <c:v>45615</c:v>
                </c:pt>
                <c:pt idx="264" c:formatCode="yyyy/m/d;@">
                  <c:v>45616</c:v>
                </c:pt>
                <c:pt idx="265" c:formatCode="yyyy/m/d;@">
                  <c:v>45617</c:v>
                </c:pt>
                <c:pt idx="266" c:formatCode="yyyy/m/d;@">
                  <c:v>45618</c:v>
                </c:pt>
                <c:pt idx="267" c:formatCode="yyyy/m/d;@">
                  <c:v>45619</c:v>
                </c:pt>
                <c:pt idx="268" c:formatCode="yyyy/m/d;@">
                  <c:v>45620</c:v>
                </c:pt>
                <c:pt idx="269" c:formatCode="yyyy/m/d;@">
                  <c:v>45621</c:v>
                </c:pt>
                <c:pt idx="270" c:formatCode="yyyy/m/d;@">
                  <c:v>45622</c:v>
                </c:pt>
                <c:pt idx="271" c:formatCode="yyyy/m/d;@">
                  <c:v>45623</c:v>
                </c:pt>
                <c:pt idx="272" c:formatCode="yyyy/m/d;@">
                  <c:v>45624</c:v>
                </c:pt>
                <c:pt idx="273" c:formatCode="yyyy/m/d;@">
                  <c:v>45625</c:v>
                </c:pt>
                <c:pt idx="274" c:formatCode="yyyy/m/d;@">
                  <c:v>45626</c:v>
                </c:pt>
              </c:numCache>
            </c:numRef>
          </c:cat>
          <c:val>
            <c:numRef>
              <c:f>'阿里妈妈Raw Data'!$AE$364:$AE$638</c:f>
              <c:numCache>
                <c:formatCode>0.0%</c:formatCode>
                <c:ptCount val="275"/>
                <c:pt idx="0">
                  <c:v>0.0170212765957447</c:v>
                </c:pt>
                <c:pt idx="1">
                  <c:v>0.0202986805857619</c:v>
                </c:pt>
                <c:pt idx="2">
                  <c:v>0.0105766809367917</c:v>
                </c:pt>
                <c:pt idx="3">
                  <c:v>0.00903573836817262</c:v>
                </c:pt>
                <c:pt idx="4">
                  <c:v>0.00915388421573479</c:v>
                </c:pt>
                <c:pt idx="5">
                  <c:v>0.0111449717022203</c:v>
                </c:pt>
                <c:pt idx="6">
                  <c:v>0.01307308216069</c:v>
                </c:pt>
                <c:pt idx="7">
                  <c:v>0.0116767865483419</c:v>
                </c:pt>
                <c:pt idx="8">
                  <c:v>0.0154271731035217</c:v>
                </c:pt>
                <c:pt idx="9">
                  <c:v>0.0187531255209202</c:v>
                </c:pt>
                <c:pt idx="10">
                  <c:v>0.0198926150867001</c:v>
                </c:pt>
                <c:pt idx="11">
                  <c:v>0.0207736389684814</c:v>
                </c:pt>
                <c:pt idx="12">
                  <c:v>0.0220807638750746</c:v>
                </c:pt>
                <c:pt idx="13">
                  <c:v>0.0202863048304371</c:v>
                </c:pt>
                <c:pt idx="14">
                  <c:v>0.0166098042736577</c:v>
                </c:pt>
                <c:pt idx="15">
                  <c:v>0.0187698786005465</c:v>
                </c:pt>
                <c:pt idx="16">
                  <c:v>0.0195692926706598</c:v>
                </c:pt>
                <c:pt idx="17">
                  <c:v>0.0104958265852747</c:v>
                </c:pt>
                <c:pt idx="18">
                  <c:v>0.0129775668019294</c:v>
                </c:pt>
                <c:pt idx="19">
                  <c:v>0.00657030223390276</c:v>
                </c:pt>
                <c:pt idx="20">
                  <c:v>0.0164677506549674</c:v>
                </c:pt>
                <c:pt idx="21">
                  <c:v>0.0164879356568365</c:v>
                </c:pt>
                <c:pt idx="22">
                  <c:v>0.013804253202338</c:v>
                </c:pt>
                <c:pt idx="23">
                  <c:v>0.014085684430512</c:v>
                </c:pt>
                <c:pt idx="24">
                  <c:v>0.0134150380920835</c:v>
                </c:pt>
                <c:pt idx="25">
                  <c:v>0.00895314277327267</c:v>
                </c:pt>
                <c:pt idx="26">
                  <c:v>0.0123687399030695</c:v>
                </c:pt>
                <c:pt idx="27">
                  <c:v>0.0122897800776197</c:v>
                </c:pt>
                <c:pt idx="28">
                  <c:v>0.0107911995906786</c:v>
                </c:pt>
                <c:pt idx="29">
                  <c:v>0.0260869565217391</c:v>
                </c:pt>
                <c:pt idx="30">
                  <c:v>0.0206230045733023</c:v>
                </c:pt>
                <c:pt idx="31">
                  <c:v>0.0190943807965085</c:v>
                </c:pt>
                <c:pt idx="32">
                  <c:v>0.0116448326055313</c:v>
                </c:pt>
                <c:pt idx="33">
                  <c:v>0.0164277180406213</c:v>
                </c:pt>
                <c:pt idx="34">
                  <c:v>0.018107804604155</c:v>
                </c:pt>
                <c:pt idx="35">
                  <c:v>0.0175607079160379</c:v>
                </c:pt>
                <c:pt idx="36">
                  <c:v>0.0238893545683152</c:v>
                </c:pt>
                <c:pt idx="37">
                  <c:v>0.0206212140739786</c:v>
                </c:pt>
                <c:pt idx="38">
                  <c:v>0.0221069531925404</c:v>
                </c:pt>
                <c:pt idx="39">
                  <c:v>0.0185617860851506</c:v>
                </c:pt>
                <c:pt idx="40">
                  <c:v>0.0139741689604065</c:v>
                </c:pt>
                <c:pt idx="41">
                  <c:v>0.0214465937762826</c:v>
                </c:pt>
                <c:pt idx="42">
                  <c:v>0.0215369554576603</c:v>
                </c:pt>
                <c:pt idx="43">
                  <c:v>0.0242458415562447</c:v>
                </c:pt>
                <c:pt idx="44">
                  <c:v>0.0293174122259847</c:v>
                </c:pt>
                <c:pt idx="45">
                  <c:v>0.0186557112068966</c:v>
                </c:pt>
                <c:pt idx="46">
                  <c:v>0.0266782240200327</c:v>
                </c:pt>
                <c:pt idx="47">
                  <c:v>0.0117312605707294</c:v>
                </c:pt>
                <c:pt idx="48">
                  <c:v>0.0267535752505107</c:v>
                </c:pt>
                <c:pt idx="49">
                  <c:v>0.0247043363994744</c:v>
                </c:pt>
                <c:pt idx="50">
                  <c:v>0.0273365349094939</c:v>
                </c:pt>
                <c:pt idx="51">
                  <c:v>0.0305612694681164</c:v>
                </c:pt>
                <c:pt idx="52">
                  <c:v>0.0119639307015053</c:v>
                </c:pt>
                <c:pt idx="53">
                  <c:v>0.0234046618265189</c:v>
                </c:pt>
                <c:pt idx="54">
                  <c:v>0.0119579239853131</c:v>
                </c:pt>
                <c:pt idx="55">
                  <c:v>0.0298226164079823</c:v>
                </c:pt>
                <c:pt idx="56">
                  <c:v>0.00526033869439218</c:v>
                </c:pt>
                <c:pt idx="57">
                  <c:v>0.0384778911564626</c:v>
                </c:pt>
                <c:pt idx="58">
                  <c:v>0.0341880341880342</c:v>
                </c:pt>
                <c:pt idx="59">
                  <c:v>0.0327204428627916</c:v>
                </c:pt>
                <c:pt idx="60">
                  <c:v>0.0239488117001828</c:v>
                </c:pt>
                <c:pt idx="61">
                  <c:v>0.0360270880361174</c:v>
                </c:pt>
                <c:pt idx="62">
                  <c:v>0.0387735929626783</c:v>
                </c:pt>
                <c:pt idx="63">
                  <c:v>0.0298581736750435</c:v>
                </c:pt>
                <c:pt idx="64">
                  <c:v>0.0320533419023136</c:v>
                </c:pt>
                <c:pt idx="65">
                  <c:v>0.0368859283930058</c:v>
                </c:pt>
                <c:pt idx="66">
                  <c:v>0.0245839856206877</c:v>
                </c:pt>
                <c:pt idx="67">
                  <c:v>0.0440029904944996</c:v>
                </c:pt>
                <c:pt idx="68">
                  <c:v>0.0160118921214695</c:v>
                </c:pt>
                <c:pt idx="69">
                  <c:v>0.0110659128516271</c:v>
                </c:pt>
                <c:pt idx="70">
                  <c:v>0.0159950343773873</c:v>
                </c:pt>
                <c:pt idx="71">
                  <c:v>0.0398325358851675</c:v>
                </c:pt>
                <c:pt idx="72">
                  <c:v>0.0387718511878082</c:v>
                </c:pt>
                <c:pt idx="73">
                  <c:v>0.016063726784614</c:v>
                </c:pt>
                <c:pt idx="74">
                  <c:v>0.0230851724332562</c:v>
                </c:pt>
                <c:pt idx="75">
                  <c:v>0.0499940055149263</c:v>
                </c:pt>
                <c:pt idx="76">
                  <c:v>0.0453066007030335</c:v>
                </c:pt>
                <c:pt idx="77">
                  <c:v>0.0451049985211476</c:v>
                </c:pt>
                <c:pt idx="78">
                  <c:v>0.0510469203729176</c:v>
                </c:pt>
                <c:pt idx="79">
                  <c:v>0.0597014925373134</c:v>
                </c:pt>
                <c:pt idx="80">
                  <c:v>0.0507898759979616</c:v>
                </c:pt>
                <c:pt idx="81">
                  <c:v>0.0637514723203769</c:v>
                </c:pt>
                <c:pt idx="82">
                  <c:v>0.0525860826970177</c:v>
                </c:pt>
                <c:pt idx="83">
                  <c:v>0.0427363110253747</c:v>
                </c:pt>
                <c:pt idx="84">
                  <c:v>0.0591304347826087</c:v>
                </c:pt>
                <c:pt idx="85">
                  <c:v>0.0635625670087303</c:v>
                </c:pt>
                <c:pt idx="86">
                  <c:v>0.080635893506991</c:v>
                </c:pt>
                <c:pt idx="87">
                  <c:v>0.0801930147058824</c:v>
                </c:pt>
                <c:pt idx="88">
                  <c:v>0.0650679456434852</c:v>
                </c:pt>
                <c:pt idx="89">
                  <c:v>0.0474909346122354</c:v>
                </c:pt>
                <c:pt idx="90">
                  <c:v>0.0708712613784135</c:v>
                </c:pt>
                <c:pt idx="91">
                  <c:v>0.0396657605959932</c:v>
                </c:pt>
                <c:pt idx="92">
                  <c:v>0.0844736842105263</c:v>
                </c:pt>
                <c:pt idx="93">
                  <c:v>0.076983606557377</c:v>
                </c:pt>
                <c:pt idx="94">
                  <c:v>0.0486217068456922</c:v>
                </c:pt>
                <c:pt idx="95">
                  <c:v>0.0524022474486871</c:v>
                </c:pt>
                <c:pt idx="96">
                  <c:v>0.0495211144971702</c:v>
                </c:pt>
                <c:pt idx="97">
                  <c:v>0.0498380965789103</c:v>
                </c:pt>
                <c:pt idx="98">
                  <c:v>0.0553250345781466</c:v>
                </c:pt>
                <c:pt idx="99">
                  <c:v>0.0571428571428571</c:v>
                </c:pt>
                <c:pt idx="100">
                  <c:v>0.0626716200936844</c:v>
                </c:pt>
                <c:pt idx="101">
                  <c:v>0.0559915484455177</c:v>
                </c:pt>
                <c:pt idx="102">
                  <c:v>0.0450086555106751</c:v>
                </c:pt>
                <c:pt idx="103">
                  <c:v>0.0437560270009643</c:v>
                </c:pt>
                <c:pt idx="104">
                  <c:v>0.0599845797995374</c:v>
                </c:pt>
                <c:pt idx="105">
                  <c:v>0.0578883704855711</c:v>
                </c:pt>
                <c:pt idx="106">
                  <c:v>0.0733174980205859</c:v>
                </c:pt>
                <c:pt idx="107">
                  <c:v>0.0731379000897397</c:v>
                </c:pt>
                <c:pt idx="108">
                  <c:v>0.0610562845678343</c:v>
                </c:pt>
                <c:pt idx="109">
                  <c:v>0.0493237867939539</c:v>
                </c:pt>
                <c:pt idx="110">
                  <c:v>0.0819407008086253</c:v>
                </c:pt>
                <c:pt idx="111">
                  <c:v>0.060794420861128</c:v>
                </c:pt>
                <c:pt idx="112">
                  <c:v>0.0573181877529704</c:v>
                </c:pt>
                <c:pt idx="113">
                  <c:v>0.0714503816793893</c:v>
                </c:pt>
                <c:pt idx="114">
                  <c:v>0.0795899909556829</c:v>
                </c:pt>
                <c:pt idx="115">
                  <c:v>0.0658264881287274</c:v>
                </c:pt>
                <c:pt idx="116">
                  <c:v>0.0573016481410502</c:v>
                </c:pt>
                <c:pt idx="117">
                  <c:v>0.0529925696088838</c:v>
                </c:pt>
                <c:pt idx="118">
                  <c:v>0.0581461743433574</c:v>
                </c:pt>
                <c:pt idx="119">
                  <c:v>0.0501911657040592</c:v>
                </c:pt>
                <c:pt idx="120">
                  <c:v>0.0457727093983484</c:v>
                </c:pt>
                <c:pt idx="121">
                  <c:v>0.0497761590408984</c:v>
                </c:pt>
                <c:pt idx="122">
                  <c:v>0.0530619662002544</c:v>
                </c:pt>
                <c:pt idx="123">
                  <c:v>0.0513623848855976</c:v>
                </c:pt>
                <c:pt idx="124">
                  <c:v>0.0450622406639004</c:v>
                </c:pt>
                <c:pt idx="125">
                  <c:v>0.0593231244370094</c:v>
                </c:pt>
                <c:pt idx="126">
                  <c:v>0.063892070764923</c:v>
                </c:pt>
                <c:pt idx="127">
                  <c:v>0.0650553150553151</c:v>
                </c:pt>
                <c:pt idx="128">
                  <c:v>0.0615006150061501</c:v>
                </c:pt>
                <c:pt idx="129">
                  <c:v>0.0577926920208799</c:v>
                </c:pt>
                <c:pt idx="130">
                  <c:v>0.0668859649122807</c:v>
                </c:pt>
                <c:pt idx="131">
                  <c:v>0.0609207338179301</c:v>
                </c:pt>
                <c:pt idx="132">
                  <c:v>0.0772037361354349</c:v>
                </c:pt>
                <c:pt idx="133">
                  <c:v>0.0759886624375759</c:v>
                </c:pt>
                <c:pt idx="134">
                  <c:v>0.0727417158420336</c:v>
                </c:pt>
                <c:pt idx="135">
                  <c:v>0.0693137479917374</c:v>
                </c:pt>
                <c:pt idx="136">
                  <c:v>0.060162176301334</c:v>
                </c:pt>
                <c:pt idx="137">
                  <c:v>0.0794171220400729</c:v>
                </c:pt>
                <c:pt idx="138">
                  <c:v>0.0794946550048591</c:v>
                </c:pt>
                <c:pt idx="139">
                  <c:v>0.0991854336367992</c:v>
                </c:pt>
                <c:pt idx="140">
                  <c:v>0.103907443789566</c:v>
                </c:pt>
                <c:pt idx="141">
                  <c:v>0.103278337261624</c:v>
                </c:pt>
                <c:pt idx="142">
                  <c:v>0.0827596527985633</c:v>
                </c:pt>
                <c:pt idx="143">
                  <c:v>0.0764815127469188</c:v>
                </c:pt>
                <c:pt idx="144">
                  <c:v>0.0668342761366017</c:v>
                </c:pt>
                <c:pt idx="145">
                  <c:v>0.0888056412516527</c:v>
                </c:pt>
                <c:pt idx="146">
                  <c:v>0.0741975823259692</c:v>
                </c:pt>
                <c:pt idx="147">
                  <c:v>0.0822162645218946</c:v>
                </c:pt>
                <c:pt idx="148">
                  <c:v>0.0789288231148696</c:v>
                </c:pt>
                <c:pt idx="149">
                  <c:v>0.0957592339261286</c:v>
                </c:pt>
                <c:pt idx="150">
                  <c:v>0.0768558951965066</c:v>
                </c:pt>
                <c:pt idx="151">
                  <c:v>0.0851129681213247</c:v>
                </c:pt>
                <c:pt idx="152">
                  <c:v>0.0550856647148124</c:v>
                </c:pt>
                <c:pt idx="153">
                  <c:v>0.106494872469103</c:v>
                </c:pt>
                <c:pt idx="154">
                  <c:v>0.0995222929936306</c:v>
                </c:pt>
                <c:pt idx="155">
                  <c:v>0.0802622654307031</c:v>
                </c:pt>
                <c:pt idx="156">
                  <c:v>0.0853816300129366</c:v>
                </c:pt>
                <c:pt idx="157">
                  <c:v>0.0730382293762575</c:v>
                </c:pt>
                <c:pt idx="158">
                  <c:v>0.0909327097947519</c:v>
                </c:pt>
                <c:pt idx="159">
                  <c:v>0.0915697674418605</c:v>
                </c:pt>
                <c:pt idx="160">
                  <c:v>0.0862838440940196</c:v>
                </c:pt>
                <c:pt idx="161">
                  <c:v>0.0881806930693069</c:v>
                </c:pt>
                <c:pt idx="162">
                  <c:v>0.0785435630689207</c:v>
                </c:pt>
                <c:pt idx="163">
                  <c:v>0.0728536202645147</c:v>
                </c:pt>
                <c:pt idx="164">
                  <c:v>0.0795768169273229</c:v>
                </c:pt>
                <c:pt idx="165">
                  <c:v>0.0770833333333333</c:v>
                </c:pt>
                <c:pt idx="166">
                  <c:v>0.0648830503043896</c:v>
                </c:pt>
                <c:pt idx="167">
                  <c:v>0.0788667687595712</c:v>
                </c:pt>
                <c:pt idx="168">
                  <c:v>0.0790528233151184</c:v>
                </c:pt>
                <c:pt idx="169">
                  <c:v>0.0653310104529617</c:v>
                </c:pt>
                <c:pt idx="170">
                  <c:v>0.0680710306406685</c:v>
                </c:pt>
                <c:pt idx="171">
                  <c:v>0.075240919199407</c:v>
                </c:pt>
                <c:pt idx="172">
                  <c:v>0.0695703586913678</c:v>
                </c:pt>
                <c:pt idx="173">
                  <c:v>0.057527082555099</c:v>
                </c:pt>
                <c:pt idx="174">
                  <c:v>0.06753057127213</c:v>
                </c:pt>
                <c:pt idx="175">
                  <c:v>0.0570776255707763</c:v>
                </c:pt>
                <c:pt idx="176">
                  <c:v>0.0621902478017586</c:v>
                </c:pt>
                <c:pt idx="177">
                  <c:v>0.0715749914588316</c:v>
                </c:pt>
                <c:pt idx="178">
                  <c:v>0.0502025154551268</c:v>
                </c:pt>
                <c:pt idx="179">
                  <c:v>0.0419192438097195</c:v>
                </c:pt>
                <c:pt idx="180">
                  <c:v>0.038616834040791</c:v>
                </c:pt>
                <c:pt idx="181">
                  <c:v>0.0511782032400589</c:v>
                </c:pt>
                <c:pt idx="182">
                  <c:v>0.0564856602125491</c:v>
                </c:pt>
                <c:pt idx="183">
                  <c:v>0.0562737642585551</c:v>
                </c:pt>
                <c:pt idx="184">
                  <c:v>0.0555212196126906</c:v>
                </c:pt>
                <c:pt idx="185">
                  <c:v>0.052399959062532</c:v>
                </c:pt>
                <c:pt idx="186">
                  <c:v>0.0465012495537308</c:v>
                </c:pt>
                <c:pt idx="187">
                  <c:v>0.0453146853146853</c:v>
                </c:pt>
                <c:pt idx="188">
                  <c:v>0.0617704280155642</c:v>
                </c:pt>
                <c:pt idx="189">
                  <c:v>0.0636447948063993</c:v>
                </c:pt>
                <c:pt idx="190">
                  <c:v>0.0689694096399142</c:v>
                </c:pt>
                <c:pt idx="191">
                  <c:v>0.059646395958811</c:v>
                </c:pt>
                <c:pt idx="192">
                  <c:v>0.0506695069993914</c:v>
                </c:pt>
                <c:pt idx="193">
                  <c:v>0.0568581477139508</c:v>
                </c:pt>
                <c:pt idx="194">
                  <c:v>0.0477487997923965</c:v>
                </c:pt>
                <c:pt idx="195">
                  <c:v>0.0393634840871022</c:v>
                </c:pt>
                <c:pt idx="196">
                  <c:v>0.0504819888381532</c:v>
                </c:pt>
                <c:pt idx="197">
                  <c:v>0.0513520895930074</c:v>
                </c:pt>
                <c:pt idx="198">
                  <c:v>0.0477950548049962</c:v>
                </c:pt>
                <c:pt idx="199">
                  <c:v>0.0506376129751145</c:v>
                </c:pt>
                <c:pt idx="200">
                  <c:v>0.0383006535947712</c:v>
                </c:pt>
                <c:pt idx="201">
                  <c:v>0.0403926009815025</c:v>
                </c:pt>
                <c:pt idx="202">
                  <c:v>0.0450538687561214</c:v>
                </c:pt>
                <c:pt idx="203">
                  <c:v>0.0464484779191082</c:v>
                </c:pt>
                <c:pt idx="204">
                  <c:v>0.0464233576642336</c:v>
                </c:pt>
                <c:pt idx="205">
                  <c:v>0.0588939430213072</c:v>
                </c:pt>
                <c:pt idx="206">
                  <c:v>0.055598856845934</c:v>
                </c:pt>
                <c:pt idx="207">
                  <c:v>0.055185801442041</c:v>
                </c:pt>
                <c:pt idx="208">
                  <c:v>0.0518723143032535</c:v>
                </c:pt>
                <c:pt idx="209">
                  <c:v>0.0510846745976207</c:v>
                </c:pt>
                <c:pt idx="210">
                  <c:v>0.0836023240800517</c:v>
                </c:pt>
                <c:pt idx="211">
                  <c:v>0.0831727681438664</c:v>
                </c:pt>
                <c:pt idx="212">
                  <c:v>0.0693950177935943</c:v>
                </c:pt>
                <c:pt idx="213">
                  <c:v>0.0710344827586207</c:v>
                </c:pt>
                <c:pt idx="214">
                  <c:v>0.0813810110974106</c:v>
                </c:pt>
                <c:pt idx="215">
                  <c:v>0.0768253968253968</c:v>
                </c:pt>
                <c:pt idx="216">
                  <c:v>0.0923458320421444</c:v>
                </c:pt>
                <c:pt idx="217">
                  <c:v>0.0765278528934559</c:v>
                </c:pt>
                <c:pt idx="218">
                  <c:v>0.0900981266726137</c:v>
                </c:pt>
                <c:pt idx="219">
                  <c:v>0.0868478600437363</c:v>
                </c:pt>
                <c:pt idx="220">
                  <c:v>0.0915014164305949</c:v>
                </c:pt>
                <c:pt idx="221">
                  <c:v>0.0961351088015589</c:v>
                </c:pt>
                <c:pt idx="222">
                  <c:v>0.0939435650378527</c:v>
                </c:pt>
                <c:pt idx="223">
                  <c:v>0.0838200934579439</c:v>
                </c:pt>
                <c:pt idx="224">
                  <c:v>0.105342589797766</c:v>
                </c:pt>
                <c:pt idx="225">
                  <c:v>0.101199630882805</c:v>
                </c:pt>
                <c:pt idx="226">
                  <c:v>0.105374077976818</c:v>
                </c:pt>
                <c:pt idx="227">
                  <c:v>0.0991748651221834</c:v>
                </c:pt>
                <c:pt idx="228">
                  <c:v>0.0749628703197061</c:v>
                </c:pt>
                <c:pt idx="229">
                  <c:v>0.11243929772133</c:v>
                </c:pt>
                <c:pt idx="230">
                  <c:v>0.118326785301595</c:v>
                </c:pt>
                <c:pt idx="231">
                  <c:v>0.115651818553331</c:v>
                </c:pt>
                <c:pt idx="232">
                  <c:v>0.125078043704475</c:v>
                </c:pt>
                <c:pt idx="233">
                  <c:v>0.120708270351976</c:v>
                </c:pt>
                <c:pt idx="234">
                  <c:v>0.0857274720203069</c:v>
                </c:pt>
                <c:pt idx="235">
                  <c:v>0.0646358876725369</c:v>
                </c:pt>
                <c:pt idx="236">
                  <c:v>0.0616822429906542</c:v>
                </c:pt>
                <c:pt idx="237">
                  <c:v>0.0515100301271218</c:v>
                </c:pt>
                <c:pt idx="238">
                  <c:v>0.0499761369059794</c:v>
                </c:pt>
                <c:pt idx="239">
                  <c:v>0.0682957892223195</c:v>
                </c:pt>
                <c:pt idx="240">
                  <c:v>0.0611353711790393</c:v>
                </c:pt>
                <c:pt idx="241">
                  <c:v>0.0487146818556546</c:v>
                </c:pt>
                <c:pt idx="242">
                  <c:v>0.0608150470219436</c:v>
                </c:pt>
                <c:pt idx="243">
                  <c:v>0.0676630434782609</c:v>
                </c:pt>
                <c:pt idx="244">
                  <c:v>0.0700627645599183</c:v>
                </c:pt>
                <c:pt idx="245">
                  <c:v>0.0657362292509703</c:v>
                </c:pt>
                <c:pt idx="246">
                  <c:v>0.0889969242980454</c:v>
                </c:pt>
                <c:pt idx="247">
                  <c:v>0.0757662443808745</c:v>
                </c:pt>
                <c:pt idx="248">
                  <c:v>0.0633964429145152</c:v>
                </c:pt>
                <c:pt idx="249">
                  <c:v>0.0674206176598521</c:v>
                </c:pt>
                <c:pt idx="250">
                  <c:v>0.0466595260409693</c:v>
                </c:pt>
                <c:pt idx="251">
                  <c:v>0.053968253968254</c:v>
                </c:pt>
                <c:pt idx="252">
                  <c:v>0.0577566472970593</c:v>
                </c:pt>
                <c:pt idx="253">
                  <c:v>0.0696711177052423</c:v>
                </c:pt>
                <c:pt idx="254">
                  <c:v>0.0627558853633572</c:v>
                </c:pt>
                <c:pt idx="255">
                  <c:v>0.0604445521167706</c:v>
                </c:pt>
                <c:pt idx="256">
                  <c:v>0.059253112033195</c:v>
                </c:pt>
                <c:pt idx="257">
                  <c:v>0.0744140304868054</c:v>
                </c:pt>
                <c:pt idx="258">
                  <c:v>0.0466537073035268</c:v>
                </c:pt>
                <c:pt idx="259">
                  <c:v>0.0554706267744049</c:v>
                </c:pt>
                <c:pt idx="260">
                  <c:v>0.0744196137990887</c:v>
                </c:pt>
                <c:pt idx="261">
                  <c:v>0.0701643489254109</c:v>
                </c:pt>
                <c:pt idx="262">
                  <c:v>0.056450009938382</c:v>
                </c:pt>
                <c:pt idx="263">
                  <c:v>0.0610687022900763</c:v>
                </c:pt>
                <c:pt idx="264">
                  <c:v>0.0380351093316908</c:v>
                </c:pt>
                <c:pt idx="265">
                  <c:v>0.0465587044534413</c:v>
                </c:pt>
                <c:pt idx="266">
                  <c:v>0.0573674527512962</c:v>
                </c:pt>
                <c:pt idx="267">
                  <c:v>0.045046489259378</c:v>
                </c:pt>
                <c:pt idx="268">
                  <c:v>0.0488758553274682</c:v>
                </c:pt>
                <c:pt idx="269">
                  <c:v>0.0444320505670199</c:v>
                </c:pt>
                <c:pt idx="270">
                  <c:v>0.0400173360300491</c:v>
                </c:pt>
                <c:pt idx="271">
                  <c:v>0.0367276166456494</c:v>
                </c:pt>
                <c:pt idx="272">
                  <c:v>0.0617184348527632</c:v>
                </c:pt>
                <c:pt idx="273">
                  <c:v>0.0481332357247438</c:v>
                </c:pt>
                <c:pt idx="274">
                  <c:v>0.067179700499168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81746176"/>
        <c:axId val="81756160"/>
      </c:lineChart>
      <c:dateAx>
        <c:axId val="81746176"/>
        <c:scaling>
          <c:orientation val="minMax"/>
        </c:scaling>
        <c:delete val="0"/>
        <c:axPos val="b"/>
        <c:numFmt formatCode="yyyy/m/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756160"/>
        <c:crosses val="autoZero"/>
        <c:auto val="1"/>
        <c:lblOffset val="100"/>
        <c:baseTimeUnit val="days"/>
      </c:dateAx>
      <c:valAx>
        <c:axId val="8175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74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94c35bb-4b1c-4244-9532-198a8b382a6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综合点击单价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60868197116042"/>
          <c:y val="0.137649402390438"/>
          <c:w val="0.930215886392864"/>
          <c:h val="0.64948207171314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'阿里妈妈Raw Data'!$A$364:$A$636</c:f>
              <c:numCache>
                <c:formatCode>yyyy/m/d;@</c:formatCode>
                <c:ptCount val="273"/>
                <c:pt idx="0" c:formatCode="yyyy/m/d;@">
                  <c:v>45352</c:v>
                </c:pt>
                <c:pt idx="1" c:formatCode="yyyy/m/d;@">
                  <c:v>45353</c:v>
                </c:pt>
                <c:pt idx="2" c:formatCode="yyyy/m/d;@">
                  <c:v>45354</c:v>
                </c:pt>
                <c:pt idx="3" c:formatCode="yyyy/m/d;@">
                  <c:v>45355</c:v>
                </c:pt>
                <c:pt idx="4" c:formatCode="yyyy/m/d;@">
                  <c:v>45356</c:v>
                </c:pt>
                <c:pt idx="5" c:formatCode="yyyy/m/d;@">
                  <c:v>45357</c:v>
                </c:pt>
                <c:pt idx="6" c:formatCode="yyyy/m/d;@">
                  <c:v>45358</c:v>
                </c:pt>
                <c:pt idx="7" c:formatCode="yyyy/m/d;@">
                  <c:v>45359</c:v>
                </c:pt>
                <c:pt idx="8" c:formatCode="yyyy/m/d;@">
                  <c:v>45360</c:v>
                </c:pt>
                <c:pt idx="9" c:formatCode="yyyy/m/d;@">
                  <c:v>45361</c:v>
                </c:pt>
                <c:pt idx="10" c:formatCode="yyyy/m/d;@">
                  <c:v>45362</c:v>
                </c:pt>
                <c:pt idx="11" c:formatCode="yyyy/m/d;@">
                  <c:v>45363</c:v>
                </c:pt>
                <c:pt idx="12" c:formatCode="yyyy/m/d;@">
                  <c:v>45364</c:v>
                </c:pt>
                <c:pt idx="13" c:formatCode="yyyy/m/d;@">
                  <c:v>45365</c:v>
                </c:pt>
                <c:pt idx="14" c:formatCode="yyyy/m/d;@">
                  <c:v>45366</c:v>
                </c:pt>
                <c:pt idx="15" c:formatCode="yyyy/m/d;@">
                  <c:v>45367</c:v>
                </c:pt>
                <c:pt idx="16" c:formatCode="yyyy/m/d;@">
                  <c:v>45368</c:v>
                </c:pt>
                <c:pt idx="17" c:formatCode="yyyy/m/d;@">
                  <c:v>45369</c:v>
                </c:pt>
                <c:pt idx="18" c:formatCode="yyyy/m/d;@">
                  <c:v>45370</c:v>
                </c:pt>
                <c:pt idx="19" c:formatCode="yyyy/m/d;@">
                  <c:v>45371</c:v>
                </c:pt>
                <c:pt idx="20" c:formatCode="yyyy/m/d;@">
                  <c:v>45372</c:v>
                </c:pt>
                <c:pt idx="21" c:formatCode="yyyy/m/d;@">
                  <c:v>45373</c:v>
                </c:pt>
                <c:pt idx="22" c:formatCode="yyyy/m/d;@">
                  <c:v>45374</c:v>
                </c:pt>
                <c:pt idx="23" c:formatCode="yyyy/m/d;@">
                  <c:v>45375</c:v>
                </c:pt>
                <c:pt idx="24" c:formatCode="yyyy/m/d;@">
                  <c:v>45376</c:v>
                </c:pt>
                <c:pt idx="25" c:formatCode="yyyy/m/d;@">
                  <c:v>45377</c:v>
                </c:pt>
                <c:pt idx="26" c:formatCode="yyyy/m/d;@">
                  <c:v>45378</c:v>
                </c:pt>
                <c:pt idx="27" c:formatCode="yyyy/m/d;@">
                  <c:v>45379</c:v>
                </c:pt>
                <c:pt idx="28" c:formatCode="yyyy/m/d;@">
                  <c:v>45380</c:v>
                </c:pt>
                <c:pt idx="29" c:formatCode="yyyy/m/d;@">
                  <c:v>45381</c:v>
                </c:pt>
                <c:pt idx="30" c:formatCode="yyyy/m/d;@">
                  <c:v>45382</c:v>
                </c:pt>
                <c:pt idx="31" c:formatCode="yyyy/m/d;@">
                  <c:v>45383</c:v>
                </c:pt>
                <c:pt idx="32" c:formatCode="yyyy/m/d;@">
                  <c:v>45384</c:v>
                </c:pt>
                <c:pt idx="33" c:formatCode="yyyy/m/d;@">
                  <c:v>45385</c:v>
                </c:pt>
                <c:pt idx="34" c:formatCode="yyyy/m/d;@">
                  <c:v>45386</c:v>
                </c:pt>
                <c:pt idx="35" c:formatCode="yyyy/m/d;@">
                  <c:v>45387</c:v>
                </c:pt>
                <c:pt idx="36" c:formatCode="yyyy/m/d;@">
                  <c:v>45388</c:v>
                </c:pt>
                <c:pt idx="37" c:formatCode="yyyy/m/d;@">
                  <c:v>45389</c:v>
                </c:pt>
                <c:pt idx="38" c:formatCode="yyyy/m/d;@">
                  <c:v>45390</c:v>
                </c:pt>
                <c:pt idx="39" c:formatCode="yyyy/m/d;@">
                  <c:v>45391</c:v>
                </c:pt>
                <c:pt idx="40" c:formatCode="yyyy/m/d;@">
                  <c:v>45392</c:v>
                </c:pt>
                <c:pt idx="41" c:formatCode="yyyy/m/d;@">
                  <c:v>45393</c:v>
                </c:pt>
                <c:pt idx="42" c:formatCode="yyyy/m/d;@">
                  <c:v>45394</c:v>
                </c:pt>
                <c:pt idx="43" c:formatCode="yyyy/m/d;@">
                  <c:v>45395</c:v>
                </c:pt>
                <c:pt idx="44" c:formatCode="yyyy/m/d;@">
                  <c:v>45396</c:v>
                </c:pt>
                <c:pt idx="45" c:formatCode="yyyy/m/d;@">
                  <c:v>45397</c:v>
                </c:pt>
                <c:pt idx="46" c:formatCode="yyyy/m/d;@">
                  <c:v>45398</c:v>
                </c:pt>
                <c:pt idx="47" c:formatCode="yyyy/m/d;@">
                  <c:v>45399</c:v>
                </c:pt>
                <c:pt idx="48" c:formatCode="yyyy/m/d;@">
                  <c:v>45400</c:v>
                </c:pt>
                <c:pt idx="49" c:formatCode="yyyy/m/d;@">
                  <c:v>45401</c:v>
                </c:pt>
                <c:pt idx="50" c:formatCode="yyyy/m/d;@">
                  <c:v>45402</c:v>
                </c:pt>
                <c:pt idx="51" c:formatCode="yyyy/m/d;@">
                  <c:v>45403</c:v>
                </c:pt>
                <c:pt idx="52" c:formatCode="yyyy/m/d;@">
                  <c:v>45404</c:v>
                </c:pt>
                <c:pt idx="53" c:formatCode="yyyy/m/d;@">
                  <c:v>45405</c:v>
                </c:pt>
                <c:pt idx="54" c:formatCode="yyyy/m/d;@">
                  <c:v>45406</c:v>
                </c:pt>
                <c:pt idx="55" c:formatCode="yyyy/m/d;@">
                  <c:v>45407</c:v>
                </c:pt>
                <c:pt idx="56" c:formatCode="yyyy/m/d;@">
                  <c:v>45408</c:v>
                </c:pt>
                <c:pt idx="57" c:formatCode="yyyy/m/d;@">
                  <c:v>45409</c:v>
                </c:pt>
                <c:pt idx="58" c:formatCode="yyyy/m/d;@">
                  <c:v>45410</c:v>
                </c:pt>
                <c:pt idx="59" c:formatCode="yyyy/m/d;@">
                  <c:v>45411</c:v>
                </c:pt>
                <c:pt idx="60" c:formatCode="yyyy/m/d;@">
                  <c:v>45412</c:v>
                </c:pt>
                <c:pt idx="61" c:formatCode="yyyy/m/d;@">
                  <c:v>45413</c:v>
                </c:pt>
                <c:pt idx="62" c:formatCode="yyyy/m/d;@">
                  <c:v>45414</c:v>
                </c:pt>
                <c:pt idx="63" c:formatCode="yyyy/m/d;@">
                  <c:v>45415</c:v>
                </c:pt>
                <c:pt idx="64" c:formatCode="yyyy/m/d;@">
                  <c:v>45416</c:v>
                </c:pt>
                <c:pt idx="65" c:formatCode="yyyy/m/d;@">
                  <c:v>45417</c:v>
                </c:pt>
                <c:pt idx="66" c:formatCode="yyyy/m/d;@">
                  <c:v>45418</c:v>
                </c:pt>
                <c:pt idx="67" c:formatCode="yyyy/m/d;@">
                  <c:v>45419</c:v>
                </c:pt>
                <c:pt idx="68" c:formatCode="yyyy/m/d;@">
                  <c:v>45420</c:v>
                </c:pt>
                <c:pt idx="69" c:formatCode="yyyy/m/d;@">
                  <c:v>45421</c:v>
                </c:pt>
                <c:pt idx="70" c:formatCode="yyyy/m/d;@">
                  <c:v>45422</c:v>
                </c:pt>
                <c:pt idx="71" c:formatCode="yyyy/m/d;@">
                  <c:v>45423</c:v>
                </c:pt>
                <c:pt idx="72" c:formatCode="yyyy/m/d;@">
                  <c:v>45424</c:v>
                </c:pt>
                <c:pt idx="73" c:formatCode="yyyy/m/d;@">
                  <c:v>45425</c:v>
                </c:pt>
                <c:pt idx="74" c:formatCode="yyyy/m/d;@">
                  <c:v>45426</c:v>
                </c:pt>
                <c:pt idx="75" c:formatCode="yyyy/m/d;@">
                  <c:v>45427</c:v>
                </c:pt>
                <c:pt idx="76" c:formatCode="yyyy/m/d;@">
                  <c:v>45428</c:v>
                </c:pt>
                <c:pt idx="77" c:formatCode="yyyy/m/d;@">
                  <c:v>45429</c:v>
                </c:pt>
                <c:pt idx="78" c:formatCode="yyyy/m/d;@">
                  <c:v>45430</c:v>
                </c:pt>
                <c:pt idx="79" c:formatCode="yyyy/m/d;@">
                  <c:v>45431</c:v>
                </c:pt>
                <c:pt idx="80" c:formatCode="yyyy/m/d;@">
                  <c:v>45432</c:v>
                </c:pt>
                <c:pt idx="81" c:formatCode="yyyy/m/d;@">
                  <c:v>45433</c:v>
                </c:pt>
                <c:pt idx="82" c:formatCode="yyyy/m/d;@">
                  <c:v>45434</c:v>
                </c:pt>
                <c:pt idx="83" c:formatCode="yyyy/m/d;@">
                  <c:v>45435</c:v>
                </c:pt>
                <c:pt idx="84" c:formatCode="yyyy/m/d;@">
                  <c:v>45436</c:v>
                </c:pt>
                <c:pt idx="85" c:formatCode="yyyy/m/d;@">
                  <c:v>45437</c:v>
                </c:pt>
                <c:pt idx="86" c:formatCode="yyyy/m/d;@">
                  <c:v>45438</c:v>
                </c:pt>
                <c:pt idx="87" c:formatCode="yyyy/m/d;@">
                  <c:v>45439</c:v>
                </c:pt>
                <c:pt idx="88" c:formatCode="yyyy/m/d;@">
                  <c:v>45440</c:v>
                </c:pt>
                <c:pt idx="89" c:formatCode="yyyy/m/d;@">
                  <c:v>45441</c:v>
                </c:pt>
                <c:pt idx="90" c:formatCode="yyyy/m/d;@">
                  <c:v>45442</c:v>
                </c:pt>
                <c:pt idx="91" c:formatCode="yyyy/m/d;@">
                  <c:v>45443</c:v>
                </c:pt>
                <c:pt idx="92" c:formatCode="yyyy/m/d;@">
                  <c:v>45444</c:v>
                </c:pt>
                <c:pt idx="93" c:formatCode="yyyy/m/d;@">
                  <c:v>45445</c:v>
                </c:pt>
                <c:pt idx="94" c:formatCode="yyyy/m/d;@">
                  <c:v>45446</c:v>
                </c:pt>
                <c:pt idx="95" c:formatCode="yyyy/m/d;@">
                  <c:v>45447</c:v>
                </c:pt>
                <c:pt idx="96" c:formatCode="yyyy/m/d;@">
                  <c:v>45448</c:v>
                </c:pt>
                <c:pt idx="97" c:formatCode="yyyy/m/d;@">
                  <c:v>45449</c:v>
                </c:pt>
                <c:pt idx="98" c:formatCode="yyyy/m/d;@">
                  <c:v>45450</c:v>
                </c:pt>
                <c:pt idx="99" c:formatCode="yyyy/m/d;@">
                  <c:v>45451</c:v>
                </c:pt>
                <c:pt idx="100" c:formatCode="yyyy/m/d;@">
                  <c:v>45452</c:v>
                </c:pt>
                <c:pt idx="101" c:formatCode="yyyy/m/d;@">
                  <c:v>45453</c:v>
                </c:pt>
                <c:pt idx="102" c:formatCode="yyyy/m/d;@">
                  <c:v>45454</c:v>
                </c:pt>
                <c:pt idx="103" c:formatCode="yyyy/m/d;@">
                  <c:v>45455</c:v>
                </c:pt>
                <c:pt idx="104" c:formatCode="yyyy/m/d;@">
                  <c:v>45456</c:v>
                </c:pt>
                <c:pt idx="105" c:formatCode="yyyy/m/d;@">
                  <c:v>45457</c:v>
                </c:pt>
                <c:pt idx="106" c:formatCode="yyyy/m/d;@">
                  <c:v>45458</c:v>
                </c:pt>
                <c:pt idx="107" c:formatCode="yyyy/m/d;@">
                  <c:v>45459</c:v>
                </c:pt>
                <c:pt idx="108" c:formatCode="yyyy/m/d;@">
                  <c:v>45460</c:v>
                </c:pt>
                <c:pt idx="109" c:formatCode="yyyy/m/d;@">
                  <c:v>45461</c:v>
                </c:pt>
                <c:pt idx="110" c:formatCode="yyyy/m/d;@">
                  <c:v>45462</c:v>
                </c:pt>
                <c:pt idx="111" c:formatCode="yyyy/m/d;@">
                  <c:v>45463</c:v>
                </c:pt>
                <c:pt idx="112" c:formatCode="yyyy/m/d;@">
                  <c:v>45464</c:v>
                </c:pt>
                <c:pt idx="113" c:formatCode="yyyy/m/d;@">
                  <c:v>45465</c:v>
                </c:pt>
                <c:pt idx="114" c:formatCode="yyyy/m/d;@">
                  <c:v>45466</c:v>
                </c:pt>
                <c:pt idx="115" c:formatCode="yyyy/m/d;@">
                  <c:v>45467</c:v>
                </c:pt>
                <c:pt idx="116" c:formatCode="yyyy/m/d;@">
                  <c:v>45468</c:v>
                </c:pt>
                <c:pt idx="117" c:formatCode="yyyy/m/d;@">
                  <c:v>45469</c:v>
                </c:pt>
                <c:pt idx="118" c:formatCode="yyyy/m/d;@">
                  <c:v>45470</c:v>
                </c:pt>
                <c:pt idx="119" c:formatCode="yyyy/m/d;@">
                  <c:v>45471</c:v>
                </c:pt>
                <c:pt idx="120" c:formatCode="yyyy/m/d;@">
                  <c:v>45472</c:v>
                </c:pt>
                <c:pt idx="121" c:formatCode="yyyy/m/d;@">
                  <c:v>45473</c:v>
                </c:pt>
                <c:pt idx="122" c:formatCode="yyyy/m/d;@">
                  <c:v>45474</c:v>
                </c:pt>
                <c:pt idx="123" c:formatCode="yyyy/m/d;@">
                  <c:v>45475</c:v>
                </c:pt>
                <c:pt idx="124" c:formatCode="yyyy/m/d;@">
                  <c:v>45476</c:v>
                </c:pt>
                <c:pt idx="125" c:formatCode="yyyy/m/d;@">
                  <c:v>45477</c:v>
                </c:pt>
                <c:pt idx="126" c:formatCode="yyyy/m/d;@">
                  <c:v>45478</c:v>
                </c:pt>
                <c:pt idx="127" c:formatCode="yyyy/m/d;@">
                  <c:v>45479</c:v>
                </c:pt>
                <c:pt idx="128" c:formatCode="yyyy/m/d;@">
                  <c:v>45480</c:v>
                </c:pt>
                <c:pt idx="129" c:formatCode="yyyy/m/d;@">
                  <c:v>45481</c:v>
                </c:pt>
                <c:pt idx="130" c:formatCode="yyyy/m/d;@">
                  <c:v>45482</c:v>
                </c:pt>
                <c:pt idx="131" c:formatCode="yyyy/m/d;@">
                  <c:v>45483</c:v>
                </c:pt>
                <c:pt idx="132" c:formatCode="yyyy/m/d;@">
                  <c:v>45484</c:v>
                </c:pt>
                <c:pt idx="133" c:formatCode="yyyy/m/d;@">
                  <c:v>45485</c:v>
                </c:pt>
                <c:pt idx="134" c:formatCode="yyyy/m/d;@">
                  <c:v>45486</c:v>
                </c:pt>
                <c:pt idx="135" c:formatCode="yyyy/m/d;@">
                  <c:v>45487</c:v>
                </c:pt>
                <c:pt idx="136" c:formatCode="yyyy/m/d;@">
                  <c:v>45488</c:v>
                </c:pt>
                <c:pt idx="137" c:formatCode="yyyy/m/d;@">
                  <c:v>45489</c:v>
                </c:pt>
                <c:pt idx="138" c:formatCode="yyyy/m/d;@">
                  <c:v>45490</c:v>
                </c:pt>
                <c:pt idx="139" c:formatCode="yyyy/m/d;@">
                  <c:v>45491</c:v>
                </c:pt>
                <c:pt idx="140" c:formatCode="yyyy/m/d;@">
                  <c:v>45492</c:v>
                </c:pt>
                <c:pt idx="141" c:formatCode="yyyy/m/d;@">
                  <c:v>45493</c:v>
                </c:pt>
                <c:pt idx="142" c:formatCode="yyyy/m/d;@">
                  <c:v>45494</c:v>
                </c:pt>
                <c:pt idx="143" c:formatCode="yyyy/m/d;@">
                  <c:v>45495</c:v>
                </c:pt>
                <c:pt idx="144" c:formatCode="yyyy/m/d;@">
                  <c:v>45496</c:v>
                </c:pt>
                <c:pt idx="145" c:formatCode="yyyy/m/d;@">
                  <c:v>45497</c:v>
                </c:pt>
                <c:pt idx="146" c:formatCode="yyyy/m/d;@">
                  <c:v>45498</c:v>
                </c:pt>
                <c:pt idx="147" c:formatCode="yyyy/m/d;@">
                  <c:v>45499</c:v>
                </c:pt>
                <c:pt idx="148" c:formatCode="yyyy/m/d;@">
                  <c:v>45500</c:v>
                </c:pt>
                <c:pt idx="149" c:formatCode="yyyy/m/d;@">
                  <c:v>45501</c:v>
                </c:pt>
                <c:pt idx="150" c:formatCode="yyyy/m/d;@">
                  <c:v>45502</c:v>
                </c:pt>
                <c:pt idx="151" c:formatCode="yyyy/m/d;@">
                  <c:v>45503</c:v>
                </c:pt>
                <c:pt idx="152" c:formatCode="yyyy/m/d;@">
                  <c:v>45504</c:v>
                </c:pt>
                <c:pt idx="153" c:formatCode="yyyy/m/d;@">
                  <c:v>45505</c:v>
                </c:pt>
                <c:pt idx="154" c:formatCode="yyyy/m/d;@">
                  <c:v>45506</c:v>
                </c:pt>
                <c:pt idx="155" c:formatCode="yyyy/m/d;@">
                  <c:v>45507</c:v>
                </c:pt>
                <c:pt idx="156" c:formatCode="yyyy/m/d;@">
                  <c:v>45508</c:v>
                </c:pt>
                <c:pt idx="157" c:formatCode="yyyy/m/d;@">
                  <c:v>45509</c:v>
                </c:pt>
                <c:pt idx="158" c:formatCode="yyyy/m/d;@">
                  <c:v>45510</c:v>
                </c:pt>
                <c:pt idx="159" c:formatCode="yyyy/m/d;@">
                  <c:v>45511</c:v>
                </c:pt>
                <c:pt idx="160" c:formatCode="yyyy/m/d;@">
                  <c:v>45512</c:v>
                </c:pt>
                <c:pt idx="161" c:formatCode="yyyy/m/d;@">
                  <c:v>45513</c:v>
                </c:pt>
                <c:pt idx="162" c:formatCode="yyyy/m/d;@">
                  <c:v>45514</c:v>
                </c:pt>
                <c:pt idx="163" c:formatCode="yyyy/m/d;@">
                  <c:v>45515</c:v>
                </c:pt>
                <c:pt idx="164" c:formatCode="yyyy/m/d;@">
                  <c:v>45516</c:v>
                </c:pt>
                <c:pt idx="165" c:formatCode="yyyy/m/d;@">
                  <c:v>45517</c:v>
                </c:pt>
                <c:pt idx="166" c:formatCode="yyyy/m/d;@">
                  <c:v>45518</c:v>
                </c:pt>
                <c:pt idx="167" c:formatCode="yyyy/m/d;@">
                  <c:v>45519</c:v>
                </c:pt>
                <c:pt idx="168" c:formatCode="yyyy/m/d;@">
                  <c:v>45520</c:v>
                </c:pt>
                <c:pt idx="169" c:formatCode="yyyy/m/d;@">
                  <c:v>45521</c:v>
                </c:pt>
                <c:pt idx="170" c:formatCode="yyyy/m/d;@">
                  <c:v>45522</c:v>
                </c:pt>
                <c:pt idx="171" c:formatCode="yyyy/m/d;@">
                  <c:v>45523</c:v>
                </c:pt>
                <c:pt idx="172" c:formatCode="yyyy/m/d;@">
                  <c:v>45524</c:v>
                </c:pt>
                <c:pt idx="173" c:formatCode="yyyy/m/d;@">
                  <c:v>45525</c:v>
                </c:pt>
                <c:pt idx="174" c:formatCode="yyyy/m/d;@">
                  <c:v>45526</c:v>
                </c:pt>
                <c:pt idx="175" c:formatCode="yyyy/m/d;@">
                  <c:v>45527</c:v>
                </c:pt>
                <c:pt idx="176" c:formatCode="yyyy/m/d;@">
                  <c:v>45528</c:v>
                </c:pt>
                <c:pt idx="177" c:formatCode="yyyy/m/d;@">
                  <c:v>45529</c:v>
                </c:pt>
                <c:pt idx="178" c:formatCode="yyyy/m/d;@">
                  <c:v>45530</c:v>
                </c:pt>
                <c:pt idx="179" c:formatCode="yyyy/m/d;@">
                  <c:v>45531</c:v>
                </c:pt>
                <c:pt idx="180" c:formatCode="yyyy/m/d;@">
                  <c:v>45532</c:v>
                </c:pt>
                <c:pt idx="181" c:formatCode="yyyy/m/d;@">
                  <c:v>45533</c:v>
                </c:pt>
                <c:pt idx="182" c:formatCode="yyyy/m/d;@">
                  <c:v>45534</c:v>
                </c:pt>
                <c:pt idx="183" c:formatCode="yyyy/m/d;@">
                  <c:v>45535</c:v>
                </c:pt>
                <c:pt idx="184" c:formatCode="yyyy/m/d;@">
                  <c:v>45536</c:v>
                </c:pt>
                <c:pt idx="185" c:formatCode="yyyy/m/d;@">
                  <c:v>45537</c:v>
                </c:pt>
                <c:pt idx="186" c:formatCode="yyyy/m/d;@">
                  <c:v>45538</c:v>
                </c:pt>
                <c:pt idx="187" c:formatCode="yyyy/m/d;@">
                  <c:v>45539</c:v>
                </c:pt>
                <c:pt idx="188" c:formatCode="yyyy/m/d;@">
                  <c:v>45540</c:v>
                </c:pt>
                <c:pt idx="189" c:formatCode="yyyy/m/d;@">
                  <c:v>45541</c:v>
                </c:pt>
                <c:pt idx="190" c:formatCode="yyyy/m/d;@">
                  <c:v>45542</c:v>
                </c:pt>
                <c:pt idx="191" c:formatCode="yyyy/m/d;@">
                  <c:v>45543</c:v>
                </c:pt>
                <c:pt idx="192" c:formatCode="yyyy/m/d;@">
                  <c:v>45544</c:v>
                </c:pt>
                <c:pt idx="193" c:formatCode="yyyy/m/d;@">
                  <c:v>45545</c:v>
                </c:pt>
                <c:pt idx="194" c:formatCode="yyyy/m/d;@">
                  <c:v>45546</c:v>
                </c:pt>
                <c:pt idx="195" c:formatCode="yyyy/m/d;@">
                  <c:v>45547</c:v>
                </c:pt>
                <c:pt idx="196" c:formatCode="yyyy/m/d;@">
                  <c:v>45548</c:v>
                </c:pt>
                <c:pt idx="197" c:formatCode="yyyy/m/d;@">
                  <c:v>45549</c:v>
                </c:pt>
                <c:pt idx="198" c:formatCode="yyyy/m/d;@">
                  <c:v>45550</c:v>
                </c:pt>
                <c:pt idx="199" c:formatCode="yyyy/m/d;@">
                  <c:v>45551</c:v>
                </c:pt>
                <c:pt idx="200" c:formatCode="yyyy/m/d;@">
                  <c:v>45552</c:v>
                </c:pt>
                <c:pt idx="201" c:formatCode="yyyy/m/d;@">
                  <c:v>45553</c:v>
                </c:pt>
                <c:pt idx="202" c:formatCode="yyyy/m/d;@">
                  <c:v>45554</c:v>
                </c:pt>
                <c:pt idx="203" c:formatCode="yyyy/m/d;@">
                  <c:v>45555</c:v>
                </c:pt>
                <c:pt idx="204" c:formatCode="yyyy/m/d;@">
                  <c:v>45556</c:v>
                </c:pt>
                <c:pt idx="205" c:formatCode="yyyy/m/d;@">
                  <c:v>45557</c:v>
                </c:pt>
                <c:pt idx="206" c:formatCode="yyyy/m/d;@">
                  <c:v>45558</c:v>
                </c:pt>
                <c:pt idx="207" c:formatCode="yyyy/m/d;@">
                  <c:v>45559</c:v>
                </c:pt>
                <c:pt idx="208" c:formatCode="yyyy/m/d;@">
                  <c:v>45560</c:v>
                </c:pt>
                <c:pt idx="209" c:formatCode="yyyy/m/d;@">
                  <c:v>45561</c:v>
                </c:pt>
                <c:pt idx="210" c:formatCode="yyyy/m/d;@">
                  <c:v>45562</c:v>
                </c:pt>
                <c:pt idx="211" c:formatCode="yyyy/m/d;@">
                  <c:v>45563</c:v>
                </c:pt>
                <c:pt idx="212" c:formatCode="yyyy/m/d;@">
                  <c:v>45564</c:v>
                </c:pt>
                <c:pt idx="213" c:formatCode="yyyy/m/d;@">
                  <c:v>45565</c:v>
                </c:pt>
                <c:pt idx="214" c:formatCode="yyyy/m/d;@">
                  <c:v>45566</c:v>
                </c:pt>
                <c:pt idx="215" c:formatCode="yyyy/m/d;@">
                  <c:v>45567</c:v>
                </c:pt>
                <c:pt idx="216" c:formatCode="yyyy/m/d;@">
                  <c:v>45568</c:v>
                </c:pt>
                <c:pt idx="217" c:formatCode="yyyy/m/d;@">
                  <c:v>45569</c:v>
                </c:pt>
                <c:pt idx="218" c:formatCode="yyyy/m/d;@">
                  <c:v>45570</c:v>
                </c:pt>
                <c:pt idx="219" c:formatCode="yyyy/m/d;@">
                  <c:v>45571</c:v>
                </c:pt>
                <c:pt idx="220" c:formatCode="yyyy/m/d;@">
                  <c:v>45572</c:v>
                </c:pt>
                <c:pt idx="221" c:formatCode="yyyy/m/d;@">
                  <c:v>45573</c:v>
                </c:pt>
                <c:pt idx="222" c:formatCode="yyyy/m/d;@">
                  <c:v>45574</c:v>
                </c:pt>
                <c:pt idx="223" c:formatCode="yyyy/m/d;@">
                  <c:v>45575</c:v>
                </c:pt>
                <c:pt idx="224" c:formatCode="yyyy/m/d;@">
                  <c:v>45576</c:v>
                </c:pt>
                <c:pt idx="225" c:formatCode="yyyy/m/d;@">
                  <c:v>45577</c:v>
                </c:pt>
                <c:pt idx="226" c:formatCode="yyyy/m/d;@">
                  <c:v>45578</c:v>
                </c:pt>
                <c:pt idx="227" c:formatCode="yyyy/m/d;@">
                  <c:v>45579</c:v>
                </c:pt>
                <c:pt idx="228" c:formatCode="yyyy/m/d;@">
                  <c:v>45580</c:v>
                </c:pt>
                <c:pt idx="229" c:formatCode="yyyy/m/d;@">
                  <c:v>45581</c:v>
                </c:pt>
                <c:pt idx="230" c:formatCode="yyyy/m/d;@">
                  <c:v>45582</c:v>
                </c:pt>
                <c:pt idx="231" c:formatCode="yyyy/m/d;@">
                  <c:v>45583</c:v>
                </c:pt>
                <c:pt idx="232" c:formatCode="yyyy/m/d;@">
                  <c:v>45584</c:v>
                </c:pt>
                <c:pt idx="233" c:formatCode="yyyy/m/d;@">
                  <c:v>45585</c:v>
                </c:pt>
                <c:pt idx="234" c:formatCode="yyyy/m/d;@">
                  <c:v>45586</c:v>
                </c:pt>
                <c:pt idx="235" c:formatCode="yyyy/m/d;@">
                  <c:v>45587</c:v>
                </c:pt>
                <c:pt idx="236" c:formatCode="yyyy/m/d;@">
                  <c:v>45588</c:v>
                </c:pt>
                <c:pt idx="237" c:formatCode="yyyy/m/d;@">
                  <c:v>45589</c:v>
                </c:pt>
                <c:pt idx="238" c:formatCode="yyyy/m/d;@">
                  <c:v>45590</c:v>
                </c:pt>
                <c:pt idx="239" c:formatCode="yyyy/m/d;@">
                  <c:v>45591</c:v>
                </c:pt>
                <c:pt idx="240" c:formatCode="yyyy/m/d;@">
                  <c:v>45592</c:v>
                </c:pt>
                <c:pt idx="241" c:formatCode="yyyy/m/d;@">
                  <c:v>45593</c:v>
                </c:pt>
                <c:pt idx="242" c:formatCode="yyyy/m/d;@">
                  <c:v>45594</c:v>
                </c:pt>
                <c:pt idx="243" c:formatCode="yyyy/m/d;@">
                  <c:v>45595</c:v>
                </c:pt>
                <c:pt idx="244" c:formatCode="yyyy/m/d;@">
                  <c:v>45596</c:v>
                </c:pt>
                <c:pt idx="245" c:formatCode="yyyy/m/d;@">
                  <c:v>45597</c:v>
                </c:pt>
                <c:pt idx="246" c:formatCode="yyyy/m/d;@">
                  <c:v>45598</c:v>
                </c:pt>
                <c:pt idx="247" c:formatCode="yyyy/m/d;@">
                  <c:v>45599</c:v>
                </c:pt>
                <c:pt idx="248" c:formatCode="yyyy/m/d;@">
                  <c:v>45600</c:v>
                </c:pt>
                <c:pt idx="249" c:formatCode="yyyy/m/d;@">
                  <c:v>45601</c:v>
                </c:pt>
                <c:pt idx="250" c:formatCode="yyyy/m/d;@">
                  <c:v>45602</c:v>
                </c:pt>
                <c:pt idx="251" c:formatCode="yyyy/m/d;@">
                  <c:v>45603</c:v>
                </c:pt>
                <c:pt idx="252" c:formatCode="yyyy/m/d;@">
                  <c:v>45604</c:v>
                </c:pt>
                <c:pt idx="253" c:formatCode="yyyy/m/d;@">
                  <c:v>45605</c:v>
                </c:pt>
                <c:pt idx="254" c:formatCode="yyyy/m/d;@">
                  <c:v>45606</c:v>
                </c:pt>
                <c:pt idx="255" c:formatCode="yyyy/m/d;@">
                  <c:v>45607</c:v>
                </c:pt>
                <c:pt idx="256" c:formatCode="yyyy/m/d;@">
                  <c:v>45608</c:v>
                </c:pt>
                <c:pt idx="257" c:formatCode="yyyy/m/d;@">
                  <c:v>45609</c:v>
                </c:pt>
                <c:pt idx="258" c:formatCode="yyyy/m/d;@">
                  <c:v>45610</c:v>
                </c:pt>
                <c:pt idx="259" c:formatCode="yyyy/m/d;@">
                  <c:v>45611</c:v>
                </c:pt>
                <c:pt idx="260" c:formatCode="yyyy/m/d;@">
                  <c:v>45612</c:v>
                </c:pt>
                <c:pt idx="261" c:formatCode="yyyy/m/d;@">
                  <c:v>45613</c:v>
                </c:pt>
                <c:pt idx="262" c:formatCode="yyyy/m/d;@">
                  <c:v>45614</c:v>
                </c:pt>
                <c:pt idx="263" c:formatCode="yyyy/m/d;@">
                  <c:v>45615</c:v>
                </c:pt>
                <c:pt idx="264" c:formatCode="yyyy/m/d;@">
                  <c:v>45616</c:v>
                </c:pt>
                <c:pt idx="265" c:formatCode="yyyy/m/d;@">
                  <c:v>45617</c:v>
                </c:pt>
                <c:pt idx="266" c:formatCode="yyyy/m/d;@">
                  <c:v>45618</c:v>
                </c:pt>
                <c:pt idx="267" c:formatCode="yyyy/m/d;@">
                  <c:v>45619</c:v>
                </c:pt>
                <c:pt idx="268" c:formatCode="yyyy/m/d;@">
                  <c:v>45620</c:v>
                </c:pt>
                <c:pt idx="269" c:formatCode="yyyy/m/d;@">
                  <c:v>45621</c:v>
                </c:pt>
                <c:pt idx="270" c:formatCode="yyyy/m/d;@">
                  <c:v>45622</c:v>
                </c:pt>
                <c:pt idx="271" c:formatCode="yyyy/m/d;@">
                  <c:v>45623</c:v>
                </c:pt>
                <c:pt idx="272" c:formatCode="yyyy/m/d;@">
                  <c:v>45624</c:v>
                </c:pt>
              </c:numCache>
            </c:numRef>
          </c:cat>
          <c:val>
            <c:numRef>
              <c:f>'阿里妈妈Raw Data'!$AG$364:$AG$636</c:f>
              <c:numCache>
                <c:formatCode>0.00_);[Red]\(0.00\)</c:formatCode>
                <c:ptCount val="273"/>
                <c:pt idx="0">
                  <c:v>0.547851063829787</c:v>
                </c:pt>
                <c:pt idx="1">
                  <c:v>0.342477888937219</c:v>
                </c:pt>
                <c:pt idx="2">
                  <c:v>0.291667086376228</c:v>
                </c:pt>
                <c:pt idx="3">
                  <c:v>0.330218476062036</c:v>
                </c:pt>
                <c:pt idx="4">
                  <c:v>0.284615289460663</c:v>
                </c:pt>
                <c:pt idx="5">
                  <c:v>0.309127557683936</c:v>
                </c:pt>
                <c:pt idx="6">
                  <c:v>0.461446209714026</c:v>
                </c:pt>
                <c:pt idx="7">
                  <c:v>0.549824848201775</c:v>
                </c:pt>
                <c:pt idx="8">
                  <c:v>0.630604319608469</c:v>
                </c:pt>
                <c:pt idx="9">
                  <c:v>0.528963993999</c:v>
                </c:pt>
                <c:pt idx="10">
                  <c:v>0.457602323739107</c:v>
                </c:pt>
                <c:pt idx="11">
                  <c:v>0.421605380452085</c:v>
                </c:pt>
                <c:pt idx="12">
                  <c:v>0.412452092036337</c:v>
                </c:pt>
                <c:pt idx="13">
                  <c:v>0.391956671514966</c:v>
                </c:pt>
                <c:pt idx="14">
                  <c:v>0.448099299694739</c:v>
                </c:pt>
                <c:pt idx="15">
                  <c:v>0.414156251399901</c:v>
                </c:pt>
                <c:pt idx="16">
                  <c:v>0.441724658223218</c:v>
                </c:pt>
                <c:pt idx="17">
                  <c:v>0.326696773389809</c:v>
                </c:pt>
                <c:pt idx="18">
                  <c:v>0.378276931322257</c:v>
                </c:pt>
                <c:pt idx="19">
                  <c:v>0.163820332098913</c:v>
                </c:pt>
                <c:pt idx="20">
                  <c:v>0.40744749864848</c:v>
                </c:pt>
                <c:pt idx="21">
                  <c:v>0.421922252010724</c:v>
                </c:pt>
                <c:pt idx="22">
                  <c:v>0.395881938399038</c:v>
                </c:pt>
                <c:pt idx="23">
                  <c:v>0.410965935214211</c:v>
                </c:pt>
                <c:pt idx="24">
                  <c:v>0.41478842331898</c:v>
                </c:pt>
                <c:pt idx="25">
                  <c:v>0.35922137012439</c:v>
                </c:pt>
                <c:pt idx="26">
                  <c:v>0.374578957996769</c:v>
                </c:pt>
                <c:pt idx="27">
                  <c:v>0.397261750754636</c:v>
                </c:pt>
                <c:pt idx="28">
                  <c:v>0.334631378203637</c:v>
                </c:pt>
                <c:pt idx="29">
                  <c:v>0.559724933451642</c:v>
                </c:pt>
                <c:pt idx="30">
                  <c:v>0.543594788161187</c:v>
                </c:pt>
                <c:pt idx="31">
                  <c:v>0.508925259138025</c:v>
                </c:pt>
                <c:pt idx="32">
                  <c:v>0.334508329289989</c:v>
                </c:pt>
                <c:pt idx="33">
                  <c:v>0.51993578255675</c:v>
                </c:pt>
                <c:pt idx="34">
                  <c:v>0.500189500280741</c:v>
                </c:pt>
                <c:pt idx="35">
                  <c:v>0.506988612978461</c:v>
                </c:pt>
                <c:pt idx="36">
                  <c:v>0.525701313215982</c:v>
                </c:pt>
                <c:pt idx="37">
                  <c:v>0.505982729733213</c:v>
                </c:pt>
                <c:pt idx="38">
                  <c:v>0.494791898233914</c:v>
                </c:pt>
                <c:pt idx="39">
                  <c:v>0.511568016614746</c:v>
                </c:pt>
                <c:pt idx="40">
                  <c:v>0.394415272778601</c:v>
                </c:pt>
                <c:pt idx="41">
                  <c:v>0.561628469301935</c:v>
                </c:pt>
                <c:pt idx="42">
                  <c:v>0.481441018110622</c:v>
                </c:pt>
                <c:pt idx="43">
                  <c:v>0.518226670425712</c:v>
                </c:pt>
                <c:pt idx="44">
                  <c:v>0.524405631794689</c:v>
                </c:pt>
                <c:pt idx="45">
                  <c:v>0.379053744612069</c:v>
                </c:pt>
                <c:pt idx="46">
                  <c:v>0.534204950399692</c:v>
                </c:pt>
                <c:pt idx="47">
                  <c:v>0.235291302313865</c:v>
                </c:pt>
                <c:pt idx="48">
                  <c:v>0.569702305671758</c:v>
                </c:pt>
                <c:pt idx="49">
                  <c:v>0.485897503285151</c:v>
                </c:pt>
                <c:pt idx="50">
                  <c:v>0.502905430365719</c:v>
                </c:pt>
                <c:pt idx="51">
                  <c:v>0.53256538348516</c:v>
                </c:pt>
                <c:pt idx="52">
                  <c:v>0.229364172110196</c:v>
                </c:pt>
                <c:pt idx="53">
                  <c:v>0.540482422621322</c:v>
                </c:pt>
                <c:pt idx="54">
                  <c:v>0.29698819092984</c:v>
                </c:pt>
                <c:pt idx="55">
                  <c:v>0.612609756097561</c:v>
                </c:pt>
                <c:pt idx="56">
                  <c:v>0.161806644782925</c:v>
                </c:pt>
                <c:pt idx="57">
                  <c:v>0.617519132653061</c:v>
                </c:pt>
                <c:pt idx="58">
                  <c:v>0.571458753481225</c:v>
                </c:pt>
                <c:pt idx="59">
                  <c:v>0.581768485567418</c:v>
                </c:pt>
                <c:pt idx="60">
                  <c:v>0.540575868372943</c:v>
                </c:pt>
                <c:pt idx="61">
                  <c:v>0.537862753950339</c:v>
                </c:pt>
                <c:pt idx="62">
                  <c:v>0.530871978819711</c:v>
                </c:pt>
                <c:pt idx="63">
                  <c:v>0.491159492411048</c:v>
                </c:pt>
                <c:pt idx="64">
                  <c:v>0.484629659383033</c:v>
                </c:pt>
                <c:pt idx="65">
                  <c:v>0.507628642797669</c:v>
                </c:pt>
                <c:pt idx="66">
                  <c:v>0.390928277381574</c:v>
                </c:pt>
                <c:pt idx="67">
                  <c:v>0.614492149951938</c:v>
                </c:pt>
                <c:pt idx="68">
                  <c:v>0.259980887661924</c:v>
                </c:pt>
                <c:pt idx="69">
                  <c:v>0.20614278819636</c:v>
                </c:pt>
                <c:pt idx="70">
                  <c:v>0.282828495034377</c:v>
                </c:pt>
                <c:pt idx="71">
                  <c:v>0.626489234449761</c:v>
                </c:pt>
                <c:pt idx="72">
                  <c:v>0.610583818915285</c:v>
                </c:pt>
                <c:pt idx="73">
                  <c:v>0.26748569668163</c:v>
                </c:pt>
                <c:pt idx="74">
                  <c:v>0.349781001298188</c:v>
                </c:pt>
                <c:pt idx="75">
                  <c:v>0.676132358230428</c:v>
                </c:pt>
                <c:pt idx="76">
                  <c:v>0.662211951568806</c:v>
                </c:pt>
                <c:pt idx="77">
                  <c:v>0.642855664004732</c:v>
                </c:pt>
                <c:pt idx="78">
                  <c:v>0.699862448418157</c:v>
                </c:pt>
                <c:pt idx="79">
                  <c:v>0.746361739688653</c:v>
                </c:pt>
                <c:pt idx="80">
                  <c:v>0.843164599966027</c:v>
                </c:pt>
                <c:pt idx="81">
                  <c:v>0.751093934040047</c:v>
                </c:pt>
                <c:pt idx="82">
                  <c:v>0.713571531479614</c:v>
                </c:pt>
                <c:pt idx="83">
                  <c:v>0.669071078795073</c:v>
                </c:pt>
                <c:pt idx="84">
                  <c:v>0.974278260869565</c:v>
                </c:pt>
                <c:pt idx="85">
                  <c:v>0.790680042885587</c:v>
                </c:pt>
                <c:pt idx="86">
                  <c:v>0.896448956138671</c:v>
                </c:pt>
                <c:pt idx="87">
                  <c:v>1.48599264705882</c:v>
                </c:pt>
                <c:pt idx="88">
                  <c:v>1.26554596322942</c:v>
                </c:pt>
                <c:pt idx="89">
                  <c:v>1.13903848403322</c:v>
                </c:pt>
                <c:pt idx="90">
                  <c:v>1.29158647594278</c:v>
                </c:pt>
                <c:pt idx="91">
                  <c:v>1.0810752038659</c:v>
                </c:pt>
                <c:pt idx="92">
                  <c:v>1.17086447368421</c:v>
                </c:pt>
                <c:pt idx="93">
                  <c:v>1.2055606557377</c:v>
                </c:pt>
                <c:pt idx="94">
                  <c:v>1.00975383989421</c:v>
                </c:pt>
                <c:pt idx="95">
                  <c:v>1.02827313381493</c:v>
                </c:pt>
                <c:pt idx="96">
                  <c:v>0.856632564214192</c:v>
                </c:pt>
                <c:pt idx="97">
                  <c:v>0.880626495846825</c:v>
                </c:pt>
                <c:pt idx="98">
                  <c:v>1.12070341829678</c:v>
                </c:pt>
                <c:pt idx="99">
                  <c:v>1.026926910299</c:v>
                </c:pt>
                <c:pt idx="100">
                  <c:v>0.989820707478598</c:v>
                </c:pt>
                <c:pt idx="101">
                  <c:v>0.932253244793239</c:v>
                </c:pt>
                <c:pt idx="102">
                  <c:v>0.831945758799769</c:v>
                </c:pt>
                <c:pt idx="103">
                  <c:v>0.873672854387657</c:v>
                </c:pt>
                <c:pt idx="104">
                  <c:v>0.955090208172706</c:v>
                </c:pt>
                <c:pt idx="105">
                  <c:v>1.08626404008986</c:v>
                </c:pt>
                <c:pt idx="106">
                  <c:v>1.32502929532858</c:v>
                </c:pt>
                <c:pt idx="107">
                  <c:v>1.26151959317978</c:v>
                </c:pt>
                <c:pt idx="108">
                  <c:v>1.18930376314933</c:v>
                </c:pt>
                <c:pt idx="109">
                  <c:v>1.03832581985327</c:v>
                </c:pt>
                <c:pt idx="110">
                  <c:v>1.58150224618149</c:v>
                </c:pt>
                <c:pt idx="111">
                  <c:v>1.45296391752577</c:v>
                </c:pt>
                <c:pt idx="112">
                  <c:v>0.879076902989947</c:v>
                </c:pt>
                <c:pt idx="113">
                  <c:v>0.894470229007634</c:v>
                </c:pt>
                <c:pt idx="114">
                  <c:v>0.943819716611396</c:v>
                </c:pt>
                <c:pt idx="115">
                  <c:v>0.919882975132216</c:v>
                </c:pt>
                <c:pt idx="116">
                  <c:v>0.822236489076274</c:v>
                </c:pt>
                <c:pt idx="117">
                  <c:v>0.761179880787132</c:v>
                </c:pt>
                <c:pt idx="118">
                  <c:v>0.788789493719071</c:v>
                </c:pt>
                <c:pt idx="119">
                  <c:v>0.702014967867892</c:v>
                </c:pt>
                <c:pt idx="120">
                  <c:v>0.704928824223358</c:v>
                </c:pt>
                <c:pt idx="121">
                  <c:v>0.711632900827073</c:v>
                </c:pt>
                <c:pt idx="122">
                  <c:v>0.770605124477558</c:v>
                </c:pt>
                <c:pt idx="123">
                  <c:v>0.684600778505649</c:v>
                </c:pt>
                <c:pt idx="124">
                  <c:v>0.587902074688797</c:v>
                </c:pt>
                <c:pt idx="125">
                  <c:v>0.720083644318621</c:v>
                </c:pt>
                <c:pt idx="126">
                  <c:v>0.722983326969581</c:v>
                </c:pt>
                <c:pt idx="127">
                  <c:v>0.67975468975469</c:v>
                </c:pt>
                <c:pt idx="128">
                  <c:v>0.6960024600246</c:v>
                </c:pt>
                <c:pt idx="129">
                  <c:v>0.733388018891375</c:v>
                </c:pt>
                <c:pt idx="130">
                  <c:v>0.836618695175439</c:v>
                </c:pt>
                <c:pt idx="131">
                  <c:v>0.775178262374524</c:v>
                </c:pt>
                <c:pt idx="132">
                  <c:v>0.894449795680093</c:v>
                </c:pt>
                <c:pt idx="133">
                  <c:v>0.851589958158996</c:v>
                </c:pt>
                <c:pt idx="134">
                  <c:v>0.768429414434861</c:v>
                </c:pt>
                <c:pt idx="135">
                  <c:v>0.7542839109479</c:v>
                </c:pt>
                <c:pt idx="136">
                  <c:v>0.753571802249542</c:v>
                </c:pt>
                <c:pt idx="137">
                  <c:v>0.976752276867031</c:v>
                </c:pt>
                <c:pt idx="138">
                  <c:v>0.984618075801749</c:v>
                </c:pt>
                <c:pt idx="139">
                  <c:v>1.1987326305702</c:v>
                </c:pt>
                <c:pt idx="140">
                  <c:v>1.09321108928182</c:v>
                </c:pt>
                <c:pt idx="141">
                  <c:v>1.08559674308978</c:v>
                </c:pt>
                <c:pt idx="142">
                  <c:v>0.87287788087399</c:v>
                </c:pt>
                <c:pt idx="143">
                  <c:v>0.95079351679892</c:v>
                </c:pt>
                <c:pt idx="144">
                  <c:v>1.05660590823382</c:v>
                </c:pt>
                <c:pt idx="145">
                  <c:v>1.10342221242838</c:v>
                </c:pt>
                <c:pt idx="146">
                  <c:v>1.04773655689871</c:v>
                </c:pt>
                <c:pt idx="147">
                  <c:v>1.09561662198391</c:v>
                </c:pt>
                <c:pt idx="148">
                  <c:v>1.14074465586093</c:v>
                </c:pt>
                <c:pt idx="149">
                  <c:v>1.12791837665299</c:v>
                </c:pt>
                <c:pt idx="150">
                  <c:v>1.07182969432314</c:v>
                </c:pt>
                <c:pt idx="151">
                  <c:v>1.02831631073971</c:v>
                </c:pt>
                <c:pt idx="152">
                  <c:v>0.891615701583171</c:v>
                </c:pt>
                <c:pt idx="153">
                  <c:v>1.1565606100447</c:v>
                </c:pt>
                <c:pt idx="154">
                  <c:v>1.18166666666667</c:v>
                </c:pt>
                <c:pt idx="155">
                  <c:v>1.039073027357</c:v>
                </c:pt>
                <c:pt idx="156">
                  <c:v>0.954379042690815</c:v>
                </c:pt>
                <c:pt idx="157">
                  <c:v>1.01992756539235</c:v>
                </c:pt>
                <c:pt idx="158">
                  <c:v>1.21499090672902</c:v>
                </c:pt>
                <c:pt idx="159">
                  <c:v>1.23335174418605</c:v>
                </c:pt>
                <c:pt idx="160">
                  <c:v>1.25373400773579</c:v>
                </c:pt>
                <c:pt idx="161">
                  <c:v>1.24365408415842</c:v>
                </c:pt>
                <c:pt idx="162">
                  <c:v>1.08666319895969</c:v>
                </c:pt>
                <c:pt idx="163">
                  <c:v>0.947283120376597</c:v>
                </c:pt>
                <c:pt idx="164">
                  <c:v>0.977403403863845</c:v>
                </c:pt>
                <c:pt idx="165">
                  <c:v>0.873816287878788</c:v>
                </c:pt>
                <c:pt idx="166">
                  <c:v>0.837463953860942</c:v>
                </c:pt>
                <c:pt idx="167">
                  <c:v>0.920537901990812</c:v>
                </c:pt>
                <c:pt idx="168">
                  <c:v>0.849981785063752</c:v>
                </c:pt>
                <c:pt idx="169">
                  <c:v>0.806179442508711</c:v>
                </c:pt>
                <c:pt idx="170">
                  <c:v>0.822614902506964</c:v>
                </c:pt>
                <c:pt idx="171">
                  <c:v>0.878838028169014</c:v>
                </c:pt>
                <c:pt idx="172">
                  <c:v>0.939570358691368</c:v>
                </c:pt>
                <c:pt idx="173">
                  <c:v>0.886892043332088</c:v>
                </c:pt>
                <c:pt idx="174">
                  <c:v>0.820899799233437</c:v>
                </c:pt>
                <c:pt idx="175">
                  <c:v>0.846044520547945</c:v>
                </c:pt>
                <c:pt idx="176">
                  <c:v>0.791686650679456</c:v>
                </c:pt>
                <c:pt idx="177">
                  <c:v>0.822066962760506</c:v>
                </c:pt>
                <c:pt idx="178">
                  <c:v>0.704906203368152</c:v>
                </c:pt>
                <c:pt idx="179">
                  <c:v>0.623374088153704</c:v>
                </c:pt>
                <c:pt idx="180">
                  <c:v>0.67506160057977</c:v>
                </c:pt>
                <c:pt idx="181">
                  <c:v>0.729455081001473</c:v>
                </c:pt>
                <c:pt idx="182">
                  <c:v>0.829794729946135</c:v>
                </c:pt>
                <c:pt idx="183">
                  <c:v>0.862631178707224</c:v>
                </c:pt>
                <c:pt idx="184">
                  <c:v>0.853875154511743</c:v>
                </c:pt>
                <c:pt idx="185">
                  <c:v>0.834560433937161</c:v>
                </c:pt>
                <c:pt idx="186">
                  <c:v>0.780092823991432</c:v>
                </c:pt>
                <c:pt idx="187">
                  <c:v>0.745459207459207</c:v>
                </c:pt>
                <c:pt idx="188">
                  <c:v>0.946696254863813</c:v>
                </c:pt>
                <c:pt idx="189">
                  <c:v>0.88056689079527</c:v>
                </c:pt>
                <c:pt idx="190">
                  <c:v>0.866963539902924</c:v>
                </c:pt>
                <c:pt idx="191">
                  <c:v>0.951393044491937</c:v>
                </c:pt>
                <c:pt idx="192">
                  <c:v>1.09090383444918</c:v>
                </c:pt>
                <c:pt idx="193">
                  <c:v>1.07670281359906</c:v>
                </c:pt>
                <c:pt idx="194">
                  <c:v>1.08261710133645</c:v>
                </c:pt>
                <c:pt idx="195">
                  <c:v>0.801253140703518</c:v>
                </c:pt>
                <c:pt idx="196">
                  <c:v>1.01081811263318</c:v>
                </c:pt>
                <c:pt idx="197">
                  <c:v>0.99983884184649</c:v>
                </c:pt>
                <c:pt idx="198">
                  <c:v>0.94840938057609</c:v>
                </c:pt>
                <c:pt idx="199">
                  <c:v>0.933066732697784</c:v>
                </c:pt>
                <c:pt idx="200">
                  <c:v>0.98562614379085</c:v>
                </c:pt>
                <c:pt idx="201">
                  <c:v>0.97934440669435</c:v>
                </c:pt>
                <c:pt idx="202">
                  <c:v>1.04421435567371</c:v>
                </c:pt>
                <c:pt idx="203">
                  <c:v>1.11823067028727</c:v>
                </c:pt>
                <c:pt idx="204">
                  <c:v>1.11423357664234</c:v>
                </c:pt>
                <c:pt idx="205">
                  <c:v>0.997725640411779</c:v>
                </c:pt>
                <c:pt idx="206">
                  <c:v>0.996118472330475</c:v>
                </c:pt>
                <c:pt idx="207">
                  <c:v>1.19242096505824</c:v>
                </c:pt>
                <c:pt idx="208">
                  <c:v>1.3207796193984</c:v>
                </c:pt>
                <c:pt idx="209">
                  <c:v>1.06282948448799</c:v>
                </c:pt>
                <c:pt idx="210">
                  <c:v>1.31605874757908</c:v>
                </c:pt>
                <c:pt idx="211">
                  <c:v>1.24434810533076</c:v>
                </c:pt>
                <c:pt idx="212">
                  <c:v>1.21974199288256</c:v>
                </c:pt>
                <c:pt idx="213">
                  <c:v>1.24481034482759</c:v>
                </c:pt>
                <c:pt idx="214">
                  <c:v>1.19404130702836</c:v>
                </c:pt>
                <c:pt idx="215">
                  <c:v>1.19243174603175</c:v>
                </c:pt>
                <c:pt idx="216">
                  <c:v>1.13207623179424</c:v>
                </c:pt>
                <c:pt idx="217">
                  <c:v>0.997977285018929</c:v>
                </c:pt>
                <c:pt idx="218">
                  <c:v>1.12081474873625</c:v>
                </c:pt>
                <c:pt idx="219">
                  <c:v>1.06019993751953</c:v>
                </c:pt>
                <c:pt idx="220">
                  <c:v>0.964249291784702</c:v>
                </c:pt>
                <c:pt idx="221">
                  <c:v>1.21175381617408</c:v>
                </c:pt>
                <c:pt idx="222">
                  <c:v>1.12401927047488</c:v>
                </c:pt>
                <c:pt idx="223">
                  <c:v>1.11375</c:v>
                </c:pt>
                <c:pt idx="224">
                  <c:v>1.23956233021431</c:v>
                </c:pt>
                <c:pt idx="225">
                  <c:v>1.16397108581975</c:v>
                </c:pt>
                <c:pt idx="226">
                  <c:v>0.95618018967334</c:v>
                </c:pt>
                <c:pt idx="227">
                  <c:v>1.50330212630911</c:v>
                </c:pt>
                <c:pt idx="228">
                  <c:v>0.983639490346283</c:v>
                </c:pt>
                <c:pt idx="229">
                  <c:v>1.19104843730544</c:v>
                </c:pt>
                <c:pt idx="230">
                  <c:v>1.42464987289115</c:v>
                </c:pt>
                <c:pt idx="231">
                  <c:v>1.61127298733143</c:v>
                </c:pt>
                <c:pt idx="232">
                  <c:v>1.38175026014568</c:v>
                </c:pt>
                <c:pt idx="233">
                  <c:v>1.31225005398402</c:v>
                </c:pt>
                <c:pt idx="234">
                  <c:v>1.72484827506634</c:v>
                </c:pt>
                <c:pt idx="235">
                  <c:v>1.15380675868634</c:v>
                </c:pt>
                <c:pt idx="236">
                  <c:v>1.08192367601246</c:v>
                </c:pt>
                <c:pt idx="237">
                  <c:v>0.868096112866486</c:v>
                </c:pt>
                <c:pt idx="238">
                  <c:v>0.920976341446785</c:v>
                </c:pt>
                <c:pt idx="239">
                  <c:v>0.938837857199713</c:v>
                </c:pt>
                <c:pt idx="240">
                  <c:v>0.943063786650031</c:v>
                </c:pt>
                <c:pt idx="241">
                  <c:v>1.01190661770217</c:v>
                </c:pt>
                <c:pt idx="242">
                  <c:v>1.21321755485893</c:v>
                </c:pt>
                <c:pt idx="243">
                  <c:v>1.2103722826087</c:v>
                </c:pt>
                <c:pt idx="244">
                  <c:v>1.4441731134141</c:v>
                </c:pt>
                <c:pt idx="245">
                  <c:v>1.19236931208192</c:v>
                </c:pt>
                <c:pt idx="246">
                  <c:v>1.21453715646394</c:v>
                </c:pt>
                <c:pt idx="247">
                  <c:v>1.03540171638741</c:v>
                </c:pt>
                <c:pt idx="248">
                  <c:v>1.05518000573723</c:v>
                </c:pt>
                <c:pt idx="249">
                  <c:v>1.1211117877338</c:v>
                </c:pt>
                <c:pt idx="250">
                  <c:v>0.862449457758736</c:v>
                </c:pt>
                <c:pt idx="251">
                  <c:v>0.837409404013178</c:v>
                </c:pt>
                <c:pt idx="252">
                  <c:v>1.03789458237953</c:v>
                </c:pt>
                <c:pt idx="253">
                  <c:v>1.1559384272997</c:v>
                </c:pt>
                <c:pt idx="254">
                  <c:v>1.21347812180143</c:v>
                </c:pt>
                <c:pt idx="255">
                  <c:v>1.49828599115741</c:v>
                </c:pt>
                <c:pt idx="256">
                  <c:v>1.05404149377593</c:v>
                </c:pt>
                <c:pt idx="257">
                  <c:v>1.07858383871496</c:v>
                </c:pt>
                <c:pt idx="258">
                  <c:v>0.799147459039156</c:v>
                </c:pt>
                <c:pt idx="259">
                  <c:v>1.1411749290238</c:v>
                </c:pt>
                <c:pt idx="260">
                  <c:v>1.08009546539379</c:v>
                </c:pt>
                <c:pt idx="261">
                  <c:v>1.11443109987358</c:v>
                </c:pt>
                <c:pt idx="262">
                  <c:v>1.01686940966011</c:v>
                </c:pt>
                <c:pt idx="263">
                  <c:v>1.12157906215921</c:v>
                </c:pt>
                <c:pt idx="264">
                  <c:v>0.782793347705574</c:v>
                </c:pt>
                <c:pt idx="265">
                  <c:v>0.873676849466323</c:v>
                </c:pt>
                <c:pt idx="266">
                  <c:v>0.808635223281485</c:v>
                </c:pt>
                <c:pt idx="267">
                  <c:v>0.732031099711446</c:v>
                </c:pt>
                <c:pt idx="268">
                  <c:v>0.713243727598566</c:v>
                </c:pt>
                <c:pt idx="269">
                  <c:v>0.810334634690463</c:v>
                </c:pt>
                <c:pt idx="270">
                  <c:v>0.677905229702398</c:v>
                </c:pt>
                <c:pt idx="271">
                  <c:v>0.708031210592686</c:v>
                </c:pt>
                <c:pt idx="272">
                  <c:v>0.951914078257362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81776000"/>
        <c:axId val="81663104"/>
      </c:lineChart>
      <c:dateAx>
        <c:axId val="81776000"/>
        <c:scaling>
          <c:orientation val="minMax"/>
        </c:scaling>
        <c:delete val="0"/>
        <c:axPos val="b"/>
        <c:numFmt formatCode="yyyy/m/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663104"/>
        <c:crosses val="autoZero"/>
        <c:auto val="1"/>
        <c:lblOffset val="100"/>
        <c:baseTimeUnit val="days"/>
      </c:dateAx>
      <c:valAx>
        <c:axId val="8166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77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61b2860-8eae-40d6-a0e3-aafa014dbf4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04891304347826"/>
          <c:y val="0.0665307162885547"/>
          <c:w val="0.957658102766801"/>
          <c:h val="0.719780780015294"/>
        </c:manualLayout>
      </c:layout>
      <c:lineChart>
        <c:grouping val="standard"/>
        <c:varyColors val="0"/>
        <c:ser>
          <c:idx val="0"/>
          <c:order val="0"/>
          <c:tx>
            <c:strRef>
              <c:f>"花费"</c:f>
              <c:strCache>
                <c:ptCount val="1"/>
                <c:pt idx="0">
                  <c:v>花费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'阿里妈妈Raw Data'!$A$456:$A$638</c:f>
              <c:numCache>
                <c:formatCode>yyyy/m/d;@</c:formatCode>
                <c:ptCount val="183"/>
                <c:pt idx="0" c:formatCode="yyyy/m/d;@">
                  <c:v>45444</c:v>
                </c:pt>
                <c:pt idx="1" c:formatCode="yyyy/m/d;@">
                  <c:v>45445</c:v>
                </c:pt>
                <c:pt idx="2" c:formatCode="yyyy/m/d;@">
                  <c:v>45446</c:v>
                </c:pt>
                <c:pt idx="3" c:formatCode="yyyy/m/d;@">
                  <c:v>45447</c:v>
                </c:pt>
                <c:pt idx="4" c:formatCode="yyyy/m/d;@">
                  <c:v>45448</c:v>
                </c:pt>
                <c:pt idx="5" c:formatCode="yyyy/m/d;@">
                  <c:v>45449</c:v>
                </c:pt>
                <c:pt idx="6" c:formatCode="yyyy/m/d;@">
                  <c:v>45450</c:v>
                </c:pt>
                <c:pt idx="7" c:formatCode="yyyy/m/d;@">
                  <c:v>45451</c:v>
                </c:pt>
                <c:pt idx="8" c:formatCode="yyyy/m/d;@">
                  <c:v>45452</c:v>
                </c:pt>
                <c:pt idx="9" c:formatCode="yyyy/m/d;@">
                  <c:v>45453</c:v>
                </c:pt>
                <c:pt idx="10" c:formatCode="yyyy/m/d;@">
                  <c:v>45454</c:v>
                </c:pt>
                <c:pt idx="11" c:formatCode="yyyy/m/d;@">
                  <c:v>45455</c:v>
                </c:pt>
                <c:pt idx="12" c:formatCode="yyyy/m/d;@">
                  <c:v>45456</c:v>
                </c:pt>
                <c:pt idx="13" c:formatCode="yyyy/m/d;@">
                  <c:v>45457</c:v>
                </c:pt>
                <c:pt idx="14" c:formatCode="yyyy/m/d;@">
                  <c:v>45458</c:v>
                </c:pt>
                <c:pt idx="15" c:formatCode="yyyy/m/d;@">
                  <c:v>45459</c:v>
                </c:pt>
                <c:pt idx="16" c:formatCode="yyyy/m/d;@">
                  <c:v>45460</c:v>
                </c:pt>
                <c:pt idx="17" c:formatCode="yyyy/m/d;@">
                  <c:v>45461</c:v>
                </c:pt>
                <c:pt idx="18" c:formatCode="yyyy/m/d;@">
                  <c:v>45462</c:v>
                </c:pt>
                <c:pt idx="19" c:formatCode="yyyy/m/d;@">
                  <c:v>45463</c:v>
                </c:pt>
                <c:pt idx="20" c:formatCode="yyyy/m/d;@">
                  <c:v>45464</c:v>
                </c:pt>
                <c:pt idx="21" c:formatCode="yyyy/m/d;@">
                  <c:v>45465</c:v>
                </c:pt>
                <c:pt idx="22" c:formatCode="yyyy/m/d;@">
                  <c:v>45466</c:v>
                </c:pt>
                <c:pt idx="23" c:formatCode="yyyy/m/d;@">
                  <c:v>45467</c:v>
                </c:pt>
                <c:pt idx="24" c:formatCode="yyyy/m/d;@">
                  <c:v>45468</c:v>
                </c:pt>
                <c:pt idx="25" c:formatCode="yyyy/m/d;@">
                  <c:v>45469</c:v>
                </c:pt>
                <c:pt idx="26" c:formatCode="yyyy/m/d;@">
                  <c:v>45470</c:v>
                </c:pt>
                <c:pt idx="27" c:formatCode="yyyy/m/d;@">
                  <c:v>45471</c:v>
                </c:pt>
                <c:pt idx="28" c:formatCode="yyyy/m/d;@">
                  <c:v>45472</c:v>
                </c:pt>
                <c:pt idx="29" c:formatCode="yyyy/m/d;@">
                  <c:v>45473</c:v>
                </c:pt>
                <c:pt idx="30" c:formatCode="yyyy/m/d;@">
                  <c:v>45474</c:v>
                </c:pt>
                <c:pt idx="31" c:formatCode="yyyy/m/d;@">
                  <c:v>45475</c:v>
                </c:pt>
                <c:pt idx="32" c:formatCode="yyyy/m/d;@">
                  <c:v>45476</c:v>
                </c:pt>
                <c:pt idx="33" c:formatCode="yyyy/m/d;@">
                  <c:v>45477</c:v>
                </c:pt>
                <c:pt idx="34" c:formatCode="yyyy/m/d;@">
                  <c:v>45478</c:v>
                </c:pt>
                <c:pt idx="35" c:formatCode="yyyy/m/d;@">
                  <c:v>45479</c:v>
                </c:pt>
                <c:pt idx="36" c:formatCode="yyyy/m/d;@">
                  <c:v>45480</c:v>
                </c:pt>
                <c:pt idx="37" c:formatCode="yyyy/m/d;@">
                  <c:v>45481</c:v>
                </c:pt>
                <c:pt idx="38" c:formatCode="yyyy/m/d;@">
                  <c:v>45482</c:v>
                </c:pt>
                <c:pt idx="39" c:formatCode="yyyy/m/d;@">
                  <c:v>45483</c:v>
                </c:pt>
                <c:pt idx="40" c:formatCode="yyyy/m/d;@">
                  <c:v>45484</c:v>
                </c:pt>
                <c:pt idx="41" c:formatCode="yyyy/m/d;@">
                  <c:v>45485</c:v>
                </c:pt>
                <c:pt idx="42" c:formatCode="yyyy/m/d;@">
                  <c:v>45486</c:v>
                </c:pt>
                <c:pt idx="43" c:formatCode="yyyy/m/d;@">
                  <c:v>45487</c:v>
                </c:pt>
                <c:pt idx="44" c:formatCode="yyyy/m/d;@">
                  <c:v>45488</c:v>
                </c:pt>
                <c:pt idx="45" c:formatCode="yyyy/m/d;@">
                  <c:v>45489</c:v>
                </c:pt>
                <c:pt idx="46" c:formatCode="yyyy/m/d;@">
                  <c:v>45490</c:v>
                </c:pt>
                <c:pt idx="47" c:formatCode="yyyy/m/d;@">
                  <c:v>45491</c:v>
                </c:pt>
                <c:pt idx="48" c:formatCode="yyyy/m/d;@">
                  <c:v>45492</c:v>
                </c:pt>
                <c:pt idx="49" c:formatCode="yyyy/m/d;@">
                  <c:v>45493</c:v>
                </c:pt>
                <c:pt idx="50" c:formatCode="yyyy/m/d;@">
                  <c:v>45494</c:v>
                </c:pt>
                <c:pt idx="51" c:formatCode="yyyy/m/d;@">
                  <c:v>45495</c:v>
                </c:pt>
                <c:pt idx="52" c:formatCode="yyyy/m/d;@">
                  <c:v>45496</c:v>
                </c:pt>
                <c:pt idx="53" c:formatCode="yyyy/m/d;@">
                  <c:v>45497</c:v>
                </c:pt>
                <c:pt idx="54" c:formatCode="yyyy/m/d;@">
                  <c:v>45498</c:v>
                </c:pt>
                <c:pt idx="55" c:formatCode="yyyy/m/d;@">
                  <c:v>45499</c:v>
                </c:pt>
                <c:pt idx="56" c:formatCode="yyyy/m/d;@">
                  <c:v>45500</c:v>
                </c:pt>
                <c:pt idx="57" c:formatCode="yyyy/m/d;@">
                  <c:v>45501</c:v>
                </c:pt>
                <c:pt idx="58" c:formatCode="yyyy/m/d;@">
                  <c:v>45502</c:v>
                </c:pt>
                <c:pt idx="59" c:formatCode="yyyy/m/d;@">
                  <c:v>45503</c:v>
                </c:pt>
                <c:pt idx="60" c:formatCode="yyyy/m/d;@">
                  <c:v>45504</c:v>
                </c:pt>
                <c:pt idx="61" c:formatCode="yyyy/m/d;@">
                  <c:v>45505</c:v>
                </c:pt>
                <c:pt idx="62" c:formatCode="yyyy/m/d;@">
                  <c:v>45506</c:v>
                </c:pt>
                <c:pt idx="63" c:formatCode="yyyy/m/d;@">
                  <c:v>45507</c:v>
                </c:pt>
                <c:pt idx="64" c:formatCode="yyyy/m/d;@">
                  <c:v>45508</c:v>
                </c:pt>
                <c:pt idx="65" c:formatCode="yyyy/m/d;@">
                  <c:v>45509</c:v>
                </c:pt>
                <c:pt idx="66" c:formatCode="yyyy/m/d;@">
                  <c:v>45510</c:v>
                </c:pt>
                <c:pt idx="67" c:formatCode="yyyy/m/d;@">
                  <c:v>45511</c:v>
                </c:pt>
                <c:pt idx="68" c:formatCode="yyyy/m/d;@">
                  <c:v>45512</c:v>
                </c:pt>
                <c:pt idx="69" c:formatCode="yyyy/m/d;@">
                  <c:v>45513</c:v>
                </c:pt>
                <c:pt idx="70" c:formatCode="yyyy/m/d;@">
                  <c:v>45514</c:v>
                </c:pt>
                <c:pt idx="71" c:formatCode="yyyy/m/d;@">
                  <c:v>45515</c:v>
                </c:pt>
                <c:pt idx="72" c:formatCode="yyyy/m/d;@">
                  <c:v>45516</c:v>
                </c:pt>
                <c:pt idx="73" c:formatCode="yyyy/m/d;@">
                  <c:v>45517</c:v>
                </c:pt>
                <c:pt idx="74" c:formatCode="yyyy/m/d;@">
                  <c:v>45518</c:v>
                </c:pt>
                <c:pt idx="75" c:formatCode="yyyy/m/d;@">
                  <c:v>45519</c:v>
                </c:pt>
                <c:pt idx="76" c:formatCode="yyyy/m/d;@">
                  <c:v>45520</c:v>
                </c:pt>
                <c:pt idx="77" c:formatCode="yyyy/m/d;@">
                  <c:v>45521</c:v>
                </c:pt>
                <c:pt idx="78" c:formatCode="yyyy/m/d;@">
                  <c:v>45522</c:v>
                </c:pt>
                <c:pt idx="79" c:formatCode="yyyy/m/d;@">
                  <c:v>45523</c:v>
                </c:pt>
                <c:pt idx="80" c:formatCode="yyyy/m/d;@">
                  <c:v>45524</c:v>
                </c:pt>
                <c:pt idx="81" c:formatCode="yyyy/m/d;@">
                  <c:v>45525</c:v>
                </c:pt>
                <c:pt idx="82" c:formatCode="yyyy/m/d;@">
                  <c:v>45526</c:v>
                </c:pt>
                <c:pt idx="83" c:formatCode="yyyy/m/d;@">
                  <c:v>45527</c:v>
                </c:pt>
                <c:pt idx="84" c:formatCode="yyyy/m/d;@">
                  <c:v>45528</c:v>
                </c:pt>
                <c:pt idx="85" c:formatCode="yyyy/m/d;@">
                  <c:v>45529</c:v>
                </c:pt>
                <c:pt idx="86" c:formatCode="yyyy/m/d;@">
                  <c:v>45530</c:v>
                </c:pt>
                <c:pt idx="87" c:formatCode="yyyy/m/d;@">
                  <c:v>45531</c:v>
                </c:pt>
                <c:pt idx="88" c:formatCode="yyyy/m/d;@">
                  <c:v>45532</c:v>
                </c:pt>
                <c:pt idx="89" c:formatCode="yyyy/m/d;@">
                  <c:v>45533</c:v>
                </c:pt>
                <c:pt idx="90" c:formatCode="yyyy/m/d;@">
                  <c:v>45534</c:v>
                </c:pt>
                <c:pt idx="91" c:formatCode="yyyy/m/d;@">
                  <c:v>45535</c:v>
                </c:pt>
                <c:pt idx="92" c:formatCode="yyyy/m/d;@">
                  <c:v>45536</c:v>
                </c:pt>
                <c:pt idx="93" c:formatCode="yyyy/m/d;@">
                  <c:v>45537</c:v>
                </c:pt>
                <c:pt idx="94" c:formatCode="yyyy/m/d;@">
                  <c:v>45538</c:v>
                </c:pt>
                <c:pt idx="95" c:formatCode="yyyy/m/d;@">
                  <c:v>45539</c:v>
                </c:pt>
                <c:pt idx="96" c:formatCode="yyyy/m/d;@">
                  <c:v>45540</c:v>
                </c:pt>
                <c:pt idx="97" c:formatCode="yyyy/m/d;@">
                  <c:v>45541</c:v>
                </c:pt>
                <c:pt idx="98" c:formatCode="yyyy/m/d;@">
                  <c:v>45542</c:v>
                </c:pt>
                <c:pt idx="99" c:formatCode="yyyy/m/d;@">
                  <c:v>45543</c:v>
                </c:pt>
                <c:pt idx="100" c:formatCode="yyyy/m/d;@">
                  <c:v>45544</c:v>
                </c:pt>
                <c:pt idx="101" c:formatCode="yyyy/m/d;@">
                  <c:v>45545</c:v>
                </c:pt>
                <c:pt idx="102" c:formatCode="yyyy/m/d;@">
                  <c:v>45546</c:v>
                </c:pt>
                <c:pt idx="103" c:formatCode="yyyy/m/d;@">
                  <c:v>45547</c:v>
                </c:pt>
                <c:pt idx="104" c:formatCode="yyyy/m/d;@">
                  <c:v>45548</c:v>
                </c:pt>
                <c:pt idx="105" c:formatCode="yyyy/m/d;@">
                  <c:v>45549</c:v>
                </c:pt>
                <c:pt idx="106" c:formatCode="yyyy/m/d;@">
                  <c:v>45550</c:v>
                </c:pt>
                <c:pt idx="107" c:formatCode="yyyy/m/d;@">
                  <c:v>45551</c:v>
                </c:pt>
                <c:pt idx="108" c:formatCode="yyyy/m/d;@">
                  <c:v>45552</c:v>
                </c:pt>
                <c:pt idx="109" c:formatCode="yyyy/m/d;@">
                  <c:v>45553</c:v>
                </c:pt>
                <c:pt idx="110" c:formatCode="yyyy/m/d;@">
                  <c:v>45554</c:v>
                </c:pt>
                <c:pt idx="111" c:formatCode="yyyy/m/d;@">
                  <c:v>45555</c:v>
                </c:pt>
                <c:pt idx="112" c:formatCode="yyyy/m/d;@">
                  <c:v>45556</c:v>
                </c:pt>
                <c:pt idx="113" c:formatCode="yyyy/m/d;@">
                  <c:v>45557</c:v>
                </c:pt>
                <c:pt idx="114" c:formatCode="yyyy/m/d;@">
                  <c:v>45558</c:v>
                </c:pt>
                <c:pt idx="115" c:formatCode="yyyy/m/d;@">
                  <c:v>45559</c:v>
                </c:pt>
                <c:pt idx="116" c:formatCode="yyyy/m/d;@">
                  <c:v>45560</c:v>
                </c:pt>
                <c:pt idx="117" c:formatCode="yyyy/m/d;@">
                  <c:v>45561</c:v>
                </c:pt>
                <c:pt idx="118" c:formatCode="yyyy/m/d;@">
                  <c:v>45562</c:v>
                </c:pt>
                <c:pt idx="119" c:formatCode="yyyy/m/d;@">
                  <c:v>45563</c:v>
                </c:pt>
                <c:pt idx="120" c:formatCode="yyyy/m/d;@">
                  <c:v>45564</c:v>
                </c:pt>
                <c:pt idx="121" c:formatCode="yyyy/m/d;@">
                  <c:v>45565</c:v>
                </c:pt>
                <c:pt idx="122" c:formatCode="yyyy/m/d;@">
                  <c:v>45566</c:v>
                </c:pt>
                <c:pt idx="123" c:formatCode="yyyy/m/d;@">
                  <c:v>45567</c:v>
                </c:pt>
                <c:pt idx="124" c:formatCode="yyyy/m/d;@">
                  <c:v>45568</c:v>
                </c:pt>
                <c:pt idx="125" c:formatCode="yyyy/m/d;@">
                  <c:v>45569</c:v>
                </c:pt>
                <c:pt idx="126" c:formatCode="yyyy/m/d;@">
                  <c:v>45570</c:v>
                </c:pt>
                <c:pt idx="127" c:formatCode="yyyy/m/d;@">
                  <c:v>45571</c:v>
                </c:pt>
                <c:pt idx="128" c:formatCode="yyyy/m/d;@">
                  <c:v>45572</c:v>
                </c:pt>
                <c:pt idx="129" c:formatCode="yyyy/m/d;@">
                  <c:v>45573</c:v>
                </c:pt>
                <c:pt idx="130" c:formatCode="yyyy/m/d;@">
                  <c:v>45574</c:v>
                </c:pt>
                <c:pt idx="131" c:formatCode="yyyy/m/d;@">
                  <c:v>45575</c:v>
                </c:pt>
                <c:pt idx="132" c:formatCode="yyyy/m/d;@">
                  <c:v>45576</c:v>
                </c:pt>
                <c:pt idx="133" c:formatCode="yyyy/m/d;@">
                  <c:v>45577</c:v>
                </c:pt>
                <c:pt idx="134" c:formatCode="yyyy/m/d;@">
                  <c:v>45578</c:v>
                </c:pt>
                <c:pt idx="135" c:formatCode="yyyy/m/d;@">
                  <c:v>45579</c:v>
                </c:pt>
                <c:pt idx="136" c:formatCode="yyyy/m/d;@">
                  <c:v>45580</c:v>
                </c:pt>
                <c:pt idx="137" c:formatCode="yyyy/m/d;@">
                  <c:v>45581</c:v>
                </c:pt>
                <c:pt idx="138" c:formatCode="yyyy/m/d;@">
                  <c:v>45582</c:v>
                </c:pt>
                <c:pt idx="139" c:formatCode="yyyy/m/d;@">
                  <c:v>45583</c:v>
                </c:pt>
                <c:pt idx="140" c:formatCode="yyyy/m/d;@">
                  <c:v>45584</c:v>
                </c:pt>
                <c:pt idx="141" c:formatCode="yyyy/m/d;@">
                  <c:v>45585</c:v>
                </c:pt>
                <c:pt idx="142" c:formatCode="yyyy/m/d;@">
                  <c:v>45586</c:v>
                </c:pt>
                <c:pt idx="143" c:formatCode="yyyy/m/d;@">
                  <c:v>45587</c:v>
                </c:pt>
                <c:pt idx="144" c:formatCode="yyyy/m/d;@">
                  <c:v>45588</c:v>
                </c:pt>
                <c:pt idx="145" c:formatCode="yyyy/m/d;@">
                  <c:v>45589</c:v>
                </c:pt>
                <c:pt idx="146" c:formatCode="yyyy/m/d;@">
                  <c:v>45590</c:v>
                </c:pt>
                <c:pt idx="147" c:formatCode="yyyy/m/d;@">
                  <c:v>45591</c:v>
                </c:pt>
                <c:pt idx="148" c:formatCode="yyyy/m/d;@">
                  <c:v>45592</c:v>
                </c:pt>
                <c:pt idx="149" c:formatCode="yyyy/m/d;@">
                  <c:v>45593</c:v>
                </c:pt>
                <c:pt idx="150" c:formatCode="yyyy/m/d;@">
                  <c:v>45594</c:v>
                </c:pt>
                <c:pt idx="151" c:formatCode="yyyy/m/d;@">
                  <c:v>45595</c:v>
                </c:pt>
                <c:pt idx="152" c:formatCode="yyyy/m/d;@">
                  <c:v>45596</c:v>
                </c:pt>
                <c:pt idx="153" c:formatCode="yyyy/m/d;@">
                  <c:v>45597</c:v>
                </c:pt>
                <c:pt idx="154" c:formatCode="yyyy/m/d;@">
                  <c:v>45598</c:v>
                </c:pt>
                <c:pt idx="155" c:formatCode="yyyy/m/d;@">
                  <c:v>45599</c:v>
                </c:pt>
                <c:pt idx="156" c:formatCode="yyyy/m/d;@">
                  <c:v>45600</c:v>
                </c:pt>
                <c:pt idx="157" c:formatCode="yyyy/m/d;@">
                  <c:v>45601</c:v>
                </c:pt>
                <c:pt idx="158" c:formatCode="yyyy/m/d;@">
                  <c:v>45602</c:v>
                </c:pt>
                <c:pt idx="159" c:formatCode="yyyy/m/d;@">
                  <c:v>45603</c:v>
                </c:pt>
                <c:pt idx="160" c:formatCode="yyyy/m/d;@">
                  <c:v>45604</c:v>
                </c:pt>
                <c:pt idx="161" c:formatCode="yyyy/m/d;@">
                  <c:v>45605</c:v>
                </c:pt>
                <c:pt idx="162" c:formatCode="yyyy/m/d;@">
                  <c:v>45606</c:v>
                </c:pt>
                <c:pt idx="163" c:formatCode="yyyy/m/d;@">
                  <c:v>45607</c:v>
                </c:pt>
                <c:pt idx="164" c:formatCode="yyyy/m/d;@">
                  <c:v>45608</c:v>
                </c:pt>
                <c:pt idx="165" c:formatCode="yyyy/m/d;@">
                  <c:v>45609</c:v>
                </c:pt>
                <c:pt idx="166" c:formatCode="yyyy/m/d;@">
                  <c:v>45610</c:v>
                </c:pt>
                <c:pt idx="167" c:formatCode="yyyy/m/d;@">
                  <c:v>45611</c:v>
                </c:pt>
                <c:pt idx="168" c:formatCode="yyyy/m/d;@">
                  <c:v>45612</c:v>
                </c:pt>
                <c:pt idx="169" c:formatCode="yyyy/m/d;@">
                  <c:v>45613</c:v>
                </c:pt>
                <c:pt idx="170" c:formatCode="yyyy/m/d;@">
                  <c:v>45614</c:v>
                </c:pt>
                <c:pt idx="171" c:formatCode="yyyy/m/d;@">
                  <c:v>45615</c:v>
                </c:pt>
                <c:pt idx="172" c:formatCode="yyyy/m/d;@">
                  <c:v>45616</c:v>
                </c:pt>
                <c:pt idx="173" c:formatCode="yyyy/m/d;@">
                  <c:v>45617</c:v>
                </c:pt>
                <c:pt idx="174" c:formatCode="yyyy/m/d;@">
                  <c:v>45618</c:v>
                </c:pt>
                <c:pt idx="175" c:formatCode="yyyy/m/d;@">
                  <c:v>45619</c:v>
                </c:pt>
                <c:pt idx="176" c:formatCode="yyyy/m/d;@">
                  <c:v>45620</c:v>
                </c:pt>
                <c:pt idx="177" c:formatCode="yyyy/m/d;@">
                  <c:v>45621</c:v>
                </c:pt>
                <c:pt idx="178" c:formatCode="yyyy/m/d;@">
                  <c:v>45622</c:v>
                </c:pt>
                <c:pt idx="179" c:formatCode="yyyy/m/d;@">
                  <c:v>45623</c:v>
                </c:pt>
                <c:pt idx="180" c:formatCode="yyyy/m/d;@">
                  <c:v>45624</c:v>
                </c:pt>
                <c:pt idx="181" c:formatCode="yyyy/m/d;@">
                  <c:v>45625</c:v>
                </c:pt>
                <c:pt idx="182" c:formatCode="yyyy/m/d;@">
                  <c:v>45626</c:v>
                </c:pt>
              </c:numCache>
            </c:numRef>
          </c:cat>
          <c:val>
            <c:numRef>
              <c:f>'阿里妈妈Raw Data'!$AB$456:$AB$638</c:f>
              <c:numCache>
                <c:formatCode>0_);[Red]\(0\)</c:formatCode>
                <c:ptCount val="183"/>
                <c:pt idx="0">
                  <c:v>8898.57</c:v>
                </c:pt>
                <c:pt idx="1">
                  <c:v>9192.4</c:v>
                </c:pt>
                <c:pt idx="2">
                  <c:v>9926.89</c:v>
                </c:pt>
                <c:pt idx="3">
                  <c:v>8967.57</c:v>
                </c:pt>
                <c:pt idx="4">
                  <c:v>7870.74</c:v>
                </c:pt>
                <c:pt idx="5">
                  <c:v>6255.09</c:v>
                </c:pt>
                <c:pt idx="6">
                  <c:v>5671.88</c:v>
                </c:pt>
                <c:pt idx="7">
                  <c:v>6182.1</c:v>
                </c:pt>
                <c:pt idx="8">
                  <c:v>6127.98</c:v>
                </c:pt>
                <c:pt idx="9">
                  <c:v>6177.11</c:v>
                </c:pt>
                <c:pt idx="10">
                  <c:v>7208.81</c:v>
                </c:pt>
                <c:pt idx="11">
                  <c:v>7247.99</c:v>
                </c:pt>
                <c:pt idx="12">
                  <c:v>6193.76</c:v>
                </c:pt>
                <c:pt idx="13">
                  <c:v>6286.21</c:v>
                </c:pt>
                <c:pt idx="14">
                  <c:v>8367.56</c:v>
                </c:pt>
                <c:pt idx="15">
                  <c:v>8434.52</c:v>
                </c:pt>
                <c:pt idx="16">
                  <c:v>10966.57</c:v>
                </c:pt>
                <c:pt idx="17">
                  <c:v>11746.58</c:v>
                </c:pt>
                <c:pt idx="18">
                  <c:v>8801.06</c:v>
                </c:pt>
                <c:pt idx="19">
                  <c:v>9583.75</c:v>
                </c:pt>
                <c:pt idx="20">
                  <c:v>6732.85</c:v>
                </c:pt>
                <c:pt idx="21">
                  <c:v>5858.78</c:v>
                </c:pt>
                <c:pt idx="22">
                  <c:v>6261.3</c:v>
                </c:pt>
                <c:pt idx="23">
                  <c:v>8175</c:v>
                </c:pt>
                <c:pt idx="24">
                  <c:v>8580.86</c:v>
                </c:pt>
                <c:pt idx="25">
                  <c:v>9322.17</c:v>
                </c:pt>
                <c:pt idx="26">
                  <c:v>8288.6</c:v>
                </c:pt>
                <c:pt idx="27">
                  <c:v>8629.87</c:v>
                </c:pt>
                <c:pt idx="28">
                  <c:v>8963.17</c:v>
                </c:pt>
                <c:pt idx="29">
                  <c:v>9378.61</c:v>
                </c:pt>
                <c:pt idx="30">
                  <c:v>8481.28</c:v>
                </c:pt>
                <c:pt idx="31">
                  <c:v>7210.9</c:v>
                </c:pt>
                <c:pt idx="32">
                  <c:v>7084.22</c:v>
                </c:pt>
                <c:pt idx="33">
                  <c:v>5595.77</c:v>
                </c:pt>
                <c:pt idx="34">
                  <c:v>5680.48</c:v>
                </c:pt>
                <c:pt idx="35">
                  <c:v>5652.84</c:v>
                </c:pt>
                <c:pt idx="36">
                  <c:v>5658.5</c:v>
                </c:pt>
                <c:pt idx="37">
                  <c:v>5900.84</c:v>
                </c:pt>
                <c:pt idx="38">
                  <c:v>6103.97</c:v>
                </c:pt>
                <c:pt idx="39">
                  <c:v>6718.47</c:v>
                </c:pt>
                <c:pt idx="40">
                  <c:v>6128.77</c:v>
                </c:pt>
                <c:pt idx="41">
                  <c:v>6309.43</c:v>
                </c:pt>
                <c:pt idx="42">
                  <c:v>6771.4</c:v>
                </c:pt>
                <c:pt idx="43">
                  <c:v>6572.83</c:v>
                </c:pt>
                <c:pt idx="44">
                  <c:v>5761.81</c:v>
                </c:pt>
                <c:pt idx="45">
                  <c:v>5362.37</c:v>
                </c:pt>
                <c:pt idx="46">
                  <c:v>5065.86</c:v>
                </c:pt>
                <c:pt idx="47">
                  <c:v>5003.51</c:v>
                </c:pt>
                <c:pt idx="48">
                  <c:v>5008</c:v>
                </c:pt>
                <c:pt idx="49">
                  <c:v>5066.48</c:v>
                </c:pt>
                <c:pt idx="50">
                  <c:v>5832.57</c:v>
                </c:pt>
                <c:pt idx="51">
                  <c:v>5631.55</c:v>
                </c:pt>
                <c:pt idx="52">
                  <c:v>5043.18</c:v>
                </c:pt>
                <c:pt idx="53">
                  <c:v>5007.33</c:v>
                </c:pt>
                <c:pt idx="54">
                  <c:v>5027.04</c:v>
                </c:pt>
                <c:pt idx="55">
                  <c:v>4903.98</c:v>
                </c:pt>
                <c:pt idx="56">
                  <c:v>4856.15</c:v>
                </c:pt>
                <c:pt idx="57">
                  <c:v>4947.05</c:v>
                </c:pt>
                <c:pt idx="58">
                  <c:v>4908.98</c:v>
                </c:pt>
                <c:pt idx="59">
                  <c:v>3322.49</c:v>
                </c:pt>
                <c:pt idx="60">
                  <c:v>4111.24</c:v>
                </c:pt>
                <c:pt idx="61">
                  <c:v>4398.4</c:v>
                </c:pt>
                <c:pt idx="62">
                  <c:v>4452.52</c:v>
                </c:pt>
                <c:pt idx="63">
                  <c:v>4595.82</c:v>
                </c:pt>
                <c:pt idx="64">
                  <c:v>4426.41</c:v>
                </c:pt>
                <c:pt idx="65">
                  <c:v>5069.04</c:v>
                </c:pt>
                <c:pt idx="66">
                  <c:v>4676.5</c:v>
                </c:pt>
                <c:pt idx="67">
                  <c:v>4242.73</c:v>
                </c:pt>
                <c:pt idx="68">
                  <c:v>4213.8</c:v>
                </c:pt>
                <c:pt idx="69">
                  <c:v>4019.49</c:v>
                </c:pt>
                <c:pt idx="70">
                  <c:v>4178.22</c:v>
                </c:pt>
                <c:pt idx="71">
                  <c:v>4225.83</c:v>
                </c:pt>
                <c:pt idx="72">
                  <c:v>4249.75</c:v>
                </c:pt>
                <c:pt idx="73">
                  <c:v>4613.75</c:v>
                </c:pt>
                <c:pt idx="74">
                  <c:v>5227.45</c:v>
                </c:pt>
                <c:pt idx="75">
                  <c:v>4808.89</c:v>
                </c:pt>
                <c:pt idx="76">
                  <c:v>4666.4</c:v>
                </c:pt>
                <c:pt idx="77">
                  <c:v>4627.47</c:v>
                </c:pt>
                <c:pt idx="78">
                  <c:v>4725.1</c:v>
                </c:pt>
                <c:pt idx="79">
                  <c:v>4742.21</c:v>
                </c:pt>
                <c:pt idx="80">
                  <c:v>4767.38</c:v>
                </c:pt>
                <c:pt idx="81">
                  <c:v>4748.42</c:v>
                </c:pt>
                <c:pt idx="82">
                  <c:v>4497.71</c:v>
                </c:pt>
                <c:pt idx="83">
                  <c:v>4446.81</c:v>
                </c:pt>
                <c:pt idx="84">
                  <c:v>4952</c:v>
                </c:pt>
                <c:pt idx="85">
                  <c:v>4812.38</c:v>
                </c:pt>
                <c:pt idx="86">
                  <c:v>6613.43</c:v>
                </c:pt>
                <c:pt idx="87">
                  <c:v>6067.3</c:v>
                </c:pt>
                <c:pt idx="88">
                  <c:v>6520.42</c:v>
                </c:pt>
                <c:pt idx="89">
                  <c:v>5943.6</c:v>
                </c:pt>
                <c:pt idx="90">
                  <c:v>5699.86</c:v>
                </c:pt>
                <c:pt idx="91">
                  <c:v>7940.52</c:v>
                </c:pt>
                <c:pt idx="92">
                  <c:v>8289.42</c:v>
                </c:pt>
                <c:pt idx="93">
                  <c:v>8154.49</c:v>
                </c:pt>
                <c:pt idx="94">
                  <c:v>8740.16</c:v>
                </c:pt>
                <c:pt idx="95">
                  <c:v>7995.05</c:v>
                </c:pt>
                <c:pt idx="96">
                  <c:v>7785.63</c:v>
                </c:pt>
                <c:pt idx="97">
                  <c:v>7595.77</c:v>
                </c:pt>
                <c:pt idx="98">
                  <c:v>7680.43</c:v>
                </c:pt>
                <c:pt idx="99">
                  <c:v>4896.82</c:v>
                </c:pt>
                <c:pt idx="100">
                  <c:v>7169.42</c:v>
                </c:pt>
                <c:pt idx="101">
                  <c:v>7347.42</c:v>
                </c:pt>
                <c:pt idx="102">
                  <c:v>8343.73</c:v>
                </c:pt>
                <c:pt idx="103">
                  <c:v>7653.57</c:v>
                </c:pt>
                <c:pt idx="104">
                  <c:v>7969.29</c:v>
                </c:pt>
                <c:pt idx="105">
                  <c:v>7320.82</c:v>
                </c:pt>
                <c:pt idx="106">
                  <c:v>7441.22</c:v>
                </c:pt>
                <c:pt idx="107">
                  <c:v>7536.38</c:v>
                </c:pt>
                <c:pt idx="108">
                  <c:v>7540.04</c:v>
                </c:pt>
                <c:pt idx="109">
                  <c:v>7782.85</c:v>
                </c:pt>
                <c:pt idx="110">
                  <c:v>7463</c:v>
                </c:pt>
                <c:pt idx="111">
                  <c:v>7824.26</c:v>
                </c:pt>
                <c:pt idx="112">
                  <c:v>7632.5</c:v>
                </c:pt>
                <c:pt idx="113">
                  <c:v>4167.5</c:v>
                </c:pt>
                <c:pt idx="114">
                  <c:v>3834.06</c:v>
                </c:pt>
                <c:pt idx="115">
                  <c:v>4299.87</c:v>
                </c:pt>
                <c:pt idx="116">
                  <c:v>4303.1</c:v>
                </c:pt>
                <c:pt idx="117">
                  <c:v>4556.35</c:v>
                </c:pt>
                <c:pt idx="118">
                  <c:v>4077.15</c:v>
                </c:pt>
                <c:pt idx="119">
                  <c:v>3874.9</c:v>
                </c:pt>
                <c:pt idx="120">
                  <c:v>4112.97</c:v>
                </c:pt>
                <c:pt idx="121">
                  <c:v>3609.95</c:v>
                </c:pt>
                <c:pt idx="122">
                  <c:v>3873.47</c:v>
                </c:pt>
                <c:pt idx="123">
                  <c:v>3756.16</c:v>
                </c:pt>
                <c:pt idx="124">
                  <c:v>3653.21</c:v>
                </c:pt>
                <c:pt idx="125">
                  <c:v>3690.52</c:v>
                </c:pt>
                <c:pt idx="126">
                  <c:v>3769.3</c:v>
                </c:pt>
                <c:pt idx="127">
                  <c:v>3393.7</c:v>
                </c:pt>
                <c:pt idx="128">
                  <c:v>3403.8</c:v>
                </c:pt>
                <c:pt idx="129">
                  <c:v>3730.99</c:v>
                </c:pt>
                <c:pt idx="130">
                  <c:v>3266.4</c:v>
                </c:pt>
                <c:pt idx="131">
                  <c:v>3813.48</c:v>
                </c:pt>
                <c:pt idx="132">
                  <c:v>4106.67</c:v>
                </c:pt>
                <c:pt idx="133">
                  <c:v>3784.07</c:v>
                </c:pt>
                <c:pt idx="134">
                  <c:v>3629.66</c:v>
                </c:pt>
                <c:pt idx="135">
                  <c:v>9473.81</c:v>
                </c:pt>
                <c:pt idx="136">
                  <c:v>12583.7</c:v>
                </c:pt>
                <c:pt idx="137">
                  <c:v>9565.31</c:v>
                </c:pt>
                <c:pt idx="138">
                  <c:v>6164.46</c:v>
                </c:pt>
                <c:pt idx="139">
                  <c:v>7885.57</c:v>
                </c:pt>
                <c:pt idx="140">
                  <c:v>6639.31</c:v>
                </c:pt>
                <c:pt idx="141">
                  <c:v>6077.03</c:v>
                </c:pt>
                <c:pt idx="142">
                  <c:v>14949.26</c:v>
                </c:pt>
                <c:pt idx="143">
                  <c:v>12120.74</c:v>
                </c:pt>
                <c:pt idx="144">
                  <c:v>13891.9</c:v>
                </c:pt>
                <c:pt idx="145">
                  <c:v>11813.92</c:v>
                </c:pt>
                <c:pt idx="146">
                  <c:v>13507.96</c:v>
                </c:pt>
                <c:pt idx="147">
                  <c:v>11794.62</c:v>
                </c:pt>
                <c:pt idx="148">
                  <c:v>12093.85</c:v>
                </c:pt>
                <c:pt idx="149">
                  <c:v>13501.87</c:v>
                </c:pt>
                <c:pt idx="150">
                  <c:v>9675.41</c:v>
                </c:pt>
                <c:pt idx="151">
                  <c:v>8908.34</c:v>
                </c:pt>
                <c:pt idx="152">
                  <c:v>9894.03</c:v>
                </c:pt>
                <c:pt idx="153">
                  <c:v>14438.4</c:v>
                </c:pt>
                <c:pt idx="154">
                  <c:v>12241.32</c:v>
                </c:pt>
                <c:pt idx="155">
                  <c:v>12668.14</c:v>
                </c:pt>
                <c:pt idx="156">
                  <c:v>14713.43</c:v>
                </c:pt>
                <c:pt idx="157">
                  <c:v>12887.18</c:v>
                </c:pt>
                <c:pt idx="158">
                  <c:v>12883.27</c:v>
                </c:pt>
                <c:pt idx="159">
                  <c:v>13980.55</c:v>
                </c:pt>
                <c:pt idx="160">
                  <c:v>17682.61</c:v>
                </c:pt>
                <c:pt idx="161">
                  <c:v>18698.46</c:v>
                </c:pt>
                <c:pt idx="162">
                  <c:v>18969.09</c:v>
                </c:pt>
                <c:pt idx="163">
                  <c:v>24738.2</c:v>
                </c:pt>
                <c:pt idx="164">
                  <c:v>6350.6</c:v>
                </c:pt>
                <c:pt idx="165">
                  <c:v>6580.44</c:v>
                </c:pt>
                <c:pt idx="166">
                  <c:v>2877.73</c:v>
                </c:pt>
                <c:pt idx="167">
                  <c:v>5225.44</c:v>
                </c:pt>
                <c:pt idx="168">
                  <c:v>4978.16</c:v>
                </c:pt>
                <c:pt idx="169">
                  <c:v>5289.09</c:v>
                </c:pt>
                <c:pt idx="170">
                  <c:v>5115.87</c:v>
                </c:pt>
                <c:pt idx="171">
                  <c:v>5142.44</c:v>
                </c:pt>
                <c:pt idx="172">
                  <c:v>5083.46</c:v>
                </c:pt>
                <c:pt idx="173">
                  <c:v>4747.56</c:v>
                </c:pt>
                <c:pt idx="174">
                  <c:v>4834.83</c:v>
                </c:pt>
                <c:pt idx="175">
                  <c:v>4566.41</c:v>
                </c:pt>
                <c:pt idx="176">
                  <c:v>4377.89</c:v>
                </c:pt>
                <c:pt idx="177">
                  <c:v>4358.79</c:v>
                </c:pt>
                <c:pt idx="178">
                  <c:v>4692.46</c:v>
                </c:pt>
                <c:pt idx="179">
                  <c:v>4491.75</c:v>
                </c:pt>
                <c:pt idx="180">
                  <c:v>4719.59</c:v>
                </c:pt>
                <c:pt idx="181">
                  <c:v>4605.34</c:v>
                </c:pt>
                <c:pt idx="182">
                  <c:v>4691.51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"访客点击"</c:f>
              <c:strCache>
                <c:ptCount val="1"/>
                <c:pt idx="0">
                  <c:v>访客点击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'阿里妈妈Raw Data'!$A$456:$A$638</c:f>
              <c:numCache>
                <c:formatCode>yyyy/m/d;@</c:formatCode>
                <c:ptCount val="183"/>
                <c:pt idx="0" c:formatCode="yyyy/m/d;@">
                  <c:v>45444</c:v>
                </c:pt>
                <c:pt idx="1" c:formatCode="yyyy/m/d;@">
                  <c:v>45445</c:v>
                </c:pt>
                <c:pt idx="2" c:formatCode="yyyy/m/d;@">
                  <c:v>45446</c:v>
                </c:pt>
                <c:pt idx="3" c:formatCode="yyyy/m/d;@">
                  <c:v>45447</c:v>
                </c:pt>
                <c:pt idx="4" c:formatCode="yyyy/m/d;@">
                  <c:v>45448</c:v>
                </c:pt>
                <c:pt idx="5" c:formatCode="yyyy/m/d;@">
                  <c:v>45449</c:v>
                </c:pt>
                <c:pt idx="6" c:formatCode="yyyy/m/d;@">
                  <c:v>45450</c:v>
                </c:pt>
                <c:pt idx="7" c:formatCode="yyyy/m/d;@">
                  <c:v>45451</c:v>
                </c:pt>
                <c:pt idx="8" c:formatCode="yyyy/m/d;@">
                  <c:v>45452</c:v>
                </c:pt>
                <c:pt idx="9" c:formatCode="yyyy/m/d;@">
                  <c:v>45453</c:v>
                </c:pt>
                <c:pt idx="10" c:formatCode="yyyy/m/d;@">
                  <c:v>45454</c:v>
                </c:pt>
                <c:pt idx="11" c:formatCode="yyyy/m/d;@">
                  <c:v>45455</c:v>
                </c:pt>
                <c:pt idx="12" c:formatCode="yyyy/m/d;@">
                  <c:v>45456</c:v>
                </c:pt>
                <c:pt idx="13" c:formatCode="yyyy/m/d;@">
                  <c:v>45457</c:v>
                </c:pt>
                <c:pt idx="14" c:formatCode="yyyy/m/d;@">
                  <c:v>45458</c:v>
                </c:pt>
                <c:pt idx="15" c:formatCode="yyyy/m/d;@">
                  <c:v>45459</c:v>
                </c:pt>
                <c:pt idx="16" c:formatCode="yyyy/m/d;@">
                  <c:v>45460</c:v>
                </c:pt>
                <c:pt idx="17" c:formatCode="yyyy/m/d;@">
                  <c:v>45461</c:v>
                </c:pt>
                <c:pt idx="18" c:formatCode="yyyy/m/d;@">
                  <c:v>45462</c:v>
                </c:pt>
                <c:pt idx="19" c:formatCode="yyyy/m/d;@">
                  <c:v>45463</c:v>
                </c:pt>
                <c:pt idx="20" c:formatCode="yyyy/m/d;@">
                  <c:v>45464</c:v>
                </c:pt>
                <c:pt idx="21" c:formatCode="yyyy/m/d;@">
                  <c:v>45465</c:v>
                </c:pt>
                <c:pt idx="22" c:formatCode="yyyy/m/d;@">
                  <c:v>45466</c:v>
                </c:pt>
                <c:pt idx="23" c:formatCode="yyyy/m/d;@">
                  <c:v>45467</c:v>
                </c:pt>
                <c:pt idx="24" c:formatCode="yyyy/m/d;@">
                  <c:v>45468</c:v>
                </c:pt>
                <c:pt idx="25" c:formatCode="yyyy/m/d;@">
                  <c:v>45469</c:v>
                </c:pt>
                <c:pt idx="26" c:formatCode="yyyy/m/d;@">
                  <c:v>45470</c:v>
                </c:pt>
                <c:pt idx="27" c:formatCode="yyyy/m/d;@">
                  <c:v>45471</c:v>
                </c:pt>
                <c:pt idx="28" c:formatCode="yyyy/m/d;@">
                  <c:v>45472</c:v>
                </c:pt>
                <c:pt idx="29" c:formatCode="yyyy/m/d;@">
                  <c:v>45473</c:v>
                </c:pt>
                <c:pt idx="30" c:formatCode="yyyy/m/d;@">
                  <c:v>45474</c:v>
                </c:pt>
                <c:pt idx="31" c:formatCode="yyyy/m/d;@">
                  <c:v>45475</c:v>
                </c:pt>
                <c:pt idx="32" c:formatCode="yyyy/m/d;@">
                  <c:v>45476</c:v>
                </c:pt>
                <c:pt idx="33" c:formatCode="yyyy/m/d;@">
                  <c:v>45477</c:v>
                </c:pt>
                <c:pt idx="34" c:formatCode="yyyy/m/d;@">
                  <c:v>45478</c:v>
                </c:pt>
                <c:pt idx="35" c:formatCode="yyyy/m/d;@">
                  <c:v>45479</c:v>
                </c:pt>
                <c:pt idx="36" c:formatCode="yyyy/m/d;@">
                  <c:v>45480</c:v>
                </c:pt>
                <c:pt idx="37" c:formatCode="yyyy/m/d;@">
                  <c:v>45481</c:v>
                </c:pt>
                <c:pt idx="38" c:formatCode="yyyy/m/d;@">
                  <c:v>45482</c:v>
                </c:pt>
                <c:pt idx="39" c:formatCode="yyyy/m/d;@">
                  <c:v>45483</c:v>
                </c:pt>
                <c:pt idx="40" c:formatCode="yyyy/m/d;@">
                  <c:v>45484</c:v>
                </c:pt>
                <c:pt idx="41" c:formatCode="yyyy/m/d;@">
                  <c:v>45485</c:v>
                </c:pt>
                <c:pt idx="42" c:formatCode="yyyy/m/d;@">
                  <c:v>45486</c:v>
                </c:pt>
                <c:pt idx="43" c:formatCode="yyyy/m/d;@">
                  <c:v>45487</c:v>
                </c:pt>
                <c:pt idx="44" c:formatCode="yyyy/m/d;@">
                  <c:v>45488</c:v>
                </c:pt>
                <c:pt idx="45" c:formatCode="yyyy/m/d;@">
                  <c:v>45489</c:v>
                </c:pt>
                <c:pt idx="46" c:formatCode="yyyy/m/d;@">
                  <c:v>45490</c:v>
                </c:pt>
                <c:pt idx="47" c:formatCode="yyyy/m/d;@">
                  <c:v>45491</c:v>
                </c:pt>
                <c:pt idx="48" c:formatCode="yyyy/m/d;@">
                  <c:v>45492</c:v>
                </c:pt>
                <c:pt idx="49" c:formatCode="yyyy/m/d;@">
                  <c:v>45493</c:v>
                </c:pt>
                <c:pt idx="50" c:formatCode="yyyy/m/d;@">
                  <c:v>45494</c:v>
                </c:pt>
                <c:pt idx="51" c:formatCode="yyyy/m/d;@">
                  <c:v>45495</c:v>
                </c:pt>
                <c:pt idx="52" c:formatCode="yyyy/m/d;@">
                  <c:v>45496</c:v>
                </c:pt>
                <c:pt idx="53" c:formatCode="yyyy/m/d;@">
                  <c:v>45497</c:v>
                </c:pt>
                <c:pt idx="54" c:formatCode="yyyy/m/d;@">
                  <c:v>45498</c:v>
                </c:pt>
                <c:pt idx="55" c:formatCode="yyyy/m/d;@">
                  <c:v>45499</c:v>
                </c:pt>
                <c:pt idx="56" c:formatCode="yyyy/m/d;@">
                  <c:v>45500</c:v>
                </c:pt>
                <c:pt idx="57" c:formatCode="yyyy/m/d;@">
                  <c:v>45501</c:v>
                </c:pt>
                <c:pt idx="58" c:formatCode="yyyy/m/d;@">
                  <c:v>45502</c:v>
                </c:pt>
                <c:pt idx="59" c:formatCode="yyyy/m/d;@">
                  <c:v>45503</c:v>
                </c:pt>
                <c:pt idx="60" c:formatCode="yyyy/m/d;@">
                  <c:v>45504</c:v>
                </c:pt>
                <c:pt idx="61" c:formatCode="yyyy/m/d;@">
                  <c:v>45505</c:v>
                </c:pt>
                <c:pt idx="62" c:formatCode="yyyy/m/d;@">
                  <c:v>45506</c:v>
                </c:pt>
                <c:pt idx="63" c:formatCode="yyyy/m/d;@">
                  <c:v>45507</c:v>
                </c:pt>
                <c:pt idx="64" c:formatCode="yyyy/m/d;@">
                  <c:v>45508</c:v>
                </c:pt>
                <c:pt idx="65" c:formatCode="yyyy/m/d;@">
                  <c:v>45509</c:v>
                </c:pt>
                <c:pt idx="66" c:formatCode="yyyy/m/d;@">
                  <c:v>45510</c:v>
                </c:pt>
                <c:pt idx="67" c:formatCode="yyyy/m/d;@">
                  <c:v>45511</c:v>
                </c:pt>
                <c:pt idx="68" c:formatCode="yyyy/m/d;@">
                  <c:v>45512</c:v>
                </c:pt>
                <c:pt idx="69" c:formatCode="yyyy/m/d;@">
                  <c:v>45513</c:v>
                </c:pt>
                <c:pt idx="70" c:formatCode="yyyy/m/d;@">
                  <c:v>45514</c:v>
                </c:pt>
                <c:pt idx="71" c:formatCode="yyyy/m/d;@">
                  <c:v>45515</c:v>
                </c:pt>
                <c:pt idx="72" c:formatCode="yyyy/m/d;@">
                  <c:v>45516</c:v>
                </c:pt>
                <c:pt idx="73" c:formatCode="yyyy/m/d;@">
                  <c:v>45517</c:v>
                </c:pt>
                <c:pt idx="74" c:formatCode="yyyy/m/d;@">
                  <c:v>45518</c:v>
                </c:pt>
                <c:pt idx="75" c:formatCode="yyyy/m/d;@">
                  <c:v>45519</c:v>
                </c:pt>
                <c:pt idx="76" c:formatCode="yyyy/m/d;@">
                  <c:v>45520</c:v>
                </c:pt>
                <c:pt idx="77" c:formatCode="yyyy/m/d;@">
                  <c:v>45521</c:v>
                </c:pt>
                <c:pt idx="78" c:formatCode="yyyy/m/d;@">
                  <c:v>45522</c:v>
                </c:pt>
                <c:pt idx="79" c:formatCode="yyyy/m/d;@">
                  <c:v>45523</c:v>
                </c:pt>
                <c:pt idx="80" c:formatCode="yyyy/m/d;@">
                  <c:v>45524</c:v>
                </c:pt>
                <c:pt idx="81" c:formatCode="yyyy/m/d;@">
                  <c:v>45525</c:v>
                </c:pt>
                <c:pt idx="82" c:formatCode="yyyy/m/d;@">
                  <c:v>45526</c:v>
                </c:pt>
                <c:pt idx="83" c:formatCode="yyyy/m/d;@">
                  <c:v>45527</c:v>
                </c:pt>
                <c:pt idx="84" c:formatCode="yyyy/m/d;@">
                  <c:v>45528</c:v>
                </c:pt>
                <c:pt idx="85" c:formatCode="yyyy/m/d;@">
                  <c:v>45529</c:v>
                </c:pt>
                <c:pt idx="86" c:formatCode="yyyy/m/d;@">
                  <c:v>45530</c:v>
                </c:pt>
                <c:pt idx="87" c:formatCode="yyyy/m/d;@">
                  <c:v>45531</c:v>
                </c:pt>
                <c:pt idx="88" c:formatCode="yyyy/m/d;@">
                  <c:v>45532</c:v>
                </c:pt>
                <c:pt idx="89" c:formatCode="yyyy/m/d;@">
                  <c:v>45533</c:v>
                </c:pt>
                <c:pt idx="90" c:formatCode="yyyy/m/d;@">
                  <c:v>45534</c:v>
                </c:pt>
                <c:pt idx="91" c:formatCode="yyyy/m/d;@">
                  <c:v>45535</c:v>
                </c:pt>
                <c:pt idx="92" c:formatCode="yyyy/m/d;@">
                  <c:v>45536</c:v>
                </c:pt>
                <c:pt idx="93" c:formatCode="yyyy/m/d;@">
                  <c:v>45537</c:v>
                </c:pt>
                <c:pt idx="94" c:formatCode="yyyy/m/d;@">
                  <c:v>45538</c:v>
                </c:pt>
                <c:pt idx="95" c:formatCode="yyyy/m/d;@">
                  <c:v>45539</c:v>
                </c:pt>
                <c:pt idx="96" c:formatCode="yyyy/m/d;@">
                  <c:v>45540</c:v>
                </c:pt>
                <c:pt idx="97" c:formatCode="yyyy/m/d;@">
                  <c:v>45541</c:v>
                </c:pt>
                <c:pt idx="98" c:formatCode="yyyy/m/d;@">
                  <c:v>45542</c:v>
                </c:pt>
                <c:pt idx="99" c:formatCode="yyyy/m/d;@">
                  <c:v>45543</c:v>
                </c:pt>
                <c:pt idx="100" c:formatCode="yyyy/m/d;@">
                  <c:v>45544</c:v>
                </c:pt>
                <c:pt idx="101" c:formatCode="yyyy/m/d;@">
                  <c:v>45545</c:v>
                </c:pt>
                <c:pt idx="102" c:formatCode="yyyy/m/d;@">
                  <c:v>45546</c:v>
                </c:pt>
                <c:pt idx="103" c:formatCode="yyyy/m/d;@">
                  <c:v>45547</c:v>
                </c:pt>
                <c:pt idx="104" c:formatCode="yyyy/m/d;@">
                  <c:v>45548</c:v>
                </c:pt>
                <c:pt idx="105" c:formatCode="yyyy/m/d;@">
                  <c:v>45549</c:v>
                </c:pt>
                <c:pt idx="106" c:formatCode="yyyy/m/d;@">
                  <c:v>45550</c:v>
                </c:pt>
                <c:pt idx="107" c:formatCode="yyyy/m/d;@">
                  <c:v>45551</c:v>
                </c:pt>
                <c:pt idx="108" c:formatCode="yyyy/m/d;@">
                  <c:v>45552</c:v>
                </c:pt>
                <c:pt idx="109" c:formatCode="yyyy/m/d;@">
                  <c:v>45553</c:v>
                </c:pt>
                <c:pt idx="110" c:formatCode="yyyy/m/d;@">
                  <c:v>45554</c:v>
                </c:pt>
                <c:pt idx="111" c:formatCode="yyyy/m/d;@">
                  <c:v>45555</c:v>
                </c:pt>
                <c:pt idx="112" c:formatCode="yyyy/m/d;@">
                  <c:v>45556</c:v>
                </c:pt>
                <c:pt idx="113" c:formatCode="yyyy/m/d;@">
                  <c:v>45557</c:v>
                </c:pt>
                <c:pt idx="114" c:formatCode="yyyy/m/d;@">
                  <c:v>45558</c:v>
                </c:pt>
                <c:pt idx="115" c:formatCode="yyyy/m/d;@">
                  <c:v>45559</c:v>
                </c:pt>
                <c:pt idx="116" c:formatCode="yyyy/m/d;@">
                  <c:v>45560</c:v>
                </c:pt>
                <c:pt idx="117" c:formatCode="yyyy/m/d;@">
                  <c:v>45561</c:v>
                </c:pt>
                <c:pt idx="118" c:formatCode="yyyy/m/d;@">
                  <c:v>45562</c:v>
                </c:pt>
                <c:pt idx="119" c:formatCode="yyyy/m/d;@">
                  <c:v>45563</c:v>
                </c:pt>
                <c:pt idx="120" c:formatCode="yyyy/m/d;@">
                  <c:v>45564</c:v>
                </c:pt>
                <c:pt idx="121" c:formatCode="yyyy/m/d;@">
                  <c:v>45565</c:v>
                </c:pt>
                <c:pt idx="122" c:formatCode="yyyy/m/d;@">
                  <c:v>45566</c:v>
                </c:pt>
                <c:pt idx="123" c:formatCode="yyyy/m/d;@">
                  <c:v>45567</c:v>
                </c:pt>
                <c:pt idx="124" c:formatCode="yyyy/m/d;@">
                  <c:v>45568</c:v>
                </c:pt>
                <c:pt idx="125" c:formatCode="yyyy/m/d;@">
                  <c:v>45569</c:v>
                </c:pt>
                <c:pt idx="126" c:formatCode="yyyy/m/d;@">
                  <c:v>45570</c:v>
                </c:pt>
                <c:pt idx="127" c:formatCode="yyyy/m/d;@">
                  <c:v>45571</c:v>
                </c:pt>
                <c:pt idx="128" c:formatCode="yyyy/m/d;@">
                  <c:v>45572</c:v>
                </c:pt>
                <c:pt idx="129" c:formatCode="yyyy/m/d;@">
                  <c:v>45573</c:v>
                </c:pt>
                <c:pt idx="130" c:formatCode="yyyy/m/d;@">
                  <c:v>45574</c:v>
                </c:pt>
                <c:pt idx="131" c:formatCode="yyyy/m/d;@">
                  <c:v>45575</c:v>
                </c:pt>
                <c:pt idx="132" c:formatCode="yyyy/m/d;@">
                  <c:v>45576</c:v>
                </c:pt>
                <c:pt idx="133" c:formatCode="yyyy/m/d;@">
                  <c:v>45577</c:v>
                </c:pt>
                <c:pt idx="134" c:formatCode="yyyy/m/d;@">
                  <c:v>45578</c:v>
                </c:pt>
                <c:pt idx="135" c:formatCode="yyyy/m/d;@">
                  <c:v>45579</c:v>
                </c:pt>
                <c:pt idx="136" c:formatCode="yyyy/m/d;@">
                  <c:v>45580</c:v>
                </c:pt>
                <c:pt idx="137" c:formatCode="yyyy/m/d;@">
                  <c:v>45581</c:v>
                </c:pt>
                <c:pt idx="138" c:formatCode="yyyy/m/d;@">
                  <c:v>45582</c:v>
                </c:pt>
                <c:pt idx="139" c:formatCode="yyyy/m/d;@">
                  <c:v>45583</c:v>
                </c:pt>
                <c:pt idx="140" c:formatCode="yyyy/m/d;@">
                  <c:v>45584</c:v>
                </c:pt>
                <c:pt idx="141" c:formatCode="yyyy/m/d;@">
                  <c:v>45585</c:v>
                </c:pt>
                <c:pt idx="142" c:formatCode="yyyy/m/d;@">
                  <c:v>45586</c:v>
                </c:pt>
                <c:pt idx="143" c:formatCode="yyyy/m/d;@">
                  <c:v>45587</c:v>
                </c:pt>
                <c:pt idx="144" c:formatCode="yyyy/m/d;@">
                  <c:v>45588</c:v>
                </c:pt>
                <c:pt idx="145" c:formatCode="yyyy/m/d;@">
                  <c:v>45589</c:v>
                </c:pt>
                <c:pt idx="146" c:formatCode="yyyy/m/d;@">
                  <c:v>45590</c:v>
                </c:pt>
                <c:pt idx="147" c:formatCode="yyyy/m/d;@">
                  <c:v>45591</c:v>
                </c:pt>
                <c:pt idx="148" c:formatCode="yyyy/m/d;@">
                  <c:v>45592</c:v>
                </c:pt>
                <c:pt idx="149" c:formatCode="yyyy/m/d;@">
                  <c:v>45593</c:v>
                </c:pt>
                <c:pt idx="150" c:formatCode="yyyy/m/d;@">
                  <c:v>45594</c:v>
                </c:pt>
                <c:pt idx="151" c:formatCode="yyyy/m/d;@">
                  <c:v>45595</c:v>
                </c:pt>
                <c:pt idx="152" c:formatCode="yyyy/m/d;@">
                  <c:v>45596</c:v>
                </c:pt>
                <c:pt idx="153" c:formatCode="yyyy/m/d;@">
                  <c:v>45597</c:v>
                </c:pt>
                <c:pt idx="154" c:formatCode="yyyy/m/d;@">
                  <c:v>45598</c:v>
                </c:pt>
                <c:pt idx="155" c:formatCode="yyyy/m/d;@">
                  <c:v>45599</c:v>
                </c:pt>
                <c:pt idx="156" c:formatCode="yyyy/m/d;@">
                  <c:v>45600</c:v>
                </c:pt>
                <c:pt idx="157" c:formatCode="yyyy/m/d;@">
                  <c:v>45601</c:v>
                </c:pt>
                <c:pt idx="158" c:formatCode="yyyy/m/d;@">
                  <c:v>45602</c:v>
                </c:pt>
                <c:pt idx="159" c:formatCode="yyyy/m/d;@">
                  <c:v>45603</c:v>
                </c:pt>
                <c:pt idx="160" c:formatCode="yyyy/m/d;@">
                  <c:v>45604</c:v>
                </c:pt>
                <c:pt idx="161" c:formatCode="yyyy/m/d;@">
                  <c:v>45605</c:v>
                </c:pt>
                <c:pt idx="162" c:formatCode="yyyy/m/d;@">
                  <c:v>45606</c:v>
                </c:pt>
                <c:pt idx="163" c:formatCode="yyyy/m/d;@">
                  <c:v>45607</c:v>
                </c:pt>
                <c:pt idx="164" c:formatCode="yyyy/m/d;@">
                  <c:v>45608</c:v>
                </c:pt>
                <c:pt idx="165" c:formatCode="yyyy/m/d;@">
                  <c:v>45609</c:v>
                </c:pt>
                <c:pt idx="166" c:formatCode="yyyy/m/d;@">
                  <c:v>45610</c:v>
                </c:pt>
                <c:pt idx="167" c:formatCode="yyyy/m/d;@">
                  <c:v>45611</c:v>
                </c:pt>
                <c:pt idx="168" c:formatCode="yyyy/m/d;@">
                  <c:v>45612</c:v>
                </c:pt>
                <c:pt idx="169" c:formatCode="yyyy/m/d;@">
                  <c:v>45613</c:v>
                </c:pt>
                <c:pt idx="170" c:formatCode="yyyy/m/d;@">
                  <c:v>45614</c:v>
                </c:pt>
                <c:pt idx="171" c:formatCode="yyyy/m/d;@">
                  <c:v>45615</c:v>
                </c:pt>
                <c:pt idx="172" c:formatCode="yyyy/m/d;@">
                  <c:v>45616</c:v>
                </c:pt>
                <c:pt idx="173" c:formatCode="yyyy/m/d;@">
                  <c:v>45617</c:v>
                </c:pt>
                <c:pt idx="174" c:formatCode="yyyy/m/d;@">
                  <c:v>45618</c:v>
                </c:pt>
                <c:pt idx="175" c:formatCode="yyyy/m/d;@">
                  <c:v>45619</c:v>
                </c:pt>
                <c:pt idx="176" c:formatCode="yyyy/m/d;@">
                  <c:v>45620</c:v>
                </c:pt>
                <c:pt idx="177" c:formatCode="yyyy/m/d;@">
                  <c:v>45621</c:v>
                </c:pt>
                <c:pt idx="178" c:formatCode="yyyy/m/d;@">
                  <c:v>45622</c:v>
                </c:pt>
                <c:pt idx="179" c:formatCode="yyyy/m/d;@">
                  <c:v>45623</c:v>
                </c:pt>
                <c:pt idx="180" c:formatCode="yyyy/m/d;@">
                  <c:v>45624</c:v>
                </c:pt>
                <c:pt idx="181" c:formatCode="yyyy/m/d;@">
                  <c:v>45625</c:v>
                </c:pt>
                <c:pt idx="182" c:formatCode="yyyy/m/d;@">
                  <c:v>45626</c:v>
                </c:pt>
              </c:numCache>
            </c:numRef>
          </c:cat>
          <c:val>
            <c:numRef>
              <c:f>'阿里妈妈Raw Data'!$AF$456:$AF$638</c:f>
              <c:numCache>
                <c:formatCode>0_);[Red]\(0\)</c:formatCode>
                <c:ptCount val="183"/>
                <c:pt idx="0">
                  <c:v>7600</c:v>
                </c:pt>
                <c:pt idx="1">
                  <c:v>7625</c:v>
                </c:pt>
                <c:pt idx="2">
                  <c:v>9831</c:v>
                </c:pt>
                <c:pt idx="3">
                  <c:v>8721</c:v>
                </c:pt>
                <c:pt idx="4">
                  <c:v>9188</c:v>
                </c:pt>
                <c:pt idx="5">
                  <c:v>7103</c:v>
                </c:pt>
                <c:pt idx="6">
                  <c:v>5061</c:v>
                </c:pt>
                <c:pt idx="7">
                  <c:v>6020</c:v>
                </c:pt>
                <c:pt idx="8">
                  <c:v>6191</c:v>
                </c:pt>
                <c:pt idx="9">
                  <c:v>6626</c:v>
                </c:pt>
                <c:pt idx="10">
                  <c:v>8665</c:v>
                </c:pt>
                <c:pt idx="11">
                  <c:v>8296</c:v>
                </c:pt>
                <c:pt idx="12">
                  <c:v>6485</c:v>
                </c:pt>
                <c:pt idx="13">
                  <c:v>5787</c:v>
                </c:pt>
                <c:pt idx="14">
                  <c:v>6315</c:v>
                </c:pt>
                <c:pt idx="15">
                  <c:v>6686</c:v>
                </c:pt>
                <c:pt idx="16">
                  <c:v>9221</c:v>
                </c:pt>
                <c:pt idx="17">
                  <c:v>11313</c:v>
                </c:pt>
                <c:pt idx="18">
                  <c:v>5565</c:v>
                </c:pt>
                <c:pt idx="19">
                  <c:v>6596</c:v>
                </c:pt>
                <c:pt idx="20">
                  <c:v>7659</c:v>
                </c:pt>
                <c:pt idx="21">
                  <c:v>6550</c:v>
                </c:pt>
                <c:pt idx="22">
                  <c:v>6634</c:v>
                </c:pt>
                <c:pt idx="23">
                  <c:v>8887</c:v>
                </c:pt>
                <c:pt idx="24">
                  <c:v>10436</c:v>
                </c:pt>
                <c:pt idx="25">
                  <c:v>12247</c:v>
                </c:pt>
                <c:pt idx="26">
                  <c:v>10508</c:v>
                </c:pt>
                <c:pt idx="27">
                  <c:v>12293</c:v>
                </c:pt>
                <c:pt idx="28">
                  <c:v>12715</c:v>
                </c:pt>
                <c:pt idx="29">
                  <c:v>13179</c:v>
                </c:pt>
                <c:pt idx="30">
                  <c:v>11006</c:v>
                </c:pt>
                <c:pt idx="31">
                  <c:v>10533</c:v>
                </c:pt>
                <c:pt idx="32">
                  <c:v>12050</c:v>
                </c:pt>
                <c:pt idx="33">
                  <c:v>7771</c:v>
                </c:pt>
                <c:pt idx="34">
                  <c:v>7857</c:v>
                </c:pt>
                <c:pt idx="35">
                  <c:v>8316</c:v>
                </c:pt>
                <c:pt idx="36">
                  <c:v>8130</c:v>
                </c:pt>
                <c:pt idx="37">
                  <c:v>8046</c:v>
                </c:pt>
                <c:pt idx="38">
                  <c:v>7296</c:v>
                </c:pt>
                <c:pt idx="39">
                  <c:v>8667</c:v>
                </c:pt>
                <c:pt idx="40">
                  <c:v>6852</c:v>
                </c:pt>
                <c:pt idx="41">
                  <c:v>7409</c:v>
                </c:pt>
                <c:pt idx="42">
                  <c:v>8812</c:v>
                </c:pt>
                <c:pt idx="43">
                  <c:v>8714</c:v>
                </c:pt>
                <c:pt idx="44">
                  <c:v>7646</c:v>
                </c:pt>
                <c:pt idx="45">
                  <c:v>5490</c:v>
                </c:pt>
                <c:pt idx="46">
                  <c:v>5145</c:v>
                </c:pt>
                <c:pt idx="47">
                  <c:v>4174</c:v>
                </c:pt>
                <c:pt idx="48">
                  <c:v>4581</c:v>
                </c:pt>
                <c:pt idx="49">
                  <c:v>4667</c:v>
                </c:pt>
                <c:pt idx="50">
                  <c:v>6682</c:v>
                </c:pt>
                <c:pt idx="51">
                  <c:v>5923</c:v>
                </c:pt>
                <c:pt idx="52">
                  <c:v>4773</c:v>
                </c:pt>
                <c:pt idx="53">
                  <c:v>4538</c:v>
                </c:pt>
                <c:pt idx="54">
                  <c:v>4798</c:v>
                </c:pt>
                <c:pt idx="55">
                  <c:v>4476</c:v>
                </c:pt>
                <c:pt idx="56">
                  <c:v>4257</c:v>
                </c:pt>
                <c:pt idx="57">
                  <c:v>4386</c:v>
                </c:pt>
                <c:pt idx="58">
                  <c:v>4580</c:v>
                </c:pt>
                <c:pt idx="59">
                  <c:v>3231</c:v>
                </c:pt>
                <c:pt idx="60">
                  <c:v>4611</c:v>
                </c:pt>
                <c:pt idx="61">
                  <c:v>3803</c:v>
                </c:pt>
                <c:pt idx="62">
                  <c:v>3768</c:v>
                </c:pt>
                <c:pt idx="63">
                  <c:v>4423</c:v>
                </c:pt>
                <c:pt idx="64">
                  <c:v>4638</c:v>
                </c:pt>
                <c:pt idx="65">
                  <c:v>4970</c:v>
                </c:pt>
                <c:pt idx="66">
                  <c:v>3849</c:v>
                </c:pt>
                <c:pt idx="67">
                  <c:v>3440</c:v>
                </c:pt>
                <c:pt idx="68">
                  <c:v>3361</c:v>
                </c:pt>
                <c:pt idx="69">
                  <c:v>3232</c:v>
                </c:pt>
                <c:pt idx="70">
                  <c:v>3845</c:v>
                </c:pt>
                <c:pt idx="71">
                  <c:v>4461</c:v>
                </c:pt>
                <c:pt idx="72">
                  <c:v>4348</c:v>
                </c:pt>
                <c:pt idx="73">
                  <c:v>5280</c:v>
                </c:pt>
                <c:pt idx="74">
                  <c:v>6242</c:v>
                </c:pt>
                <c:pt idx="75">
                  <c:v>5224</c:v>
                </c:pt>
                <c:pt idx="76">
                  <c:v>5490</c:v>
                </c:pt>
                <c:pt idx="77">
                  <c:v>5740</c:v>
                </c:pt>
                <c:pt idx="78">
                  <c:v>5744</c:v>
                </c:pt>
                <c:pt idx="79">
                  <c:v>5396</c:v>
                </c:pt>
                <c:pt idx="80">
                  <c:v>5074</c:v>
                </c:pt>
                <c:pt idx="81">
                  <c:v>5354</c:v>
                </c:pt>
                <c:pt idx="82">
                  <c:v>5479</c:v>
                </c:pt>
                <c:pt idx="83">
                  <c:v>5256</c:v>
                </c:pt>
                <c:pt idx="84">
                  <c:v>6255</c:v>
                </c:pt>
                <c:pt idx="85">
                  <c:v>5854</c:v>
                </c:pt>
                <c:pt idx="86">
                  <c:v>9382</c:v>
                </c:pt>
                <c:pt idx="87">
                  <c:v>9733</c:v>
                </c:pt>
                <c:pt idx="88">
                  <c:v>9659</c:v>
                </c:pt>
                <c:pt idx="89">
                  <c:v>8148</c:v>
                </c:pt>
                <c:pt idx="90">
                  <c:v>6869</c:v>
                </c:pt>
                <c:pt idx="91">
                  <c:v>9205</c:v>
                </c:pt>
                <c:pt idx="92">
                  <c:v>9708</c:v>
                </c:pt>
                <c:pt idx="93">
                  <c:v>9771</c:v>
                </c:pt>
                <c:pt idx="94">
                  <c:v>11204</c:v>
                </c:pt>
                <c:pt idx="95">
                  <c:v>10725</c:v>
                </c:pt>
                <c:pt idx="96">
                  <c:v>8224</c:v>
                </c:pt>
                <c:pt idx="97">
                  <c:v>8626</c:v>
                </c:pt>
                <c:pt idx="98">
                  <c:v>8859</c:v>
                </c:pt>
                <c:pt idx="99">
                  <c:v>5147</c:v>
                </c:pt>
                <c:pt idx="100">
                  <c:v>6572</c:v>
                </c:pt>
                <c:pt idx="101">
                  <c:v>6824</c:v>
                </c:pt>
                <c:pt idx="102">
                  <c:v>7707</c:v>
                </c:pt>
                <c:pt idx="103">
                  <c:v>9552</c:v>
                </c:pt>
                <c:pt idx="104">
                  <c:v>7884</c:v>
                </c:pt>
                <c:pt idx="105">
                  <c:v>7322</c:v>
                </c:pt>
                <c:pt idx="106">
                  <c:v>7846</c:v>
                </c:pt>
                <c:pt idx="107">
                  <c:v>8077</c:v>
                </c:pt>
                <c:pt idx="108">
                  <c:v>7650</c:v>
                </c:pt>
                <c:pt idx="109">
                  <c:v>7947</c:v>
                </c:pt>
                <c:pt idx="110">
                  <c:v>7147</c:v>
                </c:pt>
                <c:pt idx="111">
                  <c:v>6997</c:v>
                </c:pt>
                <c:pt idx="112">
                  <c:v>6850</c:v>
                </c:pt>
                <c:pt idx="113">
                  <c:v>4177</c:v>
                </c:pt>
                <c:pt idx="114">
                  <c:v>3849</c:v>
                </c:pt>
                <c:pt idx="115">
                  <c:v>3606</c:v>
                </c:pt>
                <c:pt idx="116">
                  <c:v>3258</c:v>
                </c:pt>
                <c:pt idx="117">
                  <c:v>4287</c:v>
                </c:pt>
                <c:pt idx="118">
                  <c:v>3098</c:v>
                </c:pt>
                <c:pt idx="119">
                  <c:v>3114</c:v>
                </c:pt>
                <c:pt idx="120">
                  <c:v>3372</c:v>
                </c:pt>
                <c:pt idx="121">
                  <c:v>2900</c:v>
                </c:pt>
                <c:pt idx="122">
                  <c:v>3244</c:v>
                </c:pt>
                <c:pt idx="123">
                  <c:v>3150</c:v>
                </c:pt>
                <c:pt idx="124">
                  <c:v>3227</c:v>
                </c:pt>
                <c:pt idx="125">
                  <c:v>3698</c:v>
                </c:pt>
                <c:pt idx="126">
                  <c:v>3363</c:v>
                </c:pt>
                <c:pt idx="127">
                  <c:v>3201</c:v>
                </c:pt>
                <c:pt idx="128">
                  <c:v>3530</c:v>
                </c:pt>
                <c:pt idx="129">
                  <c:v>3079</c:v>
                </c:pt>
                <c:pt idx="130">
                  <c:v>2906</c:v>
                </c:pt>
                <c:pt idx="131">
                  <c:v>3424</c:v>
                </c:pt>
                <c:pt idx="132">
                  <c:v>3313</c:v>
                </c:pt>
                <c:pt idx="133">
                  <c:v>3251</c:v>
                </c:pt>
                <c:pt idx="134">
                  <c:v>3796</c:v>
                </c:pt>
                <c:pt idx="135">
                  <c:v>6302</c:v>
                </c:pt>
                <c:pt idx="136">
                  <c:v>12793</c:v>
                </c:pt>
                <c:pt idx="137">
                  <c:v>8031</c:v>
                </c:pt>
                <c:pt idx="138">
                  <c:v>4327</c:v>
                </c:pt>
                <c:pt idx="139">
                  <c:v>4894</c:v>
                </c:pt>
                <c:pt idx="140">
                  <c:v>4805</c:v>
                </c:pt>
                <c:pt idx="141">
                  <c:v>4631</c:v>
                </c:pt>
                <c:pt idx="142">
                  <c:v>8667</c:v>
                </c:pt>
                <c:pt idx="143">
                  <c:v>10505</c:v>
                </c:pt>
                <c:pt idx="144">
                  <c:v>12840</c:v>
                </c:pt>
                <c:pt idx="145">
                  <c:v>13609</c:v>
                </c:pt>
                <c:pt idx="146">
                  <c:v>14667</c:v>
                </c:pt>
                <c:pt idx="147">
                  <c:v>12563</c:v>
                </c:pt>
                <c:pt idx="148">
                  <c:v>12824</c:v>
                </c:pt>
                <c:pt idx="149">
                  <c:v>13343</c:v>
                </c:pt>
                <c:pt idx="150">
                  <c:v>7975</c:v>
                </c:pt>
                <c:pt idx="151">
                  <c:v>7360</c:v>
                </c:pt>
                <c:pt idx="152">
                  <c:v>6851</c:v>
                </c:pt>
                <c:pt idx="153">
                  <c:v>12109</c:v>
                </c:pt>
                <c:pt idx="154">
                  <c:v>10079</c:v>
                </c:pt>
                <c:pt idx="155">
                  <c:v>12235</c:v>
                </c:pt>
                <c:pt idx="156">
                  <c:v>13944</c:v>
                </c:pt>
                <c:pt idx="157">
                  <c:v>11495</c:v>
                </c:pt>
                <c:pt idx="158">
                  <c:v>14938</c:v>
                </c:pt>
                <c:pt idx="159">
                  <c:v>16695</c:v>
                </c:pt>
                <c:pt idx="160">
                  <c:v>17037</c:v>
                </c:pt>
                <c:pt idx="161">
                  <c:v>16176</c:v>
                </c:pt>
                <c:pt idx="162">
                  <c:v>15632</c:v>
                </c:pt>
                <c:pt idx="163">
                  <c:v>16511</c:v>
                </c:pt>
                <c:pt idx="164">
                  <c:v>6025</c:v>
                </c:pt>
                <c:pt idx="165">
                  <c:v>6101</c:v>
                </c:pt>
                <c:pt idx="166">
                  <c:v>3601</c:v>
                </c:pt>
                <c:pt idx="167">
                  <c:v>4579</c:v>
                </c:pt>
                <c:pt idx="168">
                  <c:v>4609</c:v>
                </c:pt>
                <c:pt idx="169">
                  <c:v>4746</c:v>
                </c:pt>
                <c:pt idx="170">
                  <c:v>5031</c:v>
                </c:pt>
                <c:pt idx="171">
                  <c:v>4585</c:v>
                </c:pt>
                <c:pt idx="172">
                  <c:v>6494</c:v>
                </c:pt>
                <c:pt idx="173">
                  <c:v>5434</c:v>
                </c:pt>
                <c:pt idx="174">
                  <c:v>5979</c:v>
                </c:pt>
                <c:pt idx="175">
                  <c:v>6238</c:v>
                </c:pt>
                <c:pt idx="176">
                  <c:v>6138</c:v>
                </c:pt>
                <c:pt idx="177">
                  <c:v>5379</c:v>
                </c:pt>
                <c:pt idx="178">
                  <c:v>6922</c:v>
                </c:pt>
                <c:pt idx="179">
                  <c:v>6344</c:v>
                </c:pt>
                <c:pt idx="180">
                  <c:v>4958</c:v>
                </c:pt>
                <c:pt idx="181">
                  <c:v>5464</c:v>
                </c:pt>
                <c:pt idx="182">
                  <c:v>4808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81696256"/>
        <c:axId val="81697792"/>
      </c:lineChart>
      <c:dateAx>
        <c:axId val="81696256"/>
        <c:scaling>
          <c:orientation val="minMax"/>
        </c:scaling>
        <c:delete val="0"/>
        <c:axPos val="b"/>
        <c:numFmt formatCode="yyyy/m/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697792"/>
        <c:crosses val="autoZero"/>
        <c:auto val="1"/>
        <c:lblOffset val="100"/>
        <c:baseTimeUnit val="days"/>
      </c:dateAx>
      <c:valAx>
        <c:axId val="8169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69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1c1a19-a19a-4b20-9fde-3245cb8e46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收藏加购量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72801422874373"/>
          <c:y val="0.109301643192488"/>
          <c:w val="0.940802312170859"/>
          <c:h val="0.66569835680752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'阿里妈妈Raw Data'!$A$456:$A$638</c:f>
              <c:numCache>
                <c:formatCode>yyyy/m/d;@</c:formatCode>
                <c:ptCount val="183"/>
                <c:pt idx="0" c:formatCode="yyyy/m/d;@">
                  <c:v>45444</c:v>
                </c:pt>
                <c:pt idx="1" c:formatCode="yyyy/m/d;@">
                  <c:v>45445</c:v>
                </c:pt>
                <c:pt idx="2" c:formatCode="yyyy/m/d;@">
                  <c:v>45446</c:v>
                </c:pt>
                <c:pt idx="3" c:formatCode="yyyy/m/d;@">
                  <c:v>45447</c:v>
                </c:pt>
                <c:pt idx="4" c:formatCode="yyyy/m/d;@">
                  <c:v>45448</c:v>
                </c:pt>
                <c:pt idx="5" c:formatCode="yyyy/m/d;@">
                  <c:v>45449</c:v>
                </c:pt>
                <c:pt idx="6" c:formatCode="yyyy/m/d;@">
                  <c:v>45450</c:v>
                </c:pt>
                <c:pt idx="7" c:formatCode="yyyy/m/d;@">
                  <c:v>45451</c:v>
                </c:pt>
                <c:pt idx="8" c:formatCode="yyyy/m/d;@">
                  <c:v>45452</c:v>
                </c:pt>
                <c:pt idx="9" c:formatCode="yyyy/m/d;@">
                  <c:v>45453</c:v>
                </c:pt>
                <c:pt idx="10" c:formatCode="yyyy/m/d;@">
                  <c:v>45454</c:v>
                </c:pt>
                <c:pt idx="11" c:formatCode="yyyy/m/d;@">
                  <c:v>45455</c:v>
                </c:pt>
                <c:pt idx="12" c:formatCode="yyyy/m/d;@">
                  <c:v>45456</c:v>
                </c:pt>
                <c:pt idx="13" c:formatCode="yyyy/m/d;@">
                  <c:v>45457</c:v>
                </c:pt>
                <c:pt idx="14" c:formatCode="yyyy/m/d;@">
                  <c:v>45458</c:v>
                </c:pt>
                <c:pt idx="15" c:formatCode="yyyy/m/d;@">
                  <c:v>45459</c:v>
                </c:pt>
                <c:pt idx="16" c:formatCode="yyyy/m/d;@">
                  <c:v>45460</c:v>
                </c:pt>
                <c:pt idx="17" c:formatCode="yyyy/m/d;@">
                  <c:v>45461</c:v>
                </c:pt>
                <c:pt idx="18" c:formatCode="yyyy/m/d;@">
                  <c:v>45462</c:v>
                </c:pt>
                <c:pt idx="19" c:formatCode="yyyy/m/d;@">
                  <c:v>45463</c:v>
                </c:pt>
                <c:pt idx="20" c:formatCode="yyyy/m/d;@">
                  <c:v>45464</c:v>
                </c:pt>
                <c:pt idx="21" c:formatCode="yyyy/m/d;@">
                  <c:v>45465</c:v>
                </c:pt>
                <c:pt idx="22" c:formatCode="yyyy/m/d;@">
                  <c:v>45466</c:v>
                </c:pt>
                <c:pt idx="23" c:formatCode="yyyy/m/d;@">
                  <c:v>45467</c:v>
                </c:pt>
                <c:pt idx="24" c:formatCode="yyyy/m/d;@">
                  <c:v>45468</c:v>
                </c:pt>
                <c:pt idx="25" c:formatCode="yyyy/m/d;@">
                  <c:v>45469</c:v>
                </c:pt>
                <c:pt idx="26" c:formatCode="yyyy/m/d;@">
                  <c:v>45470</c:v>
                </c:pt>
                <c:pt idx="27" c:formatCode="yyyy/m/d;@">
                  <c:v>45471</c:v>
                </c:pt>
                <c:pt idx="28" c:formatCode="yyyy/m/d;@">
                  <c:v>45472</c:v>
                </c:pt>
                <c:pt idx="29" c:formatCode="yyyy/m/d;@">
                  <c:v>45473</c:v>
                </c:pt>
                <c:pt idx="30" c:formatCode="yyyy/m/d;@">
                  <c:v>45474</c:v>
                </c:pt>
                <c:pt idx="31" c:formatCode="yyyy/m/d;@">
                  <c:v>45475</c:v>
                </c:pt>
                <c:pt idx="32" c:formatCode="yyyy/m/d;@">
                  <c:v>45476</c:v>
                </c:pt>
                <c:pt idx="33" c:formatCode="yyyy/m/d;@">
                  <c:v>45477</c:v>
                </c:pt>
                <c:pt idx="34" c:formatCode="yyyy/m/d;@">
                  <c:v>45478</c:v>
                </c:pt>
                <c:pt idx="35" c:formatCode="yyyy/m/d;@">
                  <c:v>45479</c:v>
                </c:pt>
                <c:pt idx="36" c:formatCode="yyyy/m/d;@">
                  <c:v>45480</c:v>
                </c:pt>
                <c:pt idx="37" c:formatCode="yyyy/m/d;@">
                  <c:v>45481</c:v>
                </c:pt>
                <c:pt idx="38" c:formatCode="yyyy/m/d;@">
                  <c:v>45482</c:v>
                </c:pt>
                <c:pt idx="39" c:formatCode="yyyy/m/d;@">
                  <c:v>45483</c:v>
                </c:pt>
                <c:pt idx="40" c:formatCode="yyyy/m/d;@">
                  <c:v>45484</c:v>
                </c:pt>
                <c:pt idx="41" c:formatCode="yyyy/m/d;@">
                  <c:v>45485</c:v>
                </c:pt>
                <c:pt idx="42" c:formatCode="yyyy/m/d;@">
                  <c:v>45486</c:v>
                </c:pt>
                <c:pt idx="43" c:formatCode="yyyy/m/d;@">
                  <c:v>45487</c:v>
                </c:pt>
                <c:pt idx="44" c:formatCode="yyyy/m/d;@">
                  <c:v>45488</c:v>
                </c:pt>
                <c:pt idx="45" c:formatCode="yyyy/m/d;@">
                  <c:v>45489</c:v>
                </c:pt>
                <c:pt idx="46" c:formatCode="yyyy/m/d;@">
                  <c:v>45490</c:v>
                </c:pt>
                <c:pt idx="47" c:formatCode="yyyy/m/d;@">
                  <c:v>45491</c:v>
                </c:pt>
                <c:pt idx="48" c:formatCode="yyyy/m/d;@">
                  <c:v>45492</c:v>
                </c:pt>
                <c:pt idx="49" c:formatCode="yyyy/m/d;@">
                  <c:v>45493</c:v>
                </c:pt>
                <c:pt idx="50" c:formatCode="yyyy/m/d;@">
                  <c:v>45494</c:v>
                </c:pt>
                <c:pt idx="51" c:formatCode="yyyy/m/d;@">
                  <c:v>45495</c:v>
                </c:pt>
                <c:pt idx="52" c:formatCode="yyyy/m/d;@">
                  <c:v>45496</c:v>
                </c:pt>
                <c:pt idx="53" c:formatCode="yyyy/m/d;@">
                  <c:v>45497</c:v>
                </c:pt>
                <c:pt idx="54" c:formatCode="yyyy/m/d;@">
                  <c:v>45498</c:v>
                </c:pt>
                <c:pt idx="55" c:formatCode="yyyy/m/d;@">
                  <c:v>45499</c:v>
                </c:pt>
                <c:pt idx="56" c:formatCode="yyyy/m/d;@">
                  <c:v>45500</c:v>
                </c:pt>
                <c:pt idx="57" c:formatCode="yyyy/m/d;@">
                  <c:v>45501</c:v>
                </c:pt>
                <c:pt idx="58" c:formatCode="yyyy/m/d;@">
                  <c:v>45502</c:v>
                </c:pt>
                <c:pt idx="59" c:formatCode="yyyy/m/d;@">
                  <c:v>45503</c:v>
                </c:pt>
                <c:pt idx="60" c:formatCode="yyyy/m/d;@">
                  <c:v>45504</c:v>
                </c:pt>
                <c:pt idx="61" c:formatCode="yyyy/m/d;@">
                  <c:v>45505</c:v>
                </c:pt>
                <c:pt idx="62" c:formatCode="yyyy/m/d;@">
                  <c:v>45506</c:v>
                </c:pt>
                <c:pt idx="63" c:formatCode="yyyy/m/d;@">
                  <c:v>45507</c:v>
                </c:pt>
                <c:pt idx="64" c:formatCode="yyyy/m/d;@">
                  <c:v>45508</c:v>
                </c:pt>
                <c:pt idx="65" c:formatCode="yyyy/m/d;@">
                  <c:v>45509</c:v>
                </c:pt>
                <c:pt idx="66" c:formatCode="yyyy/m/d;@">
                  <c:v>45510</c:v>
                </c:pt>
                <c:pt idx="67" c:formatCode="yyyy/m/d;@">
                  <c:v>45511</c:v>
                </c:pt>
                <c:pt idx="68" c:formatCode="yyyy/m/d;@">
                  <c:v>45512</c:v>
                </c:pt>
                <c:pt idx="69" c:formatCode="yyyy/m/d;@">
                  <c:v>45513</c:v>
                </c:pt>
                <c:pt idx="70" c:formatCode="yyyy/m/d;@">
                  <c:v>45514</c:v>
                </c:pt>
                <c:pt idx="71" c:formatCode="yyyy/m/d;@">
                  <c:v>45515</c:v>
                </c:pt>
                <c:pt idx="72" c:formatCode="yyyy/m/d;@">
                  <c:v>45516</c:v>
                </c:pt>
                <c:pt idx="73" c:formatCode="yyyy/m/d;@">
                  <c:v>45517</c:v>
                </c:pt>
                <c:pt idx="74" c:formatCode="yyyy/m/d;@">
                  <c:v>45518</c:v>
                </c:pt>
                <c:pt idx="75" c:formatCode="yyyy/m/d;@">
                  <c:v>45519</c:v>
                </c:pt>
                <c:pt idx="76" c:formatCode="yyyy/m/d;@">
                  <c:v>45520</c:v>
                </c:pt>
                <c:pt idx="77" c:formatCode="yyyy/m/d;@">
                  <c:v>45521</c:v>
                </c:pt>
                <c:pt idx="78" c:formatCode="yyyy/m/d;@">
                  <c:v>45522</c:v>
                </c:pt>
                <c:pt idx="79" c:formatCode="yyyy/m/d;@">
                  <c:v>45523</c:v>
                </c:pt>
                <c:pt idx="80" c:formatCode="yyyy/m/d;@">
                  <c:v>45524</c:v>
                </c:pt>
                <c:pt idx="81" c:formatCode="yyyy/m/d;@">
                  <c:v>45525</c:v>
                </c:pt>
                <c:pt idx="82" c:formatCode="yyyy/m/d;@">
                  <c:v>45526</c:v>
                </c:pt>
                <c:pt idx="83" c:formatCode="yyyy/m/d;@">
                  <c:v>45527</c:v>
                </c:pt>
                <c:pt idx="84" c:formatCode="yyyy/m/d;@">
                  <c:v>45528</c:v>
                </c:pt>
                <c:pt idx="85" c:formatCode="yyyy/m/d;@">
                  <c:v>45529</c:v>
                </c:pt>
                <c:pt idx="86" c:formatCode="yyyy/m/d;@">
                  <c:v>45530</c:v>
                </c:pt>
                <c:pt idx="87" c:formatCode="yyyy/m/d;@">
                  <c:v>45531</c:v>
                </c:pt>
                <c:pt idx="88" c:formatCode="yyyy/m/d;@">
                  <c:v>45532</c:v>
                </c:pt>
                <c:pt idx="89" c:formatCode="yyyy/m/d;@">
                  <c:v>45533</c:v>
                </c:pt>
                <c:pt idx="90" c:formatCode="yyyy/m/d;@">
                  <c:v>45534</c:v>
                </c:pt>
                <c:pt idx="91" c:formatCode="yyyy/m/d;@">
                  <c:v>45535</c:v>
                </c:pt>
                <c:pt idx="92" c:formatCode="yyyy/m/d;@">
                  <c:v>45536</c:v>
                </c:pt>
                <c:pt idx="93" c:formatCode="yyyy/m/d;@">
                  <c:v>45537</c:v>
                </c:pt>
                <c:pt idx="94" c:formatCode="yyyy/m/d;@">
                  <c:v>45538</c:v>
                </c:pt>
                <c:pt idx="95" c:formatCode="yyyy/m/d;@">
                  <c:v>45539</c:v>
                </c:pt>
                <c:pt idx="96" c:formatCode="yyyy/m/d;@">
                  <c:v>45540</c:v>
                </c:pt>
                <c:pt idx="97" c:formatCode="yyyy/m/d;@">
                  <c:v>45541</c:v>
                </c:pt>
                <c:pt idx="98" c:formatCode="yyyy/m/d;@">
                  <c:v>45542</c:v>
                </c:pt>
                <c:pt idx="99" c:formatCode="yyyy/m/d;@">
                  <c:v>45543</c:v>
                </c:pt>
                <c:pt idx="100" c:formatCode="yyyy/m/d;@">
                  <c:v>45544</c:v>
                </c:pt>
                <c:pt idx="101" c:formatCode="yyyy/m/d;@">
                  <c:v>45545</c:v>
                </c:pt>
                <c:pt idx="102" c:formatCode="yyyy/m/d;@">
                  <c:v>45546</c:v>
                </c:pt>
                <c:pt idx="103" c:formatCode="yyyy/m/d;@">
                  <c:v>45547</c:v>
                </c:pt>
                <c:pt idx="104" c:formatCode="yyyy/m/d;@">
                  <c:v>45548</c:v>
                </c:pt>
                <c:pt idx="105" c:formatCode="yyyy/m/d;@">
                  <c:v>45549</c:v>
                </c:pt>
                <c:pt idx="106" c:formatCode="yyyy/m/d;@">
                  <c:v>45550</c:v>
                </c:pt>
                <c:pt idx="107" c:formatCode="yyyy/m/d;@">
                  <c:v>45551</c:v>
                </c:pt>
                <c:pt idx="108" c:formatCode="yyyy/m/d;@">
                  <c:v>45552</c:v>
                </c:pt>
                <c:pt idx="109" c:formatCode="yyyy/m/d;@">
                  <c:v>45553</c:v>
                </c:pt>
                <c:pt idx="110" c:formatCode="yyyy/m/d;@">
                  <c:v>45554</c:v>
                </c:pt>
                <c:pt idx="111" c:formatCode="yyyy/m/d;@">
                  <c:v>45555</c:v>
                </c:pt>
                <c:pt idx="112" c:formatCode="yyyy/m/d;@">
                  <c:v>45556</c:v>
                </c:pt>
                <c:pt idx="113" c:formatCode="yyyy/m/d;@">
                  <c:v>45557</c:v>
                </c:pt>
                <c:pt idx="114" c:formatCode="yyyy/m/d;@">
                  <c:v>45558</c:v>
                </c:pt>
                <c:pt idx="115" c:formatCode="yyyy/m/d;@">
                  <c:v>45559</c:v>
                </c:pt>
                <c:pt idx="116" c:formatCode="yyyy/m/d;@">
                  <c:v>45560</c:v>
                </c:pt>
                <c:pt idx="117" c:formatCode="yyyy/m/d;@">
                  <c:v>45561</c:v>
                </c:pt>
                <c:pt idx="118" c:formatCode="yyyy/m/d;@">
                  <c:v>45562</c:v>
                </c:pt>
                <c:pt idx="119" c:formatCode="yyyy/m/d;@">
                  <c:v>45563</c:v>
                </c:pt>
                <c:pt idx="120" c:formatCode="yyyy/m/d;@">
                  <c:v>45564</c:v>
                </c:pt>
                <c:pt idx="121" c:formatCode="yyyy/m/d;@">
                  <c:v>45565</c:v>
                </c:pt>
                <c:pt idx="122" c:formatCode="yyyy/m/d;@">
                  <c:v>45566</c:v>
                </c:pt>
                <c:pt idx="123" c:formatCode="yyyy/m/d;@">
                  <c:v>45567</c:v>
                </c:pt>
                <c:pt idx="124" c:formatCode="yyyy/m/d;@">
                  <c:v>45568</c:v>
                </c:pt>
                <c:pt idx="125" c:formatCode="yyyy/m/d;@">
                  <c:v>45569</c:v>
                </c:pt>
                <c:pt idx="126" c:formatCode="yyyy/m/d;@">
                  <c:v>45570</c:v>
                </c:pt>
                <c:pt idx="127" c:formatCode="yyyy/m/d;@">
                  <c:v>45571</c:v>
                </c:pt>
                <c:pt idx="128" c:formatCode="yyyy/m/d;@">
                  <c:v>45572</c:v>
                </c:pt>
                <c:pt idx="129" c:formatCode="yyyy/m/d;@">
                  <c:v>45573</c:v>
                </c:pt>
                <c:pt idx="130" c:formatCode="yyyy/m/d;@">
                  <c:v>45574</c:v>
                </c:pt>
                <c:pt idx="131" c:formatCode="yyyy/m/d;@">
                  <c:v>45575</c:v>
                </c:pt>
                <c:pt idx="132" c:formatCode="yyyy/m/d;@">
                  <c:v>45576</c:v>
                </c:pt>
                <c:pt idx="133" c:formatCode="yyyy/m/d;@">
                  <c:v>45577</c:v>
                </c:pt>
                <c:pt idx="134" c:formatCode="yyyy/m/d;@">
                  <c:v>45578</c:v>
                </c:pt>
                <c:pt idx="135" c:formatCode="yyyy/m/d;@">
                  <c:v>45579</c:v>
                </c:pt>
                <c:pt idx="136" c:formatCode="yyyy/m/d;@">
                  <c:v>45580</c:v>
                </c:pt>
                <c:pt idx="137" c:formatCode="yyyy/m/d;@">
                  <c:v>45581</c:v>
                </c:pt>
                <c:pt idx="138" c:formatCode="yyyy/m/d;@">
                  <c:v>45582</c:v>
                </c:pt>
                <c:pt idx="139" c:formatCode="yyyy/m/d;@">
                  <c:v>45583</c:v>
                </c:pt>
                <c:pt idx="140" c:formatCode="yyyy/m/d;@">
                  <c:v>45584</c:v>
                </c:pt>
                <c:pt idx="141" c:formatCode="yyyy/m/d;@">
                  <c:v>45585</c:v>
                </c:pt>
                <c:pt idx="142" c:formatCode="yyyy/m/d;@">
                  <c:v>45586</c:v>
                </c:pt>
                <c:pt idx="143" c:formatCode="yyyy/m/d;@">
                  <c:v>45587</c:v>
                </c:pt>
                <c:pt idx="144" c:formatCode="yyyy/m/d;@">
                  <c:v>45588</c:v>
                </c:pt>
                <c:pt idx="145" c:formatCode="yyyy/m/d;@">
                  <c:v>45589</c:v>
                </c:pt>
                <c:pt idx="146" c:formatCode="yyyy/m/d;@">
                  <c:v>45590</c:v>
                </c:pt>
                <c:pt idx="147" c:formatCode="yyyy/m/d;@">
                  <c:v>45591</c:v>
                </c:pt>
                <c:pt idx="148" c:formatCode="yyyy/m/d;@">
                  <c:v>45592</c:v>
                </c:pt>
                <c:pt idx="149" c:formatCode="yyyy/m/d;@">
                  <c:v>45593</c:v>
                </c:pt>
                <c:pt idx="150" c:formatCode="yyyy/m/d;@">
                  <c:v>45594</c:v>
                </c:pt>
                <c:pt idx="151" c:formatCode="yyyy/m/d;@">
                  <c:v>45595</c:v>
                </c:pt>
                <c:pt idx="152" c:formatCode="yyyy/m/d;@">
                  <c:v>45596</c:v>
                </c:pt>
                <c:pt idx="153" c:formatCode="yyyy/m/d;@">
                  <c:v>45597</c:v>
                </c:pt>
                <c:pt idx="154" c:formatCode="yyyy/m/d;@">
                  <c:v>45598</c:v>
                </c:pt>
                <c:pt idx="155" c:formatCode="yyyy/m/d;@">
                  <c:v>45599</c:v>
                </c:pt>
                <c:pt idx="156" c:formatCode="yyyy/m/d;@">
                  <c:v>45600</c:v>
                </c:pt>
                <c:pt idx="157" c:formatCode="yyyy/m/d;@">
                  <c:v>45601</c:v>
                </c:pt>
                <c:pt idx="158" c:formatCode="yyyy/m/d;@">
                  <c:v>45602</c:v>
                </c:pt>
                <c:pt idx="159" c:formatCode="yyyy/m/d;@">
                  <c:v>45603</c:v>
                </c:pt>
                <c:pt idx="160" c:formatCode="yyyy/m/d;@">
                  <c:v>45604</c:v>
                </c:pt>
                <c:pt idx="161" c:formatCode="yyyy/m/d;@">
                  <c:v>45605</c:v>
                </c:pt>
                <c:pt idx="162" c:formatCode="yyyy/m/d;@">
                  <c:v>45606</c:v>
                </c:pt>
                <c:pt idx="163" c:formatCode="yyyy/m/d;@">
                  <c:v>45607</c:v>
                </c:pt>
                <c:pt idx="164" c:formatCode="yyyy/m/d;@">
                  <c:v>45608</c:v>
                </c:pt>
                <c:pt idx="165" c:formatCode="yyyy/m/d;@">
                  <c:v>45609</c:v>
                </c:pt>
                <c:pt idx="166" c:formatCode="yyyy/m/d;@">
                  <c:v>45610</c:v>
                </c:pt>
                <c:pt idx="167" c:formatCode="yyyy/m/d;@">
                  <c:v>45611</c:v>
                </c:pt>
                <c:pt idx="168" c:formatCode="yyyy/m/d;@">
                  <c:v>45612</c:v>
                </c:pt>
                <c:pt idx="169" c:formatCode="yyyy/m/d;@">
                  <c:v>45613</c:v>
                </c:pt>
                <c:pt idx="170" c:formatCode="yyyy/m/d;@">
                  <c:v>45614</c:v>
                </c:pt>
                <c:pt idx="171" c:formatCode="yyyy/m/d;@">
                  <c:v>45615</c:v>
                </c:pt>
                <c:pt idx="172" c:formatCode="yyyy/m/d;@">
                  <c:v>45616</c:v>
                </c:pt>
                <c:pt idx="173" c:formatCode="yyyy/m/d;@">
                  <c:v>45617</c:v>
                </c:pt>
                <c:pt idx="174" c:formatCode="yyyy/m/d;@">
                  <c:v>45618</c:v>
                </c:pt>
                <c:pt idx="175" c:formatCode="yyyy/m/d;@">
                  <c:v>45619</c:v>
                </c:pt>
                <c:pt idx="176" c:formatCode="yyyy/m/d;@">
                  <c:v>45620</c:v>
                </c:pt>
                <c:pt idx="177" c:formatCode="yyyy/m/d;@">
                  <c:v>45621</c:v>
                </c:pt>
                <c:pt idx="178" c:formatCode="yyyy/m/d;@">
                  <c:v>45622</c:v>
                </c:pt>
                <c:pt idx="179" c:formatCode="yyyy/m/d;@">
                  <c:v>45623</c:v>
                </c:pt>
                <c:pt idx="180" c:formatCode="yyyy/m/d;@">
                  <c:v>45624</c:v>
                </c:pt>
                <c:pt idx="181" c:formatCode="yyyy/m/d;@">
                  <c:v>45625</c:v>
                </c:pt>
                <c:pt idx="182" c:formatCode="yyyy/m/d;@">
                  <c:v>45626</c:v>
                </c:pt>
              </c:numCache>
            </c:numRef>
          </c:cat>
          <c:val>
            <c:numRef>
              <c:f>'阿里妈妈Raw Data'!$AC$456:$AC$638</c:f>
              <c:numCache>
                <c:formatCode>General</c:formatCode>
                <c:ptCount val="183"/>
                <c:pt idx="0">
                  <c:v>642</c:v>
                </c:pt>
                <c:pt idx="1">
                  <c:v>587</c:v>
                </c:pt>
                <c:pt idx="2">
                  <c:v>478</c:v>
                </c:pt>
                <c:pt idx="3">
                  <c:v>457</c:v>
                </c:pt>
                <c:pt idx="4">
                  <c:v>455</c:v>
                </c:pt>
                <c:pt idx="5">
                  <c:v>354</c:v>
                </c:pt>
                <c:pt idx="6">
                  <c:v>280</c:v>
                </c:pt>
                <c:pt idx="7">
                  <c:v>344</c:v>
                </c:pt>
                <c:pt idx="8">
                  <c:v>388</c:v>
                </c:pt>
                <c:pt idx="9">
                  <c:v>371</c:v>
                </c:pt>
                <c:pt idx="10">
                  <c:v>390</c:v>
                </c:pt>
                <c:pt idx="11">
                  <c:v>363</c:v>
                </c:pt>
                <c:pt idx="12">
                  <c:v>389</c:v>
                </c:pt>
                <c:pt idx="13">
                  <c:v>335</c:v>
                </c:pt>
                <c:pt idx="14">
                  <c:v>463</c:v>
                </c:pt>
                <c:pt idx="15">
                  <c:v>489</c:v>
                </c:pt>
                <c:pt idx="16">
                  <c:v>563</c:v>
                </c:pt>
                <c:pt idx="17">
                  <c:v>558</c:v>
                </c:pt>
                <c:pt idx="18">
                  <c:v>456</c:v>
                </c:pt>
                <c:pt idx="19">
                  <c:v>401</c:v>
                </c:pt>
                <c:pt idx="20">
                  <c:v>439</c:v>
                </c:pt>
                <c:pt idx="21">
                  <c:v>468</c:v>
                </c:pt>
                <c:pt idx="22">
                  <c:v>528</c:v>
                </c:pt>
                <c:pt idx="23">
                  <c:v>585</c:v>
                </c:pt>
                <c:pt idx="24">
                  <c:v>598</c:v>
                </c:pt>
                <c:pt idx="25">
                  <c:v>649</c:v>
                </c:pt>
                <c:pt idx="26">
                  <c:v>611</c:v>
                </c:pt>
                <c:pt idx="27">
                  <c:v>617</c:v>
                </c:pt>
                <c:pt idx="28">
                  <c:v>582</c:v>
                </c:pt>
                <c:pt idx="29">
                  <c:v>656</c:v>
                </c:pt>
                <c:pt idx="30">
                  <c:v>584</c:v>
                </c:pt>
                <c:pt idx="31">
                  <c:v>541</c:v>
                </c:pt>
                <c:pt idx="32">
                  <c:v>543</c:v>
                </c:pt>
                <c:pt idx="33">
                  <c:v>461</c:v>
                </c:pt>
                <c:pt idx="34">
                  <c:v>502</c:v>
                </c:pt>
                <c:pt idx="35">
                  <c:v>541</c:v>
                </c:pt>
                <c:pt idx="36">
                  <c:v>500</c:v>
                </c:pt>
                <c:pt idx="37">
                  <c:v>465</c:v>
                </c:pt>
                <c:pt idx="38">
                  <c:v>488</c:v>
                </c:pt>
                <c:pt idx="39">
                  <c:v>528</c:v>
                </c:pt>
                <c:pt idx="40">
                  <c:v>529</c:v>
                </c:pt>
                <c:pt idx="41">
                  <c:v>563</c:v>
                </c:pt>
                <c:pt idx="42">
                  <c:v>641</c:v>
                </c:pt>
                <c:pt idx="43">
                  <c:v>604</c:v>
                </c:pt>
                <c:pt idx="44">
                  <c:v>460</c:v>
                </c:pt>
                <c:pt idx="45">
                  <c:v>436</c:v>
                </c:pt>
                <c:pt idx="46">
                  <c:v>409</c:v>
                </c:pt>
                <c:pt idx="47">
                  <c:v>414</c:v>
                </c:pt>
                <c:pt idx="48">
                  <c:v>476</c:v>
                </c:pt>
                <c:pt idx="49">
                  <c:v>482</c:v>
                </c:pt>
                <c:pt idx="50">
                  <c:v>553</c:v>
                </c:pt>
                <c:pt idx="51">
                  <c:v>453</c:v>
                </c:pt>
                <c:pt idx="52">
                  <c:v>319</c:v>
                </c:pt>
                <c:pt idx="53">
                  <c:v>403</c:v>
                </c:pt>
                <c:pt idx="54">
                  <c:v>356</c:v>
                </c:pt>
                <c:pt idx="55">
                  <c:v>368</c:v>
                </c:pt>
                <c:pt idx="56">
                  <c:v>336</c:v>
                </c:pt>
                <c:pt idx="57">
                  <c:v>420</c:v>
                </c:pt>
                <c:pt idx="58">
                  <c:v>352</c:v>
                </c:pt>
                <c:pt idx="59">
                  <c:v>275</c:v>
                </c:pt>
                <c:pt idx="60">
                  <c:v>254</c:v>
                </c:pt>
                <c:pt idx="61">
                  <c:v>405</c:v>
                </c:pt>
                <c:pt idx="62">
                  <c:v>375</c:v>
                </c:pt>
                <c:pt idx="63">
                  <c:v>355</c:v>
                </c:pt>
                <c:pt idx="64">
                  <c:v>396</c:v>
                </c:pt>
                <c:pt idx="65">
                  <c:v>363</c:v>
                </c:pt>
                <c:pt idx="66">
                  <c:v>350</c:v>
                </c:pt>
                <c:pt idx="67">
                  <c:v>315</c:v>
                </c:pt>
                <c:pt idx="68">
                  <c:v>290</c:v>
                </c:pt>
                <c:pt idx="69">
                  <c:v>285</c:v>
                </c:pt>
                <c:pt idx="70">
                  <c:v>302</c:v>
                </c:pt>
                <c:pt idx="71">
                  <c:v>325</c:v>
                </c:pt>
                <c:pt idx="72">
                  <c:v>346</c:v>
                </c:pt>
                <c:pt idx="73">
                  <c:v>407</c:v>
                </c:pt>
                <c:pt idx="74">
                  <c:v>405</c:v>
                </c:pt>
                <c:pt idx="75">
                  <c:v>412</c:v>
                </c:pt>
                <c:pt idx="76">
                  <c:v>434</c:v>
                </c:pt>
                <c:pt idx="77">
                  <c:v>375</c:v>
                </c:pt>
                <c:pt idx="78">
                  <c:v>391</c:v>
                </c:pt>
                <c:pt idx="79">
                  <c:v>406</c:v>
                </c:pt>
                <c:pt idx="80">
                  <c:v>353</c:v>
                </c:pt>
                <c:pt idx="81">
                  <c:v>308</c:v>
                </c:pt>
                <c:pt idx="82">
                  <c:v>370</c:v>
                </c:pt>
                <c:pt idx="83">
                  <c:v>300</c:v>
                </c:pt>
                <c:pt idx="84">
                  <c:v>389</c:v>
                </c:pt>
                <c:pt idx="85">
                  <c:v>419</c:v>
                </c:pt>
                <c:pt idx="86">
                  <c:v>471</c:v>
                </c:pt>
                <c:pt idx="87">
                  <c:v>408</c:v>
                </c:pt>
                <c:pt idx="88">
                  <c:v>373</c:v>
                </c:pt>
                <c:pt idx="89">
                  <c:v>417</c:v>
                </c:pt>
                <c:pt idx="90">
                  <c:v>388</c:v>
                </c:pt>
                <c:pt idx="91">
                  <c:v>518</c:v>
                </c:pt>
                <c:pt idx="92">
                  <c:v>539</c:v>
                </c:pt>
                <c:pt idx="93">
                  <c:v>512</c:v>
                </c:pt>
                <c:pt idx="94">
                  <c:v>521</c:v>
                </c:pt>
                <c:pt idx="95">
                  <c:v>486</c:v>
                </c:pt>
                <c:pt idx="96">
                  <c:v>508</c:v>
                </c:pt>
                <c:pt idx="97">
                  <c:v>549</c:v>
                </c:pt>
                <c:pt idx="98">
                  <c:v>611</c:v>
                </c:pt>
                <c:pt idx="99">
                  <c:v>307</c:v>
                </c:pt>
                <c:pt idx="100">
                  <c:v>333</c:v>
                </c:pt>
                <c:pt idx="101">
                  <c:v>388</c:v>
                </c:pt>
                <c:pt idx="102">
                  <c:v>368</c:v>
                </c:pt>
                <c:pt idx="103">
                  <c:v>376</c:v>
                </c:pt>
                <c:pt idx="104">
                  <c:v>398</c:v>
                </c:pt>
                <c:pt idx="105">
                  <c:v>376</c:v>
                </c:pt>
                <c:pt idx="106">
                  <c:v>375</c:v>
                </c:pt>
                <c:pt idx="107">
                  <c:v>409</c:v>
                </c:pt>
                <c:pt idx="108">
                  <c:v>293</c:v>
                </c:pt>
                <c:pt idx="109">
                  <c:v>321</c:v>
                </c:pt>
                <c:pt idx="110">
                  <c:v>322</c:v>
                </c:pt>
                <c:pt idx="111">
                  <c:v>325</c:v>
                </c:pt>
                <c:pt idx="112">
                  <c:v>318</c:v>
                </c:pt>
                <c:pt idx="113">
                  <c:v>246</c:v>
                </c:pt>
                <c:pt idx="114">
                  <c:v>214</c:v>
                </c:pt>
                <c:pt idx="115">
                  <c:v>199</c:v>
                </c:pt>
                <c:pt idx="116">
                  <c:v>169</c:v>
                </c:pt>
                <c:pt idx="117">
                  <c:v>219</c:v>
                </c:pt>
                <c:pt idx="118">
                  <c:v>259</c:v>
                </c:pt>
                <c:pt idx="119">
                  <c:v>259</c:v>
                </c:pt>
                <c:pt idx="120">
                  <c:v>234</c:v>
                </c:pt>
                <c:pt idx="121">
                  <c:v>206</c:v>
                </c:pt>
                <c:pt idx="122">
                  <c:v>264</c:v>
                </c:pt>
                <c:pt idx="123">
                  <c:v>242</c:v>
                </c:pt>
                <c:pt idx="124">
                  <c:v>298</c:v>
                </c:pt>
                <c:pt idx="125">
                  <c:v>283</c:v>
                </c:pt>
                <c:pt idx="126">
                  <c:v>303</c:v>
                </c:pt>
                <c:pt idx="127">
                  <c:v>278</c:v>
                </c:pt>
                <c:pt idx="128">
                  <c:v>323</c:v>
                </c:pt>
                <c:pt idx="129">
                  <c:v>296</c:v>
                </c:pt>
                <c:pt idx="130">
                  <c:v>273</c:v>
                </c:pt>
                <c:pt idx="131">
                  <c:v>287</c:v>
                </c:pt>
                <c:pt idx="132">
                  <c:v>349</c:v>
                </c:pt>
                <c:pt idx="133">
                  <c:v>329</c:v>
                </c:pt>
                <c:pt idx="134">
                  <c:v>400</c:v>
                </c:pt>
                <c:pt idx="135">
                  <c:v>625</c:v>
                </c:pt>
                <c:pt idx="136">
                  <c:v>959</c:v>
                </c:pt>
                <c:pt idx="137">
                  <c:v>903</c:v>
                </c:pt>
                <c:pt idx="138">
                  <c:v>512</c:v>
                </c:pt>
                <c:pt idx="139">
                  <c:v>566</c:v>
                </c:pt>
                <c:pt idx="140">
                  <c:v>601</c:v>
                </c:pt>
                <c:pt idx="141">
                  <c:v>559</c:v>
                </c:pt>
                <c:pt idx="142">
                  <c:v>743</c:v>
                </c:pt>
                <c:pt idx="143">
                  <c:v>679</c:v>
                </c:pt>
                <c:pt idx="144">
                  <c:v>792</c:v>
                </c:pt>
                <c:pt idx="145">
                  <c:v>701</c:v>
                </c:pt>
                <c:pt idx="146">
                  <c:v>733</c:v>
                </c:pt>
                <c:pt idx="147">
                  <c:v>858</c:v>
                </c:pt>
                <c:pt idx="148">
                  <c:v>784</c:v>
                </c:pt>
                <c:pt idx="149">
                  <c:v>650</c:v>
                </c:pt>
                <c:pt idx="150">
                  <c:v>485</c:v>
                </c:pt>
                <c:pt idx="151">
                  <c:v>498</c:v>
                </c:pt>
                <c:pt idx="152">
                  <c:v>480</c:v>
                </c:pt>
                <c:pt idx="153">
                  <c:v>796</c:v>
                </c:pt>
                <c:pt idx="154">
                  <c:v>897</c:v>
                </c:pt>
                <c:pt idx="155">
                  <c:v>927</c:v>
                </c:pt>
                <c:pt idx="156">
                  <c:v>884</c:v>
                </c:pt>
                <c:pt idx="157">
                  <c:v>775</c:v>
                </c:pt>
                <c:pt idx="158">
                  <c:v>697</c:v>
                </c:pt>
                <c:pt idx="159">
                  <c:v>901</c:v>
                </c:pt>
                <c:pt idx="160">
                  <c:v>984</c:v>
                </c:pt>
                <c:pt idx="161">
                  <c:v>1127</c:v>
                </c:pt>
                <c:pt idx="162">
                  <c:v>981</c:v>
                </c:pt>
                <c:pt idx="163">
                  <c:v>998</c:v>
                </c:pt>
                <c:pt idx="164">
                  <c:v>357</c:v>
                </c:pt>
                <c:pt idx="165">
                  <c:v>454</c:v>
                </c:pt>
                <c:pt idx="166">
                  <c:v>168</c:v>
                </c:pt>
                <c:pt idx="167">
                  <c:v>254</c:v>
                </c:pt>
                <c:pt idx="168">
                  <c:v>343</c:v>
                </c:pt>
                <c:pt idx="169">
                  <c:v>333</c:v>
                </c:pt>
                <c:pt idx="170">
                  <c:v>284</c:v>
                </c:pt>
                <c:pt idx="171">
                  <c:v>280</c:v>
                </c:pt>
                <c:pt idx="172">
                  <c:v>247</c:v>
                </c:pt>
                <c:pt idx="173">
                  <c:v>253</c:v>
                </c:pt>
                <c:pt idx="174">
                  <c:v>343</c:v>
                </c:pt>
                <c:pt idx="175">
                  <c:v>281</c:v>
                </c:pt>
                <c:pt idx="176">
                  <c:v>300</c:v>
                </c:pt>
                <c:pt idx="177">
                  <c:v>239</c:v>
                </c:pt>
                <c:pt idx="178">
                  <c:v>277</c:v>
                </c:pt>
                <c:pt idx="179">
                  <c:v>233</c:v>
                </c:pt>
                <c:pt idx="180">
                  <c:v>306</c:v>
                </c:pt>
                <c:pt idx="181">
                  <c:v>263</c:v>
                </c:pt>
                <c:pt idx="182">
                  <c:v>323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81721984"/>
        <c:axId val="81867136"/>
      </c:lineChart>
      <c:dateAx>
        <c:axId val="81721984"/>
        <c:scaling>
          <c:orientation val="minMax"/>
        </c:scaling>
        <c:delete val="0"/>
        <c:axPos val="b"/>
        <c:numFmt formatCode="yyyy/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867136"/>
        <c:crosses val="autoZero"/>
        <c:auto val="1"/>
        <c:lblOffset val="100"/>
        <c:baseTimeUnit val="days"/>
      </c:dateAx>
      <c:valAx>
        <c:axId val="8186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72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c0a5ca-90a4-4661-b394-87087810960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43593</xdr:colOff>
      <xdr:row>0</xdr:row>
      <xdr:rowOff>646985</xdr:rowOff>
    </xdr:from>
    <xdr:to>
      <xdr:col>1</xdr:col>
      <xdr:colOff>0</xdr:colOff>
      <xdr:row>2</xdr:row>
      <xdr:rowOff>0</xdr:rowOff>
    </xdr:to>
    <xdr:pic>
      <xdr:nvPicPr>
        <xdr:cNvPr id="2" name="图片 1" descr=" 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43180" y="646430"/>
          <a:ext cx="574040" cy="9080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11763</xdr:colOff>
      <xdr:row>3</xdr:row>
      <xdr:rowOff>73669</xdr:rowOff>
    </xdr:from>
    <xdr:to>
      <xdr:col>1</xdr:col>
      <xdr:colOff>0</xdr:colOff>
      <xdr:row>4</xdr:row>
      <xdr:rowOff>151060</xdr:rowOff>
    </xdr:to>
    <xdr:pic>
      <xdr:nvPicPr>
        <xdr:cNvPr id="3" name="图片 2" descr=" "/>
        <xdr:cNvPicPr/>
      </xdr:nvPicPr>
      <xdr:blipFill>
        <a:blip r:embed="rId2" cstate="print"/>
        <a:srcRect/>
        <a:stretch>
          <a:fillRect/>
        </a:stretch>
      </xdr:blipFill>
      <xdr:spPr>
        <a:xfrm>
          <a:off x="11430" y="2390140"/>
          <a:ext cx="605790" cy="9340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30446</xdr:colOff>
      <xdr:row>1</xdr:row>
      <xdr:rowOff>723304</xdr:rowOff>
    </xdr:from>
    <xdr:to>
      <xdr:col>1</xdr:col>
      <xdr:colOff>0</xdr:colOff>
      <xdr:row>3</xdr:row>
      <xdr:rowOff>23440</xdr:rowOff>
    </xdr:to>
    <xdr:pic>
      <xdr:nvPicPr>
        <xdr:cNvPr id="4" name="图片 3" descr=" "/>
        <xdr:cNvPicPr/>
      </xdr:nvPicPr>
      <xdr:blipFill>
        <a:blip r:embed="rId3" cstate="print"/>
        <a:srcRect/>
        <a:stretch>
          <a:fillRect/>
        </a:stretch>
      </xdr:blipFill>
      <xdr:spPr>
        <a:xfrm>
          <a:off x="29845" y="1515745"/>
          <a:ext cx="587375" cy="82359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4</xdr:row>
      <xdr:rowOff>177105</xdr:rowOff>
    </xdr:from>
    <xdr:to>
      <xdr:col>1</xdr:col>
      <xdr:colOff>0</xdr:colOff>
      <xdr:row>4</xdr:row>
      <xdr:rowOff>1088677</xdr:rowOff>
    </xdr:to>
    <xdr:pic>
      <xdr:nvPicPr>
        <xdr:cNvPr id="5" name="图片 4" descr=" "/>
        <xdr:cNvPicPr/>
      </xdr:nvPicPr>
      <xdr:blipFill>
        <a:blip r:embed="rId4" cstate="print"/>
        <a:srcRect/>
        <a:stretch>
          <a:fillRect/>
        </a:stretch>
      </xdr:blipFill>
      <xdr:spPr>
        <a:xfrm>
          <a:off x="0" y="3350260"/>
          <a:ext cx="617220" cy="9118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341917</xdr:rowOff>
    </xdr:from>
    <xdr:to>
      <xdr:col>1</xdr:col>
      <xdr:colOff>101026</xdr:colOff>
      <xdr:row>3</xdr:row>
      <xdr:rowOff>139660</xdr:rowOff>
    </xdr:to>
    <xdr:pic>
      <xdr:nvPicPr>
        <xdr:cNvPr id="2" name="图片 1" descr=" 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0" y="737870"/>
          <a:ext cx="718185" cy="144589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2</xdr:row>
      <xdr:rowOff>61332</xdr:rowOff>
    </xdr:from>
    <xdr:to>
      <xdr:col>1</xdr:col>
      <xdr:colOff>95490</xdr:colOff>
      <xdr:row>4</xdr:row>
      <xdr:rowOff>101322</xdr:rowOff>
    </xdr:to>
    <xdr:pic>
      <xdr:nvPicPr>
        <xdr:cNvPr id="3" name="图片 2" descr=" "/>
        <xdr:cNvPicPr/>
      </xdr:nvPicPr>
      <xdr:blipFill>
        <a:blip r:embed="rId2" cstate="print"/>
        <a:srcRect/>
        <a:stretch>
          <a:fillRect/>
        </a:stretch>
      </xdr:blipFill>
      <xdr:spPr>
        <a:xfrm>
          <a:off x="0" y="1500505"/>
          <a:ext cx="712470" cy="82042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550110</xdr:colOff>
      <xdr:row>596</xdr:row>
      <xdr:rowOff>12322</xdr:rowOff>
    </xdr:from>
    <xdr:to>
      <xdr:col>30</xdr:col>
      <xdr:colOff>322454</xdr:colOff>
      <xdr:row>618</xdr:row>
      <xdr:rowOff>25330</xdr:rowOff>
    </xdr:to>
    <xdr:graphicFrame>
      <xdr:nvGraphicFramePr>
        <xdr:cNvPr id="2" name="图表 1"/>
        <xdr:cNvGraphicFramePr/>
      </xdr:nvGraphicFramePr>
      <xdr:xfrm>
        <a:off x="15934055" y="58792745"/>
        <a:ext cx="7178675" cy="3868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646293</xdr:colOff>
      <xdr:row>619</xdr:row>
      <xdr:rowOff>50661</xdr:rowOff>
    </xdr:from>
    <xdr:to>
      <xdr:col>30</xdr:col>
      <xdr:colOff>298236</xdr:colOff>
      <xdr:row>640</xdr:row>
      <xdr:rowOff>0</xdr:rowOff>
    </xdr:to>
    <xdr:graphicFrame>
      <xdr:nvGraphicFramePr>
        <xdr:cNvPr id="3" name="图表 2"/>
        <xdr:cNvGraphicFramePr/>
      </xdr:nvGraphicFramePr>
      <xdr:xfrm>
        <a:off x="16001365" y="62861825"/>
        <a:ext cx="7087235" cy="3630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507439</xdr:colOff>
      <xdr:row>249</xdr:row>
      <xdr:rowOff>50661</xdr:rowOff>
    </xdr:from>
    <xdr:to>
      <xdr:col>29</xdr:col>
      <xdr:colOff>334448</xdr:colOff>
      <xdr:row>268</xdr:row>
      <xdr:rowOff>126652</xdr:rowOff>
    </xdr:to>
    <xdr:graphicFrame>
      <xdr:nvGraphicFramePr>
        <xdr:cNvPr id="2" name="图表 1"/>
        <xdr:cNvGraphicFramePr/>
      </xdr:nvGraphicFramePr>
      <xdr:xfrm>
        <a:off x="16375380" y="44109005"/>
        <a:ext cx="8056245" cy="3406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34</xdr:col>
      <xdr:colOff>541655</xdr:colOff>
      <xdr:row>626</xdr:row>
      <xdr:rowOff>67945</xdr:rowOff>
    </xdr:from>
    <xdr:to>
      <xdr:col>51</xdr:col>
      <xdr:colOff>327025</xdr:colOff>
      <xdr:row>649</xdr:row>
      <xdr:rowOff>60960</xdr:rowOff>
    </xdr:to>
    <xdr:graphicFrame>
      <xdr:nvGraphicFramePr>
        <xdr:cNvPr id="2" name="图表 1"/>
        <xdr:cNvGraphicFramePr/>
      </xdr:nvGraphicFramePr>
      <xdr:xfrm>
        <a:off x="23425785" y="109413040"/>
        <a:ext cx="10278110" cy="4023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17780</xdr:colOff>
      <xdr:row>604</xdr:row>
      <xdr:rowOff>55880</xdr:rowOff>
    </xdr:from>
    <xdr:to>
      <xdr:col>51</xdr:col>
      <xdr:colOff>322580</xdr:colOff>
      <xdr:row>625</xdr:row>
      <xdr:rowOff>55880</xdr:rowOff>
    </xdr:to>
    <xdr:graphicFrame>
      <xdr:nvGraphicFramePr>
        <xdr:cNvPr id="3" name="图表 2"/>
        <xdr:cNvGraphicFramePr/>
      </xdr:nvGraphicFramePr>
      <xdr:xfrm>
        <a:off x="23519130" y="105545255"/>
        <a:ext cx="10180320" cy="3680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584835</xdr:colOff>
      <xdr:row>579</xdr:row>
      <xdr:rowOff>48260</xdr:rowOff>
    </xdr:from>
    <xdr:to>
      <xdr:col>51</xdr:col>
      <xdr:colOff>251460</xdr:colOff>
      <xdr:row>603</xdr:row>
      <xdr:rowOff>106045</xdr:rowOff>
    </xdr:to>
    <xdr:graphicFrame>
      <xdr:nvGraphicFramePr>
        <xdr:cNvPr id="4" name="图表 3"/>
        <xdr:cNvGraphicFramePr/>
      </xdr:nvGraphicFramePr>
      <xdr:xfrm>
        <a:off x="23468965" y="101156135"/>
        <a:ext cx="10159365" cy="4264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528320</xdr:colOff>
      <xdr:row>579</xdr:row>
      <xdr:rowOff>13335</xdr:rowOff>
    </xdr:from>
    <xdr:to>
      <xdr:col>66</xdr:col>
      <xdr:colOff>556895</xdr:colOff>
      <xdr:row>603</xdr:row>
      <xdr:rowOff>99060</xdr:rowOff>
    </xdr:to>
    <xdr:graphicFrame>
      <xdr:nvGraphicFramePr>
        <xdr:cNvPr id="5" name="图表 4"/>
        <xdr:cNvGraphicFramePr/>
      </xdr:nvGraphicFramePr>
      <xdr:xfrm>
        <a:off x="33905190" y="101121210"/>
        <a:ext cx="9286875" cy="4291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51</xdr:col>
      <xdr:colOff>460375</xdr:colOff>
      <xdr:row>604</xdr:row>
      <xdr:rowOff>9525</xdr:rowOff>
    </xdr:from>
    <xdr:to>
      <xdr:col>66</xdr:col>
      <xdr:colOff>127635</xdr:colOff>
      <xdr:row>625</xdr:row>
      <xdr:rowOff>14605</xdr:rowOff>
    </xdr:to>
    <xdr:graphicFrame>
      <xdr:nvGraphicFramePr>
        <xdr:cNvPr id="6" name="图表 5"/>
        <xdr:cNvGraphicFramePr/>
      </xdr:nvGraphicFramePr>
      <xdr:xfrm>
        <a:off x="33837245" y="105498900"/>
        <a:ext cx="8925560" cy="3685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271245</xdr:colOff>
      <xdr:row>373</xdr:row>
      <xdr:rowOff>50661</xdr:rowOff>
    </xdr:from>
    <xdr:to>
      <xdr:col>0</xdr:col>
      <xdr:colOff>1101817</xdr:colOff>
      <xdr:row>379</xdr:row>
      <xdr:rowOff>214788</xdr:rowOff>
    </xdr:to>
    <xdr:pic>
      <xdr:nvPicPr>
        <xdr:cNvPr id="2" name="图片 3" descr=" 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271145" y="69375655"/>
          <a:ext cx="830580" cy="12160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278727</xdr:colOff>
      <xdr:row>380</xdr:row>
      <xdr:rowOff>73134</xdr:rowOff>
    </xdr:from>
    <xdr:to>
      <xdr:col>0</xdr:col>
      <xdr:colOff>1118653</xdr:colOff>
      <xdr:row>380</xdr:row>
      <xdr:rowOff>1305163</xdr:rowOff>
    </xdr:to>
    <xdr:pic>
      <xdr:nvPicPr>
        <xdr:cNvPr id="3" name="图片 4" descr=" "/>
        <xdr:cNvPicPr/>
      </xdr:nvPicPr>
      <xdr:blipFill>
        <a:blip r:embed="rId2" cstate="print"/>
        <a:srcRect/>
        <a:stretch>
          <a:fillRect/>
        </a:stretch>
      </xdr:blipFill>
      <xdr:spPr>
        <a:xfrm>
          <a:off x="278130" y="70785990"/>
          <a:ext cx="840105" cy="12319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286210</xdr:colOff>
      <xdr:row>372</xdr:row>
      <xdr:rowOff>72747</xdr:rowOff>
    </xdr:from>
    <xdr:to>
      <xdr:col>0</xdr:col>
      <xdr:colOff>1109299</xdr:colOff>
      <xdr:row>372</xdr:row>
      <xdr:rowOff>1281469</xdr:rowOff>
    </xdr:to>
    <xdr:pic>
      <xdr:nvPicPr>
        <xdr:cNvPr id="4" name="图片 1" descr=" "/>
        <xdr:cNvPicPr/>
      </xdr:nvPicPr>
      <xdr:blipFill>
        <a:blip r:embed="rId3" cstate="print"/>
        <a:srcRect/>
        <a:stretch>
          <a:fillRect/>
        </a:stretch>
      </xdr:blipFill>
      <xdr:spPr>
        <a:xfrm>
          <a:off x="285750" y="67964050"/>
          <a:ext cx="822960" cy="12090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119709</xdr:colOff>
      <xdr:row>1</xdr:row>
      <xdr:rowOff>50222</xdr:rowOff>
    </xdr:from>
    <xdr:to>
      <xdr:col>1</xdr:col>
      <xdr:colOff>49821</xdr:colOff>
      <xdr:row>4</xdr:row>
      <xdr:rowOff>88314</xdr:rowOff>
    </xdr:to>
    <xdr:pic>
      <xdr:nvPicPr>
        <xdr:cNvPr id="2" name="图片 1" descr=" 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119380" y="842645"/>
          <a:ext cx="547370" cy="25393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30446</xdr:colOff>
      <xdr:row>2</xdr:row>
      <xdr:rowOff>125826</xdr:rowOff>
    </xdr:from>
    <xdr:to>
      <xdr:col>1</xdr:col>
      <xdr:colOff>37365</xdr:colOff>
      <xdr:row>6</xdr:row>
      <xdr:rowOff>12322</xdr:rowOff>
    </xdr:to>
    <xdr:pic>
      <xdr:nvPicPr>
        <xdr:cNvPr id="3" name="图片 2" descr=" "/>
        <xdr:cNvPicPr/>
      </xdr:nvPicPr>
      <xdr:blipFill>
        <a:blip r:embed="rId2" cstate="print"/>
        <a:srcRect/>
        <a:stretch>
          <a:fillRect/>
        </a:stretch>
      </xdr:blipFill>
      <xdr:spPr>
        <a:xfrm>
          <a:off x="29845" y="1675765"/>
          <a:ext cx="624205" cy="19805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49821</xdr:colOff>
      <xdr:row>3</xdr:row>
      <xdr:rowOff>61213</xdr:rowOff>
    </xdr:from>
    <xdr:to>
      <xdr:col>1</xdr:col>
      <xdr:colOff>56048</xdr:colOff>
      <xdr:row>7</xdr:row>
      <xdr:rowOff>12322</xdr:rowOff>
    </xdr:to>
    <xdr:pic>
      <xdr:nvPicPr>
        <xdr:cNvPr id="4" name="图片 3" descr=" "/>
        <xdr:cNvPicPr/>
      </xdr:nvPicPr>
      <xdr:blipFill>
        <a:blip r:embed="rId3" cstate="print"/>
        <a:srcRect/>
        <a:stretch>
          <a:fillRect/>
        </a:stretch>
      </xdr:blipFill>
      <xdr:spPr>
        <a:xfrm>
          <a:off x="49530" y="2482850"/>
          <a:ext cx="623570" cy="13487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92"/>
  <sheetViews>
    <sheetView showGridLines="0" topLeftCell="A71" workbookViewId="0">
      <selection activeCell="I1485" sqref="I1485"/>
    </sheetView>
  </sheetViews>
  <sheetFormatPr defaultColWidth="9.87962962962963" defaultRowHeight="13.8"/>
  <cols>
    <col min="1" max="1" width="14.5185185185185" style="37" customWidth="1"/>
    <col min="2" max="2" width="13" style="37" hidden="1" customWidth="1"/>
    <col min="3" max="3" width="14.5185185185185" style="37" hidden="1" customWidth="1"/>
    <col min="4" max="4" width="13" style="37" hidden="1" customWidth="1"/>
    <col min="5" max="5" width="9.87962962962963" style="37" hidden="1" customWidth="1"/>
    <col min="6" max="6" width="14.3796296296296" style="37" hidden="1" customWidth="1"/>
    <col min="7" max="7" width="12.5185185185185" style="37" hidden="1" customWidth="1"/>
    <col min="8" max="8" width="11.8796296296296" style="37" hidden="1" customWidth="1"/>
    <col min="9" max="9" width="12.3796296296296" style="37" hidden="1" customWidth="1"/>
    <col min="10" max="10" width="10.8796296296296" style="37" customWidth="1"/>
    <col min="11" max="12" width="9.87962962962963" style="37" customWidth="1"/>
    <col min="13" max="13" width="11.75" style="37" customWidth="1"/>
    <col min="14" max="14" width="9.87962962962963" style="37" customWidth="1"/>
    <col min="15" max="15" width="13.5185185185185" style="37" customWidth="1"/>
    <col min="16" max="16" width="14.1296296296296" style="37" customWidth="1"/>
    <col min="17" max="17" width="9.87962962962963" style="37" customWidth="1"/>
    <col min="18" max="18" width="9.87962962962963" style="37"/>
    <col min="19" max="19" width="12.6296296296296" style="37"/>
    <col min="20" max="16384" width="9.87962962962963" style="37"/>
  </cols>
  <sheetData>
    <row r="2" ht="41.4" spans="1:17">
      <c r="A2" s="868" t="s">
        <v>0</v>
      </c>
      <c r="B2" s="875" t="s">
        <v>1</v>
      </c>
      <c r="C2" s="876" t="s">
        <v>2</v>
      </c>
      <c r="D2" s="877" t="s">
        <v>3</v>
      </c>
      <c r="E2" s="868" t="s">
        <v>4</v>
      </c>
      <c r="F2" s="875" t="s">
        <v>5</v>
      </c>
      <c r="G2" s="878" t="s">
        <v>6</v>
      </c>
      <c r="H2" s="878" t="s">
        <v>7</v>
      </c>
      <c r="I2" s="868" t="s">
        <v>8</v>
      </c>
      <c r="J2" s="879" t="s">
        <v>9</v>
      </c>
      <c r="K2" s="875" t="s">
        <v>10</v>
      </c>
      <c r="L2" s="880" t="s">
        <v>11</v>
      </c>
      <c r="M2" s="881" t="s">
        <v>12</v>
      </c>
      <c r="N2" s="879" t="s">
        <v>13</v>
      </c>
      <c r="O2" s="875" t="s">
        <v>14</v>
      </c>
      <c r="P2" s="875" t="s">
        <v>15</v>
      </c>
      <c r="Q2" s="868" t="s">
        <v>16</v>
      </c>
    </row>
    <row r="3" spans="1:17">
      <c r="A3" s="686" t="s">
        <v>17</v>
      </c>
      <c r="B3" s="687">
        <v>6.05</v>
      </c>
      <c r="C3" s="883">
        <v>1427</v>
      </c>
      <c r="D3" s="884">
        <v>1</v>
      </c>
      <c r="E3" s="883" t="s">
        <v>18</v>
      </c>
      <c r="F3" s="883" t="s">
        <v>18</v>
      </c>
      <c r="G3" s="883" t="s">
        <v>18</v>
      </c>
      <c r="H3" s="883" t="s">
        <v>18</v>
      </c>
      <c r="I3" s="883" t="s">
        <v>18</v>
      </c>
      <c r="J3" s="883" t="s">
        <v>18</v>
      </c>
      <c r="K3" s="883" t="s">
        <v>18</v>
      </c>
      <c r="L3" s="883" t="s">
        <v>18</v>
      </c>
      <c r="M3" s="883" t="s">
        <v>18</v>
      </c>
      <c r="N3" s="883" t="s">
        <v>18</v>
      </c>
      <c r="O3" s="883" t="s">
        <v>18</v>
      </c>
      <c r="P3" s="883" t="s">
        <v>18</v>
      </c>
      <c r="Q3" s="883" t="s">
        <v>18</v>
      </c>
    </row>
    <row r="4" spans="1:17">
      <c r="A4" s="686" t="s">
        <v>19</v>
      </c>
      <c r="B4" s="687">
        <v>2731.45</v>
      </c>
      <c r="C4" s="883">
        <v>7691</v>
      </c>
      <c r="D4" s="884">
        <v>349</v>
      </c>
      <c r="E4" s="686">
        <v>0</v>
      </c>
      <c r="F4" s="687">
        <v>0</v>
      </c>
      <c r="G4" s="691">
        <v>2</v>
      </c>
      <c r="H4" s="691">
        <v>2</v>
      </c>
      <c r="I4" s="686">
        <v>11</v>
      </c>
      <c r="J4" s="688">
        <f t="shared" ref="J4:J7" si="0">D4/C4</f>
        <v>0.0453777142114159</v>
      </c>
      <c r="K4" s="687">
        <f t="shared" ref="K4:K7" si="1">B4/D4</f>
        <v>7.82650429799427</v>
      </c>
      <c r="L4" s="886">
        <f t="shared" ref="L4:L7" si="2">(B4/C4)*1000</f>
        <v>355.148875308802</v>
      </c>
      <c r="M4" s="887">
        <f t="shared" ref="M4:M7" si="3">F4/B4</f>
        <v>0</v>
      </c>
      <c r="N4" s="688">
        <f t="shared" ref="N4:O7" si="4">E4/D4</f>
        <v>0</v>
      </c>
      <c r="O4" s="888" t="e">
        <f t="shared" si="4"/>
        <v>#DIV/0!</v>
      </c>
      <c r="P4" s="687" t="e">
        <f t="shared" ref="P4:P7" si="5">B4/E4</f>
        <v>#DIV/0!</v>
      </c>
      <c r="Q4" s="889">
        <f>B4/G4</f>
        <v>1365.725</v>
      </c>
    </row>
    <row r="5" spans="1:17">
      <c r="A5" s="686" t="s">
        <v>20</v>
      </c>
      <c r="B5" s="687">
        <v>1952.96</v>
      </c>
      <c r="C5" s="883">
        <v>39544</v>
      </c>
      <c r="D5" s="884">
        <v>1253</v>
      </c>
      <c r="E5" s="686">
        <v>2</v>
      </c>
      <c r="F5" s="687">
        <v>198</v>
      </c>
      <c r="G5" s="691">
        <v>46</v>
      </c>
      <c r="H5" s="691">
        <v>4</v>
      </c>
      <c r="I5" s="686">
        <v>8</v>
      </c>
      <c r="J5" s="688">
        <f t="shared" si="0"/>
        <v>0.0316862229415335</v>
      </c>
      <c r="K5" s="687">
        <f t="shared" si="1"/>
        <v>1.55862729449322</v>
      </c>
      <c r="L5" s="886">
        <f t="shared" si="2"/>
        <v>49.3870119360712</v>
      </c>
      <c r="M5" s="887">
        <f t="shared" si="3"/>
        <v>0.101384564968048</v>
      </c>
      <c r="N5" s="688">
        <f t="shared" si="4"/>
        <v>0.00159616919393456</v>
      </c>
      <c r="O5" s="687">
        <f t="shared" si="4"/>
        <v>99</v>
      </c>
      <c r="P5" s="687">
        <f t="shared" si="5"/>
        <v>976.48</v>
      </c>
      <c r="Q5" s="889">
        <f t="shared" ref="Q5:Q7" si="6">B5/G5</f>
        <v>42.455652173913</v>
      </c>
    </row>
    <row r="6" spans="1:17">
      <c r="A6" s="686" t="s">
        <v>21</v>
      </c>
      <c r="B6" s="687" t="s">
        <v>18</v>
      </c>
      <c r="C6" s="687" t="s">
        <v>18</v>
      </c>
      <c r="D6" s="687" t="s">
        <v>18</v>
      </c>
      <c r="E6" s="687" t="s">
        <v>18</v>
      </c>
      <c r="F6" s="687" t="s">
        <v>18</v>
      </c>
      <c r="G6" s="687" t="s">
        <v>18</v>
      </c>
      <c r="H6" s="687" t="s">
        <v>18</v>
      </c>
      <c r="I6" s="687" t="s">
        <v>18</v>
      </c>
      <c r="J6" s="687" t="s">
        <v>18</v>
      </c>
      <c r="K6" s="687" t="s">
        <v>18</v>
      </c>
      <c r="L6" s="687" t="s">
        <v>18</v>
      </c>
      <c r="M6" s="687" t="s">
        <v>18</v>
      </c>
      <c r="N6" s="687" t="s">
        <v>18</v>
      </c>
      <c r="O6" s="687" t="s">
        <v>18</v>
      </c>
      <c r="P6" s="687" t="s">
        <v>18</v>
      </c>
      <c r="Q6" s="687" t="s">
        <v>18</v>
      </c>
    </row>
    <row r="7" spans="1:17">
      <c r="A7" s="891" t="s">
        <v>22</v>
      </c>
      <c r="B7" s="892">
        <f t="shared" ref="B7:I7" si="7">SUM(B3:B6)</f>
        <v>4690.46</v>
      </c>
      <c r="C7" s="893">
        <f t="shared" si="7"/>
        <v>48662</v>
      </c>
      <c r="D7" s="894">
        <f t="shared" si="7"/>
        <v>1603</v>
      </c>
      <c r="E7" s="891">
        <f t="shared" si="7"/>
        <v>2</v>
      </c>
      <c r="F7" s="892">
        <f t="shared" si="7"/>
        <v>198</v>
      </c>
      <c r="G7" s="895">
        <f t="shared" si="7"/>
        <v>48</v>
      </c>
      <c r="H7" s="895">
        <f t="shared" si="7"/>
        <v>6</v>
      </c>
      <c r="I7" s="891">
        <f t="shared" si="7"/>
        <v>19</v>
      </c>
      <c r="J7" s="896">
        <f t="shared" si="0"/>
        <v>0.0329415149397887</v>
      </c>
      <c r="K7" s="892">
        <f t="shared" si="1"/>
        <v>2.92605115408609</v>
      </c>
      <c r="L7" s="897">
        <f t="shared" si="2"/>
        <v>96.388557806913</v>
      </c>
      <c r="M7" s="898">
        <f t="shared" si="3"/>
        <v>0.0422133436805772</v>
      </c>
      <c r="N7" s="896">
        <f t="shared" si="4"/>
        <v>0.00124766063630692</v>
      </c>
      <c r="O7" s="892">
        <f t="shared" si="4"/>
        <v>99</v>
      </c>
      <c r="P7" s="899">
        <f t="shared" si="5"/>
        <v>2345.23</v>
      </c>
      <c r="Q7" s="889">
        <f t="shared" si="6"/>
        <v>97.7179166666667</v>
      </c>
    </row>
    <row r="10" ht="41.4" spans="1:17">
      <c r="A10" s="868" t="s">
        <v>23</v>
      </c>
      <c r="B10" s="875" t="s">
        <v>1</v>
      </c>
      <c r="C10" s="876" t="s">
        <v>2</v>
      </c>
      <c r="D10" s="877" t="s">
        <v>3</v>
      </c>
      <c r="E10" s="868" t="s">
        <v>4</v>
      </c>
      <c r="F10" s="875" t="s">
        <v>5</v>
      </c>
      <c r="G10" s="878" t="s">
        <v>6</v>
      </c>
      <c r="H10" s="878" t="s">
        <v>7</v>
      </c>
      <c r="I10" s="868" t="s">
        <v>8</v>
      </c>
      <c r="J10" s="879" t="s">
        <v>9</v>
      </c>
      <c r="K10" s="875" t="s">
        <v>10</v>
      </c>
      <c r="L10" s="880" t="s">
        <v>11</v>
      </c>
      <c r="M10" s="881" t="s">
        <v>12</v>
      </c>
      <c r="N10" s="879" t="s">
        <v>13</v>
      </c>
      <c r="O10" s="875" t="s">
        <v>14</v>
      </c>
      <c r="P10" s="875" t="s">
        <v>15</v>
      </c>
      <c r="Q10" s="868" t="s">
        <v>16</v>
      </c>
    </row>
    <row r="11" spans="1:17">
      <c r="A11" s="686" t="s">
        <v>19</v>
      </c>
      <c r="B11" s="687">
        <v>22646</v>
      </c>
      <c r="C11" s="883">
        <v>24719</v>
      </c>
      <c r="D11" s="884">
        <v>1047</v>
      </c>
      <c r="E11" s="686">
        <v>1</v>
      </c>
      <c r="F11" s="687">
        <v>99</v>
      </c>
      <c r="G11" s="691">
        <v>13</v>
      </c>
      <c r="H11" s="691">
        <v>3</v>
      </c>
      <c r="I11" s="686">
        <v>20</v>
      </c>
      <c r="J11" s="688">
        <f t="shared" ref="J11:J14" si="8">D11/C11</f>
        <v>0.0423560823657915</v>
      </c>
      <c r="K11" s="687">
        <f t="shared" ref="K11:K14" si="9">B11/D11</f>
        <v>21.629417382999</v>
      </c>
      <c r="L11" s="886">
        <f t="shared" ref="L11:L14" si="10">(B11/C11)*1000</f>
        <v>916.13738419839</v>
      </c>
      <c r="M11" s="887">
        <f t="shared" ref="M11:M14" si="11">F11/B11</f>
        <v>0.00437163295946304</v>
      </c>
      <c r="N11" s="688">
        <f t="shared" ref="N11:O14" si="12">E11/D11</f>
        <v>0.000955109837631328</v>
      </c>
      <c r="O11" s="888">
        <f>F11/E11</f>
        <v>99</v>
      </c>
      <c r="P11" s="687">
        <f>B11/E11</f>
        <v>22646</v>
      </c>
      <c r="Q11" s="889">
        <f t="shared" ref="Q11:Q14" si="13">B11/G11</f>
        <v>1742</v>
      </c>
    </row>
    <row r="12" spans="1:17">
      <c r="A12" s="686" t="s">
        <v>20</v>
      </c>
      <c r="B12" s="687">
        <v>5688.53</v>
      </c>
      <c r="C12" s="883">
        <v>84202</v>
      </c>
      <c r="D12" s="884">
        <v>2773</v>
      </c>
      <c r="E12" s="686">
        <v>2</v>
      </c>
      <c r="F12" s="687">
        <v>198</v>
      </c>
      <c r="G12" s="691">
        <v>51</v>
      </c>
      <c r="H12" s="691">
        <v>14</v>
      </c>
      <c r="I12" s="686">
        <v>14</v>
      </c>
      <c r="J12" s="688">
        <f t="shared" si="8"/>
        <v>0.0329327094368305</v>
      </c>
      <c r="K12" s="687">
        <f t="shared" si="9"/>
        <v>2.05139920663541</v>
      </c>
      <c r="L12" s="886">
        <f t="shared" si="10"/>
        <v>67.5581340110686</v>
      </c>
      <c r="M12" s="887">
        <f t="shared" si="11"/>
        <v>0.034806883324866</v>
      </c>
      <c r="N12" s="688">
        <f t="shared" si="12"/>
        <v>0.000721240533717995</v>
      </c>
      <c r="O12" s="687">
        <f t="shared" si="12"/>
        <v>99</v>
      </c>
      <c r="P12" s="687">
        <f t="shared" ref="P12:P14" si="14">B12/E12</f>
        <v>2844.265</v>
      </c>
      <c r="Q12" s="889">
        <f t="shared" si="13"/>
        <v>111.539803921569</v>
      </c>
    </row>
    <row r="13" spans="1:17">
      <c r="A13" s="686" t="s">
        <v>21</v>
      </c>
      <c r="B13" s="687">
        <v>1337.93</v>
      </c>
      <c r="C13" s="883">
        <v>197627</v>
      </c>
      <c r="D13" s="884">
        <v>1649</v>
      </c>
      <c r="E13" s="686">
        <v>0</v>
      </c>
      <c r="F13" s="687">
        <v>0</v>
      </c>
      <c r="G13" s="691">
        <v>8</v>
      </c>
      <c r="H13" s="691">
        <v>12</v>
      </c>
      <c r="I13" s="686">
        <v>2</v>
      </c>
      <c r="J13" s="688">
        <f t="shared" si="8"/>
        <v>0.00834400157873165</v>
      </c>
      <c r="K13" s="687">
        <f t="shared" si="9"/>
        <v>0.811358399029715</v>
      </c>
      <c r="L13" s="886">
        <f t="shared" si="10"/>
        <v>6.76997576242113</v>
      </c>
      <c r="M13" s="887">
        <f t="shared" si="11"/>
        <v>0</v>
      </c>
      <c r="N13" s="688">
        <f t="shared" si="12"/>
        <v>0</v>
      </c>
      <c r="O13" s="888" t="e">
        <f t="shared" si="12"/>
        <v>#DIV/0!</v>
      </c>
      <c r="P13" s="687" t="e">
        <f t="shared" si="14"/>
        <v>#DIV/0!</v>
      </c>
      <c r="Q13" s="889">
        <f t="shared" si="13"/>
        <v>167.24125</v>
      </c>
    </row>
    <row r="14" spans="1:17">
      <c r="A14" s="891" t="s">
        <v>22</v>
      </c>
      <c r="B14" s="892">
        <f t="shared" ref="B14:I14" si="15">SUM(B11:B13)</f>
        <v>29672.46</v>
      </c>
      <c r="C14" s="893">
        <f t="shared" si="15"/>
        <v>306548</v>
      </c>
      <c r="D14" s="894">
        <f t="shared" si="15"/>
        <v>5469</v>
      </c>
      <c r="E14" s="891">
        <f t="shared" si="15"/>
        <v>3</v>
      </c>
      <c r="F14" s="892">
        <f t="shared" si="15"/>
        <v>297</v>
      </c>
      <c r="G14" s="895">
        <f t="shared" si="15"/>
        <v>72</v>
      </c>
      <c r="H14" s="895">
        <f t="shared" si="15"/>
        <v>29</v>
      </c>
      <c r="I14" s="891">
        <f t="shared" si="15"/>
        <v>36</v>
      </c>
      <c r="J14" s="896">
        <f t="shared" si="8"/>
        <v>0.0178405991883816</v>
      </c>
      <c r="K14" s="892">
        <f t="shared" si="9"/>
        <v>5.42557323093801</v>
      </c>
      <c r="L14" s="897">
        <f t="shared" si="10"/>
        <v>96.7954773803776</v>
      </c>
      <c r="M14" s="898">
        <f t="shared" si="11"/>
        <v>0.0100092813336002</v>
      </c>
      <c r="N14" s="896">
        <f t="shared" si="12"/>
        <v>0.000548546352166758</v>
      </c>
      <c r="O14" s="892">
        <f t="shared" si="12"/>
        <v>99</v>
      </c>
      <c r="P14" s="899">
        <f t="shared" si="14"/>
        <v>9890.82</v>
      </c>
      <c r="Q14" s="889">
        <f t="shared" si="13"/>
        <v>412.1175</v>
      </c>
    </row>
    <row r="17" ht="41.4" spans="1:17">
      <c r="A17" s="868" t="s">
        <v>24</v>
      </c>
      <c r="B17" s="875" t="s">
        <v>1</v>
      </c>
      <c r="C17" s="876" t="s">
        <v>2</v>
      </c>
      <c r="D17" s="877" t="s">
        <v>3</v>
      </c>
      <c r="E17" s="868" t="s">
        <v>4</v>
      </c>
      <c r="F17" s="875" t="s">
        <v>5</v>
      </c>
      <c r="G17" s="878" t="s">
        <v>6</v>
      </c>
      <c r="H17" s="878" t="s">
        <v>7</v>
      </c>
      <c r="I17" s="868" t="s">
        <v>8</v>
      </c>
      <c r="J17" s="879" t="s">
        <v>9</v>
      </c>
      <c r="K17" s="875" t="s">
        <v>10</v>
      </c>
      <c r="L17" s="880" t="s">
        <v>11</v>
      </c>
      <c r="M17" s="881" t="s">
        <v>12</v>
      </c>
      <c r="N17" s="879" t="s">
        <v>13</v>
      </c>
      <c r="O17" s="875" t="s">
        <v>14</v>
      </c>
      <c r="P17" s="875" t="s">
        <v>15</v>
      </c>
      <c r="Q17" s="868" t="s">
        <v>16</v>
      </c>
    </row>
    <row r="18" spans="1:17">
      <c r="A18" s="686" t="s">
        <v>19</v>
      </c>
      <c r="B18" s="687">
        <v>2866.29</v>
      </c>
      <c r="C18" s="883">
        <v>12670</v>
      </c>
      <c r="D18" s="884">
        <v>404</v>
      </c>
      <c r="E18" s="686">
        <v>3</v>
      </c>
      <c r="F18" s="687">
        <v>600</v>
      </c>
      <c r="G18" s="691">
        <v>2</v>
      </c>
      <c r="H18" s="691">
        <v>1</v>
      </c>
      <c r="I18" s="686">
        <v>12</v>
      </c>
      <c r="J18" s="688">
        <f t="shared" ref="J18:J21" si="16">D18/C18</f>
        <v>0.0318863456985004</v>
      </c>
      <c r="K18" s="687">
        <f t="shared" ref="K18:K21" si="17">B18/D18</f>
        <v>7.09477722772277</v>
      </c>
      <c r="L18" s="886">
        <f>(B18/C18)*1000</f>
        <v>226.226519337017</v>
      </c>
      <c r="M18" s="887">
        <f t="shared" ref="M18:M21" si="18">F18/B18</f>
        <v>0.209329830547502</v>
      </c>
      <c r="N18" s="688">
        <f t="shared" ref="N18:O21" si="19">E18/D18</f>
        <v>0.00742574257425743</v>
      </c>
      <c r="O18" s="888">
        <f t="shared" si="19"/>
        <v>200</v>
      </c>
      <c r="P18" s="687">
        <f t="shared" ref="P18:P21" si="20">B18/E18</f>
        <v>955.43</v>
      </c>
      <c r="Q18" s="889">
        <f t="shared" ref="Q18:Q21" si="21">B18/G18</f>
        <v>1433.145</v>
      </c>
    </row>
    <row r="19" spans="1:17">
      <c r="A19" s="686" t="s">
        <v>20</v>
      </c>
      <c r="B19" s="687">
        <v>3311.5</v>
      </c>
      <c r="C19" s="883">
        <v>120004</v>
      </c>
      <c r="D19" s="884">
        <v>2346</v>
      </c>
      <c r="E19" s="686">
        <v>0</v>
      </c>
      <c r="F19" s="687">
        <v>0</v>
      </c>
      <c r="G19" s="691">
        <v>1</v>
      </c>
      <c r="H19" s="691">
        <v>2</v>
      </c>
      <c r="I19" s="686">
        <v>8</v>
      </c>
      <c r="J19" s="688">
        <f t="shared" si="16"/>
        <v>0.0195493483550548</v>
      </c>
      <c r="K19" s="687">
        <f t="shared" si="17"/>
        <v>1.4115515771526</v>
      </c>
      <c r="L19" s="886">
        <f t="shared" ref="L19:L21" si="22">(B19/C19)*1000</f>
        <v>27.5949135028832</v>
      </c>
      <c r="M19" s="887">
        <f t="shared" si="18"/>
        <v>0</v>
      </c>
      <c r="N19" s="688">
        <f t="shared" si="19"/>
        <v>0</v>
      </c>
      <c r="O19" s="687" t="e">
        <f t="shared" si="19"/>
        <v>#DIV/0!</v>
      </c>
      <c r="P19" s="687" t="e">
        <f t="shared" si="20"/>
        <v>#DIV/0!</v>
      </c>
      <c r="Q19" s="889">
        <f t="shared" si="21"/>
        <v>3311.5</v>
      </c>
    </row>
    <row r="20" spans="1:17">
      <c r="A20" s="686" t="s">
        <v>21</v>
      </c>
      <c r="B20" s="687">
        <v>2031.5</v>
      </c>
      <c r="C20" s="883">
        <v>219571</v>
      </c>
      <c r="D20" s="884">
        <v>1511</v>
      </c>
      <c r="E20" s="686">
        <v>0</v>
      </c>
      <c r="F20" s="687">
        <v>0</v>
      </c>
      <c r="G20" s="691">
        <v>2</v>
      </c>
      <c r="H20" s="691">
        <v>14</v>
      </c>
      <c r="I20" s="686">
        <v>0</v>
      </c>
      <c r="J20" s="688">
        <f t="shared" si="16"/>
        <v>0.00688160094001485</v>
      </c>
      <c r="K20" s="687">
        <f t="shared" si="17"/>
        <v>1.34447385837194</v>
      </c>
      <c r="L20" s="886">
        <f t="shared" si="22"/>
        <v>9.25213256759772</v>
      </c>
      <c r="M20" s="887">
        <f t="shared" si="18"/>
        <v>0</v>
      </c>
      <c r="N20" s="688">
        <f t="shared" si="19"/>
        <v>0</v>
      </c>
      <c r="O20" s="888" t="e">
        <f t="shared" si="19"/>
        <v>#DIV/0!</v>
      </c>
      <c r="P20" s="687" t="e">
        <f t="shared" si="20"/>
        <v>#DIV/0!</v>
      </c>
      <c r="Q20" s="889">
        <f t="shared" si="21"/>
        <v>1015.75</v>
      </c>
    </row>
    <row r="21" spans="1:17">
      <c r="A21" s="891" t="s">
        <v>22</v>
      </c>
      <c r="B21" s="892">
        <f t="shared" ref="B21:I21" si="23">SUM(B18:B20)</f>
        <v>8209.29</v>
      </c>
      <c r="C21" s="893">
        <f t="shared" si="23"/>
        <v>352245</v>
      </c>
      <c r="D21" s="894">
        <f t="shared" si="23"/>
        <v>4261</v>
      </c>
      <c r="E21" s="891">
        <f t="shared" si="23"/>
        <v>3</v>
      </c>
      <c r="F21" s="892">
        <f t="shared" si="23"/>
        <v>600</v>
      </c>
      <c r="G21" s="895">
        <f t="shared" si="23"/>
        <v>5</v>
      </c>
      <c r="H21" s="895">
        <f t="shared" si="23"/>
        <v>17</v>
      </c>
      <c r="I21" s="891">
        <f t="shared" si="23"/>
        <v>20</v>
      </c>
      <c r="J21" s="896">
        <f t="shared" si="16"/>
        <v>0.0120966940623714</v>
      </c>
      <c r="K21" s="892">
        <f t="shared" si="17"/>
        <v>1.92661112414926</v>
      </c>
      <c r="L21" s="897">
        <f t="shared" si="22"/>
        <v>23.305625345995</v>
      </c>
      <c r="M21" s="898">
        <f t="shared" si="18"/>
        <v>0.0730879284323005</v>
      </c>
      <c r="N21" s="896">
        <f t="shared" si="19"/>
        <v>0.000704060079793476</v>
      </c>
      <c r="O21" s="892">
        <f t="shared" si="19"/>
        <v>200</v>
      </c>
      <c r="P21" s="899">
        <f t="shared" si="20"/>
        <v>2736.43</v>
      </c>
      <c r="Q21" s="889">
        <f t="shared" si="21"/>
        <v>1641.858</v>
      </c>
    </row>
    <row r="25" spans="1:17">
      <c r="A25" s="900" t="s">
        <v>25</v>
      </c>
    </row>
    <row r="26" ht="41.4" spans="1:17">
      <c r="A26" s="868" t="s">
        <v>26</v>
      </c>
      <c r="B26" s="875" t="s">
        <v>1</v>
      </c>
      <c r="C26" s="876" t="s">
        <v>2</v>
      </c>
      <c r="D26" s="877" t="s">
        <v>3</v>
      </c>
      <c r="E26" s="868" t="s">
        <v>4</v>
      </c>
      <c r="F26" s="875" t="s">
        <v>5</v>
      </c>
      <c r="G26" s="878" t="s">
        <v>6</v>
      </c>
      <c r="H26" s="878" t="s">
        <v>7</v>
      </c>
      <c r="I26" s="868" t="s">
        <v>8</v>
      </c>
      <c r="J26" s="879" t="s">
        <v>9</v>
      </c>
      <c r="K26" s="875" t="s">
        <v>10</v>
      </c>
      <c r="L26" s="880" t="s">
        <v>11</v>
      </c>
      <c r="M26" s="881" t="s">
        <v>12</v>
      </c>
      <c r="N26" s="879" t="s">
        <v>13</v>
      </c>
      <c r="O26" s="875" t="s">
        <v>14</v>
      </c>
      <c r="P26" s="875" t="s">
        <v>15</v>
      </c>
      <c r="Q26" s="868" t="s">
        <v>16</v>
      </c>
    </row>
    <row r="27" spans="1:17">
      <c r="A27" s="686" t="s">
        <v>19</v>
      </c>
      <c r="B27" s="685">
        <f>SUM(明星店铺!B514:B522)</f>
        <v>496.42</v>
      </c>
      <c r="C27" s="901">
        <f>SUM(明星店铺!C514:C522)</f>
        <v>670</v>
      </c>
      <c r="D27" s="901">
        <f>SUM(明星店铺!D514:D522)</f>
        <v>180</v>
      </c>
      <c r="E27" s="690">
        <f>SUM(明星店铺!E514:E522)</f>
        <v>3</v>
      </c>
      <c r="F27" s="685">
        <f>SUM(明星店铺!F514:F522)</f>
        <v>3</v>
      </c>
      <c r="G27" s="690">
        <f>SUM(明星店铺!G514:G522)</f>
        <v>38</v>
      </c>
      <c r="H27" s="690">
        <f>SUM(明星店铺!H514:H522)</f>
        <v>8</v>
      </c>
      <c r="I27" s="690">
        <f>SUM(明星店铺!I514:I522)</f>
        <v>6</v>
      </c>
      <c r="J27" s="688">
        <f t="shared" ref="J27:J30" si="24">D27/C27</f>
        <v>0.26865671641791</v>
      </c>
      <c r="K27" s="685">
        <f t="shared" ref="K27:K30" si="25">B27/D27</f>
        <v>2.75788888888889</v>
      </c>
      <c r="L27" s="886">
        <f t="shared" ref="L27:L30" si="26">(B27/C27)*1000</f>
        <v>740.925373134328</v>
      </c>
      <c r="M27" s="887">
        <f t="shared" ref="M27:M30" si="27">F27/B27</f>
        <v>0.00604326981185287</v>
      </c>
      <c r="N27" s="688">
        <f>E27/D27</f>
        <v>0.0166666666666667</v>
      </c>
      <c r="O27" s="685">
        <f t="shared" ref="N27:O29" si="28">F27/E27</f>
        <v>1</v>
      </c>
      <c r="P27" s="685">
        <f t="shared" ref="P27:P30" si="29">B27/E27</f>
        <v>165.473333333333</v>
      </c>
      <c r="Q27" s="902">
        <f t="shared" ref="Q27:Q30" si="30">B27/G27</f>
        <v>13.0636842105263</v>
      </c>
    </row>
    <row r="28" spans="1:17">
      <c r="A28" s="686" t="s">
        <v>20</v>
      </c>
      <c r="B28" s="685">
        <f>SUM(直通车!B514:B522)</f>
        <v>8646.78</v>
      </c>
      <c r="C28" s="901">
        <f>SUM(直通车!C514:C522)</f>
        <v>32943</v>
      </c>
      <c r="D28" s="901">
        <f>SUM(直通车!D514:D522)</f>
        <v>2523</v>
      </c>
      <c r="E28" s="690">
        <f>SUM(直通车!E514:E522)</f>
        <v>1</v>
      </c>
      <c r="F28" s="685">
        <f>SUM(直通车!F514:F522)</f>
        <v>1</v>
      </c>
      <c r="G28" s="690">
        <f>SUM(直通车!G514:G522)</f>
        <v>62</v>
      </c>
      <c r="H28" s="690">
        <f>SUM(直通车!H514:H522)</f>
        <v>37</v>
      </c>
      <c r="I28" s="690">
        <f>SUM(直通车!I514:I522)</f>
        <v>12</v>
      </c>
      <c r="J28" s="688">
        <f t="shared" si="24"/>
        <v>0.0765868318003825</v>
      </c>
      <c r="K28" s="685">
        <f t="shared" si="25"/>
        <v>3.42718192627824</v>
      </c>
      <c r="L28" s="886">
        <f t="shared" si="26"/>
        <v>262.477005737182</v>
      </c>
      <c r="M28" s="887">
        <f t="shared" si="27"/>
        <v>0.000115649987625451</v>
      </c>
      <c r="N28" s="688">
        <f t="shared" si="28"/>
        <v>0.000396353547364249</v>
      </c>
      <c r="O28" s="685">
        <f t="shared" si="28"/>
        <v>1</v>
      </c>
      <c r="P28" s="685">
        <f t="shared" si="29"/>
        <v>8646.78</v>
      </c>
      <c r="Q28" s="902">
        <f t="shared" si="30"/>
        <v>139.464193548387</v>
      </c>
    </row>
    <row r="29" spans="1:17">
      <c r="A29" s="686" t="s">
        <v>21</v>
      </c>
      <c r="B29" s="685">
        <f>SUM(引力魔方!B413:B421)</f>
        <v>4176.9</v>
      </c>
      <c r="C29" s="901">
        <f>SUM(引力魔方!C413:C421)</f>
        <v>444197</v>
      </c>
      <c r="D29" s="901">
        <f>SUM(引力魔方!D413:D421)</f>
        <v>2732</v>
      </c>
      <c r="E29" s="690">
        <f>SUM(引力魔方!E413:E421)</f>
        <v>0</v>
      </c>
      <c r="F29" s="685">
        <f>SUM(引力魔方!F413:F421)</f>
        <v>0</v>
      </c>
      <c r="G29" s="690">
        <f>SUM(引力魔方!G413:G421)</f>
        <v>25</v>
      </c>
      <c r="H29" s="690">
        <f>SUM(引力魔方!H413:H421)</f>
        <v>14</v>
      </c>
      <c r="I29" s="690">
        <f>SUM(引力魔方!I413:I421)</f>
        <v>2</v>
      </c>
      <c r="J29" s="688">
        <f t="shared" si="24"/>
        <v>0.00615042424870046</v>
      </c>
      <c r="K29" s="685">
        <f t="shared" si="25"/>
        <v>1.52887994143485</v>
      </c>
      <c r="L29" s="886">
        <f t="shared" si="26"/>
        <v>9.40326026515262</v>
      </c>
      <c r="M29" s="887">
        <f t="shared" si="27"/>
        <v>0</v>
      </c>
      <c r="N29" s="688">
        <f t="shared" si="28"/>
        <v>0</v>
      </c>
      <c r="O29" s="685" t="e">
        <f t="shared" si="28"/>
        <v>#DIV/0!</v>
      </c>
      <c r="P29" s="685" t="e">
        <f t="shared" si="29"/>
        <v>#DIV/0!</v>
      </c>
      <c r="Q29" s="902">
        <f t="shared" si="30"/>
        <v>167.076</v>
      </c>
    </row>
    <row r="30" spans="1:17">
      <c r="A30" s="686" t="s">
        <v>27</v>
      </c>
      <c r="B30" s="685">
        <f>SUM(万相台!B2:B10)</f>
        <v>1014.03</v>
      </c>
      <c r="C30" s="901">
        <f>SUM(万相台!C2:C10)</f>
        <v>96394</v>
      </c>
      <c r="D30" s="901">
        <f>SUM(万相台!D2:D10)</f>
        <v>1126</v>
      </c>
      <c r="E30" s="690">
        <f>SUM(万相台!E2:E10)</f>
        <v>0</v>
      </c>
      <c r="F30" s="685">
        <f>SUM(万相台!F2:F10)</f>
        <v>0</v>
      </c>
      <c r="G30" s="690">
        <f>SUM(万相台!G2:G10)</f>
        <v>22</v>
      </c>
      <c r="H30" s="690">
        <f>SUM(万相台!H2:H10)</f>
        <v>12</v>
      </c>
      <c r="I30" s="690"/>
      <c r="J30" s="688">
        <f t="shared" si="24"/>
        <v>0.0116812249725087</v>
      </c>
      <c r="K30" s="685">
        <f t="shared" si="25"/>
        <v>0.900559502664298</v>
      </c>
      <c r="L30" s="886">
        <f t="shared" si="26"/>
        <v>10.5196381517522</v>
      </c>
      <c r="M30" s="887">
        <f t="shared" si="27"/>
        <v>0</v>
      </c>
      <c r="N30" s="688">
        <f>E30/D30</f>
        <v>0</v>
      </c>
      <c r="O30" s="685" t="e">
        <f>F30/E30</f>
        <v>#DIV/0!</v>
      </c>
      <c r="P30" s="685" t="e">
        <f t="shared" si="29"/>
        <v>#DIV/0!</v>
      </c>
      <c r="Q30" s="902">
        <f t="shared" si="30"/>
        <v>46.0922727272727</v>
      </c>
    </row>
    <row r="31" spans="1:17">
      <c r="A31" s="891" t="s">
        <v>22</v>
      </c>
      <c r="B31" s="903">
        <f t="shared" ref="B31:I31" si="31">SUM(B27:B30)</f>
        <v>14334.13</v>
      </c>
      <c r="C31" s="904">
        <f t="shared" si="31"/>
        <v>574204</v>
      </c>
      <c r="D31" s="904">
        <f t="shared" si="31"/>
        <v>6561</v>
      </c>
      <c r="E31" s="904">
        <f t="shared" si="31"/>
        <v>4</v>
      </c>
      <c r="F31" s="903">
        <f t="shared" si="31"/>
        <v>4</v>
      </c>
      <c r="G31" s="904">
        <f t="shared" si="31"/>
        <v>147</v>
      </c>
      <c r="H31" s="904">
        <f t="shared" si="31"/>
        <v>71</v>
      </c>
      <c r="I31" s="904">
        <f t="shared" si="31"/>
        <v>20</v>
      </c>
      <c r="J31" s="896">
        <f t="shared" ref="J31" si="32">D31/C31</f>
        <v>0.0114262526906814</v>
      </c>
      <c r="K31" s="903">
        <f t="shared" ref="K31" si="33">B31/D31</f>
        <v>2.18474775186709</v>
      </c>
      <c r="L31" s="897">
        <f t="shared" ref="L31" si="34">(B31/C31)*1000</f>
        <v>24.9634798782314</v>
      </c>
      <c r="M31" s="898">
        <f t="shared" ref="M31" si="35">F31/B31</f>
        <v>0.000279054257216866</v>
      </c>
      <c r="N31" s="896">
        <f t="shared" ref="N31:O31" si="36">E31/D31</f>
        <v>0.00060966316110349</v>
      </c>
      <c r="O31" s="903">
        <f t="shared" si="36"/>
        <v>1</v>
      </c>
      <c r="P31" s="903">
        <f t="shared" ref="P31" si="37">B31/E31</f>
        <v>3583.5325</v>
      </c>
      <c r="Q31" s="902">
        <f t="shared" ref="Q31" si="38">B31/G31</f>
        <v>97.5110884353742</v>
      </c>
    </row>
    <row r="32" spans="1:17">
      <c r="A32" s="900"/>
      <c r="B32" s="905"/>
      <c r="C32" s="906"/>
      <c r="D32" s="906"/>
      <c r="E32" s="906"/>
      <c r="F32" s="905"/>
      <c r="G32" s="906"/>
      <c r="H32" s="906"/>
      <c r="I32" s="906"/>
      <c r="J32" s="907"/>
      <c r="K32" s="905"/>
      <c r="L32" s="908"/>
      <c r="M32" s="909"/>
      <c r="N32" s="907"/>
      <c r="O32" s="910"/>
      <c r="P32" s="905"/>
      <c r="Q32" s="911"/>
    </row>
    <row r="33" ht="41.4" spans="1:17">
      <c r="A33" s="868" t="s">
        <v>28</v>
      </c>
      <c r="B33" s="869" t="s">
        <v>1</v>
      </c>
      <c r="C33" s="870" t="s">
        <v>2</v>
      </c>
      <c r="D33" s="870" t="s">
        <v>3</v>
      </c>
      <c r="E33" s="871" t="s">
        <v>4</v>
      </c>
      <c r="F33" s="869" t="s">
        <v>5</v>
      </c>
      <c r="G33" s="871" t="s">
        <v>6</v>
      </c>
      <c r="H33" s="871" t="s">
        <v>7</v>
      </c>
      <c r="I33" s="871" t="s">
        <v>8</v>
      </c>
      <c r="J33" s="879" t="s">
        <v>9</v>
      </c>
      <c r="K33" s="869" t="s">
        <v>10</v>
      </c>
      <c r="L33" s="880" t="s">
        <v>11</v>
      </c>
      <c r="M33" s="881" t="s">
        <v>12</v>
      </c>
      <c r="N33" s="879" t="s">
        <v>13</v>
      </c>
      <c r="O33" s="875" t="s">
        <v>14</v>
      </c>
      <c r="P33" s="869" t="s">
        <v>15</v>
      </c>
      <c r="Q33" s="912" t="s">
        <v>16</v>
      </c>
    </row>
    <row r="34" spans="1:17">
      <c r="A34" s="686" t="s">
        <v>19</v>
      </c>
      <c r="B34" s="685">
        <f>SUM(明星店铺!B523:B552)</f>
        <v>1129.72</v>
      </c>
      <c r="C34" s="901">
        <f>SUM(明星店铺!C523:C552)</f>
        <v>1507</v>
      </c>
      <c r="D34" s="901">
        <f>SUM(明星店铺!D523:D552)</f>
        <v>586</v>
      </c>
      <c r="E34" s="690">
        <f>SUM(明星店铺!E523:E552)</f>
        <v>5</v>
      </c>
      <c r="F34" s="685">
        <f>SUM(明星店铺!F523:F552)</f>
        <v>7282.8</v>
      </c>
      <c r="G34" s="690">
        <f>SUM(明星店铺!G523:G552)</f>
        <v>84</v>
      </c>
      <c r="H34" s="690">
        <f>SUM(明星店铺!H523:H552)</f>
        <v>17</v>
      </c>
      <c r="I34" s="690">
        <f>SUM(明星店铺!I523:I552)</f>
        <v>26</v>
      </c>
      <c r="J34" s="688">
        <f t="shared" ref="J34:J37" si="39">D34/C34</f>
        <v>0.38885202388852</v>
      </c>
      <c r="K34" s="685">
        <f t="shared" ref="K34:K37" si="40">B34/D34</f>
        <v>1.92784982935154</v>
      </c>
      <c r="L34" s="886">
        <f t="shared" ref="L34:L37" si="41">(B34/C34)*1000</f>
        <v>749.648307896483</v>
      </c>
      <c r="M34" s="887">
        <f t="shared" ref="M34:M37" si="42">F34/B34</f>
        <v>6.44655312820876</v>
      </c>
      <c r="N34" s="688">
        <f t="shared" ref="N34:O36" si="43">E34/D34</f>
        <v>0.00853242320819113</v>
      </c>
      <c r="O34" s="685">
        <f t="shared" si="43"/>
        <v>1456.56</v>
      </c>
      <c r="P34" s="685">
        <f t="shared" ref="P34:P37" si="44">B34/E34</f>
        <v>225.944</v>
      </c>
      <c r="Q34" s="902">
        <f t="shared" ref="Q34:Q37" si="45">B34/G34</f>
        <v>13.4490476190476</v>
      </c>
    </row>
    <row r="35" spans="1:17">
      <c r="A35" s="686" t="s">
        <v>20</v>
      </c>
      <c r="B35" s="685">
        <f>SUM(直通车!B523:B552)</f>
        <v>38763.28</v>
      </c>
      <c r="C35" s="901">
        <f>SUM(直通车!C523:C552)</f>
        <v>174099</v>
      </c>
      <c r="D35" s="901">
        <f>SUM(直通车!D523:D552)</f>
        <v>10706</v>
      </c>
      <c r="E35" s="690">
        <f>SUM(直通车!E523:E552)</f>
        <v>19</v>
      </c>
      <c r="F35" s="685">
        <f>SUM(直通车!F523:F552)</f>
        <v>24965.1</v>
      </c>
      <c r="G35" s="690">
        <f>SUM(直通车!G523:G552)</f>
        <v>252</v>
      </c>
      <c r="H35" s="690">
        <f>SUM(直通车!H523:H552)</f>
        <v>177</v>
      </c>
      <c r="I35" s="690">
        <f>SUM(直通车!I523:I552)</f>
        <v>88</v>
      </c>
      <c r="J35" s="688">
        <f t="shared" si="39"/>
        <v>0.061493747810154</v>
      </c>
      <c r="K35" s="685">
        <f t="shared" si="40"/>
        <v>3.62070614608631</v>
      </c>
      <c r="L35" s="886">
        <f t="shared" si="41"/>
        <v>222.650790642106</v>
      </c>
      <c r="M35" s="887">
        <f t="shared" si="42"/>
        <v>0.644039926445853</v>
      </c>
      <c r="N35" s="688">
        <f t="shared" si="43"/>
        <v>0.00177470577246404</v>
      </c>
      <c r="O35" s="685">
        <f t="shared" si="43"/>
        <v>1313.95263157895</v>
      </c>
      <c r="P35" s="685">
        <f t="shared" si="44"/>
        <v>2040.17263157895</v>
      </c>
      <c r="Q35" s="902">
        <f t="shared" si="45"/>
        <v>153.82253968254</v>
      </c>
    </row>
    <row r="36" spans="1:17">
      <c r="A36" s="686" t="s">
        <v>21</v>
      </c>
      <c r="B36" s="685">
        <f>SUM(引力魔方!B422:B451)</f>
        <v>21321.69</v>
      </c>
      <c r="C36" s="901">
        <f>SUM(引力魔方!C422:C451)</f>
        <v>1533981</v>
      </c>
      <c r="D36" s="901">
        <f>SUM(引力魔方!D422:D451)</f>
        <v>11155</v>
      </c>
      <c r="E36" s="690">
        <f>SUM(引力魔方!E422:E451)</f>
        <v>0</v>
      </c>
      <c r="F36" s="685">
        <f>SUM(引力魔方!F422:F451)</f>
        <v>0</v>
      </c>
      <c r="G36" s="690">
        <f>SUM(引力魔方!G422:G451)</f>
        <v>103</v>
      </c>
      <c r="H36" s="690">
        <f>SUM(引力魔方!H422:H451)</f>
        <v>64</v>
      </c>
      <c r="I36" s="690">
        <f>SUM(引力魔方!I422:I451)</f>
        <v>16</v>
      </c>
      <c r="J36" s="688">
        <f t="shared" si="39"/>
        <v>0.00727192840067771</v>
      </c>
      <c r="K36" s="685">
        <f t="shared" si="40"/>
        <v>1.91140206185567</v>
      </c>
      <c r="L36" s="886">
        <f t="shared" si="41"/>
        <v>13.8995789387222</v>
      </c>
      <c r="M36" s="887">
        <f t="shared" si="42"/>
        <v>0</v>
      </c>
      <c r="N36" s="688">
        <f t="shared" si="43"/>
        <v>0</v>
      </c>
      <c r="O36" s="685" t="e">
        <f>F36/E36</f>
        <v>#DIV/0!</v>
      </c>
      <c r="P36" s="685" t="e">
        <f t="shared" si="44"/>
        <v>#DIV/0!</v>
      </c>
      <c r="Q36" s="902">
        <f t="shared" si="45"/>
        <v>207.006699029126</v>
      </c>
    </row>
    <row r="37" spans="1:17">
      <c r="A37" s="686" t="s">
        <v>27</v>
      </c>
      <c r="B37" s="685">
        <f>SUM(万相台!B11:B40)</f>
        <v>6066.03</v>
      </c>
      <c r="C37" s="901">
        <f>SUM(万相台!C11:C40)</f>
        <v>756412</v>
      </c>
      <c r="D37" s="901">
        <f>SUM(万相台!D11:D40)</f>
        <v>9008</v>
      </c>
      <c r="E37" s="690">
        <f>SUM(万相台!E11:E40)</f>
        <v>7</v>
      </c>
      <c r="F37" s="685">
        <f>SUM(万相台!F11:F40)</f>
        <v>6379.9</v>
      </c>
      <c r="G37" s="690">
        <f>SUM(万相台!G11:G40)</f>
        <v>115</v>
      </c>
      <c r="H37" s="690">
        <f>SUM(万相台!H11:H40)</f>
        <v>96</v>
      </c>
      <c r="I37" s="690"/>
      <c r="J37" s="688">
        <f t="shared" si="39"/>
        <v>0.0119088539050147</v>
      </c>
      <c r="K37" s="685">
        <f t="shared" si="40"/>
        <v>0.673404751332149</v>
      </c>
      <c r="L37" s="886">
        <f t="shared" si="41"/>
        <v>8.01947880255734</v>
      </c>
      <c r="M37" s="887">
        <f t="shared" si="42"/>
        <v>1.05174224327938</v>
      </c>
      <c r="N37" s="688">
        <f>E37/D37</f>
        <v>0.00077708703374778</v>
      </c>
      <c r="O37" s="685">
        <f>F37/E37</f>
        <v>911.414285714286</v>
      </c>
      <c r="P37" s="685">
        <f t="shared" si="44"/>
        <v>866.575714285714</v>
      </c>
      <c r="Q37" s="902">
        <f t="shared" si="45"/>
        <v>52.7480869565217</v>
      </c>
    </row>
    <row r="38" spans="1:17">
      <c r="A38" s="891" t="s">
        <v>22</v>
      </c>
      <c r="B38" s="903">
        <f t="shared" ref="B38:I38" si="46">SUM(B34:B37)</f>
        <v>67280.72</v>
      </c>
      <c r="C38" s="904">
        <f t="shared" si="46"/>
        <v>2465999</v>
      </c>
      <c r="D38" s="904">
        <f t="shared" si="46"/>
        <v>31455</v>
      </c>
      <c r="E38" s="904">
        <f t="shared" si="46"/>
        <v>31</v>
      </c>
      <c r="F38" s="903">
        <f t="shared" si="46"/>
        <v>38627.8</v>
      </c>
      <c r="G38" s="904">
        <f t="shared" si="46"/>
        <v>554</v>
      </c>
      <c r="H38" s="904">
        <f t="shared" si="46"/>
        <v>354</v>
      </c>
      <c r="I38" s="904">
        <f t="shared" si="46"/>
        <v>130</v>
      </c>
      <c r="J38" s="896">
        <f t="shared" ref="J38" si="47">D38/C38</f>
        <v>0.0127554796250931</v>
      </c>
      <c r="K38" s="903">
        <f t="shared" ref="K38" si="48">B38/D38</f>
        <v>2.13895151804165</v>
      </c>
      <c r="L38" s="897">
        <f t="shared" ref="L38" si="49">(B38/C38)*1000</f>
        <v>27.2833525074422</v>
      </c>
      <c r="M38" s="898">
        <f t="shared" ref="M38" si="50">F38/B38</f>
        <v>0.574128814317088</v>
      </c>
      <c r="N38" s="896">
        <f t="shared" ref="N38:O38" si="51">E38/D38</f>
        <v>0.00098553489111429</v>
      </c>
      <c r="O38" s="903">
        <f t="shared" si="51"/>
        <v>1246.05806451613</v>
      </c>
      <c r="P38" s="903">
        <f t="shared" ref="P38" si="52">B38/E38</f>
        <v>2170.34580645161</v>
      </c>
      <c r="Q38" s="902">
        <f t="shared" ref="Q38" si="53">B38/G38</f>
        <v>121.445342960289</v>
      </c>
    </row>
    <row r="39" spans="1:17">
      <c r="A39" s="900"/>
      <c r="B39" s="905"/>
      <c r="C39" s="906"/>
      <c r="D39" s="906"/>
      <c r="E39" s="906"/>
      <c r="F39" s="905"/>
      <c r="G39" s="906"/>
      <c r="H39" s="906"/>
      <c r="I39" s="906"/>
      <c r="J39" s="907"/>
      <c r="K39" s="905"/>
      <c r="L39" s="908"/>
      <c r="M39" s="909"/>
      <c r="N39" s="907"/>
      <c r="O39" s="910"/>
      <c r="P39" s="905"/>
      <c r="Q39" s="911"/>
    </row>
    <row r="40" ht="41.4" spans="1:17">
      <c r="A40" s="868" t="s">
        <v>29</v>
      </c>
      <c r="B40" s="869" t="s">
        <v>1</v>
      </c>
      <c r="C40" s="870" t="s">
        <v>2</v>
      </c>
      <c r="D40" s="870" t="s">
        <v>3</v>
      </c>
      <c r="E40" s="871" t="s">
        <v>4</v>
      </c>
      <c r="F40" s="869" t="s">
        <v>5</v>
      </c>
      <c r="G40" s="871" t="s">
        <v>6</v>
      </c>
      <c r="H40" s="871" t="s">
        <v>7</v>
      </c>
      <c r="I40" s="871" t="s">
        <v>8</v>
      </c>
      <c r="J40" s="879" t="s">
        <v>9</v>
      </c>
      <c r="K40" s="869" t="s">
        <v>10</v>
      </c>
      <c r="L40" s="880" t="s">
        <v>11</v>
      </c>
      <c r="M40" s="881" t="s">
        <v>12</v>
      </c>
      <c r="N40" s="879" t="s">
        <v>13</v>
      </c>
      <c r="O40" s="875" t="s">
        <v>14</v>
      </c>
      <c r="P40" s="869" t="s">
        <v>15</v>
      </c>
      <c r="Q40" s="912" t="s">
        <v>16</v>
      </c>
    </row>
    <row r="41" spans="1:17">
      <c r="A41" s="686" t="s">
        <v>19</v>
      </c>
      <c r="B41" s="685">
        <f>SUM(明星店铺!B553:B583)</f>
        <v>8005.24</v>
      </c>
      <c r="C41" s="901">
        <f>SUM(明星店铺!C553:C583)</f>
        <v>9248</v>
      </c>
      <c r="D41" s="901">
        <f>SUM(明星店铺!D553:D583)</f>
        <v>3856</v>
      </c>
      <c r="E41" s="690">
        <f>SUM(明星店铺!E553:E583)</f>
        <v>129</v>
      </c>
      <c r="F41" s="685">
        <f>SUM(明星店铺!F553:F583)</f>
        <v>1401487.2</v>
      </c>
      <c r="G41" s="690">
        <f>SUM(明星店铺!G553:G583)</f>
        <v>747</v>
      </c>
      <c r="H41" s="690">
        <f>SUM(明星店铺!H553:H583)</f>
        <v>232</v>
      </c>
      <c r="I41" s="690">
        <f>SUM(明星店铺!I553:I583)</f>
        <v>442</v>
      </c>
      <c r="J41" s="688">
        <f t="shared" ref="J41:J44" si="54">D41/C41</f>
        <v>0.416955017301038</v>
      </c>
      <c r="K41" s="685">
        <f t="shared" ref="K41:K44" si="55">B41/D41</f>
        <v>2.07604771784232</v>
      </c>
      <c r="L41" s="886">
        <f t="shared" ref="L41:L44" si="56">(B41/C41)*1000</f>
        <v>865.618512110727</v>
      </c>
      <c r="M41" s="887">
        <f t="shared" ref="M41:M44" si="57">F41/B41</f>
        <v>175.071228345434</v>
      </c>
      <c r="N41" s="688">
        <f t="shared" ref="N41:O43" si="58">E41/D41</f>
        <v>0.033454356846473</v>
      </c>
      <c r="O41" s="685">
        <f t="shared" si="58"/>
        <v>10864.2418604651</v>
      </c>
      <c r="P41" s="685">
        <f t="shared" ref="P41:P44" si="59">B41/E41</f>
        <v>62.0561240310077</v>
      </c>
      <c r="Q41" s="902">
        <f t="shared" ref="Q41:Q44" si="60">B41/G41</f>
        <v>10.7165194109772</v>
      </c>
    </row>
    <row r="42" spans="1:17">
      <c r="A42" s="686" t="s">
        <v>20</v>
      </c>
      <c r="B42" s="685">
        <f>SUM(直通车!B553:B583)</f>
        <v>57558.86</v>
      </c>
      <c r="C42" s="901">
        <f>SUM(直通车!C553:C583)</f>
        <v>219210</v>
      </c>
      <c r="D42" s="901">
        <f>SUM(直通车!D553:D583)</f>
        <v>18951</v>
      </c>
      <c r="E42" s="690">
        <f>SUM(直通车!E553:E583)</f>
        <v>133</v>
      </c>
      <c r="F42" s="685">
        <f>SUM(直通车!F553:F583)</f>
        <v>1640797.3</v>
      </c>
      <c r="G42" s="690">
        <f>SUM(直通车!G553:G583)</f>
        <v>924</v>
      </c>
      <c r="H42" s="690">
        <f>SUM(直通车!H553:H583)</f>
        <v>626</v>
      </c>
      <c r="I42" s="690">
        <f>SUM(直通车!I553:I583)</f>
        <v>336</v>
      </c>
      <c r="J42" s="688">
        <f t="shared" si="54"/>
        <v>0.0864513480224442</v>
      </c>
      <c r="K42" s="685">
        <f t="shared" si="55"/>
        <v>3.03724658329376</v>
      </c>
      <c r="L42" s="886">
        <f t="shared" si="56"/>
        <v>262.574061402308</v>
      </c>
      <c r="M42" s="887">
        <f t="shared" si="57"/>
        <v>28.5064245539262</v>
      </c>
      <c r="N42" s="688">
        <f t="shared" si="58"/>
        <v>0.0070180993087436</v>
      </c>
      <c r="O42" s="685">
        <f t="shared" si="58"/>
        <v>12336.8218045113</v>
      </c>
      <c r="P42" s="685">
        <f t="shared" si="59"/>
        <v>432.773383458647</v>
      </c>
      <c r="Q42" s="902">
        <f t="shared" si="60"/>
        <v>62.2931385281385</v>
      </c>
    </row>
    <row r="43" spans="1:17">
      <c r="A43" s="686" t="s">
        <v>21</v>
      </c>
      <c r="B43" s="685">
        <f>SUM(引力魔方!B452:B482)</f>
        <v>30457.64</v>
      </c>
      <c r="C43" s="901">
        <f>SUM(引力魔方!C452:C482)</f>
        <v>806896</v>
      </c>
      <c r="D43" s="901">
        <f>SUM(引力魔方!D452:D482)</f>
        <v>10898</v>
      </c>
      <c r="E43" s="690">
        <f>SUM(引力魔方!E452:E482)</f>
        <v>64</v>
      </c>
      <c r="F43" s="913">
        <f>SUM(引力魔方!F452:F482)</f>
        <v>665174.8</v>
      </c>
      <c r="G43" s="690">
        <f>SUM(引力魔方!G452:G482)</f>
        <v>206</v>
      </c>
      <c r="H43" s="690">
        <f>SUM(引力魔方!H452:H482)</f>
        <v>94</v>
      </c>
      <c r="I43" s="690">
        <f>SUM(引力魔方!I452:I482)</f>
        <v>78</v>
      </c>
      <c r="J43" s="688">
        <f t="shared" si="54"/>
        <v>0.0135060776109932</v>
      </c>
      <c r="K43" s="685">
        <f t="shared" si="55"/>
        <v>2.79479170489998</v>
      </c>
      <c r="L43" s="886">
        <f t="shared" si="56"/>
        <v>37.7466736729393</v>
      </c>
      <c r="M43" s="887">
        <f t="shared" si="57"/>
        <v>21.8393414591544</v>
      </c>
      <c r="N43" s="688">
        <f t="shared" si="58"/>
        <v>0.00587263718113415</v>
      </c>
      <c r="O43" s="685">
        <f t="shared" si="58"/>
        <v>10393.35625</v>
      </c>
      <c r="P43" s="685">
        <f t="shared" si="59"/>
        <v>475.900625</v>
      </c>
      <c r="Q43" s="902">
        <f t="shared" si="60"/>
        <v>147.852621359223</v>
      </c>
    </row>
    <row r="44" spans="1:17">
      <c r="A44" s="686" t="s">
        <v>27</v>
      </c>
      <c r="B44" s="685">
        <f>SUM(万相台!B41:B71)</f>
        <v>9480.74</v>
      </c>
      <c r="C44" s="901">
        <f>SUM(万相台!C41:C71)</f>
        <v>91699</v>
      </c>
      <c r="D44" s="901">
        <f>SUM(万相台!D41:D71)</f>
        <v>4467</v>
      </c>
      <c r="E44" s="690">
        <f>SUM(万相台!E41:E71)</f>
        <v>12</v>
      </c>
      <c r="F44" s="685">
        <f>SUM(万相台!F41:F71)</f>
        <v>67545.5</v>
      </c>
      <c r="G44" s="690">
        <f>SUM(万相台!G41:G71)</f>
        <v>114</v>
      </c>
      <c r="H44" s="690">
        <f>SUM(万相台!H41:H71)</f>
        <v>60</v>
      </c>
      <c r="I44" s="690"/>
      <c r="J44" s="688">
        <f t="shared" si="54"/>
        <v>0.0487137264310407</v>
      </c>
      <c r="K44" s="685">
        <f t="shared" si="55"/>
        <v>2.12239534363107</v>
      </c>
      <c r="L44" s="886">
        <f t="shared" si="56"/>
        <v>103.389786148159</v>
      </c>
      <c r="M44" s="887">
        <f t="shared" si="57"/>
        <v>7.12449661102403</v>
      </c>
      <c r="N44" s="688">
        <f>E44/D44</f>
        <v>0.00268636668905306</v>
      </c>
      <c r="O44" s="685">
        <f>F44/E44</f>
        <v>5628.79166666667</v>
      </c>
      <c r="P44" s="685">
        <f t="shared" si="59"/>
        <v>790.061666666667</v>
      </c>
      <c r="Q44" s="902">
        <f t="shared" si="60"/>
        <v>83.1643859649123</v>
      </c>
    </row>
    <row r="45" spans="1:17">
      <c r="A45" s="891" t="s">
        <v>22</v>
      </c>
      <c r="B45" s="903">
        <f t="shared" ref="B45:I45" si="61">SUM(B41:B44)</f>
        <v>105502.48</v>
      </c>
      <c r="C45" s="904">
        <f t="shared" si="61"/>
        <v>1127053</v>
      </c>
      <c r="D45" s="904">
        <f t="shared" si="61"/>
        <v>38172</v>
      </c>
      <c r="E45" s="904">
        <f t="shared" si="61"/>
        <v>338</v>
      </c>
      <c r="F45" s="903">
        <f t="shared" si="61"/>
        <v>3775004.8</v>
      </c>
      <c r="G45" s="904">
        <f t="shared" si="61"/>
        <v>1991</v>
      </c>
      <c r="H45" s="904">
        <f t="shared" si="61"/>
        <v>1012</v>
      </c>
      <c r="I45" s="904">
        <f t="shared" si="61"/>
        <v>856</v>
      </c>
      <c r="J45" s="896">
        <f t="shared" ref="J45" si="62">D45/C45</f>
        <v>0.0338688597608098</v>
      </c>
      <c r="K45" s="903">
        <f t="shared" ref="K45" si="63">B45/D45</f>
        <v>2.76387090013623</v>
      </c>
      <c r="L45" s="897">
        <f t="shared" ref="L45" si="64">(B45/C45)*1000</f>
        <v>93.6091559136971</v>
      </c>
      <c r="M45" s="898">
        <f t="shared" ref="M45" si="65">F45/B45</f>
        <v>35.7811949065084</v>
      </c>
      <c r="N45" s="896">
        <f t="shared" ref="N45:O45" si="66">E45/D45</f>
        <v>0.00885465786440323</v>
      </c>
      <c r="O45" s="903">
        <f t="shared" si="66"/>
        <v>11168.6532544379</v>
      </c>
      <c r="P45" s="903">
        <f t="shared" ref="P45" si="67">B45/E45</f>
        <v>312.137514792899</v>
      </c>
      <c r="Q45" s="902">
        <f t="shared" ref="Q45" si="68">B45/G45</f>
        <v>52.9896936212958</v>
      </c>
    </row>
    <row r="46" spans="1:17">
      <c r="A46" s="900"/>
      <c r="B46" s="905"/>
      <c r="C46" s="906"/>
      <c r="D46" s="906"/>
      <c r="E46" s="906"/>
      <c r="F46" s="905"/>
      <c r="G46" s="906"/>
      <c r="H46" s="906"/>
      <c r="I46" s="906"/>
      <c r="J46" s="907"/>
      <c r="K46" s="905"/>
      <c r="L46" s="908"/>
      <c r="M46" s="909"/>
      <c r="N46" s="907"/>
      <c r="O46" s="910"/>
      <c r="P46" s="905"/>
      <c r="Q46" s="911"/>
    </row>
    <row r="47" ht="41.4" spans="1:17">
      <c r="A47" s="868" t="s">
        <v>30</v>
      </c>
      <c r="B47" s="869" t="s">
        <v>1</v>
      </c>
      <c r="C47" s="870" t="s">
        <v>2</v>
      </c>
      <c r="D47" s="870" t="s">
        <v>3</v>
      </c>
      <c r="E47" s="871" t="s">
        <v>4</v>
      </c>
      <c r="F47" s="869" t="s">
        <v>5</v>
      </c>
      <c r="G47" s="871" t="s">
        <v>6</v>
      </c>
      <c r="H47" s="871" t="s">
        <v>7</v>
      </c>
      <c r="I47" s="871" t="s">
        <v>8</v>
      </c>
      <c r="J47" s="879" t="s">
        <v>9</v>
      </c>
      <c r="K47" s="869" t="s">
        <v>10</v>
      </c>
      <c r="L47" s="880" t="s">
        <v>11</v>
      </c>
      <c r="M47" s="881" t="s">
        <v>12</v>
      </c>
      <c r="N47" s="879" t="s">
        <v>13</v>
      </c>
      <c r="O47" s="875" t="s">
        <v>14</v>
      </c>
      <c r="P47" s="869" t="s">
        <v>15</v>
      </c>
      <c r="Q47" s="912" t="s">
        <v>16</v>
      </c>
    </row>
    <row r="48" spans="1:17">
      <c r="A48" s="686" t="s">
        <v>19</v>
      </c>
      <c r="B48" s="685">
        <f>SUM(明星店铺!B584:B613)</f>
        <v>6386.06</v>
      </c>
      <c r="C48" s="901">
        <f>SUM(明星店铺!C584:C613)</f>
        <v>6596</v>
      </c>
      <c r="D48" s="901">
        <f>SUM(明星店铺!D584:D613)</f>
        <v>2650</v>
      </c>
      <c r="E48" s="690">
        <f>SUM(明星店铺!E584:E613)</f>
        <v>63</v>
      </c>
      <c r="F48" s="685">
        <f>SUM(明星店铺!F584:F613)</f>
        <v>477277.22</v>
      </c>
      <c r="G48" s="690">
        <f>SUM(明星店铺!G584:G613)</f>
        <v>661</v>
      </c>
      <c r="H48" s="690">
        <f>SUM(明星店铺!H584:H613)</f>
        <v>121</v>
      </c>
      <c r="I48" s="690">
        <f>SUM(明星店铺!I584:I613)</f>
        <v>280</v>
      </c>
      <c r="J48" s="688">
        <f t="shared" ref="J48:J51" si="69">D48/C48</f>
        <v>0.40175864160097</v>
      </c>
      <c r="K48" s="685">
        <f t="shared" ref="K48:K51" si="70">B48/D48</f>
        <v>2.40983396226415</v>
      </c>
      <c r="L48" s="886">
        <f t="shared" ref="L48:L51" si="71">(B48/C48)*1000</f>
        <v>968.171619163129</v>
      </c>
      <c r="M48" s="887">
        <f t="shared" ref="M48:M51" si="72">F48/B48</f>
        <v>74.7373529218329</v>
      </c>
      <c r="N48" s="688">
        <f t="shared" ref="N48:O50" si="73">E48/D48</f>
        <v>0.0237735849056604</v>
      </c>
      <c r="O48" s="685">
        <f t="shared" si="73"/>
        <v>7575.82888888889</v>
      </c>
      <c r="P48" s="685">
        <f t="shared" ref="P48:P51" si="74">B48/E48</f>
        <v>101.366031746032</v>
      </c>
      <c r="Q48" s="902">
        <f t="shared" ref="Q48:Q52" si="75">B48/G48</f>
        <v>9.66121028744327</v>
      </c>
    </row>
    <row r="49" spans="1:17">
      <c r="A49" s="686" t="s">
        <v>20</v>
      </c>
      <c r="B49" s="685">
        <f>SUM(直通车!B584:B613)</f>
        <v>85001.26</v>
      </c>
      <c r="C49" s="901">
        <f>SUM(直通车!C584:C613)</f>
        <v>273932</v>
      </c>
      <c r="D49" s="901">
        <f>SUM(直通车!D584:D613)</f>
        <v>22062</v>
      </c>
      <c r="E49" s="690">
        <f>SUM(直通车!E584:E613)</f>
        <v>111</v>
      </c>
      <c r="F49" s="685">
        <f>SUM(直通车!F584:F613)</f>
        <v>872404.39</v>
      </c>
      <c r="G49" s="690">
        <f>SUM(直通车!G584:G613)</f>
        <v>1099</v>
      </c>
      <c r="H49" s="690">
        <f>SUM(直通车!H584:H613)</f>
        <v>513</v>
      </c>
      <c r="I49" s="690">
        <f>SUM(直通车!I584:I613)</f>
        <v>285</v>
      </c>
      <c r="J49" s="688">
        <f t="shared" si="69"/>
        <v>0.0805382357665406</v>
      </c>
      <c r="K49" s="685">
        <f t="shared" si="70"/>
        <v>3.85283564500045</v>
      </c>
      <c r="L49" s="886">
        <f t="shared" si="71"/>
        <v>310.300585546778</v>
      </c>
      <c r="M49" s="887">
        <f t="shared" si="72"/>
        <v>10.2634289185831</v>
      </c>
      <c r="N49" s="688">
        <f t="shared" si="73"/>
        <v>0.00503127549632853</v>
      </c>
      <c r="O49" s="685">
        <f t="shared" si="73"/>
        <v>7859.49900900901</v>
      </c>
      <c r="P49" s="685">
        <f t="shared" si="74"/>
        <v>765.777117117117</v>
      </c>
      <c r="Q49" s="902">
        <f t="shared" si="75"/>
        <v>77.3441856232939</v>
      </c>
    </row>
    <row r="50" spans="1:17">
      <c r="A50" s="686" t="s">
        <v>21</v>
      </c>
      <c r="B50" s="685">
        <f>SUM(引力魔方!B483:B512)</f>
        <v>47468.12</v>
      </c>
      <c r="C50" s="901">
        <f>SUM(引力魔方!C483:C512)</f>
        <v>3705258</v>
      </c>
      <c r="D50" s="901">
        <f>SUM(引力魔方!D483:D512)</f>
        <v>43076</v>
      </c>
      <c r="E50" s="690">
        <f>SUM(引力魔方!E483:E512)</f>
        <v>48</v>
      </c>
      <c r="F50" s="685">
        <f>SUM(引力魔方!F483:F512)</f>
        <v>489457.12</v>
      </c>
      <c r="G50" s="690">
        <f>SUM(引力魔方!G483:G512)</f>
        <v>606</v>
      </c>
      <c r="H50" s="690">
        <f>SUM(引力魔方!H483:H512)</f>
        <v>175</v>
      </c>
      <c r="I50" s="690">
        <f>SUM(引力魔方!I483:I512)</f>
        <v>79</v>
      </c>
      <c r="J50" s="688">
        <f t="shared" si="69"/>
        <v>0.011625641183421</v>
      </c>
      <c r="K50" s="685">
        <f t="shared" si="70"/>
        <v>1.10196211347386</v>
      </c>
      <c r="L50" s="886">
        <f t="shared" si="71"/>
        <v>12.8110161289713</v>
      </c>
      <c r="M50" s="887">
        <f t="shared" si="72"/>
        <v>10.311280918646</v>
      </c>
      <c r="N50" s="688">
        <f t="shared" si="73"/>
        <v>0.00111430959234841</v>
      </c>
      <c r="O50" s="685">
        <f t="shared" si="73"/>
        <v>10197.0233333333</v>
      </c>
      <c r="P50" s="685">
        <f t="shared" si="74"/>
        <v>988.919166666667</v>
      </c>
      <c r="Q50" s="902">
        <f t="shared" si="75"/>
        <v>78.3302310231023</v>
      </c>
    </row>
    <row r="51" spans="1:17">
      <c r="A51" s="686" t="s">
        <v>27</v>
      </c>
      <c r="B51" s="685">
        <f>SUM(万相台!B72:B101)</f>
        <v>10182.62</v>
      </c>
      <c r="C51" s="901">
        <f>SUM(万相台!C72:C101)</f>
        <v>257113</v>
      </c>
      <c r="D51" s="901">
        <f>SUM(万相台!D72:D101)</f>
        <v>10905</v>
      </c>
      <c r="E51" s="690">
        <f>SUM(万相台!E72:E101)</f>
        <v>29</v>
      </c>
      <c r="F51" s="685">
        <f>SUM(万相台!F72:F101)</f>
        <v>265570.08</v>
      </c>
      <c r="G51" s="690">
        <f>SUM(万相台!G72:G101)</f>
        <v>231</v>
      </c>
      <c r="H51" s="690">
        <f>SUM(万相台!H72:H101)</f>
        <v>56</v>
      </c>
      <c r="I51" s="690"/>
      <c r="J51" s="688">
        <f t="shared" si="69"/>
        <v>0.0424132579838437</v>
      </c>
      <c r="K51" s="685">
        <f t="shared" si="70"/>
        <v>0.933756992205411</v>
      </c>
      <c r="L51" s="886">
        <f t="shared" si="71"/>
        <v>39.603676204626</v>
      </c>
      <c r="M51" s="887">
        <f t="shared" si="72"/>
        <v>26.0807218574394</v>
      </c>
      <c r="N51" s="688">
        <f>E51/D51</f>
        <v>0.0026593305823017</v>
      </c>
      <c r="O51" s="685">
        <f>F51/E51</f>
        <v>9157.58896551724</v>
      </c>
      <c r="P51" s="685">
        <f t="shared" si="74"/>
        <v>351.124827586207</v>
      </c>
      <c r="Q51" s="902">
        <f t="shared" si="75"/>
        <v>44.0806060606061</v>
      </c>
    </row>
    <row r="52" spans="1:17">
      <c r="A52" s="891" t="s">
        <v>22</v>
      </c>
      <c r="B52" s="903">
        <f t="shared" ref="B52:I52" si="76">SUM(B48:B51)</f>
        <v>149038.06</v>
      </c>
      <c r="C52" s="904">
        <f t="shared" si="76"/>
        <v>4242899</v>
      </c>
      <c r="D52" s="904">
        <f t="shared" si="76"/>
        <v>78693</v>
      </c>
      <c r="E52" s="904">
        <f t="shared" si="76"/>
        <v>251</v>
      </c>
      <c r="F52" s="903">
        <f t="shared" si="76"/>
        <v>2104708.81</v>
      </c>
      <c r="G52" s="904">
        <f t="shared" si="76"/>
        <v>2597</v>
      </c>
      <c r="H52" s="904">
        <f t="shared" si="76"/>
        <v>865</v>
      </c>
      <c r="I52" s="904">
        <f t="shared" si="76"/>
        <v>644</v>
      </c>
      <c r="J52" s="896">
        <f t="shared" ref="J52" si="77">D52/C52</f>
        <v>0.0185469887451952</v>
      </c>
      <c r="K52" s="903">
        <f t="shared" ref="K52" si="78">B52/D52</f>
        <v>1.89391762926817</v>
      </c>
      <c r="L52" s="897">
        <f t="shared" ref="L52" si="79">(B52/C52)*1000</f>
        <v>35.1264689543635</v>
      </c>
      <c r="M52" s="898">
        <f t="shared" ref="M52" si="80">F52/B52</f>
        <v>14.1219552240549</v>
      </c>
      <c r="N52" s="896">
        <f t="shared" ref="N52:O52" si="81">E52/D52</f>
        <v>0.00318961025758327</v>
      </c>
      <c r="O52" s="903">
        <f t="shared" si="81"/>
        <v>8385.29406374502</v>
      </c>
      <c r="P52" s="903">
        <f t="shared" ref="P52" si="82">B52/E52</f>
        <v>593.777131474103</v>
      </c>
      <c r="Q52" s="902">
        <f t="shared" si="75"/>
        <v>57.3885483249904</v>
      </c>
    </row>
    <row r="53" spans="1:17">
      <c r="A53" s="900"/>
      <c r="B53" s="905"/>
      <c r="C53" s="906"/>
      <c r="D53" s="906"/>
      <c r="E53" s="906"/>
      <c r="F53" s="905"/>
      <c r="G53" s="906"/>
      <c r="H53" s="906"/>
      <c r="I53" s="906"/>
      <c r="J53" s="907"/>
      <c r="K53" s="905"/>
      <c r="L53" s="908"/>
      <c r="M53" s="909"/>
      <c r="N53" s="907"/>
      <c r="O53" s="910"/>
      <c r="P53" s="905"/>
      <c r="Q53" s="911"/>
    </row>
    <row r="54" ht="41.4" spans="1:17">
      <c r="A54" s="868" t="s">
        <v>31</v>
      </c>
      <c r="B54" s="869" t="s">
        <v>1</v>
      </c>
      <c r="C54" s="870" t="s">
        <v>2</v>
      </c>
      <c r="D54" s="870" t="s">
        <v>3</v>
      </c>
      <c r="E54" s="871" t="s">
        <v>4</v>
      </c>
      <c r="F54" s="869" t="s">
        <v>5</v>
      </c>
      <c r="G54" s="871" t="s">
        <v>6</v>
      </c>
      <c r="H54" s="871" t="s">
        <v>7</v>
      </c>
      <c r="I54" s="871" t="s">
        <v>8</v>
      </c>
      <c r="J54" s="879" t="s">
        <v>9</v>
      </c>
      <c r="K54" s="869" t="s">
        <v>10</v>
      </c>
      <c r="L54" s="880" t="s">
        <v>11</v>
      </c>
      <c r="M54" s="881" t="s">
        <v>12</v>
      </c>
      <c r="N54" s="879" t="s">
        <v>13</v>
      </c>
      <c r="O54" s="875" t="s">
        <v>14</v>
      </c>
      <c r="P54" s="869" t="s">
        <v>15</v>
      </c>
      <c r="Q54" s="912" t="s">
        <v>16</v>
      </c>
    </row>
    <row r="55" spans="1:17">
      <c r="A55" s="686" t="s">
        <v>19</v>
      </c>
      <c r="B55" s="685">
        <f>SUM(明星店铺!B614:B644)</f>
        <v>3841.38</v>
      </c>
      <c r="C55" s="901">
        <f>SUM(明星店铺!C614:C644)</f>
        <v>4328</v>
      </c>
      <c r="D55" s="901">
        <f>SUM(明星店铺!D614:D644)</f>
        <v>1524</v>
      </c>
      <c r="E55" s="690">
        <f>SUM(明星店铺!E614:E644)</f>
        <v>8</v>
      </c>
      <c r="F55" s="685">
        <f>SUM(明星店铺!F614:F644)</f>
        <v>134928</v>
      </c>
      <c r="G55" s="690">
        <f>SUM(明星店铺!G614:G644)</f>
        <v>340</v>
      </c>
      <c r="H55" s="690">
        <f>SUM(明星店铺!H614:H644)</f>
        <v>67</v>
      </c>
      <c r="I55" s="690">
        <f>SUM(明星店铺!I614:I644)</f>
        <v>113</v>
      </c>
      <c r="J55" s="688">
        <f t="shared" ref="J55:J57" si="83">D55/C55</f>
        <v>0.352125693160813</v>
      </c>
      <c r="K55" s="685">
        <f t="shared" ref="K55:K57" si="84">B55/D55</f>
        <v>2.5205905511811</v>
      </c>
      <c r="L55" s="886">
        <f t="shared" ref="L55:L57" si="85">(B55/C55)*1000</f>
        <v>887.564695009242</v>
      </c>
      <c r="M55" s="887">
        <f t="shared" ref="M55:M57" si="86">F55/B55</f>
        <v>35.1248769973291</v>
      </c>
      <c r="N55" s="688">
        <f>E55/D55</f>
        <v>0.005249343832021</v>
      </c>
      <c r="O55" s="685">
        <f t="shared" ref="N55:O57" si="87">F55/E55</f>
        <v>16866</v>
      </c>
      <c r="P55" s="685">
        <f t="shared" ref="P55:P57" si="88">B55/E55</f>
        <v>480.1725</v>
      </c>
      <c r="Q55" s="902">
        <f t="shared" ref="Q55:Q57" si="89">B55/G55</f>
        <v>11.2981764705882</v>
      </c>
    </row>
    <row r="56" spans="1:17">
      <c r="A56" s="686" t="s">
        <v>20</v>
      </c>
      <c r="B56" s="685">
        <f>SUM(直通车!B614:B644)</f>
        <v>121344.685</v>
      </c>
      <c r="C56" s="901">
        <f>SUM(直通车!C614:C644)</f>
        <v>299486</v>
      </c>
      <c r="D56" s="901">
        <f>SUM(直通车!D614:D644)</f>
        <v>21703</v>
      </c>
      <c r="E56" s="690">
        <f>SUM(直通车!E614:E644)</f>
        <v>18</v>
      </c>
      <c r="F56" s="685">
        <f>SUM(直通车!F614:F644)</f>
        <v>275328</v>
      </c>
      <c r="G56" s="690">
        <f>SUM(直通车!G614:G644)</f>
        <v>891</v>
      </c>
      <c r="H56" s="690">
        <f>SUM(直通车!H614:H644)</f>
        <v>353</v>
      </c>
      <c r="I56" s="690">
        <f>SUM(直通车!I614:I644)</f>
        <v>219</v>
      </c>
      <c r="J56" s="688">
        <f t="shared" si="83"/>
        <v>0.0724674943069125</v>
      </c>
      <c r="K56" s="685">
        <f t="shared" si="84"/>
        <v>5.59114799797263</v>
      </c>
      <c r="L56" s="886">
        <f t="shared" si="85"/>
        <v>405.176485712187</v>
      </c>
      <c r="M56" s="887">
        <f t="shared" si="86"/>
        <v>2.26897453316558</v>
      </c>
      <c r="N56" s="688">
        <f t="shared" si="87"/>
        <v>0.000829378426945584</v>
      </c>
      <c r="O56" s="685">
        <f t="shared" si="87"/>
        <v>15296</v>
      </c>
      <c r="P56" s="685">
        <f t="shared" si="88"/>
        <v>6741.37138888889</v>
      </c>
      <c r="Q56" s="902">
        <f t="shared" si="89"/>
        <v>136.189320987654</v>
      </c>
    </row>
    <row r="57" spans="1:17">
      <c r="A57" s="686" t="s">
        <v>21</v>
      </c>
      <c r="B57" s="685">
        <f>SUM(引力魔方!B513:B543)</f>
        <v>93923.95</v>
      </c>
      <c r="C57" s="901">
        <f>SUM(引力魔方!C513:C543)</f>
        <v>5708966</v>
      </c>
      <c r="D57" s="901">
        <f>SUM(引力魔方!D513:D543)</f>
        <v>120544</v>
      </c>
      <c r="E57" s="690">
        <f>SUM(引力魔方!E513:E543)</f>
        <v>6</v>
      </c>
      <c r="F57" s="685">
        <f>SUM(引力魔方!F513:F543)</f>
        <v>49886</v>
      </c>
      <c r="G57" s="690">
        <f>SUM(引力魔方!G513:G543)</f>
        <v>429</v>
      </c>
      <c r="H57" s="690">
        <f>SUM(引力魔方!H513:H543)</f>
        <v>546</v>
      </c>
      <c r="I57" s="690">
        <f>SUM(引力魔方!I513:I543)</f>
        <v>66</v>
      </c>
      <c r="J57" s="688">
        <f t="shared" si="83"/>
        <v>0.0211148568760087</v>
      </c>
      <c r="K57" s="685">
        <f t="shared" si="84"/>
        <v>0.77916735797717</v>
      </c>
      <c r="L57" s="886">
        <f t="shared" si="85"/>
        <v>16.4520072461458</v>
      </c>
      <c r="M57" s="887">
        <f t="shared" si="86"/>
        <v>0.531131835916185</v>
      </c>
      <c r="N57" s="688">
        <f t="shared" si="87"/>
        <v>4.97743562516591e-5</v>
      </c>
      <c r="O57" s="685">
        <f t="shared" si="87"/>
        <v>8314.33333333333</v>
      </c>
      <c r="P57" s="685">
        <f t="shared" si="88"/>
        <v>15653.9916666667</v>
      </c>
      <c r="Q57" s="902">
        <f t="shared" si="89"/>
        <v>218.936946386946</v>
      </c>
    </row>
    <row r="58" spans="1:17">
      <c r="A58" s="686" t="s">
        <v>27</v>
      </c>
      <c r="B58" s="685">
        <f>SUM(万相台!B102:B132)</f>
        <v>12814.29</v>
      </c>
      <c r="C58" s="901">
        <f>SUM(万相台!C102:C132)</f>
        <v>913809</v>
      </c>
      <c r="D58" s="901">
        <f>SUM(万相台!D102:D132)</f>
        <v>13322</v>
      </c>
      <c r="E58" s="690">
        <f>SUM(万相台!E102:E132)</f>
        <v>5</v>
      </c>
      <c r="F58" s="685">
        <f>SUM(万相台!F102:F132)</f>
        <v>75770</v>
      </c>
      <c r="G58" s="690">
        <f>SUM(万相台!G102:G132)</f>
        <v>242</v>
      </c>
      <c r="H58" s="690">
        <f>SUM(万相台!H102:H132)</f>
        <v>83</v>
      </c>
      <c r="I58" s="690"/>
      <c r="J58" s="688">
        <f t="shared" ref="J58" si="90">D58/C58</f>
        <v>0.0145785388412677</v>
      </c>
      <c r="K58" s="685">
        <f t="shared" ref="K58" si="91">B58/D58</f>
        <v>0.96188935595256</v>
      </c>
      <c r="L58" s="886">
        <f t="shared" ref="L58" si="92">(B58/C58)*1000</f>
        <v>14.0229413367564</v>
      </c>
      <c r="M58" s="887">
        <f t="shared" ref="M58" si="93">F58/B58</f>
        <v>5.91293001797212</v>
      </c>
      <c r="N58" s="688">
        <f t="shared" ref="N58" si="94">E58/D58</f>
        <v>0.000375319021167993</v>
      </c>
      <c r="O58" s="685">
        <f t="shared" ref="O58" si="95">F58/E58</f>
        <v>15154</v>
      </c>
      <c r="P58" s="685">
        <f t="shared" ref="P58" si="96">B58/E58</f>
        <v>2562.858</v>
      </c>
      <c r="Q58" s="902">
        <f t="shared" ref="Q58" si="97">B58/G58</f>
        <v>52.9516115702479</v>
      </c>
    </row>
    <row r="59" spans="1:17">
      <c r="A59" s="891" t="s">
        <v>22</v>
      </c>
      <c r="B59" s="903">
        <f t="shared" ref="B59:I59" si="98">SUM(B55:B58)</f>
        <v>231924.305</v>
      </c>
      <c r="C59" s="904">
        <f t="shared" si="98"/>
        <v>6926589</v>
      </c>
      <c r="D59" s="904">
        <f t="shared" si="98"/>
        <v>157093</v>
      </c>
      <c r="E59" s="904">
        <f t="shared" si="98"/>
        <v>37</v>
      </c>
      <c r="F59" s="903">
        <f t="shared" si="98"/>
        <v>535912</v>
      </c>
      <c r="G59" s="904">
        <f t="shared" si="98"/>
        <v>1902</v>
      </c>
      <c r="H59" s="904">
        <f t="shared" si="98"/>
        <v>1049</v>
      </c>
      <c r="I59" s="904">
        <f t="shared" si="98"/>
        <v>398</v>
      </c>
      <c r="J59" s="896">
        <f t="shared" ref="J59" si="99">D59/C59</f>
        <v>0.0226797056964113</v>
      </c>
      <c r="K59" s="903">
        <f t="shared" ref="K59" si="100">B59/D59</f>
        <v>1.47635034660997</v>
      </c>
      <c r="L59" s="897">
        <f t="shared" ref="L59" si="101">(B59/C59)*1000</f>
        <v>33.483191365909</v>
      </c>
      <c r="M59" s="898">
        <f t="shared" ref="M59" si="102">F59/B59</f>
        <v>2.31071943925842</v>
      </c>
      <c r="N59" s="896">
        <f t="shared" ref="N59:O59" si="103">E59/D59</f>
        <v>0.000235529272469174</v>
      </c>
      <c r="O59" s="903">
        <f t="shared" si="103"/>
        <v>14484.1081081081</v>
      </c>
      <c r="P59" s="903">
        <f t="shared" ref="P59" si="104">B59/E59</f>
        <v>6268.22445945946</v>
      </c>
      <c r="Q59" s="902">
        <f t="shared" ref="Q59" si="105">B59/G59</f>
        <v>121.937068874869</v>
      </c>
    </row>
    <row r="60" spans="1:17">
      <c r="A60" s="900"/>
      <c r="B60" s="905"/>
      <c r="C60" s="906"/>
      <c r="D60" s="906"/>
      <c r="E60" s="906"/>
      <c r="F60" s="905"/>
      <c r="G60" s="906"/>
      <c r="H60" s="906"/>
      <c r="I60" s="906"/>
      <c r="J60" s="907"/>
      <c r="K60" s="905"/>
      <c r="L60" s="908"/>
      <c r="M60" s="909"/>
      <c r="N60" s="907"/>
      <c r="O60" s="910"/>
      <c r="P60" s="905"/>
      <c r="Q60" s="911"/>
    </row>
    <row r="61" spans="1:17">
      <c r="A61" s="900"/>
      <c r="B61" s="905"/>
      <c r="C61" s="906"/>
      <c r="D61" s="906"/>
      <c r="E61" s="906"/>
      <c r="F61" s="905"/>
      <c r="G61" s="906"/>
      <c r="H61" s="906"/>
      <c r="I61" s="906"/>
      <c r="J61" s="907"/>
      <c r="K61" s="905"/>
      <c r="L61" s="908"/>
      <c r="M61" s="909"/>
      <c r="N61" s="907"/>
      <c r="O61" s="910"/>
      <c r="P61" s="905"/>
      <c r="Q61" s="911"/>
    </row>
    <row r="62" spans="1:17">
      <c r="A62" s="900"/>
      <c r="B62" s="905"/>
      <c r="C62" s="906"/>
      <c r="D62" s="906"/>
      <c r="E62" s="906"/>
      <c r="F62" s="905"/>
      <c r="G62" s="906"/>
      <c r="H62" s="906"/>
      <c r="I62" s="906"/>
      <c r="J62" s="907"/>
      <c r="K62" s="905"/>
      <c r="L62" s="908"/>
      <c r="M62" s="909"/>
      <c r="N62" s="907"/>
      <c r="O62" s="910"/>
      <c r="P62" s="905"/>
      <c r="Q62" s="911"/>
    </row>
    <row r="63" spans="1:17">
      <c r="A63" s="900" t="s">
        <v>32</v>
      </c>
      <c r="B63" s="911"/>
      <c r="C63" s="38"/>
      <c r="D63" s="38"/>
      <c r="E63" s="38"/>
      <c r="F63" s="911"/>
      <c r="G63" s="38"/>
      <c r="H63" s="38"/>
      <c r="I63" s="38"/>
      <c r="K63" s="911"/>
      <c r="P63" s="911"/>
      <c r="Q63" s="911"/>
    </row>
    <row r="64" ht="41.4" spans="1:17">
      <c r="A64" s="868" t="s">
        <v>0</v>
      </c>
      <c r="B64" s="869" t="s">
        <v>1</v>
      </c>
      <c r="C64" s="870" t="s">
        <v>2</v>
      </c>
      <c r="D64" s="870" t="s">
        <v>3</v>
      </c>
      <c r="E64" s="871" t="s">
        <v>4</v>
      </c>
      <c r="F64" s="869" t="s">
        <v>5</v>
      </c>
      <c r="G64" s="871" t="s">
        <v>6</v>
      </c>
      <c r="H64" s="871" t="s">
        <v>7</v>
      </c>
      <c r="I64" s="871" t="s">
        <v>8</v>
      </c>
      <c r="J64" s="879" t="s">
        <v>9</v>
      </c>
      <c r="K64" s="869" t="s">
        <v>10</v>
      </c>
      <c r="L64" s="880" t="s">
        <v>11</v>
      </c>
      <c r="M64" s="881" t="s">
        <v>12</v>
      </c>
      <c r="N64" s="879" t="s">
        <v>13</v>
      </c>
      <c r="O64" s="875" t="s">
        <v>14</v>
      </c>
      <c r="P64" s="869" t="s">
        <v>15</v>
      </c>
      <c r="Q64" s="912" t="s">
        <v>16</v>
      </c>
    </row>
    <row r="65" spans="1:19">
      <c r="A65" s="686" t="s">
        <v>19</v>
      </c>
      <c r="B65" s="685">
        <f>SUM(明星店铺!B645:B675)</f>
        <v>4413.62</v>
      </c>
      <c r="C65" s="901">
        <f>SUM(明星店铺!C645:C675)</f>
        <v>5217</v>
      </c>
      <c r="D65" s="901">
        <f>SUM(明星店铺!D645:D675)</f>
        <v>1813</v>
      </c>
      <c r="E65" s="901">
        <f>SUM(明星店铺!E645:E675)</f>
        <v>8</v>
      </c>
      <c r="F65" s="914">
        <f>SUM(明星店铺!F645:F675)</f>
        <v>118804</v>
      </c>
      <c r="G65" s="901">
        <f>SUM(明星店铺!G645:G675)</f>
        <v>442</v>
      </c>
      <c r="H65" s="901">
        <f>SUM(明星店铺!H645:H675)</f>
        <v>43</v>
      </c>
      <c r="I65" s="901">
        <f>SUM(明星店铺!I645:I675)</f>
        <v>117</v>
      </c>
      <c r="J65" s="688">
        <f t="shared" ref="J65:J69" si="106">D65/C65</f>
        <v>0.347517730496454</v>
      </c>
      <c r="K65" s="685">
        <f t="shared" ref="K65:K69" si="107">B65/D65</f>
        <v>2.43442912300055</v>
      </c>
      <c r="L65" s="886">
        <f t="shared" ref="L65:L69" si="108">(B65/C65)*1000</f>
        <v>846.007283879624</v>
      </c>
      <c r="M65" s="887">
        <f>F65/B65</f>
        <v>26.9175869241122</v>
      </c>
      <c r="N65" s="688">
        <f>E65/D65</f>
        <v>0.00441257584114727</v>
      </c>
      <c r="O65" s="915">
        <f t="shared" ref="N65:O69" si="109">F65/E65</f>
        <v>14850.5</v>
      </c>
      <c r="P65" s="685">
        <f>B65/E65</f>
        <v>551.7025</v>
      </c>
      <c r="Q65" s="902">
        <f>B65/G65</f>
        <v>9.98556561085973</v>
      </c>
    </row>
    <row r="66" spans="1:19">
      <c r="A66" s="686" t="s">
        <v>20</v>
      </c>
      <c r="B66" s="685">
        <f>SUM(直通车!B645:B675)</f>
        <v>64544.95</v>
      </c>
      <c r="C66" s="872">
        <f>SUM(直通车!C645:C675)</f>
        <v>163594</v>
      </c>
      <c r="D66" s="872">
        <f>SUM(直通车!D645:D675)</f>
        <v>15532</v>
      </c>
      <c r="E66" s="872">
        <f>SUM(直通车!E645:E675)</f>
        <v>5</v>
      </c>
      <c r="F66" s="685">
        <f>SUM(直通车!F645:F675)</f>
        <v>54251</v>
      </c>
      <c r="G66" s="872">
        <f>SUM(直通车!G645:G675)</f>
        <v>749</v>
      </c>
      <c r="H66" s="872">
        <f>SUM(直通车!H645:H675)</f>
        <v>148</v>
      </c>
      <c r="I66" s="872">
        <f>SUM(直通车!I645:I675)</f>
        <v>124</v>
      </c>
      <c r="J66" s="688">
        <f t="shared" si="106"/>
        <v>0.0949423572991674</v>
      </c>
      <c r="K66" s="685">
        <f t="shared" si="107"/>
        <v>4.15561099665207</v>
      </c>
      <c r="L66" s="886">
        <f t="shared" si="108"/>
        <v>394.54350404049</v>
      </c>
      <c r="M66" s="887">
        <f t="shared" ref="M66:M67" si="110">F66/B66</f>
        <v>0.840515020927276</v>
      </c>
      <c r="N66" s="688">
        <f t="shared" si="109"/>
        <v>0.000321916044295648</v>
      </c>
      <c r="O66" s="915">
        <f t="shared" si="109"/>
        <v>10850.2</v>
      </c>
      <c r="P66" s="685">
        <f t="shared" ref="P66:P69" si="111">B66/E66</f>
        <v>12908.99</v>
      </c>
      <c r="Q66" s="902">
        <f t="shared" ref="Q66:Q69" si="112">B66/G66</f>
        <v>86.1748331108144</v>
      </c>
    </row>
    <row r="67" spans="1:19">
      <c r="A67" s="686" t="s">
        <v>21</v>
      </c>
      <c r="B67" s="685">
        <f>SUM(引力魔方!B544:B574)</f>
        <v>37588.65</v>
      </c>
      <c r="C67" s="872">
        <f>SUM(引力魔方!C544:C574)</f>
        <v>31095835</v>
      </c>
      <c r="D67" s="872">
        <f>SUM(引力魔方!D544:D574)</f>
        <v>188677</v>
      </c>
      <c r="E67" s="872">
        <f>SUM(引力魔方!E544:E574)</f>
        <v>0</v>
      </c>
      <c r="F67" s="685">
        <f>SUM(引力魔方!F544:F574)</f>
        <v>0</v>
      </c>
      <c r="G67" s="872">
        <f>SUM(引力魔方!G544:G574)</f>
        <v>280</v>
      </c>
      <c r="H67" s="872">
        <f>SUM(引力魔方!H544:H574)</f>
        <v>169</v>
      </c>
      <c r="I67" s="872">
        <f>SUM(引力魔方!I544:I574)</f>
        <v>43</v>
      </c>
      <c r="J67" s="688">
        <f t="shared" si="106"/>
        <v>0.00606759715569625</v>
      </c>
      <c r="K67" s="685">
        <f t="shared" si="107"/>
        <v>0.199222215744367</v>
      </c>
      <c r="L67" s="886">
        <f t="shared" si="108"/>
        <v>1.20880014960203</v>
      </c>
      <c r="M67" s="887">
        <f t="shared" si="110"/>
        <v>0</v>
      </c>
      <c r="N67" s="688">
        <f t="shared" si="109"/>
        <v>0</v>
      </c>
      <c r="O67" s="915" t="e">
        <f t="shared" si="109"/>
        <v>#DIV/0!</v>
      </c>
      <c r="P67" s="685" t="e">
        <f t="shared" si="111"/>
        <v>#DIV/0!</v>
      </c>
      <c r="Q67" s="902">
        <f t="shared" si="112"/>
        <v>134.245178571429</v>
      </c>
    </row>
    <row r="68" spans="1:19">
      <c r="A68" s="686" t="s">
        <v>27</v>
      </c>
      <c r="B68" s="685">
        <f>SUM(万相台!B133:B163)</f>
        <v>12333.92</v>
      </c>
      <c r="C68" s="872">
        <f>SUM(万相台!C133:C163)</f>
        <v>843593</v>
      </c>
      <c r="D68" s="872">
        <f>SUM(万相台!D133:D163)</f>
        <v>11679</v>
      </c>
      <c r="E68" s="872">
        <f>SUM(万相台!E133:E163)</f>
        <v>11</v>
      </c>
      <c r="F68" s="685">
        <f>SUM(万相台!F133:F163)</f>
        <v>155509</v>
      </c>
      <c r="G68" s="872">
        <f>SUM(万相台!G133:G163)</f>
        <v>187</v>
      </c>
      <c r="H68" s="872">
        <f>SUM(万相台!H133:H163)</f>
        <v>40</v>
      </c>
      <c r="I68" s="38"/>
      <c r="J68" s="688">
        <f t="shared" si="106"/>
        <v>0.0138443538531021</v>
      </c>
      <c r="K68" s="685">
        <f t="shared" si="107"/>
        <v>1.05607671889717</v>
      </c>
      <c r="L68" s="886">
        <f t="shared" si="108"/>
        <v>14.6206997924355</v>
      </c>
      <c r="M68" s="887">
        <f>(B68/C68)*1000</f>
        <v>14.6206997924355</v>
      </c>
      <c r="N68" s="688">
        <f t="shared" si="109"/>
        <v>0.000941861460741502</v>
      </c>
      <c r="O68" s="915">
        <f t="shared" si="109"/>
        <v>14137.1818181818</v>
      </c>
      <c r="P68" s="685">
        <f t="shared" si="111"/>
        <v>1121.26545454545</v>
      </c>
      <c r="Q68" s="902">
        <f t="shared" si="112"/>
        <v>65.9567914438503</v>
      </c>
    </row>
    <row r="69" spans="1:19">
      <c r="A69" s="891" t="s">
        <v>22</v>
      </c>
      <c r="B69" s="903">
        <f t="shared" ref="B69:I69" si="113">SUM(B65:B68)</f>
        <v>118881.14</v>
      </c>
      <c r="C69" s="904">
        <f t="shared" si="113"/>
        <v>32108239</v>
      </c>
      <c r="D69" s="904">
        <f t="shared" si="113"/>
        <v>217701</v>
      </c>
      <c r="E69" s="904">
        <f t="shared" si="113"/>
        <v>24</v>
      </c>
      <c r="F69" s="903">
        <f t="shared" si="113"/>
        <v>328564</v>
      </c>
      <c r="G69" s="904">
        <f t="shared" si="113"/>
        <v>1658</v>
      </c>
      <c r="H69" s="904">
        <f t="shared" si="113"/>
        <v>400</v>
      </c>
      <c r="I69" s="904">
        <f t="shared" si="113"/>
        <v>284</v>
      </c>
      <c r="J69" s="896">
        <f t="shared" si="106"/>
        <v>0.00678022235975009</v>
      </c>
      <c r="K69" s="903">
        <f t="shared" si="107"/>
        <v>0.546075305120326</v>
      </c>
      <c r="L69" s="897">
        <f t="shared" si="108"/>
        <v>3.70251199388419</v>
      </c>
      <c r="M69" s="898">
        <f t="shared" ref="M69:M74" si="114">F69/B69</f>
        <v>2.76380256784213</v>
      </c>
      <c r="N69" s="896">
        <f t="shared" si="109"/>
        <v>0.000110242947896427</v>
      </c>
      <c r="O69" s="916">
        <f t="shared" si="109"/>
        <v>13690.1666666667</v>
      </c>
      <c r="P69" s="903">
        <f t="shared" si="111"/>
        <v>4953.38083333333</v>
      </c>
      <c r="Q69" s="902">
        <f t="shared" si="112"/>
        <v>71.7015319662244</v>
      </c>
    </row>
    <row r="71" ht="41.4" spans="1:19">
      <c r="A71" s="868" t="s">
        <v>23</v>
      </c>
      <c r="B71" s="869" t="s">
        <v>1</v>
      </c>
      <c r="C71" s="870" t="s">
        <v>2</v>
      </c>
      <c r="D71" s="870" t="s">
        <v>3</v>
      </c>
      <c r="E71" s="871" t="s">
        <v>4</v>
      </c>
      <c r="F71" s="869" t="s">
        <v>5</v>
      </c>
      <c r="G71" s="871" t="s">
        <v>6</v>
      </c>
      <c r="H71" s="871" t="s">
        <v>7</v>
      </c>
      <c r="I71" s="871" t="s">
        <v>8</v>
      </c>
      <c r="J71" s="879" t="s">
        <v>9</v>
      </c>
      <c r="K71" s="869" t="s">
        <v>10</v>
      </c>
      <c r="L71" s="880" t="s">
        <v>11</v>
      </c>
      <c r="M71" s="881" t="s">
        <v>12</v>
      </c>
      <c r="N71" s="879" t="s">
        <v>13</v>
      </c>
      <c r="O71" s="875" t="s">
        <v>14</v>
      </c>
      <c r="P71" s="869" t="s">
        <v>15</v>
      </c>
      <c r="Q71" s="912" t="s">
        <v>16</v>
      </c>
    </row>
    <row r="72" spans="1:19">
      <c r="A72" s="686" t="s">
        <v>19</v>
      </c>
      <c r="B72" s="685">
        <f>SUM(明星店铺!B676:B704)</f>
        <v>5341.79</v>
      </c>
      <c r="C72" s="901">
        <f>SUM(明星店铺!C676:C704)</f>
        <v>7780</v>
      </c>
      <c r="D72" s="901">
        <f>SUM(明星店铺!D676:D704)</f>
        <v>3160</v>
      </c>
      <c r="E72" s="901">
        <f>SUM(明星店铺!E676:E704)</f>
        <v>22</v>
      </c>
      <c r="F72" s="914">
        <f>SUM(明星店铺!F676:F704)</f>
        <v>336056</v>
      </c>
      <c r="G72" s="901">
        <f>SUM(明星店铺!G676:G704)</f>
        <v>812</v>
      </c>
      <c r="H72" s="901">
        <f>SUM(明星店铺!H676:H704)</f>
        <v>56</v>
      </c>
      <c r="I72" s="901">
        <f>SUM(明星店铺!I676:I704)</f>
        <v>252</v>
      </c>
      <c r="J72" s="688">
        <f>D72/C72</f>
        <v>0.406169665809769</v>
      </c>
      <c r="K72" s="685">
        <f>B72/D72</f>
        <v>1.69043987341772</v>
      </c>
      <c r="L72" s="886">
        <f t="shared" ref="L72:L76" si="115">(B72/C72)*1000</f>
        <v>686.605398457583</v>
      </c>
      <c r="M72" s="887">
        <f t="shared" si="114"/>
        <v>62.9107471465558</v>
      </c>
      <c r="N72" s="688">
        <f t="shared" ref="N72:N76" si="116">E72/D72</f>
        <v>0.0069620253164557</v>
      </c>
      <c r="O72" s="915">
        <f t="shared" ref="O72:O76" si="117">F72/E72</f>
        <v>15275.2727272727</v>
      </c>
      <c r="P72" s="685">
        <f t="shared" ref="P72:P76" si="118">B72/E72</f>
        <v>242.808636363636</v>
      </c>
      <c r="Q72" s="902">
        <f t="shared" ref="Q72:Q76" si="119">B72/G72</f>
        <v>6.57855911330049</v>
      </c>
    </row>
    <row r="73" spans="1:19">
      <c r="A73" s="686" t="s">
        <v>20</v>
      </c>
      <c r="B73" s="685">
        <f>SUM(直通车!B676:B704)</f>
        <v>41071.2</v>
      </c>
      <c r="C73" s="872">
        <f>SUM(直通车!C676:C704)</f>
        <v>120151</v>
      </c>
      <c r="D73" s="872">
        <f>SUM(直通车!D676:D704)</f>
        <v>9048</v>
      </c>
      <c r="E73" s="872">
        <f>SUM(直通车!E676:E704)</f>
        <v>9</v>
      </c>
      <c r="F73" s="685">
        <f>SUM(直通车!F676:F704)</f>
        <v>102983</v>
      </c>
      <c r="G73" s="872">
        <f>SUM(直通车!G676:G704)</f>
        <v>590</v>
      </c>
      <c r="H73" s="872">
        <f>SUM(直通车!H676:H704)</f>
        <v>79</v>
      </c>
      <c r="I73" s="872">
        <f>SUM(直通车!I676:I704)</f>
        <v>115</v>
      </c>
      <c r="J73" s="688">
        <f t="shared" ref="J73:J76" si="120">D73/C73</f>
        <v>0.0753052409051943</v>
      </c>
      <c r="K73" s="685">
        <f t="shared" ref="K73:K76" si="121">B73/D73</f>
        <v>4.53925729442971</v>
      </c>
      <c r="L73" s="886">
        <f t="shared" si="115"/>
        <v>341.82986408769</v>
      </c>
      <c r="M73" s="887">
        <f t="shared" si="114"/>
        <v>2.50742612828454</v>
      </c>
      <c r="N73" s="688">
        <f t="shared" si="116"/>
        <v>0.000994694960212202</v>
      </c>
      <c r="O73" s="915">
        <f t="shared" si="117"/>
        <v>11442.5555555556</v>
      </c>
      <c r="P73" s="685">
        <f t="shared" si="118"/>
        <v>4563.46666666667</v>
      </c>
      <c r="Q73" s="902">
        <f t="shared" si="119"/>
        <v>69.6122033898305</v>
      </c>
    </row>
    <row r="74" spans="1:19">
      <c r="A74" s="686" t="s">
        <v>21</v>
      </c>
      <c r="B74" s="685">
        <f>SUM(引力魔方!B575:B603)</f>
        <v>14419.61</v>
      </c>
      <c r="C74" s="872">
        <f>SUM(引力魔方!C575:C603)</f>
        <v>49785339</v>
      </c>
      <c r="D74" s="872">
        <f>SUM(引力魔方!D575:D603)</f>
        <v>147329</v>
      </c>
      <c r="E74" s="872">
        <f>SUM(引力魔方!E575:E603)</f>
        <v>0</v>
      </c>
      <c r="F74" s="685">
        <f>SUM(引力魔方!F575:F603)</f>
        <v>0</v>
      </c>
      <c r="G74" s="872">
        <f>SUM(引力魔方!G575:G603)</f>
        <v>85</v>
      </c>
      <c r="H74" s="872">
        <f>SUM(引力魔方!H575:H603)</f>
        <v>82</v>
      </c>
      <c r="I74" s="872">
        <f>SUM(引力魔方!I575:I603)</f>
        <v>36</v>
      </c>
      <c r="J74" s="688">
        <f t="shared" si="120"/>
        <v>0.00295928486095073</v>
      </c>
      <c r="K74" s="685">
        <f t="shared" si="121"/>
        <v>0.097873534741972</v>
      </c>
      <c r="L74" s="886">
        <f t="shared" si="115"/>
        <v>0.289635669649653</v>
      </c>
      <c r="M74" s="887">
        <f t="shared" si="114"/>
        <v>0</v>
      </c>
      <c r="N74" s="688">
        <f t="shared" si="116"/>
        <v>0</v>
      </c>
      <c r="O74" s="915" t="e">
        <f t="shared" si="117"/>
        <v>#DIV/0!</v>
      </c>
      <c r="P74" s="685" t="e">
        <f t="shared" si="118"/>
        <v>#DIV/0!</v>
      </c>
      <c r="Q74" s="902">
        <f t="shared" si="119"/>
        <v>169.642470588235</v>
      </c>
    </row>
    <row r="75" spans="1:19">
      <c r="A75" s="686" t="s">
        <v>27</v>
      </c>
      <c r="B75" s="685">
        <f>SUM(万相台!B164:B192)</f>
        <v>5781.09</v>
      </c>
      <c r="C75" s="872">
        <f>SUM(万相台!C164:C192)</f>
        <v>827507</v>
      </c>
      <c r="D75" s="872">
        <f>SUM(万相台!D164:D192)</f>
        <v>16623</v>
      </c>
      <c r="E75" s="872">
        <f>SUM(万相台!E164:E192)</f>
        <v>1</v>
      </c>
      <c r="F75" s="685">
        <f>SUM(万相台!F164:F192)</f>
        <v>15880</v>
      </c>
      <c r="G75" s="872">
        <f>SUM(万相台!G164:G192)</f>
        <v>123</v>
      </c>
      <c r="H75" s="872">
        <f>SUM(万相台!H164:H192)</f>
        <v>67</v>
      </c>
      <c r="I75" s="38"/>
      <c r="J75" s="688">
        <f t="shared" si="120"/>
        <v>0.0200880475935551</v>
      </c>
      <c r="K75" s="685">
        <f t="shared" si="121"/>
        <v>0.347776574625519</v>
      </c>
      <c r="L75" s="886">
        <f t="shared" si="115"/>
        <v>6.98615238300099</v>
      </c>
      <c r="M75" s="887">
        <f>(B75/C75)*1000</f>
        <v>6.98615238300099</v>
      </c>
      <c r="N75" s="688">
        <f t="shared" si="116"/>
        <v>6.01576129459183e-5</v>
      </c>
      <c r="O75" s="915">
        <f t="shared" si="117"/>
        <v>15880</v>
      </c>
      <c r="P75" s="685">
        <f t="shared" si="118"/>
        <v>5781.09</v>
      </c>
      <c r="Q75" s="902">
        <f t="shared" si="119"/>
        <v>47.0007317073171</v>
      </c>
    </row>
    <row r="76" spans="1:19">
      <c r="A76" s="891" t="s">
        <v>22</v>
      </c>
      <c r="B76" s="903">
        <f t="shared" ref="B76:I76" si="122">SUM(B72:B75)</f>
        <v>66613.69</v>
      </c>
      <c r="C76" s="904">
        <f t="shared" si="122"/>
        <v>50740777</v>
      </c>
      <c r="D76" s="904">
        <f t="shared" si="122"/>
        <v>176160</v>
      </c>
      <c r="E76" s="904">
        <f t="shared" si="122"/>
        <v>32</v>
      </c>
      <c r="F76" s="903">
        <f t="shared" si="122"/>
        <v>454919</v>
      </c>
      <c r="G76" s="904">
        <f t="shared" si="122"/>
        <v>1610</v>
      </c>
      <c r="H76" s="904">
        <f t="shared" si="122"/>
        <v>284</v>
      </c>
      <c r="I76" s="904">
        <f t="shared" si="122"/>
        <v>403</v>
      </c>
      <c r="J76" s="896">
        <f t="shared" si="120"/>
        <v>0.00347176394244022</v>
      </c>
      <c r="K76" s="903">
        <f t="shared" si="121"/>
        <v>0.378143108537693</v>
      </c>
      <c r="L76" s="897">
        <f t="shared" si="115"/>
        <v>1.31282360930342</v>
      </c>
      <c r="M76" s="898">
        <f>F76/B76</f>
        <v>6.82921183318324</v>
      </c>
      <c r="N76" s="896">
        <f t="shared" si="116"/>
        <v>0.000181653042688465</v>
      </c>
      <c r="O76" s="916">
        <f t="shared" si="117"/>
        <v>14216.21875</v>
      </c>
      <c r="P76" s="903">
        <f t="shared" si="118"/>
        <v>2081.6778125</v>
      </c>
      <c r="Q76" s="902">
        <f t="shared" si="119"/>
        <v>41.3749627329193</v>
      </c>
    </row>
    <row r="79" ht="41.4" spans="1:19">
      <c r="A79" s="868" t="s">
        <v>24</v>
      </c>
      <c r="B79" s="869" t="s">
        <v>1</v>
      </c>
      <c r="C79" s="870" t="s">
        <v>2</v>
      </c>
      <c r="D79" s="870" t="s">
        <v>3</v>
      </c>
      <c r="E79" s="871" t="s">
        <v>4</v>
      </c>
      <c r="F79" s="869" t="s">
        <v>5</v>
      </c>
      <c r="G79" s="871" t="s">
        <v>6</v>
      </c>
      <c r="H79" s="871" t="s">
        <v>7</v>
      </c>
      <c r="I79" s="871" t="s">
        <v>8</v>
      </c>
      <c r="J79" s="879" t="s">
        <v>9</v>
      </c>
      <c r="K79" s="869" t="s">
        <v>10</v>
      </c>
      <c r="L79" s="880" t="s">
        <v>11</v>
      </c>
      <c r="M79" s="881" t="s">
        <v>12</v>
      </c>
      <c r="N79" s="879" t="s">
        <v>13</v>
      </c>
      <c r="O79" s="875" t="s">
        <v>14</v>
      </c>
      <c r="P79" s="869" t="s">
        <v>15</v>
      </c>
      <c r="Q79" s="912" t="s">
        <v>16</v>
      </c>
    </row>
    <row r="80" spans="1:19">
      <c r="A80" s="686" t="s">
        <v>19</v>
      </c>
      <c r="B80" s="685">
        <f>SUM(明星店铺!B710:B735)</f>
        <v>6343.94</v>
      </c>
      <c r="C80" s="918">
        <f>SUM(明星店铺!C710:C735)</f>
        <v>7790</v>
      </c>
      <c r="D80" s="918">
        <f>SUM(明星店铺!D710:D735)</f>
        <v>3090</v>
      </c>
      <c r="E80" s="918">
        <f>SUM(明星店铺!E710:E735)</f>
        <v>57</v>
      </c>
      <c r="F80" s="918">
        <f>SUM(明星店铺!F710:F735)</f>
        <v>853525</v>
      </c>
      <c r="G80" s="918">
        <f>SUM(明星店铺!G710:G735)</f>
        <v>864</v>
      </c>
      <c r="H80" s="918">
        <f>SUM(明星店铺!H710:H735)</f>
        <v>65</v>
      </c>
      <c r="I80" s="918">
        <f>SUM(明星店铺!I710:I735)</f>
        <v>205</v>
      </c>
      <c r="J80" s="688">
        <f>D80/C80</f>
        <v>0.396662387676508</v>
      </c>
      <c r="K80" s="685">
        <f t="shared" ref="K80:K84" si="123">B80/D80</f>
        <v>2.05305501618123</v>
      </c>
      <c r="L80" s="886">
        <f t="shared" ref="L80:L84" si="124">(B80/C80)*1000</f>
        <v>814.369704749679</v>
      </c>
      <c r="M80" s="887">
        <f>F80/B80</f>
        <v>134.54178318206</v>
      </c>
      <c r="N80" s="688">
        <f t="shared" ref="N80:N84" si="125">E80/D80</f>
        <v>0.0184466019417476</v>
      </c>
      <c r="O80" s="915">
        <f t="shared" ref="O80:O84" si="126">F80/E80</f>
        <v>14974.1228070175</v>
      </c>
      <c r="P80" s="685">
        <f t="shared" ref="P80:P84" si="127">B80/E80</f>
        <v>111.297192982456</v>
      </c>
      <c r="Q80" s="902">
        <f t="shared" ref="Q80:Q84" si="128">B80/G80</f>
        <v>7.34252314814815</v>
      </c>
      <c r="S80" s="917">
        <f>D80/$D$84</f>
        <v>0.0059322684687452</v>
      </c>
    </row>
    <row r="81" spans="1:19">
      <c r="A81" s="686" t="s">
        <v>20</v>
      </c>
      <c r="B81" s="685">
        <f>SUM(直通车!B710:B735)</f>
        <v>75488.95</v>
      </c>
      <c r="C81" s="918">
        <f>SUM(直通车!C710:C735)</f>
        <v>292874</v>
      </c>
      <c r="D81" s="918">
        <f>SUM(直通车!D710:D735)</f>
        <v>15259</v>
      </c>
      <c r="E81" s="918">
        <f>SUM(直通车!E710:E735)</f>
        <v>54</v>
      </c>
      <c r="F81" s="918">
        <f>SUM(直通车!F710:F735)</f>
        <v>900873</v>
      </c>
      <c r="G81" s="918">
        <f>SUM(直通车!G710:G735)</f>
        <v>1032</v>
      </c>
      <c r="H81" s="918">
        <f>SUM(直通车!H710:H735)</f>
        <v>148</v>
      </c>
      <c r="I81" s="918">
        <f>SUM(直通车!I710:I735)</f>
        <v>176</v>
      </c>
      <c r="J81" s="688">
        <f t="shared" ref="J81:J84" si="129">D81/C81</f>
        <v>0.0521009034601911</v>
      </c>
      <c r="K81" s="685">
        <f t="shared" si="123"/>
        <v>4.94717543744675</v>
      </c>
      <c r="L81" s="886">
        <f t="shared" si="124"/>
        <v>257.752309867042</v>
      </c>
      <c r="M81" s="887">
        <f>F81/B81</f>
        <v>11.9338393235036</v>
      </c>
      <c r="N81" s="688">
        <f t="shared" si="125"/>
        <v>0.00353889507831444</v>
      </c>
      <c r="O81" s="915">
        <f t="shared" si="126"/>
        <v>16682.8333333333</v>
      </c>
      <c r="P81" s="685">
        <f t="shared" si="127"/>
        <v>1397.94351851852</v>
      </c>
      <c r="Q81" s="902">
        <f t="shared" si="128"/>
        <v>73.1482073643411</v>
      </c>
      <c r="S81" s="917">
        <f>D81/$D$84</f>
        <v>0.0292946551988942</v>
      </c>
    </row>
    <row r="82" spans="1:19">
      <c r="A82" s="686" t="s">
        <v>21</v>
      </c>
      <c r="B82" s="685">
        <f>SUM(引力魔方!B609:B634)</f>
        <v>42729.16</v>
      </c>
      <c r="C82" s="918">
        <f>SUM(引力魔方!C609:C634)</f>
        <v>60695924</v>
      </c>
      <c r="D82" s="918">
        <f>SUM(引力魔方!D609:D634)</f>
        <v>307564</v>
      </c>
      <c r="E82" s="918">
        <f>SUM(引力魔方!E609:E634)</f>
        <v>3</v>
      </c>
      <c r="F82" s="918">
        <f>SUM(引力魔方!F609:F634)</f>
        <v>61690</v>
      </c>
      <c r="G82" s="918">
        <f>SUM(引力魔方!G609:G634)</f>
        <v>231</v>
      </c>
      <c r="H82" s="918">
        <f>SUM(引力魔方!H609:H634)</f>
        <v>296</v>
      </c>
      <c r="I82" s="918">
        <f>SUM(引力魔方!I609:I634)</f>
        <v>48</v>
      </c>
      <c r="J82" s="688">
        <f t="shared" si="129"/>
        <v>0.00506729249232617</v>
      </c>
      <c r="K82" s="685">
        <f t="shared" si="123"/>
        <v>0.138927702852089</v>
      </c>
      <c r="L82" s="886">
        <f t="shared" si="124"/>
        <v>0.703987305638514</v>
      </c>
      <c r="M82" s="887">
        <f>F82/B82</f>
        <v>1.44374474012595</v>
      </c>
      <c r="N82" s="688">
        <f t="shared" si="125"/>
        <v>9.75406744612503e-6</v>
      </c>
      <c r="O82" s="915">
        <f t="shared" si="126"/>
        <v>20563.3333333333</v>
      </c>
      <c r="P82" s="685">
        <f t="shared" si="127"/>
        <v>14243.0533333333</v>
      </c>
      <c r="Q82" s="902">
        <f t="shared" si="128"/>
        <v>184.974718614719</v>
      </c>
      <c r="S82" s="917">
        <f>D82/$D$84</f>
        <v>0.590469973890339</v>
      </c>
    </row>
    <row r="83" spans="1:19">
      <c r="A83" s="686" t="s">
        <v>27</v>
      </c>
      <c r="B83" s="685">
        <f>SUM(万相台!B198:B223)</f>
        <v>72447.57</v>
      </c>
      <c r="C83" s="918">
        <f>SUM(万相台!C198:C223)</f>
        <v>19289743</v>
      </c>
      <c r="D83" s="918">
        <f>SUM(万相台!D198:D223)</f>
        <v>194967</v>
      </c>
      <c r="E83" s="918">
        <f>SUM(万相台!E198:E223)</f>
        <v>40</v>
      </c>
      <c r="F83" s="918">
        <f>SUM(万相台!F198:F223)</f>
        <v>673643</v>
      </c>
      <c r="G83" s="918">
        <f>SUM(万相台!G198:G223)</f>
        <v>1444</v>
      </c>
      <c r="H83" s="918">
        <f>SUM(万相台!H198:H223)</f>
        <v>3136</v>
      </c>
      <c r="I83" s="918">
        <f>SUM(万相台!J198:J223)</f>
        <v>0.313360515930557</v>
      </c>
      <c r="J83" s="688">
        <f t="shared" si="129"/>
        <v>0.0101072886248407</v>
      </c>
      <c r="K83" s="685">
        <f t="shared" si="123"/>
        <v>0.371588884272723</v>
      </c>
      <c r="L83" s="886">
        <f t="shared" si="124"/>
        <v>3.75575610312693</v>
      </c>
      <c r="M83" s="887">
        <f t="shared" ref="M83:M92" si="130">F83/B83</f>
        <v>9.29835189779312</v>
      </c>
      <c r="N83" s="688">
        <f t="shared" si="125"/>
        <v>0.000205162925007822</v>
      </c>
      <c r="O83" s="915">
        <f t="shared" si="126"/>
        <v>16841.075</v>
      </c>
      <c r="P83" s="685">
        <f t="shared" si="127"/>
        <v>1811.18925</v>
      </c>
      <c r="Q83" s="902">
        <f t="shared" si="128"/>
        <v>50.1714473684211</v>
      </c>
      <c r="S83" s="917">
        <f>D83/$D$84</f>
        <v>0.374303102442021</v>
      </c>
    </row>
    <row r="84" spans="1:19">
      <c r="A84" s="891" t="s">
        <v>22</v>
      </c>
      <c r="B84" s="903">
        <f t="shared" ref="B84:I84" si="131">SUM(B80:B83)</f>
        <v>197009.62</v>
      </c>
      <c r="C84" s="904">
        <f t="shared" si="131"/>
        <v>80286331</v>
      </c>
      <c r="D84" s="904">
        <f t="shared" si="131"/>
        <v>520880</v>
      </c>
      <c r="E84" s="904">
        <f t="shared" si="131"/>
        <v>154</v>
      </c>
      <c r="F84" s="903">
        <f t="shared" si="131"/>
        <v>2489731</v>
      </c>
      <c r="G84" s="904">
        <f t="shared" si="131"/>
        <v>3571</v>
      </c>
      <c r="H84" s="904">
        <f t="shared" si="131"/>
        <v>3645</v>
      </c>
      <c r="I84" s="904">
        <f t="shared" si="131"/>
        <v>429.313360515931</v>
      </c>
      <c r="J84" s="896">
        <f t="shared" si="129"/>
        <v>0.00648777934565225</v>
      </c>
      <c r="K84" s="903">
        <f t="shared" si="123"/>
        <v>0.3782245814775</v>
      </c>
      <c r="L84" s="897">
        <f t="shared" si="124"/>
        <v>2.45383762772769</v>
      </c>
      <c r="M84" s="898">
        <f t="shared" si="130"/>
        <v>12.6376113004025</v>
      </c>
      <c r="N84" s="896">
        <f t="shared" si="125"/>
        <v>0.000295653509445554</v>
      </c>
      <c r="O84" s="916">
        <f t="shared" si="126"/>
        <v>16167.0844155844</v>
      </c>
      <c r="P84" s="903">
        <f t="shared" si="127"/>
        <v>1279.28324675325</v>
      </c>
      <c r="Q84" s="902">
        <f t="shared" si="128"/>
        <v>55.1693139176701</v>
      </c>
    </row>
    <row r="87" ht="41.4" spans="1:19">
      <c r="A87" s="868" t="s">
        <v>33</v>
      </c>
      <c r="B87" s="869" t="s">
        <v>1</v>
      </c>
      <c r="C87" s="870" t="s">
        <v>2</v>
      </c>
      <c r="D87" s="870" t="s">
        <v>3</v>
      </c>
      <c r="E87" s="871" t="s">
        <v>4</v>
      </c>
      <c r="F87" s="869" t="s">
        <v>5</v>
      </c>
      <c r="G87" s="871" t="s">
        <v>6</v>
      </c>
      <c r="H87" s="871" t="s">
        <v>7</v>
      </c>
      <c r="I87" s="871" t="s">
        <v>8</v>
      </c>
      <c r="J87" s="879" t="s">
        <v>9</v>
      </c>
      <c r="K87" s="869" t="s">
        <v>10</v>
      </c>
      <c r="L87" s="880" t="s">
        <v>11</v>
      </c>
      <c r="M87" s="881" t="s">
        <v>12</v>
      </c>
      <c r="N87" s="879" t="s">
        <v>13</v>
      </c>
      <c r="O87" s="875" t="s">
        <v>14</v>
      </c>
      <c r="P87" s="869" t="s">
        <v>15</v>
      </c>
      <c r="Q87" s="912" t="s">
        <v>16</v>
      </c>
    </row>
    <row r="88" spans="1:19">
      <c r="A88" s="686" t="s">
        <v>19</v>
      </c>
      <c r="B88" s="685">
        <f>SUM(明星店铺!B736:B765)</f>
        <v>6488.18</v>
      </c>
      <c r="C88" s="872">
        <f>SUM(明星店铺!C736:C765)</f>
        <v>7851</v>
      </c>
      <c r="D88" s="872">
        <f>SUM(明星店铺!D736:D765)</f>
        <v>2955</v>
      </c>
      <c r="E88" s="872">
        <f>SUM(明星店铺!E736:E765)</f>
        <v>18</v>
      </c>
      <c r="F88" s="872">
        <f>SUM(明星店铺!F736:F765)</f>
        <v>276039</v>
      </c>
      <c r="G88" s="872">
        <f>SUM(明星店铺!G736:G765)</f>
        <v>783</v>
      </c>
      <c r="H88" s="872">
        <f>SUM(明星店铺!H736:H756)</f>
        <v>44</v>
      </c>
      <c r="I88" s="872">
        <f>SUM(明星店铺!I736:I765)</f>
        <v>145</v>
      </c>
      <c r="J88" s="688">
        <f t="shared" ref="J88:J92" si="132">D88/C88</f>
        <v>0.376385173863202</v>
      </c>
      <c r="K88" s="685">
        <f t="shared" ref="K88:K92" si="133">B88/D88</f>
        <v>2.19566159052453</v>
      </c>
      <c r="L88" s="886">
        <f t="shared" ref="L88:L92" si="134">(B88/C88)*1000</f>
        <v>826.414469494332</v>
      </c>
      <c r="M88" s="887">
        <f t="shared" si="130"/>
        <v>42.5449047344556</v>
      </c>
      <c r="N88" s="688">
        <f t="shared" ref="N88:N92" si="135">E88/D88</f>
        <v>0.00609137055837563</v>
      </c>
      <c r="O88" s="915">
        <f>IF(E88=0,"0",F88/E88)</f>
        <v>15335.5</v>
      </c>
      <c r="P88" s="685">
        <f>IF(E88=0,"0",B88/E88)</f>
        <v>360.454444444444</v>
      </c>
      <c r="Q88" s="902">
        <f t="shared" ref="Q88:Q92" si="136">B88/G88</f>
        <v>8.28630906768838</v>
      </c>
      <c r="S88" s="917">
        <f>D88/$D$92</f>
        <v>0.0073047553833946</v>
      </c>
    </row>
    <row r="89" spans="1:19">
      <c r="A89" s="686" t="s">
        <v>20</v>
      </c>
      <c r="B89" s="685">
        <f>SUM(直通车!B736:B765)</f>
        <v>55187.14</v>
      </c>
      <c r="C89" s="918">
        <f>SUM(直通车!C736:C765)</f>
        <v>217527</v>
      </c>
      <c r="D89" s="918">
        <f>SUM(直通车!D736:D765)</f>
        <v>13706</v>
      </c>
      <c r="E89" s="918">
        <f>SUM(直通车!E736:E765)</f>
        <v>9</v>
      </c>
      <c r="F89" s="918">
        <f>SUM(直通车!F736:F765)</f>
        <v>196570</v>
      </c>
      <c r="G89" s="918">
        <f>SUM(直通车!G736:G765)</f>
        <v>945</v>
      </c>
      <c r="H89" s="918">
        <f>SUM(直通车!H736:H765)</f>
        <v>95</v>
      </c>
      <c r="I89" s="918">
        <f>SUM(直通车!I736:I765)</f>
        <v>115</v>
      </c>
      <c r="J89" s="688">
        <f t="shared" si="132"/>
        <v>0.0630082702377176</v>
      </c>
      <c r="K89" s="685">
        <f t="shared" si="133"/>
        <v>4.02649496570845</v>
      </c>
      <c r="L89" s="886">
        <f t="shared" si="134"/>
        <v>253.702482910168</v>
      </c>
      <c r="M89" s="887">
        <f t="shared" si="130"/>
        <v>3.56188053956048</v>
      </c>
      <c r="N89" s="688">
        <f t="shared" si="135"/>
        <v>0.000656646724062454</v>
      </c>
      <c r="O89" s="915">
        <f>IF(E89=0,"0",F89/E89)</f>
        <v>21841.1111111111</v>
      </c>
      <c r="P89" s="685">
        <f>IF(E89=0,"0",B89/E89)</f>
        <v>6131.90444444445</v>
      </c>
      <c r="Q89" s="902">
        <f t="shared" si="136"/>
        <v>58.39908994709</v>
      </c>
      <c r="S89" s="917">
        <f>D89/$D$92</f>
        <v>0.0338812105870749</v>
      </c>
    </row>
    <row r="90" spans="1:19">
      <c r="A90" s="686" t="s">
        <v>21</v>
      </c>
      <c r="B90" s="685">
        <f>SUM(引力魔方!B635:B664)</f>
        <v>37490.77</v>
      </c>
      <c r="C90" s="918">
        <f>SUM(引力魔方!C635:C664)</f>
        <v>43486150</v>
      </c>
      <c r="D90" s="918">
        <f>SUM(引力魔方!D635:D664)</f>
        <v>167971</v>
      </c>
      <c r="E90" s="918">
        <f>SUM(引力魔方!E635:E664)</f>
        <v>2</v>
      </c>
      <c r="F90" s="918">
        <f>SUM(引力魔方!F635:F664)</f>
        <v>20393.68</v>
      </c>
      <c r="G90" s="918">
        <f>SUM(引力魔方!G635:G664)</f>
        <v>247</v>
      </c>
      <c r="H90" s="918">
        <f>SUM(引力魔方!H635:H664)</f>
        <v>899</v>
      </c>
      <c r="I90" s="918">
        <f>SUM(引力魔方!I635:I664)</f>
        <v>54</v>
      </c>
      <c r="J90" s="688">
        <f t="shared" si="132"/>
        <v>0.00386263212540085</v>
      </c>
      <c r="K90" s="685">
        <f t="shared" si="133"/>
        <v>0.223197873442439</v>
      </c>
      <c r="L90" s="886">
        <f t="shared" si="134"/>
        <v>0.862131276279919</v>
      </c>
      <c r="M90" s="887">
        <f t="shared" si="130"/>
        <v>0.54396535467263</v>
      </c>
      <c r="N90" s="688">
        <f t="shared" si="135"/>
        <v>1.19068172482155e-5</v>
      </c>
      <c r="O90" s="915">
        <f>IF(E90=0,"0",F90/E90)</f>
        <v>10196.84</v>
      </c>
      <c r="P90" s="685">
        <f>IF(E90=0,"0",B90/E90)</f>
        <v>18745.385</v>
      </c>
      <c r="Q90" s="902">
        <f t="shared" si="136"/>
        <v>151.784493927126</v>
      </c>
      <c r="S90" s="917">
        <f>D90/$D$92</f>
        <v>0.415224049578401</v>
      </c>
    </row>
    <row r="91" spans="1:19">
      <c r="A91" s="686" t="s">
        <v>27</v>
      </c>
      <c r="B91" s="685">
        <f>SUM(万相台!B224:B253)</f>
        <v>61294.7</v>
      </c>
      <c r="C91" s="918">
        <f>SUM(万相台!C224:C253)</f>
        <v>18951479</v>
      </c>
      <c r="D91" s="918">
        <f>SUM(万相台!D224:D253)</f>
        <v>219899</v>
      </c>
      <c r="E91" s="918">
        <f>SUM(万相台!E224:E253)</f>
        <v>31</v>
      </c>
      <c r="F91" s="918">
        <f>SUM(万相台!F224:F253)</f>
        <v>464453.48</v>
      </c>
      <c r="G91" s="918">
        <f>SUM(万相台!G224:G253)</f>
        <v>1037</v>
      </c>
      <c r="H91" s="918">
        <f>SUM(万相台!H224:H253)</f>
        <v>3263</v>
      </c>
      <c r="I91" s="918">
        <f>SUM(万相台!J224:J253)</f>
        <v>0.336832816690093</v>
      </c>
      <c r="J91" s="688">
        <f t="shared" si="132"/>
        <v>0.0116032632598226</v>
      </c>
      <c r="K91" s="685">
        <f t="shared" si="133"/>
        <v>0.27874023983738</v>
      </c>
      <c r="L91" s="886">
        <f t="shared" si="134"/>
        <v>3.23429638393922</v>
      </c>
      <c r="M91" s="887">
        <f t="shared" si="130"/>
        <v>7.57738401525744</v>
      </c>
      <c r="N91" s="688">
        <f t="shared" si="135"/>
        <v>0.000140973810704005</v>
      </c>
      <c r="O91" s="915">
        <f>IF(E91=0,"0",F91/E91)</f>
        <v>14982.3703225806</v>
      </c>
      <c r="P91" s="685">
        <f>IF(E91=0,"0",B91/E91)</f>
        <v>1977.24838709677</v>
      </c>
      <c r="Q91" s="902">
        <f t="shared" si="136"/>
        <v>59.1077145612343</v>
      </c>
      <c r="S91" s="917">
        <f>D91/$D$92</f>
        <v>0.54358998445113</v>
      </c>
    </row>
    <row r="92" spans="1:19">
      <c r="A92" s="891" t="s">
        <v>22</v>
      </c>
      <c r="B92" s="903">
        <f t="shared" ref="B92:I92" si="137">SUM(B88:B91)</f>
        <v>160460.79</v>
      </c>
      <c r="C92" s="904">
        <f t="shared" si="137"/>
        <v>62663007</v>
      </c>
      <c r="D92" s="904">
        <f t="shared" si="137"/>
        <v>404531</v>
      </c>
      <c r="E92" s="904">
        <f t="shared" si="137"/>
        <v>60</v>
      </c>
      <c r="F92" s="903">
        <f t="shared" si="137"/>
        <v>957456.16</v>
      </c>
      <c r="G92" s="904">
        <f t="shared" si="137"/>
        <v>3012</v>
      </c>
      <c r="H92" s="904">
        <f t="shared" si="137"/>
        <v>4301</v>
      </c>
      <c r="I92" s="904">
        <f t="shared" si="137"/>
        <v>314.33683281669</v>
      </c>
      <c r="J92" s="896">
        <f t="shared" si="132"/>
        <v>0.00645565891850674</v>
      </c>
      <c r="K92" s="903">
        <f t="shared" si="133"/>
        <v>0.396658822191624</v>
      </c>
      <c r="L92" s="897">
        <f t="shared" si="134"/>
        <v>2.56069406308574</v>
      </c>
      <c r="M92" s="898">
        <f t="shared" si="130"/>
        <v>5.96691665297173</v>
      </c>
      <c r="N92" s="896">
        <f t="shared" si="135"/>
        <v>0.000148319906261819</v>
      </c>
      <c r="O92" s="916">
        <f>F92/E92</f>
        <v>15957.6026666667</v>
      </c>
      <c r="P92" s="903">
        <f>B92/E92</f>
        <v>2674.3465</v>
      </c>
      <c r="Q92" s="902">
        <f t="shared" si="136"/>
        <v>53.2738346613546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C302"/>
  <sheetViews>
    <sheetView showGridLines="0" topLeftCell="A280" workbookViewId="0">
      <pane xSplit="1" topLeftCell="B1" activePane="topRight" state="frozen"/>
      <selection/>
      <selection pane="topRight" activeCell="B303" sqref="B303"/>
    </sheetView>
  </sheetViews>
  <sheetFormatPr defaultColWidth="9.87962962962963" defaultRowHeight="13.8"/>
  <cols>
    <col min="1" max="1" width="14.5185185185185" style="37" customWidth="1"/>
    <col min="2" max="2" width="15.1296296296296" style="37" customWidth="1"/>
    <col min="3" max="3" width="14.5185185185185" style="37" customWidth="1"/>
    <col min="4" max="4" width="13" style="37" customWidth="1"/>
    <col min="5" max="5" width="9.87962962962963" style="37" customWidth="1"/>
    <col min="6" max="6" width="16.25" style="37" customWidth="1"/>
    <col min="7" max="7" width="12.5185185185185" style="37" customWidth="1"/>
    <col min="8" max="8" width="11.8796296296296" style="37" customWidth="1"/>
    <col min="9" max="9" width="12.3796296296296" style="37" customWidth="1"/>
    <col min="10" max="10" width="12.5185185185185" style="37" customWidth="1"/>
    <col min="11" max="11" width="10.8796296296296" style="37" customWidth="1"/>
    <col min="12" max="13" width="9.87962962962963" style="37" customWidth="1"/>
    <col min="14" max="14" width="11.75" style="37" customWidth="1"/>
    <col min="15" max="15" width="9.87962962962963" style="37" customWidth="1"/>
    <col min="16" max="16" width="13.5185185185185" style="37" customWidth="1"/>
    <col min="17" max="17" width="14.1296296296296" style="37" customWidth="1"/>
    <col min="18" max="18" width="9.87962962962963" style="37" customWidth="1"/>
    <col min="19" max="19" width="9.87962962962963" style="558" customWidth="1"/>
    <col min="20" max="20" width="9.25" style="850" customWidth="1"/>
    <col min="21" max="21" width="12.6296296296296" style="850"/>
    <col min="22" max="22" width="9.87962962962963" style="37"/>
    <col min="23" max="23" width="12.6296296296296" style="37"/>
    <col min="24" max="25" width="13.75" style="37"/>
    <col min="26" max="26" width="9.87962962962963" style="37"/>
    <col min="27" max="27" width="13.75" style="37"/>
    <col min="28" max="29" width="12.6296296296296" style="37"/>
    <col min="30" max="16384" width="9.87962962962963" style="37"/>
  </cols>
  <sheetData>
    <row r="2" ht="41.4" spans="1:19">
      <c r="A2" s="868" t="s">
        <v>0</v>
      </c>
      <c r="B2" s="875" t="s">
        <v>1</v>
      </c>
      <c r="C2" s="876" t="s">
        <v>2</v>
      </c>
      <c r="D2" s="877" t="s">
        <v>3</v>
      </c>
      <c r="E2" s="868" t="s">
        <v>4</v>
      </c>
      <c r="F2" s="875" t="s">
        <v>5</v>
      </c>
      <c r="G2" s="878" t="s">
        <v>6</v>
      </c>
      <c r="H2" s="878" t="s">
        <v>7</v>
      </c>
      <c r="I2" s="868" t="s">
        <v>8</v>
      </c>
      <c r="J2" s="878"/>
      <c r="K2" s="879" t="s">
        <v>9</v>
      </c>
      <c r="L2" s="875" t="s">
        <v>10</v>
      </c>
      <c r="M2" s="880" t="s">
        <v>11</v>
      </c>
      <c r="N2" s="881" t="s">
        <v>12</v>
      </c>
      <c r="O2" s="879" t="s">
        <v>13</v>
      </c>
      <c r="P2" s="875" t="s">
        <v>14</v>
      </c>
      <c r="Q2" s="875" t="s">
        <v>15</v>
      </c>
      <c r="R2" s="868" t="s">
        <v>16</v>
      </c>
      <c r="S2" s="882"/>
    </row>
    <row r="3" spans="1:19">
      <c r="A3" s="686" t="s">
        <v>17</v>
      </c>
      <c r="B3" s="687">
        <v>6.05</v>
      </c>
      <c r="C3" s="883">
        <v>1427</v>
      </c>
      <c r="D3" s="884">
        <v>1</v>
      </c>
      <c r="E3" s="883" t="s">
        <v>18</v>
      </c>
      <c r="F3" s="883" t="s">
        <v>18</v>
      </c>
      <c r="G3" s="883" t="s">
        <v>18</v>
      </c>
      <c r="H3" s="883" t="s">
        <v>18</v>
      </c>
      <c r="I3" s="883" t="s">
        <v>18</v>
      </c>
      <c r="J3" s="883"/>
      <c r="K3" s="883" t="s">
        <v>18</v>
      </c>
      <c r="L3" s="883" t="s">
        <v>18</v>
      </c>
      <c r="M3" s="883" t="s">
        <v>18</v>
      </c>
      <c r="N3" s="883" t="s">
        <v>18</v>
      </c>
      <c r="O3" s="883" t="s">
        <v>18</v>
      </c>
      <c r="P3" s="883" t="s">
        <v>18</v>
      </c>
      <c r="Q3" s="883" t="s">
        <v>18</v>
      </c>
      <c r="R3" s="883" t="s">
        <v>18</v>
      </c>
      <c r="S3" s="885"/>
    </row>
    <row r="4" spans="1:19">
      <c r="A4" s="686" t="s">
        <v>19</v>
      </c>
      <c r="B4" s="687">
        <v>2731.45</v>
      </c>
      <c r="C4" s="883">
        <v>7691</v>
      </c>
      <c r="D4" s="884">
        <v>349</v>
      </c>
      <c r="E4" s="686">
        <v>0</v>
      </c>
      <c r="F4" s="687">
        <v>0</v>
      </c>
      <c r="G4" s="691">
        <v>2</v>
      </c>
      <c r="H4" s="691">
        <v>2</v>
      </c>
      <c r="I4" s="686">
        <v>11</v>
      </c>
      <c r="J4" s="691"/>
      <c r="K4" s="688">
        <f t="shared" ref="K4:K7" si="0">D4/C4</f>
        <v>0.0453777142114159</v>
      </c>
      <c r="L4" s="687">
        <f t="shared" ref="L4:L7" si="1">B4/D4</f>
        <v>7.82650429799427</v>
      </c>
      <c r="M4" s="886">
        <f t="shared" ref="M4:M7" si="2">(B4/C4)*1000</f>
        <v>355.148875308802</v>
      </c>
      <c r="N4" s="887">
        <f t="shared" ref="N4:N7" si="3">F4/B4</f>
        <v>0</v>
      </c>
      <c r="O4" s="688">
        <f t="shared" ref="O4:O7" si="4">E4/D4</f>
        <v>0</v>
      </c>
      <c r="P4" s="888" t="e">
        <f t="shared" ref="P4:P7" si="5">F4/E4</f>
        <v>#DIV/0!</v>
      </c>
      <c r="Q4" s="687" t="e">
        <f t="shared" ref="Q4:Q7" si="6">B4/E4</f>
        <v>#DIV/0!</v>
      </c>
      <c r="R4" s="889">
        <f t="shared" ref="R4:R7" si="7">B4/G4</f>
        <v>1365.725</v>
      </c>
    </row>
    <row r="5" spans="1:19">
      <c r="A5" s="686" t="s">
        <v>20</v>
      </c>
      <c r="B5" s="687">
        <v>1952.96</v>
      </c>
      <c r="C5" s="883">
        <v>39544</v>
      </c>
      <c r="D5" s="884">
        <v>1253</v>
      </c>
      <c r="E5" s="686">
        <v>2</v>
      </c>
      <c r="F5" s="687">
        <v>198</v>
      </c>
      <c r="G5" s="691">
        <v>46</v>
      </c>
      <c r="H5" s="691">
        <v>4</v>
      </c>
      <c r="I5" s="686">
        <v>8</v>
      </c>
      <c r="J5" s="691"/>
      <c r="K5" s="688">
        <f t="shared" si="0"/>
        <v>0.0316862229415335</v>
      </c>
      <c r="L5" s="687">
        <f t="shared" si="1"/>
        <v>1.55862729449322</v>
      </c>
      <c r="M5" s="886">
        <f t="shared" si="2"/>
        <v>49.3870119360712</v>
      </c>
      <c r="N5" s="887">
        <f t="shared" si="3"/>
        <v>0.101384564968048</v>
      </c>
      <c r="O5" s="688">
        <f t="shared" si="4"/>
        <v>0.00159616919393456</v>
      </c>
      <c r="P5" s="687">
        <f t="shared" si="5"/>
        <v>99</v>
      </c>
      <c r="Q5" s="687">
        <f t="shared" si="6"/>
        <v>976.48</v>
      </c>
      <c r="R5" s="889">
        <f t="shared" si="7"/>
        <v>42.455652173913</v>
      </c>
    </row>
    <row r="6" spans="1:19">
      <c r="A6" s="686" t="s">
        <v>21</v>
      </c>
      <c r="B6" s="687" t="s">
        <v>18</v>
      </c>
      <c r="C6" s="687" t="s">
        <v>18</v>
      </c>
      <c r="D6" s="687" t="s">
        <v>18</v>
      </c>
      <c r="E6" s="687" t="s">
        <v>18</v>
      </c>
      <c r="F6" s="687" t="s">
        <v>18</v>
      </c>
      <c r="G6" s="687" t="s">
        <v>18</v>
      </c>
      <c r="H6" s="687" t="s">
        <v>18</v>
      </c>
      <c r="I6" s="687" t="s">
        <v>18</v>
      </c>
      <c r="J6" s="687"/>
      <c r="K6" s="687" t="s">
        <v>18</v>
      </c>
      <c r="L6" s="687" t="s">
        <v>18</v>
      </c>
      <c r="M6" s="687" t="s">
        <v>18</v>
      </c>
      <c r="N6" s="687" t="s">
        <v>18</v>
      </c>
      <c r="O6" s="687" t="s">
        <v>18</v>
      </c>
      <c r="P6" s="687" t="s">
        <v>18</v>
      </c>
      <c r="Q6" s="687" t="s">
        <v>18</v>
      </c>
      <c r="R6" s="687" t="s">
        <v>18</v>
      </c>
      <c r="S6" s="890"/>
    </row>
    <row r="7" spans="1:19">
      <c r="A7" s="891" t="s">
        <v>22</v>
      </c>
      <c r="B7" s="892">
        <f t="shared" ref="B7:I7" si="8">SUM(B3:B6)</f>
        <v>4690.46</v>
      </c>
      <c r="C7" s="893">
        <f t="shared" si="8"/>
        <v>48662</v>
      </c>
      <c r="D7" s="894">
        <f t="shared" si="8"/>
        <v>1603</v>
      </c>
      <c r="E7" s="891">
        <f t="shared" si="8"/>
        <v>2</v>
      </c>
      <c r="F7" s="892">
        <f t="shared" si="8"/>
        <v>198</v>
      </c>
      <c r="G7" s="895">
        <f t="shared" si="8"/>
        <v>48</v>
      </c>
      <c r="H7" s="895">
        <f t="shared" si="8"/>
        <v>6</v>
      </c>
      <c r="I7" s="891">
        <f t="shared" si="8"/>
        <v>19</v>
      </c>
      <c r="J7" s="895"/>
      <c r="K7" s="896">
        <f t="shared" si="0"/>
        <v>0.0329415149397887</v>
      </c>
      <c r="L7" s="892">
        <f t="shared" si="1"/>
        <v>2.92605115408609</v>
      </c>
      <c r="M7" s="897">
        <f t="shared" si="2"/>
        <v>96.388557806913</v>
      </c>
      <c r="N7" s="898">
        <f t="shared" si="3"/>
        <v>0.0422133436805772</v>
      </c>
      <c r="O7" s="896">
        <f t="shared" si="4"/>
        <v>0.00124766063630692</v>
      </c>
      <c r="P7" s="892">
        <f t="shared" si="5"/>
        <v>99</v>
      </c>
      <c r="Q7" s="899">
        <f t="shared" si="6"/>
        <v>2345.23</v>
      </c>
      <c r="R7" s="889">
        <f t="shared" si="7"/>
        <v>97.7179166666667</v>
      </c>
    </row>
    <row r="10" ht="41.4" spans="1:19">
      <c r="A10" s="868" t="s">
        <v>23</v>
      </c>
      <c r="B10" s="875" t="s">
        <v>1</v>
      </c>
      <c r="C10" s="876" t="s">
        <v>2</v>
      </c>
      <c r="D10" s="877" t="s">
        <v>3</v>
      </c>
      <c r="E10" s="868" t="s">
        <v>4</v>
      </c>
      <c r="F10" s="875" t="s">
        <v>5</v>
      </c>
      <c r="G10" s="878" t="s">
        <v>6</v>
      </c>
      <c r="H10" s="878" t="s">
        <v>7</v>
      </c>
      <c r="I10" s="868" t="s">
        <v>8</v>
      </c>
      <c r="J10" s="878"/>
      <c r="K10" s="879" t="s">
        <v>9</v>
      </c>
      <c r="L10" s="875" t="s">
        <v>10</v>
      </c>
      <c r="M10" s="880" t="s">
        <v>11</v>
      </c>
      <c r="N10" s="881" t="s">
        <v>12</v>
      </c>
      <c r="O10" s="879" t="s">
        <v>13</v>
      </c>
      <c r="P10" s="875" t="s">
        <v>14</v>
      </c>
      <c r="Q10" s="875" t="s">
        <v>15</v>
      </c>
      <c r="R10" s="868" t="s">
        <v>16</v>
      </c>
      <c r="S10" s="882"/>
    </row>
    <row r="11" spans="1:19">
      <c r="A11" s="686" t="s">
        <v>19</v>
      </c>
      <c r="B11" s="687">
        <v>22646</v>
      </c>
      <c r="C11" s="883">
        <v>24719</v>
      </c>
      <c r="D11" s="884">
        <v>1047</v>
      </c>
      <c r="E11" s="686">
        <v>1</v>
      </c>
      <c r="F11" s="687">
        <v>99</v>
      </c>
      <c r="G11" s="691">
        <v>13</v>
      </c>
      <c r="H11" s="691">
        <v>3</v>
      </c>
      <c r="I11" s="686">
        <v>20</v>
      </c>
      <c r="J11" s="691"/>
      <c r="K11" s="688">
        <f t="shared" ref="K11:K14" si="9">D11/C11</f>
        <v>0.0423560823657915</v>
      </c>
      <c r="L11" s="687">
        <f t="shared" ref="L11:L14" si="10">B11/D11</f>
        <v>21.629417382999</v>
      </c>
      <c r="M11" s="886">
        <f t="shared" ref="M11:M14" si="11">(B11/C11)*1000</f>
        <v>916.13738419839</v>
      </c>
      <c r="N11" s="887">
        <f t="shared" ref="N11:N14" si="12">F11/B11</f>
        <v>0.00437163295946304</v>
      </c>
      <c r="O11" s="688">
        <f t="shared" ref="O11:O14" si="13">E11/D11</f>
        <v>0.000955109837631328</v>
      </c>
      <c r="P11" s="888">
        <f t="shared" ref="P11:P14" si="14">F11/E11</f>
        <v>99</v>
      </c>
      <c r="Q11" s="687">
        <f t="shared" ref="Q11:Q14" si="15">B11/E11</f>
        <v>22646</v>
      </c>
      <c r="R11" s="889">
        <f t="shared" ref="R11:R14" si="16">B11/G11</f>
        <v>1742</v>
      </c>
    </row>
    <row r="12" spans="1:19">
      <c r="A12" s="686" t="s">
        <v>20</v>
      </c>
      <c r="B12" s="687">
        <v>5688.53</v>
      </c>
      <c r="C12" s="883">
        <v>84202</v>
      </c>
      <c r="D12" s="884">
        <v>2773</v>
      </c>
      <c r="E12" s="686">
        <v>2</v>
      </c>
      <c r="F12" s="687">
        <v>198</v>
      </c>
      <c r="G12" s="691">
        <v>51</v>
      </c>
      <c r="H12" s="691">
        <v>14</v>
      </c>
      <c r="I12" s="686">
        <v>14</v>
      </c>
      <c r="J12" s="691"/>
      <c r="K12" s="688">
        <f t="shared" si="9"/>
        <v>0.0329327094368305</v>
      </c>
      <c r="L12" s="687">
        <f t="shared" si="10"/>
        <v>2.05139920663541</v>
      </c>
      <c r="M12" s="886">
        <f t="shared" si="11"/>
        <v>67.5581340110686</v>
      </c>
      <c r="N12" s="887">
        <f t="shared" si="12"/>
        <v>0.034806883324866</v>
      </c>
      <c r="O12" s="688">
        <f t="shared" si="13"/>
        <v>0.000721240533717995</v>
      </c>
      <c r="P12" s="687">
        <f t="shared" si="14"/>
        <v>99</v>
      </c>
      <c r="Q12" s="687">
        <f t="shared" si="15"/>
        <v>2844.265</v>
      </c>
      <c r="R12" s="889">
        <f t="shared" si="16"/>
        <v>111.539803921569</v>
      </c>
    </row>
    <row r="13" spans="1:19">
      <c r="A13" s="686" t="s">
        <v>21</v>
      </c>
      <c r="B13" s="687">
        <v>1337.93</v>
      </c>
      <c r="C13" s="883">
        <v>197627</v>
      </c>
      <c r="D13" s="884">
        <v>1649</v>
      </c>
      <c r="E13" s="686">
        <v>0</v>
      </c>
      <c r="F13" s="687">
        <v>0</v>
      </c>
      <c r="G13" s="691">
        <v>8</v>
      </c>
      <c r="H13" s="691">
        <v>12</v>
      </c>
      <c r="I13" s="686">
        <v>2</v>
      </c>
      <c r="J13" s="691"/>
      <c r="K13" s="688">
        <f t="shared" si="9"/>
        <v>0.00834400157873165</v>
      </c>
      <c r="L13" s="687">
        <f t="shared" si="10"/>
        <v>0.811358399029715</v>
      </c>
      <c r="M13" s="886">
        <f t="shared" si="11"/>
        <v>6.76997576242113</v>
      </c>
      <c r="N13" s="887">
        <f t="shared" si="12"/>
        <v>0</v>
      </c>
      <c r="O13" s="688">
        <f t="shared" si="13"/>
        <v>0</v>
      </c>
      <c r="P13" s="888" t="e">
        <f t="shared" si="14"/>
        <v>#DIV/0!</v>
      </c>
      <c r="Q13" s="687" t="e">
        <f t="shared" si="15"/>
        <v>#DIV/0!</v>
      </c>
      <c r="R13" s="889">
        <f t="shared" si="16"/>
        <v>167.24125</v>
      </c>
    </row>
    <row r="14" spans="1:19">
      <c r="A14" s="891" t="s">
        <v>22</v>
      </c>
      <c r="B14" s="892">
        <f t="shared" ref="B14:I14" si="17">SUM(B11:B13)</f>
        <v>29672.46</v>
      </c>
      <c r="C14" s="893">
        <f t="shared" si="17"/>
        <v>306548</v>
      </c>
      <c r="D14" s="894">
        <f t="shared" si="17"/>
        <v>5469</v>
      </c>
      <c r="E14" s="891">
        <f t="shared" si="17"/>
        <v>3</v>
      </c>
      <c r="F14" s="892">
        <f t="shared" si="17"/>
        <v>297</v>
      </c>
      <c r="G14" s="895">
        <f t="shared" si="17"/>
        <v>72</v>
      </c>
      <c r="H14" s="895">
        <f t="shared" si="17"/>
        <v>29</v>
      </c>
      <c r="I14" s="891">
        <f t="shared" si="17"/>
        <v>36</v>
      </c>
      <c r="J14" s="895"/>
      <c r="K14" s="896">
        <f t="shared" si="9"/>
        <v>0.0178405991883816</v>
      </c>
      <c r="L14" s="892">
        <f t="shared" si="10"/>
        <v>5.42557323093801</v>
      </c>
      <c r="M14" s="897">
        <f t="shared" si="11"/>
        <v>96.7954773803776</v>
      </c>
      <c r="N14" s="898">
        <f t="shared" si="12"/>
        <v>0.0100092813336002</v>
      </c>
      <c r="O14" s="896">
        <f t="shared" si="13"/>
        <v>0.000548546352166758</v>
      </c>
      <c r="P14" s="892">
        <f t="shared" si="14"/>
        <v>99</v>
      </c>
      <c r="Q14" s="899">
        <f t="shared" si="15"/>
        <v>9890.82</v>
      </c>
      <c r="R14" s="889">
        <f t="shared" si="16"/>
        <v>412.1175</v>
      </c>
    </row>
    <row r="17" ht="41.4" spans="1:19">
      <c r="A17" s="868" t="s">
        <v>24</v>
      </c>
      <c r="B17" s="875" t="s">
        <v>1</v>
      </c>
      <c r="C17" s="876" t="s">
        <v>2</v>
      </c>
      <c r="D17" s="877" t="s">
        <v>3</v>
      </c>
      <c r="E17" s="868" t="s">
        <v>4</v>
      </c>
      <c r="F17" s="875" t="s">
        <v>5</v>
      </c>
      <c r="G17" s="878" t="s">
        <v>6</v>
      </c>
      <c r="H17" s="878" t="s">
        <v>7</v>
      </c>
      <c r="I17" s="868" t="s">
        <v>8</v>
      </c>
      <c r="J17" s="878"/>
      <c r="K17" s="879" t="s">
        <v>9</v>
      </c>
      <c r="L17" s="875" t="s">
        <v>10</v>
      </c>
      <c r="M17" s="880" t="s">
        <v>11</v>
      </c>
      <c r="N17" s="881" t="s">
        <v>12</v>
      </c>
      <c r="O17" s="879" t="s">
        <v>13</v>
      </c>
      <c r="P17" s="875" t="s">
        <v>14</v>
      </c>
      <c r="Q17" s="875" t="s">
        <v>15</v>
      </c>
      <c r="R17" s="868" t="s">
        <v>16</v>
      </c>
      <c r="S17" s="882"/>
    </row>
    <row r="18" spans="1:19">
      <c r="A18" s="686" t="s">
        <v>19</v>
      </c>
      <c r="B18" s="687">
        <v>2866.29</v>
      </c>
      <c r="C18" s="883">
        <v>12670</v>
      </c>
      <c r="D18" s="884">
        <v>404</v>
      </c>
      <c r="E18" s="686">
        <v>3</v>
      </c>
      <c r="F18" s="687">
        <v>600</v>
      </c>
      <c r="G18" s="691">
        <v>2</v>
      </c>
      <c r="H18" s="691">
        <v>1</v>
      </c>
      <c r="I18" s="686">
        <v>12</v>
      </c>
      <c r="J18" s="691"/>
      <c r="K18" s="688">
        <f t="shared" ref="K18:K21" si="18">D18/C18</f>
        <v>0.0318863456985004</v>
      </c>
      <c r="L18" s="687">
        <f t="shared" ref="L18:L21" si="19">B18/D18</f>
        <v>7.09477722772277</v>
      </c>
      <c r="M18" s="886">
        <f t="shared" ref="M18:M21" si="20">(B18/C18)*1000</f>
        <v>226.226519337017</v>
      </c>
      <c r="N18" s="887">
        <f t="shared" ref="N18:N21" si="21">F18/B18</f>
        <v>0.209329830547502</v>
      </c>
      <c r="O18" s="688">
        <f t="shared" ref="O18:O21" si="22">E18/D18</f>
        <v>0.00742574257425743</v>
      </c>
      <c r="P18" s="888">
        <f t="shared" ref="P18:P21" si="23">F18/E18</f>
        <v>200</v>
      </c>
      <c r="Q18" s="687">
        <f t="shared" ref="Q18:Q21" si="24">B18/E18</f>
        <v>955.43</v>
      </c>
      <c r="R18" s="889">
        <f t="shared" ref="R18:R21" si="25">B18/G18</f>
        <v>1433.145</v>
      </c>
    </row>
    <row r="19" spans="1:19">
      <c r="A19" s="686" t="s">
        <v>20</v>
      </c>
      <c r="B19" s="687">
        <v>3311.5</v>
      </c>
      <c r="C19" s="883">
        <v>120004</v>
      </c>
      <c r="D19" s="884">
        <v>2346</v>
      </c>
      <c r="E19" s="686">
        <v>0</v>
      </c>
      <c r="F19" s="687">
        <v>0</v>
      </c>
      <c r="G19" s="691">
        <v>1</v>
      </c>
      <c r="H19" s="691">
        <v>2</v>
      </c>
      <c r="I19" s="686">
        <v>8</v>
      </c>
      <c r="J19" s="691"/>
      <c r="K19" s="688">
        <f t="shared" si="18"/>
        <v>0.0195493483550548</v>
      </c>
      <c r="L19" s="687">
        <f t="shared" si="19"/>
        <v>1.4115515771526</v>
      </c>
      <c r="M19" s="886">
        <f t="shared" si="20"/>
        <v>27.5949135028832</v>
      </c>
      <c r="N19" s="887">
        <f t="shared" si="21"/>
        <v>0</v>
      </c>
      <c r="O19" s="688">
        <f t="shared" si="22"/>
        <v>0</v>
      </c>
      <c r="P19" s="687" t="e">
        <f t="shared" si="23"/>
        <v>#DIV/0!</v>
      </c>
      <c r="Q19" s="687" t="e">
        <f t="shared" si="24"/>
        <v>#DIV/0!</v>
      </c>
      <c r="R19" s="889">
        <f t="shared" si="25"/>
        <v>3311.5</v>
      </c>
    </row>
    <row r="20" spans="1:19">
      <c r="A20" s="686" t="s">
        <v>21</v>
      </c>
      <c r="B20" s="687">
        <v>2031.5</v>
      </c>
      <c r="C20" s="883">
        <v>219571</v>
      </c>
      <c r="D20" s="884">
        <v>1511</v>
      </c>
      <c r="E20" s="686">
        <v>0</v>
      </c>
      <c r="F20" s="687">
        <v>0</v>
      </c>
      <c r="G20" s="691">
        <v>2</v>
      </c>
      <c r="H20" s="691">
        <v>14</v>
      </c>
      <c r="I20" s="686">
        <v>0</v>
      </c>
      <c r="J20" s="691"/>
      <c r="K20" s="688">
        <f t="shared" si="18"/>
        <v>0.00688160094001485</v>
      </c>
      <c r="L20" s="687">
        <f t="shared" si="19"/>
        <v>1.34447385837194</v>
      </c>
      <c r="M20" s="886">
        <f t="shared" si="20"/>
        <v>9.25213256759772</v>
      </c>
      <c r="N20" s="887">
        <f t="shared" si="21"/>
        <v>0</v>
      </c>
      <c r="O20" s="688">
        <f t="shared" si="22"/>
        <v>0</v>
      </c>
      <c r="P20" s="888" t="e">
        <f t="shared" si="23"/>
        <v>#DIV/0!</v>
      </c>
      <c r="Q20" s="687" t="e">
        <f t="shared" si="24"/>
        <v>#DIV/0!</v>
      </c>
      <c r="R20" s="889">
        <f t="shared" si="25"/>
        <v>1015.75</v>
      </c>
    </row>
    <row r="21" spans="1:19">
      <c r="A21" s="891" t="s">
        <v>22</v>
      </c>
      <c r="B21" s="892">
        <f t="shared" ref="B21:I21" si="26">SUM(B18:B20)</f>
        <v>8209.29</v>
      </c>
      <c r="C21" s="893">
        <f t="shared" si="26"/>
        <v>352245</v>
      </c>
      <c r="D21" s="894">
        <f t="shared" si="26"/>
        <v>4261</v>
      </c>
      <c r="E21" s="891">
        <f t="shared" si="26"/>
        <v>3</v>
      </c>
      <c r="F21" s="892">
        <f t="shared" si="26"/>
        <v>600</v>
      </c>
      <c r="G21" s="895">
        <f t="shared" si="26"/>
        <v>5</v>
      </c>
      <c r="H21" s="895">
        <f t="shared" si="26"/>
        <v>17</v>
      </c>
      <c r="I21" s="891">
        <f t="shared" si="26"/>
        <v>20</v>
      </c>
      <c r="J21" s="895"/>
      <c r="K21" s="896">
        <f t="shared" si="18"/>
        <v>0.0120966940623714</v>
      </c>
      <c r="L21" s="892">
        <f t="shared" si="19"/>
        <v>1.92661112414926</v>
      </c>
      <c r="M21" s="897">
        <f t="shared" si="20"/>
        <v>23.305625345995</v>
      </c>
      <c r="N21" s="898">
        <f t="shared" si="21"/>
        <v>0.0730879284323005</v>
      </c>
      <c r="O21" s="896">
        <f t="shared" si="22"/>
        <v>0.000704060079793476</v>
      </c>
      <c r="P21" s="892">
        <f t="shared" si="23"/>
        <v>200</v>
      </c>
      <c r="Q21" s="899">
        <f t="shared" si="24"/>
        <v>2736.43</v>
      </c>
      <c r="R21" s="889">
        <f t="shared" si="25"/>
        <v>1641.858</v>
      </c>
    </row>
    <row r="25" spans="1:19">
      <c r="A25" s="900" t="s">
        <v>25</v>
      </c>
    </row>
    <row r="26" ht="41.4" spans="1:19">
      <c r="A26" s="868" t="s">
        <v>26</v>
      </c>
      <c r="B26" s="875" t="s">
        <v>1</v>
      </c>
      <c r="C26" s="876" t="s">
        <v>2</v>
      </c>
      <c r="D26" s="877" t="s">
        <v>3</v>
      </c>
      <c r="E26" s="868" t="s">
        <v>4</v>
      </c>
      <c r="F26" s="875" t="s">
        <v>5</v>
      </c>
      <c r="G26" s="878" t="s">
        <v>6</v>
      </c>
      <c r="H26" s="878" t="s">
        <v>7</v>
      </c>
      <c r="I26" s="868" t="s">
        <v>8</v>
      </c>
      <c r="J26" s="878"/>
      <c r="K26" s="879" t="s">
        <v>9</v>
      </c>
      <c r="L26" s="875" t="s">
        <v>10</v>
      </c>
      <c r="M26" s="880" t="s">
        <v>11</v>
      </c>
      <c r="N26" s="881" t="s">
        <v>12</v>
      </c>
      <c r="O26" s="879" t="s">
        <v>13</v>
      </c>
      <c r="P26" s="875" t="s">
        <v>14</v>
      </c>
      <c r="Q26" s="875" t="s">
        <v>15</v>
      </c>
      <c r="R26" s="868" t="s">
        <v>16</v>
      </c>
      <c r="S26" s="882"/>
    </row>
    <row r="27" spans="1:19">
      <c r="A27" s="686" t="s">
        <v>19</v>
      </c>
      <c r="B27" s="685">
        <f>SUM(明星店铺!B514:B522)</f>
        <v>496.42</v>
      </c>
      <c r="C27" s="901">
        <f>SUM(明星店铺!C514:C522)</f>
        <v>670</v>
      </c>
      <c r="D27" s="901">
        <f>SUM(明星店铺!D514:D522)</f>
        <v>180</v>
      </c>
      <c r="E27" s="690">
        <f>SUM(明星店铺!E514:E522)</f>
        <v>3</v>
      </c>
      <c r="F27" s="685">
        <f>SUM(明星店铺!F514:F522)</f>
        <v>3</v>
      </c>
      <c r="G27" s="690">
        <f>SUM(明星店铺!G514:G522)</f>
        <v>38</v>
      </c>
      <c r="H27" s="690">
        <f>SUM(明星店铺!H514:H522)</f>
        <v>8</v>
      </c>
      <c r="I27" s="690">
        <f>SUM(明星店铺!I514:I522)</f>
        <v>6</v>
      </c>
      <c r="J27" s="690"/>
      <c r="K27" s="688">
        <f t="shared" ref="K27:K31" si="27">D27/C27</f>
        <v>0.26865671641791</v>
      </c>
      <c r="L27" s="685">
        <f t="shared" ref="L27:L31" si="28">B27/D27</f>
        <v>2.75788888888889</v>
      </c>
      <c r="M27" s="886">
        <f t="shared" ref="M27:M31" si="29">(B27/C27)*1000</f>
        <v>740.925373134328</v>
      </c>
      <c r="N27" s="887">
        <f t="shared" ref="N27:N31" si="30">F27/B27</f>
        <v>0.00604326981185287</v>
      </c>
      <c r="O27" s="688">
        <f t="shared" ref="O27:O31" si="31">E27/D27</f>
        <v>0.0166666666666667</v>
      </c>
      <c r="P27" s="685">
        <f t="shared" ref="P27:P31" si="32">F27/E27</f>
        <v>1</v>
      </c>
      <c r="Q27" s="685">
        <f t="shared" ref="Q27:Q31" si="33">B27/E27</f>
        <v>165.473333333333</v>
      </c>
      <c r="R27" s="902">
        <f t="shared" ref="R27:R31" si="34">B27/G27</f>
        <v>13.0636842105263</v>
      </c>
    </row>
    <row r="28" spans="1:19">
      <c r="A28" s="686" t="s">
        <v>20</v>
      </c>
      <c r="B28" s="685">
        <f>SUM(直通车!B514:B522)</f>
        <v>8646.78</v>
      </c>
      <c r="C28" s="901">
        <f>SUM(直通车!C514:C522)</f>
        <v>32943</v>
      </c>
      <c r="D28" s="901">
        <f>SUM(直通车!D514:D522)</f>
        <v>2523</v>
      </c>
      <c r="E28" s="690">
        <f>SUM(直通车!E514:E522)</f>
        <v>1</v>
      </c>
      <c r="F28" s="685">
        <f>SUM(直通车!F514:F522)</f>
        <v>1</v>
      </c>
      <c r="G28" s="690">
        <f>SUM(直通车!G514:G522)</f>
        <v>62</v>
      </c>
      <c r="H28" s="690">
        <f>SUM(直通车!H514:H522)</f>
        <v>37</v>
      </c>
      <c r="I28" s="690">
        <f>SUM(直通车!I514:I522)</f>
        <v>12</v>
      </c>
      <c r="J28" s="690"/>
      <c r="K28" s="688">
        <f t="shared" si="27"/>
        <v>0.0765868318003825</v>
      </c>
      <c r="L28" s="685">
        <f t="shared" si="28"/>
        <v>3.42718192627824</v>
      </c>
      <c r="M28" s="886">
        <f t="shared" si="29"/>
        <v>262.477005737182</v>
      </c>
      <c r="N28" s="887">
        <f t="shared" si="30"/>
        <v>0.000115649987625451</v>
      </c>
      <c r="O28" s="688">
        <f t="shared" si="31"/>
        <v>0.000396353547364249</v>
      </c>
      <c r="P28" s="685">
        <f t="shared" si="32"/>
        <v>1</v>
      </c>
      <c r="Q28" s="685">
        <f t="shared" si="33"/>
        <v>8646.78</v>
      </c>
      <c r="R28" s="902">
        <f t="shared" si="34"/>
        <v>139.464193548387</v>
      </c>
    </row>
    <row r="29" spans="1:19">
      <c r="A29" s="686" t="s">
        <v>21</v>
      </c>
      <c r="B29" s="685">
        <f>SUM(引力魔方!B413:B421)</f>
        <v>4176.9</v>
      </c>
      <c r="C29" s="901">
        <f>SUM(引力魔方!C413:C421)</f>
        <v>444197</v>
      </c>
      <c r="D29" s="901">
        <f>SUM(引力魔方!D413:D421)</f>
        <v>2732</v>
      </c>
      <c r="E29" s="690">
        <f>SUM(引力魔方!E413:E421)</f>
        <v>0</v>
      </c>
      <c r="F29" s="685">
        <f>SUM(引力魔方!F413:F421)</f>
        <v>0</v>
      </c>
      <c r="G29" s="690">
        <f>SUM(引力魔方!G413:G421)</f>
        <v>25</v>
      </c>
      <c r="H29" s="690">
        <f>SUM(引力魔方!H413:H421)</f>
        <v>14</v>
      </c>
      <c r="I29" s="690">
        <f>SUM(引力魔方!I413:I421)</f>
        <v>2</v>
      </c>
      <c r="J29" s="690"/>
      <c r="K29" s="688">
        <f t="shared" si="27"/>
        <v>0.00615042424870046</v>
      </c>
      <c r="L29" s="685">
        <f t="shared" si="28"/>
        <v>1.52887994143485</v>
      </c>
      <c r="M29" s="886">
        <f t="shared" si="29"/>
        <v>9.40326026515262</v>
      </c>
      <c r="N29" s="887">
        <f t="shared" si="30"/>
        <v>0</v>
      </c>
      <c r="O29" s="688">
        <f t="shared" si="31"/>
        <v>0</v>
      </c>
      <c r="P29" s="685" t="e">
        <f t="shared" si="32"/>
        <v>#DIV/0!</v>
      </c>
      <c r="Q29" s="685" t="e">
        <f t="shared" si="33"/>
        <v>#DIV/0!</v>
      </c>
      <c r="R29" s="902">
        <f t="shared" si="34"/>
        <v>167.076</v>
      </c>
    </row>
    <row r="30" spans="1:19">
      <c r="A30" s="686" t="s">
        <v>27</v>
      </c>
      <c r="B30" s="685">
        <f>SUM(万相台!B2:B10)</f>
        <v>1014.03</v>
      </c>
      <c r="C30" s="901">
        <f>SUM(万相台!C2:C10)</f>
        <v>96394</v>
      </c>
      <c r="D30" s="901">
        <f>SUM(万相台!D2:D10)</f>
        <v>1126</v>
      </c>
      <c r="E30" s="690">
        <f>SUM(万相台!E2:E10)</f>
        <v>0</v>
      </c>
      <c r="F30" s="685">
        <f>SUM(万相台!F2:F10)</f>
        <v>0</v>
      </c>
      <c r="G30" s="690">
        <f>SUM(万相台!G2:G10)</f>
        <v>22</v>
      </c>
      <c r="H30" s="690">
        <f>SUM(万相台!H2:H10)</f>
        <v>12</v>
      </c>
      <c r="I30" s="690"/>
      <c r="J30" s="690"/>
      <c r="K30" s="688">
        <f t="shared" si="27"/>
        <v>0.0116812249725087</v>
      </c>
      <c r="L30" s="685">
        <f t="shared" si="28"/>
        <v>0.900559502664298</v>
      </c>
      <c r="M30" s="886">
        <f t="shared" si="29"/>
        <v>10.5196381517522</v>
      </c>
      <c r="N30" s="887">
        <f t="shared" si="30"/>
        <v>0</v>
      </c>
      <c r="O30" s="688">
        <f t="shared" si="31"/>
        <v>0</v>
      </c>
      <c r="P30" s="685" t="e">
        <f t="shared" si="32"/>
        <v>#DIV/0!</v>
      </c>
      <c r="Q30" s="685" t="e">
        <f t="shared" si="33"/>
        <v>#DIV/0!</v>
      </c>
      <c r="R30" s="902">
        <f t="shared" si="34"/>
        <v>46.0922727272727</v>
      </c>
    </row>
    <row r="31" spans="1:19">
      <c r="A31" s="891" t="s">
        <v>22</v>
      </c>
      <c r="B31" s="903">
        <f t="shared" ref="B31:I31" si="35">SUM(B27:B30)</f>
        <v>14334.13</v>
      </c>
      <c r="C31" s="904">
        <f t="shared" si="35"/>
        <v>574204</v>
      </c>
      <c r="D31" s="904">
        <f t="shared" si="35"/>
        <v>6561</v>
      </c>
      <c r="E31" s="904">
        <f t="shared" si="35"/>
        <v>4</v>
      </c>
      <c r="F31" s="903">
        <f t="shared" si="35"/>
        <v>4</v>
      </c>
      <c r="G31" s="904">
        <f t="shared" si="35"/>
        <v>147</v>
      </c>
      <c r="H31" s="904">
        <f t="shared" si="35"/>
        <v>71</v>
      </c>
      <c r="I31" s="904">
        <f t="shared" si="35"/>
        <v>20</v>
      </c>
      <c r="J31" s="904"/>
      <c r="K31" s="896">
        <f t="shared" si="27"/>
        <v>0.0114262526906814</v>
      </c>
      <c r="L31" s="903">
        <f t="shared" si="28"/>
        <v>2.18474775186709</v>
      </c>
      <c r="M31" s="897">
        <f t="shared" si="29"/>
        <v>24.9634798782314</v>
      </c>
      <c r="N31" s="898">
        <f t="shared" si="30"/>
        <v>0.000279054257216866</v>
      </c>
      <c r="O31" s="896">
        <f t="shared" si="31"/>
        <v>0.00060966316110349</v>
      </c>
      <c r="P31" s="903">
        <f t="shared" si="32"/>
        <v>1</v>
      </c>
      <c r="Q31" s="903">
        <f t="shared" si="33"/>
        <v>3583.5325</v>
      </c>
      <c r="R31" s="902">
        <f t="shared" si="34"/>
        <v>97.5110884353742</v>
      </c>
    </row>
    <row r="32" spans="1:19">
      <c r="A32" s="900"/>
      <c r="B32" s="905"/>
      <c r="C32" s="906"/>
      <c r="D32" s="906"/>
      <c r="E32" s="906"/>
      <c r="F32" s="905"/>
      <c r="G32" s="906"/>
      <c r="H32" s="906"/>
      <c r="I32" s="906"/>
      <c r="J32" s="906"/>
      <c r="K32" s="907"/>
      <c r="L32" s="905"/>
      <c r="M32" s="908"/>
      <c r="N32" s="909"/>
      <c r="O32" s="907"/>
      <c r="P32" s="910"/>
      <c r="Q32" s="905"/>
      <c r="R32" s="911"/>
    </row>
    <row r="33" ht="41.4" spans="1:19">
      <c r="A33" s="868" t="s">
        <v>28</v>
      </c>
      <c r="B33" s="869" t="s">
        <v>1</v>
      </c>
      <c r="C33" s="870" t="s">
        <v>2</v>
      </c>
      <c r="D33" s="870" t="s">
        <v>3</v>
      </c>
      <c r="E33" s="871" t="s">
        <v>4</v>
      </c>
      <c r="F33" s="869" t="s">
        <v>5</v>
      </c>
      <c r="G33" s="871" t="s">
        <v>6</v>
      </c>
      <c r="H33" s="871" t="s">
        <v>7</v>
      </c>
      <c r="I33" s="871" t="s">
        <v>8</v>
      </c>
      <c r="J33" s="871" t="s">
        <v>34</v>
      </c>
      <c r="K33" s="879" t="s">
        <v>9</v>
      </c>
      <c r="L33" s="869" t="s">
        <v>10</v>
      </c>
      <c r="M33" s="880" t="s">
        <v>11</v>
      </c>
      <c r="N33" s="881" t="s">
        <v>12</v>
      </c>
      <c r="O33" s="879" t="s">
        <v>13</v>
      </c>
      <c r="P33" s="875" t="s">
        <v>14</v>
      </c>
      <c r="Q33" s="869" t="s">
        <v>15</v>
      </c>
      <c r="R33" s="912" t="s">
        <v>16</v>
      </c>
      <c r="S33" s="882"/>
    </row>
    <row r="34" spans="1:19">
      <c r="A34" s="686" t="s">
        <v>19</v>
      </c>
      <c r="B34" s="685">
        <f>SUM(明星店铺!B523:B552)</f>
        <v>1129.72</v>
      </c>
      <c r="C34" s="901">
        <f>SUM(明星店铺!C523:C552)</f>
        <v>1507</v>
      </c>
      <c r="D34" s="901">
        <f>SUM(明星店铺!D523:D552)</f>
        <v>586</v>
      </c>
      <c r="E34" s="690">
        <f>SUM(明星店铺!E523:E552)</f>
        <v>5</v>
      </c>
      <c r="F34" s="685">
        <f>SUM(明星店铺!F523:F552)</f>
        <v>7282.8</v>
      </c>
      <c r="G34" s="690">
        <f>SUM(明星店铺!G523:G552)</f>
        <v>84</v>
      </c>
      <c r="H34" s="690">
        <f>SUM(明星店铺!H523:H552)</f>
        <v>17</v>
      </c>
      <c r="I34" s="690">
        <f>SUM(明星店铺!I523:I552)</f>
        <v>26</v>
      </c>
      <c r="J34" s="872">
        <f t="shared" ref="J34:J38" si="36">H34+I34</f>
        <v>43</v>
      </c>
      <c r="K34" s="688">
        <f t="shared" ref="K34:K38" si="37">D34/C34</f>
        <v>0.38885202388852</v>
      </c>
      <c r="L34" s="685">
        <f t="shared" ref="L34:L38" si="38">B34/D34</f>
        <v>1.92784982935154</v>
      </c>
      <c r="M34" s="886">
        <f t="shared" ref="M34:M38" si="39">(B34/C34)*1000</f>
        <v>749.648307896483</v>
      </c>
      <c r="N34" s="887">
        <f t="shared" ref="N34:N38" si="40">F34/B34</f>
        <v>6.44655312820876</v>
      </c>
      <c r="O34" s="688">
        <f t="shared" ref="O34:O38" si="41">E34/D34</f>
        <v>0.00853242320819113</v>
      </c>
      <c r="P34" s="685">
        <f t="shared" ref="P34:P38" si="42">F34/E34</f>
        <v>1456.56</v>
      </c>
      <c r="Q34" s="685">
        <f t="shared" ref="Q34:Q38" si="43">B34/E34</f>
        <v>225.944</v>
      </c>
      <c r="R34" s="902">
        <f t="shared" ref="R34:R38" si="44">B34/G34</f>
        <v>13.4490476190476</v>
      </c>
    </row>
    <row r="35" spans="1:19">
      <c r="A35" s="686" t="s">
        <v>20</v>
      </c>
      <c r="B35" s="685">
        <f>SUM(直通车!B523:B552)</f>
        <v>38763.28</v>
      </c>
      <c r="C35" s="901">
        <f>SUM(直通车!C523:C552)</f>
        <v>174099</v>
      </c>
      <c r="D35" s="901">
        <f>SUM(直通车!D523:D552)</f>
        <v>10706</v>
      </c>
      <c r="E35" s="690">
        <f>SUM(直通车!E523:E552)</f>
        <v>19</v>
      </c>
      <c r="F35" s="685">
        <f>SUM(直通车!F523:F552)</f>
        <v>24965.1</v>
      </c>
      <c r="G35" s="690">
        <f>SUM(直通车!G523:G552)</f>
        <v>252</v>
      </c>
      <c r="H35" s="690">
        <f>SUM(直通车!H523:H552)</f>
        <v>177</v>
      </c>
      <c r="I35" s="690">
        <f>SUM(直通车!I523:I552)</f>
        <v>88</v>
      </c>
      <c r="J35" s="872">
        <f t="shared" si="36"/>
        <v>265</v>
      </c>
      <c r="K35" s="688">
        <f t="shared" si="37"/>
        <v>0.061493747810154</v>
      </c>
      <c r="L35" s="685">
        <f t="shared" si="38"/>
        <v>3.62070614608631</v>
      </c>
      <c r="M35" s="886">
        <f t="shared" si="39"/>
        <v>222.650790642106</v>
      </c>
      <c r="N35" s="887">
        <f t="shared" si="40"/>
        <v>0.644039926445853</v>
      </c>
      <c r="O35" s="688">
        <f t="shared" si="41"/>
        <v>0.00177470577246404</v>
      </c>
      <c r="P35" s="685">
        <f t="shared" si="42"/>
        <v>1313.95263157895</v>
      </c>
      <c r="Q35" s="685">
        <f t="shared" si="43"/>
        <v>2040.17263157895</v>
      </c>
      <c r="R35" s="902">
        <f t="shared" si="44"/>
        <v>153.82253968254</v>
      </c>
    </row>
    <row r="36" spans="1:19">
      <c r="A36" s="686" t="s">
        <v>21</v>
      </c>
      <c r="B36" s="685">
        <f>SUM(引力魔方!B422:B451)</f>
        <v>21321.69</v>
      </c>
      <c r="C36" s="901">
        <f>SUM(引力魔方!C422:C451)</f>
        <v>1533981</v>
      </c>
      <c r="D36" s="901">
        <f>SUM(引力魔方!D422:D451)</f>
        <v>11155</v>
      </c>
      <c r="E36" s="690">
        <f>SUM(引力魔方!E422:E451)</f>
        <v>0</v>
      </c>
      <c r="F36" s="685">
        <f>SUM(引力魔方!F422:F451)</f>
        <v>0</v>
      </c>
      <c r="G36" s="690">
        <f>SUM(引力魔方!G422:G451)</f>
        <v>103</v>
      </c>
      <c r="H36" s="690">
        <f>SUM(引力魔方!H422:H451)</f>
        <v>64</v>
      </c>
      <c r="I36" s="690">
        <f>SUM(引力魔方!I422:I451)</f>
        <v>16</v>
      </c>
      <c r="J36" s="872">
        <f t="shared" si="36"/>
        <v>80</v>
      </c>
      <c r="K36" s="688">
        <f t="shared" si="37"/>
        <v>0.00727192840067771</v>
      </c>
      <c r="L36" s="685">
        <f t="shared" si="38"/>
        <v>1.91140206185567</v>
      </c>
      <c r="M36" s="886">
        <f t="shared" si="39"/>
        <v>13.8995789387222</v>
      </c>
      <c r="N36" s="887">
        <f t="shared" si="40"/>
        <v>0</v>
      </c>
      <c r="O36" s="688">
        <f t="shared" si="41"/>
        <v>0</v>
      </c>
      <c r="P36" s="685" t="e">
        <f t="shared" si="42"/>
        <v>#DIV/0!</v>
      </c>
      <c r="Q36" s="685" t="e">
        <f t="shared" si="43"/>
        <v>#DIV/0!</v>
      </c>
      <c r="R36" s="902">
        <f t="shared" si="44"/>
        <v>207.006699029126</v>
      </c>
    </row>
    <row r="37" spans="1:19">
      <c r="A37" s="686" t="s">
        <v>27</v>
      </c>
      <c r="B37" s="685">
        <f>SUM(万相台!B11:B40)</f>
        <v>6066.03</v>
      </c>
      <c r="C37" s="901">
        <f>SUM(万相台!C11:C40)</f>
        <v>756412</v>
      </c>
      <c r="D37" s="901">
        <f>SUM(万相台!D11:D40)</f>
        <v>9008</v>
      </c>
      <c r="E37" s="690">
        <f>SUM(万相台!E11:E40)</f>
        <v>7</v>
      </c>
      <c r="F37" s="685">
        <f>SUM(万相台!F11:F40)</f>
        <v>6379.9</v>
      </c>
      <c r="G37" s="690">
        <f>SUM(万相台!G11:G40)</f>
        <v>115</v>
      </c>
      <c r="H37" s="690">
        <f>SUM(万相台!H11:H40)</f>
        <v>96</v>
      </c>
      <c r="I37" s="690"/>
      <c r="J37" s="872">
        <f t="shared" si="36"/>
        <v>96</v>
      </c>
      <c r="K37" s="688">
        <f t="shared" si="37"/>
        <v>0.0119088539050147</v>
      </c>
      <c r="L37" s="685">
        <f t="shared" si="38"/>
        <v>0.673404751332149</v>
      </c>
      <c r="M37" s="886">
        <f t="shared" si="39"/>
        <v>8.01947880255734</v>
      </c>
      <c r="N37" s="887">
        <f t="shared" si="40"/>
        <v>1.05174224327938</v>
      </c>
      <c r="O37" s="688">
        <f t="shared" si="41"/>
        <v>0.00077708703374778</v>
      </c>
      <c r="P37" s="685">
        <f t="shared" si="42"/>
        <v>911.414285714286</v>
      </c>
      <c r="Q37" s="685">
        <f t="shared" si="43"/>
        <v>866.575714285714</v>
      </c>
      <c r="R37" s="902">
        <f t="shared" si="44"/>
        <v>52.7480869565217</v>
      </c>
    </row>
    <row r="38" spans="1:19">
      <c r="A38" s="891" t="s">
        <v>22</v>
      </c>
      <c r="B38" s="903">
        <f t="shared" ref="B38:I38" si="45">SUM(B34:B37)</f>
        <v>67280.72</v>
      </c>
      <c r="C38" s="904">
        <f t="shared" si="45"/>
        <v>2465999</v>
      </c>
      <c r="D38" s="904">
        <f t="shared" si="45"/>
        <v>31455</v>
      </c>
      <c r="E38" s="904">
        <f t="shared" si="45"/>
        <v>31</v>
      </c>
      <c r="F38" s="903">
        <f t="shared" si="45"/>
        <v>38627.8</v>
      </c>
      <c r="G38" s="904">
        <f t="shared" si="45"/>
        <v>554</v>
      </c>
      <c r="H38" s="904">
        <f t="shared" si="45"/>
        <v>354</v>
      </c>
      <c r="I38" s="904">
        <f t="shared" si="45"/>
        <v>130</v>
      </c>
      <c r="J38" s="904">
        <f t="shared" si="36"/>
        <v>484</v>
      </c>
      <c r="K38" s="896">
        <f t="shared" si="37"/>
        <v>0.0127554796250931</v>
      </c>
      <c r="L38" s="903">
        <f t="shared" si="38"/>
        <v>2.13895151804165</v>
      </c>
      <c r="M38" s="897">
        <f t="shared" si="39"/>
        <v>27.2833525074422</v>
      </c>
      <c r="N38" s="898">
        <f t="shared" si="40"/>
        <v>0.574128814317088</v>
      </c>
      <c r="O38" s="896">
        <f t="shared" si="41"/>
        <v>0.00098553489111429</v>
      </c>
      <c r="P38" s="903">
        <f t="shared" si="42"/>
        <v>1246.05806451613</v>
      </c>
      <c r="Q38" s="903">
        <f t="shared" si="43"/>
        <v>2170.34580645161</v>
      </c>
      <c r="R38" s="902">
        <f t="shared" si="44"/>
        <v>121.445342960289</v>
      </c>
    </row>
    <row r="39" spans="1:19">
      <c r="A39" s="900"/>
      <c r="B39" s="905"/>
      <c r="C39" s="906"/>
      <c r="D39" s="906"/>
      <c r="E39" s="906"/>
      <c r="F39" s="905"/>
      <c r="G39" s="906"/>
      <c r="H39" s="906"/>
      <c r="I39" s="906"/>
      <c r="J39" s="906"/>
      <c r="K39" s="907"/>
      <c r="L39" s="905"/>
      <c r="M39" s="908"/>
      <c r="N39" s="909"/>
      <c r="O39" s="907"/>
      <c r="P39" s="910"/>
      <c r="Q39" s="905"/>
      <c r="R39" s="911"/>
    </row>
    <row r="40" ht="41.4" spans="1:19">
      <c r="A40" s="868" t="s">
        <v>29</v>
      </c>
      <c r="B40" s="869" t="s">
        <v>1</v>
      </c>
      <c r="C40" s="870" t="s">
        <v>2</v>
      </c>
      <c r="D40" s="870" t="s">
        <v>3</v>
      </c>
      <c r="E40" s="871" t="s">
        <v>4</v>
      </c>
      <c r="F40" s="869" t="s">
        <v>5</v>
      </c>
      <c r="G40" s="871" t="s">
        <v>6</v>
      </c>
      <c r="H40" s="871" t="s">
        <v>7</v>
      </c>
      <c r="I40" s="871" t="s">
        <v>8</v>
      </c>
      <c r="J40" s="871" t="s">
        <v>34</v>
      </c>
      <c r="K40" s="879" t="s">
        <v>9</v>
      </c>
      <c r="L40" s="869" t="s">
        <v>10</v>
      </c>
      <c r="M40" s="880" t="s">
        <v>11</v>
      </c>
      <c r="N40" s="881" t="s">
        <v>12</v>
      </c>
      <c r="O40" s="879" t="s">
        <v>13</v>
      </c>
      <c r="P40" s="875" t="s">
        <v>14</v>
      </c>
      <c r="Q40" s="869" t="s">
        <v>15</v>
      </c>
      <c r="R40" s="912" t="s">
        <v>16</v>
      </c>
      <c r="S40" s="882"/>
    </row>
    <row r="41" spans="1:19">
      <c r="A41" s="686" t="s">
        <v>19</v>
      </c>
      <c r="B41" s="685">
        <f>SUM(明星店铺!B553:B583)</f>
        <v>8005.24</v>
      </c>
      <c r="C41" s="901">
        <f>SUM(明星店铺!C553:C583)</f>
        <v>9248</v>
      </c>
      <c r="D41" s="901">
        <f>SUM(明星店铺!D553:D583)</f>
        <v>3856</v>
      </c>
      <c r="E41" s="690">
        <f>SUM(明星店铺!E553:E583)</f>
        <v>129</v>
      </c>
      <c r="F41" s="685">
        <f>SUM(明星店铺!F553:F583)</f>
        <v>1401487.2</v>
      </c>
      <c r="G41" s="690">
        <f>SUM(明星店铺!G553:G583)</f>
        <v>747</v>
      </c>
      <c r="H41" s="690">
        <f>SUM(明星店铺!H553:H583)</f>
        <v>232</v>
      </c>
      <c r="I41" s="690">
        <f>SUM(明星店铺!I553:I583)</f>
        <v>442</v>
      </c>
      <c r="J41" s="872">
        <f t="shared" ref="J41:J45" si="46">H41+I41</f>
        <v>674</v>
      </c>
      <c r="K41" s="688">
        <f t="shared" ref="K41:K45" si="47">D41/C41</f>
        <v>0.416955017301038</v>
      </c>
      <c r="L41" s="685">
        <f t="shared" ref="L41:L45" si="48">B41/D41</f>
        <v>2.07604771784232</v>
      </c>
      <c r="M41" s="886">
        <f t="shared" ref="M41:M45" si="49">(B41/C41)*1000</f>
        <v>865.618512110727</v>
      </c>
      <c r="N41" s="887">
        <f t="shared" ref="N41:N45" si="50">F41/B41</f>
        <v>175.071228345434</v>
      </c>
      <c r="O41" s="688">
        <f t="shared" ref="O41:O45" si="51">E41/D41</f>
        <v>0.033454356846473</v>
      </c>
      <c r="P41" s="685">
        <f t="shared" ref="P41:P45" si="52">F41/E41</f>
        <v>10864.2418604651</v>
      </c>
      <c r="Q41" s="685">
        <f t="shared" ref="Q41:Q45" si="53">B41/E41</f>
        <v>62.0561240310077</v>
      </c>
      <c r="R41" s="902">
        <f t="shared" ref="R41:R45" si="54">B41/G41</f>
        <v>10.7165194109772</v>
      </c>
    </row>
    <row r="42" spans="1:19">
      <c r="A42" s="686" t="s">
        <v>20</v>
      </c>
      <c r="B42" s="685">
        <f>SUM(直通车!B553:B583)</f>
        <v>57558.86</v>
      </c>
      <c r="C42" s="901">
        <f>SUM(直通车!C553:C583)</f>
        <v>219210</v>
      </c>
      <c r="D42" s="901">
        <f>SUM(直通车!D553:D583)</f>
        <v>18951</v>
      </c>
      <c r="E42" s="690">
        <f>SUM(直通车!E553:E583)</f>
        <v>133</v>
      </c>
      <c r="F42" s="685">
        <f>SUM(直通车!F553:F583)</f>
        <v>1640797.3</v>
      </c>
      <c r="G42" s="690">
        <f>SUM(直通车!G553:G583)</f>
        <v>924</v>
      </c>
      <c r="H42" s="690">
        <f>SUM(直通车!H553:H583)</f>
        <v>626</v>
      </c>
      <c r="I42" s="690">
        <f>SUM(直通车!I553:I583)</f>
        <v>336</v>
      </c>
      <c r="J42" s="872">
        <f t="shared" si="46"/>
        <v>962</v>
      </c>
      <c r="K42" s="688">
        <f t="shared" si="47"/>
        <v>0.0864513480224442</v>
      </c>
      <c r="L42" s="685">
        <f t="shared" si="48"/>
        <v>3.03724658329376</v>
      </c>
      <c r="M42" s="886">
        <f t="shared" si="49"/>
        <v>262.574061402308</v>
      </c>
      <c r="N42" s="887">
        <f t="shared" si="50"/>
        <v>28.5064245539262</v>
      </c>
      <c r="O42" s="688">
        <f t="shared" si="51"/>
        <v>0.0070180993087436</v>
      </c>
      <c r="P42" s="685">
        <f t="shared" si="52"/>
        <v>12336.8218045113</v>
      </c>
      <c r="Q42" s="685">
        <f t="shared" si="53"/>
        <v>432.773383458647</v>
      </c>
      <c r="R42" s="902">
        <f t="shared" si="54"/>
        <v>62.2931385281385</v>
      </c>
    </row>
    <row r="43" spans="1:19">
      <c r="A43" s="686" t="s">
        <v>21</v>
      </c>
      <c r="B43" s="685">
        <f>SUM(引力魔方!B452:B482)</f>
        <v>30457.64</v>
      </c>
      <c r="C43" s="901">
        <f>SUM(引力魔方!C452:C482)</f>
        <v>806896</v>
      </c>
      <c r="D43" s="901">
        <f>SUM(引力魔方!D452:D482)</f>
        <v>10898</v>
      </c>
      <c r="E43" s="690">
        <f>SUM(引力魔方!E452:E482)</f>
        <v>64</v>
      </c>
      <c r="F43" s="913">
        <f>SUM(引力魔方!F452:F482)</f>
        <v>665174.8</v>
      </c>
      <c r="G43" s="690">
        <f>SUM(引力魔方!G452:G482)</f>
        <v>206</v>
      </c>
      <c r="H43" s="690">
        <f>SUM(引力魔方!H452:H482)</f>
        <v>94</v>
      </c>
      <c r="I43" s="690">
        <f>SUM(引力魔方!I452:I482)</f>
        <v>78</v>
      </c>
      <c r="J43" s="872">
        <f t="shared" si="46"/>
        <v>172</v>
      </c>
      <c r="K43" s="688">
        <f t="shared" si="47"/>
        <v>0.0135060776109932</v>
      </c>
      <c r="L43" s="685">
        <f t="shared" si="48"/>
        <v>2.79479170489998</v>
      </c>
      <c r="M43" s="886">
        <f t="shared" si="49"/>
        <v>37.7466736729393</v>
      </c>
      <c r="N43" s="887">
        <f t="shared" si="50"/>
        <v>21.8393414591544</v>
      </c>
      <c r="O43" s="688">
        <f t="shared" si="51"/>
        <v>0.00587263718113415</v>
      </c>
      <c r="P43" s="685">
        <f t="shared" si="52"/>
        <v>10393.35625</v>
      </c>
      <c r="Q43" s="685">
        <f t="shared" si="53"/>
        <v>475.900625</v>
      </c>
      <c r="R43" s="902">
        <f t="shared" si="54"/>
        <v>147.852621359223</v>
      </c>
    </row>
    <row r="44" spans="1:19">
      <c r="A44" s="686" t="s">
        <v>27</v>
      </c>
      <c r="B44" s="685">
        <f>SUM(万相台!B41:B71)</f>
        <v>9480.74</v>
      </c>
      <c r="C44" s="901">
        <f>SUM(万相台!C41:C71)</f>
        <v>91699</v>
      </c>
      <c r="D44" s="901">
        <f>SUM(万相台!D41:D71)</f>
        <v>4467</v>
      </c>
      <c r="E44" s="690">
        <f>SUM(万相台!E41:E71)</f>
        <v>12</v>
      </c>
      <c r="F44" s="685">
        <f>SUM(万相台!F41:F71)</f>
        <v>67545.5</v>
      </c>
      <c r="G44" s="690">
        <f>SUM(万相台!G41:G71)</f>
        <v>114</v>
      </c>
      <c r="H44" s="690">
        <f>SUM(万相台!H41:H71)</f>
        <v>60</v>
      </c>
      <c r="I44" s="690"/>
      <c r="J44" s="872">
        <f t="shared" si="46"/>
        <v>60</v>
      </c>
      <c r="K44" s="688">
        <f t="shared" si="47"/>
        <v>0.0487137264310407</v>
      </c>
      <c r="L44" s="685">
        <f t="shared" si="48"/>
        <v>2.12239534363107</v>
      </c>
      <c r="M44" s="886">
        <f t="shared" si="49"/>
        <v>103.389786148159</v>
      </c>
      <c r="N44" s="887">
        <f t="shared" si="50"/>
        <v>7.12449661102403</v>
      </c>
      <c r="O44" s="688">
        <f t="shared" si="51"/>
        <v>0.00268636668905306</v>
      </c>
      <c r="P44" s="685">
        <f t="shared" si="52"/>
        <v>5628.79166666667</v>
      </c>
      <c r="Q44" s="685">
        <f t="shared" si="53"/>
        <v>790.061666666667</v>
      </c>
      <c r="R44" s="902">
        <f t="shared" si="54"/>
        <v>83.1643859649123</v>
      </c>
    </row>
    <row r="45" spans="1:19">
      <c r="A45" s="891" t="s">
        <v>22</v>
      </c>
      <c r="B45" s="903">
        <f t="shared" ref="B45:I45" si="55">SUM(B41:B44)</f>
        <v>105502.48</v>
      </c>
      <c r="C45" s="904">
        <f t="shared" si="55"/>
        <v>1127053</v>
      </c>
      <c r="D45" s="904">
        <f t="shared" si="55"/>
        <v>38172</v>
      </c>
      <c r="E45" s="904">
        <f t="shared" si="55"/>
        <v>338</v>
      </c>
      <c r="F45" s="903">
        <f t="shared" si="55"/>
        <v>3775004.8</v>
      </c>
      <c r="G45" s="904">
        <f t="shared" si="55"/>
        <v>1991</v>
      </c>
      <c r="H45" s="904">
        <f t="shared" si="55"/>
        <v>1012</v>
      </c>
      <c r="I45" s="904">
        <f t="shared" si="55"/>
        <v>856</v>
      </c>
      <c r="J45" s="904">
        <f t="shared" si="46"/>
        <v>1868</v>
      </c>
      <c r="K45" s="896">
        <f t="shared" si="47"/>
        <v>0.0338688597608098</v>
      </c>
      <c r="L45" s="903">
        <f t="shared" si="48"/>
        <v>2.76387090013623</v>
      </c>
      <c r="M45" s="897">
        <f t="shared" si="49"/>
        <v>93.6091559136971</v>
      </c>
      <c r="N45" s="898">
        <f t="shared" si="50"/>
        <v>35.7811949065084</v>
      </c>
      <c r="O45" s="896">
        <f t="shared" si="51"/>
        <v>0.00885465786440323</v>
      </c>
      <c r="P45" s="903">
        <f t="shared" si="52"/>
        <v>11168.6532544379</v>
      </c>
      <c r="Q45" s="903">
        <f t="shared" si="53"/>
        <v>312.137514792899</v>
      </c>
      <c r="R45" s="902">
        <f t="shared" si="54"/>
        <v>52.9896936212958</v>
      </c>
    </row>
    <row r="46" spans="1:19">
      <c r="A46" s="900"/>
      <c r="B46" s="905"/>
      <c r="C46" s="906"/>
      <c r="D46" s="906"/>
      <c r="E46" s="906"/>
      <c r="F46" s="905"/>
      <c r="G46" s="906"/>
      <c r="H46" s="906"/>
      <c r="I46" s="906"/>
      <c r="J46" s="906"/>
      <c r="K46" s="907"/>
      <c r="L46" s="905"/>
      <c r="M46" s="908"/>
      <c r="N46" s="909"/>
      <c r="O46" s="907"/>
      <c r="P46" s="910"/>
      <c r="Q46" s="905"/>
      <c r="R46" s="911"/>
    </row>
    <row r="47" ht="41.4" spans="1:19">
      <c r="A47" s="868" t="s">
        <v>30</v>
      </c>
      <c r="B47" s="869" t="s">
        <v>1</v>
      </c>
      <c r="C47" s="870" t="s">
        <v>2</v>
      </c>
      <c r="D47" s="870" t="s">
        <v>3</v>
      </c>
      <c r="E47" s="871" t="s">
        <v>4</v>
      </c>
      <c r="F47" s="869" t="s">
        <v>5</v>
      </c>
      <c r="G47" s="871" t="s">
        <v>6</v>
      </c>
      <c r="H47" s="871" t="s">
        <v>7</v>
      </c>
      <c r="I47" s="871" t="s">
        <v>8</v>
      </c>
      <c r="J47" s="871" t="s">
        <v>34</v>
      </c>
      <c r="K47" s="879" t="s">
        <v>9</v>
      </c>
      <c r="L47" s="869" t="s">
        <v>10</v>
      </c>
      <c r="M47" s="880" t="s">
        <v>11</v>
      </c>
      <c r="N47" s="881" t="s">
        <v>12</v>
      </c>
      <c r="O47" s="879" t="s">
        <v>13</v>
      </c>
      <c r="P47" s="875" t="s">
        <v>14</v>
      </c>
      <c r="Q47" s="869" t="s">
        <v>15</v>
      </c>
      <c r="R47" s="912" t="s">
        <v>16</v>
      </c>
      <c r="S47" s="882"/>
    </row>
    <row r="48" spans="1:19">
      <c r="A48" s="686" t="s">
        <v>19</v>
      </c>
      <c r="B48" s="685">
        <f>SUM(明星店铺!B584:B613)</f>
        <v>6386.06</v>
      </c>
      <c r="C48" s="901">
        <f>SUM(明星店铺!C584:C613)</f>
        <v>6596</v>
      </c>
      <c r="D48" s="901">
        <f>SUM(明星店铺!D584:D613)</f>
        <v>2650</v>
      </c>
      <c r="E48" s="690">
        <f>SUM(明星店铺!E584:E613)</f>
        <v>63</v>
      </c>
      <c r="F48" s="685">
        <f>SUM(明星店铺!F584:F613)</f>
        <v>477277.22</v>
      </c>
      <c r="G48" s="690">
        <f>SUM(明星店铺!G584:G613)</f>
        <v>661</v>
      </c>
      <c r="H48" s="690">
        <f>SUM(明星店铺!H584:H613)</f>
        <v>121</v>
      </c>
      <c r="I48" s="690">
        <f>SUM(明星店铺!I584:I613)</f>
        <v>280</v>
      </c>
      <c r="J48" s="872">
        <f t="shared" ref="J48:J52" si="56">H48+I48</f>
        <v>401</v>
      </c>
      <c r="K48" s="688">
        <f t="shared" ref="K48:K52" si="57">D48/C48</f>
        <v>0.40175864160097</v>
      </c>
      <c r="L48" s="685">
        <f t="shared" ref="L48:L52" si="58">B48/D48</f>
        <v>2.40983396226415</v>
      </c>
      <c r="M48" s="886">
        <f t="shared" ref="M48:M52" si="59">(B48/C48)*1000</f>
        <v>968.171619163129</v>
      </c>
      <c r="N48" s="887">
        <f t="shared" ref="N48:N52" si="60">F48/B48</f>
        <v>74.7373529218329</v>
      </c>
      <c r="O48" s="688">
        <f t="shared" ref="O48:O52" si="61">E48/D48</f>
        <v>0.0237735849056604</v>
      </c>
      <c r="P48" s="685">
        <f t="shared" ref="P48:P52" si="62">F48/E48</f>
        <v>7575.82888888889</v>
      </c>
      <c r="Q48" s="685">
        <f t="shared" ref="Q48:Q52" si="63">B48/E48</f>
        <v>101.366031746032</v>
      </c>
      <c r="R48" s="902">
        <f t="shared" ref="R48:R52" si="64">B48/G48</f>
        <v>9.66121028744327</v>
      </c>
    </row>
    <row r="49" spans="1:19">
      <c r="A49" s="686" t="s">
        <v>20</v>
      </c>
      <c r="B49" s="685">
        <f>SUM(直通车!B584:B613)</f>
        <v>85001.26</v>
      </c>
      <c r="C49" s="901">
        <f>SUM(直通车!C584:C613)</f>
        <v>273932</v>
      </c>
      <c r="D49" s="901">
        <f>SUM(直通车!D584:D613)</f>
        <v>22062</v>
      </c>
      <c r="E49" s="690">
        <f>SUM(直通车!E584:E613)</f>
        <v>111</v>
      </c>
      <c r="F49" s="685">
        <f>SUM(直通车!F584:F613)</f>
        <v>872404.39</v>
      </c>
      <c r="G49" s="690">
        <f>SUM(直通车!G584:G613)</f>
        <v>1099</v>
      </c>
      <c r="H49" s="690">
        <f>SUM(直通车!H584:H613)</f>
        <v>513</v>
      </c>
      <c r="I49" s="690">
        <f>SUM(直通车!I584:I613)</f>
        <v>285</v>
      </c>
      <c r="J49" s="872">
        <f t="shared" si="56"/>
        <v>798</v>
      </c>
      <c r="K49" s="688">
        <f t="shared" si="57"/>
        <v>0.0805382357665406</v>
      </c>
      <c r="L49" s="685">
        <f t="shared" si="58"/>
        <v>3.85283564500045</v>
      </c>
      <c r="M49" s="886">
        <f t="shared" si="59"/>
        <v>310.300585546778</v>
      </c>
      <c r="N49" s="887">
        <f t="shared" si="60"/>
        <v>10.2634289185831</v>
      </c>
      <c r="O49" s="688">
        <f t="shared" si="61"/>
        <v>0.00503127549632853</v>
      </c>
      <c r="P49" s="685">
        <f t="shared" si="62"/>
        <v>7859.49900900901</v>
      </c>
      <c r="Q49" s="685">
        <f t="shared" si="63"/>
        <v>765.777117117117</v>
      </c>
      <c r="R49" s="902">
        <f t="shared" si="64"/>
        <v>77.3441856232939</v>
      </c>
    </row>
    <row r="50" spans="1:19">
      <c r="A50" s="686" t="s">
        <v>21</v>
      </c>
      <c r="B50" s="685">
        <f>SUM(引力魔方!B483:B512)</f>
        <v>47468.12</v>
      </c>
      <c r="C50" s="901">
        <f>SUM(引力魔方!C483:C512)</f>
        <v>3705258</v>
      </c>
      <c r="D50" s="901">
        <f>SUM(引力魔方!D483:D512)</f>
        <v>43076</v>
      </c>
      <c r="E50" s="690">
        <f>SUM(引力魔方!E483:E512)</f>
        <v>48</v>
      </c>
      <c r="F50" s="685">
        <f>SUM(引力魔方!F483:F512)</f>
        <v>489457.12</v>
      </c>
      <c r="G50" s="690">
        <f>SUM(引力魔方!G483:G512)</f>
        <v>606</v>
      </c>
      <c r="H50" s="690">
        <f>SUM(引力魔方!H483:H512)</f>
        <v>175</v>
      </c>
      <c r="I50" s="690">
        <f>SUM(引力魔方!I483:I512)</f>
        <v>79</v>
      </c>
      <c r="J50" s="872">
        <f t="shared" si="56"/>
        <v>254</v>
      </c>
      <c r="K50" s="688">
        <f t="shared" si="57"/>
        <v>0.011625641183421</v>
      </c>
      <c r="L50" s="685">
        <f t="shared" si="58"/>
        <v>1.10196211347386</v>
      </c>
      <c r="M50" s="886">
        <f t="shared" si="59"/>
        <v>12.8110161289713</v>
      </c>
      <c r="N50" s="887">
        <f t="shared" si="60"/>
        <v>10.311280918646</v>
      </c>
      <c r="O50" s="688">
        <f t="shared" si="61"/>
        <v>0.00111430959234841</v>
      </c>
      <c r="P50" s="685">
        <f t="shared" si="62"/>
        <v>10197.0233333333</v>
      </c>
      <c r="Q50" s="685">
        <f t="shared" si="63"/>
        <v>988.919166666667</v>
      </c>
      <c r="R50" s="902">
        <f t="shared" si="64"/>
        <v>78.3302310231023</v>
      </c>
    </row>
    <row r="51" spans="1:19">
      <c r="A51" s="686" t="s">
        <v>27</v>
      </c>
      <c r="B51" s="685">
        <f>SUM(万相台!B72:B101)</f>
        <v>10182.62</v>
      </c>
      <c r="C51" s="901">
        <f>SUM(万相台!C72:C101)</f>
        <v>257113</v>
      </c>
      <c r="D51" s="901">
        <f>SUM(万相台!D72:D101)</f>
        <v>10905</v>
      </c>
      <c r="E51" s="690">
        <f>SUM(万相台!E72:E101)</f>
        <v>29</v>
      </c>
      <c r="F51" s="685">
        <f>SUM(万相台!F72:F101)</f>
        <v>265570.08</v>
      </c>
      <c r="G51" s="690">
        <f>SUM(万相台!G72:G101)</f>
        <v>231</v>
      </c>
      <c r="H51" s="690">
        <f>SUM(万相台!H72:H101)</f>
        <v>56</v>
      </c>
      <c r="I51" s="690"/>
      <c r="J51" s="872">
        <f t="shared" si="56"/>
        <v>56</v>
      </c>
      <c r="K51" s="688">
        <f t="shared" si="57"/>
        <v>0.0424132579838437</v>
      </c>
      <c r="L51" s="685">
        <f t="shared" si="58"/>
        <v>0.933756992205411</v>
      </c>
      <c r="M51" s="886">
        <f t="shared" si="59"/>
        <v>39.603676204626</v>
      </c>
      <c r="N51" s="887">
        <f t="shared" si="60"/>
        <v>26.0807218574394</v>
      </c>
      <c r="O51" s="688">
        <f t="shared" si="61"/>
        <v>0.0026593305823017</v>
      </c>
      <c r="P51" s="685">
        <f t="shared" si="62"/>
        <v>9157.58896551724</v>
      </c>
      <c r="Q51" s="685">
        <f t="shared" si="63"/>
        <v>351.124827586207</v>
      </c>
      <c r="R51" s="902">
        <f t="shared" si="64"/>
        <v>44.0806060606061</v>
      </c>
    </row>
    <row r="52" spans="1:19">
      <c r="A52" s="891" t="s">
        <v>22</v>
      </c>
      <c r="B52" s="903">
        <f t="shared" ref="B52:I52" si="65">SUM(B48:B51)</f>
        <v>149038.06</v>
      </c>
      <c r="C52" s="904">
        <f t="shared" si="65"/>
        <v>4242899</v>
      </c>
      <c r="D52" s="904">
        <f t="shared" si="65"/>
        <v>78693</v>
      </c>
      <c r="E52" s="904">
        <f t="shared" si="65"/>
        <v>251</v>
      </c>
      <c r="F52" s="903">
        <f t="shared" si="65"/>
        <v>2104708.81</v>
      </c>
      <c r="G52" s="904">
        <f t="shared" si="65"/>
        <v>2597</v>
      </c>
      <c r="H52" s="904">
        <f t="shared" si="65"/>
        <v>865</v>
      </c>
      <c r="I52" s="904">
        <f t="shared" si="65"/>
        <v>644</v>
      </c>
      <c r="J52" s="904">
        <f t="shared" si="56"/>
        <v>1509</v>
      </c>
      <c r="K52" s="896">
        <f t="shared" si="57"/>
        <v>0.0185469887451952</v>
      </c>
      <c r="L52" s="903">
        <f t="shared" si="58"/>
        <v>1.89391762926817</v>
      </c>
      <c r="M52" s="897">
        <f t="shared" si="59"/>
        <v>35.1264689543635</v>
      </c>
      <c r="N52" s="898">
        <f t="shared" si="60"/>
        <v>14.1219552240549</v>
      </c>
      <c r="O52" s="896">
        <f t="shared" si="61"/>
        <v>0.00318961025758327</v>
      </c>
      <c r="P52" s="903">
        <f t="shared" si="62"/>
        <v>8385.29406374502</v>
      </c>
      <c r="Q52" s="903">
        <f t="shared" si="63"/>
        <v>593.777131474103</v>
      </c>
      <c r="R52" s="902">
        <f t="shared" si="64"/>
        <v>57.3885483249904</v>
      </c>
    </row>
    <row r="53" spans="1:19">
      <c r="A53" s="900"/>
      <c r="B53" s="905"/>
      <c r="C53" s="906"/>
      <c r="D53" s="906"/>
      <c r="E53" s="906"/>
      <c r="F53" s="905"/>
      <c r="G53" s="906"/>
      <c r="H53" s="906"/>
      <c r="I53" s="906"/>
      <c r="J53" s="906"/>
      <c r="K53" s="907"/>
      <c r="L53" s="905"/>
      <c r="M53" s="908"/>
      <c r="N53" s="909"/>
      <c r="O53" s="907"/>
      <c r="P53" s="910"/>
      <c r="Q53" s="905"/>
      <c r="R53" s="911"/>
    </row>
    <row r="54" ht="41.4" spans="1:19">
      <c r="A54" s="868" t="s">
        <v>31</v>
      </c>
      <c r="B54" s="869" t="s">
        <v>1</v>
      </c>
      <c r="C54" s="870" t="s">
        <v>2</v>
      </c>
      <c r="D54" s="870" t="s">
        <v>3</v>
      </c>
      <c r="E54" s="871" t="s">
        <v>4</v>
      </c>
      <c r="F54" s="869" t="s">
        <v>5</v>
      </c>
      <c r="G54" s="871" t="s">
        <v>6</v>
      </c>
      <c r="H54" s="871" t="s">
        <v>7</v>
      </c>
      <c r="I54" s="871" t="s">
        <v>8</v>
      </c>
      <c r="J54" s="871" t="s">
        <v>34</v>
      </c>
      <c r="K54" s="879" t="s">
        <v>9</v>
      </c>
      <c r="L54" s="869" t="s">
        <v>10</v>
      </c>
      <c r="M54" s="880" t="s">
        <v>11</v>
      </c>
      <c r="N54" s="881" t="s">
        <v>12</v>
      </c>
      <c r="O54" s="879" t="s">
        <v>13</v>
      </c>
      <c r="P54" s="875" t="s">
        <v>14</v>
      </c>
      <c r="Q54" s="869" t="s">
        <v>15</v>
      </c>
      <c r="R54" s="912" t="s">
        <v>16</v>
      </c>
      <c r="S54" s="882"/>
    </row>
    <row r="55" spans="1:19">
      <c r="A55" s="686" t="s">
        <v>19</v>
      </c>
      <c r="B55" s="685">
        <f>SUM(明星店铺!B614:B644)</f>
        <v>3841.38</v>
      </c>
      <c r="C55" s="901">
        <f>SUM(明星店铺!C614:C644)</f>
        <v>4328</v>
      </c>
      <c r="D55" s="901">
        <f>SUM(明星店铺!D614:D644)</f>
        <v>1524</v>
      </c>
      <c r="E55" s="690">
        <f>SUM(明星店铺!E614:E644)</f>
        <v>8</v>
      </c>
      <c r="F55" s="685">
        <f>SUM(明星店铺!F614:F644)</f>
        <v>134928</v>
      </c>
      <c r="G55" s="690">
        <f>SUM(明星店铺!G614:G644)</f>
        <v>340</v>
      </c>
      <c r="H55" s="690">
        <f>SUM(明星店铺!H614:H644)</f>
        <v>67</v>
      </c>
      <c r="I55" s="690">
        <f>SUM(明星店铺!I614:I644)</f>
        <v>113</v>
      </c>
      <c r="J55" s="872">
        <f t="shared" ref="J55:J59" si="66">H55+I55</f>
        <v>180</v>
      </c>
      <c r="K55" s="688">
        <f t="shared" ref="K55:K59" si="67">D55/C55</f>
        <v>0.352125693160813</v>
      </c>
      <c r="L55" s="685">
        <f t="shared" ref="L55:L59" si="68">B55/D55</f>
        <v>2.5205905511811</v>
      </c>
      <c r="M55" s="886">
        <f t="shared" ref="M55:M59" si="69">(B55/C55)*1000</f>
        <v>887.564695009242</v>
      </c>
      <c r="N55" s="887">
        <f t="shared" ref="N55:N59" si="70">F55/B55</f>
        <v>35.1248769973291</v>
      </c>
      <c r="O55" s="688">
        <f t="shared" ref="O55:O59" si="71">E55/D55</f>
        <v>0.005249343832021</v>
      </c>
      <c r="P55" s="685">
        <f t="shared" ref="P55:P59" si="72">F55/E55</f>
        <v>16866</v>
      </c>
      <c r="Q55" s="685">
        <f t="shared" ref="Q55:Q59" si="73">B55/E55</f>
        <v>480.1725</v>
      </c>
      <c r="R55" s="902">
        <f t="shared" ref="R55:R59" si="74">B55/G55</f>
        <v>11.2981764705882</v>
      </c>
    </row>
    <row r="56" spans="1:19">
      <c r="A56" s="686" t="s">
        <v>20</v>
      </c>
      <c r="B56" s="685">
        <f>SUM(直通车!B614:B644)</f>
        <v>121344.685</v>
      </c>
      <c r="C56" s="901">
        <f>SUM(直通车!C614:C644)</f>
        <v>299486</v>
      </c>
      <c r="D56" s="901">
        <f>SUM(直通车!D614:D644)</f>
        <v>21703</v>
      </c>
      <c r="E56" s="690">
        <f>SUM(直通车!E614:E644)</f>
        <v>18</v>
      </c>
      <c r="F56" s="685">
        <f>SUM(直通车!F614:F644)</f>
        <v>275328</v>
      </c>
      <c r="G56" s="690">
        <f>SUM(直通车!G614:G644)</f>
        <v>891</v>
      </c>
      <c r="H56" s="690">
        <f>SUM(直通车!H614:H644)</f>
        <v>353</v>
      </c>
      <c r="I56" s="690">
        <f>SUM(直通车!I614:I644)</f>
        <v>219</v>
      </c>
      <c r="J56" s="872">
        <f t="shared" si="66"/>
        <v>572</v>
      </c>
      <c r="K56" s="688">
        <f t="shared" si="67"/>
        <v>0.0724674943069125</v>
      </c>
      <c r="L56" s="685">
        <f t="shared" si="68"/>
        <v>5.59114799797263</v>
      </c>
      <c r="M56" s="886">
        <f t="shared" si="69"/>
        <v>405.176485712187</v>
      </c>
      <c r="N56" s="887">
        <f t="shared" si="70"/>
        <v>2.26897453316558</v>
      </c>
      <c r="O56" s="688">
        <f t="shared" si="71"/>
        <v>0.000829378426945584</v>
      </c>
      <c r="P56" s="685">
        <f t="shared" si="72"/>
        <v>15296</v>
      </c>
      <c r="Q56" s="685">
        <f t="shared" si="73"/>
        <v>6741.37138888889</v>
      </c>
      <c r="R56" s="902">
        <f t="shared" si="74"/>
        <v>136.189320987654</v>
      </c>
    </row>
    <row r="57" spans="1:19">
      <c r="A57" s="686" t="s">
        <v>21</v>
      </c>
      <c r="B57" s="685">
        <f>SUM(引力魔方!B513:B543)</f>
        <v>93923.95</v>
      </c>
      <c r="C57" s="901">
        <f>SUM(引力魔方!C513:C543)</f>
        <v>5708966</v>
      </c>
      <c r="D57" s="901">
        <f>SUM(引力魔方!D513:D543)</f>
        <v>120544</v>
      </c>
      <c r="E57" s="690">
        <f>SUM(引力魔方!E513:E543)</f>
        <v>6</v>
      </c>
      <c r="F57" s="685">
        <f>SUM(引力魔方!F513:F543)</f>
        <v>49886</v>
      </c>
      <c r="G57" s="690">
        <f>SUM(引力魔方!G513:G543)</f>
        <v>429</v>
      </c>
      <c r="H57" s="690">
        <f>SUM(引力魔方!H513:H543)</f>
        <v>546</v>
      </c>
      <c r="I57" s="690">
        <f>SUM(引力魔方!I513:I543)</f>
        <v>66</v>
      </c>
      <c r="J57" s="872">
        <f t="shared" si="66"/>
        <v>612</v>
      </c>
      <c r="K57" s="688">
        <f t="shared" si="67"/>
        <v>0.0211148568760087</v>
      </c>
      <c r="L57" s="685">
        <f t="shared" si="68"/>
        <v>0.77916735797717</v>
      </c>
      <c r="M57" s="886">
        <f t="shared" si="69"/>
        <v>16.4520072461458</v>
      </c>
      <c r="N57" s="887">
        <f t="shared" si="70"/>
        <v>0.531131835916185</v>
      </c>
      <c r="O57" s="688">
        <f t="shared" si="71"/>
        <v>4.97743562516591e-5</v>
      </c>
      <c r="P57" s="685">
        <f t="shared" si="72"/>
        <v>8314.33333333333</v>
      </c>
      <c r="Q57" s="685">
        <f t="shared" si="73"/>
        <v>15653.9916666667</v>
      </c>
      <c r="R57" s="902">
        <f t="shared" si="74"/>
        <v>218.936946386946</v>
      </c>
    </row>
    <row r="58" spans="1:19">
      <c r="A58" s="686" t="s">
        <v>27</v>
      </c>
      <c r="B58" s="685">
        <f>SUM(万相台!B102:B132)</f>
        <v>12814.29</v>
      </c>
      <c r="C58" s="901">
        <f>SUM(万相台!C102:C132)</f>
        <v>913809</v>
      </c>
      <c r="D58" s="901">
        <f>SUM(万相台!D102:D132)</f>
        <v>13322</v>
      </c>
      <c r="E58" s="690">
        <f>SUM(万相台!E102:E132)</f>
        <v>5</v>
      </c>
      <c r="F58" s="685">
        <f>SUM(万相台!F102:F132)</f>
        <v>75770</v>
      </c>
      <c r="G58" s="690">
        <f>SUM(万相台!G102:G132)</f>
        <v>242</v>
      </c>
      <c r="H58" s="690">
        <f>SUM(万相台!H102:H132)</f>
        <v>83</v>
      </c>
      <c r="I58" s="690"/>
      <c r="J58" s="872">
        <f t="shared" si="66"/>
        <v>83</v>
      </c>
      <c r="K58" s="688">
        <f t="shared" si="67"/>
        <v>0.0145785388412677</v>
      </c>
      <c r="L58" s="685">
        <f t="shared" si="68"/>
        <v>0.96188935595256</v>
      </c>
      <c r="M58" s="886">
        <f t="shared" si="69"/>
        <v>14.0229413367564</v>
      </c>
      <c r="N58" s="887">
        <f t="shared" si="70"/>
        <v>5.91293001797212</v>
      </c>
      <c r="O58" s="688">
        <f t="shared" si="71"/>
        <v>0.000375319021167993</v>
      </c>
      <c r="P58" s="685">
        <f t="shared" si="72"/>
        <v>15154</v>
      </c>
      <c r="Q58" s="685">
        <f t="shared" si="73"/>
        <v>2562.858</v>
      </c>
      <c r="R58" s="902">
        <f t="shared" si="74"/>
        <v>52.9516115702479</v>
      </c>
    </row>
    <row r="59" spans="1:19">
      <c r="A59" s="891" t="s">
        <v>22</v>
      </c>
      <c r="B59" s="903">
        <f t="shared" ref="B59:I59" si="75">SUM(B55:B58)</f>
        <v>231924.305</v>
      </c>
      <c r="C59" s="904">
        <f t="shared" si="75"/>
        <v>6926589</v>
      </c>
      <c r="D59" s="904">
        <f t="shared" si="75"/>
        <v>157093</v>
      </c>
      <c r="E59" s="904">
        <f t="shared" si="75"/>
        <v>37</v>
      </c>
      <c r="F59" s="903">
        <f t="shared" si="75"/>
        <v>535912</v>
      </c>
      <c r="G59" s="904">
        <f t="shared" si="75"/>
        <v>1902</v>
      </c>
      <c r="H59" s="904">
        <f t="shared" si="75"/>
        <v>1049</v>
      </c>
      <c r="I59" s="904">
        <f t="shared" si="75"/>
        <v>398</v>
      </c>
      <c r="J59" s="904">
        <f t="shared" si="66"/>
        <v>1447</v>
      </c>
      <c r="K59" s="896">
        <f t="shared" si="67"/>
        <v>0.0226797056964113</v>
      </c>
      <c r="L59" s="903">
        <f t="shared" si="68"/>
        <v>1.47635034660997</v>
      </c>
      <c r="M59" s="897">
        <f t="shared" si="69"/>
        <v>33.483191365909</v>
      </c>
      <c r="N59" s="898">
        <f t="shared" si="70"/>
        <v>2.31071943925842</v>
      </c>
      <c r="O59" s="896">
        <f t="shared" si="71"/>
        <v>0.000235529272469174</v>
      </c>
      <c r="P59" s="903">
        <f t="shared" si="72"/>
        <v>14484.1081081081</v>
      </c>
      <c r="Q59" s="903">
        <f t="shared" si="73"/>
        <v>6268.22445945946</v>
      </c>
      <c r="R59" s="902">
        <f t="shared" si="74"/>
        <v>121.937068874869</v>
      </c>
    </row>
    <row r="60" spans="1:19">
      <c r="A60" s="900"/>
      <c r="B60" s="905"/>
      <c r="C60" s="906"/>
      <c r="D60" s="906"/>
      <c r="E60" s="906"/>
      <c r="F60" s="905"/>
      <c r="G60" s="906"/>
      <c r="H60" s="906"/>
      <c r="I60" s="906"/>
      <c r="J60" s="906"/>
      <c r="K60" s="907"/>
      <c r="L60" s="905"/>
      <c r="M60" s="908"/>
      <c r="N60" s="909"/>
      <c r="O60" s="907"/>
      <c r="P60" s="910"/>
      <c r="Q60" s="905"/>
      <c r="R60" s="911"/>
    </row>
    <row r="61" spans="1:19">
      <c r="A61" s="900"/>
      <c r="B61" s="905"/>
      <c r="C61" s="906"/>
      <c r="D61" s="906"/>
      <c r="E61" s="906"/>
      <c r="F61" s="905"/>
      <c r="G61" s="906"/>
      <c r="H61" s="906"/>
      <c r="I61" s="906"/>
      <c r="J61" s="906"/>
      <c r="K61" s="907"/>
      <c r="L61" s="905"/>
      <c r="M61" s="908"/>
      <c r="N61" s="909"/>
      <c r="O61" s="907"/>
      <c r="P61" s="910"/>
      <c r="Q61" s="905"/>
      <c r="R61" s="911"/>
    </row>
    <row r="62" spans="1:19">
      <c r="A62" s="900"/>
      <c r="B62" s="905"/>
      <c r="C62" s="906"/>
      <c r="D62" s="906"/>
      <c r="E62" s="906"/>
      <c r="F62" s="905"/>
      <c r="G62" s="906"/>
      <c r="H62" s="906"/>
      <c r="I62" s="906"/>
      <c r="J62" s="906"/>
      <c r="K62" s="907"/>
      <c r="L62" s="905"/>
      <c r="M62" s="908"/>
      <c r="N62" s="909"/>
      <c r="O62" s="907"/>
      <c r="P62" s="910"/>
      <c r="Q62" s="905"/>
      <c r="R62" s="911"/>
    </row>
    <row r="63" spans="1:19">
      <c r="A63" s="900" t="s">
        <v>32</v>
      </c>
      <c r="B63" s="911"/>
      <c r="C63" s="38"/>
      <c r="D63" s="38"/>
      <c r="E63" s="38"/>
      <c r="F63" s="911"/>
      <c r="G63" s="38"/>
      <c r="H63" s="38"/>
      <c r="I63" s="38"/>
      <c r="J63" s="38"/>
      <c r="L63" s="911"/>
      <c r="Q63" s="911"/>
      <c r="R63" s="911"/>
    </row>
    <row r="64" ht="41.4" spans="1:19">
      <c r="A64" s="868" t="s">
        <v>0</v>
      </c>
      <c r="B64" s="869" t="s">
        <v>1</v>
      </c>
      <c r="C64" s="870" t="s">
        <v>2</v>
      </c>
      <c r="D64" s="870" t="s">
        <v>3</v>
      </c>
      <c r="E64" s="871" t="s">
        <v>4</v>
      </c>
      <c r="F64" s="869" t="s">
        <v>5</v>
      </c>
      <c r="G64" s="871" t="s">
        <v>6</v>
      </c>
      <c r="H64" s="871" t="s">
        <v>7</v>
      </c>
      <c r="I64" s="871" t="s">
        <v>8</v>
      </c>
      <c r="J64" s="871" t="s">
        <v>34</v>
      </c>
      <c r="K64" s="879" t="s">
        <v>9</v>
      </c>
      <c r="L64" s="869" t="s">
        <v>10</v>
      </c>
      <c r="M64" s="880" t="s">
        <v>11</v>
      </c>
      <c r="N64" s="881" t="s">
        <v>12</v>
      </c>
      <c r="O64" s="879" t="s">
        <v>13</v>
      </c>
      <c r="P64" s="875" t="s">
        <v>14</v>
      </c>
      <c r="Q64" s="869" t="s">
        <v>15</v>
      </c>
      <c r="R64" s="912" t="s">
        <v>16</v>
      </c>
      <c r="S64" s="882"/>
    </row>
    <row r="65" spans="1:28">
      <c r="A65" s="686" t="s">
        <v>19</v>
      </c>
      <c r="B65" s="685">
        <f>SUM(明星店铺!B645:B675)</f>
        <v>4413.62</v>
      </c>
      <c r="C65" s="901">
        <f>SUM(明星店铺!C645:C675)</f>
        <v>5217</v>
      </c>
      <c r="D65" s="901">
        <f>SUM(明星店铺!D645:D675)</f>
        <v>1813</v>
      </c>
      <c r="E65" s="901">
        <f>SUM(明星店铺!E645:E675)</f>
        <v>8</v>
      </c>
      <c r="F65" s="914">
        <f>SUM(明星店铺!F645:F675)</f>
        <v>118804</v>
      </c>
      <c r="G65" s="901">
        <f>SUM(明星店铺!G645:G675)</f>
        <v>442</v>
      </c>
      <c r="H65" s="901">
        <f>SUM(明星店铺!H645:H675)</f>
        <v>43</v>
      </c>
      <c r="I65" s="901">
        <f>SUM(明星店铺!I645:I675)</f>
        <v>117</v>
      </c>
      <c r="J65" s="872">
        <f t="shared" ref="J65:J69" si="76">H65+I65</f>
        <v>160</v>
      </c>
      <c r="K65" s="688">
        <f t="shared" ref="K65:K69" si="77">D65/C65</f>
        <v>0.347517730496454</v>
      </c>
      <c r="L65" s="685">
        <f t="shared" ref="L65:L69" si="78">B65/D65</f>
        <v>2.43442912300055</v>
      </c>
      <c r="M65" s="886">
        <f t="shared" ref="M65:M69" si="79">(B65/C65)*1000</f>
        <v>846.007283879624</v>
      </c>
      <c r="N65" s="887">
        <f t="shared" ref="N65:N67" si="80">F65/B65</f>
        <v>26.9175869241122</v>
      </c>
      <c r="O65" s="688">
        <f t="shared" ref="O65:O69" si="81">E65/D65</f>
        <v>0.00441257584114727</v>
      </c>
      <c r="P65" s="915">
        <f t="shared" ref="P65:P69" si="82">F65/E65</f>
        <v>14850.5</v>
      </c>
      <c r="Q65" s="685">
        <f t="shared" ref="Q65:Q69" si="83">B65/E65</f>
        <v>551.7025</v>
      </c>
      <c r="R65" s="902">
        <f t="shared" ref="R65:R69" si="84">B65/G65</f>
        <v>9.98556561085973</v>
      </c>
    </row>
    <row r="66" spans="1:28">
      <c r="A66" s="686" t="s">
        <v>20</v>
      </c>
      <c r="B66" s="685">
        <f>SUM(直通车!B645:B675)</f>
        <v>64544.95</v>
      </c>
      <c r="C66" s="872">
        <f>SUM(直通车!C645:C675)</f>
        <v>163594</v>
      </c>
      <c r="D66" s="872">
        <f>SUM(直通车!D645:D675)</f>
        <v>15532</v>
      </c>
      <c r="E66" s="872">
        <f>SUM(直通车!E645:E675)</f>
        <v>5</v>
      </c>
      <c r="F66" s="685">
        <f>SUM(直通车!F645:F675)</f>
        <v>54251</v>
      </c>
      <c r="G66" s="872">
        <f>SUM(直通车!G645:G675)</f>
        <v>749</v>
      </c>
      <c r="H66" s="872">
        <f>SUM(直通车!H645:H675)</f>
        <v>148</v>
      </c>
      <c r="I66" s="872">
        <f>SUM(直通车!I645:I675)</f>
        <v>124</v>
      </c>
      <c r="J66" s="872">
        <f t="shared" si="76"/>
        <v>272</v>
      </c>
      <c r="K66" s="688">
        <f t="shared" si="77"/>
        <v>0.0949423572991674</v>
      </c>
      <c r="L66" s="685">
        <f t="shared" si="78"/>
        <v>4.15561099665207</v>
      </c>
      <c r="M66" s="886">
        <f t="shared" si="79"/>
        <v>394.54350404049</v>
      </c>
      <c r="N66" s="887">
        <f t="shared" si="80"/>
        <v>0.840515020927276</v>
      </c>
      <c r="O66" s="688">
        <f t="shared" si="81"/>
        <v>0.000321916044295648</v>
      </c>
      <c r="P66" s="915">
        <f t="shared" si="82"/>
        <v>10850.2</v>
      </c>
      <c r="Q66" s="685">
        <f t="shared" si="83"/>
        <v>12908.99</v>
      </c>
      <c r="R66" s="902">
        <f t="shared" si="84"/>
        <v>86.1748331108144</v>
      </c>
    </row>
    <row r="67" spans="1:28">
      <c r="A67" s="686" t="s">
        <v>21</v>
      </c>
      <c r="B67" s="685">
        <f>SUM(引力魔方!B544:B574)</f>
        <v>37588.65</v>
      </c>
      <c r="C67" s="872">
        <f>SUM(引力魔方!C544:C574)</f>
        <v>31095835</v>
      </c>
      <c r="D67" s="872">
        <f>SUM(引力魔方!D544:D574)</f>
        <v>188677</v>
      </c>
      <c r="E67" s="872">
        <f>SUM(引力魔方!E544:E574)</f>
        <v>0</v>
      </c>
      <c r="F67" s="685">
        <f>SUM(引力魔方!F544:F574)</f>
        <v>0</v>
      </c>
      <c r="G67" s="872">
        <f>SUM(引力魔方!G544:G574)</f>
        <v>280</v>
      </c>
      <c r="H67" s="872">
        <f>SUM(引力魔方!H544:H574)</f>
        <v>169</v>
      </c>
      <c r="I67" s="872">
        <f>SUM(引力魔方!I544:I574)</f>
        <v>43</v>
      </c>
      <c r="J67" s="872">
        <f t="shared" si="76"/>
        <v>212</v>
      </c>
      <c r="K67" s="688">
        <f t="shared" si="77"/>
        <v>0.00606759715569625</v>
      </c>
      <c r="L67" s="685">
        <f t="shared" si="78"/>
        <v>0.199222215744367</v>
      </c>
      <c r="M67" s="886">
        <f t="shared" si="79"/>
        <v>1.20880014960203</v>
      </c>
      <c r="N67" s="887">
        <f t="shared" si="80"/>
        <v>0</v>
      </c>
      <c r="O67" s="688">
        <f t="shared" si="81"/>
        <v>0</v>
      </c>
      <c r="P67" s="915" t="e">
        <f t="shared" si="82"/>
        <v>#DIV/0!</v>
      </c>
      <c r="Q67" s="685" t="e">
        <f t="shared" si="83"/>
        <v>#DIV/0!</v>
      </c>
      <c r="R67" s="902">
        <f t="shared" si="84"/>
        <v>134.245178571429</v>
      </c>
    </row>
    <row r="68" spans="1:28">
      <c r="A68" s="686" t="s">
        <v>27</v>
      </c>
      <c r="B68" s="685">
        <f>SUM(万相台!B133:B163)</f>
        <v>12333.92</v>
      </c>
      <c r="C68" s="872">
        <f>SUM(万相台!C133:C163)</f>
        <v>843593</v>
      </c>
      <c r="D68" s="872">
        <f>SUM(万相台!D133:D163)</f>
        <v>11679</v>
      </c>
      <c r="E68" s="872">
        <f>SUM(万相台!E133:E163)</f>
        <v>11</v>
      </c>
      <c r="F68" s="685">
        <f>SUM(万相台!F133:F163)</f>
        <v>155509</v>
      </c>
      <c r="G68" s="872">
        <f>SUM(万相台!G133:G163)</f>
        <v>187</v>
      </c>
      <c r="H68" s="872">
        <f>SUM(万相台!H133:H163)</f>
        <v>40</v>
      </c>
      <c r="I68" s="38"/>
      <c r="J68" s="872">
        <f t="shared" si="76"/>
        <v>40</v>
      </c>
      <c r="K68" s="688">
        <f t="shared" si="77"/>
        <v>0.0138443538531021</v>
      </c>
      <c r="L68" s="685">
        <f t="shared" si="78"/>
        <v>1.05607671889717</v>
      </c>
      <c r="M68" s="886">
        <f t="shared" si="79"/>
        <v>14.6206997924355</v>
      </c>
      <c r="N68" s="887">
        <f>(B68/C68)*1000</f>
        <v>14.6206997924355</v>
      </c>
      <c r="O68" s="688">
        <f t="shared" si="81"/>
        <v>0.000941861460741502</v>
      </c>
      <c r="P68" s="915">
        <f t="shared" si="82"/>
        <v>14137.1818181818</v>
      </c>
      <c r="Q68" s="685">
        <f t="shared" si="83"/>
        <v>1121.26545454545</v>
      </c>
      <c r="R68" s="902">
        <f t="shared" si="84"/>
        <v>65.9567914438503</v>
      </c>
    </row>
    <row r="69" spans="1:28">
      <c r="A69" s="891" t="s">
        <v>22</v>
      </c>
      <c r="B69" s="903">
        <f t="shared" ref="B69:I69" si="85">SUM(B65:B68)</f>
        <v>118881.14</v>
      </c>
      <c r="C69" s="904">
        <f t="shared" si="85"/>
        <v>32108239</v>
      </c>
      <c r="D69" s="904">
        <f t="shared" si="85"/>
        <v>217701</v>
      </c>
      <c r="E69" s="904">
        <f t="shared" si="85"/>
        <v>24</v>
      </c>
      <c r="F69" s="903">
        <f t="shared" si="85"/>
        <v>328564</v>
      </c>
      <c r="G69" s="904">
        <f t="shared" si="85"/>
        <v>1658</v>
      </c>
      <c r="H69" s="904">
        <f t="shared" si="85"/>
        <v>400</v>
      </c>
      <c r="I69" s="904">
        <f t="shared" si="85"/>
        <v>284</v>
      </c>
      <c r="J69" s="904">
        <f t="shared" si="76"/>
        <v>684</v>
      </c>
      <c r="K69" s="896">
        <f t="shared" si="77"/>
        <v>0.00678022235975009</v>
      </c>
      <c r="L69" s="903">
        <f t="shared" si="78"/>
        <v>0.546075305120326</v>
      </c>
      <c r="M69" s="897">
        <f t="shared" si="79"/>
        <v>3.70251199388419</v>
      </c>
      <c r="N69" s="898">
        <f t="shared" ref="N69:N74" si="86">F69/B69</f>
        <v>2.76380256784213</v>
      </c>
      <c r="O69" s="896">
        <f t="shared" si="81"/>
        <v>0.000110242947896427</v>
      </c>
      <c r="P69" s="916">
        <f t="shared" si="82"/>
        <v>13690.1666666667</v>
      </c>
      <c r="Q69" s="903">
        <f t="shared" si="83"/>
        <v>4953.38083333333</v>
      </c>
      <c r="R69" s="902">
        <f t="shared" si="84"/>
        <v>71.7015319662244</v>
      </c>
    </row>
    <row r="71" ht="41.4" spans="1:28">
      <c r="A71" s="868" t="s">
        <v>23</v>
      </c>
      <c r="B71" s="869" t="s">
        <v>1</v>
      </c>
      <c r="C71" s="870" t="s">
        <v>2</v>
      </c>
      <c r="D71" s="870" t="s">
        <v>3</v>
      </c>
      <c r="E71" s="871" t="s">
        <v>4</v>
      </c>
      <c r="F71" s="869" t="s">
        <v>5</v>
      </c>
      <c r="G71" s="871" t="s">
        <v>6</v>
      </c>
      <c r="H71" s="871" t="s">
        <v>7</v>
      </c>
      <c r="I71" s="871" t="s">
        <v>8</v>
      </c>
      <c r="J71" s="871" t="s">
        <v>34</v>
      </c>
      <c r="K71" s="879" t="s">
        <v>9</v>
      </c>
      <c r="L71" s="869" t="s">
        <v>10</v>
      </c>
      <c r="M71" s="880" t="s">
        <v>11</v>
      </c>
      <c r="N71" s="881" t="s">
        <v>12</v>
      </c>
      <c r="O71" s="879" t="s">
        <v>13</v>
      </c>
      <c r="P71" s="875" t="s">
        <v>14</v>
      </c>
      <c r="Q71" s="869" t="s">
        <v>15</v>
      </c>
      <c r="R71" s="912" t="s">
        <v>16</v>
      </c>
      <c r="S71" s="882" t="s">
        <v>35</v>
      </c>
      <c r="T71" s="882"/>
      <c r="U71" s="882" t="s">
        <v>36</v>
      </c>
    </row>
    <row r="72" spans="1:28">
      <c r="A72" s="686" t="s">
        <v>19</v>
      </c>
      <c r="B72" s="685">
        <f>SUM(明星店铺!B676:B704)</f>
        <v>5341.79</v>
      </c>
      <c r="C72" s="901">
        <f>SUM(明星店铺!C676:C704)</f>
        <v>7780</v>
      </c>
      <c r="D72" s="901">
        <f>SUM(明星店铺!D676:D704)</f>
        <v>3160</v>
      </c>
      <c r="E72" s="901">
        <f>SUM(明星店铺!E676:E704)</f>
        <v>22</v>
      </c>
      <c r="F72" s="914">
        <f>SUM(明星店铺!F676:F704)</f>
        <v>336056</v>
      </c>
      <c r="G72" s="901">
        <f>SUM(明星店铺!G676:G704)</f>
        <v>812</v>
      </c>
      <c r="H72" s="901">
        <f>SUM(明星店铺!H676:H704)</f>
        <v>56</v>
      </c>
      <c r="I72" s="901">
        <f>SUM(明星店铺!I676:I704)</f>
        <v>252</v>
      </c>
      <c r="J72" s="872">
        <f t="shared" ref="J72:J76" si="87">H72+I72</f>
        <v>308</v>
      </c>
      <c r="K72" s="688">
        <f t="shared" ref="K72:K76" si="88">D72/C72</f>
        <v>0.406169665809769</v>
      </c>
      <c r="L72" s="685">
        <f t="shared" ref="L72:L76" si="89">B72/D72</f>
        <v>1.69043987341772</v>
      </c>
      <c r="M72" s="886">
        <f t="shared" ref="M72:M76" si="90">(B72/C72)*1000</f>
        <v>686.605398457583</v>
      </c>
      <c r="N72" s="887">
        <f t="shared" si="86"/>
        <v>62.9107471465558</v>
      </c>
      <c r="O72" s="688">
        <f t="shared" ref="O72:O76" si="91">E72/D72</f>
        <v>0.0069620253164557</v>
      </c>
      <c r="P72" s="915">
        <f t="shared" ref="P72:P76" si="92">F72/E72</f>
        <v>15275.2727272727</v>
      </c>
      <c r="Q72" s="685">
        <f t="shared" ref="Q72:Q76" si="93">B72/E72</f>
        <v>242.808636363636</v>
      </c>
      <c r="R72" s="902">
        <f t="shared" ref="R72:R76" si="94">B72/G72</f>
        <v>6.57855911330049</v>
      </c>
      <c r="S72" s="558">
        <f t="shared" ref="S72:S76" si="95">G72+J72</f>
        <v>1120</v>
      </c>
      <c r="U72" s="850">
        <f t="shared" ref="U72:U76" si="96">B72/S72</f>
        <v>4.76945535714286</v>
      </c>
    </row>
    <row r="73" spans="1:28">
      <c r="A73" s="686" t="s">
        <v>20</v>
      </c>
      <c r="B73" s="685">
        <f>SUM(直通车!B676:B704)</f>
        <v>41071.2</v>
      </c>
      <c r="C73" s="872">
        <f>SUM(直通车!C676:C704)</f>
        <v>120151</v>
      </c>
      <c r="D73" s="872">
        <f>SUM(直通车!D676:D704)</f>
        <v>9048</v>
      </c>
      <c r="E73" s="872">
        <f>SUM(直通车!E676:E704)</f>
        <v>9</v>
      </c>
      <c r="F73" s="685">
        <f>SUM(直通车!F676:F704)</f>
        <v>102983</v>
      </c>
      <c r="G73" s="872">
        <f>SUM(直通车!G676:G704)</f>
        <v>590</v>
      </c>
      <c r="H73" s="872">
        <f>SUM(直通车!H676:H704)</f>
        <v>79</v>
      </c>
      <c r="I73" s="872">
        <f>SUM(直通车!I676:I704)</f>
        <v>115</v>
      </c>
      <c r="J73" s="872">
        <f t="shared" si="87"/>
        <v>194</v>
      </c>
      <c r="K73" s="688">
        <f t="shared" si="88"/>
        <v>0.0753052409051943</v>
      </c>
      <c r="L73" s="685">
        <f t="shared" si="89"/>
        <v>4.53925729442971</v>
      </c>
      <c r="M73" s="886">
        <f t="shared" si="90"/>
        <v>341.82986408769</v>
      </c>
      <c r="N73" s="887">
        <f t="shared" si="86"/>
        <v>2.50742612828454</v>
      </c>
      <c r="O73" s="688">
        <f t="shared" si="91"/>
        <v>0.000994694960212202</v>
      </c>
      <c r="P73" s="915">
        <f t="shared" si="92"/>
        <v>11442.5555555556</v>
      </c>
      <c r="Q73" s="685">
        <f t="shared" si="93"/>
        <v>4563.46666666667</v>
      </c>
      <c r="R73" s="902">
        <f t="shared" si="94"/>
        <v>69.6122033898305</v>
      </c>
      <c r="S73" s="558">
        <f t="shared" si="95"/>
        <v>784</v>
      </c>
      <c r="U73" s="850">
        <f t="shared" si="96"/>
        <v>52.3867346938776</v>
      </c>
    </row>
    <row r="74" spans="1:28">
      <c r="A74" s="686" t="s">
        <v>21</v>
      </c>
      <c r="B74" s="685">
        <f>SUM(引力魔方!B575:B603)</f>
        <v>14419.61</v>
      </c>
      <c r="C74" s="872">
        <f>SUM(引力魔方!C575:C603)</f>
        <v>49785339</v>
      </c>
      <c r="D74" s="872">
        <f>SUM(引力魔方!D575:D603)</f>
        <v>147329</v>
      </c>
      <c r="E74" s="872">
        <f>SUM(引力魔方!E575:E603)</f>
        <v>0</v>
      </c>
      <c r="F74" s="685">
        <f>SUM(引力魔方!F575:F603)</f>
        <v>0</v>
      </c>
      <c r="G74" s="872">
        <f>SUM(引力魔方!G575:G603)</f>
        <v>85</v>
      </c>
      <c r="H74" s="872">
        <f>SUM(引力魔方!H575:H603)</f>
        <v>82</v>
      </c>
      <c r="I74" s="872">
        <f>SUM(引力魔方!I575:I603)</f>
        <v>36</v>
      </c>
      <c r="J74" s="872">
        <f t="shared" si="87"/>
        <v>118</v>
      </c>
      <c r="K74" s="688">
        <f t="shared" si="88"/>
        <v>0.00295928486095073</v>
      </c>
      <c r="L74" s="685">
        <f t="shared" si="89"/>
        <v>0.097873534741972</v>
      </c>
      <c r="M74" s="886">
        <f t="shared" si="90"/>
        <v>0.289635669649653</v>
      </c>
      <c r="N74" s="887">
        <f t="shared" si="86"/>
        <v>0</v>
      </c>
      <c r="O74" s="688">
        <f t="shared" si="91"/>
        <v>0</v>
      </c>
      <c r="P74" s="915" t="e">
        <f t="shared" si="92"/>
        <v>#DIV/0!</v>
      </c>
      <c r="Q74" s="685" t="e">
        <f t="shared" si="93"/>
        <v>#DIV/0!</v>
      </c>
      <c r="R74" s="902">
        <f t="shared" si="94"/>
        <v>169.642470588235</v>
      </c>
      <c r="S74" s="558">
        <f t="shared" si="95"/>
        <v>203</v>
      </c>
      <c r="U74" s="850">
        <f t="shared" si="96"/>
        <v>71.0325615763547</v>
      </c>
    </row>
    <row r="75" spans="1:28">
      <c r="A75" s="686" t="s">
        <v>27</v>
      </c>
      <c r="B75" s="685">
        <f>SUM(万相台!B164:B192)</f>
        <v>5781.09</v>
      </c>
      <c r="C75" s="872">
        <f>SUM(万相台!C164:C192)</f>
        <v>827507</v>
      </c>
      <c r="D75" s="872">
        <f>SUM(万相台!D164:D192)</f>
        <v>16623</v>
      </c>
      <c r="E75" s="872">
        <f>SUM(万相台!E164:E192)</f>
        <v>1</v>
      </c>
      <c r="F75" s="685">
        <f>SUM(万相台!F164:F192)</f>
        <v>15880</v>
      </c>
      <c r="G75" s="872">
        <f>SUM(万相台!G164:G192)</f>
        <v>123</v>
      </c>
      <c r="H75" s="872">
        <f>SUM(万相台!H164:H192)</f>
        <v>67</v>
      </c>
      <c r="I75" s="38"/>
      <c r="J75" s="872">
        <f t="shared" si="87"/>
        <v>67</v>
      </c>
      <c r="K75" s="688">
        <f t="shared" si="88"/>
        <v>0.0200880475935551</v>
      </c>
      <c r="L75" s="685">
        <f t="shared" si="89"/>
        <v>0.347776574625519</v>
      </c>
      <c r="M75" s="886">
        <f t="shared" si="90"/>
        <v>6.98615238300099</v>
      </c>
      <c r="N75" s="887">
        <f>(B75/C75)*1000</f>
        <v>6.98615238300099</v>
      </c>
      <c r="O75" s="688">
        <f t="shared" si="91"/>
        <v>6.01576129459183e-5</v>
      </c>
      <c r="P75" s="915">
        <f t="shared" si="92"/>
        <v>15880</v>
      </c>
      <c r="Q75" s="685">
        <f t="shared" si="93"/>
        <v>5781.09</v>
      </c>
      <c r="R75" s="902">
        <f t="shared" si="94"/>
        <v>47.0007317073171</v>
      </c>
      <c r="S75" s="558">
        <f t="shared" si="95"/>
        <v>190</v>
      </c>
      <c r="U75" s="850">
        <f t="shared" si="96"/>
        <v>30.4267894736842</v>
      </c>
    </row>
    <row r="76" spans="1:28">
      <c r="A76" s="891" t="s">
        <v>22</v>
      </c>
      <c r="B76" s="903">
        <f t="shared" ref="B76:I76" si="97">SUM(B72:B75)</f>
        <v>66613.69</v>
      </c>
      <c r="C76" s="904">
        <f t="shared" si="97"/>
        <v>50740777</v>
      </c>
      <c r="D76" s="904">
        <f t="shared" si="97"/>
        <v>176160</v>
      </c>
      <c r="E76" s="904">
        <f t="shared" si="97"/>
        <v>32</v>
      </c>
      <c r="F76" s="903">
        <f t="shared" si="97"/>
        <v>454919</v>
      </c>
      <c r="G76" s="904">
        <f t="shared" si="97"/>
        <v>1610</v>
      </c>
      <c r="H76" s="904">
        <f t="shared" si="97"/>
        <v>284</v>
      </c>
      <c r="I76" s="904">
        <f t="shared" si="97"/>
        <v>403</v>
      </c>
      <c r="J76" s="904">
        <f t="shared" si="87"/>
        <v>687</v>
      </c>
      <c r="K76" s="896">
        <f t="shared" si="88"/>
        <v>0.00347176394244022</v>
      </c>
      <c r="L76" s="903">
        <f t="shared" si="89"/>
        <v>0.378143108537693</v>
      </c>
      <c r="M76" s="897">
        <f t="shared" si="90"/>
        <v>1.31282360930342</v>
      </c>
      <c r="N76" s="898">
        <f t="shared" ref="N76:N84" si="98">F76/B76</f>
        <v>6.82921183318324</v>
      </c>
      <c r="O76" s="896">
        <f t="shared" si="91"/>
        <v>0.000181653042688465</v>
      </c>
      <c r="P76" s="916">
        <f t="shared" si="92"/>
        <v>14216.21875</v>
      </c>
      <c r="Q76" s="903">
        <f t="shared" si="93"/>
        <v>2081.6778125</v>
      </c>
      <c r="R76" s="902">
        <f t="shared" si="94"/>
        <v>41.3749627329193</v>
      </c>
      <c r="S76" s="558">
        <f t="shared" si="95"/>
        <v>2297</v>
      </c>
      <c r="U76" s="850">
        <f t="shared" si="96"/>
        <v>29.0003003918154</v>
      </c>
    </row>
    <row r="79" ht="41.4" spans="1:28">
      <c r="A79" s="868" t="s">
        <v>24</v>
      </c>
      <c r="B79" s="869" t="s">
        <v>1</v>
      </c>
      <c r="C79" s="870" t="s">
        <v>2</v>
      </c>
      <c r="D79" s="870" t="s">
        <v>3</v>
      </c>
      <c r="E79" s="871" t="s">
        <v>4</v>
      </c>
      <c r="F79" s="869" t="s">
        <v>5</v>
      </c>
      <c r="G79" s="871" t="s">
        <v>6</v>
      </c>
      <c r="H79" s="871" t="s">
        <v>7</v>
      </c>
      <c r="I79" s="871" t="s">
        <v>8</v>
      </c>
      <c r="J79" s="871" t="s">
        <v>34</v>
      </c>
      <c r="K79" s="879" t="s">
        <v>9</v>
      </c>
      <c r="L79" s="869" t="s">
        <v>10</v>
      </c>
      <c r="M79" s="880" t="s">
        <v>11</v>
      </c>
      <c r="N79" s="881" t="s">
        <v>12</v>
      </c>
      <c r="O79" s="879" t="s">
        <v>13</v>
      </c>
      <c r="P79" s="875" t="s">
        <v>14</v>
      </c>
      <c r="Q79" s="869" t="s">
        <v>15</v>
      </c>
      <c r="R79" s="912" t="s">
        <v>16</v>
      </c>
      <c r="S79" s="882" t="s">
        <v>35</v>
      </c>
      <c r="T79" s="882" t="s">
        <v>37</v>
      </c>
      <c r="U79" s="882" t="s">
        <v>36</v>
      </c>
      <c r="V79" s="882" t="s">
        <v>38</v>
      </c>
      <c r="W79" s="882" t="s">
        <v>39</v>
      </c>
      <c r="X79" s="882" t="s">
        <v>40</v>
      </c>
      <c r="Y79" s="882" t="s">
        <v>41</v>
      </c>
      <c r="Z79" s="882" t="s">
        <v>42</v>
      </c>
      <c r="AA79" s="882" t="s">
        <v>43</v>
      </c>
      <c r="AB79" s="37" t="s">
        <v>44</v>
      </c>
    </row>
    <row r="80" spans="1:28">
      <c r="A80" s="686" t="s">
        <v>19</v>
      </c>
      <c r="B80" s="685">
        <f>SUM(明星店铺!B705:B735)</f>
        <v>7518.61</v>
      </c>
      <c r="C80" s="872">
        <f>SUM(明星店铺!C705:C735)</f>
        <v>9372</v>
      </c>
      <c r="D80" s="872">
        <f>SUM(明星店铺!D705:D735)</f>
        <v>3804</v>
      </c>
      <c r="E80" s="872">
        <f>SUM(明星店铺!E705:E735)</f>
        <v>60</v>
      </c>
      <c r="F80" s="872">
        <f>SUM(明星店铺!F705:F735)</f>
        <v>909870</v>
      </c>
      <c r="G80" s="872">
        <f>SUM(明星店铺!G705:G735)</f>
        <v>1034</v>
      </c>
      <c r="H80" s="872">
        <f>SUM(明星店铺!H705:H735)</f>
        <v>74</v>
      </c>
      <c r="I80" s="872">
        <f>SUM(明星店铺!I705:I735)</f>
        <v>234</v>
      </c>
      <c r="J80" s="872">
        <f t="shared" ref="J80:J84" si="99">H80+I80</f>
        <v>308</v>
      </c>
      <c r="K80" s="688">
        <f t="shared" ref="K80:K84" si="100">D80/C80</f>
        <v>0.405889884763124</v>
      </c>
      <c r="L80" s="685">
        <f t="shared" ref="L80:L84" si="101">B80/D80</f>
        <v>1.97650105152471</v>
      </c>
      <c r="M80" s="886">
        <f t="shared" ref="M80:M84" si="102">(B80/C80)*1000</f>
        <v>802.241784037558</v>
      </c>
      <c r="N80" s="887">
        <f t="shared" si="98"/>
        <v>121.015719660948</v>
      </c>
      <c r="O80" s="688">
        <f t="shared" ref="O80:O84" si="103">E80/D80</f>
        <v>0.0157728706624606</v>
      </c>
      <c r="P80" s="915">
        <f t="shared" ref="P80:P84" si="104">F80/E80</f>
        <v>15164.5</v>
      </c>
      <c r="Q80" s="685">
        <f t="shared" ref="Q80:Q84" si="105">B80/E80</f>
        <v>125.310166666667</v>
      </c>
      <c r="R80" s="902">
        <f t="shared" ref="R80:R84" si="106">B80/G80</f>
        <v>7.2713829787234</v>
      </c>
      <c r="S80" s="558">
        <f t="shared" ref="S80:S84" si="107">G80+J80</f>
        <v>1342</v>
      </c>
      <c r="T80" s="917">
        <f>(S80-S72)/S72</f>
        <v>0.198214285714286</v>
      </c>
      <c r="U80" s="850">
        <f t="shared" ref="U80:U84" si="108">B80/S80</f>
        <v>5.60254098360656</v>
      </c>
      <c r="V80" s="917">
        <f t="shared" ref="V80:V84" si="109">(B80-B72)/B72</f>
        <v>0.407507595768459</v>
      </c>
      <c r="W80" s="917">
        <f>D80/$D$84</f>
        <v>0.00687440476943456</v>
      </c>
      <c r="X80" s="917">
        <f t="shared" ref="X80:X84" si="110">(G80-G72)/G72</f>
        <v>0.273399014778325</v>
      </c>
      <c r="Y80" s="917">
        <f t="shared" ref="Y80:Y84" si="111">(F80-F72)/F72</f>
        <v>1.70749517937487</v>
      </c>
      <c r="Z80" s="917">
        <f t="shared" ref="Z80:Z84" si="112">(R80-R72)/R72</f>
        <v>0.105315442711788</v>
      </c>
      <c r="AA80" s="917">
        <f>(U80-U72)/U72</f>
        <v>0.174671018823155</v>
      </c>
      <c r="AB80" s="917">
        <f>B80/B84</f>
        <v>0.0361863107867944</v>
      </c>
    </row>
    <row r="81" spans="1:28">
      <c r="A81" s="686" t="s">
        <v>20</v>
      </c>
      <c r="B81" s="685">
        <f>SUM(直通车!B705:B735)</f>
        <v>79734.93</v>
      </c>
      <c r="C81" s="918">
        <f>SUM(直通车!C705:C735)</f>
        <v>305903</v>
      </c>
      <c r="D81" s="918">
        <f>SUM(直通车!D705:D735)</f>
        <v>16284</v>
      </c>
      <c r="E81" s="918">
        <f>SUM(直通车!E705:E735)</f>
        <v>57</v>
      </c>
      <c r="F81" s="918">
        <f>SUM(直通车!F705:F735)</f>
        <v>945831</v>
      </c>
      <c r="G81" s="918">
        <f>SUM(直通车!G705:G735)</f>
        <v>1117</v>
      </c>
      <c r="H81" s="918">
        <f>SUM(直通车!H705:H735)</f>
        <v>161</v>
      </c>
      <c r="I81" s="918">
        <f>SUM(直通车!I705:I735)</f>
        <v>188</v>
      </c>
      <c r="J81" s="872">
        <f t="shared" si="99"/>
        <v>349</v>
      </c>
      <c r="K81" s="688">
        <f t="shared" si="100"/>
        <v>0.0532325606483101</v>
      </c>
      <c r="L81" s="685">
        <f t="shared" si="101"/>
        <v>4.89651989683125</v>
      </c>
      <c r="M81" s="886">
        <f t="shared" si="102"/>
        <v>260.654292373726</v>
      </c>
      <c r="N81" s="887">
        <f t="shared" si="98"/>
        <v>11.8621913883915</v>
      </c>
      <c r="O81" s="688">
        <f t="shared" si="103"/>
        <v>0.00350036845983788</v>
      </c>
      <c r="P81" s="915">
        <f t="shared" si="104"/>
        <v>16593.5263157895</v>
      </c>
      <c r="Q81" s="685">
        <f t="shared" si="105"/>
        <v>1398.85842105263</v>
      </c>
      <c r="R81" s="902">
        <f t="shared" si="106"/>
        <v>71.3831065353626</v>
      </c>
      <c r="S81" s="558">
        <f t="shared" si="107"/>
        <v>1466</v>
      </c>
      <c r="T81" s="917">
        <f>(S81-S73)/S73</f>
        <v>0.869897959183674</v>
      </c>
      <c r="U81" s="850">
        <f t="shared" si="108"/>
        <v>54.3894474761255</v>
      </c>
      <c r="V81" s="917">
        <f t="shared" si="109"/>
        <v>0.941383012914158</v>
      </c>
      <c r="W81" s="917">
        <f>D81/$D$84</f>
        <v>0.0294276570098508</v>
      </c>
      <c r="X81" s="917">
        <f t="shared" si="110"/>
        <v>0.893220338983051</v>
      </c>
      <c r="Y81" s="917">
        <f t="shared" si="111"/>
        <v>8.18434110484255</v>
      </c>
      <c r="Z81" s="917">
        <f t="shared" si="112"/>
        <v>0.0254395502411401</v>
      </c>
      <c r="AA81" s="917">
        <f t="shared" ref="AA81:AA84" si="113">(U81-U73)/U73</f>
        <v>0.038229387533902</v>
      </c>
      <c r="AB81" s="917">
        <f>B81/B84</f>
        <v>0.383756167369141</v>
      </c>
    </row>
    <row r="82" spans="1:28">
      <c r="A82" s="686" t="s">
        <v>21</v>
      </c>
      <c r="B82" s="685">
        <f>SUM(引力魔方!B604:B634)</f>
        <v>46814.25</v>
      </c>
      <c r="C82" s="918">
        <f>SUM(引力魔方!C604:C634)</f>
        <v>66709402</v>
      </c>
      <c r="D82" s="918">
        <f>SUM(引力魔方!D604:D634)</f>
        <v>335835</v>
      </c>
      <c r="E82" s="918">
        <f>SUM(引力魔方!E604:E634)</f>
        <v>4</v>
      </c>
      <c r="F82" s="918">
        <f>SUM(引力魔方!F604:F634)</f>
        <v>73400</v>
      </c>
      <c r="G82" s="918">
        <f>SUM(引力魔方!G604:G634)</f>
        <v>250</v>
      </c>
      <c r="H82" s="918">
        <f>SUM(引力魔方!H604:H634)</f>
        <v>320</v>
      </c>
      <c r="I82" s="918">
        <f>SUM(引力魔方!I604:I634)</f>
        <v>52</v>
      </c>
      <c r="J82" s="872">
        <f t="shared" si="99"/>
        <v>372</v>
      </c>
      <c r="K82" s="688">
        <f t="shared" si="100"/>
        <v>0.00503429786404021</v>
      </c>
      <c r="L82" s="685">
        <f t="shared" si="101"/>
        <v>0.139396578677029</v>
      </c>
      <c r="M82" s="886">
        <f t="shared" si="102"/>
        <v>0.70176389828828</v>
      </c>
      <c r="N82" s="887">
        <f t="shared" si="98"/>
        <v>1.56789866333435</v>
      </c>
      <c r="O82" s="688">
        <f t="shared" si="103"/>
        <v>1.19106108654548e-5</v>
      </c>
      <c r="P82" s="915">
        <f t="shared" si="104"/>
        <v>18350</v>
      </c>
      <c r="Q82" s="685">
        <f t="shared" si="105"/>
        <v>11703.5625</v>
      </c>
      <c r="R82" s="902">
        <f t="shared" si="106"/>
        <v>187.257</v>
      </c>
      <c r="S82" s="558">
        <f t="shared" si="107"/>
        <v>622</v>
      </c>
      <c r="T82" s="917">
        <f>(S82-S74)/S74</f>
        <v>2.06403940886699</v>
      </c>
      <c r="U82" s="850">
        <f t="shared" si="108"/>
        <v>75.2640675241157</v>
      </c>
      <c r="V82" s="917">
        <f t="shared" si="109"/>
        <v>2.24656838846543</v>
      </c>
      <c r="W82" s="917">
        <f>D82/$D$84</f>
        <v>0.606904764916681</v>
      </c>
      <c r="X82" s="917">
        <f t="shared" si="110"/>
        <v>1.94117647058824</v>
      </c>
      <c r="Y82" s="917">
        <f>IF(F74=0,100%,(F82-F74)/F74)</f>
        <v>1</v>
      </c>
      <c r="Z82" s="917">
        <f t="shared" si="112"/>
        <v>0.103833252078246</v>
      </c>
      <c r="AA82" s="917">
        <f t="shared" si="113"/>
        <v>0.0595713550779457</v>
      </c>
      <c r="AB82" s="917">
        <f>B82/B84</f>
        <v>0.22531225848271</v>
      </c>
    </row>
    <row r="83" spans="1:28">
      <c r="A83" s="686" t="s">
        <v>27</v>
      </c>
      <c r="B83" s="685">
        <f>SUM(万相台!B193:B223)</f>
        <v>73707.19</v>
      </c>
      <c r="C83" s="918">
        <f>SUM(万相台!C193:C223)</f>
        <v>19398232</v>
      </c>
      <c r="D83" s="918">
        <f>SUM(万相台!D193:D223)</f>
        <v>197434</v>
      </c>
      <c r="E83" s="918">
        <f>SUM(万相台!E193:E223)</f>
        <v>42</v>
      </c>
      <c r="F83" s="918">
        <f>SUM(万相台!F193:F223)</f>
        <v>703035</v>
      </c>
      <c r="G83" s="918">
        <f>SUM(万相台!G193:G223)</f>
        <v>1507</v>
      </c>
      <c r="H83" s="918">
        <f>SUM(万相台!H193:H223)</f>
        <v>3150</v>
      </c>
      <c r="I83" s="918">
        <f>SUM(万相台!J193:J223)</f>
        <v>0.427278846167421</v>
      </c>
      <c r="J83" s="872">
        <f t="shared" si="99"/>
        <v>3150.42727884617</v>
      </c>
      <c r="K83" s="688">
        <f t="shared" si="100"/>
        <v>0.0101779378656777</v>
      </c>
      <c r="L83" s="685">
        <f t="shared" si="101"/>
        <v>0.373325718974442</v>
      </c>
      <c r="M83" s="886">
        <f t="shared" si="102"/>
        <v>3.79968597138131</v>
      </c>
      <c r="N83" s="887">
        <f t="shared" si="98"/>
        <v>9.53821465721322</v>
      </c>
      <c r="O83" s="688">
        <f t="shared" si="103"/>
        <v>0.000212729317138892</v>
      </c>
      <c r="P83" s="915">
        <f t="shared" si="104"/>
        <v>16738.9285714286</v>
      </c>
      <c r="Q83" s="685">
        <f t="shared" si="105"/>
        <v>1754.9330952381</v>
      </c>
      <c r="R83" s="902">
        <f t="shared" si="106"/>
        <v>48.9098805573988</v>
      </c>
      <c r="S83" s="558">
        <f t="shared" si="107"/>
        <v>4657.42727884617</v>
      </c>
      <c r="T83" s="917">
        <f t="shared" ref="T83:T92" si="114">(S83-S75)/S75</f>
        <v>23.5127751518219</v>
      </c>
      <c r="U83" s="850">
        <f t="shared" si="108"/>
        <v>15.8257307279439</v>
      </c>
      <c r="V83" s="917">
        <f t="shared" si="109"/>
        <v>11.7497046404744</v>
      </c>
      <c r="W83" s="917">
        <f>D83/$D$84</f>
        <v>0.356793173304033</v>
      </c>
      <c r="X83" s="917">
        <f t="shared" si="110"/>
        <v>11.2520325203252</v>
      </c>
      <c r="Y83" s="917">
        <f t="shared" si="111"/>
        <v>43.271725440806</v>
      </c>
      <c r="Z83" s="917">
        <f t="shared" si="112"/>
        <v>0.0406195559245839</v>
      </c>
      <c r="AA83" s="917">
        <f t="shared" si="113"/>
        <v>-0.479875103430436</v>
      </c>
      <c r="AB83" s="917">
        <f>B83/B84</f>
        <v>0.354745263361354</v>
      </c>
    </row>
    <row r="84" spans="1:28">
      <c r="A84" s="891" t="s">
        <v>22</v>
      </c>
      <c r="B84" s="903">
        <f t="shared" ref="B84:I84" si="115">SUM(B80:B83)</f>
        <v>207774.98</v>
      </c>
      <c r="C84" s="904">
        <f t="shared" si="115"/>
        <v>86422909</v>
      </c>
      <c r="D84" s="904">
        <f t="shared" si="115"/>
        <v>553357</v>
      </c>
      <c r="E84" s="904">
        <f t="shared" si="115"/>
        <v>163</v>
      </c>
      <c r="F84" s="903">
        <f t="shared" si="115"/>
        <v>2632136</v>
      </c>
      <c r="G84" s="904">
        <f t="shared" si="115"/>
        <v>3908</v>
      </c>
      <c r="H84" s="904">
        <f t="shared" si="115"/>
        <v>3705</v>
      </c>
      <c r="I84" s="904">
        <f t="shared" si="115"/>
        <v>474.427278846167</v>
      </c>
      <c r="J84" s="904">
        <f t="shared" si="99"/>
        <v>4179.42727884617</v>
      </c>
      <c r="K84" s="896">
        <f t="shared" si="100"/>
        <v>0.00640289717625682</v>
      </c>
      <c r="L84" s="903">
        <f t="shared" si="101"/>
        <v>0.375480892082327</v>
      </c>
      <c r="M84" s="897">
        <f t="shared" si="102"/>
        <v>2.40416554365232</v>
      </c>
      <c r="N84" s="898">
        <f t="shared" si="98"/>
        <v>12.6682048050251</v>
      </c>
      <c r="O84" s="896">
        <f t="shared" si="103"/>
        <v>0.000294565714358</v>
      </c>
      <c r="P84" s="916">
        <f t="shared" si="104"/>
        <v>16148.0736196319</v>
      </c>
      <c r="Q84" s="903">
        <f t="shared" si="105"/>
        <v>1274.69312883436</v>
      </c>
      <c r="R84" s="902">
        <f t="shared" si="106"/>
        <v>53.1665762538383</v>
      </c>
      <c r="S84" s="558">
        <f t="shared" si="107"/>
        <v>8087.42727884617</v>
      </c>
      <c r="T84" s="917">
        <f t="shared" si="114"/>
        <v>2.5208651627541</v>
      </c>
      <c r="U84" s="850">
        <f t="shared" si="108"/>
        <v>25.6911095254563</v>
      </c>
      <c r="V84" s="917">
        <f t="shared" si="109"/>
        <v>2.11910329543372</v>
      </c>
      <c r="W84" s="917">
        <f>D84/$D$84</f>
        <v>1</v>
      </c>
      <c r="X84" s="917">
        <f t="shared" si="110"/>
        <v>1.42732919254658</v>
      </c>
      <c r="Y84" s="917">
        <f t="shared" si="111"/>
        <v>4.78594431096525</v>
      </c>
      <c r="Z84" s="917">
        <f t="shared" si="112"/>
        <v>0.284993936962201</v>
      </c>
      <c r="AA84" s="917">
        <f t="shared" si="113"/>
        <v>-0.114108847896384</v>
      </c>
      <c r="AB84" s="917">
        <f>B84/B84</f>
        <v>1</v>
      </c>
    </row>
    <row r="87" ht="41.4" spans="1:28">
      <c r="A87" s="868" t="s">
        <v>33</v>
      </c>
      <c r="B87" s="869" t="s">
        <v>1</v>
      </c>
      <c r="C87" s="870" t="s">
        <v>2</v>
      </c>
      <c r="D87" s="870" t="s">
        <v>3</v>
      </c>
      <c r="E87" s="871" t="s">
        <v>4</v>
      </c>
      <c r="F87" s="869" t="s">
        <v>5</v>
      </c>
      <c r="G87" s="871" t="s">
        <v>6</v>
      </c>
      <c r="H87" s="871" t="s">
        <v>7</v>
      </c>
      <c r="I87" s="871" t="s">
        <v>8</v>
      </c>
      <c r="J87" s="871" t="s">
        <v>34</v>
      </c>
      <c r="K87" s="879" t="s">
        <v>9</v>
      </c>
      <c r="L87" s="869" t="s">
        <v>10</v>
      </c>
      <c r="M87" s="880" t="s">
        <v>11</v>
      </c>
      <c r="N87" s="881" t="s">
        <v>12</v>
      </c>
      <c r="O87" s="879" t="s">
        <v>13</v>
      </c>
      <c r="P87" s="875" t="s">
        <v>14</v>
      </c>
      <c r="Q87" s="869" t="s">
        <v>15</v>
      </c>
      <c r="R87" s="912" t="s">
        <v>16</v>
      </c>
      <c r="S87" s="882" t="s">
        <v>35</v>
      </c>
      <c r="T87" s="882" t="s">
        <v>37</v>
      </c>
      <c r="U87" s="882" t="s">
        <v>36</v>
      </c>
      <c r="V87" s="882" t="s">
        <v>38</v>
      </c>
      <c r="W87" s="882" t="s">
        <v>39</v>
      </c>
      <c r="X87" s="882" t="s">
        <v>40</v>
      </c>
      <c r="Y87" s="882" t="s">
        <v>41</v>
      </c>
      <c r="Z87" s="882" t="s">
        <v>42</v>
      </c>
      <c r="AA87" s="882" t="s">
        <v>43</v>
      </c>
      <c r="AB87" s="37" t="s">
        <v>44</v>
      </c>
    </row>
    <row r="88" spans="1:28">
      <c r="A88" s="686" t="s">
        <v>19</v>
      </c>
      <c r="B88" s="685">
        <f>SUM(明星店铺!B736:B765)</f>
        <v>6488.18</v>
      </c>
      <c r="C88" s="872">
        <f>SUM(明星店铺!C736:C765)</f>
        <v>7851</v>
      </c>
      <c r="D88" s="872">
        <f>SUM(明星店铺!D736:D765)</f>
        <v>2955</v>
      </c>
      <c r="E88" s="872">
        <f>SUM(明星店铺!E736:E765)</f>
        <v>18</v>
      </c>
      <c r="F88" s="872">
        <f>SUM(明星店铺!F736:F765)</f>
        <v>276039</v>
      </c>
      <c r="G88" s="872">
        <f>SUM(明星店铺!G736:G765)</f>
        <v>783</v>
      </c>
      <c r="H88" s="872">
        <f>SUM(明星店铺!H736:H756)</f>
        <v>44</v>
      </c>
      <c r="I88" s="872">
        <f>SUM(明星店铺!I736:I765)</f>
        <v>145</v>
      </c>
      <c r="J88" s="872">
        <f t="shared" ref="J88:J92" si="116">H88+I88</f>
        <v>189</v>
      </c>
      <c r="K88" s="688">
        <f t="shared" ref="K88:K92" si="117">D88/C88</f>
        <v>0.376385173863202</v>
      </c>
      <c r="L88" s="685">
        <f t="shared" ref="L88:L92" si="118">B88/D88</f>
        <v>2.19566159052453</v>
      </c>
      <c r="M88" s="886">
        <f t="shared" ref="M88:M92" si="119">(B88/C88)*1000</f>
        <v>826.414469494332</v>
      </c>
      <c r="N88" s="887">
        <f>F88/B88</f>
        <v>42.5449047344556</v>
      </c>
      <c r="O88" s="688">
        <f t="shared" ref="O88:O92" si="120">E88/D88</f>
        <v>0.00609137055837563</v>
      </c>
      <c r="P88" s="915">
        <f t="shared" ref="P88:P91" si="121">IF(E88=0,"0",F88/E88)</f>
        <v>15335.5</v>
      </c>
      <c r="Q88" s="685">
        <f t="shared" ref="Q88:Q91" si="122">IF(E88=0,"0",B88/E88)</f>
        <v>360.454444444444</v>
      </c>
      <c r="R88" s="902">
        <f t="shared" ref="R88:R92" si="123">B88/G88</f>
        <v>8.28630906768838</v>
      </c>
      <c r="S88" s="558">
        <f t="shared" ref="S88:S92" si="124">G88+J88</f>
        <v>972</v>
      </c>
      <c r="T88" s="917">
        <f t="shared" si="114"/>
        <v>-0.275707898658718</v>
      </c>
      <c r="U88" s="850">
        <f t="shared" ref="U88:U92" si="125">B88/S88</f>
        <v>6.67508230452675</v>
      </c>
      <c r="V88" s="917">
        <f>(B88-B80)/B80</f>
        <v>-0.137050598448383</v>
      </c>
      <c r="W88" s="917">
        <f t="shared" ref="W88:W91" si="126">D88/$D$92</f>
        <v>0.0073047553833946</v>
      </c>
      <c r="X88" s="917">
        <f>(G88-G80)/G80</f>
        <v>-0.242746615087041</v>
      </c>
      <c r="Y88" s="917">
        <f>(F88-F80)/F80</f>
        <v>-0.696617099146032</v>
      </c>
      <c r="Z88" s="917">
        <f>(R88-R80)/R80</f>
        <v>0.139578136914906</v>
      </c>
      <c r="AA88" s="917">
        <f>(U88-U80)/U80</f>
        <v>0.191438371278055</v>
      </c>
      <c r="AB88" s="917">
        <f>B88/B92</f>
        <v>0.0404346756612628</v>
      </c>
    </row>
    <row r="89" spans="1:28">
      <c r="A89" s="686" t="s">
        <v>20</v>
      </c>
      <c r="B89" s="685">
        <f>SUM(直通车!B736:B765)</f>
        <v>55187.14</v>
      </c>
      <c r="C89" s="918">
        <f>SUM(直通车!C736:C765)</f>
        <v>217527</v>
      </c>
      <c r="D89" s="918">
        <f>SUM(直通车!D736:D765)</f>
        <v>13706</v>
      </c>
      <c r="E89" s="918">
        <f>SUM(直通车!E736:E765)</f>
        <v>9</v>
      </c>
      <c r="F89" s="918">
        <f>SUM(直通车!F736:F765)</f>
        <v>196570</v>
      </c>
      <c r="G89" s="918">
        <f>SUM(直通车!G736:G765)</f>
        <v>945</v>
      </c>
      <c r="H89" s="918">
        <f>SUM(直通车!H736:H765)</f>
        <v>95</v>
      </c>
      <c r="I89" s="918">
        <f>SUM(直通车!I736:I765)</f>
        <v>115</v>
      </c>
      <c r="J89" s="872">
        <f t="shared" si="116"/>
        <v>210</v>
      </c>
      <c r="K89" s="688">
        <f t="shared" si="117"/>
        <v>0.0630082702377176</v>
      </c>
      <c r="L89" s="685">
        <f t="shared" si="118"/>
        <v>4.02649496570845</v>
      </c>
      <c r="M89" s="886">
        <f t="shared" si="119"/>
        <v>253.702482910168</v>
      </c>
      <c r="N89" s="887">
        <f t="shared" ref="N89:N92" si="127">F89/B89</f>
        <v>3.56188053956048</v>
      </c>
      <c r="O89" s="688">
        <f t="shared" si="120"/>
        <v>0.000656646724062454</v>
      </c>
      <c r="P89" s="915">
        <f t="shared" si="121"/>
        <v>21841.1111111111</v>
      </c>
      <c r="Q89" s="685">
        <f t="shared" si="122"/>
        <v>6131.90444444445</v>
      </c>
      <c r="R89" s="902">
        <f t="shared" si="123"/>
        <v>58.39908994709</v>
      </c>
      <c r="S89" s="558">
        <f t="shared" si="124"/>
        <v>1155</v>
      </c>
      <c r="T89" s="917">
        <f t="shared" si="114"/>
        <v>-0.212141882673943</v>
      </c>
      <c r="U89" s="850">
        <f t="shared" si="125"/>
        <v>47.7810735930736</v>
      </c>
      <c r="V89" s="917">
        <f>(B89-B81)/B81</f>
        <v>-0.307867455329803</v>
      </c>
      <c r="W89" s="917">
        <f t="shared" si="126"/>
        <v>0.0338812105870749</v>
      </c>
      <c r="X89" s="917">
        <f>(G89-G81)/G81</f>
        <v>-0.153983885407341</v>
      </c>
      <c r="Y89" s="917">
        <f>(F89-F81)/F81</f>
        <v>-0.792172174521664</v>
      </c>
      <c r="Z89" s="917">
        <f>(R89-R81)/R81</f>
        <v>-0.181892008045916</v>
      </c>
      <c r="AA89" s="917">
        <f>(U89-U81)/U81</f>
        <v>-0.121501029881811</v>
      </c>
      <c r="AB89" s="917">
        <f>B89/B92</f>
        <v>0.343929130599444</v>
      </c>
    </row>
    <row r="90" spans="1:28">
      <c r="A90" s="686" t="s">
        <v>21</v>
      </c>
      <c r="B90" s="685">
        <f>SUM(引力魔方!B635:B664)</f>
        <v>37490.77</v>
      </c>
      <c r="C90" s="918">
        <f>SUM(引力魔方!C635:C664)</f>
        <v>43486150</v>
      </c>
      <c r="D90" s="918">
        <f>SUM(引力魔方!D635:D664)</f>
        <v>167971</v>
      </c>
      <c r="E90" s="918">
        <f>SUM(引力魔方!E635:E664)</f>
        <v>2</v>
      </c>
      <c r="F90" s="918">
        <f>SUM(引力魔方!F635:F664)</f>
        <v>20393.68</v>
      </c>
      <c r="G90" s="918">
        <f>SUM(引力魔方!G635:G664)</f>
        <v>247</v>
      </c>
      <c r="H90" s="918">
        <f>SUM(引力魔方!H635:H664)</f>
        <v>899</v>
      </c>
      <c r="I90" s="918">
        <f>SUM(引力魔方!I635:I664)</f>
        <v>54</v>
      </c>
      <c r="J90" s="872">
        <f t="shared" si="116"/>
        <v>953</v>
      </c>
      <c r="K90" s="688">
        <f t="shared" si="117"/>
        <v>0.00386263212540085</v>
      </c>
      <c r="L90" s="685">
        <f t="shared" si="118"/>
        <v>0.223197873442439</v>
      </c>
      <c r="M90" s="886">
        <f t="shared" si="119"/>
        <v>0.862131276279919</v>
      </c>
      <c r="N90" s="887">
        <f t="shared" si="127"/>
        <v>0.54396535467263</v>
      </c>
      <c r="O90" s="688">
        <f t="shared" si="120"/>
        <v>1.19068172482155e-5</v>
      </c>
      <c r="P90" s="915">
        <f t="shared" si="121"/>
        <v>10196.84</v>
      </c>
      <c r="Q90" s="685">
        <f t="shared" si="122"/>
        <v>18745.385</v>
      </c>
      <c r="R90" s="902">
        <f t="shared" si="123"/>
        <v>151.784493927126</v>
      </c>
      <c r="S90" s="558">
        <f t="shared" si="124"/>
        <v>1200</v>
      </c>
      <c r="T90" s="917">
        <f t="shared" si="114"/>
        <v>0.929260450160772</v>
      </c>
      <c r="U90" s="850">
        <f t="shared" si="125"/>
        <v>31.2423083333333</v>
      </c>
      <c r="V90" s="917">
        <f>(B90-B82)/B82</f>
        <v>-0.199159016752378</v>
      </c>
      <c r="W90" s="917">
        <f t="shared" si="126"/>
        <v>0.415224049578401</v>
      </c>
      <c r="X90" s="917">
        <f>(G90-G82)/G82</f>
        <v>-0.012</v>
      </c>
      <c r="Y90" s="917">
        <f>(F90-F82)/F82</f>
        <v>-0.722156948228883</v>
      </c>
      <c r="Z90" s="917">
        <f>(R90-R82)/R82</f>
        <v>-0.189432203190666</v>
      </c>
      <c r="AA90" s="917">
        <f>(U90-U82)/U82</f>
        <v>-0.584897423683316</v>
      </c>
      <c r="AB90" s="917">
        <f>B90/B92</f>
        <v>0.233644431141091</v>
      </c>
    </row>
    <row r="91" spans="1:28">
      <c r="A91" s="686" t="s">
        <v>27</v>
      </c>
      <c r="B91" s="685">
        <f>SUM(万相台!B224:B253)</f>
        <v>61294.7</v>
      </c>
      <c r="C91" s="918">
        <f>SUM(万相台!C224:C253)</f>
        <v>18951479</v>
      </c>
      <c r="D91" s="918">
        <f>SUM(万相台!D224:D253)</f>
        <v>219899</v>
      </c>
      <c r="E91" s="918">
        <f>SUM(万相台!E224:E253)</f>
        <v>31</v>
      </c>
      <c r="F91" s="918">
        <f>SUM(万相台!F224:F253)</f>
        <v>464453.48</v>
      </c>
      <c r="G91" s="918">
        <f>SUM(万相台!G224:G253)</f>
        <v>1037</v>
      </c>
      <c r="H91" s="918">
        <f>SUM(万相台!H224:H253)</f>
        <v>3263</v>
      </c>
      <c r="I91" s="918">
        <f>SUM(万相台!I224:I253)</f>
        <v>394</v>
      </c>
      <c r="J91" s="872">
        <f t="shared" si="116"/>
        <v>3657</v>
      </c>
      <c r="K91" s="688">
        <f t="shared" si="117"/>
        <v>0.0116032632598226</v>
      </c>
      <c r="L91" s="685">
        <f t="shared" si="118"/>
        <v>0.27874023983738</v>
      </c>
      <c r="M91" s="886">
        <f t="shared" si="119"/>
        <v>3.23429638393922</v>
      </c>
      <c r="N91" s="887">
        <f t="shared" si="127"/>
        <v>7.57738401525744</v>
      </c>
      <c r="O91" s="688">
        <f t="shared" si="120"/>
        <v>0.000140973810704005</v>
      </c>
      <c r="P91" s="915">
        <f t="shared" si="121"/>
        <v>14982.3703225806</v>
      </c>
      <c r="Q91" s="685">
        <f t="shared" si="122"/>
        <v>1977.24838709677</v>
      </c>
      <c r="R91" s="902">
        <f t="shared" si="123"/>
        <v>59.1077145612343</v>
      </c>
      <c r="S91" s="558">
        <f t="shared" si="124"/>
        <v>4694</v>
      </c>
      <c r="T91" s="917">
        <f t="shared" si="114"/>
        <v>0.00785255871196188</v>
      </c>
      <c r="U91" s="850">
        <f t="shared" si="125"/>
        <v>13.0580954409885</v>
      </c>
      <c r="V91" s="917">
        <f t="shared" ref="V91:V100" si="128">(B91-B83)/B83</f>
        <v>-0.16840270264</v>
      </c>
      <c r="W91" s="917">
        <f t="shared" si="126"/>
        <v>0.54358998445113</v>
      </c>
      <c r="X91" s="917">
        <f t="shared" ref="X91:X100" si="129">(G91-G83)/G83</f>
        <v>-0.311877903118779</v>
      </c>
      <c r="Y91" s="917">
        <f t="shared" ref="Y91:Y100" si="130">(F91-F83)/F83</f>
        <v>-0.339359377555883</v>
      </c>
      <c r="Z91" s="917">
        <f t="shared" ref="Z91:Z100" si="131">(R91-R83)/R83</f>
        <v>0.208502533386229</v>
      </c>
      <c r="AA91" s="917">
        <f t="shared" ref="AA91:AA100" si="132">(U91-U83)/U83</f>
        <v>-0.174881990255814</v>
      </c>
      <c r="AB91" s="917">
        <f>B91/B92</f>
        <v>0.381991762598202</v>
      </c>
    </row>
    <row r="92" spans="1:28">
      <c r="A92" s="891" t="s">
        <v>22</v>
      </c>
      <c r="B92" s="903">
        <f t="shared" ref="B92:I92" si="133">SUM(B88:B91)</f>
        <v>160460.79</v>
      </c>
      <c r="C92" s="904">
        <f t="shared" si="133"/>
        <v>62663007</v>
      </c>
      <c r="D92" s="904">
        <f t="shared" si="133"/>
        <v>404531</v>
      </c>
      <c r="E92" s="904">
        <f t="shared" si="133"/>
        <v>60</v>
      </c>
      <c r="F92" s="903">
        <f t="shared" si="133"/>
        <v>957456.16</v>
      </c>
      <c r="G92" s="904">
        <f t="shared" si="133"/>
        <v>3012</v>
      </c>
      <c r="H92" s="904">
        <f t="shared" si="133"/>
        <v>4301</v>
      </c>
      <c r="I92" s="904">
        <f t="shared" si="133"/>
        <v>708</v>
      </c>
      <c r="J92" s="872">
        <f t="shared" si="116"/>
        <v>5009</v>
      </c>
      <c r="K92" s="896">
        <f t="shared" si="117"/>
        <v>0.00645565891850674</v>
      </c>
      <c r="L92" s="903">
        <f t="shared" si="118"/>
        <v>0.396658822191624</v>
      </c>
      <c r="M92" s="897">
        <f t="shared" si="119"/>
        <v>2.56069406308574</v>
      </c>
      <c r="N92" s="898">
        <f t="shared" si="127"/>
        <v>5.96691665297173</v>
      </c>
      <c r="O92" s="896">
        <f t="shared" si="120"/>
        <v>0.000148319906261819</v>
      </c>
      <c r="P92" s="916">
        <f>F92/E92</f>
        <v>15957.6026666667</v>
      </c>
      <c r="Q92" s="903">
        <f>B92/E92</f>
        <v>2674.3465</v>
      </c>
      <c r="R92" s="902">
        <f t="shared" si="123"/>
        <v>53.2738346613546</v>
      </c>
      <c r="S92" s="558">
        <f t="shared" si="124"/>
        <v>8021</v>
      </c>
      <c r="T92" s="917">
        <f t="shared" si="114"/>
        <v>-0.00821364774678317</v>
      </c>
      <c r="U92" s="850">
        <f t="shared" si="125"/>
        <v>20.0050854008228</v>
      </c>
      <c r="V92" s="917">
        <f t="shared" si="128"/>
        <v>-0.22771841922449</v>
      </c>
      <c r="W92" s="917"/>
      <c r="X92" s="917">
        <f t="shared" si="129"/>
        <v>-0.229273285568066</v>
      </c>
      <c r="Y92" s="917">
        <f t="shared" si="130"/>
        <v>-0.636243659142233</v>
      </c>
      <c r="Z92" s="917">
        <f t="shared" si="131"/>
        <v>0.00201740294511732</v>
      </c>
      <c r="AA92" s="917">
        <f t="shared" si="132"/>
        <v>-0.22132263766185</v>
      </c>
      <c r="AB92" s="917">
        <f>B92/B92</f>
        <v>1</v>
      </c>
    </row>
    <row r="93" spans="1:28">
      <c r="A93" s="37" t="s">
        <v>45</v>
      </c>
      <c r="B93" s="917">
        <f t="shared" ref="B93:R93" si="134">(B92-B84)/B84</f>
        <v>-0.22771841922449</v>
      </c>
      <c r="C93" s="917">
        <f t="shared" si="134"/>
        <v>-0.274925968992782</v>
      </c>
      <c r="D93" s="917">
        <f t="shared" si="134"/>
        <v>-0.268951147270207</v>
      </c>
      <c r="E93" s="917">
        <f t="shared" si="134"/>
        <v>-0.631901840490798</v>
      </c>
      <c r="F93" s="917">
        <f t="shared" si="134"/>
        <v>-0.636243659142233</v>
      </c>
      <c r="G93" s="917">
        <f t="shared" si="134"/>
        <v>-0.229273285568066</v>
      </c>
      <c r="H93" s="917">
        <f t="shared" si="134"/>
        <v>0.160863697705803</v>
      </c>
      <c r="I93" s="917">
        <f t="shared" si="134"/>
        <v>0.492325655729354</v>
      </c>
      <c r="J93" s="917">
        <f t="shared" si="134"/>
        <v>0.198489569456717</v>
      </c>
      <c r="K93" s="917">
        <f t="shared" si="134"/>
        <v>0.0082402919799443</v>
      </c>
      <c r="L93" s="917">
        <f t="shared" si="134"/>
        <v>0.0564021513634159</v>
      </c>
      <c r="M93" s="917">
        <f t="shared" si="134"/>
        <v>0.0651072135388917</v>
      </c>
      <c r="N93" s="917">
        <f t="shared" si="134"/>
        <v>-0.528984828962915</v>
      </c>
      <c r="O93" s="917">
        <f t="shared" si="134"/>
        <v>-0.49647939650723</v>
      </c>
      <c r="P93" s="917">
        <f t="shared" si="134"/>
        <v>-0.0117952740030657</v>
      </c>
      <c r="Q93" s="917">
        <f t="shared" si="134"/>
        <v>1.09803162777347</v>
      </c>
      <c r="R93" s="917">
        <f t="shared" si="134"/>
        <v>0.00201740294511732</v>
      </c>
    </row>
    <row r="95" ht="41.4" spans="1:28">
      <c r="A95" s="868" t="s">
        <v>46</v>
      </c>
      <c r="B95" s="869" t="s">
        <v>1</v>
      </c>
      <c r="C95" s="870" t="s">
        <v>2</v>
      </c>
      <c r="D95" s="870" t="s">
        <v>3</v>
      </c>
      <c r="E95" s="871" t="s">
        <v>4</v>
      </c>
      <c r="F95" s="869" t="s">
        <v>5</v>
      </c>
      <c r="G95" s="871" t="s">
        <v>6</v>
      </c>
      <c r="H95" s="871" t="s">
        <v>7</v>
      </c>
      <c r="I95" s="871" t="s">
        <v>8</v>
      </c>
      <c r="J95" s="871" t="s">
        <v>34</v>
      </c>
      <c r="K95" s="879" t="s">
        <v>9</v>
      </c>
      <c r="L95" s="869" t="s">
        <v>10</v>
      </c>
      <c r="M95" s="880" t="s">
        <v>11</v>
      </c>
      <c r="N95" s="881" t="s">
        <v>12</v>
      </c>
      <c r="O95" s="879" t="s">
        <v>13</v>
      </c>
      <c r="P95" s="875" t="s">
        <v>14</v>
      </c>
      <c r="Q95" s="869" t="s">
        <v>15</v>
      </c>
      <c r="R95" s="912" t="s">
        <v>16</v>
      </c>
      <c r="S95" s="882" t="s">
        <v>35</v>
      </c>
      <c r="T95" s="882" t="s">
        <v>37</v>
      </c>
      <c r="U95" s="882" t="s">
        <v>36</v>
      </c>
      <c r="V95" s="882" t="s">
        <v>38</v>
      </c>
      <c r="W95" s="882" t="s">
        <v>39</v>
      </c>
      <c r="X95" s="882" t="s">
        <v>40</v>
      </c>
      <c r="Y95" s="882" t="s">
        <v>41</v>
      </c>
      <c r="Z95" s="882" t="s">
        <v>42</v>
      </c>
      <c r="AA95" s="882" t="s">
        <v>43</v>
      </c>
      <c r="AB95" s="37" t="s">
        <v>44</v>
      </c>
    </row>
    <row r="96" spans="1:28">
      <c r="A96" s="686" t="s">
        <v>19</v>
      </c>
      <c r="B96" s="685">
        <f>SUM(明星店铺!B766:B796)</f>
        <v>11156.3</v>
      </c>
      <c r="C96" s="918">
        <f>SUM(明星店铺!C766:C796)</f>
        <v>12760</v>
      </c>
      <c r="D96" s="918">
        <f>SUM(明星店铺!D766:D796)</f>
        <v>6320</v>
      </c>
      <c r="E96" s="918">
        <f>SUM(明星店铺!E766:E796)</f>
        <v>83</v>
      </c>
      <c r="F96" s="918">
        <f>SUM(明星店铺!F766:F796)</f>
        <v>891276.81</v>
      </c>
      <c r="G96" s="918">
        <f>SUM(明星店铺!G766:G796)</f>
        <v>1643</v>
      </c>
      <c r="H96" s="918">
        <f>SUM(明星店铺!H766:H796)</f>
        <v>214</v>
      </c>
      <c r="I96" s="918">
        <f>SUM(明星店铺!I766:I796)</f>
        <v>459</v>
      </c>
      <c r="J96" s="872">
        <f>H96+I96</f>
        <v>673</v>
      </c>
      <c r="K96" s="688">
        <f t="shared" ref="K96:K100" si="135">D96/C96</f>
        <v>0.495297805642633</v>
      </c>
      <c r="L96" s="685">
        <f t="shared" ref="L96:L100" si="136">B96/D96</f>
        <v>1.76523734177215</v>
      </c>
      <c r="M96" s="886">
        <f t="shared" ref="M96:M100" si="137">(B96/C96)*1000</f>
        <v>874.318181818182</v>
      </c>
      <c r="N96" s="887">
        <f t="shared" ref="N96:N100" si="138">F96/B96</f>
        <v>79.8900002689063</v>
      </c>
      <c r="O96" s="688">
        <f t="shared" ref="O96:O100" si="139">E96/D96</f>
        <v>0.0131329113924051</v>
      </c>
      <c r="P96" s="915">
        <f t="shared" ref="P96:P99" si="140">IF(E96=0,"0",F96/E96)</f>
        <v>10738.2748192771</v>
      </c>
      <c r="Q96" s="685">
        <f t="shared" ref="Q96:Q99" si="141">IF(E96=0,"0",B96/E96)</f>
        <v>134.413253012048</v>
      </c>
      <c r="R96" s="902">
        <f t="shared" ref="R96:R100" si="142">B96/G96</f>
        <v>6.79020085209982</v>
      </c>
      <c r="S96" s="558">
        <f t="shared" ref="S96:S100" si="143">G96+J96</f>
        <v>2316</v>
      </c>
      <c r="T96" s="917">
        <f t="shared" ref="T96:T100" si="144">(S96-S88)/S88</f>
        <v>1.38271604938272</v>
      </c>
      <c r="U96" s="850">
        <f t="shared" ref="U96:U100" si="145">B96/S96</f>
        <v>4.81705526770294</v>
      </c>
      <c r="V96" s="917">
        <f t="shared" si="128"/>
        <v>0.71948065559217</v>
      </c>
      <c r="W96" s="917">
        <f>D96/$D$100</f>
        <v>0.0191146181461845</v>
      </c>
      <c r="X96" s="917">
        <f t="shared" si="129"/>
        <v>1.09833971902937</v>
      </c>
      <c r="Y96" s="917">
        <f t="shared" si="130"/>
        <v>2.22880755980133</v>
      </c>
      <c r="Z96" s="917">
        <f t="shared" si="131"/>
        <v>-0.18055182390221</v>
      </c>
      <c r="AA96" s="917">
        <f t="shared" si="132"/>
        <v>-0.278352678222975</v>
      </c>
      <c r="AB96" s="917">
        <f>B96/B100</f>
        <v>0.0604138562785643</v>
      </c>
    </row>
    <row r="97" spans="1:29">
      <c r="A97" s="686" t="s">
        <v>20</v>
      </c>
      <c r="B97" s="685">
        <f>SUM(直通车!B766:B796)</f>
        <v>66820.87</v>
      </c>
      <c r="C97" s="918">
        <f>SUM(直通车!C766:C796)</f>
        <v>220604</v>
      </c>
      <c r="D97" s="918">
        <f>SUM(直通车!D766:D796)</f>
        <v>16317</v>
      </c>
      <c r="E97" s="918">
        <f>SUM(直通车!E766:E796)</f>
        <v>64</v>
      </c>
      <c r="F97" s="918">
        <f>SUM(直通车!F766:F796)</f>
        <v>864387</v>
      </c>
      <c r="G97" s="918">
        <f>SUM(直通车!G766:G796)</f>
        <v>1397</v>
      </c>
      <c r="H97" s="918">
        <f>SUM(直通车!H766:H796)</f>
        <v>170</v>
      </c>
      <c r="I97" s="918">
        <f>SUM(直通车!I766:I796)</f>
        <v>209</v>
      </c>
      <c r="J97" s="872">
        <f>H97+I97</f>
        <v>379</v>
      </c>
      <c r="K97" s="688">
        <f t="shared" si="135"/>
        <v>0.0739651139598557</v>
      </c>
      <c r="L97" s="685">
        <f t="shared" si="136"/>
        <v>4.0951688423117</v>
      </c>
      <c r="M97" s="886">
        <f t="shared" si="137"/>
        <v>302.899630106435</v>
      </c>
      <c r="N97" s="887">
        <f t="shared" si="138"/>
        <v>12.9358836543134</v>
      </c>
      <c r="O97" s="688">
        <f t="shared" si="139"/>
        <v>0.00392228963657535</v>
      </c>
      <c r="P97" s="915">
        <f t="shared" si="140"/>
        <v>13506.046875</v>
      </c>
      <c r="Q97" s="685">
        <f t="shared" si="141"/>
        <v>1044.07609375</v>
      </c>
      <c r="R97" s="902">
        <f t="shared" si="142"/>
        <v>47.8316893342878</v>
      </c>
      <c r="S97" s="558">
        <f t="shared" si="143"/>
        <v>1776</v>
      </c>
      <c r="T97" s="917">
        <f t="shared" si="144"/>
        <v>0.537662337662338</v>
      </c>
      <c r="U97" s="850">
        <f t="shared" si="145"/>
        <v>37.6243637387387</v>
      </c>
      <c r="V97" s="917">
        <f t="shared" si="128"/>
        <v>0.210805089736486</v>
      </c>
      <c r="W97" s="917">
        <f>D97/$D$100</f>
        <v>0.0493501937169766</v>
      </c>
      <c r="X97" s="917">
        <f t="shared" si="129"/>
        <v>0.478306878306878</v>
      </c>
      <c r="Y97" s="917">
        <f t="shared" si="130"/>
        <v>3.39734954469146</v>
      </c>
      <c r="Z97" s="917">
        <f t="shared" si="131"/>
        <v>-0.180951460414475</v>
      </c>
      <c r="AA97" s="917">
        <f t="shared" si="132"/>
        <v>-0.212567635897725</v>
      </c>
      <c r="AB97" s="917">
        <f>B97/B100</f>
        <v>0.361849935604871</v>
      </c>
    </row>
    <row r="98" spans="1:29">
      <c r="A98" s="686" t="s">
        <v>21</v>
      </c>
      <c r="B98" s="685">
        <f>SUM(引力魔方!B665:B695)</f>
        <v>31305.85</v>
      </c>
      <c r="C98" s="918">
        <f>SUM(引力魔方!C665:C695)</f>
        <v>35598553</v>
      </c>
      <c r="D98" s="918">
        <f>SUM(引力魔方!D665:D695)</f>
        <v>126129</v>
      </c>
      <c r="E98" s="918">
        <f>SUM(引力魔方!E665:E695)</f>
        <v>14</v>
      </c>
      <c r="F98" s="918">
        <f>SUM(引力魔方!F665:F695)</f>
        <v>151899</v>
      </c>
      <c r="G98" s="918">
        <f>SUM(引力魔方!G665:G695)</f>
        <v>358</v>
      </c>
      <c r="H98" s="918">
        <f>SUM(引力魔方!H665:H695)</f>
        <v>1315</v>
      </c>
      <c r="I98" s="918">
        <f>SUM(引力魔方!I665:I695)</f>
        <v>46</v>
      </c>
      <c r="J98" s="872">
        <f>H98+I98</f>
        <v>1361</v>
      </c>
      <c r="K98" s="688">
        <f t="shared" si="135"/>
        <v>0.00354309345101752</v>
      </c>
      <c r="L98" s="685">
        <f t="shared" si="136"/>
        <v>0.248205012328648</v>
      </c>
      <c r="M98" s="886">
        <f t="shared" si="137"/>
        <v>0.879413553691353</v>
      </c>
      <c r="N98" s="887">
        <f t="shared" si="138"/>
        <v>4.85209633343289</v>
      </c>
      <c r="O98" s="688">
        <f t="shared" si="139"/>
        <v>0.000110997470843343</v>
      </c>
      <c r="P98" s="915">
        <f t="shared" si="140"/>
        <v>10849.9285714286</v>
      </c>
      <c r="Q98" s="685">
        <f t="shared" si="141"/>
        <v>2236.13214285714</v>
      </c>
      <c r="R98" s="902">
        <f t="shared" si="142"/>
        <v>87.4465083798882</v>
      </c>
      <c r="S98" s="558">
        <f t="shared" si="143"/>
        <v>1719</v>
      </c>
      <c r="T98" s="917">
        <f t="shared" si="144"/>
        <v>0.4325</v>
      </c>
      <c r="U98" s="850">
        <f t="shared" si="145"/>
        <v>18.2116637579988</v>
      </c>
      <c r="V98" s="917">
        <f t="shared" si="128"/>
        <v>-0.164971805060286</v>
      </c>
      <c r="W98" s="917">
        <f>D98/$D$100</f>
        <v>0.381472732936725</v>
      </c>
      <c r="X98" s="917">
        <f t="shared" si="129"/>
        <v>0.449392712550607</v>
      </c>
      <c r="Y98" s="917">
        <f t="shared" si="130"/>
        <v>6.44833693575657</v>
      </c>
      <c r="Z98" s="917">
        <f t="shared" si="131"/>
        <v>-0.423877195111426</v>
      </c>
      <c r="AA98" s="917">
        <f t="shared" si="132"/>
        <v>-0.417083284509798</v>
      </c>
      <c r="AB98" s="917">
        <f>B98/B100</f>
        <v>0.169528169964799</v>
      </c>
    </row>
    <row r="99" spans="1:29">
      <c r="A99" s="686" t="s">
        <v>27</v>
      </c>
      <c r="B99" s="685">
        <f>SUM(万相台!B254:B284)</f>
        <v>75381.57</v>
      </c>
      <c r="C99" s="918">
        <f>SUM(万相台!C254:C284)</f>
        <v>25259836</v>
      </c>
      <c r="D99" s="918">
        <f>SUM(万相台!D254:D284)</f>
        <v>181871</v>
      </c>
      <c r="E99" s="918">
        <f>SUM(万相台!E254:E284)</f>
        <v>103</v>
      </c>
      <c r="F99" s="918">
        <f>SUM(万相台!F254:F284)</f>
        <v>1246048</v>
      </c>
      <c r="G99" s="918">
        <f>SUM(万相台!G254:G284)</f>
        <v>1442</v>
      </c>
      <c r="H99" s="918">
        <f>SUM(万相台!H254:H284)</f>
        <v>5099</v>
      </c>
      <c r="I99" s="918">
        <f>SUM(万相台!I254:I284)</f>
        <v>390</v>
      </c>
      <c r="J99" s="872">
        <f t="shared" ref="J99:J107" si="146">H99+I99</f>
        <v>5489</v>
      </c>
      <c r="K99" s="688">
        <f t="shared" si="135"/>
        <v>0.00720000715760783</v>
      </c>
      <c r="L99" s="685">
        <f t="shared" si="136"/>
        <v>0.414478229074454</v>
      </c>
      <c r="M99" s="886">
        <f t="shared" si="137"/>
        <v>2.98424621600869</v>
      </c>
      <c r="N99" s="887">
        <f t="shared" si="138"/>
        <v>16.5298759365187</v>
      </c>
      <c r="O99" s="688">
        <f t="shared" si="139"/>
        <v>0.000566335479543193</v>
      </c>
      <c r="P99" s="915">
        <f t="shared" si="140"/>
        <v>12097.5533980583</v>
      </c>
      <c r="Q99" s="685">
        <f t="shared" si="141"/>
        <v>731.859902912621</v>
      </c>
      <c r="R99" s="902">
        <f t="shared" si="142"/>
        <v>52.2757073509015</v>
      </c>
      <c r="S99" s="558">
        <f t="shared" si="143"/>
        <v>6931</v>
      </c>
      <c r="T99" s="917">
        <f t="shared" si="144"/>
        <v>0.476565828717512</v>
      </c>
      <c r="U99" s="850">
        <f t="shared" si="145"/>
        <v>10.8760020199105</v>
      </c>
      <c r="V99" s="917">
        <f t="shared" si="128"/>
        <v>0.229821991134633</v>
      </c>
      <c r="W99" s="917">
        <f>D99/$D$100</f>
        <v>0.550062455200114</v>
      </c>
      <c r="X99" s="917">
        <f t="shared" si="129"/>
        <v>0.390549662487946</v>
      </c>
      <c r="Y99" s="917">
        <f t="shared" si="130"/>
        <v>1.68282627573379</v>
      </c>
      <c r="Z99" s="917">
        <f t="shared" si="131"/>
        <v>-0.115585710952417</v>
      </c>
      <c r="AA99" s="917">
        <f t="shared" si="132"/>
        <v>-0.167106560902328</v>
      </c>
      <c r="AB99" s="917">
        <f>B99/B100</f>
        <v>0.408208038151765</v>
      </c>
    </row>
    <row r="100" spans="1:29">
      <c r="A100" s="891" t="s">
        <v>22</v>
      </c>
      <c r="B100" s="903">
        <f t="shared" ref="B100:I100" si="147">SUM(B96:B99)</f>
        <v>184664.59</v>
      </c>
      <c r="C100" s="904">
        <f t="shared" si="147"/>
        <v>61091753</v>
      </c>
      <c r="D100" s="904">
        <f t="shared" si="147"/>
        <v>330637</v>
      </c>
      <c r="E100" s="904">
        <f t="shared" si="147"/>
        <v>264</v>
      </c>
      <c r="F100" s="903">
        <f t="shared" si="147"/>
        <v>3153610.81</v>
      </c>
      <c r="G100" s="904">
        <f t="shared" si="147"/>
        <v>4840</v>
      </c>
      <c r="H100" s="904">
        <f t="shared" si="147"/>
        <v>6798</v>
      </c>
      <c r="I100" s="904">
        <f t="shared" si="147"/>
        <v>1104</v>
      </c>
      <c r="J100" s="872">
        <f t="shared" si="146"/>
        <v>7902</v>
      </c>
      <c r="K100" s="896">
        <f t="shared" si="135"/>
        <v>0.00541213803440867</v>
      </c>
      <c r="L100" s="903">
        <f t="shared" si="136"/>
        <v>0.558511570090462</v>
      </c>
      <c r="M100" s="897">
        <f t="shared" si="137"/>
        <v>3.02274171114389</v>
      </c>
      <c r="N100" s="898">
        <f t="shared" si="138"/>
        <v>17.0775069004837</v>
      </c>
      <c r="O100" s="896">
        <f t="shared" si="139"/>
        <v>0.000798458732688719</v>
      </c>
      <c r="P100" s="916">
        <f>F100/E100</f>
        <v>11945.4954924242</v>
      </c>
      <c r="Q100" s="903">
        <f>B100/E100</f>
        <v>699.487083333333</v>
      </c>
      <c r="R100" s="902">
        <f t="shared" si="142"/>
        <v>38.1538409090909</v>
      </c>
      <c r="S100" s="558">
        <f t="shared" si="143"/>
        <v>12742</v>
      </c>
      <c r="T100" s="917">
        <f t="shared" si="144"/>
        <v>0.588579977558908</v>
      </c>
      <c r="U100" s="850">
        <f t="shared" si="145"/>
        <v>14.4925906451107</v>
      </c>
      <c r="V100" s="917">
        <f t="shared" si="128"/>
        <v>0.150839342122147</v>
      </c>
      <c r="W100" s="917">
        <f>D100/$D$100</f>
        <v>1</v>
      </c>
      <c r="X100" s="917">
        <f t="shared" si="129"/>
        <v>0.606905710491368</v>
      </c>
      <c r="Y100" s="917">
        <f t="shared" si="130"/>
        <v>2.29373912012849</v>
      </c>
      <c r="Z100" s="917">
        <f t="shared" si="131"/>
        <v>-0.283816508580184</v>
      </c>
      <c r="AA100" s="917">
        <f t="shared" si="132"/>
        <v>-0.275554672487699</v>
      </c>
      <c r="AB100" s="917">
        <f>B100/B100</f>
        <v>1</v>
      </c>
    </row>
    <row r="101" spans="1:29">
      <c r="A101" s="37" t="s">
        <v>47</v>
      </c>
      <c r="B101" s="917">
        <f t="shared" ref="B101:R101" si="148">(B100-B92)/B92</f>
        <v>0.150839342122147</v>
      </c>
      <c r="C101" s="917">
        <f t="shared" si="148"/>
        <v>-0.0250746664615057</v>
      </c>
      <c r="D101" s="917">
        <f t="shared" si="148"/>
        <v>-0.182665852555181</v>
      </c>
      <c r="E101" s="917">
        <f t="shared" si="148"/>
        <v>3.4</v>
      </c>
      <c r="F101" s="917">
        <f t="shared" si="148"/>
        <v>2.29373912012849</v>
      </c>
      <c r="G101" s="917">
        <f t="shared" si="148"/>
        <v>0.606905710491368</v>
      </c>
      <c r="H101" s="917">
        <f t="shared" si="148"/>
        <v>0.580562659846547</v>
      </c>
      <c r="I101" s="917">
        <f t="shared" si="148"/>
        <v>0.559322033898305</v>
      </c>
      <c r="J101" s="917">
        <f t="shared" si="148"/>
        <v>0.577560391295668</v>
      </c>
      <c r="K101" s="917">
        <f t="shared" si="148"/>
        <v>-0.161644364621953</v>
      </c>
      <c r="L101" s="917">
        <f t="shared" si="148"/>
        <v>0.408040206958127</v>
      </c>
      <c r="M101" s="917">
        <f t="shared" si="148"/>
        <v>0.180438442342217</v>
      </c>
      <c r="N101" s="917">
        <f t="shared" si="148"/>
        <v>1.86203208351813</v>
      </c>
      <c r="O101" s="917">
        <f t="shared" si="148"/>
        <v>4.38335515988834</v>
      </c>
      <c r="P101" s="917">
        <f t="shared" si="148"/>
        <v>-0.251422927243526</v>
      </c>
      <c r="Q101" s="917">
        <f t="shared" si="148"/>
        <v>-0.738445604063148</v>
      </c>
      <c r="R101" s="917">
        <f t="shared" si="148"/>
        <v>-0.283816508580184</v>
      </c>
    </row>
    <row r="103" ht="41.4" spans="1:29">
      <c r="A103" s="868" t="s">
        <v>48</v>
      </c>
      <c r="B103" s="869" t="s">
        <v>1</v>
      </c>
      <c r="C103" s="870" t="s">
        <v>2</v>
      </c>
      <c r="D103" s="870" t="s">
        <v>3</v>
      </c>
      <c r="E103" s="871" t="s">
        <v>4</v>
      </c>
      <c r="F103" s="869" t="s">
        <v>5</v>
      </c>
      <c r="G103" s="871" t="s">
        <v>6</v>
      </c>
      <c r="H103" s="871" t="s">
        <v>7</v>
      </c>
      <c r="I103" s="871" t="s">
        <v>8</v>
      </c>
      <c r="J103" s="871" t="s">
        <v>34</v>
      </c>
      <c r="K103" s="879" t="s">
        <v>9</v>
      </c>
      <c r="L103" s="869" t="s">
        <v>10</v>
      </c>
      <c r="M103" s="880" t="s">
        <v>11</v>
      </c>
      <c r="N103" s="881" t="s">
        <v>12</v>
      </c>
      <c r="O103" s="879" t="s">
        <v>13</v>
      </c>
      <c r="P103" s="875" t="s">
        <v>14</v>
      </c>
      <c r="Q103" s="869" t="s">
        <v>15</v>
      </c>
      <c r="R103" s="912" t="s">
        <v>16</v>
      </c>
      <c r="S103" s="882" t="s">
        <v>35</v>
      </c>
      <c r="T103" s="882" t="s">
        <v>37</v>
      </c>
      <c r="U103" s="882" t="s">
        <v>36</v>
      </c>
      <c r="V103" s="882" t="s">
        <v>38</v>
      </c>
      <c r="W103" s="882" t="s">
        <v>39</v>
      </c>
      <c r="X103" s="882" t="s">
        <v>40</v>
      </c>
      <c r="Y103" s="882" t="s">
        <v>41</v>
      </c>
      <c r="Z103" s="882" t="s">
        <v>42</v>
      </c>
      <c r="AA103" s="882" t="s">
        <v>43</v>
      </c>
      <c r="AB103" s="37" t="s">
        <v>44</v>
      </c>
      <c r="AC103" s="37" t="s">
        <v>49</v>
      </c>
    </row>
    <row r="104" spans="1:29">
      <c r="A104" s="686" t="s">
        <v>19</v>
      </c>
      <c r="B104" s="685">
        <f>SUM(明星店铺!B797:B826)</f>
        <v>11255.25</v>
      </c>
      <c r="C104" s="918">
        <f>SUM(明星店铺!C797:C826)</f>
        <v>10443</v>
      </c>
      <c r="D104" s="918">
        <f>SUM(明星店铺!D797:D826)</f>
        <v>4663</v>
      </c>
      <c r="E104" s="918">
        <f>SUM(明星店铺!E797:E826)</f>
        <v>94</v>
      </c>
      <c r="F104" s="685">
        <f>SUM(明星店铺!F797:F826)</f>
        <v>1413047</v>
      </c>
      <c r="G104" s="918">
        <f>SUM(明星店铺!G797:G826)</f>
        <v>1201</v>
      </c>
      <c r="H104" s="918">
        <f>SUM(明星店铺!H797:H826)</f>
        <v>110</v>
      </c>
      <c r="I104" s="918">
        <f>SUM(明星店铺!I797:I826)</f>
        <v>282</v>
      </c>
      <c r="J104" s="872">
        <f t="shared" si="146"/>
        <v>392</v>
      </c>
      <c r="K104" s="688">
        <f t="shared" ref="K104:K108" si="149">D104/C104</f>
        <v>0.446519199463756</v>
      </c>
      <c r="L104" s="685">
        <f t="shared" ref="L104:L108" si="150">B104/D104</f>
        <v>2.41373579240832</v>
      </c>
      <c r="M104" s="886">
        <f t="shared" ref="M104:M108" si="151">(B104/C104)*1000</f>
        <v>1077.77937374318</v>
      </c>
      <c r="N104" s="887">
        <f t="shared" ref="N104:N108" si="152">F104/B104</f>
        <v>125.545589835854</v>
      </c>
      <c r="O104" s="688">
        <f t="shared" ref="O104:O108" si="153">E104/D104</f>
        <v>0.0201586961183787</v>
      </c>
      <c r="P104" s="915">
        <f t="shared" ref="P104:P107" si="154">IF(E104=0,"0",F104/E104)</f>
        <v>15032.414893617</v>
      </c>
      <c r="Q104" s="685">
        <f t="shared" ref="Q104:Q107" si="155">IF(E104=0,"0",B104/E104)</f>
        <v>119.73670212766</v>
      </c>
      <c r="R104" s="902">
        <f t="shared" ref="R104:R108" si="156">B104/G104</f>
        <v>9.37156536219817</v>
      </c>
      <c r="S104" s="558">
        <f t="shared" ref="S104:S108" si="157">G104+J104</f>
        <v>1593</v>
      </c>
      <c r="T104" s="917">
        <f t="shared" ref="T104:T108" si="158">(S104-S96)/S96</f>
        <v>-0.312176165803109</v>
      </c>
      <c r="U104" s="850">
        <f t="shared" ref="U104:U108" si="159">B104/S104</f>
        <v>7.06544256120527</v>
      </c>
      <c r="V104" s="917">
        <f t="shared" ref="V104:V108" si="160">(B104-B96)/B96</f>
        <v>0.00886942803617693</v>
      </c>
      <c r="W104" s="917">
        <f>D104/$D$108</f>
        <v>0.0186517761786859</v>
      </c>
      <c r="X104" s="917">
        <f t="shared" ref="X104:X108" si="161">(G104-G96)/G96</f>
        <v>-0.269020085209982</v>
      </c>
      <c r="Y104" s="917">
        <f t="shared" ref="Y104:Y108" si="162">(F104-F96)/F96</f>
        <v>0.585418788131602</v>
      </c>
      <c r="Z104" s="917">
        <f t="shared" ref="Z104:Z108" si="163">(R104-R96)/R96</f>
        <v>0.380160258337584</v>
      </c>
      <c r="AA104" s="917">
        <f t="shared" ref="AA104:AA108" si="164">(U104-U96)/U96</f>
        <v>0.466755552625101</v>
      </c>
      <c r="AB104" s="917">
        <f>B104/B108</f>
        <v>0.0468386487048288</v>
      </c>
    </row>
    <row r="105" spans="1:29">
      <c r="A105" s="686" t="s">
        <v>20</v>
      </c>
      <c r="B105" s="685">
        <f>SUM(直通车!B797:B826)</f>
        <v>88875.43</v>
      </c>
      <c r="C105" s="918">
        <f>SUM(直通车!C797:C826)</f>
        <v>385955</v>
      </c>
      <c r="D105" s="918">
        <f>SUM(直通车!D797:D826)</f>
        <v>20004</v>
      </c>
      <c r="E105" s="918">
        <f>SUM(直通车!E797:E826)</f>
        <v>52</v>
      </c>
      <c r="F105" s="685">
        <f>SUM(直通车!F797:F826)</f>
        <v>663374</v>
      </c>
      <c r="G105" s="918">
        <f>SUM(直通车!G797:G826)</f>
        <v>1324</v>
      </c>
      <c r="H105" s="918">
        <f>SUM(直通车!H797:H826)</f>
        <v>164</v>
      </c>
      <c r="I105" s="918">
        <f>SUM(直通车!I797:I826)</f>
        <v>173</v>
      </c>
      <c r="J105" s="872">
        <f t="shared" si="146"/>
        <v>337</v>
      </c>
      <c r="K105" s="688">
        <f t="shared" si="149"/>
        <v>0.0518298765400111</v>
      </c>
      <c r="L105" s="685">
        <f t="shared" si="150"/>
        <v>4.44288292341532</v>
      </c>
      <c r="M105" s="886">
        <f t="shared" si="151"/>
        <v>230.27407340234</v>
      </c>
      <c r="N105" s="887">
        <f t="shared" si="152"/>
        <v>7.46408765617224</v>
      </c>
      <c r="O105" s="688">
        <f t="shared" si="153"/>
        <v>0.0025994801039792</v>
      </c>
      <c r="P105" s="915">
        <f t="shared" si="154"/>
        <v>12757.1923076923</v>
      </c>
      <c r="Q105" s="685">
        <f t="shared" si="155"/>
        <v>1709.14288461538</v>
      </c>
      <c r="R105" s="902">
        <f t="shared" si="156"/>
        <v>67.1264577039275</v>
      </c>
      <c r="S105" s="558">
        <f t="shared" si="157"/>
        <v>1661</v>
      </c>
      <c r="T105" s="917">
        <f t="shared" si="158"/>
        <v>-0.0647522522522523</v>
      </c>
      <c r="U105" s="850">
        <f t="shared" si="159"/>
        <v>53.5071824202288</v>
      </c>
      <c r="V105" s="917">
        <f t="shared" si="160"/>
        <v>0.330054966360061</v>
      </c>
      <c r="W105" s="917">
        <f>D105/$D$108</f>
        <v>0.0800150398195222</v>
      </c>
      <c r="X105" s="917">
        <f t="shared" si="161"/>
        <v>-0.0522548317823908</v>
      </c>
      <c r="Y105" s="917">
        <f t="shared" si="162"/>
        <v>-0.232549772266358</v>
      </c>
      <c r="Z105" s="917">
        <f t="shared" si="163"/>
        <v>0.403388812692602</v>
      </c>
      <c r="AA105" s="917">
        <f t="shared" si="164"/>
        <v>0.422141854458439</v>
      </c>
      <c r="AB105" s="917">
        <f>B105/B108</f>
        <v>0.369854516271127</v>
      </c>
    </row>
    <row r="106" spans="1:29">
      <c r="A106" s="686" t="s">
        <v>21</v>
      </c>
      <c r="B106" s="685">
        <f>SUM(引力魔方!B696:B725)</f>
        <v>26455.84</v>
      </c>
      <c r="C106" s="918">
        <f>SUM(引力魔方!C696:C725)</f>
        <v>24345333</v>
      </c>
      <c r="D106" s="918">
        <f>SUM(引力魔方!D696:D725)</f>
        <v>84432</v>
      </c>
      <c r="E106" s="918">
        <f>SUM(引力魔方!E696:E725)</f>
        <v>1</v>
      </c>
      <c r="F106" s="685">
        <f>SUM(引力魔方!F696:F725)</f>
        <v>12960</v>
      </c>
      <c r="G106" s="918">
        <f>SUM(引力魔方!G696:G725)</f>
        <v>291</v>
      </c>
      <c r="H106" s="918">
        <f>SUM(引力魔方!H696:H725)</f>
        <v>2647</v>
      </c>
      <c r="I106" s="918">
        <f>SUM(引力魔方!I696:I725)</f>
        <v>41</v>
      </c>
      <c r="J106" s="872">
        <f t="shared" si="146"/>
        <v>2688</v>
      </c>
      <c r="K106" s="688">
        <f t="shared" si="149"/>
        <v>0.00346809797179607</v>
      </c>
      <c r="L106" s="685">
        <f t="shared" si="150"/>
        <v>0.313339018381656</v>
      </c>
      <c r="M106" s="886">
        <f t="shared" si="151"/>
        <v>1.08669041413399</v>
      </c>
      <c r="N106" s="887">
        <f t="shared" si="152"/>
        <v>0.48987293542749</v>
      </c>
      <c r="O106" s="688">
        <f t="shared" si="153"/>
        <v>1.18438506727307e-5</v>
      </c>
      <c r="P106" s="915">
        <f t="shared" si="154"/>
        <v>12960</v>
      </c>
      <c r="Q106" s="685">
        <f t="shared" si="155"/>
        <v>26455.84</v>
      </c>
      <c r="R106" s="902">
        <f t="shared" si="156"/>
        <v>90.9135395189004</v>
      </c>
      <c r="S106" s="558">
        <f t="shared" si="157"/>
        <v>2979</v>
      </c>
      <c r="T106" s="917">
        <f t="shared" si="158"/>
        <v>0.732984293193717</v>
      </c>
      <c r="U106" s="850">
        <f t="shared" si="159"/>
        <v>8.88077878482712</v>
      </c>
      <c r="V106" s="917">
        <f t="shared" si="160"/>
        <v>-0.154923440826555</v>
      </c>
      <c r="W106" s="917">
        <f>D106/$D$108</f>
        <v>0.337723947312632</v>
      </c>
      <c r="X106" s="917">
        <f t="shared" si="161"/>
        <v>-0.187150837988827</v>
      </c>
      <c r="Y106" s="917">
        <f t="shared" si="162"/>
        <v>-0.914680149309739</v>
      </c>
      <c r="Z106" s="917">
        <f t="shared" si="163"/>
        <v>0.039647450804445</v>
      </c>
      <c r="AA106" s="917">
        <f t="shared" si="164"/>
        <v>-0.512357635038888</v>
      </c>
      <c r="AB106" s="917">
        <f>B106/B108</f>
        <v>0.110095803820542</v>
      </c>
    </row>
    <row r="107" spans="1:29">
      <c r="A107" s="686" t="s">
        <v>27</v>
      </c>
      <c r="B107" s="685">
        <f>SUM(万相台!B285:B314)</f>
        <v>113711.83</v>
      </c>
      <c r="C107" s="918">
        <f>SUM(万相台!C285:C314)</f>
        <v>27390605</v>
      </c>
      <c r="D107" s="918">
        <f>SUM(万相台!D285:D314)</f>
        <v>140904</v>
      </c>
      <c r="E107" s="918">
        <f>SUM(万相台!E285:E314)</f>
        <v>80</v>
      </c>
      <c r="F107" s="685">
        <f>SUM(万相台!F285:F314)</f>
        <v>1004319</v>
      </c>
      <c r="G107" s="918">
        <f>SUM(万相台!G285:G314)</f>
        <v>1573</v>
      </c>
      <c r="H107" s="918">
        <f>SUM(万相台!H285:H314)</f>
        <v>7186</v>
      </c>
      <c r="I107" s="918">
        <f>SUM(万相台!I285:I314)</f>
        <v>423</v>
      </c>
      <c r="J107" s="872">
        <f t="shared" si="146"/>
        <v>7609</v>
      </c>
      <c r="K107" s="688">
        <f t="shared" si="149"/>
        <v>0.00514424562728717</v>
      </c>
      <c r="L107" s="685">
        <f t="shared" si="150"/>
        <v>0.807016337364447</v>
      </c>
      <c r="M107" s="886">
        <f t="shared" si="151"/>
        <v>4.15149026463636</v>
      </c>
      <c r="N107" s="887">
        <f t="shared" si="152"/>
        <v>8.83214173934233</v>
      </c>
      <c r="O107" s="688">
        <f t="shared" si="153"/>
        <v>0.000567762448191677</v>
      </c>
      <c r="P107" s="915">
        <f t="shared" si="154"/>
        <v>12553.9875</v>
      </c>
      <c r="Q107" s="685">
        <f t="shared" si="155"/>
        <v>1421.397875</v>
      </c>
      <c r="R107" s="902">
        <f t="shared" si="156"/>
        <v>72.2897838525111</v>
      </c>
      <c r="S107" s="558">
        <f t="shared" si="157"/>
        <v>9182</v>
      </c>
      <c r="T107" s="917">
        <f t="shared" si="158"/>
        <v>0.324772760063483</v>
      </c>
      <c r="U107" s="850">
        <f t="shared" si="159"/>
        <v>12.3842115007624</v>
      </c>
      <c r="V107" s="917">
        <f t="shared" si="160"/>
        <v>0.508483174335584</v>
      </c>
      <c r="W107" s="917">
        <f>D107/$D$108</f>
        <v>0.56360923668916</v>
      </c>
      <c r="X107" s="917">
        <f t="shared" si="161"/>
        <v>0.0908460471567268</v>
      </c>
      <c r="Y107" s="917">
        <f t="shared" si="162"/>
        <v>-0.193996539459154</v>
      </c>
      <c r="Z107" s="917">
        <f t="shared" si="163"/>
        <v>0.382856158545398</v>
      </c>
      <c r="AA107" s="917">
        <f t="shared" si="164"/>
        <v>0.138673151962528</v>
      </c>
      <c r="AB107" s="917">
        <f>B107/B108</f>
        <v>0.473211031203502</v>
      </c>
    </row>
    <row r="108" spans="1:29">
      <c r="A108" s="891" t="s">
        <v>22</v>
      </c>
      <c r="B108" s="903">
        <f t="shared" ref="B108:J108" si="165">SUM(B104:B107)</f>
        <v>240298.35</v>
      </c>
      <c r="C108" s="904">
        <f t="shared" si="165"/>
        <v>52132336</v>
      </c>
      <c r="D108" s="904">
        <f t="shared" si="165"/>
        <v>250003</v>
      </c>
      <c r="E108" s="904">
        <f t="shared" si="165"/>
        <v>227</v>
      </c>
      <c r="F108" s="903">
        <f t="shared" si="165"/>
        <v>3093700</v>
      </c>
      <c r="G108" s="904">
        <f t="shared" si="165"/>
        <v>4389</v>
      </c>
      <c r="H108" s="904">
        <f t="shared" si="165"/>
        <v>10107</v>
      </c>
      <c r="I108" s="904">
        <f t="shared" si="165"/>
        <v>919</v>
      </c>
      <c r="J108" s="904">
        <f t="shared" si="165"/>
        <v>11026</v>
      </c>
      <c r="K108" s="896">
        <f t="shared" si="149"/>
        <v>0.00479554570506873</v>
      </c>
      <c r="L108" s="903">
        <f t="shared" si="150"/>
        <v>0.96118186581761</v>
      </c>
      <c r="M108" s="897">
        <f t="shared" si="151"/>
        <v>4.60939156841159</v>
      </c>
      <c r="N108" s="898">
        <f t="shared" si="152"/>
        <v>12.8744121630465</v>
      </c>
      <c r="O108" s="896">
        <f t="shared" si="153"/>
        <v>0.00090798910413075</v>
      </c>
      <c r="P108" s="916">
        <f>F108/E108</f>
        <v>13628.6343612335</v>
      </c>
      <c r="Q108" s="903">
        <f>B108/E108</f>
        <v>1058.58303964758</v>
      </c>
      <c r="R108" s="902">
        <f t="shared" si="156"/>
        <v>54.7501367053999</v>
      </c>
      <c r="S108" s="558">
        <f t="shared" si="157"/>
        <v>15415</v>
      </c>
      <c r="T108" s="917">
        <f t="shared" si="158"/>
        <v>0.209778684664888</v>
      </c>
      <c r="U108" s="850">
        <f t="shared" si="159"/>
        <v>15.5886052546221</v>
      </c>
      <c r="V108" s="917">
        <f t="shared" si="160"/>
        <v>0.301269236294841</v>
      </c>
      <c r="W108" s="917">
        <f>D108/$D$108</f>
        <v>1</v>
      </c>
      <c r="X108" s="917">
        <f t="shared" si="161"/>
        <v>-0.0931818181818182</v>
      </c>
      <c r="Y108" s="917">
        <f t="shared" si="162"/>
        <v>-0.0189975281065199</v>
      </c>
      <c r="Z108" s="917">
        <f t="shared" si="163"/>
        <v>0.434983618971755</v>
      </c>
      <c r="AA108" s="917">
        <f t="shared" si="164"/>
        <v>0.0756258585059271</v>
      </c>
      <c r="AB108" s="917">
        <f>B108/B108</f>
        <v>1</v>
      </c>
      <c r="AC108" s="917">
        <f>B108/F108</f>
        <v>0.077673449267867</v>
      </c>
    </row>
    <row r="109" s="951" customFormat="1" spans="1:29">
      <c r="A109" s="951" t="s">
        <v>50</v>
      </c>
      <c r="B109" s="1084">
        <f>(B108-B100)/B100</f>
        <v>0.301269236294841</v>
      </c>
      <c r="C109" s="1084">
        <f t="shared" ref="C109:R109" si="166">(C108-C100)/C100</f>
        <v>-0.146655097620132</v>
      </c>
      <c r="D109" s="1084">
        <f t="shared" si="166"/>
        <v>-0.243874702468266</v>
      </c>
      <c r="E109" s="1084">
        <f t="shared" si="166"/>
        <v>-0.140151515151515</v>
      </c>
      <c r="F109" s="1084">
        <f t="shared" si="166"/>
        <v>-0.0189975281065199</v>
      </c>
      <c r="G109" s="1084">
        <f t="shared" si="166"/>
        <v>-0.0931818181818182</v>
      </c>
      <c r="H109" s="1084">
        <f t="shared" si="166"/>
        <v>0.48676081200353</v>
      </c>
      <c r="I109" s="1084">
        <f t="shared" si="166"/>
        <v>-0.167572463768116</v>
      </c>
      <c r="J109" s="1084">
        <f t="shared" si="166"/>
        <v>0.395342951151607</v>
      </c>
      <c r="K109" s="1084">
        <f t="shared" si="166"/>
        <v>-0.113927679859575</v>
      </c>
      <c r="L109" s="1084">
        <f t="shared" si="166"/>
        <v>0.720970374278778</v>
      </c>
      <c r="M109" s="1084">
        <f t="shared" si="166"/>
        <v>0.524904212430133</v>
      </c>
      <c r="N109" s="1084">
        <f t="shared" si="166"/>
        <v>-0.246118755034331</v>
      </c>
      <c r="O109" s="1084">
        <f t="shared" si="166"/>
        <v>0.13717724781242</v>
      </c>
      <c r="P109" s="1084">
        <f t="shared" si="166"/>
        <v>0.140901553215325</v>
      </c>
      <c r="Q109" s="1084">
        <f t="shared" si="166"/>
        <v>0.513370389347304</v>
      </c>
      <c r="R109" s="1084">
        <f t="shared" si="166"/>
        <v>0.434983618971755</v>
      </c>
      <c r="S109" s="956"/>
      <c r="T109" s="1085"/>
      <c r="U109" s="1085"/>
    </row>
    <row r="111" ht="41.4" spans="1:29">
      <c r="A111" s="868" t="s">
        <v>51</v>
      </c>
      <c r="B111" s="869" t="s">
        <v>1</v>
      </c>
      <c r="C111" s="870" t="s">
        <v>2</v>
      </c>
      <c r="D111" s="870" t="s">
        <v>3</v>
      </c>
      <c r="E111" s="871" t="s">
        <v>4</v>
      </c>
      <c r="F111" s="869" t="s">
        <v>5</v>
      </c>
      <c r="G111" s="871" t="s">
        <v>6</v>
      </c>
      <c r="H111" s="871" t="s">
        <v>7</v>
      </c>
      <c r="I111" s="871" t="s">
        <v>8</v>
      </c>
      <c r="J111" s="871" t="s">
        <v>34</v>
      </c>
      <c r="K111" s="879" t="s">
        <v>9</v>
      </c>
      <c r="L111" s="869" t="s">
        <v>10</v>
      </c>
      <c r="M111" s="880" t="s">
        <v>11</v>
      </c>
      <c r="N111" s="881" t="s">
        <v>12</v>
      </c>
      <c r="O111" s="879" t="s">
        <v>13</v>
      </c>
      <c r="P111" s="875" t="s">
        <v>14</v>
      </c>
      <c r="Q111" s="869" t="s">
        <v>15</v>
      </c>
      <c r="R111" s="912" t="s">
        <v>16</v>
      </c>
      <c r="S111" s="882" t="s">
        <v>35</v>
      </c>
      <c r="T111" s="882" t="s">
        <v>37</v>
      </c>
      <c r="U111" s="882" t="s">
        <v>36</v>
      </c>
      <c r="V111" s="882" t="s">
        <v>38</v>
      </c>
      <c r="W111" s="882" t="s">
        <v>39</v>
      </c>
      <c r="X111" s="882" t="s">
        <v>40</v>
      </c>
      <c r="Y111" s="882" t="s">
        <v>41</v>
      </c>
      <c r="Z111" s="882" t="s">
        <v>42</v>
      </c>
      <c r="AA111" s="882" t="s">
        <v>43</v>
      </c>
      <c r="AB111" s="37" t="s">
        <v>44</v>
      </c>
      <c r="AC111" s="37" t="s">
        <v>49</v>
      </c>
    </row>
    <row r="112" spans="1:29">
      <c r="A112" s="686" t="s">
        <v>19</v>
      </c>
      <c r="B112" s="685">
        <f>SUM(明星店铺!B827:B857)</f>
        <v>13729.34</v>
      </c>
      <c r="C112" s="918">
        <f>SUM(明星店铺!C827:C857)</f>
        <v>11854</v>
      </c>
      <c r="D112" s="918">
        <f>SUM(明星店铺!D827:D857)</f>
        <v>4950</v>
      </c>
      <c r="E112" s="918">
        <f>SUM(明星店铺!E827:E857)</f>
        <v>49</v>
      </c>
      <c r="F112" s="918">
        <f>SUM(明星店铺!F827:F857)</f>
        <v>697698.8</v>
      </c>
      <c r="G112" s="918">
        <f>SUM(明星店铺!G827:G857)</f>
        <v>929</v>
      </c>
      <c r="H112" s="918">
        <f>SUM(明星店铺!H827:H857)</f>
        <v>103</v>
      </c>
      <c r="I112" s="918">
        <f>SUM(明星店铺!I827:I857)</f>
        <v>246</v>
      </c>
      <c r="J112" s="872">
        <f t="shared" ref="J112:J115" si="167">H112+I112</f>
        <v>349</v>
      </c>
      <c r="K112" s="688">
        <f t="shared" ref="K112:K116" si="168">D112/C112</f>
        <v>0.417580563522861</v>
      </c>
      <c r="L112" s="685">
        <f t="shared" ref="L112:L116" si="169">B112/D112</f>
        <v>2.77360404040404</v>
      </c>
      <c r="M112" s="886">
        <f t="shared" ref="M112:M116" si="170">(B112/C112)*1000</f>
        <v>1158.2031381812</v>
      </c>
      <c r="N112" s="887">
        <f t="shared" ref="N112:N116" si="171">F112/B112</f>
        <v>50.8180873953155</v>
      </c>
      <c r="O112" s="688">
        <f t="shared" ref="O112:O116" si="172">E112/D112</f>
        <v>0.0098989898989899</v>
      </c>
      <c r="P112" s="915">
        <f t="shared" ref="P112:P115" si="173">IF(E112=0,"0",F112/E112)</f>
        <v>14238.7510204082</v>
      </c>
      <c r="Q112" s="685">
        <f t="shared" ref="Q112:Q115" si="174">IF(E112=0,"0",B112/E112)</f>
        <v>280.190612244898</v>
      </c>
      <c r="R112" s="902">
        <f t="shared" ref="R112:R116" si="175">B112/G112</f>
        <v>14.7786221743811</v>
      </c>
      <c r="S112" s="558">
        <f t="shared" ref="S112:S116" si="176">G112+J112</f>
        <v>1278</v>
      </c>
      <c r="T112" s="917">
        <f t="shared" ref="T112:T116" si="177">(S112-S104)/S104</f>
        <v>-0.19774011299435</v>
      </c>
      <c r="U112" s="850">
        <f t="shared" ref="U112:U116" si="178">B112/S112</f>
        <v>10.7428325508607</v>
      </c>
      <c r="V112" s="917">
        <f t="shared" ref="V112:V116" si="179">(B112-B104)/B104</f>
        <v>0.219816530063748</v>
      </c>
      <c r="W112" s="917">
        <f>D112/$D$116</f>
        <v>0.0240973239800017</v>
      </c>
      <c r="X112" s="917">
        <f t="shared" ref="X112:X116" si="180">(G112-G104)/G104</f>
        <v>-0.226477935054122</v>
      </c>
      <c r="Y112" s="917">
        <f t="shared" ref="Y112:Y116" si="181">(F112-F104)/F104</f>
        <v>-0.50624515674284</v>
      </c>
      <c r="Z112" s="917">
        <f t="shared" ref="Z112:Z116" si="182">(R112-R104)/R104</f>
        <v>0.576964103989839</v>
      </c>
      <c r="AA112" s="917">
        <f t="shared" ref="AA112:AA116" si="183">(U112-U104)/U104</f>
        <v>0.520475533952699</v>
      </c>
      <c r="AB112" s="917">
        <f>B112/B116</f>
        <v>0.0785749200949652</v>
      </c>
    </row>
    <row r="113" spans="1:29">
      <c r="A113" s="686" t="s">
        <v>20</v>
      </c>
      <c r="B113" s="685">
        <f>SUM(直通车!B827:B857)</f>
        <v>70267.13</v>
      </c>
      <c r="C113" s="918">
        <f>SUM(直通车!C827:C857)</f>
        <v>290559</v>
      </c>
      <c r="D113" s="918">
        <f>SUM(直通车!D827:D857)</f>
        <v>18649</v>
      </c>
      <c r="E113" s="918">
        <f>SUM(直通车!E827:E857)</f>
        <v>40</v>
      </c>
      <c r="F113" s="918">
        <f>SUM(直通车!F827:F857)</f>
        <v>552984</v>
      </c>
      <c r="G113" s="918">
        <f>SUM(直通车!G827:G857)</f>
        <v>1017</v>
      </c>
      <c r="H113" s="918">
        <f>SUM(直通车!H827:H857)</f>
        <v>122</v>
      </c>
      <c r="I113" s="918">
        <f>SUM(直通车!I827:I857)</f>
        <v>140</v>
      </c>
      <c r="J113" s="872">
        <f t="shared" si="167"/>
        <v>262</v>
      </c>
      <c r="K113" s="688">
        <f t="shared" si="168"/>
        <v>0.064183177943206</v>
      </c>
      <c r="L113" s="685">
        <f t="shared" si="169"/>
        <v>3.76787656174594</v>
      </c>
      <c r="M113" s="886">
        <f t="shared" si="170"/>
        <v>241.834291830575</v>
      </c>
      <c r="N113" s="887">
        <f t="shared" si="171"/>
        <v>7.86973937885324</v>
      </c>
      <c r="O113" s="688">
        <f t="shared" si="172"/>
        <v>0.00214488712531503</v>
      </c>
      <c r="P113" s="915">
        <f t="shared" si="173"/>
        <v>13824.6</v>
      </c>
      <c r="Q113" s="685">
        <f t="shared" si="174"/>
        <v>1756.67825</v>
      </c>
      <c r="R113" s="902">
        <f t="shared" si="175"/>
        <v>69.0925565388397</v>
      </c>
      <c r="S113" s="558">
        <f t="shared" si="176"/>
        <v>1279</v>
      </c>
      <c r="T113" s="917">
        <f t="shared" si="177"/>
        <v>-0.22998193859121</v>
      </c>
      <c r="U113" s="850">
        <f t="shared" si="178"/>
        <v>54.9391164972635</v>
      </c>
      <c r="V113" s="917">
        <f t="shared" si="179"/>
        <v>-0.209375077003847</v>
      </c>
      <c r="W113" s="917">
        <f>D113/$D$116</f>
        <v>0.0907860595763739</v>
      </c>
      <c r="X113" s="917">
        <f t="shared" si="180"/>
        <v>-0.231873111782477</v>
      </c>
      <c r="Y113" s="917">
        <f t="shared" si="181"/>
        <v>-0.166406883598091</v>
      </c>
      <c r="Z113" s="917">
        <f t="shared" si="182"/>
        <v>0.0292894769389447</v>
      </c>
      <c r="AA113" s="917">
        <f t="shared" si="183"/>
        <v>0.0267615301771778</v>
      </c>
      <c r="AB113" s="917">
        <f>B113/B116</f>
        <v>0.402148546474378</v>
      </c>
    </row>
    <row r="114" spans="1:29">
      <c r="A114" s="686" t="s">
        <v>21</v>
      </c>
      <c r="B114" s="685">
        <f>SUM(引力魔方!B726:B756)</f>
        <v>14555.63</v>
      </c>
      <c r="C114" s="918">
        <f>SUM(引力魔方!C726:C756)</f>
        <v>15439831</v>
      </c>
      <c r="D114" s="918">
        <f>SUM(引力魔方!D726:D756)</f>
        <v>59881</v>
      </c>
      <c r="E114" s="918">
        <f>SUM(引力魔方!E726:E756)</f>
        <v>1</v>
      </c>
      <c r="F114" s="918">
        <f>SUM(引力魔方!F726:F756)</f>
        <v>10442</v>
      </c>
      <c r="G114" s="918">
        <f>SUM(引力魔方!G726:G756)</f>
        <v>417</v>
      </c>
      <c r="H114" s="918">
        <f>SUM(引力魔方!H726:H756)</f>
        <v>1697</v>
      </c>
      <c r="I114" s="918">
        <f>SUM(引力魔方!I726:I756)</f>
        <v>53</v>
      </c>
      <c r="J114" s="872">
        <f t="shared" si="167"/>
        <v>1750</v>
      </c>
      <c r="K114" s="688">
        <f t="shared" si="168"/>
        <v>0.00387834555961137</v>
      </c>
      <c r="L114" s="685">
        <f t="shared" si="169"/>
        <v>0.243075933935639</v>
      </c>
      <c r="M114" s="886">
        <f t="shared" si="170"/>
        <v>0.942732469027673</v>
      </c>
      <c r="N114" s="887">
        <f t="shared" si="171"/>
        <v>0.717385643905485</v>
      </c>
      <c r="O114" s="688">
        <f t="shared" si="172"/>
        <v>1.66997879126935e-5</v>
      </c>
      <c r="P114" s="915">
        <f t="shared" si="173"/>
        <v>10442</v>
      </c>
      <c r="Q114" s="685">
        <f t="shared" si="174"/>
        <v>14555.63</v>
      </c>
      <c r="R114" s="902">
        <f t="shared" si="175"/>
        <v>34.905587529976</v>
      </c>
      <c r="S114" s="558">
        <f t="shared" si="176"/>
        <v>2167</v>
      </c>
      <c r="T114" s="917">
        <f t="shared" si="177"/>
        <v>-0.272574689493118</v>
      </c>
      <c r="U114" s="850">
        <f t="shared" si="178"/>
        <v>6.71694970004615</v>
      </c>
      <c r="V114" s="917">
        <f t="shared" si="179"/>
        <v>-0.449814105316633</v>
      </c>
      <c r="W114" s="917">
        <f>D114/$D$116</f>
        <v>0.2915094661104</v>
      </c>
      <c r="X114" s="917">
        <f t="shared" si="180"/>
        <v>0.43298969072165</v>
      </c>
      <c r="Y114" s="917">
        <f t="shared" si="181"/>
        <v>-0.19429012345679</v>
      </c>
      <c r="Z114" s="917">
        <f t="shared" si="182"/>
        <v>-0.616057325292902</v>
      </c>
      <c r="AA114" s="917">
        <f t="shared" si="183"/>
        <v>-0.243653077867213</v>
      </c>
      <c r="AB114" s="917">
        <f>B114/B116</f>
        <v>0.0833038925528742</v>
      </c>
    </row>
    <row r="115" spans="1:29">
      <c r="A115" s="686" t="s">
        <v>27</v>
      </c>
      <c r="B115" s="685">
        <f>SUM(万相台!B315:B345)</f>
        <v>76177.19</v>
      </c>
      <c r="C115" s="918">
        <f>SUM(万相台!C315:C345)</f>
        <v>21177312</v>
      </c>
      <c r="D115" s="918">
        <f>SUM(万相台!D315:D345)</f>
        <v>121937</v>
      </c>
      <c r="E115" s="918">
        <f>SUM(万相台!E315:E345)</f>
        <v>61</v>
      </c>
      <c r="F115" s="918">
        <f>SUM(万相台!F315:F345)</f>
        <v>748047</v>
      </c>
      <c r="G115" s="918">
        <f>SUM(万相台!G315:G345)</f>
        <v>1707</v>
      </c>
      <c r="H115" s="918">
        <f>SUM(万相台!H315:H345)</f>
        <v>8264</v>
      </c>
      <c r="I115" s="918">
        <f>SUM(万相台!I315:I345)</f>
        <v>446</v>
      </c>
      <c r="J115" s="872">
        <f t="shared" si="167"/>
        <v>8710</v>
      </c>
      <c r="K115" s="688">
        <f t="shared" si="168"/>
        <v>0.00575790733025986</v>
      </c>
      <c r="L115" s="685">
        <f t="shared" si="169"/>
        <v>0.6247258010284</v>
      </c>
      <c r="M115" s="886">
        <f t="shared" si="170"/>
        <v>3.59711326914388</v>
      </c>
      <c r="N115" s="887">
        <f t="shared" si="171"/>
        <v>9.81982926910273</v>
      </c>
      <c r="O115" s="688">
        <f t="shared" si="172"/>
        <v>0.000500258330121292</v>
      </c>
      <c r="P115" s="915">
        <f t="shared" si="173"/>
        <v>12263.0655737705</v>
      </c>
      <c r="Q115" s="685">
        <f t="shared" si="174"/>
        <v>1248.80639344262</v>
      </c>
      <c r="R115" s="902">
        <f t="shared" si="175"/>
        <v>44.6263561804335</v>
      </c>
      <c r="S115" s="558">
        <f t="shared" si="176"/>
        <v>10417</v>
      </c>
      <c r="T115" s="917">
        <f t="shared" si="177"/>
        <v>0.134502287083424</v>
      </c>
      <c r="U115" s="850">
        <f t="shared" si="178"/>
        <v>7.3127762311606</v>
      </c>
      <c r="V115" s="917">
        <f t="shared" si="179"/>
        <v>-0.330085620818872</v>
      </c>
      <c r="W115" s="917">
        <f>D115/$D$116</f>
        <v>0.593607150333225</v>
      </c>
      <c r="X115" s="917">
        <f t="shared" si="180"/>
        <v>0.0851875397329943</v>
      </c>
      <c r="Y115" s="917">
        <f t="shared" si="181"/>
        <v>-0.255169921110723</v>
      </c>
      <c r="Z115" s="917">
        <f t="shared" si="182"/>
        <v>-0.382674095810243</v>
      </c>
      <c r="AA115" s="917">
        <f t="shared" si="183"/>
        <v>-0.409508128094353</v>
      </c>
      <c r="AB115" s="917">
        <f>B115/B116</f>
        <v>0.435972640877783</v>
      </c>
    </row>
    <row r="116" spans="1:29">
      <c r="A116" s="891" t="s">
        <v>22</v>
      </c>
      <c r="B116" s="903">
        <f t="shared" ref="B116:J116" si="184">SUM(B112:B115)</f>
        <v>174729.29</v>
      </c>
      <c r="C116" s="904">
        <f t="shared" si="184"/>
        <v>36919556</v>
      </c>
      <c r="D116" s="904">
        <f t="shared" si="184"/>
        <v>205417</v>
      </c>
      <c r="E116" s="904">
        <f t="shared" si="184"/>
        <v>151</v>
      </c>
      <c r="F116" s="903">
        <f t="shared" si="184"/>
        <v>2009171.8</v>
      </c>
      <c r="G116" s="904">
        <f t="shared" si="184"/>
        <v>4070</v>
      </c>
      <c r="H116" s="904">
        <f t="shared" si="184"/>
        <v>10186</v>
      </c>
      <c r="I116" s="904">
        <f t="shared" si="184"/>
        <v>885</v>
      </c>
      <c r="J116" s="904">
        <f t="shared" si="184"/>
        <v>11071</v>
      </c>
      <c r="K116" s="896">
        <f t="shared" si="168"/>
        <v>0.0055639076482935</v>
      </c>
      <c r="L116" s="903">
        <f t="shared" si="169"/>
        <v>0.850607739378922</v>
      </c>
      <c r="M116" s="897">
        <f t="shared" si="170"/>
        <v>4.73270290682802</v>
      </c>
      <c r="N116" s="898">
        <f t="shared" si="171"/>
        <v>11.4987693248224</v>
      </c>
      <c r="O116" s="896">
        <f t="shared" si="172"/>
        <v>0.000735090085046515</v>
      </c>
      <c r="P116" s="916">
        <f>F116/E116</f>
        <v>13305.7735099338</v>
      </c>
      <c r="Q116" s="903">
        <f>B116/E116</f>
        <v>1157.14761589404</v>
      </c>
      <c r="R116" s="902">
        <f t="shared" si="175"/>
        <v>42.9310294840295</v>
      </c>
      <c r="S116" s="558">
        <f t="shared" si="176"/>
        <v>15141</v>
      </c>
      <c r="T116" s="917">
        <f t="shared" si="177"/>
        <v>-0.0177748945831982</v>
      </c>
      <c r="U116" s="850">
        <f t="shared" si="178"/>
        <v>11.540141998547</v>
      </c>
      <c r="V116" s="917">
        <f t="shared" si="179"/>
        <v>-0.272865211101117</v>
      </c>
      <c r="W116" s="917">
        <f>D116/$D$116</f>
        <v>1</v>
      </c>
      <c r="X116" s="917">
        <f t="shared" si="180"/>
        <v>-0.0726817042606516</v>
      </c>
      <c r="Y116" s="917">
        <f t="shared" si="181"/>
        <v>-0.350560235316934</v>
      </c>
      <c r="Z116" s="917">
        <f t="shared" si="182"/>
        <v>-0.215873565484718</v>
      </c>
      <c r="AA116" s="917">
        <f t="shared" si="183"/>
        <v>-0.259706573484163</v>
      </c>
      <c r="AB116" s="917">
        <f>B116/B116</f>
        <v>1</v>
      </c>
      <c r="AC116" s="917">
        <f>B116/F116</f>
        <v>0.086965828407506</v>
      </c>
    </row>
    <row r="117" spans="1:29">
      <c r="A117" s="37" t="s">
        <v>52</v>
      </c>
      <c r="B117" s="917">
        <f t="shared" ref="B117:R117" si="185">(B116-B108)/B108</f>
        <v>-0.272865211101117</v>
      </c>
      <c r="C117" s="917">
        <f t="shared" si="185"/>
        <v>-0.291810825434717</v>
      </c>
      <c r="D117" s="917">
        <f t="shared" si="185"/>
        <v>-0.178341859897681</v>
      </c>
      <c r="E117" s="917">
        <f t="shared" si="185"/>
        <v>-0.334801762114537</v>
      </c>
      <c r="F117" s="917">
        <f t="shared" si="185"/>
        <v>-0.350560235316934</v>
      </c>
      <c r="G117" s="917">
        <f t="shared" si="185"/>
        <v>-0.0726817042606516</v>
      </c>
      <c r="H117" s="917">
        <f t="shared" si="185"/>
        <v>0.0078163648956169</v>
      </c>
      <c r="I117" s="917">
        <f t="shared" si="185"/>
        <v>-0.0369967355821545</v>
      </c>
      <c r="J117" s="917">
        <f t="shared" si="185"/>
        <v>0.00408126247052422</v>
      </c>
      <c r="K117" s="917">
        <f t="shared" si="185"/>
        <v>0.160224089286154</v>
      </c>
      <c r="L117" s="917">
        <f t="shared" si="185"/>
        <v>-0.115039755088004</v>
      </c>
      <c r="M117" s="917">
        <f t="shared" si="185"/>
        <v>0.0267521942074726</v>
      </c>
      <c r="N117" s="917">
        <f t="shared" si="185"/>
        <v>-0.106850924205501</v>
      </c>
      <c r="O117" s="917">
        <f t="shared" si="185"/>
        <v>-0.190419706908</v>
      </c>
      <c r="P117" s="917">
        <f t="shared" si="185"/>
        <v>-0.0236898901784378</v>
      </c>
      <c r="Q117" s="917">
        <f t="shared" si="185"/>
        <v>0.0931099144373942</v>
      </c>
      <c r="R117" s="917">
        <f t="shared" si="185"/>
        <v>-0.215873565484718</v>
      </c>
    </row>
    <row r="119" ht="41.4" spans="1:29">
      <c r="A119" s="868" t="s">
        <v>26</v>
      </c>
      <c r="B119" s="869" t="s">
        <v>1</v>
      </c>
      <c r="C119" s="870" t="s">
        <v>2</v>
      </c>
      <c r="D119" s="870" t="s">
        <v>3</v>
      </c>
      <c r="E119" s="871" t="s">
        <v>4</v>
      </c>
      <c r="F119" s="869" t="s">
        <v>5</v>
      </c>
      <c r="G119" s="871" t="s">
        <v>6</v>
      </c>
      <c r="H119" s="871" t="s">
        <v>7</v>
      </c>
      <c r="I119" s="871" t="s">
        <v>8</v>
      </c>
      <c r="J119" s="871" t="s">
        <v>34</v>
      </c>
      <c r="K119" s="879" t="s">
        <v>9</v>
      </c>
      <c r="L119" s="869" t="s">
        <v>10</v>
      </c>
      <c r="M119" s="880" t="s">
        <v>11</v>
      </c>
      <c r="N119" s="881" t="s">
        <v>12</v>
      </c>
      <c r="O119" s="879" t="s">
        <v>13</v>
      </c>
      <c r="P119" s="875" t="s">
        <v>14</v>
      </c>
      <c r="Q119" s="869" t="s">
        <v>15</v>
      </c>
      <c r="R119" s="912" t="s">
        <v>16</v>
      </c>
      <c r="S119" s="882" t="s">
        <v>35</v>
      </c>
      <c r="T119" s="882" t="s">
        <v>37</v>
      </c>
      <c r="U119" s="882" t="s">
        <v>36</v>
      </c>
      <c r="V119" s="882" t="s">
        <v>38</v>
      </c>
      <c r="W119" s="882" t="s">
        <v>39</v>
      </c>
      <c r="X119" s="882" t="s">
        <v>40</v>
      </c>
      <c r="Y119" s="882" t="s">
        <v>41</v>
      </c>
      <c r="Z119" s="882" t="s">
        <v>42</v>
      </c>
      <c r="AA119" s="882" t="s">
        <v>43</v>
      </c>
      <c r="AB119" s="37" t="s">
        <v>44</v>
      </c>
      <c r="AC119" s="37" t="s">
        <v>49</v>
      </c>
    </row>
    <row r="120" spans="1:29">
      <c r="A120" s="686" t="s">
        <v>19</v>
      </c>
      <c r="B120" s="685">
        <f>SUM(明星店铺!B858:B888)</f>
        <v>12102.66</v>
      </c>
      <c r="C120" s="918">
        <f>SUM(明星店铺!C858:C888)</f>
        <v>10168</v>
      </c>
      <c r="D120" s="918">
        <f>SUM(明星店铺!D858:D888)</f>
        <v>3824</v>
      </c>
      <c r="E120" s="918">
        <f>SUM(明星店铺!E858:E888)</f>
        <v>33</v>
      </c>
      <c r="F120" s="918">
        <f>SUM(明星店铺!F858:F888)</f>
        <v>419005.38</v>
      </c>
      <c r="G120" s="918">
        <f>SUM(明星店铺!G858:G888)</f>
        <v>693</v>
      </c>
      <c r="H120" s="918">
        <f>SUM(明星店铺!H858:H888)</f>
        <v>66</v>
      </c>
      <c r="I120" s="918">
        <f>SUM(明星店铺!I858:I888)</f>
        <v>197</v>
      </c>
      <c r="J120" s="872">
        <f t="shared" ref="J120:J123" si="186">H120+I120</f>
        <v>263</v>
      </c>
      <c r="K120" s="688">
        <f t="shared" ref="K120:K124" si="187">D120/C120</f>
        <v>0.376081825334382</v>
      </c>
      <c r="L120" s="685">
        <f t="shared" ref="L120:L124" si="188">B120/D120</f>
        <v>3.16492154811715</v>
      </c>
      <c r="M120" s="886">
        <f t="shared" ref="M120:M124" si="189">(B120/C120)*1000</f>
        <v>1190.26947285602</v>
      </c>
      <c r="N120" s="887">
        <f t="shared" ref="N120:N124" si="190">F120/B120</f>
        <v>34.620932918879</v>
      </c>
      <c r="O120" s="688">
        <f t="shared" ref="O120:O124" si="191">E120/D120</f>
        <v>0.00862970711297071</v>
      </c>
      <c r="P120" s="915">
        <f t="shared" ref="P120:P123" si="192">IF(E120=0,"0",F120/E120)</f>
        <v>12697.1327272727</v>
      </c>
      <c r="Q120" s="685">
        <f t="shared" ref="Q120:Q123" si="193">IF(E120=0,"0",B120/E120)</f>
        <v>366.747272727273</v>
      </c>
      <c r="R120" s="902">
        <f t="shared" ref="R120:R124" si="194">B120/G120</f>
        <v>17.4641558441558</v>
      </c>
      <c r="S120" s="558">
        <f t="shared" ref="S120:S124" si="195">G120+J120</f>
        <v>956</v>
      </c>
      <c r="T120" s="917">
        <f t="shared" ref="T120:T124" si="196">(S120-S112)/S112</f>
        <v>-0.251956181533646</v>
      </c>
      <c r="U120" s="850">
        <f t="shared" ref="U120:U124" si="197">B120/S120</f>
        <v>12.6596861924686</v>
      </c>
      <c r="V120" s="917">
        <f t="shared" ref="V120:V124" si="198">(B120-B112)/B112</f>
        <v>-0.118482024627549</v>
      </c>
      <c r="W120" s="917">
        <f>D120/$D$124</f>
        <v>0.0220375514344002</v>
      </c>
      <c r="X120" s="917">
        <f t="shared" ref="X120:X124" si="199">(G120-G112)/G112</f>
        <v>-0.254036598493003</v>
      </c>
      <c r="Y120" s="917">
        <f t="shared" ref="Y120:Y124" si="200">(F120-F112)/F112</f>
        <v>-0.399446609339159</v>
      </c>
      <c r="Z120" s="917">
        <f t="shared" ref="Z120:Z124" si="201">(R120-R112)/R112</f>
        <v>0.181717459049072</v>
      </c>
      <c r="AA120" s="917">
        <f t="shared" ref="AA120:AA124" si="202">(U120-U112)/U112</f>
        <v>0.178430933604594</v>
      </c>
      <c r="AB120" s="917">
        <f>B120/B124</f>
        <v>0.079014760173379</v>
      </c>
    </row>
    <row r="121" spans="1:29">
      <c r="A121" s="686" t="s">
        <v>20</v>
      </c>
      <c r="B121" s="685">
        <f>SUM(直通车!B858:B888)</f>
        <v>55551.38</v>
      </c>
      <c r="C121" s="918">
        <f>SUM(直通车!C858:C888)</f>
        <v>197627</v>
      </c>
      <c r="D121" s="918">
        <f>SUM(直通车!D858:D888)</f>
        <v>17351</v>
      </c>
      <c r="E121" s="918">
        <f>SUM(直通车!E858:E888)</f>
        <v>29</v>
      </c>
      <c r="F121" s="918">
        <f>SUM(直通车!F858:F888)</f>
        <v>394437.86</v>
      </c>
      <c r="G121" s="918">
        <f>SUM(直通车!G858:G888)</f>
        <v>1012</v>
      </c>
      <c r="H121" s="918">
        <f>SUM(直通车!H858:H888)</f>
        <v>118</v>
      </c>
      <c r="I121" s="918">
        <f>SUM(直通车!I858:I888)</f>
        <v>114</v>
      </c>
      <c r="J121" s="872">
        <f t="shared" si="186"/>
        <v>232</v>
      </c>
      <c r="K121" s="688">
        <f t="shared" si="187"/>
        <v>0.0877967079397046</v>
      </c>
      <c r="L121" s="685">
        <f t="shared" si="188"/>
        <v>3.20162411388393</v>
      </c>
      <c r="M121" s="886">
        <f t="shared" si="189"/>
        <v>281.092057259383</v>
      </c>
      <c r="N121" s="887">
        <f t="shared" si="190"/>
        <v>7.10041514720246</v>
      </c>
      <c r="O121" s="688">
        <f t="shared" si="191"/>
        <v>0.00167137340787274</v>
      </c>
      <c r="P121" s="915">
        <f t="shared" si="192"/>
        <v>13601.3055172414</v>
      </c>
      <c r="Q121" s="685">
        <f t="shared" si="193"/>
        <v>1915.56482758621</v>
      </c>
      <c r="R121" s="902">
        <f t="shared" si="194"/>
        <v>54.8926679841897</v>
      </c>
      <c r="S121" s="558">
        <f t="shared" si="195"/>
        <v>1244</v>
      </c>
      <c r="T121" s="917">
        <f t="shared" si="196"/>
        <v>-0.0273651290070367</v>
      </c>
      <c r="U121" s="850">
        <f t="shared" si="197"/>
        <v>44.6554501607717</v>
      </c>
      <c r="V121" s="917">
        <f t="shared" si="198"/>
        <v>-0.209425801224555</v>
      </c>
      <c r="W121" s="917">
        <f>D121/$D$124</f>
        <v>0.0999930844503867</v>
      </c>
      <c r="X121" s="917">
        <f t="shared" si="199"/>
        <v>-0.00491642084562439</v>
      </c>
      <c r="Y121" s="917">
        <f t="shared" si="200"/>
        <v>-0.28671017606296</v>
      </c>
      <c r="Z121" s="917">
        <f t="shared" si="201"/>
        <v>-0.205519802218748</v>
      </c>
      <c r="AA121" s="917">
        <f t="shared" si="202"/>
        <v>-0.18718295801142</v>
      </c>
      <c r="AB121" s="917">
        <f>B121/B124</f>
        <v>0.362678862993775</v>
      </c>
    </row>
    <row r="122" spans="1:29">
      <c r="A122" s="686" t="s">
        <v>21</v>
      </c>
      <c r="B122" s="685">
        <f>SUM(引力魔方!B757:B787)</f>
        <v>14483.02</v>
      </c>
      <c r="C122" s="918">
        <f>SUM(引力魔方!C757:C787)</f>
        <v>18021162</v>
      </c>
      <c r="D122" s="918">
        <f>SUM(引力魔方!D757:D787)</f>
        <v>68521</v>
      </c>
      <c r="E122" s="918">
        <f>SUM(引力魔方!E757:E787)</f>
        <v>1</v>
      </c>
      <c r="F122" s="918">
        <f>SUM(引力魔方!F757:F787)</f>
        <v>14487</v>
      </c>
      <c r="G122" s="918">
        <f>SUM(引力魔方!G757:G787)</f>
        <v>499</v>
      </c>
      <c r="H122" s="918">
        <f>SUM(引力魔方!H757:H787)</f>
        <v>1488</v>
      </c>
      <c r="I122" s="918">
        <f>SUM(引力魔方!I757:I787)</f>
        <v>42</v>
      </c>
      <c r="J122" s="872">
        <f t="shared" si="186"/>
        <v>1530</v>
      </c>
      <c r="K122" s="688">
        <f t="shared" si="187"/>
        <v>0.00380225204123907</v>
      </c>
      <c r="L122" s="685">
        <f t="shared" si="188"/>
        <v>0.211366150523197</v>
      </c>
      <c r="M122" s="886">
        <f t="shared" si="189"/>
        <v>0.803667377275672</v>
      </c>
      <c r="N122" s="887">
        <f t="shared" si="190"/>
        <v>1.00027480456424</v>
      </c>
      <c r="O122" s="688">
        <f t="shared" si="191"/>
        <v>1.4594066052743e-5</v>
      </c>
      <c r="P122" s="915">
        <f t="shared" si="192"/>
        <v>14487</v>
      </c>
      <c r="Q122" s="685">
        <f t="shared" si="193"/>
        <v>14483.02</v>
      </c>
      <c r="R122" s="902">
        <f t="shared" si="194"/>
        <v>29.0240881763527</v>
      </c>
      <c r="S122" s="558">
        <f t="shared" si="195"/>
        <v>2029</v>
      </c>
      <c r="T122" s="917">
        <f t="shared" si="196"/>
        <v>-0.063682510383018</v>
      </c>
      <c r="U122" s="850">
        <f t="shared" si="197"/>
        <v>7.1380088713652</v>
      </c>
      <c r="V122" s="917">
        <f t="shared" si="198"/>
        <v>-0.00498844776900776</v>
      </c>
      <c r="W122" s="917">
        <f>D122/$D$124</f>
        <v>0.394883645877756</v>
      </c>
      <c r="X122" s="917">
        <f t="shared" si="199"/>
        <v>0.196642685851319</v>
      </c>
      <c r="Y122" s="917">
        <f t="shared" si="200"/>
        <v>0.387377896954606</v>
      </c>
      <c r="Z122" s="917">
        <f t="shared" si="201"/>
        <v>-0.168497360159672</v>
      </c>
      <c r="AA122" s="917">
        <f t="shared" si="202"/>
        <v>0.0626860688440416</v>
      </c>
      <c r="AB122" s="917">
        <f>B122/B124</f>
        <v>0.094555440860625</v>
      </c>
    </row>
    <row r="123" spans="1:29">
      <c r="A123" s="686" t="s">
        <v>27</v>
      </c>
      <c r="B123" s="685">
        <f>SUM(万相台!B346:B376)</f>
        <v>71032.55</v>
      </c>
      <c r="C123" s="918">
        <f>SUM(万相台!C346:C376)</f>
        <v>8804839</v>
      </c>
      <c r="D123" s="918">
        <f>SUM(万相台!D346:D376)</f>
        <v>83826</v>
      </c>
      <c r="E123" s="918">
        <f>SUM(万相台!E346:E376)</f>
        <v>43</v>
      </c>
      <c r="F123" s="918">
        <f>SUM(万相台!F346:F376)</f>
        <v>462492.58</v>
      </c>
      <c r="G123" s="918">
        <f>SUM(万相台!G346:G376)</f>
        <v>1600</v>
      </c>
      <c r="H123" s="918">
        <f>SUM(万相台!H346:H376)</f>
        <v>6175</v>
      </c>
      <c r="I123" s="918">
        <f>SUM(万相台!I346:I376)</f>
        <v>389</v>
      </c>
      <c r="J123" s="872">
        <f t="shared" si="186"/>
        <v>6564</v>
      </c>
      <c r="K123" s="688">
        <f t="shared" si="187"/>
        <v>0.00952044665439084</v>
      </c>
      <c r="L123" s="685">
        <f t="shared" si="188"/>
        <v>0.847380884212536</v>
      </c>
      <c r="M123" s="886">
        <f t="shared" si="189"/>
        <v>8.06744450409599</v>
      </c>
      <c r="N123" s="887">
        <f t="shared" si="190"/>
        <v>6.51099502974341</v>
      </c>
      <c r="O123" s="688">
        <f t="shared" si="191"/>
        <v>0.000512967337103047</v>
      </c>
      <c r="P123" s="915">
        <f t="shared" si="192"/>
        <v>10755.6413953488</v>
      </c>
      <c r="Q123" s="685">
        <f t="shared" si="193"/>
        <v>1651.91976744186</v>
      </c>
      <c r="R123" s="902">
        <f t="shared" si="194"/>
        <v>44.39534375</v>
      </c>
      <c r="S123" s="558">
        <f t="shared" si="195"/>
        <v>8164</v>
      </c>
      <c r="T123" s="917">
        <f t="shared" si="196"/>
        <v>-0.216281079005472</v>
      </c>
      <c r="U123" s="850">
        <f t="shared" si="197"/>
        <v>8.70070431161196</v>
      </c>
      <c r="V123" s="917">
        <f t="shared" si="198"/>
        <v>-0.0675351768685613</v>
      </c>
      <c r="W123" s="917">
        <f>D123/$D$124</f>
        <v>0.483085718237457</v>
      </c>
      <c r="X123" s="917">
        <f t="shared" si="199"/>
        <v>-0.0626830697129467</v>
      </c>
      <c r="Y123" s="917">
        <f t="shared" si="200"/>
        <v>-0.381733260075904</v>
      </c>
      <c r="Z123" s="917">
        <f t="shared" si="201"/>
        <v>-0.00517659182164635</v>
      </c>
      <c r="AA123" s="917">
        <f t="shared" si="202"/>
        <v>0.189794961117124</v>
      </c>
      <c r="AB123" s="917">
        <f>B123/B124</f>
        <v>0.463750935972221</v>
      </c>
    </row>
    <row r="124" spans="1:29">
      <c r="A124" s="891" t="s">
        <v>22</v>
      </c>
      <c r="B124" s="903">
        <f t="shared" ref="B124:J124" si="203">SUM(B120:B123)</f>
        <v>153169.61</v>
      </c>
      <c r="C124" s="904">
        <f t="shared" si="203"/>
        <v>27033796</v>
      </c>
      <c r="D124" s="904">
        <f t="shared" si="203"/>
        <v>173522</v>
      </c>
      <c r="E124" s="904">
        <f t="shared" si="203"/>
        <v>106</v>
      </c>
      <c r="F124" s="903">
        <f t="shared" si="203"/>
        <v>1290422.82</v>
      </c>
      <c r="G124" s="904">
        <f t="shared" si="203"/>
        <v>3804</v>
      </c>
      <c r="H124" s="904">
        <f t="shared" si="203"/>
        <v>7847</v>
      </c>
      <c r="I124" s="904">
        <f t="shared" si="203"/>
        <v>742</v>
      </c>
      <c r="J124" s="904">
        <f t="shared" si="203"/>
        <v>8589</v>
      </c>
      <c r="K124" s="896">
        <f t="shared" si="187"/>
        <v>0.00641870642213916</v>
      </c>
      <c r="L124" s="903">
        <f t="shared" si="188"/>
        <v>0.882710031004714</v>
      </c>
      <c r="M124" s="897">
        <f t="shared" si="189"/>
        <v>5.66585654489662</v>
      </c>
      <c r="N124" s="898">
        <f t="shared" si="190"/>
        <v>8.42479666821636</v>
      </c>
      <c r="O124" s="896">
        <f t="shared" si="191"/>
        <v>0.000610873549175321</v>
      </c>
      <c r="P124" s="916">
        <f>F124/E124</f>
        <v>12173.8001886792</v>
      </c>
      <c r="Q124" s="903">
        <f>B124/E124</f>
        <v>1444.99632075472</v>
      </c>
      <c r="R124" s="902">
        <f t="shared" si="194"/>
        <v>40.2654074658255</v>
      </c>
      <c r="S124" s="558">
        <f t="shared" si="195"/>
        <v>12393</v>
      </c>
      <c r="T124" s="917">
        <f t="shared" si="196"/>
        <v>-0.181493956806023</v>
      </c>
      <c r="U124" s="850">
        <f t="shared" si="197"/>
        <v>12.3593649640926</v>
      </c>
      <c r="V124" s="917">
        <f t="shared" si="198"/>
        <v>-0.123389043702976</v>
      </c>
      <c r="W124" s="917">
        <f>D124/$D$124</f>
        <v>1</v>
      </c>
      <c r="X124" s="917">
        <f t="shared" si="199"/>
        <v>-0.0653562653562654</v>
      </c>
      <c r="Y124" s="917">
        <f t="shared" si="200"/>
        <v>-0.357733957842729</v>
      </c>
      <c r="Z124" s="917">
        <f t="shared" si="201"/>
        <v>-0.0620908012279476</v>
      </c>
      <c r="AA124" s="917">
        <f t="shared" si="202"/>
        <v>0.0709889848538076</v>
      </c>
      <c r="AB124" s="917">
        <f>B124/B124</f>
        <v>1</v>
      </c>
      <c r="AC124" s="917">
        <f>B124/F124</f>
        <v>0.118697226696595</v>
      </c>
    </row>
    <row r="125" spans="1:29">
      <c r="A125" s="37" t="s">
        <v>53</v>
      </c>
      <c r="B125" s="917">
        <f t="shared" ref="B125:R125" si="204">(B124-B116)/B116</f>
        <v>-0.123389043702976</v>
      </c>
      <c r="C125" s="917">
        <f t="shared" si="204"/>
        <v>-0.26776486694477</v>
      </c>
      <c r="D125" s="917">
        <f t="shared" si="204"/>
        <v>-0.155269524917607</v>
      </c>
      <c r="E125" s="917">
        <f t="shared" si="204"/>
        <v>-0.298013245033113</v>
      </c>
      <c r="F125" s="917">
        <f t="shared" si="204"/>
        <v>-0.357733957842729</v>
      </c>
      <c r="G125" s="917">
        <f t="shared" si="204"/>
        <v>-0.0653562653562654</v>
      </c>
      <c r="H125" s="917">
        <f t="shared" si="204"/>
        <v>-0.22962890241508</v>
      </c>
      <c r="I125" s="917">
        <f t="shared" si="204"/>
        <v>-0.161581920903955</v>
      </c>
      <c r="J125" s="917">
        <f t="shared" si="204"/>
        <v>-0.224189323457682</v>
      </c>
      <c r="K125" s="917">
        <f t="shared" si="204"/>
        <v>0.153632811304451</v>
      </c>
      <c r="L125" s="917">
        <f t="shared" si="204"/>
        <v>0.0377404179854183</v>
      </c>
      <c r="M125" s="917">
        <f t="shared" si="204"/>
        <v>0.197171395804774</v>
      </c>
      <c r="N125" s="917">
        <f t="shared" si="204"/>
        <v>-0.267330578583767</v>
      </c>
      <c r="O125" s="917">
        <f t="shared" si="204"/>
        <v>-0.168981378470551</v>
      </c>
      <c r="P125" s="917">
        <f t="shared" si="204"/>
        <v>-0.0850738456061518</v>
      </c>
      <c r="Q125" s="917">
        <f t="shared" si="204"/>
        <v>0.248757116989157</v>
      </c>
      <c r="R125" s="917">
        <f t="shared" si="204"/>
        <v>-0.0620908012279476</v>
      </c>
    </row>
    <row r="127" ht="41.4" spans="1:29">
      <c r="A127" s="868" t="s">
        <v>28</v>
      </c>
      <c r="B127" s="869" t="s">
        <v>1</v>
      </c>
      <c r="C127" s="870" t="s">
        <v>2</v>
      </c>
      <c r="D127" s="870" t="s">
        <v>3</v>
      </c>
      <c r="E127" s="871" t="s">
        <v>4</v>
      </c>
      <c r="F127" s="869" t="s">
        <v>5</v>
      </c>
      <c r="G127" s="871" t="s">
        <v>6</v>
      </c>
      <c r="H127" s="871" t="s">
        <v>7</v>
      </c>
      <c r="I127" s="871" t="s">
        <v>8</v>
      </c>
      <c r="J127" s="871" t="s">
        <v>34</v>
      </c>
      <c r="K127" s="879" t="s">
        <v>9</v>
      </c>
      <c r="L127" s="869" t="s">
        <v>10</v>
      </c>
      <c r="M127" s="880" t="s">
        <v>11</v>
      </c>
      <c r="N127" s="881" t="s">
        <v>12</v>
      </c>
      <c r="O127" s="879" t="s">
        <v>13</v>
      </c>
      <c r="P127" s="875" t="s">
        <v>14</v>
      </c>
      <c r="Q127" s="869" t="s">
        <v>15</v>
      </c>
      <c r="R127" s="912" t="s">
        <v>16</v>
      </c>
      <c r="S127" s="882" t="s">
        <v>35</v>
      </c>
      <c r="T127" s="882" t="s">
        <v>37</v>
      </c>
      <c r="U127" s="882" t="s">
        <v>36</v>
      </c>
      <c r="V127" s="882" t="s">
        <v>38</v>
      </c>
      <c r="W127" s="882" t="s">
        <v>39</v>
      </c>
      <c r="X127" s="882" t="s">
        <v>40</v>
      </c>
      <c r="Y127" s="882" t="s">
        <v>41</v>
      </c>
      <c r="Z127" s="882" t="s">
        <v>42</v>
      </c>
      <c r="AA127" s="882" t="s">
        <v>43</v>
      </c>
      <c r="AB127" s="37" t="s">
        <v>44</v>
      </c>
      <c r="AC127" s="37" t="s">
        <v>49</v>
      </c>
    </row>
    <row r="128" spans="1:29">
      <c r="A128" s="686" t="s">
        <v>19</v>
      </c>
      <c r="B128" s="685">
        <f>SUM(明星店铺!B889:B918)</f>
        <v>13410.75</v>
      </c>
      <c r="C128" s="918">
        <f>SUM(明星店铺!C889:C918)</f>
        <v>11441</v>
      </c>
      <c r="D128" s="918">
        <f>SUM(明星店铺!D889:D918)</f>
        <v>3577</v>
      </c>
      <c r="E128" s="918">
        <f>SUM(明星店铺!E889:E918)</f>
        <v>46</v>
      </c>
      <c r="F128" s="918">
        <f>SUM(明星店铺!F889:F918)</f>
        <v>541140</v>
      </c>
      <c r="G128" s="918">
        <f>SUM(明星店铺!G889:G918)</f>
        <v>838</v>
      </c>
      <c r="H128" s="918">
        <f>SUM(明星店铺!H889:H918)</f>
        <v>84</v>
      </c>
      <c r="I128" s="918">
        <f>SUM(明星店铺!I889:I918)</f>
        <v>162</v>
      </c>
      <c r="J128" s="872">
        <f t="shared" ref="J128:J131" si="205">H128+I128</f>
        <v>246</v>
      </c>
      <c r="K128" s="688">
        <f t="shared" ref="K128:K132" si="206">D128/C128</f>
        <v>0.312647495848265</v>
      </c>
      <c r="L128" s="685">
        <f t="shared" ref="L128:L132" si="207">B128/D128</f>
        <v>3.74916130835896</v>
      </c>
      <c r="M128" s="886">
        <f t="shared" ref="M128:M132" si="208">(B128/C128)*1000</f>
        <v>1172.16589458963</v>
      </c>
      <c r="N128" s="887">
        <f t="shared" ref="N128:N132" si="209">F128/B128</f>
        <v>40.3512107823947</v>
      </c>
      <c r="O128" s="688">
        <f t="shared" ref="O128:O132" si="210">E128/D128</f>
        <v>0.0128599384959463</v>
      </c>
      <c r="P128" s="915">
        <f t="shared" ref="P128:P131" si="211">IF(E128=0,"0",F128/E128)</f>
        <v>11763.9130434783</v>
      </c>
      <c r="Q128" s="685">
        <f t="shared" ref="Q128:Q131" si="212">IF(E128=0,"0",B128/E128)</f>
        <v>291.538043478261</v>
      </c>
      <c r="R128" s="902">
        <f t="shared" ref="R128:R132" si="213">B128/G128</f>
        <v>16.0032816229117</v>
      </c>
      <c r="S128" s="558">
        <f>G128+J128</f>
        <v>1084</v>
      </c>
      <c r="T128" s="917">
        <f>(S128-S120)/S120</f>
        <v>0.133891213389121</v>
      </c>
      <c r="U128" s="850">
        <f>B128/S128</f>
        <v>12.3715405904059</v>
      </c>
      <c r="V128" s="917">
        <f t="shared" ref="V128:V132" si="214">(B128-B120)/B120</f>
        <v>0.108082851207917</v>
      </c>
      <c r="W128" s="917">
        <f>D128/$D$132</f>
        <v>0.0176724883278575</v>
      </c>
      <c r="X128" s="917">
        <f t="shared" ref="X128:X132" si="215">(G128-G120)/G120</f>
        <v>0.209235209235209</v>
      </c>
      <c r="Y128" s="917">
        <f t="shared" ref="Y128:Y132" si="216">(F128-F120)/F120</f>
        <v>0.291486997135932</v>
      </c>
      <c r="Z128" s="917">
        <f t="shared" ref="Z128:Z132" si="217">(R128-R120)/R120</f>
        <v>-0.0836498617099209</v>
      </c>
      <c r="AA128" s="917">
        <f t="shared" ref="AA128:AA132" si="218">(U128-U120)/U120</f>
        <v>-0.0227608803000294</v>
      </c>
      <c r="AB128" s="917">
        <f>B128/B132</f>
        <v>0.0680737500523469</v>
      </c>
    </row>
    <row r="129" spans="1:29">
      <c r="A129" s="686" t="s">
        <v>20</v>
      </c>
      <c r="B129" s="685">
        <f>SUM(直通车!B889:B918)</f>
        <v>62672.37</v>
      </c>
      <c r="C129" s="918">
        <f>SUM(直通车!C889:C918)</f>
        <v>378226</v>
      </c>
      <c r="D129" s="918">
        <f>SUM(直通车!D889:D918)</f>
        <v>19921</v>
      </c>
      <c r="E129" s="918">
        <f>SUM(直通车!E889:E918)</f>
        <v>18</v>
      </c>
      <c r="F129" s="918">
        <f>SUM(直通车!F889:F918)</f>
        <v>157150.6</v>
      </c>
      <c r="G129" s="918">
        <f>SUM(直通车!G889:G918)</f>
        <v>947</v>
      </c>
      <c r="H129" s="918">
        <f>SUM(直通车!H889:H918)</f>
        <v>158</v>
      </c>
      <c r="I129" s="918">
        <f>SUM(直通车!I889:I918)</f>
        <v>107</v>
      </c>
      <c r="J129" s="872">
        <f t="shared" si="205"/>
        <v>265</v>
      </c>
      <c r="K129" s="688">
        <f t="shared" si="206"/>
        <v>0.0526695679302851</v>
      </c>
      <c r="L129" s="685">
        <f t="shared" si="207"/>
        <v>3.14604537924803</v>
      </c>
      <c r="M129" s="886">
        <f t="shared" si="208"/>
        <v>165.700850814064</v>
      </c>
      <c r="N129" s="887">
        <f t="shared" si="209"/>
        <v>2.50749413178407</v>
      </c>
      <c r="O129" s="688">
        <f t="shared" si="210"/>
        <v>0.000903569097936851</v>
      </c>
      <c r="P129" s="915">
        <f t="shared" si="211"/>
        <v>8730.58888888889</v>
      </c>
      <c r="Q129" s="685">
        <f t="shared" si="212"/>
        <v>3481.79833333333</v>
      </c>
      <c r="R129" s="902">
        <f t="shared" si="213"/>
        <v>66.1799049630412</v>
      </c>
      <c r="S129" s="558">
        <f t="shared" ref="S129:S132" si="219">G129+J129</f>
        <v>1212</v>
      </c>
      <c r="T129" s="917">
        <f t="shared" ref="T129:T132" si="220">(S129-S121)/S121</f>
        <v>-0.0257234726688103</v>
      </c>
      <c r="U129" s="850">
        <f t="shared" ref="U129:U132" si="221">B129/S129</f>
        <v>51.7098762376238</v>
      </c>
      <c r="V129" s="917">
        <f t="shared" si="214"/>
        <v>0.128187454569085</v>
      </c>
      <c r="W129" s="917">
        <f>D129/$D$132</f>
        <v>0.0984214816827648</v>
      </c>
      <c r="X129" s="917">
        <f t="shared" si="215"/>
        <v>-0.0642292490118577</v>
      </c>
      <c r="Y129" s="917">
        <f t="shared" si="216"/>
        <v>-0.601583377417168</v>
      </c>
      <c r="Z129" s="917">
        <f t="shared" si="217"/>
        <v>0.205623763488822</v>
      </c>
      <c r="AA129" s="917">
        <f t="shared" si="218"/>
        <v>0.15797458208246</v>
      </c>
      <c r="AB129" s="917">
        <f>B129/B132</f>
        <v>0.318128609553396</v>
      </c>
    </row>
    <row r="130" spans="1:29">
      <c r="A130" s="686" t="s">
        <v>21</v>
      </c>
      <c r="B130" s="685">
        <f>SUM(引力魔方!B788:B817)</f>
        <v>16241.48</v>
      </c>
      <c r="C130" s="918">
        <f>SUM(引力魔方!C788:C817)</f>
        <v>21081077</v>
      </c>
      <c r="D130" s="918">
        <f>SUM(引力魔方!D788:D817)</f>
        <v>71669</v>
      </c>
      <c r="E130" s="918">
        <f>SUM(引力魔方!E788:E817)</f>
        <v>5</v>
      </c>
      <c r="F130" s="918">
        <f>SUM(引力魔方!F788:F817)</f>
        <v>37070.9</v>
      </c>
      <c r="G130" s="918">
        <f>SUM(引力魔方!G788:G817)</f>
        <v>526</v>
      </c>
      <c r="H130" s="918">
        <f>SUM(引力魔方!H788:H817)</f>
        <v>1357</v>
      </c>
      <c r="I130" s="918">
        <f>SUM(引力魔方!I788:I817)</f>
        <v>70</v>
      </c>
      <c r="J130" s="872">
        <f t="shared" si="205"/>
        <v>1427</v>
      </c>
      <c r="K130" s="688">
        <f t="shared" si="206"/>
        <v>0.00339968399147729</v>
      </c>
      <c r="L130" s="685">
        <f t="shared" si="207"/>
        <v>0.226617924067588</v>
      </c>
      <c r="M130" s="886">
        <f t="shared" si="208"/>
        <v>0.770429328634396</v>
      </c>
      <c r="N130" s="887">
        <f t="shared" si="209"/>
        <v>2.28248287717622</v>
      </c>
      <c r="O130" s="688">
        <f t="shared" si="210"/>
        <v>6.97651704363114e-5</v>
      </c>
      <c r="P130" s="915">
        <f t="shared" si="211"/>
        <v>7414.18</v>
      </c>
      <c r="Q130" s="685">
        <f t="shared" si="212"/>
        <v>3248.296</v>
      </c>
      <c r="R130" s="902">
        <f t="shared" si="213"/>
        <v>30.8773384030418</v>
      </c>
      <c r="S130" s="558">
        <f t="shared" si="219"/>
        <v>1953</v>
      </c>
      <c r="T130" s="917">
        <f t="shared" si="220"/>
        <v>-0.0374568753080335</v>
      </c>
      <c r="U130" s="850">
        <f t="shared" si="221"/>
        <v>8.31616999487967</v>
      </c>
      <c r="V130" s="917">
        <f t="shared" si="214"/>
        <v>0.121415284933667</v>
      </c>
      <c r="W130" s="917">
        <f>D130/$D$132</f>
        <v>0.354087102591339</v>
      </c>
      <c r="X130" s="917">
        <f t="shared" si="215"/>
        <v>0.0541082164328657</v>
      </c>
      <c r="Y130" s="917">
        <f t="shared" si="216"/>
        <v>1.55890798647063</v>
      </c>
      <c r="Z130" s="917">
        <f t="shared" si="217"/>
        <v>0.0638521429313688</v>
      </c>
      <c r="AA130" s="917">
        <f t="shared" si="218"/>
        <v>0.165054589416493</v>
      </c>
      <c r="AB130" s="917">
        <f>B130/B132</f>
        <v>0.0824427008183875</v>
      </c>
    </row>
    <row r="131" spans="1:29">
      <c r="A131" s="686" t="s">
        <v>27</v>
      </c>
      <c r="B131" s="685">
        <f>SUM(万相台!B377:B406)</f>
        <v>104678.65</v>
      </c>
      <c r="C131" s="918">
        <f>SUM(万相台!C377:C406)</f>
        <v>13193153</v>
      </c>
      <c r="D131" s="918">
        <f>SUM(万相台!D377:D406)</f>
        <v>107238</v>
      </c>
      <c r="E131" s="918">
        <f>SUM(万相台!E377:E406)</f>
        <v>33</v>
      </c>
      <c r="F131" s="918">
        <f>SUM(万相台!F377:F406)</f>
        <v>306305.2</v>
      </c>
      <c r="G131" s="918">
        <f>SUM(万相台!G377:G406)</f>
        <v>1925</v>
      </c>
      <c r="H131" s="918">
        <f>SUM(万相台!H377:H406)</f>
        <v>4805</v>
      </c>
      <c r="I131" s="918">
        <f>SUM(万相台!I377:I406)</f>
        <v>366</v>
      </c>
      <c r="J131" s="872">
        <f t="shared" si="205"/>
        <v>5171</v>
      </c>
      <c r="K131" s="688">
        <f t="shared" si="206"/>
        <v>0.00812830716054002</v>
      </c>
      <c r="L131" s="685">
        <f t="shared" si="207"/>
        <v>0.976133926406684</v>
      </c>
      <c r="M131" s="886">
        <f t="shared" si="208"/>
        <v>7.93431638365749</v>
      </c>
      <c r="N131" s="887">
        <f t="shared" si="209"/>
        <v>2.92614778658303</v>
      </c>
      <c r="O131" s="688">
        <f t="shared" si="210"/>
        <v>0.000307726738656073</v>
      </c>
      <c r="P131" s="915">
        <f t="shared" si="211"/>
        <v>9281.97575757576</v>
      </c>
      <c r="Q131" s="685">
        <f t="shared" si="212"/>
        <v>3172.0803030303</v>
      </c>
      <c r="R131" s="902">
        <f t="shared" si="213"/>
        <v>54.3785194805195</v>
      </c>
      <c r="S131" s="558">
        <f t="shared" si="219"/>
        <v>7096</v>
      </c>
      <c r="T131" s="917">
        <f t="shared" si="220"/>
        <v>-0.130818226359628</v>
      </c>
      <c r="U131" s="850">
        <f t="shared" si="221"/>
        <v>14.7517826944758</v>
      </c>
      <c r="V131" s="917">
        <f t="shared" si="214"/>
        <v>0.47367157732617</v>
      </c>
      <c r="W131" s="917">
        <f t="shared" ref="W131:W140" si="222">D131/$D$132</f>
        <v>0.529818927398039</v>
      </c>
      <c r="X131" s="917">
        <f t="shared" si="215"/>
        <v>0.203125</v>
      </c>
      <c r="Y131" s="917">
        <f t="shared" si="216"/>
        <v>-0.337707861172605</v>
      </c>
      <c r="Z131" s="917">
        <f t="shared" si="217"/>
        <v>0.22486988245292</v>
      </c>
      <c r="AA131" s="917">
        <f t="shared" si="218"/>
        <v>0.695469948885407</v>
      </c>
      <c r="AB131" s="917">
        <f>B131/B132</f>
        <v>0.53135493957587</v>
      </c>
    </row>
    <row r="132" spans="1:29">
      <c r="A132" s="891" t="s">
        <v>22</v>
      </c>
      <c r="B132" s="903">
        <f t="shared" ref="B132:J132" si="223">SUM(B128:B131)</f>
        <v>197003.25</v>
      </c>
      <c r="C132" s="904">
        <f t="shared" si="223"/>
        <v>34663897</v>
      </c>
      <c r="D132" s="904">
        <f t="shared" si="223"/>
        <v>202405</v>
      </c>
      <c r="E132" s="904">
        <f t="shared" si="223"/>
        <v>102</v>
      </c>
      <c r="F132" s="903">
        <f t="shared" si="223"/>
        <v>1041666.7</v>
      </c>
      <c r="G132" s="904">
        <f t="shared" si="223"/>
        <v>4236</v>
      </c>
      <c r="H132" s="904">
        <f t="shared" si="223"/>
        <v>6404</v>
      </c>
      <c r="I132" s="904">
        <f t="shared" si="223"/>
        <v>705</v>
      </c>
      <c r="J132" s="904">
        <f t="shared" si="223"/>
        <v>7109</v>
      </c>
      <c r="K132" s="896">
        <f t="shared" si="206"/>
        <v>0.00583907227741878</v>
      </c>
      <c r="L132" s="903">
        <f t="shared" si="207"/>
        <v>0.973312171142017</v>
      </c>
      <c r="M132" s="897">
        <f t="shared" si="208"/>
        <v>5.68324011578964</v>
      </c>
      <c r="N132" s="898">
        <f t="shared" si="209"/>
        <v>5.28756099201409</v>
      </c>
      <c r="O132" s="896">
        <f t="shared" si="210"/>
        <v>0.000503940120056323</v>
      </c>
      <c r="P132" s="916">
        <f>F132/E132</f>
        <v>10212.418627451</v>
      </c>
      <c r="Q132" s="903">
        <f>B132/E132</f>
        <v>1931.40441176471</v>
      </c>
      <c r="R132" s="902">
        <f t="shared" si="213"/>
        <v>46.5069050991501</v>
      </c>
      <c r="S132" s="558">
        <f t="shared" si="219"/>
        <v>11345</v>
      </c>
      <c r="T132" s="917">
        <f t="shared" si="220"/>
        <v>-0.0845638666989429</v>
      </c>
      <c r="U132" s="850">
        <f t="shared" si="221"/>
        <v>17.3647642133098</v>
      </c>
      <c r="V132" s="917">
        <f t="shared" si="214"/>
        <v>0.286177133962801</v>
      </c>
      <c r="W132" s="917">
        <f t="shared" si="222"/>
        <v>1</v>
      </c>
      <c r="X132" s="917">
        <f t="shared" si="215"/>
        <v>0.113564668769716</v>
      </c>
      <c r="Y132" s="917">
        <f t="shared" si="216"/>
        <v>-0.192771017487121</v>
      </c>
      <c r="Z132" s="917">
        <f t="shared" si="217"/>
        <v>0.155008927666311</v>
      </c>
      <c r="AA132" s="917">
        <f t="shared" si="218"/>
        <v>0.40498838441613</v>
      </c>
      <c r="AB132" s="917">
        <f>B132/B132</f>
        <v>1</v>
      </c>
      <c r="AC132" s="917">
        <f>B132/F132</f>
        <v>0.18912311394806</v>
      </c>
    </row>
    <row r="133" spans="1:29">
      <c r="A133" s="37" t="s">
        <v>54</v>
      </c>
      <c r="B133" s="917">
        <f t="shared" ref="B133:R133" si="224">(B132-B124)/B124</f>
        <v>0.286177133962801</v>
      </c>
      <c r="C133" s="917">
        <f t="shared" si="224"/>
        <v>0.282243048663976</v>
      </c>
      <c r="D133" s="917">
        <f t="shared" si="224"/>
        <v>0.166451516234253</v>
      </c>
      <c r="E133" s="917">
        <f t="shared" si="224"/>
        <v>-0.0377358490566038</v>
      </c>
      <c r="F133" s="917">
        <f t="shared" si="224"/>
        <v>-0.192771017487121</v>
      </c>
      <c r="G133" s="917">
        <f t="shared" si="224"/>
        <v>0.113564668769716</v>
      </c>
      <c r="H133" s="917">
        <f t="shared" si="224"/>
        <v>-0.183891933222888</v>
      </c>
      <c r="I133" s="917">
        <f t="shared" si="224"/>
        <v>-0.0498652291105121</v>
      </c>
      <c r="J133" s="917">
        <f t="shared" si="224"/>
        <v>-0.172313424147165</v>
      </c>
      <c r="K133" s="917">
        <f t="shared" si="224"/>
        <v>-0.0903038878240529</v>
      </c>
      <c r="L133" s="917">
        <f t="shared" si="224"/>
        <v>0.10264088653686</v>
      </c>
      <c r="M133" s="917">
        <f t="shared" si="224"/>
        <v>0.00306812760882125</v>
      </c>
      <c r="N133" s="917">
        <f t="shared" si="224"/>
        <v>-0.372381174258828</v>
      </c>
      <c r="O133" s="917">
        <f t="shared" si="224"/>
        <v>-0.1750500234678</v>
      </c>
      <c r="P133" s="917">
        <f t="shared" si="224"/>
        <v>-0.161114978957204</v>
      </c>
      <c r="Q133" s="917">
        <f t="shared" si="224"/>
        <v>0.336615452941734</v>
      </c>
      <c r="R133" s="917">
        <f t="shared" si="224"/>
        <v>0.155008927666311</v>
      </c>
    </row>
    <row r="135" ht="41.4" spans="1:29">
      <c r="A135" s="868" t="s">
        <v>29</v>
      </c>
      <c r="B135" s="869" t="s">
        <v>1</v>
      </c>
      <c r="C135" s="870" t="s">
        <v>2</v>
      </c>
      <c r="D135" s="870" t="s">
        <v>3</v>
      </c>
      <c r="E135" s="871" t="s">
        <v>4</v>
      </c>
      <c r="F135" s="869" t="s">
        <v>5</v>
      </c>
      <c r="G135" s="871" t="s">
        <v>6</v>
      </c>
      <c r="H135" s="871" t="s">
        <v>7</v>
      </c>
      <c r="I135" s="871" t="s">
        <v>8</v>
      </c>
      <c r="J135" s="871" t="s">
        <v>34</v>
      </c>
      <c r="K135" s="879" t="s">
        <v>9</v>
      </c>
      <c r="L135" s="869" t="s">
        <v>10</v>
      </c>
      <c r="M135" s="880" t="s">
        <v>11</v>
      </c>
      <c r="N135" s="881" t="s">
        <v>12</v>
      </c>
      <c r="O135" s="879" t="s">
        <v>13</v>
      </c>
      <c r="P135" s="875" t="s">
        <v>14</v>
      </c>
      <c r="Q135" s="869" t="s">
        <v>15</v>
      </c>
      <c r="R135" s="912" t="s">
        <v>16</v>
      </c>
      <c r="S135" s="882" t="s">
        <v>35</v>
      </c>
      <c r="T135" s="882" t="s">
        <v>37</v>
      </c>
      <c r="U135" s="882" t="s">
        <v>36</v>
      </c>
      <c r="V135" s="882" t="s">
        <v>38</v>
      </c>
      <c r="W135" s="882" t="s">
        <v>39</v>
      </c>
      <c r="X135" s="882" t="s">
        <v>40</v>
      </c>
      <c r="Y135" s="882" t="s">
        <v>41</v>
      </c>
      <c r="Z135" s="882" t="s">
        <v>42</v>
      </c>
      <c r="AA135" s="882" t="s">
        <v>43</v>
      </c>
      <c r="AB135" s="37" t="s">
        <v>44</v>
      </c>
      <c r="AC135" s="37" t="s">
        <v>49</v>
      </c>
    </row>
    <row r="136" spans="1:29">
      <c r="A136" s="686" t="s">
        <v>19</v>
      </c>
      <c r="B136" s="685">
        <f>SUM(明星店铺!B919:B949)</f>
        <v>24848.83</v>
      </c>
      <c r="C136" s="918">
        <f>SUM(明星店铺!C919:C949)</f>
        <v>20971</v>
      </c>
      <c r="D136" s="918">
        <f>SUM(明星店铺!D919:D949)</f>
        <v>6872</v>
      </c>
      <c r="E136" s="918">
        <f>SUM(明星店铺!E919:E949)</f>
        <v>149</v>
      </c>
      <c r="F136" s="918">
        <f>SUM(明星店铺!F919:F949)</f>
        <v>1650456.54</v>
      </c>
      <c r="G136" s="918">
        <f>SUM(明星店铺!G919:G949)</f>
        <v>2214</v>
      </c>
      <c r="H136" s="918">
        <f>SUM(明星店铺!H919:H949)</f>
        <v>245</v>
      </c>
      <c r="I136" s="918">
        <f>SUM(明星店铺!I919:I949)</f>
        <v>629</v>
      </c>
      <c r="J136" s="872">
        <f t="shared" ref="J136:J139" si="225">H136+I136</f>
        <v>874</v>
      </c>
      <c r="K136" s="688">
        <f t="shared" ref="K136:K140" si="226">D136/C136</f>
        <v>0.327690620380525</v>
      </c>
      <c r="L136" s="685">
        <f t="shared" ref="L136:L140" si="227">B136/D136</f>
        <v>3.61595314318976</v>
      </c>
      <c r="M136" s="886">
        <f t="shared" ref="M136:M140" si="228">(B136/C136)*1000</f>
        <v>1184.91392875876</v>
      </c>
      <c r="N136" s="887">
        <f t="shared" ref="N136:N140" si="229">F136/B136</f>
        <v>66.4198893871462</v>
      </c>
      <c r="O136" s="688">
        <f t="shared" ref="O136:O140" si="230">E136/D136</f>
        <v>0.0216821885913853</v>
      </c>
      <c r="P136" s="915">
        <f t="shared" ref="P136:P139" si="231">IF(E136=0,"0",F136/E136)</f>
        <v>11076.8895302013</v>
      </c>
      <c r="Q136" s="685">
        <f t="shared" ref="Q136:Q139" si="232">IF(E136=0,"0",B136/E136)</f>
        <v>166.77067114094</v>
      </c>
      <c r="R136" s="902">
        <f t="shared" ref="R136:R140" si="233">B136/G136</f>
        <v>11.2235004516712</v>
      </c>
      <c r="S136" s="558">
        <f t="shared" ref="S136:S140" si="234">G136+J136</f>
        <v>3088</v>
      </c>
      <c r="T136" s="917">
        <f t="shared" ref="T136:T140" si="235">(S136-S128)/S128</f>
        <v>1.84870848708487</v>
      </c>
      <c r="U136" s="850">
        <f t="shared" ref="U136:U140" si="236">B136/S136</f>
        <v>8.04690090673575</v>
      </c>
      <c r="V136" s="917">
        <f t="shared" ref="V136:V140" si="237">(B136-B128)/B128</f>
        <v>0.852903827153589</v>
      </c>
      <c r="W136" s="917">
        <f t="shared" si="222"/>
        <v>0.0339517304414417</v>
      </c>
      <c r="X136" s="917">
        <f t="shared" ref="X136:X140" si="238">(G136-G128)/G128</f>
        <v>1.64200477326969</v>
      </c>
      <c r="Y136" s="917">
        <f t="shared" ref="Y136:Y140" si="239">(F136-F128)/F128</f>
        <v>2.04996219093026</v>
      </c>
      <c r="Z136" s="917">
        <f t="shared" ref="Z136:Z140" si="240">(R136-R128)/R128</f>
        <v>-0.298675064519102</v>
      </c>
      <c r="AA136" s="917">
        <f t="shared" ref="AA136:AA140" si="241">(U136-U128)/U128</f>
        <v>-0.349563552903338</v>
      </c>
      <c r="AB136" s="917">
        <f>B136/B140</f>
        <v>0.104226195839044</v>
      </c>
    </row>
    <row r="137" spans="1:29">
      <c r="A137" s="686" t="s">
        <v>20</v>
      </c>
      <c r="B137" s="685">
        <f>SUM(直通车!B919:B949)</f>
        <v>86010.68</v>
      </c>
      <c r="C137" s="918">
        <f>SUM(直通车!C919:C949)</f>
        <v>514624</v>
      </c>
      <c r="D137" s="918">
        <f>SUM(直通车!D919:D949)</f>
        <v>23742</v>
      </c>
      <c r="E137" s="918">
        <f>SUM(直通车!E919:E949)</f>
        <v>126</v>
      </c>
      <c r="F137" s="918">
        <f>SUM(直通车!F919:F949)</f>
        <v>1337624.04</v>
      </c>
      <c r="G137" s="918">
        <f>SUM(直通车!G919:G949)</f>
        <v>2199</v>
      </c>
      <c r="H137" s="918">
        <f>SUM(直通车!H919:H949)</f>
        <v>314</v>
      </c>
      <c r="I137" s="918">
        <f>SUM(直通车!I919:I949)</f>
        <v>296</v>
      </c>
      <c r="J137" s="872">
        <f t="shared" si="225"/>
        <v>610</v>
      </c>
      <c r="K137" s="688">
        <f t="shared" si="226"/>
        <v>0.0461346536500435</v>
      </c>
      <c r="L137" s="685">
        <f t="shared" si="227"/>
        <v>3.62272260129728</v>
      </c>
      <c r="M137" s="886">
        <f t="shared" si="228"/>
        <v>167.133052481035</v>
      </c>
      <c r="N137" s="887">
        <f t="shared" si="229"/>
        <v>15.5518365858751</v>
      </c>
      <c r="O137" s="688">
        <f t="shared" si="230"/>
        <v>0.00530705079605762</v>
      </c>
      <c r="P137" s="915">
        <f t="shared" si="231"/>
        <v>10616.0638095238</v>
      </c>
      <c r="Q137" s="685">
        <f t="shared" si="232"/>
        <v>682.624444444445</v>
      </c>
      <c r="R137" s="902">
        <f t="shared" si="233"/>
        <v>39.113542519327</v>
      </c>
      <c r="S137" s="558">
        <f t="shared" si="234"/>
        <v>2809</v>
      </c>
      <c r="T137" s="917">
        <f t="shared" si="235"/>
        <v>1.31765676567657</v>
      </c>
      <c r="U137" s="850">
        <f t="shared" si="236"/>
        <v>30.6196796012816</v>
      </c>
      <c r="V137" s="917">
        <f t="shared" si="237"/>
        <v>0.372385949342589</v>
      </c>
      <c r="W137" s="917">
        <f t="shared" si="222"/>
        <v>0.117299473827228</v>
      </c>
      <c r="X137" s="917">
        <f t="shared" si="238"/>
        <v>1.3220696937698</v>
      </c>
      <c r="Y137" s="917">
        <f t="shared" si="239"/>
        <v>7.5117335854906</v>
      </c>
      <c r="Z137" s="917">
        <f t="shared" si="240"/>
        <v>-0.408981585253555</v>
      </c>
      <c r="AA137" s="917">
        <f t="shared" si="241"/>
        <v>-0.407856258240221</v>
      </c>
      <c r="AB137" s="917">
        <f>B137/B140</f>
        <v>0.360764107522541</v>
      </c>
    </row>
    <row r="138" spans="1:29">
      <c r="A138" s="686" t="s">
        <v>21</v>
      </c>
      <c r="B138" s="685">
        <f>SUM(引力魔方!B818:B848)</f>
        <v>26052.36</v>
      </c>
      <c r="C138" s="918">
        <f>SUM(引力魔方!C818:C848)</f>
        <v>28492746</v>
      </c>
      <c r="D138" s="918">
        <f>SUM(引力魔方!D818:D848)</f>
        <v>99781</v>
      </c>
      <c r="E138" s="918">
        <f>SUM(引力魔方!E818:E848)</f>
        <v>62</v>
      </c>
      <c r="F138" s="918">
        <f>SUM(引力魔方!F818:F848)</f>
        <v>583554</v>
      </c>
      <c r="G138" s="918">
        <f>SUM(引力魔方!G818:G848)</f>
        <v>1245</v>
      </c>
      <c r="H138" s="918">
        <f>SUM(引力魔方!H818:H848)</f>
        <v>1447</v>
      </c>
      <c r="I138" s="918">
        <f>SUM(引力魔方!I818:I848)</f>
        <v>95</v>
      </c>
      <c r="J138" s="872">
        <f t="shared" si="225"/>
        <v>1542</v>
      </c>
      <c r="K138" s="688">
        <f t="shared" si="226"/>
        <v>0.00350197906512766</v>
      </c>
      <c r="L138" s="685">
        <f t="shared" si="227"/>
        <v>0.261095398923643</v>
      </c>
      <c r="M138" s="886">
        <f t="shared" si="228"/>
        <v>0.914350621031753</v>
      </c>
      <c r="N138" s="887">
        <f t="shared" si="229"/>
        <v>22.3992759197247</v>
      </c>
      <c r="O138" s="688">
        <f t="shared" si="230"/>
        <v>0.000621360780108437</v>
      </c>
      <c r="P138" s="915">
        <f t="shared" si="231"/>
        <v>9412.16129032258</v>
      </c>
      <c r="Q138" s="685">
        <f t="shared" si="232"/>
        <v>420.19935483871</v>
      </c>
      <c r="R138" s="902">
        <f t="shared" si="233"/>
        <v>20.9255903614458</v>
      </c>
      <c r="S138" s="558">
        <f t="shared" si="234"/>
        <v>2787</v>
      </c>
      <c r="T138" s="917">
        <f t="shared" si="235"/>
        <v>0.427035330261137</v>
      </c>
      <c r="U138" s="850">
        <f t="shared" si="236"/>
        <v>9.34781485468245</v>
      </c>
      <c r="V138" s="917">
        <f t="shared" si="237"/>
        <v>0.604063176508545</v>
      </c>
      <c r="W138" s="917">
        <f t="shared" si="222"/>
        <v>0.492976952150392</v>
      </c>
      <c r="X138" s="917">
        <f t="shared" si="238"/>
        <v>1.36692015209125</v>
      </c>
      <c r="Y138" s="917">
        <f t="shared" si="239"/>
        <v>14.7415654866755</v>
      </c>
      <c r="Z138" s="917">
        <f t="shared" si="240"/>
        <v>-0.322299412977113</v>
      </c>
      <c r="AA138" s="917">
        <f t="shared" si="241"/>
        <v>0.124052882569497</v>
      </c>
      <c r="AB138" s="917">
        <f>B138/B140</f>
        <v>0.109274294823107</v>
      </c>
    </row>
    <row r="139" spans="1:29">
      <c r="A139" s="686" t="s">
        <v>27</v>
      </c>
      <c r="B139" s="685">
        <f>SUM(万相台!B407:B437)</f>
        <v>101500.65</v>
      </c>
      <c r="C139" s="918">
        <f>SUM(万相台!C407:C437)</f>
        <v>7498561</v>
      </c>
      <c r="D139" s="918">
        <f>SUM(万相台!D407:D437)</f>
        <v>79774</v>
      </c>
      <c r="E139" s="918">
        <f>SUM(万相台!E407:E437)</f>
        <v>323</v>
      </c>
      <c r="F139" s="918">
        <f>SUM(万相台!F407:F437)</f>
        <v>3277524.6</v>
      </c>
      <c r="G139" s="918">
        <f>SUM(万相台!G407:G437)</f>
        <v>3985</v>
      </c>
      <c r="H139" s="918">
        <f>SUM(万相台!H407:H437)</f>
        <v>4404</v>
      </c>
      <c r="I139" s="918">
        <f>SUM(万相台!I407:I437)</f>
        <v>503</v>
      </c>
      <c r="J139" s="872">
        <f t="shared" si="225"/>
        <v>4907</v>
      </c>
      <c r="K139" s="688">
        <f t="shared" si="226"/>
        <v>0.0106385745211648</v>
      </c>
      <c r="L139" s="685">
        <f t="shared" si="227"/>
        <v>1.27235252087146</v>
      </c>
      <c r="M139" s="886">
        <f t="shared" si="228"/>
        <v>13.5360171104829</v>
      </c>
      <c r="N139" s="887">
        <f t="shared" si="229"/>
        <v>32.2906759710406</v>
      </c>
      <c r="O139" s="688">
        <f t="shared" si="230"/>
        <v>0.00404893825055783</v>
      </c>
      <c r="P139" s="915">
        <f t="shared" si="231"/>
        <v>10147.1349845201</v>
      </c>
      <c r="Q139" s="685">
        <f t="shared" si="232"/>
        <v>314.243498452012</v>
      </c>
      <c r="R139" s="902">
        <f t="shared" si="233"/>
        <v>25.4706775407779</v>
      </c>
      <c r="S139" s="558">
        <f t="shared" si="234"/>
        <v>8892</v>
      </c>
      <c r="T139" s="917">
        <f t="shared" si="235"/>
        <v>0.253100338218715</v>
      </c>
      <c r="U139" s="850">
        <f t="shared" si="236"/>
        <v>11.4148279352227</v>
      </c>
      <c r="V139" s="917">
        <f t="shared" si="237"/>
        <v>-0.0303595814428253</v>
      </c>
      <c r="W139" s="917">
        <f t="shared" si="222"/>
        <v>0.394130579778168</v>
      </c>
      <c r="X139" s="917">
        <f t="shared" si="238"/>
        <v>1.07012987012987</v>
      </c>
      <c r="Y139" s="917">
        <f t="shared" si="239"/>
        <v>9.70019248775404</v>
      </c>
      <c r="Z139" s="917">
        <f t="shared" si="240"/>
        <v>-0.531604063808642</v>
      </c>
      <c r="AA139" s="917">
        <f t="shared" si="241"/>
        <v>-0.226206881457297</v>
      </c>
      <c r="AB139" s="917">
        <f>B139/B140</f>
        <v>0.425735401815307</v>
      </c>
    </row>
    <row r="140" spans="1:29">
      <c r="A140" s="891" t="s">
        <v>22</v>
      </c>
      <c r="B140" s="903">
        <f t="shared" ref="B140:J140" si="242">SUM(B136:B139)</f>
        <v>238412.52</v>
      </c>
      <c r="C140" s="904">
        <f t="shared" si="242"/>
        <v>36526902</v>
      </c>
      <c r="D140" s="904">
        <f t="shared" si="242"/>
        <v>210169</v>
      </c>
      <c r="E140" s="904">
        <f t="shared" si="242"/>
        <v>660</v>
      </c>
      <c r="F140" s="903">
        <f t="shared" si="242"/>
        <v>6849159.18</v>
      </c>
      <c r="G140" s="904">
        <f t="shared" si="242"/>
        <v>9643</v>
      </c>
      <c r="H140" s="904">
        <f t="shared" si="242"/>
        <v>6410</v>
      </c>
      <c r="I140" s="904">
        <f t="shared" si="242"/>
        <v>1523</v>
      </c>
      <c r="J140" s="904">
        <f t="shared" si="242"/>
        <v>7933</v>
      </c>
      <c r="K140" s="896">
        <f t="shared" si="226"/>
        <v>0.00575381399714654</v>
      </c>
      <c r="L140" s="903">
        <f t="shared" si="227"/>
        <v>1.13438480460962</v>
      </c>
      <c r="M140" s="897">
        <f t="shared" si="228"/>
        <v>6.5270391669132</v>
      </c>
      <c r="N140" s="898">
        <f t="shared" si="229"/>
        <v>28.728185835207</v>
      </c>
      <c r="O140" s="896">
        <f t="shared" si="230"/>
        <v>0.00314032992496515</v>
      </c>
      <c r="P140" s="916">
        <f>F140/E140</f>
        <v>10377.5139090909</v>
      </c>
      <c r="Q140" s="903">
        <f>B140/E140</f>
        <v>361.231090909091</v>
      </c>
      <c r="R140" s="902">
        <f t="shared" si="233"/>
        <v>24.7238950534066</v>
      </c>
      <c r="S140" s="558">
        <f t="shared" si="234"/>
        <v>17576</v>
      </c>
      <c r="T140" s="917">
        <f t="shared" si="235"/>
        <v>0.549228735125606</v>
      </c>
      <c r="U140" s="850">
        <f t="shared" si="236"/>
        <v>13.5646631770596</v>
      </c>
      <c r="V140" s="917">
        <f t="shared" si="237"/>
        <v>0.21019587240312</v>
      </c>
      <c r="W140" s="917">
        <f t="shared" si="222"/>
        <v>1.03835873619723</v>
      </c>
      <c r="X140" s="917">
        <f t="shared" si="238"/>
        <v>1.27644003777148</v>
      </c>
      <c r="Y140" s="917">
        <f t="shared" si="239"/>
        <v>5.57519260239384</v>
      </c>
      <c r="Z140" s="917">
        <f t="shared" si="240"/>
        <v>-0.468382275692252</v>
      </c>
      <c r="AA140" s="917">
        <f t="shared" si="241"/>
        <v>-0.218839771710662</v>
      </c>
      <c r="AB140" s="917">
        <f>B140/B140</f>
        <v>1</v>
      </c>
      <c r="AC140" s="917">
        <f>B140/F140</f>
        <v>0.0348090201635524</v>
      </c>
    </row>
    <row r="141" spans="1:29">
      <c r="A141" s="37" t="s">
        <v>55</v>
      </c>
      <c r="B141" s="917">
        <f t="shared" ref="B141:R141" si="243">(B140-B132)/B132</f>
        <v>0.21019587240312</v>
      </c>
      <c r="C141" s="917">
        <f t="shared" si="243"/>
        <v>0.0537448227474251</v>
      </c>
      <c r="D141" s="917">
        <f t="shared" si="243"/>
        <v>0.0383587361972283</v>
      </c>
      <c r="E141" s="917">
        <f t="shared" si="243"/>
        <v>5.47058823529412</v>
      </c>
      <c r="F141" s="917">
        <f t="shared" si="243"/>
        <v>5.57519260239384</v>
      </c>
      <c r="G141" s="917">
        <f t="shared" si="243"/>
        <v>1.27644003777148</v>
      </c>
      <c r="H141" s="917">
        <f t="shared" si="243"/>
        <v>0.000936914428482199</v>
      </c>
      <c r="I141" s="917">
        <f t="shared" si="243"/>
        <v>1.16028368794326</v>
      </c>
      <c r="J141" s="917">
        <f t="shared" si="243"/>
        <v>0.115909410606274</v>
      </c>
      <c r="K141" s="917">
        <f t="shared" si="243"/>
        <v>-0.0146013401139003</v>
      </c>
      <c r="L141" s="917">
        <f t="shared" si="243"/>
        <v>0.165489180391749</v>
      </c>
      <c r="M141" s="917">
        <f t="shared" si="243"/>
        <v>0.148471476469779</v>
      </c>
      <c r="N141" s="917">
        <f t="shared" si="243"/>
        <v>4.4331639632329</v>
      </c>
      <c r="O141" s="917">
        <f t="shared" si="243"/>
        <v>5.23155371041736</v>
      </c>
      <c r="P141" s="917">
        <f t="shared" si="243"/>
        <v>0.0161661294608657</v>
      </c>
      <c r="Q141" s="917">
        <f t="shared" si="243"/>
        <v>-0.812969728810427</v>
      </c>
      <c r="R141" s="917">
        <f t="shared" si="243"/>
        <v>-0.468382275692252</v>
      </c>
    </row>
    <row r="143" ht="41.4" spans="1:29">
      <c r="A143" s="868" t="s">
        <v>30</v>
      </c>
      <c r="B143" s="869" t="s">
        <v>1</v>
      </c>
      <c r="C143" s="870" t="s">
        <v>2</v>
      </c>
      <c r="D143" s="870" t="s">
        <v>3</v>
      </c>
      <c r="E143" s="871" t="s">
        <v>4</v>
      </c>
      <c r="F143" s="869" t="s">
        <v>5</v>
      </c>
      <c r="G143" s="871" t="s">
        <v>6</v>
      </c>
      <c r="H143" s="871" t="s">
        <v>7</v>
      </c>
      <c r="I143" s="871" t="s">
        <v>8</v>
      </c>
      <c r="J143" s="871" t="s">
        <v>34</v>
      </c>
      <c r="K143" s="879" t="s">
        <v>9</v>
      </c>
      <c r="L143" s="869" t="s">
        <v>10</v>
      </c>
      <c r="M143" s="880" t="s">
        <v>11</v>
      </c>
      <c r="N143" s="881" t="s">
        <v>12</v>
      </c>
      <c r="O143" s="879" t="s">
        <v>13</v>
      </c>
      <c r="P143" s="875" t="s">
        <v>14</v>
      </c>
      <c r="Q143" s="869" t="s">
        <v>15</v>
      </c>
      <c r="R143" s="912" t="s">
        <v>16</v>
      </c>
      <c r="S143" s="882" t="s">
        <v>35</v>
      </c>
      <c r="T143" s="882" t="s">
        <v>37</v>
      </c>
      <c r="U143" s="882" t="s">
        <v>36</v>
      </c>
      <c r="V143" s="882" t="s">
        <v>38</v>
      </c>
      <c r="W143" s="882" t="s">
        <v>39</v>
      </c>
      <c r="X143" s="882" t="s">
        <v>40</v>
      </c>
      <c r="Y143" s="882" t="s">
        <v>41</v>
      </c>
      <c r="Z143" s="882" t="s">
        <v>42</v>
      </c>
      <c r="AA143" s="882" t="s">
        <v>43</v>
      </c>
      <c r="AB143" s="37" t="s">
        <v>44</v>
      </c>
      <c r="AC143" s="37" t="s">
        <v>49</v>
      </c>
    </row>
    <row r="144" spans="1:29">
      <c r="A144" s="686" t="s">
        <v>19</v>
      </c>
      <c r="B144" s="685">
        <f>SUM(明星店铺!B950:B979)</f>
        <v>19003.17</v>
      </c>
      <c r="C144" s="918">
        <f>SUM(明星店铺!C950:C979)</f>
        <v>17727</v>
      </c>
      <c r="D144" s="918">
        <f>SUM(明星店铺!D950:D979)</f>
        <v>4825</v>
      </c>
      <c r="E144" s="918">
        <f>SUM(明星店铺!E950:E979)</f>
        <v>76</v>
      </c>
      <c r="F144" s="918">
        <f>SUM(明星店铺!F950:F979)</f>
        <v>861219.32</v>
      </c>
      <c r="G144" s="918">
        <f>SUM(明星店铺!G950:G979)</f>
        <v>1209</v>
      </c>
      <c r="H144" s="918">
        <f>SUM(明星店铺!H950:H979)</f>
        <v>122</v>
      </c>
      <c r="I144" s="918">
        <f>SUM(明星店铺!I950:I979)</f>
        <v>281</v>
      </c>
      <c r="J144" s="872">
        <f t="shared" ref="J144:J147" si="244">H144+I144</f>
        <v>403</v>
      </c>
      <c r="K144" s="688">
        <f t="shared" ref="K144:K148" si="245">D144/C144</f>
        <v>0.272183674620635</v>
      </c>
      <c r="L144" s="685">
        <f t="shared" ref="L144:L148" si="246">B144/D144</f>
        <v>3.93848082901554</v>
      </c>
      <c r="M144" s="886">
        <f t="shared" ref="M144:M148" si="247">(B144/C144)*1000</f>
        <v>1071.99018446438</v>
      </c>
      <c r="N144" s="887">
        <f t="shared" ref="N144:N148" si="248">F144/B144</f>
        <v>45.3197713855109</v>
      </c>
      <c r="O144" s="688">
        <f t="shared" ref="O144:O148" si="249">E144/D144</f>
        <v>0.0157512953367876</v>
      </c>
      <c r="P144" s="915">
        <f t="shared" ref="P144:P147" si="250">IF(E144=0,"0",F144/E144)</f>
        <v>11331.8331578947</v>
      </c>
      <c r="Q144" s="685">
        <f t="shared" ref="Q144:Q147" si="251">IF(E144=0,"0",B144/E144)</f>
        <v>250.041710526316</v>
      </c>
      <c r="R144" s="902">
        <f t="shared" ref="R144:R148" si="252">B144/G144</f>
        <v>15.7180893300248</v>
      </c>
      <c r="S144" s="558">
        <f t="shared" ref="S144:S148" si="253">G144+J144</f>
        <v>1612</v>
      </c>
      <c r="T144" s="917">
        <f t="shared" ref="T144:T148" si="254">(S144-S136)/S136</f>
        <v>-0.477979274611399</v>
      </c>
      <c r="U144" s="850">
        <f t="shared" ref="U144:U148" si="255">B144/S144</f>
        <v>11.7885669975186</v>
      </c>
      <c r="V144" s="917">
        <f t="shared" ref="V144:V148" si="256">(B144-B136)/B136</f>
        <v>-0.235248903067066</v>
      </c>
      <c r="W144" s="917">
        <f t="shared" ref="W144:W148" si="257">D144/$D$132</f>
        <v>0.023838343914429</v>
      </c>
      <c r="X144" s="917">
        <f t="shared" ref="X144:X148" si="258">(G144-G136)/G136</f>
        <v>-0.453929539295393</v>
      </c>
      <c r="Y144" s="917">
        <f t="shared" ref="Y144:Y148" si="259">(F144-F136)/F136</f>
        <v>-0.47819327614649</v>
      </c>
      <c r="Z144" s="917">
        <f t="shared" ref="Z144:Z148" si="260">(R144-R136)/R136</f>
        <v>0.400462306542197</v>
      </c>
      <c r="AA144" s="917">
        <f t="shared" ref="AA144:AA148" si="261">(U144-U136)/U136</f>
        <v>0.464982250204032</v>
      </c>
      <c r="AB144" s="917">
        <f>B144/B148</f>
        <v>0.0712716846839559</v>
      </c>
    </row>
    <row r="145" spans="1:29">
      <c r="A145" s="686" t="s">
        <v>20</v>
      </c>
      <c r="B145" s="685">
        <f>SUM(直通车!B950:B979)</f>
        <v>105022.96</v>
      </c>
      <c r="C145" s="918">
        <f>SUM(直通车!C950:C979)</f>
        <v>737900</v>
      </c>
      <c r="D145" s="918">
        <f>SUM(直通车!D950:D979)</f>
        <v>22009</v>
      </c>
      <c r="E145" s="918">
        <f>SUM(直通车!E950:E979)</f>
        <v>64</v>
      </c>
      <c r="F145" s="918">
        <f>SUM(直通车!F950:F979)</f>
        <v>649525.48</v>
      </c>
      <c r="G145" s="918">
        <f>SUM(直通车!G950:G979)</f>
        <v>1398</v>
      </c>
      <c r="H145" s="918">
        <f>SUM(直通车!H950:H979)</f>
        <v>205</v>
      </c>
      <c r="I145" s="918">
        <f>SUM(直通车!I950:I979)</f>
        <v>149</v>
      </c>
      <c r="J145" s="872">
        <f t="shared" si="244"/>
        <v>354</v>
      </c>
      <c r="K145" s="688">
        <f t="shared" si="245"/>
        <v>0.0298265347608077</v>
      </c>
      <c r="L145" s="685">
        <f t="shared" si="246"/>
        <v>4.77181880139943</v>
      </c>
      <c r="M145" s="886">
        <f t="shared" si="247"/>
        <v>142.326819352216</v>
      </c>
      <c r="N145" s="887">
        <f t="shared" si="248"/>
        <v>6.18460458551159</v>
      </c>
      <c r="O145" s="688">
        <f t="shared" si="249"/>
        <v>0.00290790131309919</v>
      </c>
      <c r="P145" s="915">
        <f t="shared" si="250"/>
        <v>10148.835625</v>
      </c>
      <c r="Q145" s="685">
        <f t="shared" si="251"/>
        <v>1640.98375</v>
      </c>
      <c r="R145" s="902">
        <f t="shared" si="252"/>
        <v>75.1237195994277</v>
      </c>
      <c r="S145" s="558">
        <f t="shared" si="253"/>
        <v>1752</v>
      </c>
      <c r="T145" s="917">
        <f t="shared" si="254"/>
        <v>-0.376290494838021</v>
      </c>
      <c r="U145" s="850">
        <f t="shared" si="255"/>
        <v>59.9446118721461</v>
      </c>
      <c r="V145" s="917">
        <f t="shared" si="256"/>
        <v>0.221045572480069</v>
      </c>
      <c r="W145" s="917">
        <f t="shared" si="257"/>
        <v>0.108737432375682</v>
      </c>
      <c r="X145" s="917">
        <f t="shared" si="258"/>
        <v>-0.364256480218281</v>
      </c>
      <c r="Y145" s="917">
        <f t="shared" si="259"/>
        <v>-0.51441850581573</v>
      </c>
      <c r="Z145" s="917">
        <f t="shared" si="260"/>
        <v>0.920657520660709</v>
      </c>
      <c r="AA145" s="917">
        <f t="shared" si="261"/>
        <v>0.95771519012358</v>
      </c>
      <c r="AB145" s="917">
        <f>B145/B148</f>
        <v>0.393890245137822</v>
      </c>
    </row>
    <row r="146" spans="1:29">
      <c r="A146" s="686" t="s">
        <v>21</v>
      </c>
      <c r="B146" s="685">
        <f>SUM(引力魔方!B849:B878)</f>
        <v>20117.89</v>
      </c>
      <c r="C146" s="918">
        <f>SUM(引力魔方!C849:C878)</f>
        <v>21428665</v>
      </c>
      <c r="D146" s="918">
        <f>SUM(引力魔方!D849:D878)</f>
        <v>113417</v>
      </c>
      <c r="E146" s="918">
        <f>SUM(引力魔方!E849:E878)</f>
        <v>3</v>
      </c>
      <c r="F146" s="918">
        <f>SUM(引力魔方!F849:F878)</f>
        <v>49560</v>
      </c>
      <c r="G146" s="918">
        <f>SUM(引力魔方!G849:G878)</f>
        <v>964</v>
      </c>
      <c r="H146" s="918">
        <f>SUM(引力魔方!H849:H878)</f>
        <v>1595</v>
      </c>
      <c r="I146" s="918">
        <f>SUM(引力魔方!I849:I878)</f>
        <v>79</v>
      </c>
      <c r="J146" s="872">
        <f t="shared" si="244"/>
        <v>1674</v>
      </c>
      <c r="K146" s="688">
        <f t="shared" si="245"/>
        <v>0.00529277022157003</v>
      </c>
      <c r="L146" s="685">
        <f t="shared" si="246"/>
        <v>0.177379846054824</v>
      </c>
      <c r="M146" s="886">
        <f t="shared" si="247"/>
        <v>0.93883076710565</v>
      </c>
      <c r="N146" s="887">
        <f t="shared" si="248"/>
        <v>2.46347902289952</v>
      </c>
      <c r="O146" s="688">
        <f t="shared" si="249"/>
        <v>2.64510611284023e-5</v>
      </c>
      <c r="P146" s="915">
        <f t="shared" si="250"/>
        <v>16520</v>
      </c>
      <c r="Q146" s="685">
        <f t="shared" si="251"/>
        <v>6705.96333333333</v>
      </c>
      <c r="R146" s="902">
        <f t="shared" si="252"/>
        <v>20.8691804979253</v>
      </c>
      <c r="S146" s="558">
        <f t="shared" si="253"/>
        <v>2638</v>
      </c>
      <c r="T146" s="917">
        <f t="shared" si="254"/>
        <v>-0.0534625044851094</v>
      </c>
      <c r="U146" s="850">
        <f t="shared" si="255"/>
        <v>7.62619029567854</v>
      </c>
      <c r="V146" s="917">
        <f t="shared" si="256"/>
        <v>-0.227790111913086</v>
      </c>
      <c r="W146" s="917">
        <f t="shared" si="257"/>
        <v>0.560346829376745</v>
      </c>
      <c r="X146" s="917">
        <f t="shared" si="258"/>
        <v>-0.22570281124498</v>
      </c>
      <c r="Y146" s="917">
        <f t="shared" si="259"/>
        <v>-0.9150721270011</v>
      </c>
      <c r="Z146" s="917">
        <f t="shared" si="260"/>
        <v>-0.00269573582136096</v>
      </c>
      <c r="AA146" s="917">
        <f t="shared" si="261"/>
        <v>-0.184174011335015</v>
      </c>
      <c r="AB146" s="917">
        <f>B146/B148</f>
        <v>0.075452459383698</v>
      </c>
    </row>
    <row r="147" spans="1:29">
      <c r="A147" s="686" t="s">
        <v>27</v>
      </c>
      <c r="B147" s="685">
        <f>SUM(万相台!B438:B467)</f>
        <v>122485.99</v>
      </c>
      <c r="C147" s="918">
        <f>SUM(万相台!C438:C467)</f>
        <v>11862039</v>
      </c>
      <c r="D147" s="918">
        <f>SUM(万相台!D438:D467)</f>
        <v>120186</v>
      </c>
      <c r="E147" s="918">
        <f>SUM(万相台!E438:E467)</f>
        <v>120</v>
      </c>
      <c r="F147" s="918">
        <f>SUM(万相台!F438:F467)</f>
        <v>1288914.9</v>
      </c>
      <c r="G147" s="918">
        <f>SUM(万相台!G438:G467)</f>
        <v>3976</v>
      </c>
      <c r="H147" s="918">
        <f>SUM(万相台!H438:H467)</f>
        <v>6036</v>
      </c>
      <c r="I147" s="918">
        <f>SUM(万相台!I438:I467)</f>
        <v>471</v>
      </c>
      <c r="J147" s="872">
        <f t="shared" si="244"/>
        <v>6507</v>
      </c>
      <c r="K147" s="688">
        <f t="shared" si="245"/>
        <v>0.0101319848973688</v>
      </c>
      <c r="L147" s="685">
        <f t="shared" si="246"/>
        <v>1.01913692110562</v>
      </c>
      <c r="M147" s="886">
        <f t="shared" si="247"/>
        <v>10.3258798929931</v>
      </c>
      <c r="N147" s="887">
        <f t="shared" si="248"/>
        <v>10.5229577684762</v>
      </c>
      <c r="O147" s="688">
        <f t="shared" si="249"/>
        <v>0.000998452398781888</v>
      </c>
      <c r="P147" s="915">
        <f t="shared" si="250"/>
        <v>10740.9575</v>
      </c>
      <c r="Q147" s="685">
        <f t="shared" si="251"/>
        <v>1020.71658333333</v>
      </c>
      <c r="R147" s="902">
        <f t="shared" si="252"/>
        <v>30.8063355130785</v>
      </c>
      <c r="S147" s="558">
        <f t="shared" si="253"/>
        <v>10483</v>
      </c>
      <c r="T147" s="917">
        <f t="shared" si="254"/>
        <v>0.178924876293297</v>
      </c>
      <c r="U147" s="850">
        <f t="shared" si="255"/>
        <v>11.6842497376705</v>
      </c>
      <c r="V147" s="917">
        <f t="shared" si="256"/>
        <v>0.206750794206737</v>
      </c>
      <c r="W147" s="917">
        <f t="shared" si="257"/>
        <v>0.593789679108718</v>
      </c>
      <c r="X147" s="917">
        <f t="shared" si="258"/>
        <v>-0.00225846925972396</v>
      </c>
      <c r="Y147" s="917">
        <f t="shared" si="259"/>
        <v>-0.606741349858976</v>
      </c>
      <c r="Z147" s="917">
        <f t="shared" si="260"/>
        <v>0.209482372966259</v>
      </c>
      <c r="AA147" s="917">
        <f t="shared" si="261"/>
        <v>0.0236027913847473</v>
      </c>
      <c r="AB147" s="917">
        <f>B147/B148</f>
        <v>0.459385610794524</v>
      </c>
    </row>
    <row r="148" spans="1:29">
      <c r="A148" s="891" t="s">
        <v>22</v>
      </c>
      <c r="B148" s="903">
        <f>SUM(B144:B147)</f>
        <v>266630.01</v>
      </c>
      <c r="C148" s="904">
        <f t="shared" ref="C148:J148" si="262">SUM(C144:C147)</f>
        <v>34046331</v>
      </c>
      <c r="D148" s="904">
        <f t="shared" si="262"/>
        <v>260437</v>
      </c>
      <c r="E148" s="904">
        <f t="shared" si="262"/>
        <v>263</v>
      </c>
      <c r="F148" s="903">
        <f t="shared" si="262"/>
        <v>2849219.7</v>
      </c>
      <c r="G148" s="904">
        <f t="shared" si="262"/>
        <v>7547</v>
      </c>
      <c r="H148" s="904">
        <f t="shared" si="262"/>
        <v>7958</v>
      </c>
      <c r="I148" s="904">
        <f t="shared" si="262"/>
        <v>980</v>
      </c>
      <c r="J148" s="904">
        <f t="shared" si="262"/>
        <v>8938</v>
      </c>
      <c r="K148" s="896">
        <f t="shared" si="245"/>
        <v>0.00764948798741339</v>
      </c>
      <c r="L148" s="903">
        <f t="shared" si="246"/>
        <v>1.02377930171212</v>
      </c>
      <c r="M148" s="897">
        <f t="shared" si="247"/>
        <v>7.83138747020935</v>
      </c>
      <c r="N148" s="898">
        <f t="shared" si="248"/>
        <v>10.6860428051591</v>
      </c>
      <c r="O148" s="896">
        <f t="shared" si="249"/>
        <v>0.00100984115160288</v>
      </c>
      <c r="P148" s="916">
        <f>F148/E148</f>
        <v>10833.5349809886</v>
      </c>
      <c r="Q148" s="903">
        <f>B148/E148</f>
        <v>1013.80231939164</v>
      </c>
      <c r="R148" s="902">
        <f t="shared" si="252"/>
        <v>35.3292712336028</v>
      </c>
      <c r="S148" s="558">
        <f t="shared" si="253"/>
        <v>16485</v>
      </c>
      <c r="T148" s="917">
        <f t="shared" si="254"/>
        <v>-0.062073281747838</v>
      </c>
      <c r="U148" s="850">
        <f t="shared" si="255"/>
        <v>16.1740982711556</v>
      </c>
      <c r="V148" s="917">
        <f t="shared" si="256"/>
        <v>0.118355739035853</v>
      </c>
      <c r="W148" s="917">
        <f t="shared" si="257"/>
        <v>1.28671228477557</v>
      </c>
      <c r="X148" s="917">
        <f t="shared" si="258"/>
        <v>-0.217359742818625</v>
      </c>
      <c r="Y148" s="917">
        <f t="shared" si="259"/>
        <v>-0.584004455857894</v>
      </c>
      <c r="Z148" s="917">
        <f t="shared" si="260"/>
        <v>0.428952483307636</v>
      </c>
      <c r="AA148" s="917">
        <f t="shared" si="261"/>
        <v>0.192370061831613</v>
      </c>
      <c r="AB148" s="917">
        <f>B148/B148</f>
        <v>1</v>
      </c>
      <c r="AC148" s="917">
        <f>B148/F148</f>
        <v>0.0935800106955599</v>
      </c>
    </row>
    <row r="149" spans="1:29">
      <c r="A149" s="37" t="s">
        <v>56</v>
      </c>
      <c r="B149" s="917">
        <f>(B148-B140)/B140</f>
        <v>0.118355739035853</v>
      </c>
      <c r="C149" s="917">
        <f t="shared" ref="C149:R149" si="263">(C148-C140)/C140</f>
        <v>-0.0679107962673648</v>
      </c>
      <c r="D149" s="917">
        <f t="shared" si="263"/>
        <v>0.239178946466891</v>
      </c>
      <c r="E149" s="917">
        <f t="shared" si="263"/>
        <v>-0.601515151515152</v>
      </c>
      <c r="F149" s="917">
        <f t="shared" si="263"/>
        <v>-0.584004455857894</v>
      </c>
      <c r="G149" s="917">
        <f t="shared" si="263"/>
        <v>-0.217359742818625</v>
      </c>
      <c r="H149" s="917">
        <f t="shared" si="263"/>
        <v>0.241497659906396</v>
      </c>
      <c r="I149" s="917">
        <f t="shared" si="263"/>
        <v>-0.356533158240315</v>
      </c>
      <c r="J149" s="917">
        <f t="shared" si="263"/>
        <v>0.126685995209883</v>
      </c>
      <c r="K149" s="917">
        <f t="shared" si="263"/>
        <v>0.329463898417112</v>
      </c>
      <c r="L149" s="917">
        <f t="shared" si="263"/>
        <v>-0.0975026308956635</v>
      </c>
      <c r="M149" s="917">
        <f t="shared" si="263"/>
        <v>0.199837670640639</v>
      </c>
      <c r="N149" s="917">
        <f t="shared" si="263"/>
        <v>-0.628029320526633</v>
      </c>
      <c r="O149" s="917">
        <f t="shared" si="263"/>
        <v>-0.678428325770869</v>
      </c>
      <c r="P149" s="917">
        <f t="shared" si="263"/>
        <v>0.0439431906227754</v>
      </c>
      <c r="Q149" s="917">
        <f t="shared" si="263"/>
        <v>1.80652010556526</v>
      </c>
      <c r="R149" s="917">
        <f t="shared" si="263"/>
        <v>0.428952483307636</v>
      </c>
    </row>
    <row r="151" ht="41.4" spans="1:29">
      <c r="A151" s="868" t="s">
        <v>31</v>
      </c>
      <c r="B151" s="869" t="s">
        <v>1</v>
      </c>
      <c r="C151" s="870" t="s">
        <v>2</v>
      </c>
      <c r="D151" s="870" t="s">
        <v>3</v>
      </c>
      <c r="E151" s="871" t="s">
        <v>4</v>
      </c>
      <c r="F151" s="869" t="s">
        <v>5</v>
      </c>
      <c r="G151" s="871" t="s">
        <v>6</v>
      </c>
      <c r="H151" s="871" t="s">
        <v>7</v>
      </c>
      <c r="I151" s="871" t="s">
        <v>8</v>
      </c>
      <c r="J151" s="871" t="s">
        <v>34</v>
      </c>
      <c r="K151" s="879" t="s">
        <v>9</v>
      </c>
      <c r="L151" s="869" t="s">
        <v>10</v>
      </c>
      <c r="M151" s="880" t="s">
        <v>11</v>
      </c>
      <c r="N151" s="881" t="s">
        <v>12</v>
      </c>
      <c r="O151" s="879" t="s">
        <v>13</v>
      </c>
      <c r="P151" s="875" t="s">
        <v>14</v>
      </c>
      <c r="Q151" s="869" t="s">
        <v>15</v>
      </c>
      <c r="R151" s="912" t="s">
        <v>16</v>
      </c>
      <c r="S151" s="882" t="s">
        <v>35</v>
      </c>
      <c r="T151" s="882" t="s">
        <v>37</v>
      </c>
      <c r="U151" s="882" t="s">
        <v>36</v>
      </c>
      <c r="V151" s="882" t="s">
        <v>38</v>
      </c>
      <c r="W151" s="882" t="s">
        <v>39</v>
      </c>
      <c r="X151" s="882" t="s">
        <v>40</v>
      </c>
      <c r="Y151" s="882" t="s">
        <v>41</v>
      </c>
      <c r="Z151" s="882" t="s">
        <v>42</v>
      </c>
      <c r="AA151" s="882" t="s">
        <v>43</v>
      </c>
      <c r="AB151" s="37" t="s">
        <v>44</v>
      </c>
      <c r="AC151" s="37" t="s">
        <v>49</v>
      </c>
    </row>
    <row r="152" spans="1:29">
      <c r="A152" s="686" t="s">
        <v>19</v>
      </c>
      <c r="B152" s="685">
        <f>SUM(明星店铺!B980:B1010)</f>
        <v>20281.22</v>
      </c>
      <c r="C152" s="918">
        <f>SUM(明星店铺!C980:C1010)</f>
        <v>21794</v>
      </c>
      <c r="D152" s="918">
        <f>SUM(明星店铺!D980:D1010)</f>
        <v>6338</v>
      </c>
      <c r="E152" s="918">
        <f>SUM(明星店铺!E980:E1010)</f>
        <v>46</v>
      </c>
      <c r="F152" s="918">
        <f>SUM(明星店铺!F980:F1010)</f>
        <v>479866</v>
      </c>
      <c r="G152" s="918">
        <f>SUM(明星店铺!G980:G1010)</f>
        <v>1219</v>
      </c>
      <c r="H152" s="918">
        <f>SUM(明星店铺!H980:H1010)</f>
        <v>136</v>
      </c>
      <c r="I152" s="918">
        <f>SUM(明星店铺!I980:I1010)</f>
        <v>297</v>
      </c>
      <c r="J152" s="872">
        <f t="shared" ref="J152:J155" si="264">H152+I152</f>
        <v>433</v>
      </c>
      <c r="K152" s="688">
        <f t="shared" ref="K152:K156" si="265">D152/C152</f>
        <v>0.290813985500597</v>
      </c>
      <c r="L152" s="685">
        <f t="shared" ref="L152:L156" si="266">B152/D152</f>
        <v>3.19994004417797</v>
      </c>
      <c r="M152" s="886">
        <f t="shared" ref="M152:M156" si="267">(B152/C152)*1000</f>
        <v>930.587317610351</v>
      </c>
      <c r="N152" s="887">
        <f t="shared" ref="N152:N156" si="268">F152/B152</f>
        <v>23.6606081882648</v>
      </c>
      <c r="O152" s="688">
        <f t="shared" ref="O152:O156" si="269">E152/D152</f>
        <v>0.00725781003471127</v>
      </c>
      <c r="P152" s="915">
        <f t="shared" ref="P152:P155" si="270">IF(E152=0,"0",F152/E152)</f>
        <v>10431.8695652174</v>
      </c>
      <c r="Q152" s="685">
        <f t="shared" ref="Q152:Q155" si="271">IF(E152=0,"0",B152/E152)</f>
        <v>440.896086956522</v>
      </c>
      <c r="R152" s="902">
        <f t="shared" ref="R152:R156" si="272">B152/G152</f>
        <v>16.6375881870386</v>
      </c>
      <c r="S152" s="558">
        <f t="shared" ref="S152:S156" si="273">G152+J152</f>
        <v>1652</v>
      </c>
      <c r="T152" s="917">
        <f t="shared" ref="T152:T156" si="274">(S152-S144)/S144</f>
        <v>0.0248138957816377</v>
      </c>
      <c r="U152" s="850">
        <f t="shared" ref="U152:U156" si="275">B152/S152</f>
        <v>12.2767675544794</v>
      </c>
      <c r="V152" s="917">
        <f t="shared" ref="V152:V156" si="276">(B152-B144)/B144</f>
        <v>0.0672545685798735</v>
      </c>
      <c r="W152" s="917">
        <f t="shared" ref="W152:W156" si="277">D152/$D$132</f>
        <v>0.0313134556952644</v>
      </c>
      <c r="X152" s="917">
        <f t="shared" ref="X152:X156" si="278">(G152-G144)/G144</f>
        <v>0.00827129859387924</v>
      </c>
      <c r="Y152" s="917">
        <f t="shared" ref="Y152:Y156" si="279">(F152-F144)/F144</f>
        <v>-0.4428062761063</v>
      </c>
      <c r="Z152" s="917">
        <f t="shared" ref="Z152:Z156" si="280">(R152-R144)/R144</f>
        <v>0.0584994039483733</v>
      </c>
      <c r="AA152" s="917">
        <f t="shared" ref="AA152:AA156" si="281">(U152-U144)/U144</f>
        <v>0.0414130536021526</v>
      </c>
      <c r="AB152" s="917">
        <f>B152/B156</f>
        <v>0.148190056490042</v>
      </c>
    </row>
    <row r="153" spans="1:29">
      <c r="A153" s="686" t="s">
        <v>20</v>
      </c>
      <c r="B153" s="685">
        <f>SUM(直通车!B980:B1010)</f>
        <v>64438.9</v>
      </c>
      <c r="C153" s="918">
        <f>SUM(直通车!C980:C1010)</f>
        <v>301445</v>
      </c>
      <c r="D153" s="918">
        <f>SUM(直通车!D980:D1010)</f>
        <v>17541</v>
      </c>
      <c r="E153" s="918">
        <f>SUM(直通车!E980:E1010)</f>
        <v>28</v>
      </c>
      <c r="F153" s="918">
        <f>SUM(直通车!F980:F1010)</f>
        <v>322250</v>
      </c>
      <c r="G153" s="918">
        <f>SUM(直通车!G980:G1010)</f>
        <v>1075</v>
      </c>
      <c r="H153" s="918">
        <f>SUM(直通车!H980:H1010)</f>
        <v>133</v>
      </c>
      <c r="I153" s="918">
        <f>SUM(直通车!I980:I1010)</f>
        <v>113</v>
      </c>
      <c r="J153" s="872">
        <f t="shared" si="264"/>
        <v>246</v>
      </c>
      <c r="K153" s="688">
        <f t="shared" si="265"/>
        <v>0.0581897195176566</v>
      </c>
      <c r="L153" s="685">
        <f t="shared" si="266"/>
        <v>3.67361609942421</v>
      </c>
      <c r="M153" s="886">
        <f t="shared" si="267"/>
        <v>213.766690441042</v>
      </c>
      <c r="N153" s="887">
        <f t="shared" si="268"/>
        <v>5.00086128099642</v>
      </c>
      <c r="O153" s="688">
        <f t="shared" si="269"/>
        <v>0.00159626019041104</v>
      </c>
      <c r="P153" s="915">
        <f t="shared" si="270"/>
        <v>11508.9285714286</v>
      </c>
      <c r="Q153" s="685">
        <f t="shared" si="271"/>
        <v>2301.38928571429</v>
      </c>
      <c r="R153" s="902">
        <f t="shared" si="272"/>
        <v>59.9431627906977</v>
      </c>
      <c r="S153" s="558">
        <f t="shared" si="273"/>
        <v>1321</v>
      </c>
      <c r="T153" s="917">
        <f t="shared" si="274"/>
        <v>-0.246004566210046</v>
      </c>
      <c r="U153" s="850">
        <f t="shared" si="275"/>
        <v>48.7803936411809</v>
      </c>
      <c r="V153" s="917">
        <f t="shared" si="276"/>
        <v>-0.386430357704639</v>
      </c>
      <c r="W153" s="917">
        <f t="shared" si="277"/>
        <v>0.0866628788814505</v>
      </c>
      <c r="X153" s="917">
        <f t="shared" si="278"/>
        <v>-0.2310443490701</v>
      </c>
      <c r="Y153" s="917">
        <f t="shared" si="279"/>
        <v>-0.503868578027147</v>
      </c>
      <c r="Z153" s="917">
        <f t="shared" si="280"/>
        <v>-0.202074083787056</v>
      </c>
      <c r="AA153" s="917">
        <f t="shared" si="281"/>
        <v>-0.186242230657477</v>
      </c>
      <c r="AB153" s="917">
        <f>B153/B156</f>
        <v>0.470839734057229</v>
      </c>
    </row>
    <row r="154" spans="1:29">
      <c r="A154" s="686" t="s">
        <v>21</v>
      </c>
      <c r="B154" s="685">
        <f>SUM(引力魔方!B879:B909)</f>
        <v>7506.4</v>
      </c>
      <c r="C154" s="918">
        <f>SUM(引力魔方!C879:C909)</f>
        <v>7967963</v>
      </c>
      <c r="D154" s="918">
        <f>SUM(引力魔方!D879:D909)</f>
        <v>37450</v>
      </c>
      <c r="E154" s="918">
        <f>SUM(引力魔方!E879:E909)</f>
        <v>4</v>
      </c>
      <c r="F154" s="918">
        <f>SUM(引力魔方!F879:F909)</f>
        <v>32493</v>
      </c>
      <c r="G154" s="918">
        <f>SUM(引力魔方!G879:G909)</f>
        <v>306</v>
      </c>
      <c r="H154" s="918">
        <f>SUM(引力魔方!H879:H909)</f>
        <v>516</v>
      </c>
      <c r="I154" s="918">
        <f>SUM(引力魔方!I879:I909)</f>
        <v>25</v>
      </c>
      <c r="J154" s="872">
        <f t="shared" si="264"/>
        <v>541</v>
      </c>
      <c r="K154" s="688">
        <f t="shared" si="265"/>
        <v>0.00470007202593687</v>
      </c>
      <c r="L154" s="685">
        <f t="shared" si="266"/>
        <v>0.200437917222964</v>
      </c>
      <c r="M154" s="886">
        <f t="shared" si="267"/>
        <v>0.942072647676702</v>
      </c>
      <c r="N154" s="887">
        <f t="shared" si="268"/>
        <v>4.32870617073431</v>
      </c>
      <c r="O154" s="688">
        <f t="shared" si="269"/>
        <v>0.000106809078771696</v>
      </c>
      <c r="P154" s="915">
        <f t="shared" si="270"/>
        <v>8123.25</v>
      </c>
      <c r="Q154" s="685">
        <f t="shared" si="271"/>
        <v>1876.6</v>
      </c>
      <c r="R154" s="902">
        <f t="shared" si="272"/>
        <v>24.5307189542484</v>
      </c>
      <c r="S154" s="558">
        <f t="shared" si="273"/>
        <v>847</v>
      </c>
      <c r="T154" s="917">
        <f t="shared" si="274"/>
        <v>-0.678923426838514</v>
      </c>
      <c r="U154" s="850">
        <f t="shared" si="275"/>
        <v>8.86233766233766</v>
      </c>
      <c r="V154" s="917">
        <f t="shared" si="276"/>
        <v>-0.626879359614751</v>
      </c>
      <c r="W154" s="917">
        <f t="shared" si="277"/>
        <v>0.185025073491268</v>
      </c>
      <c r="X154" s="917">
        <f t="shared" si="278"/>
        <v>-0.682572614107884</v>
      </c>
      <c r="Y154" s="917">
        <f t="shared" si="279"/>
        <v>-0.344370460048426</v>
      </c>
      <c r="Z154" s="917">
        <f t="shared" si="280"/>
        <v>0.175451952063334</v>
      </c>
      <c r="AA154" s="917">
        <f t="shared" si="281"/>
        <v>0.162092384104236</v>
      </c>
      <c r="AB154" s="917">
        <f>B154/B156</f>
        <v>0.054847481563577</v>
      </c>
    </row>
    <row r="155" spans="1:29">
      <c r="A155" s="686" t="s">
        <v>27</v>
      </c>
      <c r="B155" s="685">
        <f>SUM(万相台!B468:B498)</f>
        <v>44633</v>
      </c>
      <c r="C155" s="918">
        <f>SUM(万相台!C468:C498)</f>
        <v>4693645</v>
      </c>
      <c r="D155" s="918">
        <f>SUM(万相台!D468:D498)</f>
        <v>59035</v>
      </c>
      <c r="E155" s="918">
        <f>SUM(万相台!E468:E498)</f>
        <v>26</v>
      </c>
      <c r="F155" s="918">
        <f>SUM(万相台!F468:F498)</f>
        <v>242160</v>
      </c>
      <c r="G155" s="918">
        <f>SUM(万相台!G468:G498)</f>
        <v>1583</v>
      </c>
      <c r="H155" s="918">
        <f>SUM(万相台!H468:H498)</f>
        <v>2001</v>
      </c>
      <c r="I155" s="918">
        <f>SUM(万相台!I468:I498)</f>
        <v>210</v>
      </c>
      <c r="J155" s="872">
        <f t="shared" si="264"/>
        <v>2211</v>
      </c>
      <c r="K155" s="688">
        <f t="shared" si="265"/>
        <v>0.0125776448794061</v>
      </c>
      <c r="L155" s="685">
        <f t="shared" si="266"/>
        <v>0.75604302532396</v>
      </c>
      <c r="M155" s="886">
        <f t="shared" si="267"/>
        <v>9.5092406860766</v>
      </c>
      <c r="N155" s="887">
        <f t="shared" si="268"/>
        <v>5.42558196849864</v>
      </c>
      <c r="O155" s="688">
        <f t="shared" si="269"/>
        <v>0.000440416701956466</v>
      </c>
      <c r="P155" s="915">
        <f t="shared" si="270"/>
        <v>9313.84615384615</v>
      </c>
      <c r="Q155" s="685">
        <f t="shared" si="271"/>
        <v>1716.65384615385</v>
      </c>
      <c r="R155" s="902">
        <f t="shared" si="272"/>
        <v>28.1951989892609</v>
      </c>
      <c r="S155" s="558">
        <f t="shared" si="273"/>
        <v>3794</v>
      </c>
      <c r="T155" s="917">
        <f t="shared" si="274"/>
        <v>-0.638080702089097</v>
      </c>
      <c r="U155" s="850">
        <f t="shared" si="275"/>
        <v>11.7641012124407</v>
      </c>
      <c r="V155" s="917">
        <f t="shared" si="276"/>
        <v>-0.635607304966062</v>
      </c>
      <c r="W155" s="917">
        <f t="shared" si="277"/>
        <v>0.291667695956128</v>
      </c>
      <c r="X155" s="917">
        <f t="shared" si="278"/>
        <v>-0.601861167002012</v>
      </c>
      <c r="Y155" s="917">
        <f t="shared" si="279"/>
        <v>-0.812121032971223</v>
      </c>
      <c r="Z155" s="917">
        <f t="shared" si="280"/>
        <v>-0.0847597249179168</v>
      </c>
      <c r="AA155" s="917">
        <f t="shared" si="281"/>
        <v>0.00683411229329788</v>
      </c>
      <c r="AB155" s="917">
        <f>B155/B156</f>
        <v>0.326122727889152</v>
      </c>
    </row>
    <row r="156" spans="1:29">
      <c r="A156" s="891" t="s">
        <v>22</v>
      </c>
      <c r="B156" s="903">
        <f>SUM(B152:B155)</f>
        <v>136859.52</v>
      </c>
      <c r="C156" s="904">
        <f t="shared" ref="C156:J156" si="282">SUM(C152:C155)</f>
        <v>12984847</v>
      </c>
      <c r="D156" s="904">
        <f t="shared" si="282"/>
        <v>120364</v>
      </c>
      <c r="E156" s="904">
        <f t="shared" si="282"/>
        <v>104</v>
      </c>
      <c r="F156" s="903">
        <f t="shared" si="282"/>
        <v>1076769</v>
      </c>
      <c r="G156" s="904">
        <f t="shared" si="282"/>
        <v>4183</v>
      </c>
      <c r="H156" s="904">
        <f t="shared" si="282"/>
        <v>2786</v>
      </c>
      <c r="I156" s="904">
        <f t="shared" si="282"/>
        <v>645</v>
      </c>
      <c r="J156" s="904">
        <f t="shared" si="282"/>
        <v>3431</v>
      </c>
      <c r="K156" s="896">
        <f t="shared" si="265"/>
        <v>0.00926957398881943</v>
      </c>
      <c r="L156" s="903">
        <f t="shared" si="266"/>
        <v>1.13704695756206</v>
      </c>
      <c r="M156" s="897">
        <f t="shared" si="267"/>
        <v>10.5399409018836</v>
      </c>
      <c r="N156" s="898">
        <f t="shared" si="268"/>
        <v>7.86769528345562</v>
      </c>
      <c r="O156" s="896">
        <f t="shared" si="269"/>
        <v>0.000864045727958526</v>
      </c>
      <c r="P156" s="916">
        <f>F156/E156</f>
        <v>10353.5480769231</v>
      </c>
      <c r="Q156" s="903">
        <f>B156/E156</f>
        <v>1315.95692307692</v>
      </c>
      <c r="R156" s="902">
        <f t="shared" si="272"/>
        <v>32.7180301219221</v>
      </c>
      <c r="S156" s="558">
        <f t="shared" si="273"/>
        <v>7614</v>
      </c>
      <c r="T156" s="917">
        <f t="shared" si="274"/>
        <v>-0.538125568698817</v>
      </c>
      <c r="U156" s="850">
        <f t="shared" si="275"/>
        <v>17.9747202521671</v>
      </c>
      <c r="V156" s="917">
        <f t="shared" si="276"/>
        <v>-0.486706241356703</v>
      </c>
      <c r="W156" s="917">
        <f t="shared" si="277"/>
        <v>0.59466910402411</v>
      </c>
      <c r="X156" s="917">
        <f t="shared" si="278"/>
        <v>-0.445740029150656</v>
      </c>
      <c r="Y156" s="917">
        <f t="shared" si="279"/>
        <v>-0.622082846050798</v>
      </c>
      <c r="Z156" s="917">
        <f t="shared" si="280"/>
        <v>-0.0739115475780623</v>
      </c>
      <c r="AA156" s="917">
        <f t="shared" si="281"/>
        <v>0.111327503445595</v>
      </c>
      <c r="AB156" s="917">
        <f>B156/B156</f>
        <v>1</v>
      </c>
      <c r="AC156" s="917">
        <f>B156/F156</f>
        <v>0.127102024668244</v>
      </c>
    </row>
    <row r="157" spans="1:29">
      <c r="A157" s="37" t="s">
        <v>57</v>
      </c>
      <c r="B157" s="917">
        <f>(B156-B148)/B148</f>
        <v>-0.486706241356703</v>
      </c>
      <c r="C157" s="917">
        <f t="shared" ref="C157:R157" si="283">(C156-C148)/C148</f>
        <v>-0.61861244314402</v>
      </c>
      <c r="D157" s="917">
        <f t="shared" si="283"/>
        <v>-0.537838325583538</v>
      </c>
      <c r="E157" s="917">
        <f t="shared" si="283"/>
        <v>-0.604562737642586</v>
      </c>
      <c r="F157" s="917">
        <f t="shared" si="283"/>
        <v>-0.622082846050798</v>
      </c>
      <c r="G157" s="917">
        <f t="shared" si="283"/>
        <v>-0.445740029150656</v>
      </c>
      <c r="H157" s="917">
        <f t="shared" si="283"/>
        <v>-0.649912038200553</v>
      </c>
      <c r="I157" s="917">
        <f t="shared" si="283"/>
        <v>-0.341836734693878</v>
      </c>
      <c r="J157" s="917">
        <f t="shared" si="283"/>
        <v>-0.616133363168494</v>
      </c>
      <c r="K157" s="917">
        <f t="shared" si="283"/>
        <v>0.211790122956172</v>
      </c>
      <c r="L157" s="917">
        <f t="shared" si="283"/>
        <v>0.110636790234492</v>
      </c>
      <c r="M157" s="917">
        <f t="shared" si="283"/>
        <v>0.345858692597904</v>
      </c>
      <c r="N157" s="917">
        <f t="shared" si="283"/>
        <v>-0.263740991224817</v>
      </c>
      <c r="O157" s="917">
        <f t="shared" si="283"/>
        <v>-0.144374611207853</v>
      </c>
      <c r="P157" s="917">
        <f t="shared" si="283"/>
        <v>-0.0443056587630751</v>
      </c>
      <c r="Q157" s="917">
        <f t="shared" si="283"/>
        <v>0.298040947338339</v>
      </c>
      <c r="R157" s="917">
        <f t="shared" si="283"/>
        <v>-0.0739115475780623</v>
      </c>
    </row>
    <row r="159" ht="41.4" spans="1:29">
      <c r="A159" s="868" t="s">
        <v>0</v>
      </c>
      <c r="B159" s="869" t="s">
        <v>1</v>
      </c>
      <c r="C159" s="870" t="s">
        <v>2</v>
      </c>
      <c r="D159" s="870" t="s">
        <v>3</v>
      </c>
      <c r="E159" s="871" t="s">
        <v>4</v>
      </c>
      <c r="F159" s="869" t="s">
        <v>5</v>
      </c>
      <c r="G159" s="871" t="s">
        <v>6</v>
      </c>
      <c r="H159" s="871" t="s">
        <v>7</v>
      </c>
      <c r="I159" s="871" t="s">
        <v>8</v>
      </c>
      <c r="J159" s="871" t="s">
        <v>34</v>
      </c>
      <c r="K159" s="879" t="s">
        <v>9</v>
      </c>
      <c r="L159" s="869" t="s">
        <v>10</v>
      </c>
      <c r="M159" s="880" t="s">
        <v>11</v>
      </c>
      <c r="N159" s="881" t="s">
        <v>12</v>
      </c>
      <c r="O159" s="879" t="s">
        <v>13</v>
      </c>
      <c r="P159" s="875" t="s">
        <v>14</v>
      </c>
      <c r="Q159" s="869" t="s">
        <v>15</v>
      </c>
      <c r="R159" s="912" t="s">
        <v>16</v>
      </c>
      <c r="S159" s="882" t="s">
        <v>35</v>
      </c>
      <c r="T159" s="882" t="s">
        <v>37</v>
      </c>
      <c r="U159" s="882" t="s">
        <v>36</v>
      </c>
      <c r="V159" s="882" t="s">
        <v>38</v>
      </c>
      <c r="W159" s="882" t="s">
        <v>39</v>
      </c>
      <c r="X159" s="882" t="s">
        <v>40</v>
      </c>
      <c r="Y159" s="882" t="s">
        <v>41</v>
      </c>
      <c r="Z159" s="882" t="s">
        <v>42</v>
      </c>
      <c r="AA159" s="882" t="s">
        <v>43</v>
      </c>
      <c r="AB159" s="37" t="s">
        <v>44</v>
      </c>
      <c r="AC159" s="37" t="s">
        <v>49</v>
      </c>
    </row>
    <row r="160" spans="1:29">
      <c r="A160" s="686" t="s">
        <v>19</v>
      </c>
      <c r="B160" s="685">
        <f>SUM(明星店铺!B1011:B1041)</f>
        <v>17852.55</v>
      </c>
      <c r="C160" s="918">
        <f>SUM(明星店铺!C1011:C1041)</f>
        <v>18480</v>
      </c>
      <c r="D160" s="918">
        <f>SUM(明星店铺!D1011:D1041)</f>
        <v>5363</v>
      </c>
      <c r="E160" s="918">
        <f>SUM(明星店铺!E1011:E1041)</f>
        <v>24</v>
      </c>
      <c r="F160" s="918">
        <f>SUM(明星店铺!F1011:F1041)</f>
        <v>213674.72</v>
      </c>
      <c r="G160" s="918">
        <f>SUM(明星店铺!G1011:G1041)</f>
        <v>1093</v>
      </c>
      <c r="H160" s="918">
        <f>SUM(明星店铺!H1011:H1041)</f>
        <v>115</v>
      </c>
      <c r="I160" s="918">
        <f>SUM(明星店铺!I1011:I1041)</f>
        <v>251</v>
      </c>
      <c r="J160" s="872">
        <f t="shared" ref="J160:J163" si="284">H160+I160</f>
        <v>366</v>
      </c>
      <c r="K160" s="688">
        <f t="shared" ref="K160:K164" si="285">D160/C160</f>
        <v>0.290205627705628</v>
      </c>
      <c r="L160" s="685">
        <f t="shared" ref="L160:L164" si="286">B160/D160</f>
        <v>3.32883647212381</v>
      </c>
      <c r="M160" s="886">
        <f t="shared" ref="M160:M164" si="287">(B160/C160)*1000</f>
        <v>966.047077922078</v>
      </c>
      <c r="N160" s="887">
        <f t="shared" ref="N160:N164" si="288">F160/B160</f>
        <v>11.9688627114894</v>
      </c>
      <c r="O160" s="688">
        <f t="shared" ref="O160:O164" si="289">E160/D160</f>
        <v>0.00447510721611039</v>
      </c>
      <c r="P160" s="915">
        <f t="shared" ref="P160:P163" si="290">IF(E160=0,"0",F160/E160)</f>
        <v>8903.11333333333</v>
      </c>
      <c r="Q160" s="685">
        <f t="shared" ref="Q160:Q163" si="291">IF(E160=0,"0",B160/E160)</f>
        <v>743.85625</v>
      </c>
      <c r="R160" s="902">
        <f t="shared" ref="R160:R164" si="292">B160/G160</f>
        <v>16.3335315645014</v>
      </c>
      <c r="S160" s="558">
        <f t="shared" ref="S160:S164" si="293">G160+J160</f>
        <v>1459</v>
      </c>
      <c r="T160" s="917">
        <f t="shared" ref="T160:T164" si="294">(S160-S152)/S152</f>
        <v>-0.11682808716707</v>
      </c>
      <c r="U160" s="850">
        <f t="shared" ref="U160:U164" si="295">B160/S160</f>
        <v>12.2361549006169</v>
      </c>
      <c r="V160" s="917">
        <f t="shared" ref="V160:V164" si="296">(B160-B152)/B152</f>
        <v>-0.119749699475673</v>
      </c>
      <c r="W160" s="917">
        <f t="shared" ref="W160:W164" si="297">D160/$D$132</f>
        <v>0.0264963810182555</v>
      </c>
      <c r="X160" s="917">
        <f t="shared" ref="X160:X164" si="298">(G160-G152)/G152</f>
        <v>-0.103363412633306</v>
      </c>
      <c r="Y160" s="917">
        <f t="shared" ref="Y160:Y164" si="299">(F160-F152)/F152</f>
        <v>-0.55472002600726</v>
      </c>
      <c r="Z160" s="917">
        <f t="shared" ref="Z160:Z164" si="300">(R160-R152)/R152</f>
        <v>-0.0182752823978451</v>
      </c>
      <c r="AA160" s="917">
        <f t="shared" ref="AA160:AA164" si="301">(U160-U152)/U152</f>
        <v>-0.0033080901534002</v>
      </c>
      <c r="AB160" s="917">
        <f>B160/B164</f>
        <v>0.148583329234351</v>
      </c>
    </row>
    <row r="161" spans="1:29">
      <c r="A161" s="686" t="s">
        <v>20</v>
      </c>
      <c r="B161" s="685">
        <f>SUM(直通车!B1011:B1041)</f>
        <v>56662.72</v>
      </c>
      <c r="C161" s="918">
        <f>SUM(直通车!C1011:C1041)</f>
        <v>225336</v>
      </c>
      <c r="D161" s="918">
        <f>SUM(直通车!D1011:D1041)</f>
        <v>22251</v>
      </c>
      <c r="E161" s="918">
        <f>SUM(直通车!E1011:E1041)</f>
        <v>26</v>
      </c>
      <c r="F161" s="918">
        <f>SUM(直通车!F1011:F1041)</f>
        <v>291261.2</v>
      </c>
      <c r="G161" s="918">
        <f>SUM(直通车!G1011:G1041)</f>
        <v>1272</v>
      </c>
      <c r="H161" s="918">
        <f>SUM(直通车!H1011:H1041)</f>
        <v>162</v>
      </c>
      <c r="I161" s="918">
        <f>SUM(直通车!I1011:I1041)</f>
        <v>149</v>
      </c>
      <c r="J161" s="872">
        <f t="shared" si="284"/>
        <v>311</v>
      </c>
      <c r="K161" s="688">
        <f t="shared" si="285"/>
        <v>0.0987458728299073</v>
      </c>
      <c r="L161" s="685">
        <f t="shared" si="286"/>
        <v>2.5465246505775</v>
      </c>
      <c r="M161" s="886">
        <f t="shared" si="287"/>
        <v>251.45879930415</v>
      </c>
      <c r="N161" s="887">
        <f t="shared" si="288"/>
        <v>5.14026153350916</v>
      </c>
      <c r="O161" s="688">
        <f t="shared" si="289"/>
        <v>0.00116848680958159</v>
      </c>
      <c r="P161" s="915">
        <f t="shared" si="290"/>
        <v>11202.3538461538</v>
      </c>
      <c r="Q161" s="685">
        <f t="shared" si="291"/>
        <v>2179.33538461539</v>
      </c>
      <c r="R161" s="902">
        <f t="shared" si="292"/>
        <v>44.5461635220126</v>
      </c>
      <c r="S161" s="558">
        <f t="shared" si="293"/>
        <v>1583</v>
      </c>
      <c r="T161" s="917">
        <f t="shared" si="294"/>
        <v>0.198334595003785</v>
      </c>
      <c r="U161" s="850">
        <f t="shared" si="295"/>
        <v>35.7945167403664</v>
      </c>
      <c r="V161" s="917">
        <f t="shared" si="296"/>
        <v>-0.120675244301191</v>
      </c>
      <c r="W161" s="917">
        <f t="shared" si="297"/>
        <v>0.109933055013463</v>
      </c>
      <c r="X161" s="917">
        <f t="shared" si="298"/>
        <v>0.183255813953488</v>
      </c>
      <c r="Y161" s="917">
        <f t="shared" si="299"/>
        <v>-0.0961638479441427</v>
      </c>
      <c r="Z161" s="917">
        <f t="shared" si="300"/>
        <v>-0.256859974546997</v>
      </c>
      <c r="AA161" s="917">
        <f t="shared" si="301"/>
        <v>-0.266210990348625</v>
      </c>
      <c r="AB161" s="917">
        <f>B161/B164</f>
        <v>0.471592886230473</v>
      </c>
    </row>
    <row r="162" spans="1:29">
      <c r="A162" s="686" t="s">
        <v>21</v>
      </c>
      <c r="B162" s="685">
        <f>SUM(引力魔方!B910:B940)</f>
        <v>17163.5</v>
      </c>
      <c r="C162" s="918">
        <f>SUM(引力魔方!C910:C940)</f>
        <v>11902012</v>
      </c>
      <c r="D162" s="918">
        <f>SUM(引力魔方!D910:D940)</f>
        <v>60530</v>
      </c>
      <c r="E162" s="918">
        <f>SUM(引力魔方!E910:E940)</f>
        <v>8</v>
      </c>
      <c r="F162" s="918">
        <f>SUM(引力魔方!F910:F940)</f>
        <v>69949.8</v>
      </c>
      <c r="G162" s="918">
        <f>SUM(引力魔方!G910:G940)</f>
        <v>843</v>
      </c>
      <c r="H162" s="918">
        <f>SUM(引力魔方!H910:H940)</f>
        <v>576</v>
      </c>
      <c r="I162" s="918">
        <f>SUM(引力魔方!I910:I940)</f>
        <v>59</v>
      </c>
      <c r="J162" s="872">
        <f t="shared" si="284"/>
        <v>635</v>
      </c>
      <c r="K162" s="688">
        <f t="shared" si="285"/>
        <v>0.0050856947548028</v>
      </c>
      <c r="L162" s="685">
        <f t="shared" si="286"/>
        <v>0.283553609780274</v>
      </c>
      <c r="M162" s="886">
        <f t="shared" si="287"/>
        <v>1.44206710596494</v>
      </c>
      <c r="N162" s="887">
        <f t="shared" si="288"/>
        <v>4.07549742185452</v>
      </c>
      <c r="O162" s="688">
        <f t="shared" si="289"/>
        <v>0.000132165868164546</v>
      </c>
      <c r="P162" s="915">
        <f t="shared" si="290"/>
        <v>8743.725</v>
      </c>
      <c r="Q162" s="685">
        <f t="shared" si="291"/>
        <v>2145.4375</v>
      </c>
      <c r="R162" s="902">
        <f t="shared" si="292"/>
        <v>20.3600237247924</v>
      </c>
      <c r="S162" s="558">
        <f t="shared" si="293"/>
        <v>1478</v>
      </c>
      <c r="T162" s="917">
        <f t="shared" si="294"/>
        <v>0.744982290436836</v>
      </c>
      <c r="U162" s="850">
        <f t="shared" si="295"/>
        <v>11.612652232747</v>
      </c>
      <c r="V162" s="917">
        <f t="shared" si="296"/>
        <v>1.28651550676756</v>
      </c>
      <c r="W162" s="917">
        <f t="shared" si="297"/>
        <v>0.299053877127541</v>
      </c>
      <c r="X162" s="917">
        <f t="shared" si="298"/>
        <v>1.75490196078431</v>
      </c>
      <c r="Y162" s="917">
        <f t="shared" si="299"/>
        <v>1.15276521096852</v>
      </c>
      <c r="Z162" s="917">
        <f t="shared" si="300"/>
        <v>-0.170019282240957</v>
      </c>
      <c r="AA162" s="917">
        <f t="shared" si="301"/>
        <v>0.310337370928364</v>
      </c>
      <c r="AB162" s="917">
        <f>B162/B164</f>
        <v>0.142848499027522</v>
      </c>
    </row>
    <row r="163" spans="1:29">
      <c r="A163" s="686" t="s">
        <v>27</v>
      </c>
      <c r="B163" s="685">
        <f>SUM(万相台!B499:B529)</f>
        <v>28473</v>
      </c>
      <c r="C163" s="918">
        <f>SUM(万相台!C499:C529)</f>
        <v>6278458</v>
      </c>
      <c r="D163" s="918">
        <f>SUM(万相台!D499:D529)</f>
        <v>55899</v>
      </c>
      <c r="E163" s="918">
        <f>SUM(万相台!E499:E529)</f>
        <v>22</v>
      </c>
      <c r="F163" s="918">
        <f>SUM(万相台!F499:F529)</f>
        <v>221675</v>
      </c>
      <c r="G163" s="918">
        <f>SUM(万相台!G499:G529)</f>
        <v>762</v>
      </c>
      <c r="H163" s="918">
        <f>SUM(万相台!H499:H529)</f>
        <v>697</v>
      </c>
      <c r="I163" s="918">
        <f>SUM(万相台!I499:I529)</f>
        <v>93</v>
      </c>
      <c r="J163" s="872">
        <f t="shared" si="284"/>
        <v>790</v>
      </c>
      <c r="K163" s="688">
        <f t="shared" si="285"/>
        <v>0.00890330077863068</v>
      </c>
      <c r="L163" s="685">
        <f t="shared" si="286"/>
        <v>0.509365104921376</v>
      </c>
      <c r="M163" s="886">
        <f t="shared" si="287"/>
        <v>4.53503073525378</v>
      </c>
      <c r="N163" s="887">
        <f t="shared" si="288"/>
        <v>7.78544586099111</v>
      </c>
      <c r="O163" s="688">
        <f t="shared" si="289"/>
        <v>0.000393566968997657</v>
      </c>
      <c r="P163" s="915">
        <f t="shared" si="290"/>
        <v>10076.1363636364</v>
      </c>
      <c r="Q163" s="685">
        <f t="shared" si="291"/>
        <v>1294.22727272727</v>
      </c>
      <c r="R163" s="902">
        <f t="shared" si="292"/>
        <v>37.3661417322835</v>
      </c>
      <c r="S163" s="558">
        <f t="shared" si="293"/>
        <v>1552</v>
      </c>
      <c r="T163" s="917">
        <f t="shared" si="294"/>
        <v>-0.590933052187665</v>
      </c>
      <c r="U163" s="850">
        <f t="shared" si="295"/>
        <v>18.3460051546392</v>
      </c>
      <c r="V163" s="917">
        <f t="shared" si="296"/>
        <v>-0.362063943718773</v>
      </c>
      <c r="W163" s="917">
        <f t="shared" si="297"/>
        <v>0.276174007559102</v>
      </c>
      <c r="X163" s="917">
        <f t="shared" si="298"/>
        <v>-0.518635502210992</v>
      </c>
      <c r="Y163" s="917">
        <f t="shared" si="299"/>
        <v>-0.0845928311859927</v>
      </c>
      <c r="Z163" s="917">
        <f t="shared" si="300"/>
        <v>0.325266111670843</v>
      </c>
      <c r="AA163" s="917">
        <f t="shared" si="301"/>
        <v>0.559490591192638</v>
      </c>
      <c r="AB163" s="917">
        <f>B163/B164</f>
        <v>0.236975285507654</v>
      </c>
    </row>
    <row r="164" spans="1:29">
      <c r="A164" s="891" t="s">
        <v>22</v>
      </c>
      <c r="B164" s="903">
        <f t="shared" ref="B164:J164" si="302">SUM(B160:B163)</f>
        <v>120151.77</v>
      </c>
      <c r="C164" s="904">
        <f t="shared" si="302"/>
        <v>18424286</v>
      </c>
      <c r="D164" s="904">
        <f t="shared" si="302"/>
        <v>144043</v>
      </c>
      <c r="E164" s="904">
        <f t="shared" si="302"/>
        <v>80</v>
      </c>
      <c r="F164" s="903">
        <f t="shared" si="302"/>
        <v>796560.72</v>
      </c>
      <c r="G164" s="904">
        <f t="shared" si="302"/>
        <v>3970</v>
      </c>
      <c r="H164" s="904">
        <f t="shared" si="302"/>
        <v>1550</v>
      </c>
      <c r="I164" s="904">
        <f t="shared" si="302"/>
        <v>552</v>
      </c>
      <c r="J164" s="904">
        <f t="shared" si="302"/>
        <v>2102</v>
      </c>
      <c r="K164" s="896">
        <f t="shared" si="285"/>
        <v>0.00781810486441646</v>
      </c>
      <c r="L164" s="903">
        <f t="shared" si="286"/>
        <v>0.834138208729338</v>
      </c>
      <c r="M164" s="897">
        <f t="shared" si="287"/>
        <v>6.52137998726246</v>
      </c>
      <c r="N164" s="898">
        <f t="shared" si="288"/>
        <v>6.62962118660424</v>
      </c>
      <c r="O164" s="896">
        <f t="shared" si="289"/>
        <v>0.000555389710017148</v>
      </c>
      <c r="P164" s="916">
        <f>F164/E164</f>
        <v>9957.009</v>
      </c>
      <c r="Q164" s="903">
        <f>B164/E164</f>
        <v>1501.897125</v>
      </c>
      <c r="R164" s="902">
        <f t="shared" si="292"/>
        <v>30.2649294710327</v>
      </c>
      <c r="S164" s="558">
        <f t="shared" si="293"/>
        <v>6072</v>
      </c>
      <c r="T164" s="917">
        <f t="shared" si="294"/>
        <v>-0.202521670606777</v>
      </c>
      <c r="U164" s="850">
        <f t="shared" si="295"/>
        <v>19.7878409090909</v>
      </c>
      <c r="V164" s="917">
        <f t="shared" si="296"/>
        <v>-0.12207956012121</v>
      </c>
      <c r="W164" s="917">
        <f t="shared" si="297"/>
        <v>0.711657320718362</v>
      </c>
      <c r="X164" s="917">
        <f t="shared" si="298"/>
        <v>-0.0509203920631126</v>
      </c>
      <c r="Y164" s="917">
        <f t="shared" si="299"/>
        <v>-0.260230634425768</v>
      </c>
      <c r="Z164" s="917">
        <f t="shared" si="300"/>
        <v>-0.0749770277045397</v>
      </c>
      <c r="AA164" s="917">
        <f t="shared" si="301"/>
        <v>0.10087059111283</v>
      </c>
      <c r="AB164" s="917">
        <f>B164/B164</f>
        <v>1</v>
      </c>
      <c r="AC164" s="917">
        <f>B164/F164</f>
        <v>0.150838180923609</v>
      </c>
    </row>
    <row r="165" spans="1:29">
      <c r="A165" s="37" t="s">
        <v>58</v>
      </c>
      <c r="B165" s="917">
        <f t="shared" ref="B165:R165" si="303">(B164-B156)/B156</f>
        <v>-0.12207956012121</v>
      </c>
      <c r="C165" s="917">
        <f t="shared" si="303"/>
        <v>0.418906668673108</v>
      </c>
      <c r="D165" s="917">
        <f t="shared" si="303"/>
        <v>0.196728257618557</v>
      </c>
      <c r="E165" s="917">
        <f t="shared" si="303"/>
        <v>-0.230769230769231</v>
      </c>
      <c r="F165" s="917">
        <f t="shared" si="303"/>
        <v>-0.260230634425768</v>
      </c>
      <c r="G165" s="917">
        <f t="shared" si="303"/>
        <v>-0.0509203920631126</v>
      </c>
      <c r="H165" s="917">
        <f t="shared" si="303"/>
        <v>-0.443646805455851</v>
      </c>
      <c r="I165" s="917">
        <f t="shared" si="303"/>
        <v>-0.144186046511628</v>
      </c>
      <c r="J165" s="917">
        <f t="shared" si="303"/>
        <v>-0.387350626639464</v>
      </c>
      <c r="K165" s="917">
        <f t="shared" si="303"/>
        <v>-0.156584232042775</v>
      </c>
      <c r="L165" s="917">
        <f t="shared" si="303"/>
        <v>-0.266399506914112</v>
      </c>
      <c r="M165" s="917">
        <f t="shared" si="303"/>
        <v>-0.381269776750166</v>
      </c>
      <c r="N165" s="917">
        <f t="shared" si="303"/>
        <v>-0.157361724399117</v>
      </c>
      <c r="O165" s="917">
        <f t="shared" si="303"/>
        <v>-0.357221855225924</v>
      </c>
      <c r="P165" s="917">
        <f t="shared" si="303"/>
        <v>-0.0382998247534984</v>
      </c>
      <c r="Q165" s="917">
        <f t="shared" si="303"/>
        <v>0.141296571842426</v>
      </c>
      <c r="R165" s="917">
        <f t="shared" si="303"/>
        <v>-0.0749770277045397</v>
      </c>
    </row>
    <row r="167" ht="41.4" spans="1:29">
      <c r="A167" s="868" t="s">
        <v>23</v>
      </c>
      <c r="B167" s="869" t="s">
        <v>1</v>
      </c>
      <c r="C167" s="870" t="s">
        <v>2</v>
      </c>
      <c r="D167" s="870" t="s">
        <v>3</v>
      </c>
      <c r="E167" s="871" t="s">
        <v>4</v>
      </c>
      <c r="F167" s="869" t="s">
        <v>5</v>
      </c>
      <c r="G167" s="871" t="s">
        <v>6</v>
      </c>
      <c r="H167" s="871" t="s">
        <v>7</v>
      </c>
      <c r="I167" s="871" t="s">
        <v>8</v>
      </c>
      <c r="J167" s="871" t="s">
        <v>34</v>
      </c>
      <c r="K167" s="879" t="s">
        <v>9</v>
      </c>
      <c r="L167" s="869" t="s">
        <v>10</v>
      </c>
      <c r="M167" s="880" t="s">
        <v>11</v>
      </c>
      <c r="N167" s="881" t="s">
        <v>12</v>
      </c>
      <c r="O167" s="879" t="s">
        <v>13</v>
      </c>
      <c r="P167" s="875" t="s">
        <v>14</v>
      </c>
      <c r="Q167" s="869" t="s">
        <v>15</v>
      </c>
      <c r="R167" s="912" t="s">
        <v>16</v>
      </c>
      <c r="S167" s="882" t="s">
        <v>35</v>
      </c>
      <c r="T167" s="882" t="s">
        <v>37</v>
      </c>
      <c r="U167" s="882" t="s">
        <v>36</v>
      </c>
      <c r="V167" s="882" t="s">
        <v>38</v>
      </c>
      <c r="W167" s="882" t="s">
        <v>39</v>
      </c>
      <c r="X167" s="882" t="s">
        <v>40</v>
      </c>
      <c r="Y167" s="882" t="s">
        <v>41</v>
      </c>
      <c r="Z167" s="882" t="s">
        <v>42</v>
      </c>
      <c r="AA167" s="882" t="s">
        <v>43</v>
      </c>
      <c r="AB167" s="37" t="s">
        <v>44</v>
      </c>
      <c r="AC167" s="37" t="s">
        <v>49</v>
      </c>
    </row>
    <row r="168" spans="1:29">
      <c r="A168" s="686" t="s">
        <v>19</v>
      </c>
      <c r="B168" s="685">
        <f>SUM(明星店铺!B1042:B1069)</f>
        <v>23529.44</v>
      </c>
      <c r="C168" s="918">
        <f>SUM(明星店铺!C1042:C1069)</f>
        <v>23342</v>
      </c>
      <c r="D168" s="918">
        <f>SUM(明星店铺!D1042:D1069)</f>
        <v>7123</v>
      </c>
      <c r="E168" s="918">
        <f>SUM(明星店铺!E1042:E1069)</f>
        <v>71</v>
      </c>
      <c r="F168" s="918">
        <f>SUM(明星店铺!F1042:F1069)</f>
        <v>912700.54</v>
      </c>
      <c r="G168" s="918">
        <f>SUM(明星店铺!G1042:G1069)</f>
        <v>1323</v>
      </c>
      <c r="H168" s="918">
        <f>SUM(明星店铺!H1042:H1069)</f>
        <v>187</v>
      </c>
      <c r="I168" s="918">
        <f>SUM(明星店铺!I1042:I1069)</f>
        <v>319</v>
      </c>
      <c r="J168" s="872">
        <f t="shared" ref="J168:J171" si="304">H168+I168</f>
        <v>506</v>
      </c>
      <c r="K168" s="688">
        <f t="shared" ref="K168:K172" si="305">D168/C168</f>
        <v>0.305158084140177</v>
      </c>
      <c r="L168" s="685">
        <f t="shared" ref="L168:L172" si="306">B168/D168</f>
        <v>3.30330478730872</v>
      </c>
      <c r="M168" s="886">
        <f t="shared" ref="M168:M172" si="307">(B168/C168)*1000</f>
        <v>1008.0301602262</v>
      </c>
      <c r="N168" s="887">
        <f t="shared" ref="N168:N172" si="308">F168/B168</f>
        <v>38.7897264023283</v>
      </c>
      <c r="O168" s="688">
        <f t="shared" ref="O168:O172" si="309">E168/D168</f>
        <v>0.00996771023445178</v>
      </c>
      <c r="P168" s="915">
        <f t="shared" ref="P168:P171" si="310">IF(E168=0,"0",F168/E168)</f>
        <v>12854.9371830986</v>
      </c>
      <c r="Q168" s="685">
        <f t="shared" ref="Q168:Q171" si="311">IF(E168=0,"0",B168/E168)</f>
        <v>331.400563380282</v>
      </c>
      <c r="R168" s="902">
        <f t="shared" ref="R168:R172" si="312">B168/G168</f>
        <v>17.7849130763417</v>
      </c>
      <c r="S168" s="558">
        <f t="shared" ref="S168:S172" si="313">G168+J168</f>
        <v>1829</v>
      </c>
      <c r="T168" s="917">
        <f t="shared" ref="T168:T172" si="314">(S168-S160)/S160</f>
        <v>0.253598355037697</v>
      </c>
      <c r="U168" s="850">
        <f t="shared" ref="U168:U172" si="315">B168/S168</f>
        <v>12.8646473482778</v>
      </c>
      <c r="V168" s="917">
        <f t="shared" ref="V168:V172" si="316">(B168-B160)/B160</f>
        <v>0.317987626417515</v>
      </c>
      <c r="W168" s="917">
        <f t="shared" ref="W168:W172" si="317">D168/$D$132</f>
        <v>0.0351918183839332</v>
      </c>
      <c r="X168" s="917">
        <f t="shared" ref="X168:X172" si="318">(G168-G160)/G160</f>
        <v>0.210430009149131</v>
      </c>
      <c r="Y168" s="917">
        <f t="shared" ref="Y168:Y172" si="319">(F168-F160)/F160</f>
        <v>3.27144839595437</v>
      </c>
      <c r="Z168" s="917">
        <f t="shared" ref="Z168:Z172" si="320">(R168-R160)/R160</f>
        <v>0.0888590141151504</v>
      </c>
      <c r="AA168" s="917">
        <f t="shared" ref="AA168:AA172" si="321">(U168-U160)/U160</f>
        <v>0.0513635576507132</v>
      </c>
      <c r="AB168" s="917">
        <f>B168/B172</f>
        <v>0.222041539836691</v>
      </c>
    </row>
    <row r="169" spans="1:29">
      <c r="A169" s="686" t="s">
        <v>20</v>
      </c>
      <c r="B169" s="685">
        <f>SUM(直通车!B1042:B1069)</f>
        <v>42405.84</v>
      </c>
      <c r="C169" s="918">
        <f>SUM(直通车!C1042:C1069)</f>
        <v>209067</v>
      </c>
      <c r="D169" s="918">
        <f>SUM(直通车!D1042:D1069)</f>
        <v>25748</v>
      </c>
      <c r="E169" s="918">
        <f>SUM(直通车!E1042:E1069)</f>
        <v>24</v>
      </c>
      <c r="F169" s="918">
        <f>SUM(直通车!F1042:F1069)</f>
        <v>279148.64</v>
      </c>
      <c r="G169" s="918">
        <f>SUM(直通车!G1042:G1069)</f>
        <v>1513</v>
      </c>
      <c r="H169" s="918">
        <f>SUM(直通车!H1042:H1069)</f>
        <v>246</v>
      </c>
      <c r="I169" s="918">
        <f>SUM(直通车!I1042:I1069)</f>
        <v>144</v>
      </c>
      <c r="J169" s="872">
        <f t="shared" si="304"/>
        <v>390</v>
      </c>
      <c r="K169" s="688">
        <f t="shared" si="305"/>
        <v>0.123156691395581</v>
      </c>
      <c r="L169" s="685">
        <f t="shared" si="306"/>
        <v>1.64695665682771</v>
      </c>
      <c r="M169" s="886">
        <f t="shared" si="307"/>
        <v>202.833732726829</v>
      </c>
      <c r="N169" s="887">
        <f t="shared" si="308"/>
        <v>6.58278765377599</v>
      </c>
      <c r="O169" s="688">
        <f t="shared" si="309"/>
        <v>0.000932111231940345</v>
      </c>
      <c r="P169" s="915">
        <f t="shared" si="310"/>
        <v>11631.1933333333</v>
      </c>
      <c r="Q169" s="685">
        <f t="shared" si="311"/>
        <v>1766.91</v>
      </c>
      <c r="R169" s="902">
        <f t="shared" si="312"/>
        <v>28.0276536682089</v>
      </c>
      <c r="S169" s="558">
        <f t="shared" si="313"/>
        <v>1903</v>
      </c>
      <c r="T169" s="917">
        <f t="shared" si="314"/>
        <v>0.202147820593809</v>
      </c>
      <c r="U169" s="850">
        <f t="shared" si="315"/>
        <v>22.2836784025223</v>
      </c>
      <c r="V169" s="917">
        <f t="shared" si="316"/>
        <v>-0.251609523863309</v>
      </c>
      <c r="W169" s="917">
        <f t="shared" si="317"/>
        <v>0.127210296188335</v>
      </c>
      <c r="X169" s="917">
        <f t="shared" si="318"/>
        <v>0.189465408805031</v>
      </c>
      <c r="Y169" s="917">
        <f t="shared" si="319"/>
        <v>-0.0415865896315747</v>
      </c>
      <c r="Z169" s="917">
        <f t="shared" si="320"/>
        <v>-0.370817788733727</v>
      </c>
      <c r="AA169" s="917">
        <f t="shared" si="321"/>
        <v>-0.377455531411255</v>
      </c>
      <c r="AB169" s="917">
        <f>B169/B172</f>
        <v>0.400173485287723</v>
      </c>
    </row>
    <row r="170" spans="1:29">
      <c r="A170" s="686" t="s">
        <v>21</v>
      </c>
      <c r="B170" s="685">
        <f>SUM(引力魔方!B941:B968)</f>
        <v>15021.36</v>
      </c>
      <c r="C170" s="918">
        <f>SUM(引力魔方!C941:C968)</f>
        <v>3732079</v>
      </c>
      <c r="D170" s="918">
        <f>SUM(引力魔方!D941:D968)</f>
        <v>25795</v>
      </c>
      <c r="E170" s="918">
        <f>SUM(引力魔方!E941:E968)</f>
        <v>33</v>
      </c>
      <c r="F170" s="918">
        <f>SUM(引力魔方!F941:F968)</f>
        <v>355240.7</v>
      </c>
      <c r="G170" s="918">
        <f>SUM(引力魔方!G941:G968)</f>
        <v>898</v>
      </c>
      <c r="H170" s="918">
        <f>SUM(引力魔方!H941:H968)</f>
        <v>192</v>
      </c>
      <c r="I170" s="918">
        <f>SUM(引力魔方!I941:I968)</f>
        <v>48</v>
      </c>
      <c r="J170" s="872">
        <f t="shared" si="304"/>
        <v>240</v>
      </c>
      <c r="K170" s="688">
        <f t="shared" si="305"/>
        <v>0.00691169720683833</v>
      </c>
      <c r="L170" s="685">
        <f t="shared" si="306"/>
        <v>0.582336111649544</v>
      </c>
      <c r="M170" s="886">
        <f t="shared" si="307"/>
        <v>4.02493087632925</v>
      </c>
      <c r="N170" s="887">
        <f t="shared" si="308"/>
        <v>23.6490371044965</v>
      </c>
      <c r="O170" s="688">
        <f t="shared" si="309"/>
        <v>0.00127931769722815</v>
      </c>
      <c r="P170" s="915">
        <f t="shared" si="310"/>
        <v>10764.8696969697</v>
      </c>
      <c r="Q170" s="685">
        <f t="shared" si="311"/>
        <v>455.192727272727</v>
      </c>
      <c r="R170" s="902">
        <f t="shared" si="312"/>
        <v>16.7275723830735</v>
      </c>
      <c r="S170" s="558">
        <f t="shared" si="313"/>
        <v>1138</v>
      </c>
      <c r="T170" s="917">
        <f t="shared" si="314"/>
        <v>-0.230040595399188</v>
      </c>
      <c r="U170" s="850">
        <f t="shared" si="315"/>
        <v>13.1997891036907</v>
      </c>
      <c r="V170" s="917">
        <f t="shared" si="316"/>
        <v>-0.124807877181228</v>
      </c>
      <c r="W170" s="917">
        <f t="shared" si="317"/>
        <v>0.127442503890714</v>
      </c>
      <c r="X170" s="917">
        <f t="shared" si="318"/>
        <v>0.0652431791221827</v>
      </c>
      <c r="Y170" s="917">
        <f t="shared" si="319"/>
        <v>4.07850915942576</v>
      </c>
      <c r="Z170" s="917">
        <f t="shared" si="320"/>
        <v>-0.178410958200195</v>
      </c>
      <c r="AA170" s="917">
        <f t="shared" si="321"/>
        <v>0.136673073397316</v>
      </c>
      <c r="AB170" s="917">
        <f>B170/B172</f>
        <v>0.141752880852297</v>
      </c>
    </row>
    <row r="171" spans="1:29">
      <c r="A171" s="686" t="s">
        <v>27</v>
      </c>
      <c r="B171" s="685">
        <f>SUM(万相台!B530:B557)</f>
        <v>25012</v>
      </c>
      <c r="C171" s="918">
        <f>SUM(万相台!C530:C557)</f>
        <v>6951933</v>
      </c>
      <c r="D171" s="918">
        <f>SUM(万相台!D530:D557)</f>
        <v>39994</v>
      </c>
      <c r="E171" s="918">
        <f>SUM(万相台!E530:E557)</f>
        <v>28</v>
      </c>
      <c r="F171" s="918">
        <f>SUM(万相台!F530:F557)</f>
        <v>330087</v>
      </c>
      <c r="G171" s="918">
        <f>SUM(万相台!G530:G557)</f>
        <v>1134</v>
      </c>
      <c r="H171" s="918">
        <f>SUM(万相台!H530:H557)</f>
        <v>414</v>
      </c>
      <c r="I171" s="918">
        <f>SUM(万相台!I530:I557)</f>
        <v>126</v>
      </c>
      <c r="J171" s="872">
        <f t="shared" si="304"/>
        <v>540</v>
      </c>
      <c r="K171" s="688">
        <f t="shared" si="305"/>
        <v>0.0057529323139334</v>
      </c>
      <c r="L171" s="685">
        <f t="shared" si="306"/>
        <v>0.625393809071361</v>
      </c>
      <c r="M171" s="886">
        <f t="shared" si="307"/>
        <v>3.59784825314053</v>
      </c>
      <c r="N171" s="887">
        <f t="shared" si="308"/>
        <v>13.1971453702223</v>
      </c>
      <c r="O171" s="688">
        <f t="shared" si="309"/>
        <v>0.000700105015752363</v>
      </c>
      <c r="P171" s="915">
        <f t="shared" si="310"/>
        <v>11788.8214285714</v>
      </c>
      <c r="Q171" s="685">
        <f t="shared" si="311"/>
        <v>893.285714285714</v>
      </c>
      <c r="R171" s="902">
        <f t="shared" si="312"/>
        <v>22.0564373897707</v>
      </c>
      <c r="S171" s="558">
        <f t="shared" si="313"/>
        <v>1674</v>
      </c>
      <c r="T171" s="917">
        <f t="shared" si="314"/>
        <v>0.0786082474226804</v>
      </c>
      <c r="U171" s="850">
        <f t="shared" si="315"/>
        <v>14.9414575866189</v>
      </c>
      <c r="V171" s="917">
        <f t="shared" si="316"/>
        <v>-0.121553752677976</v>
      </c>
      <c r="W171" s="917">
        <f t="shared" si="317"/>
        <v>0.197593932956202</v>
      </c>
      <c r="X171" s="917">
        <f t="shared" si="318"/>
        <v>0.488188976377953</v>
      </c>
      <c r="Y171" s="917">
        <f t="shared" si="319"/>
        <v>0.489058306078719</v>
      </c>
      <c r="Z171" s="917">
        <f t="shared" si="320"/>
        <v>-0.409721304709539</v>
      </c>
      <c r="AA171" s="917">
        <f t="shared" si="321"/>
        <v>-0.185574327452938</v>
      </c>
      <c r="AB171" s="917">
        <f>B171/B172</f>
        <v>0.236032094023288</v>
      </c>
    </row>
    <row r="172" spans="1:29">
      <c r="A172" s="891" t="s">
        <v>22</v>
      </c>
      <c r="B172" s="903">
        <f t="shared" ref="B172:J172" si="322">SUM(B168:B171)</f>
        <v>105968.64</v>
      </c>
      <c r="C172" s="904">
        <f t="shared" si="322"/>
        <v>10916421</v>
      </c>
      <c r="D172" s="904">
        <f t="shared" si="322"/>
        <v>98660</v>
      </c>
      <c r="E172" s="904">
        <f t="shared" si="322"/>
        <v>156</v>
      </c>
      <c r="F172" s="903">
        <f t="shared" si="322"/>
        <v>1877176.88</v>
      </c>
      <c r="G172" s="904">
        <f t="shared" si="322"/>
        <v>4868</v>
      </c>
      <c r="H172" s="904">
        <f t="shared" si="322"/>
        <v>1039</v>
      </c>
      <c r="I172" s="904">
        <f t="shared" si="322"/>
        <v>637</v>
      </c>
      <c r="J172" s="904">
        <f t="shared" si="322"/>
        <v>1676</v>
      </c>
      <c r="K172" s="896">
        <f t="shared" si="305"/>
        <v>0.00903776063601798</v>
      </c>
      <c r="L172" s="903">
        <f t="shared" si="306"/>
        <v>1.07407905939591</v>
      </c>
      <c r="M172" s="897">
        <f t="shared" si="307"/>
        <v>9.70726944297953</v>
      </c>
      <c r="N172" s="898">
        <f t="shared" si="308"/>
        <v>17.714456654346</v>
      </c>
      <c r="O172" s="896">
        <f t="shared" si="309"/>
        <v>0.00158118791810257</v>
      </c>
      <c r="P172" s="916">
        <f>F172/E172</f>
        <v>12033.1851282051</v>
      </c>
      <c r="Q172" s="903">
        <f>B172/E172</f>
        <v>679.286153846154</v>
      </c>
      <c r="R172" s="902">
        <f t="shared" si="312"/>
        <v>21.7684141331142</v>
      </c>
      <c r="S172" s="558">
        <f t="shared" si="313"/>
        <v>6544</v>
      </c>
      <c r="T172" s="917">
        <f t="shared" si="314"/>
        <v>0.077733860342556</v>
      </c>
      <c r="U172" s="850">
        <f t="shared" si="315"/>
        <v>16.1932518337408</v>
      </c>
      <c r="V172" s="917">
        <f t="shared" si="316"/>
        <v>-0.118043454540869</v>
      </c>
      <c r="W172" s="917">
        <f t="shared" si="317"/>
        <v>0.487438551419184</v>
      </c>
      <c r="X172" s="917">
        <f t="shared" si="318"/>
        <v>0.226196473551637</v>
      </c>
      <c r="Y172" s="917">
        <f t="shared" si="319"/>
        <v>1.35660236924562</v>
      </c>
      <c r="Z172" s="917">
        <f t="shared" si="320"/>
        <v>-0.280737985728688</v>
      </c>
      <c r="AA172" s="917">
        <f t="shared" si="321"/>
        <v>-0.181656457208459</v>
      </c>
      <c r="AB172" s="917">
        <f>B172/B172</f>
        <v>1</v>
      </c>
      <c r="AC172" s="917">
        <f>B172/F172</f>
        <v>0.0564510681593308</v>
      </c>
    </row>
    <row r="173" spans="1:29">
      <c r="A173" s="37" t="s">
        <v>59</v>
      </c>
      <c r="B173" s="917">
        <f t="shared" ref="B173:R173" si="323">(B172-B164)/B164</f>
        <v>-0.118043454540869</v>
      </c>
      <c r="C173" s="917">
        <f t="shared" si="323"/>
        <v>-0.407498287857668</v>
      </c>
      <c r="D173" s="917">
        <f t="shared" si="323"/>
        <v>-0.315065640121353</v>
      </c>
      <c r="E173" s="917">
        <f t="shared" si="323"/>
        <v>0.95</v>
      </c>
      <c r="F173" s="917">
        <f t="shared" si="323"/>
        <v>1.35660236924562</v>
      </c>
      <c r="G173" s="917">
        <f t="shared" si="323"/>
        <v>0.226196473551637</v>
      </c>
      <c r="H173" s="917">
        <f t="shared" si="323"/>
        <v>-0.329677419354839</v>
      </c>
      <c r="I173" s="917">
        <f t="shared" si="323"/>
        <v>0.153985507246377</v>
      </c>
      <c r="J173" s="917">
        <f t="shared" si="323"/>
        <v>-0.202664129400571</v>
      </c>
      <c r="K173" s="917">
        <f t="shared" si="323"/>
        <v>0.156004017949759</v>
      </c>
      <c r="L173" s="917">
        <f t="shared" si="323"/>
        <v>0.287651192758662</v>
      </c>
      <c r="M173" s="917">
        <f t="shared" si="323"/>
        <v>0.488529952546812</v>
      </c>
      <c r="N173" s="917">
        <f t="shared" si="323"/>
        <v>1.67201641779167</v>
      </c>
      <c r="O173" s="917">
        <f t="shared" si="323"/>
        <v>1.84698814109061</v>
      </c>
      <c r="P173" s="917">
        <f t="shared" si="323"/>
        <v>0.208514035510576</v>
      </c>
      <c r="Q173" s="917">
        <f t="shared" si="323"/>
        <v>-0.547714592072241</v>
      </c>
      <c r="R173" s="917">
        <f t="shared" si="323"/>
        <v>-0.280737985728688</v>
      </c>
    </row>
    <row r="175" ht="41.4" spans="1:29">
      <c r="A175" s="868" t="s">
        <v>24</v>
      </c>
      <c r="B175" s="869" t="s">
        <v>1</v>
      </c>
      <c r="C175" s="870" t="s">
        <v>2</v>
      </c>
      <c r="D175" s="870" t="s">
        <v>3</v>
      </c>
      <c r="E175" s="871" t="s">
        <v>4</v>
      </c>
      <c r="F175" s="869" t="s">
        <v>5</v>
      </c>
      <c r="G175" s="871" t="s">
        <v>6</v>
      </c>
      <c r="H175" s="871" t="s">
        <v>7</v>
      </c>
      <c r="I175" s="871" t="s">
        <v>8</v>
      </c>
      <c r="J175" s="871" t="s">
        <v>34</v>
      </c>
      <c r="K175" s="879" t="s">
        <v>9</v>
      </c>
      <c r="L175" s="869" t="s">
        <v>10</v>
      </c>
      <c r="M175" s="880" t="s">
        <v>11</v>
      </c>
      <c r="N175" s="881" t="s">
        <v>12</v>
      </c>
      <c r="O175" s="879" t="s">
        <v>13</v>
      </c>
      <c r="P175" s="875" t="s">
        <v>14</v>
      </c>
      <c r="Q175" s="869" t="s">
        <v>15</v>
      </c>
      <c r="R175" s="912" t="s">
        <v>16</v>
      </c>
      <c r="S175" s="882" t="s">
        <v>35</v>
      </c>
      <c r="T175" s="882" t="s">
        <v>37</v>
      </c>
      <c r="U175" s="882" t="s">
        <v>36</v>
      </c>
      <c r="V175" s="882" t="s">
        <v>38</v>
      </c>
      <c r="W175" s="882" t="s">
        <v>39</v>
      </c>
      <c r="X175" s="882" t="s">
        <v>40</v>
      </c>
      <c r="Y175" s="882" t="s">
        <v>41</v>
      </c>
      <c r="Z175" s="882" t="s">
        <v>42</v>
      </c>
      <c r="AA175" s="882" t="s">
        <v>43</v>
      </c>
      <c r="AB175" s="37" t="s">
        <v>44</v>
      </c>
      <c r="AC175" s="37" t="s">
        <v>49</v>
      </c>
    </row>
    <row r="176" spans="1:29">
      <c r="A176" s="686" t="s">
        <v>19</v>
      </c>
      <c r="B176" s="685">
        <f>SUM(明星店铺!B1070:B1100)</f>
        <v>28616.11</v>
      </c>
      <c r="C176" s="918">
        <f>SUM(明星店铺!C1070:C1100)</f>
        <v>28833</v>
      </c>
      <c r="D176" s="918">
        <f>SUM(明星店铺!D1070:D1100)</f>
        <v>7674</v>
      </c>
      <c r="E176" s="918">
        <f>SUM(明星店铺!E1070:E1100)</f>
        <v>78</v>
      </c>
      <c r="F176" s="918">
        <f>SUM(明星店铺!F1070:F1110)</f>
        <v>1052201.02</v>
      </c>
      <c r="G176" s="918">
        <f>SUM(明星店铺!G1070:G1100)</f>
        <v>1531</v>
      </c>
      <c r="H176" s="918">
        <f>SUM(明星店铺!H1070:H1100)</f>
        <v>165</v>
      </c>
      <c r="I176" s="918">
        <f>SUM(明星店铺!I1070:I1100)</f>
        <v>340</v>
      </c>
      <c r="J176" s="872">
        <f>H176+I176</f>
        <v>505</v>
      </c>
      <c r="K176" s="688">
        <f t="shared" ref="K176:K180" si="324">D176/C176</f>
        <v>0.266153365934866</v>
      </c>
      <c r="L176" s="685">
        <f t="shared" ref="L176:L180" si="325">B176/D176</f>
        <v>3.7289692468074</v>
      </c>
      <c r="M176" s="886">
        <f t="shared" ref="M176:M180" si="326">(B176/C176)*1000</f>
        <v>992.477716505393</v>
      </c>
      <c r="N176" s="887">
        <f t="shared" ref="N176:N180" si="327">F176/B176</f>
        <v>36.7695336647783</v>
      </c>
      <c r="O176" s="688">
        <f t="shared" ref="O176:O180" si="328">E176/D176</f>
        <v>0.0101641907740422</v>
      </c>
      <c r="P176" s="915">
        <f t="shared" ref="P176:P179" si="329">IF(E176=0,"0",F176/E176)</f>
        <v>13489.7566666667</v>
      </c>
      <c r="Q176" s="685">
        <f t="shared" ref="Q176:Q179" si="330">IF(E176=0,"0",B176/E176)</f>
        <v>366.873205128205</v>
      </c>
      <c r="R176" s="902">
        <f t="shared" ref="R176:R180" si="331">B176/G176</f>
        <v>18.6911234487263</v>
      </c>
      <c r="S176" s="558">
        <f t="shared" ref="S176:S180" si="332">G176+J176</f>
        <v>2036</v>
      </c>
      <c r="T176" s="917">
        <f t="shared" ref="T176:T180" si="333">(S176-S168)/S168</f>
        <v>0.113176599234554</v>
      </c>
      <c r="U176" s="850">
        <f t="shared" ref="U176:U180" si="334">B176/S176</f>
        <v>14.0550638506876</v>
      </c>
      <c r="V176" s="917">
        <f t="shared" ref="V176:V180" si="335">(B176-B168)/B168</f>
        <v>0.216183215580141</v>
      </c>
      <c r="W176" s="917">
        <f t="shared" ref="W176:W180" si="336">D176/$D$132</f>
        <v>0.0379140831501198</v>
      </c>
      <c r="X176" s="917">
        <f t="shared" ref="X176:X180" si="337">(G176-G168)/G168</f>
        <v>0.157218442932729</v>
      </c>
      <c r="Y176" s="917">
        <f t="shared" ref="Y176:Y180" si="338">(F176-F168)/F168</f>
        <v>0.152843647928596</v>
      </c>
      <c r="Z176" s="917">
        <f t="shared" ref="Z176:Z180" si="339">(R176-R168)/R168</f>
        <v>0.0509538825686</v>
      </c>
      <c r="AA176" s="917">
        <f t="shared" ref="AA176:AA180" si="340">(U176-U168)/U168</f>
        <v>0.0925339397328476</v>
      </c>
      <c r="AB176" s="917">
        <f>B176/B180</f>
        <v>0.123033829916703</v>
      </c>
    </row>
    <row r="177" spans="1:29">
      <c r="A177" s="686" t="s">
        <v>20</v>
      </c>
      <c r="B177" s="685">
        <f>SUM(直通车!B1070:B1100)</f>
        <v>97118.06</v>
      </c>
      <c r="C177" s="918">
        <f>SUM(直通车!C1070:C1100)</f>
        <v>238595</v>
      </c>
      <c r="D177" s="918">
        <f>SUM(直通车!D1070:D1100)</f>
        <v>29477</v>
      </c>
      <c r="E177" s="918">
        <f>SUM(直通车!E1070:E1100)</f>
        <v>70</v>
      </c>
      <c r="F177" s="918">
        <f>SUM(直通车!F1070:F1100)</f>
        <v>831804</v>
      </c>
      <c r="G177" s="918">
        <f>SUM(直通车!G1070:G1100)</f>
        <v>1791</v>
      </c>
      <c r="H177" s="918">
        <f>SUM(直通车!H1070:H1100)</f>
        <v>193</v>
      </c>
      <c r="I177" s="918">
        <f>SUM(直通车!I1070:I1100)</f>
        <v>133</v>
      </c>
      <c r="J177" s="872">
        <f t="shared" ref="J177:J179" si="341">H177+I177</f>
        <v>326</v>
      </c>
      <c r="K177" s="688">
        <f t="shared" si="324"/>
        <v>0.123544080974036</v>
      </c>
      <c r="L177" s="685">
        <f t="shared" si="325"/>
        <v>3.2947063812464</v>
      </c>
      <c r="M177" s="886">
        <f t="shared" si="326"/>
        <v>407.041471950376</v>
      </c>
      <c r="N177" s="887">
        <f t="shared" si="327"/>
        <v>8.56487454547588</v>
      </c>
      <c r="O177" s="688">
        <f t="shared" si="328"/>
        <v>0.00237473284255521</v>
      </c>
      <c r="P177" s="915">
        <f t="shared" si="329"/>
        <v>11882.9142857143</v>
      </c>
      <c r="Q177" s="685">
        <f t="shared" si="330"/>
        <v>1387.40085714286</v>
      </c>
      <c r="R177" s="902">
        <f t="shared" si="331"/>
        <v>54.2256058068118</v>
      </c>
      <c r="S177" s="558">
        <f t="shared" si="332"/>
        <v>2117</v>
      </c>
      <c r="T177" s="917">
        <f t="shared" si="333"/>
        <v>0.112454019968471</v>
      </c>
      <c r="U177" s="850">
        <f t="shared" si="334"/>
        <v>45.8753235710912</v>
      </c>
      <c r="V177" s="917">
        <f t="shared" si="335"/>
        <v>1.29020483971076</v>
      </c>
      <c r="W177" s="917">
        <f t="shared" si="336"/>
        <v>0.145633754106865</v>
      </c>
      <c r="X177" s="917">
        <f t="shared" si="337"/>
        <v>0.183740912095175</v>
      </c>
      <c r="Y177" s="917">
        <f t="shared" si="338"/>
        <v>1.97978883221498</v>
      </c>
      <c r="Z177" s="917">
        <f t="shared" si="339"/>
        <v>0.934717991335776</v>
      </c>
      <c r="AA177" s="917">
        <f t="shared" si="340"/>
        <v>1.05869617854018</v>
      </c>
      <c r="AB177" s="917">
        <f>B177/B180</f>
        <v>0.417555246882967</v>
      </c>
    </row>
    <row r="178" spans="1:29">
      <c r="A178" s="686" t="s">
        <v>21</v>
      </c>
      <c r="B178" s="685">
        <f>SUM(引力魔方!B969:B999)</f>
        <v>31404.16</v>
      </c>
      <c r="C178" s="918">
        <f>SUM(引力魔方!C969:C999)</f>
        <v>3022138</v>
      </c>
      <c r="D178" s="918">
        <f>SUM(引力魔方!D969:D999)</f>
        <v>26551</v>
      </c>
      <c r="E178" s="918">
        <f>SUM(引力魔方!E969:E999)</f>
        <v>57</v>
      </c>
      <c r="F178" s="918">
        <f>SUM(引力魔方!F969:F999)</f>
        <v>547718.01</v>
      </c>
      <c r="G178" s="918">
        <f>SUM(引力魔方!G969:G999)</f>
        <v>860</v>
      </c>
      <c r="H178" s="918">
        <f>SUM(引力魔方!H969:H999)</f>
        <v>181</v>
      </c>
      <c r="I178" s="918">
        <f>SUM(引力魔方!I969:I999)</f>
        <v>59</v>
      </c>
      <c r="J178" s="872">
        <f t="shared" si="341"/>
        <v>240</v>
      </c>
      <c r="K178" s="688">
        <f t="shared" si="324"/>
        <v>0.00878550218421528</v>
      </c>
      <c r="L178" s="685">
        <f t="shared" si="325"/>
        <v>1.18278633573123</v>
      </c>
      <c r="M178" s="886">
        <f t="shared" si="326"/>
        <v>10.3913719360267</v>
      </c>
      <c r="N178" s="887">
        <f t="shared" si="327"/>
        <v>17.4409380795411</v>
      </c>
      <c r="O178" s="688">
        <f t="shared" si="328"/>
        <v>0.00214681179616587</v>
      </c>
      <c r="P178" s="915">
        <f t="shared" si="329"/>
        <v>9609.08789473684</v>
      </c>
      <c r="Q178" s="685">
        <f t="shared" si="330"/>
        <v>550.950175438596</v>
      </c>
      <c r="R178" s="902">
        <f t="shared" si="331"/>
        <v>36.5164651162791</v>
      </c>
      <c r="S178" s="558">
        <f t="shared" si="332"/>
        <v>1100</v>
      </c>
      <c r="T178" s="917">
        <f t="shared" si="333"/>
        <v>-0.0333919156414763</v>
      </c>
      <c r="U178" s="850">
        <f t="shared" si="334"/>
        <v>28.5492363636364</v>
      </c>
      <c r="V178" s="917">
        <f t="shared" si="335"/>
        <v>1.09063360441398</v>
      </c>
      <c r="W178" s="917">
        <f t="shared" si="336"/>
        <v>0.131177589486426</v>
      </c>
      <c r="X178" s="917">
        <f t="shared" si="337"/>
        <v>-0.0423162583518931</v>
      </c>
      <c r="Y178" s="917">
        <f t="shared" si="338"/>
        <v>0.541822234895945</v>
      </c>
      <c r="Z178" s="917">
        <f t="shared" si="339"/>
        <v>1.18301043809739</v>
      </c>
      <c r="AA178" s="917">
        <f t="shared" si="340"/>
        <v>1.16285549256646</v>
      </c>
      <c r="AB178" s="917">
        <f>B178/B180</f>
        <v>0.135020940306594</v>
      </c>
    </row>
    <row r="179" spans="1:29">
      <c r="A179" s="686" t="s">
        <v>27</v>
      </c>
      <c r="B179" s="685">
        <f>SUM(万相台!B558:B588)</f>
        <v>75449</v>
      </c>
      <c r="C179" s="918">
        <f>SUM(万相台!C558:C588)</f>
        <v>4817214</v>
      </c>
      <c r="D179" s="918">
        <f>SUM(万相台!D558:D588)</f>
        <v>63988</v>
      </c>
      <c r="E179" s="918">
        <f>SUM(万相台!E558:E588)</f>
        <v>131</v>
      </c>
      <c r="F179" s="918">
        <f>SUM(万相台!F558:F588)</f>
        <v>1413979</v>
      </c>
      <c r="G179" s="918">
        <f>SUM(万相台!G558:G588)</f>
        <v>2151</v>
      </c>
      <c r="H179" s="918">
        <f>SUM(万相台!H558:H588)</f>
        <v>926</v>
      </c>
      <c r="I179" s="918">
        <f>SUM(万相台!I558:I588)</f>
        <v>215</v>
      </c>
      <c r="J179" s="872">
        <f t="shared" si="341"/>
        <v>1141</v>
      </c>
      <c r="K179" s="688">
        <f t="shared" si="324"/>
        <v>0.0132831964699928</v>
      </c>
      <c r="L179" s="685">
        <f t="shared" si="325"/>
        <v>1.17911170844533</v>
      </c>
      <c r="M179" s="886">
        <f t="shared" si="326"/>
        <v>15.6623724833483</v>
      </c>
      <c r="N179" s="887">
        <f t="shared" si="327"/>
        <v>18.7408580630625</v>
      </c>
      <c r="O179" s="688">
        <f t="shared" si="328"/>
        <v>0.00204725886103644</v>
      </c>
      <c r="P179" s="915">
        <f t="shared" si="329"/>
        <v>10793.7328244275</v>
      </c>
      <c r="Q179" s="685">
        <f t="shared" si="330"/>
        <v>575.946564885496</v>
      </c>
      <c r="R179" s="902">
        <f t="shared" si="331"/>
        <v>35.0762436076244</v>
      </c>
      <c r="S179" s="558">
        <f t="shared" si="332"/>
        <v>3292</v>
      </c>
      <c r="T179" s="917">
        <f t="shared" si="333"/>
        <v>0.966547192353644</v>
      </c>
      <c r="U179" s="850">
        <f t="shared" si="334"/>
        <v>22.9188942891859</v>
      </c>
      <c r="V179" s="917">
        <f t="shared" si="335"/>
        <v>2.01651207420438</v>
      </c>
      <c r="W179" s="917">
        <f t="shared" si="336"/>
        <v>0.316138435315333</v>
      </c>
      <c r="X179" s="917">
        <f t="shared" si="337"/>
        <v>0.896825396825397</v>
      </c>
      <c r="Y179" s="917">
        <f t="shared" si="338"/>
        <v>3.28365552112019</v>
      </c>
      <c r="Z179" s="917">
        <f t="shared" si="339"/>
        <v>0.590295068409005</v>
      </c>
      <c r="AA179" s="917">
        <f t="shared" si="340"/>
        <v>0.533912883419847</v>
      </c>
      <c r="AB179" s="917">
        <f>B179/B180</f>
        <v>0.324389982893737</v>
      </c>
    </row>
    <row r="180" spans="1:29">
      <c r="A180" s="891" t="s">
        <v>22</v>
      </c>
      <c r="B180" s="903">
        <f t="shared" ref="B180:J180" si="342">SUM(B176:B179)</f>
        <v>232587.33</v>
      </c>
      <c r="C180" s="904">
        <f t="shared" si="342"/>
        <v>8106780</v>
      </c>
      <c r="D180" s="904">
        <f t="shared" si="342"/>
        <v>127690</v>
      </c>
      <c r="E180" s="904">
        <f t="shared" si="342"/>
        <v>336</v>
      </c>
      <c r="F180" s="903">
        <f t="shared" si="342"/>
        <v>3845702.03</v>
      </c>
      <c r="G180" s="904">
        <f t="shared" si="342"/>
        <v>6333</v>
      </c>
      <c r="H180" s="904">
        <f t="shared" si="342"/>
        <v>1465</v>
      </c>
      <c r="I180" s="904">
        <f t="shared" si="342"/>
        <v>747</v>
      </c>
      <c r="J180" s="904">
        <f t="shared" si="342"/>
        <v>2212</v>
      </c>
      <c r="K180" s="896">
        <f t="shared" si="324"/>
        <v>0.01575101334932</v>
      </c>
      <c r="L180" s="903">
        <f t="shared" si="325"/>
        <v>1.82149996084267</v>
      </c>
      <c r="M180" s="897">
        <f t="shared" si="326"/>
        <v>28.6904701990186</v>
      </c>
      <c r="N180" s="898">
        <f t="shared" si="327"/>
        <v>16.5344433422061</v>
      </c>
      <c r="O180" s="896">
        <f t="shared" si="328"/>
        <v>0.00263137285613595</v>
      </c>
      <c r="P180" s="916">
        <f>F180/E180</f>
        <v>11445.5417559524</v>
      </c>
      <c r="Q180" s="903">
        <f>B180/E180</f>
        <v>692.224196428572</v>
      </c>
      <c r="R180" s="902">
        <f t="shared" si="331"/>
        <v>36.7262482235907</v>
      </c>
      <c r="S180" s="558">
        <f t="shared" si="332"/>
        <v>8545</v>
      </c>
      <c r="T180" s="917">
        <f t="shared" si="333"/>
        <v>0.305776283618582</v>
      </c>
      <c r="U180" s="850">
        <f t="shared" si="334"/>
        <v>27.2191141018139</v>
      </c>
      <c r="V180" s="917">
        <f t="shared" si="335"/>
        <v>1.19486944439412</v>
      </c>
      <c r="W180" s="917">
        <f t="shared" si="336"/>
        <v>0.630863862058744</v>
      </c>
      <c r="X180" s="917">
        <f t="shared" si="337"/>
        <v>0.300944946589975</v>
      </c>
      <c r="Y180" s="917">
        <f t="shared" si="338"/>
        <v>1.04866257994825</v>
      </c>
      <c r="Z180" s="917">
        <f t="shared" si="339"/>
        <v>0.687134763194466</v>
      </c>
      <c r="AA180" s="917">
        <f t="shared" si="340"/>
        <v>0.680892410077834</v>
      </c>
      <c r="AB180" s="917">
        <f>B180/B180</f>
        <v>1</v>
      </c>
      <c r="AC180" s="917">
        <f>B180/F180</f>
        <v>0.0604798104963946</v>
      </c>
    </row>
    <row r="181" spans="1:29">
      <c r="A181" s="37" t="s">
        <v>60</v>
      </c>
      <c r="B181" s="917">
        <f t="shared" ref="B181:R181" si="343">(B180-B172)/B172</f>
        <v>1.19486944439412</v>
      </c>
      <c r="C181" s="917">
        <f t="shared" si="343"/>
        <v>-0.257377486632295</v>
      </c>
      <c r="D181" s="917">
        <f t="shared" si="343"/>
        <v>0.294242854246909</v>
      </c>
      <c r="E181" s="917">
        <f t="shared" si="343"/>
        <v>1.15384615384615</v>
      </c>
      <c r="F181" s="917">
        <f t="shared" si="343"/>
        <v>1.04866257994825</v>
      </c>
      <c r="G181" s="917">
        <f t="shared" si="343"/>
        <v>0.300944946589975</v>
      </c>
      <c r="H181" s="917">
        <f t="shared" si="343"/>
        <v>0.410009624639076</v>
      </c>
      <c r="I181" s="917">
        <f t="shared" si="343"/>
        <v>0.172684458398744</v>
      </c>
      <c r="J181" s="917">
        <f t="shared" si="343"/>
        <v>0.31980906921241</v>
      </c>
      <c r="K181" s="917">
        <f t="shared" si="343"/>
        <v>0.742800455075985</v>
      </c>
      <c r="L181" s="917">
        <f t="shared" si="343"/>
        <v>0.695871402489806</v>
      </c>
      <c r="M181" s="917">
        <f t="shared" si="343"/>
        <v>1.95556545200958</v>
      </c>
      <c r="N181" s="917">
        <f t="shared" si="343"/>
        <v>-0.0666130119125279</v>
      </c>
      <c r="O181" s="917">
        <f t="shared" si="343"/>
        <v>0.664174653758803</v>
      </c>
      <c r="P181" s="917">
        <f t="shared" si="343"/>
        <v>-0.0488352307383141</v>
      </c>
      <c r="Q181" s="917">
        <f t="shared" si="343"/>
        <v>0.0190465277544105</v>
      </c>
      <c r="R181" s="917">
        <f t="shared" si="343"/>
        <v>0.687134763194466</v>
      </c>
    </row>
    <row r="183" ht="41.4" spans="1:29">
      <c r="A183" s="868" t="s">
        <v>33</v>
      </c>
      <c r="B183" s="869" t="s">
        <v>1</v>
      </c>
      <c r="C183" s="870" t="s">
        <v>2</v>
      </c>
      <c r="D183" s="870" t="s">
        <v>3</v>
      </c>
      <c r="E183" s="871" t="s">
        <v>4</v>
      </c>
      <c r="F183" s="869" t="s">
        <v>5</v>
      </c>
      <c r="G183" s="871" t="s">
        <v>6</v>
      </c>
      <c r="H183" s="871" t="s">
        <v>7</v>
      </c>
      <c r="I183" s="871" t="s">
        <v>8</v>
      </c>
      <c r="J183" s="871" t="s">
        <v>34</v>
      </c>
      <c r="K183" s="879" t="s">
        <v>9</v>
      </c>
      <c r="L183" s="869" t="s">
        <v>10</v>
      </c>
      <c r="M183" s="880" t="s">
        <v>11</v>
      </c>
      <c r="N183" s="881" t="s">
        <v>12</v>
      </c>
      <c r="O183" s="879" t="s">
        <v>13</v>
      </c>
      <c r="P183" s="875" t="s">
        <v>14</v>
      </c>
      <c r="Q183" s="869" t="s">
        <v>15</v>
      </c>
      <c r="R183" s="912" t="s">
        <v>16</v>
      </c>
      <c r="S183" s="882" t="s">
        <v>35</v>
      </c>
      <c r="T183" s="882" t="s">
        <v>37</v>
      </c>
      <c r="U183" s="882" t="s">
        <v>36</v>
      </c>
      <c r="V183" s="882" t="s">
        <v>38</v>
      </c>
      <c r="W183" s="882" t="s">
        <v>39</v>
      </c>
      <c r="X183" s="882" t="s">
        <v>40</v>
      </c>
      <c r="Y183" s="882" t="s">
        <v>41</v>
      </c>
      <c r="Z183" s="882" t="s">
        <v>42</v>
      </c>
      <c r="AA183" s="882" t="s">
        <v>43</v>
      </c>
      <c r="AB183" s="37" t="s">
        <v>44</v>
      </c>
      <c r="AC183" s="37" t="s">
        <v>49</v>
      </c>
    </row>
    <row r="184" spans="1:29">
      <c r="A184" s="686" t="s">
        <v>19</v>
      </c>
      <c r="B184" s="685">
        <f>SUM(明星店铺!B1101:B1130)</f>
        <v>21930.55</v>
      </c>
      <c r="C184" s="1086">
        <f>SUM(明星店铺!C1101:C1130)</f>
        <v>19034</v>
      </c>
      <c r="D184" s="1086">
        <f>SUM(明星店铺!D1101:D1130)</f>
        <v>5545</v>
      </c>
      <c r="E184" s="1086">
        <f>SUM(明星店铺!E1101:E1130)</f>
        <v>59</v>
      </c>
      <c r="F184" s="685">
        <f>SUM(明星店铺!F1101:F1130)</f>
        <v>770572</v>
      </c>
      <c r="G184" s="1086">
        <f>SUM(明星店铺!G1101:G1130)</f>
        <v>1203</v>
      </c>
      <c r="H184" s="1086">
        <f>SUM(明星店铺!H1101:H1130)</f>
        <v>82</v>
      </c>
      <c r="I184" s="1086">
        <f>SUM(明星店铺!I1101:I1130)</f>
        <v>226</v>
      </c>
      <c r="J184" s="1086">
        <f>H184+I184</f>
        <v>308</v>
      </c>
      <c r="K184" s="688">
        <f t="shared" ref="K184:K188" si="344">D184/C184</f>
        <v>0.291320794367973</v>
      </c>
      <c r="L184" s="685">
        <f t="shared" ref="L184:L188" si="345">B184/D184</f>
        <v>3.95501352569883</v>
      </c>
      <c r="M184" s="886">
        <f t="shared" ref="M184:M188" si="346">(B184/C184)*1000</f>
        <v>1152.17768204266</v>
      </c>
      <c r="N184" s="887">
        <f t="shared" ref="N184:N188" si="347">F184/B184</f>
        <v>35.1369208706576</v>
      </c>
      <c r="O184" s="688">
        <f t="shared" ref="O184:O188" si="348">E184/D184</f>
        <v>0.0106402164111812</v>
      </c>
      <c r="P184" s="915">
        <f t="shared" ref="P184:P187" si="349">IF(E184=0,"0",F184/E184)</f>
        <v>13060.5423728814</v>
      </c>
      <c r="Q184" s="685">
        <f t="shared" ref="Q184:Q187" si="350">IF(E184=0,"0",B184/E184)</f>
        <v>371.704237288136</v>
      </c>
      <c r="R184" s="902">
        <f t="shared" ref="R184:R188" si="351">B184/G184</f>
        <v>18.2298836242726</v>
      </c>
      <c r="S184" s="558">
        <f t="shared" ref="S184:S188" si="352">G184+J184</f>
        <v>1511</v>
      </c>
      <c r="T184" s="917">
        <f t="shared" ref="T184:T188" si="353">(S184-S176)/S176</f>
        <v>-0.257858546168959</v>
      </c>
      <c r="U184" s="850">
        <f t="shared" ref="U184:U188" si="354">B184/S184</f>
        <v>14.5139311714097</v>
      </c>
      <c r="V184" s="917">
        <f t="shared" ref="V184:V188" si="355">(B184-B176)/B176</f>
        <v>-0.233629238914723</v>
      </c>
      <c r="W184" s="917">
        <f t="shared" ref="W184:W188" si="356">D184/$D$132</f>
        <v>0.0273955682912972</v>
      </c>
      <c r="X184" s="917">
        <f t="shared" ref="X184:X188" si="357">(G184-G176)/G176</f>
        <v>-0.214239059438276</v>
      </c>
      <c r="Y184" s="917">
        <f t="shared" ref="Y184:Y188" si="358">(F184-F176)/F176</f>
        <v>-0.267657049030422</v>
      </c>
      <c r="Z184" s="917">
        <f t="shared" ref="Z184:Z188" si="359">(R184-R176)/R176</f>
        <v>-0.0246769449529854</v>
      </c>
      <c r="AA184" s="917">
        <f t="shared" ref="AA184:AA188" si="360">(U184-U176)/U176</f>
        <v>0.0326478289673218</v>
      </c>
      <c r="AB184" s="917">
        <f>B184/B188</f>
        <v>0.13353367143966</v>
      </c>
    </row>
    <row r="185" spans="1:29">
      <c r="A185" s="686" t="s">
        <v>20</v>
      </c>
      <c r="B185" s="685">
        <f>SUM(直通车!B1101:B1130)</f>
        <v>66567.87</v>
      </c>
      <c r="C185" s="1086">
        <f>SUM(直通车!C1101:C1130)</f>
        <v>157058</v>
      </c>
      <c r="D185" s="1086">
        <f>SUM(直通车!D1101:D1130)</f>
        <v>22261</v>
      </c>
      <c r="E185" s="1086">
        <f>SUM(直通车!E1101:E1130)</f>
        <v>56</v>
      </c>
      <c r="F185" s="685">
        <f>SUM(直通车!F1101:F1130)</f>
        <v>740942.44</v>
      </c>
      <c r="G185" s="1086">
        <f>SUM(直通车!G1101:G1130)</f>
        <v>1271</v>
      </c>
      <c r="H185" s="1086">
        <f>SUM(直通车!H1101:H1130)</f>
        <v>144</v>
      </c>
      <c r="I185" s="1086">
        <f>SUM(直通车!I1101:I1130)</f>
        <v>127</v>
      </c>
      <c r="J185" s="1086">
        <f>H185+I185</f>
        <v>271</v>
      </c>
      <c r="K185" s="688">
        <f t="shared" si="344"/>
        <v>0.141737447312458</v>
      </c>
      <c r="L185" s="685">
        <f t="shared" si="345"/>
        <v>2.99033601365617</v>
      </c>
      <c r="M185" s="886">
        <f t="shared" si="346"/>
        <v>423.842593182137</v>
      </c>
      <c r="N185" s="887">
        <f t="shared" si="347"/>
        <v>11.1306316395582</v>
      </c>
      <c r="O185" s="688">
        <f t="shared" si="348"/>
        <v>0.00251561026009613</v>
      </c>
      <c r="P185" s="915">
        <f t="shared" si="349"/>
        <v>13231.115</v>
      </c>
      <c r="Q185" s="685">
        <f t="shared" si="350"/>
        <v>1188.71196428571</v>
      </c>
      <c r="R185" s="902">
        <f t="shared" si="351"/>
        <v>52.3744059795437</v>
      </c>
      <c r="S185" s="558">
        <f t="shared" si="352"/>
        <v>1542</v>
      </c>
      <c r="T185" s="917">
        <f t="shared" si="353"/>
        <v>-0.271610769957487</v>
      </c>
      <c r="U185" s="850">
        <f t="shared" si="354"/>
        <v>43.1698249027237</v>
      </c>
      <c r="V185" s="917">
        <f t="shared" si="355"/>
        <v>-0.314567547992619</v>
      </c>
      <c r="W185" s="917">
        <f t="shared" si="356"/>
        <v>0.109982460907586</v>
      </c>
      <c r="X185" s="917">
        <f t="shared" si="357"/>
        <v>-0.29034059184813</v>
      </c>
      <c r="Y185" s="917">
        <f t="shared" si="358"/>
        <v>-0.109234338858674</v>
      </c>
      <c r="Z185" s="917">
        <f t="shared" si="359"/>
        <v>-0.0341388500824388</v>
      </c>
      <c r="AA185" s="917">
        <f t="shared" si="360"/>
        <v>-0.0589750318420062</v>
      </c>
      <c r="AB185" s="917">
        <f>B185/B188</f>
        <v>0.405327366665132</v>
      </c>
    </row>
    <row r="186" spans="1:29">
      <c r="A186" s="686" t="s">
        <v>21</v>
      </c>
      <c r="B186" s="685">
        <f>SUM(引力魔方!B1000:B1029)</f>
        <v>30578.94</v>
      </c>
      <c r="C186" s="1086">
        <f>SUM(引力魔方!C1000:C1029)</f>
        <v>3426752</v>
      </c>
      <c r="D186" s="1086">
        <f>SUM(引力魔方!D1000:D1029)</f>
        <v>26009</v>
      </c>
      <c r="E186" s="1086">
        <f>SUM(引力魔方!E1000:E1029)</f>
        <v>51</v>
      </c>
      <c r="F186" s="685">
        <f>SUM(引力魔方!F1000:F1029)</f>
        <v>630073</v>
      </c>
      <c r="G186" s="1086">
        <f>SUM(引力魔方!G1000:G1029)</f>
        <v>873</v>
      </c>
      <c r="H186" s="1086">
        <f>SUM(引力魔方!H1000:H1029)</f>
        <v>193</v>
      </c>
      <c r="I186" s="1086">
        <f>SUM(引力魔方!I1000:I1029)</f>
        <v>61</v>
      </c>
      <c r="J186" s="1086">
        <f>H186+I186</f>
        <v>254</v>
      </c>
      <c r="K186" s="688">
        <f t="shared" si="344"/>
        <v>0.00758998608594961</v>
      </c>
      <c r="L186" s="685">
        <f t="shared" si="345"/>
        <v>1.17570610173402</v>
      </c>
      <c r="M186" s="886">
        <f t="shared" si="346"/>
        <v>8.92359295332723</v>
      </c>
      <c r="N186" s="887">
        <f t="shared" si="347"/>
        <v>20.6048018669058</v>
      </c>
      <c r="O186" s="688">
        <f t="shared" si="348"/>
        <v>0.0019608597024107</v>
      </c>
      <c r="P186" s="915">
        <f t="shared" si="349"/>
        <v>12354.3725490196</v>
      </c>
      <c r="Q186" s="685">
        <f t="shared" si="350"/>
        <v>599.587058823529</v>
      </c>
      <c r="R186" s="902">
        <f t="shared" si="351"/>
        <v>35.0274226804124</v>
      </c>
      <c r="S186" s="558">
        <f t="shared" si="352"/>
        <v>1127</v>
      </c>
      <c r="T186" s="917">
        <f t="shared" si="353"/>
        <v>0.0245454545454545</v>
      </c>
      <c r="U186" s="850">
        <f t="shared" si="354"/>
        <v>27.1330434782609</v>
      </c>
      <c r="V186" s="917">
        <f t="shared" si="355"/>
        <v>-0.0262774103812996</v>
      </c>
      <c r="W186" s="917">
        <f t="shared" si="356"/>
        <v>0.12849979002495</v>
      </c>
      <c r="X186" s="917">
        <f t="shared" si="357"/>
        <v>0.0151162790697674</v>
      </c>
      <c r="Y186" s="917">
        <f t="shared" si="358"/>
        <v>0.150360200863214</v>
      </c>
      <c r="Z186" s="917">
        <f t="shared" si="359"/>
        <v>-0.0407772885772251</v>
      </c>
      <c r="AA186" s="917">
        <f t="shared" si="360"/>
        <v>-0.0496052807625817</v>
      </c>
      <c r="AB186" s="917">
        <f>B186/B188</f>
        <v>0.186193147318835</v>
      </c>
    </row>
    <row r="187" spans="1:29">
      <c r="A187" s="686" t="s">
        <v>27</v>
      </c>
      <c r="B187" s="685">
        <f>SUM(万相台!B589:B618)</f>
        <v>45155</v>
      </c>
      <c r="C187" s="1086">
        <f>SUM(万相台!C589:C618)</f>
        <v>2198726</v>
      </c>
      <c r="D187" s="1086">
        <f>SUM(万相台!D589:D618)</f>
        <v>33318</v>
      </c>
      <c r="E187" s="1086">
        <f>SUM(万相台!E589:E618)</f>
        <v>53</v>
      </c>
      <c r="F187" s="685">
        <f>SUM(万相台!F589:F618)</f>
        <v>739821</v>
      </c>
      <c r="G187" s="1086">
        <f>SUM(万相台!G589:G618)</f>
        <v>1030</v>
      </c>
      <c r="H187" s="1086">
        <f>SUM(万相台!H589:H618)</f>
        <v>377</v>
      </c>
      <c r="I187" s="1086">
        <f>SUM(万相台!I589:I618)</f>
        <v>128</v>
      </c>
      <c r="J187" s="1086">
        <f>H187+I187</f>
        <v>505</v>
      </c>
      <c r="K187" s="688">
        <f t="shared" si="344"/>
        <v>0.0151533206047502</v>
      </c>
      <c r="L187" s="685">
        <f t="shared" si="345"/>
        <v>1.35527342577586</v>
      </c>
      <c r="M187" s="886">
        <f t="shared" si="346"/>
        <v>20.5368927278797</v>
      </c>
      <c r="N187" s="887">
        <f t="shared" si="347"/>
        <v>16.3840327759938</v>
      </c>
      <c r="O187" s="688">
        <f t="shared" si="348"/>
        <v>0.00159073173659884</v>
      </c>
      <c r="P187" s="915">
        <f t="shared" si="349"/>
        <v>13958.8867924528</v>
      </c>
      <c r="Q187" s="685">
        <f t="shared" si="350"/>
        <v>851.981132075472</v>
      </c>
      <c r="R187" s="902">
        <f t="shared" si="351"/>
        <v>43.8398058252427</v>
      </c>
      <c r="S187" s="558">
        <f t="shared" si="352"/>
        <v>1535</v>
      </c>
      <c r="T187" s="917">
        <f t="shared" si="353"/>
        <v>-0.533718104495747</v>
      </c>
      <c r="U187" s="850">
        <f t="shared" si="354"/>
        <v>29.4169381107492</v>
      </c>
      <c r="V187" s="917">
        <f t="shared" si="355"/>
        <v>-0.401516256013996</v>
      </c>
      <c r="W187" s="917">
        <f t="shared" si="356"/>
        <v>0.164610558039574</v>
      </c>
      <c r="X187" s="917">
        <f t="shared" si="357"/>
        <v>-0.521152952115295</v>
      </c>
      <c r="Y187" s="917">
        <f t="shared" si="358"/>
        <v>-0.476780772557443</v>
      </c>
      <c r="Z187" s="917">
        <f t="shared" si="359"/>
        <v>0.249843236227082</v>
      </c>
      <c r="AA187" s="917">
        <f t="shared" si="360"/>
        <v>0.28352344312829</v>
      </c>
      <c r="AB187" s="917">
        <f>B187/B188</f>
        <v>0.274945814576372</v>
      </c>
    </row>
    <row r="188" spans="1:29">
      <c r="A188" s="891" t="s">
        <v>22</v>
      </c>
      <c r="B188" s="903">
        <f t="shared" ref="B188:J188" si="361">SUM(B184:B187)</f>
        <v>164232.36</v>
      </c>
      <c r="C188" s="904">
        <f t="shared" si="361"/>
        <v>5801570</v>
      </c>
      <c r="D188" s="904">
        <f t="shared" si="361"/>
        <v>87133</v>
      </c>
      <c r="E188" s="904">
        <f t="shared" si="361"/>
        <v>219</v>
      </c>
      <c r="F188" s="903">
        <f t="shared" si="361"/>
        <v>2881408.44</v>
      </c>
      <c r="G188" s="904">
        <f t="shared" si="361"/>
        <v>4377</v>
      </c>
      <c r="H188" s="904">
        <f t="shared" si="361"/>
        <v>796</v>
      </c>
      <c r="I188" s="904">
        <f t="shared" si="361"/>
        <v>542</v>
      </c>
      <c r="J188" s="904">
        <f t="shared" si="361"/>
        <v>1338</v>
      </c>
      <c r="K188" s="896">
        <f t="shared" si="344"/>
        <v>0.015018865582937</v>
      </c>
      <c r="L188" s="903">
        <f t="shared" si="345"/>
        <v>1.88484684333146</v>
      </c>
      <c r="M188" s="897">
        <f t="shared" si="346"/>
        <v>28.3082613844184</v>
      </c>
      <c r="N188" s="898">
        <f t="shared" si="347"/>
        <v>17.5447058058473</v>
      </c>
      <c r="O188" s="896">
        <f t="shared" si="348"/>
        <v>0.0025133990566146</v>
      </c>
      <c r="P188" s="916">
        <f>F188/E188</f>
        <v>13157.1161643836</v>
      </c>
      <c r="Q188" s="903">
        <f>B188/E188</f>
        <v>749.919452054795</v>
      </c>
      <c r="R188" s="902">
        <f t="shared" si="351"/>
        <v>37.5216723783413</v>
      </c>
      <c r="S188" s="558">
        <f t="shared" si="352"/>
        <v>5715</v>
      </c>
      <c r="T188" s="917">
        <f t="shared" si="353"/>
        <v>-0.331187829139848</v>
      </c>
      <c r="U188" s="850">
        <f t="shared" si="354"/>
        <v>28.7370708661417</v>
      </c>
      <c r="V188" s="917">
        <f t="shared" si="355"/>
        <v>-0.293889482286073</v>
      </c>
      <c r="W188" s="917">
        <f t="shared" si="356"/>
        <v>0.430488377263408</v>
      </c>
      <c r="X188" s="917">
        <f t="shared" si="357"/>
        <v>-0.308858360966367</v>
      </c>
      <c r="Y188" s="917">
        <f t="shared" si="358"/>
        <v>-0.250745789059482</v>
      </c>
      <c r="Z188" s="917">
        <f t="shared" si="359"/>
        <v>0.0216581925250859</v>
      </c>
      <c r="AA188" s="917">
        <f t="shared" si="360"/>
        <v>0.0557680444209111</v>
      </c>
      <c r="AB188" s="917">
        <f>B188/B188</f>
        <v>1</v>
      </c>
      <c r="AC188" s="917">
        <f>B188/F188</f>
        <v>0.0569972509693905</v>
      </c>
    </row>
    <row r="189" spans="1:29">
      <c r="A189" s="37" t="s">
        <v>45</v>
      </c>
      <c r="B189" s="917">
        <f t="shared" ref="B189:R189" si="362">(B188-B180)/B180</f>
        <v>-0.293889482286073</v>
      </c>
      <c r="C189" s="917">
        <f t="shared" si="362"/>
        <v>-0.284355810815145</v>
      </c>
      <c r="D189" s="917">
        <f t="shared" si="362"/>
        <v>-0.31762080037591</v>
      </c>
      <c r="E189" s="917">
        <f t="shared" si="362"/>
        <v>-0.348214285714286</v>
      </c>
      <c r="F189" s="917">
        <f t="shared" si="362"/>
        <v>-0.250745789059482</v>
      </c>
      <c r="G189" s="917">
        <f t="shared" si="362"/>
        <v>-0.308858360966367</v>
      </c>
      <c r="H189" s="917">
        <f t="shared" si="362"/>
        <v>-0.456655290102389</v>
      </c>
      <c r="I189" s="917">
        <f t="shared" si="362"/>
        <v>-0.274431057563588</v>
      </c>
      <c r="J189" s="917">
        <f t="shared" si="362"/>
        <v>-0.395117540687161</v>
      </c>
      <c r="K189" s="917">
        <f t="shared" si="362"/>
        <v>-0.0464825817962074</v>
      </c>
      <c r="L189" s="917">
        <f t="shared" si="362"/>
        <v>0.0347773175133572</v>
      </c>
      <c r="M189" s="917">
        <f t="shared" si="362"/>
        <v>-0.0133218037888176</v>
      </c>
      <c r="N189" s="917">
        <f t="shared" si="362"/>
        <v>0.0611004823526374</v>
      </c>
      <c r="O189" s="917">
        <f t="shared" si="362"/>
        <v>-0.0448335549431001</v>
      </c>
      <c r="P189" s="917">
        <f t="shared" si="362"/>
        <v>0.149540707196412</v>
      </c>
      <c r="Q189" s="917">
        <f t="shared" si="362"/>
        <v>0.083347643615888</v>
      </c>
      <c r="R189" s="917">
        <f t="shared" si="362"/>
        <v>0.0216581925250859</v>
      </c>
    </row>
    <row r="191" ht="41.4" spans="1:29">
      <c r="A191" s="868" t="s">
        <v>46</v>
      </c>
      <c r="B191" s="869" t="s">
        <v>1</v>
      </c>
      <c r="C191" s="870" t="s">
        <v>2</v>
      </c>
      <c r="D191" s="870" t="s">
        <v>3</v>
      </c>
      <c r="E191" s="871" t="s">
        <v>4</v>
      </c>
      <c r="F191" s="869" t="s">
        <v>5</v>
      </c>
      <c r="G191" s="871" t="s">
        <v>6</v>
      </c>
      <c r="H191" s="871" t="s">
        <v>7</v>
      </c>
      <c r="I191" s="871" t="s">
        <v>8</v>
      </c>
      <c r="J191" s="871" t="s">
        <v>34</v>
      </c>
      <c r="K191" s="879" t="s">
        <v>9</v>
      </c>
      <c r="L191" s="869" t="s">
        <v>10</v>
      </c>
      <c r="M191" s="880" t="s">
        <v>11</v>
      </c>
      <c r="N191" s="881" t="s">
        <v>12</v>
      </c>
      <c r="O191" s="879" t="s">
        <v>13</v>
      </c>
      <c r="P191" s="875" t="s">
        <v>14</v>
      </c>
      <c r="Q191" s="869" t="s">
        <v>15</v>
      </c>
      <c r="R191" s="912" t="s">
        <v>16</v>
      </c>
      <c r="S191" s="882" t="s">
        <v>35</v>
      </c>
      <c r="T191" s="882" t="s">
        <v>37</v>
      </c>
      <c r="U191" s="882" t="s">
        <v>36</v>
      </c>
      <c r="V191" s="882" t="s">
        <v>38</v>
      </c>
      <c r="W191" s="882" t="s">
        <v>39</v>
      </c>
      <c r="X191" s="882" t="s">
        <v>40</v>
      </c>
      <c r="Y191" s="882" t="s">
        <v>41</v>
      </c>
      <c r="Z191" s="882" t="s">
        <v>42</v>
      </c>
      <c r="AA191" s="882" t="s">
        <v>43</v>
      </c>
      <c r="AB191" s="37" t="s">
        <v>44</v>
      </c>
      <c r="AC191" s="37" t="s">
        <v>49</v>
      </c>
    </row>
    <row r="192" spans="1:29">
      <c r="A192" s="686" t="s">
        <v>19</v>
      </c>
      <c r="B192" s="685">
        <f>SUM(明星店铺!B1131:B1161)</f>
        <v>30026.42</v>
      </c>
      <c r="C192" s="1086">
        <f>SUM(明星店铺!C1131:C1161)</f>
        <v>22774</v>
      </c>
      <c r="D192" s="1086">
        <f>SUM(明星店铺!D1131:D1161)</f>
        <v>7308</v>
      </c>
      <c r="E192" s="1086">
        <f>SUM(明星店铺!E1131:E1161)</f>
        <v>109</v>
      </c>
      <c r="F192" s="685">
        <f>SUM(明星店铺!F1131:F1161)</f>
        <v>1226093</v>
      </c>
      <c r="G192" s="1086">
        <f>SUM(明星店铺!G1131:G1161)</f>
        <v>1842</v>
      </c>
      <c r="H192" s="1086">
        <f>SUM(明星店铺!H1131:H1161)</f>
        <v>179</v>
      </c>
      <c r="I192" s="1086">
        <f>SUM(明星店铺!I1131:I1161)</f>
        <v>334</v>
      </c>
      <c r="J192" s="1086">
        <f t="shared" ref="J192:J195" si="363">H192+I192</f>
        <v>513</v>
      </c>
      <c r="K192" s="688">
        <f t="shared" ref="K192:K196" si="364">D192/C192</f>
        <v>0.320892245543163</v>
      </c>
      <c r="L192" s="685">
        <f t="shared" ref="L192:L196" si="365">B192/D192</f>
        <v>4.10870552818829</v>
      </c>
      <c r="M192" s="886">
        <f t="shared" ref="M192:M196" si="366">(B192/C192)*1000</f>
        <v>1318.45174321595</v>
      </c>
      <c r="N192" s="887">
        <f t="shared" ref="N192:N196" si="367">F192/B192</f>
        <v>40.8338056951178</v>
      </c>
      <c r="O192" s="688">
        <f t="shared" ref="O192:O196" si="368">E192/D192</f>
        <v>0.0149151614668856</v>
      </c>
      <c r="P192" s="915">
        <f t="shared" ref="P192:P195" si="369">IF(E192=0,"0",F192/E192)</f>
        <v>11248.5596330275</v>
      </c>
      <c r="Q192" s="685">
        <f t="shared" ref="Q192:Q195" si="370">IF(E192=0,"0",B192/E192)</f>
        <v>275.471743119266</v>
      </c>
      <c r="R192" s="902">
        <f t="shared" ref="R192:R196" si="371">B192/G192</f>
        <v>16.3009880564604</v>
      </c>
      <c r="S192" s="558">
        <f t="shared" ref="S192:S196" si="372">G192+J192</f>
        <v>2355</v>
      </c>
      <c r="T192" s="917">
        <f t="shared" ref="T192:T196" si="373">(S192-S184)/S184</f>
        <v>0.558570483123759</v>
      </c>
      <c r="U192" s="850">
        <f t="shared" ref="U192:U196" si="374">B192/S192</f>
        <v>12.7500721868365</v>
      </c>
      <c r="V192" s="917">
        <f t="shared" ref="V192:V196" si="375">(B192-B184)/B184</f>
        <v>0.369159460205057</v>
      </c>
      <c r="W192" s="917">
        <f t="shared" ref="W192:W196" si="376">D192/$D$132</f>
        <v>0.0361058274252118</v>
      </c>
      <c r="X192" s="917">
        <f t="shared" ref="X192:X196" si="377">(G192-G184)/G184</f>
        <v>0.531172069825436</v>
      </c>
      <c r="Y192" s="917">
        <f t="shared" ref="Y192:Y196" si="378">(F192-F184)/F184</f>
        <v>0.591146576828642</v>
      </c>
      <c r="Z192" s="917">
        <f t="shared" ref="Z192:Z196" si="379">(R192-R184)/R184</f>
        <v>-0.105809538204841</v>
      </c>
      <c r="AA192" s="917">
        <f t="shared" ref="AA192:AA196" si="380">(U192-U184)/U184</f>
        <v>-0.12152868604253</v>
      </c>
      <c r="AB192" s="917">
        <f>B192/B196</f>
        <v>0.128819533034223</v>
      </c>
    </row>
    <row r="193" spans="1:29">
      <c r="A193" s="686" t="s">
        <v>20</v>
      </c>
      <c r="B193" s="685">
        <f>SUM(直通车!B1131:B1161)</f>
        <v>78382.93</v>
      </c>
      <c r="C193" s="1086">
        <f>SUM(直通车!C1131:C1161)</f>
        <v>210858</v>
      </c>
      <c r="D193" s="1086">
        <f>SUM(直通车!D1131:D1161)</f>
        <v>21005</v>
      </c>
      <c r="E193" s="1086">
        <f>SUM(直通车!E1131:E1161)</f>
        <v>95</v>
      </c>
      <c r="F193" s="685">
        <f>SUM(直通车!F1131:F1161)</f>
        <v>1146661.99</v>
      </c>
      <c r="G193" s="1086">
        <f>SUM(直通车!G1131:G1161)</f>
        <v>1677</v>
      </c>
      <c r="H193" s="1086">
        <f>SUM(直通车!H1131:H1161)</f>
        <v>163</v>
      </c>
      <c r="I193" s="1086">
        <f>SUM(直通车!I1131:I1161)</f>
        <v>160</v>
      </c>
      <c r="J193" s="1086">
        <f t="shared" si="363"/>
        <v>323</v>
      </c>
      <c r="K193" s="688">
        <f t="shared" si="364"/>
        <v>0.0996168037257301</v>
      </c>
      <c r="L193" s="685">
        <f t="shared" si="365"/>
        <v>3.73163199238277</v>
      </c>
      <c r="M193" s="886">
        <f t="shared" si="366"/>
        <v>371.733251761849</v>
      </c>
      <c r="N193" s="887">
        <f t="shared" si="367"/>
        <v>14.6289758497163</v>
      </c>
      <c r="O193" s="688">
        <f t="shared" si="368"/>
        <v>0.0045227326826946</v>
      </c>
      <c r="P193" s="915">
        <f t="shared" si="369"/>
        <v>12070.1262105263</v>
      </c>
      <c r="Q193" s="685">
        <f t="shared" si="370"/>
        <v>825.083473684211</v>
      </c>
      <c r="R193" s="902">
        <f t="shared" si="371"/>
        <v>46.7399701848539</v>
      </c>
      <c r="S193" s="558">
        <f t="shared" si="372"/>
        <v>2000</v>
      </c>
      <c r="T193" s="917">
        <f t="shared" si="373"/>
        <v>0.297016861219196</v>
      </c>
      <c r="U193" s="850">
        <f t="shared" si="374"/>
        <v>39.191465</v>
      </c>
      <c r="V193" s="917">
        <f t="shared" si="375"/>
        <v>0.177488929719397</v>
      </c>
      <c r="W193" s="917">
        <f t="shared" si="376"/>
        <v>0.103777080605716</v>
      </c>
      <c r="X193" s="917">
        <f t="shared" si="377"/>
        <v>0.319433516915814</v>
      </c>
      <c r="Y193" s="917">
        <f t="shared" si="378"/>
        <v>0.547572291850363</v>
      </c>
      <c r="Z193" s="917">
        <f t="shared" si="379"/>
        <v>-0.107579946527517</v>
      </c>
      <c r="AA193" s="917">
        <f t="shared" si="380"/>
        <v>-0.0921560351863446</v>
      </c>
      <c r="AB193" s="917">
        <f>B193/B196</f>
        <v>0.33627893170262</v>
      </c>
    </row>
    <row r="194" spans="1:29">
      <c r="A194" s="686" t="s">
        <v>21</v>
      </c>
      <c r="B194" s="685">
        <f>SUM(引力魔方!B1030:B1060)</f>
        <v>42775.68</v>
      </c>
      <c r="C194" s="1086">
        <f>SUM(引力魔方!C1030:C1060)</f>
        <v>1801491</v>
      </c>
      <c r="D194" s="1086">
        <f>SUM(引力魔方!D1030:D1060)</f>
        <v>22187</v>
      </c>
      <c r="E194" s="1086">
        <f>SUM(引力魔方!E1030:E1060)</f>
        <v>112</v>
      </c>
      <c r="F194" s="685">
        <f>SUM(引力魔方!F1030:F1060)</f>
        <v>1392694.64</v>
      </c>
      <c r="G194" s="1086">
        <f>SUM(引力魔方!G1030:G1060)</f>
        <v>1131</v>
      </c>
      <c r="H194" s="1086">
        <f>SUM(引力魔方!H1030:H1060)</f>
        <v>215</v>
      </c>
      <c r="I194" s="1086">
        <f>SUM(引力魔方!I1030:I1060)</f>
        <v>55</v>
      </c>
      <c r="J194" s="1086">
        <f t="shared" si="363"/>
        <v>270</v>
      </c>
      <c r="K194" s="688">
        <f t="shared" si="364"/>
        <v>0.0123159094327976</v>
      </c>
      <c r="L194" s="685">
        <f t="shared" si="365"/>
        <v>1.92796141884888</v>
      </c>
      <c r="M194" s="886">
        <f t="shared" si="366"/>
        <v>23.7445982244707</v>
      </c>
      <c r="N194" s="887">
        <f t="shared" si="367"/>
        <v>32.5580946930592</v>
      </c>
      <c r="O194" s="688">
        <f t="shared" si="368"/>
        <v>0.00504800108171452</v>
      </c>
      <c r="P194" s="915">
        <f t="shared" si="369"/>
        <v>12434.7735714286</v>
      </c>
      <c r="Q194" s="685">
        <f t="shared" si="370"/>
        <v>381.925714285714</v>
      </c>
      <c r="R194" s="902">
        <f t="shared" si="371"/>
        <v>37.8211140583554</v>
      </c>
      <c r="S194" s="558">
        <f t="shared" si="372"/>
        <v>1401</v>
      </c>
      <c r="T194" s="917">
        <f t="shared" si="373"/>
        <v>0.243123336291038</v>
      </c>
      <c r="U194" s="850">
        <f t="shared" si="374"/>
        <v>30.5322483940043</v>
      </c>
      <c r="V194" s="917">
        <f t="shared" si="375"/>
        <v>0.398860784579191</v>
      </c>
      <c r="W194" s="917">
        <f t="shared" si="376"/>
        <v>0.109616857291075</v>
      </c>
      <c r="X194" s="917">
        <f t="shared" si="377"/>
        <v>0.29553264604811</v>
      </c>
      <c r="Y194" s="917">
        <f t="shared" si="378"/>
        <v>1.21037029042667</v>
      </c>
      <c r="Z194" s="917">
        <f t="shared" si="379"/>
        <v>0.0797572634284999</v>
      </c>
      <c r="AA194" s="917">
        <f t="shared" si="380"/>
        <v>0.125279160757136</v>
      </c>
      <c r="AB194" s="917">
        <f>B194/B196</f>
        <v>0.183516487240948</v>
      </c>
    </row>
    <row r="195" spans="1:29">
      <c r="A195" s="686" t="s">
        <v>27</v>
      </c>
      <c r="B195" s="685">
        <f>SUM(万相台!B619:B649)</f>
        <v>81904</v>
      </c>
      <c r="C195" s="1086">
        <f>SUM(万相台!C619:C649)</f>
        <v>2441798</v>
      </c>
      <c r="D195" s="1086">
        <f>SUM(万相台!D619:D649)</f>
        <v>51810</v>
      </c>
      <c r="E195" s="1086">
        <f>SUM(万相台!E619:E649)</f>
        <v>277</v>
      </c>
      <c r="F195" s="685">
        <f>SUM(万相台!F619:F649)</f>
        <v>3064421</v>
      </c>
      <c r="G195" s="1086">
        <f>SUM(万相台!G619:G649)</f>
        <v>2049</v>
      </c>
      <c r="H195" s="1086">
        <f>SUM(万相台!H619:H649)</f>
        <v>554</v>
      </c>
      <c r="I195" s="1086">
        <f>SUM(万相台!I619:I649)</f>
        <v>215</v>
      </c>
      <c r="J195" s="1086">
        <f t="shared" si="363"/>
        <v>769</v>
      </c>
      <c r="K195" s="688">
        <f t="shared" si="364"/>
        <v>0.0212179713473432</v>
      </c>
      <c r="L195" s="685">
        <f t="shared" si="365"/>
        <v>1.58085311715885</v>
      </c>
      <c r="M195" s="886">
        <f t="shared" si="366"/>
        <v>33.5424961442347</v>
      </c>
      <c r="N195" s="887">
        <f t="shared" si="367"/>
        <v>37.4147904864231</v>
      </c>
      <c r="O195" s="688">
        <f t="shared" si="368"/>
        <v>0.00534645821270025</v>
      </c>
      <c r="P195" s="915">
        <f t="shared" si="369"/>
        <v>11062.8916967509</v>
      </c>
      <c r="Q195" s="685">
        <f t="shared" si="370"/>
        <v>295.682310469314</v>
      </c>
      <c r="R195" s="902">
        <f t="shared" si="371"/>
        <v>39.9726695949244</v>
      </c>
      <c r="S195" s="558">
        <f t="shared" si="372"/>
        <v>2818</v>
      </c>
      <c r="T195" s="917">
        <f t="shared" si="373"/>
        <v>0.835830618892508</v>
      </c>
      <c r="U195" s="850">
        <f t="shared" si="374"/>
        <v>29.0645848119233</v>
      </c>
      <c r="V195" s="917">
        <f t="shared" si="375"/>
        <v>0.813841213597608</v>
      </c>
      <c r="W195" s="917">
        <f t="shared" si="376"/>
        <v>0.255971937452138</v>
      </c>
      <c r="X195" s="917">
        <f t="shared" si="377"/>
        <v>0.989320388349515</v>
      </c>
      <c r="Y195" s="917">
        <f t="shared" si="378"/>
        <v>3.14211140262307</v>
      </c>
      <c r="Z195" s="917">
        <f t="shared" si="379"/>
        <v>-0.0882106149314122</v>
      </c>
      <c r="AA195" s="917">
        <f t="shared" si="380"/>
        <v>-0.0119779052972574</v>
      </c>
      <c r="AB195" s="917">
        <f>B195/B196</f>
        <v>0.351385048022209</v>
      </c>
    </row>
    <row r="196" spans="1:29">
      <c r="A196" s="891" t="s">
        <v>22</v>
      </c>
      <c r="B196" s="903">
        <f t="shared" ref="B196:J196" si="381">SUM(B192:B195)</f>
        <v>233089.03</v>
      </c>
      <c r="C196" s="904">
        <f t="shared" si="381"/>
        <v>4476921</v>
      </c>
      <c r="D196" s="904">
        <f t="shared" si="381"/>
        <v>102310</v>
      </c>
      <c r="E196" s="904">
        <f t="shared" si="381"/>
        <v>593</v>
      </c>
      <c r="F196" s="903">
        <f t="shared" si="381"/>
        <v>6829870.63</v>
      </c>
      <c r="G196" s="904">
        <f t="shared" si="381"/>
        <v>6699</v>
      </c>
      <c r="H196" s="904">
        <f t="shared" si="381"/>
        <v>1111</v>
      </c>
      <c r="I196" s="904">
        <f t="shared" si="381"/>
        <v>764</v>
      </c>
      <c r="J196" s="904">
        <f t="shared" si="381"/>
        <v>1875</v>
      </c>
      <c r="K196" s="896">
        <f t="shared" si="364"/>
        <v>0.0228527597426892</v>
      </c>
      <c r="L196" s="903">
        <f t="shared" si="365"/>
        <v>2.27826243768938</v>
      </c>
      <c r="M196" s="897">
        <f t="shared" si="366"/>
        <v>52.0645841193088</v>
      </c>
      <c r="N196" s="898">
        <f t="shared" si="367"/>
        <v>29.3015532734423</v>
      </c>
      <c r="O196" s="896">
        <f t="shared" si="368"/>
        <v>0.00579610986218356</v>
      </c>
      <c r="P196" s="916">
        <f>F196/E196</f>
        <v>11517.4884148398</v>
      </c>
      <c r="Q196" s="903">
        <f>B196/E196</f>
        <v>393.067504215852</v>
      </c>
      <c r="R196" s="902">
        <f t="shared" si="371"/>
        <v>34.7946006866696</v>
      </c>
      <c r="S196" s="558">
        <f t="shared" si="372"/>
        <v>8574</v>
      </c>
      <c r="T196" s="917">
        <f t="shared" si="373"/>
        <v>0.500262467191601</v>
      </c>
      <c r="U196" s="850">
        <f t="shared" si="374"/>
        <v>27.1855644973175</v>
      </c>
      <c r="V196" s="917">
        <f t="shared" si="375"/>
        <v>0.419263718794517</v>
      </c>
      <c r="W196" s="917">
        <f t="shared" si="376"/>
        <v>0.505471702774141</v>
      </c>
      <c r="X196" s="917">
        <f t="shared" si="377"/>
        <v>0.53050034270048</v>
      </c>
      <c r="Y196" s="917">
        <f t="shared" si="378"/>
        <v>1.37032367060048</v>
      </c>
      <c r="Z196" s="917">
        <f t="shared" si="379"/>
        <v>-0.0726799078722791</v>
      </c>
      <c r="AA196" s="917">
        <f t="shared" si="380"/>
        <v>-0.0539897185781821</v>
      </c>
      <c r="AB196" s="917">
        <f>B196/B196</f>
        <v>1</v>
      </c>
      <c r="AC196" s="917">
        <f>B196/F196</f>
        <v>0.0341278836199566</v>
      </c>
    </row>
    <row r="197" spans="1:29">
      <c r="A197" s="37" t="s">
        <v>47</v>
      </c>
      <c r="B197" s="917">
        <f t="shared" ref="B197:R197" si="382">(B196-B188)/B188</f>
        <v>0.419263718794517</v>
      </c>
      <c r="C197" s="917">
        <f t="shared" si="382"/>
        <v>-0.228325953147165</v>
      </c>
      <c r="D197" s="917">
        <f t="shared" si="382"/>
        <v>0.174181997635798</v>
      </c>
      <c r="E197" s="917">
        <f t="shared" si="382"/>
        <v>1.70776255707763</v>
      </c>
      <c r="F197" s="917">
        <f t="shared" si="382"/>
        <v>1.37032367060048</v>
      </c>
      <c r="G197" s="917">
        <f t="shared" si="382"/>
        <v>0.53050034270048</v>
      </c>
      <c r="H197" s="917">
        <f t="shared" si="382"/>
        <v>0.39572864321608</v>
      </c>
      <c r="I197" s="917">
        <f t="shared" si="382"/>
        <v>0.409594095940959</v>
      </c>
      <c r="J197" s="917">
        <f t="shared" si="382"/>
        <v>0.401345291479821</v>
      </c>
      <c r="K197" s="917">
        <f t="shared" si="382"/>
        <v>0.521603586934841</v>
      </c>
      <c r="L197" s="917">
        <f t="shared" si="382"/>
        <v>0.208725497113896</v>
      </c>
      <c r="M197" s="917">
        <f t="shared" si="382"/>
        <v>0.839201052028103</v>
      </c>
      <c r="N197" s="917">
        <f t="shared" si="382"/>
        <v>0.67010798571936</v>
      </c>
      <c r="O197" s="917">
        <f t="shared" si="382"/>
        <v>1.30608420375178</v>
      </c>
      <c r="P197" s="917">
        <f t="shared" si="382"/>
        <v>-0.124619082864241</v>
      </c>
      <c r="Q197" s="917">
        <f t="shared" si="382"/>
        <v>-0.475853702502531</v>
      </c>
      <c r="R197" s="917">
        <f t="shared" si="382"/>
        <v>-0.0726799078722791</v>
      </c>
    </row>
    <row r="199" ht="41.4" spans="1:29">
      <c r="A199" s="868" t="s">
        <v>48</v>
      </c>
      <c r="B199" s="869" t="s">
        <v>1</v>
      </c>
      <c r="C199" s="870" t="s">
        <v>2</v>
      </c>
      <c r="D199" s="870" t="s">
        <v>3</v>
      </c>
      <c r="E199" s="871" t="s">
        <v>4</v>
      </c>
      <c r="F199" s="869" t="s">
        <v>5</v>
      </c>
      <c r="G199" s="871" t="s">
        <v>6</v>
      </c>
      <c r="H199" s="871" t="s">
        <v>7</v>
      </c>
      <c r="I199" s="871" t="s">
        <v>8</v>
      </c>
      <c r="J199" s="871" t="s">
        <v>34</v>
      </c>
      <c r="K199" s="879" t="s">
        <v>9</v>
      </c>
      <c r="L199" s="869" t="s">
        <v>10</v>
      </c>
      <c r="M199" s="880" t="s">
        <v>11</v>
      </c>
      <c r="N199" s="881" t="s">
        <v>12</v>
      </c>
      <c r="O199" s="879" t="s">
        <v>13</v>
      </c>
      <c r="P199" s="875" t="s">
        <v>14</v>
      </c>
      <c r="Q199" s="869" t="s">
        <v>15</v>
      </c>
      <c r="R199" s="912" t="s">
        <v>16</v>
      </c>
      <c r="S199" s="882" t="s">
        <v>35</v>
      </c>
      <c r="T199" s="882" t="s">
        <v>37</v>
      </c>
      <c r="U199" s="882" t="s">
        <v>36</v>
      </c>
      <c r="V199" s="882" t="s">
        <v>38</v>
      </c>
      <c r="W199" s="882" t="s">
        <v>39</v>
      </c>
      <c r="X199" s="882" t="s">
        <v>40</v>
      </c>
      <c r="Y199" s="882" t="s">
        <v>41</v>
      </c>
      <c r="Z199" s="882" t="s">
        <v>42</v>
      </c>
      <c r="AA199" s="882" t="s">
        <v>43</v>
      </c>
      <c r="AB199" s="37" t="s">
        <v>44</v>
      </c>
      <c r="AC199" s="37" t="s">
        <v>49</v>
      </c>
    </row>
    <row r="200" spans="1:29">
      <c r="A200" s="686" t="s">
        <v>19</v>
      </c>
      <c r="B200" s="685">
        <f>SUM(明星店铺!B1162:B1191)</f>
        <v>30484.6</v>
      </c>
      <c r="C200" s="1086">
        <f>SUM(明星店铺!C1162:C1191)</f>
        <v>22162</v>
      </c>
      <c r="D200" s="1086">
        <f>SUM(明星店铺!D1162:D1191)</f>
        <v>7216</v>
      </c>
      <c r="E200" s="1086">
        <f>SUM(明星店铺!E1162:E1191)</f>
        <v>148</v>
      </c>
      <c r="F200" s="685">
        <f>SUM(明星店铺!F1162:F1191)</f>
        <v>2062440.99</v>
      </c>
      <c r="G200" s="1086">
        <f>SUM(明星店铺!G1162:G1191)</f>
        <v>2068</v>
      </c>
      <c r="H200" s="1086">
        <f>SUM(明星店铺!H1162:H1191)</f>
        <v>178</v>
      </c>
      <c r="I200" s="1086">
        <f>SUM(明星店铺!I1162:I1191)</f>
        <v>319</v>
      </c>
      <c r="J200" s="1086">
        <f t="shared" ref="J200:J203" si="383">H200+I200</f>
        <v>497</v>
      </c>
      <c r="K200" s="688">
        <f t="shared" ref="K200:K204" si="384">D200/C200</f>
        <v>0.325602382456457</v>
      </c>
      <c r="L200" s="685">
        <f t="shared" ref="L200:L204" si="385">B200/D200</f>
        <v>4.22458425720621</v>
      </c>
      <c r="M200" s="886">
        <f t="shared" ref="M200:M204" si="386">(B200/C200)*1000</f>
        <v>1375.53469903438</v>
      </c>
      <c r="N200" s="887">
        <f t="shared" ref="N200:N204" si="387">F200/B200</f>
        <v>67.6551763841415</v>
      </c>
      <c r="O200" s="688">
        <f t="shared" ref="O200:O204" si="388">E200/D200</f>
        <v>0.020509977827051</v>
      </c>
      <c r="P200" s="915">
        <f t="shared" ref="P200:P203" si="389">IF(E200=0,"0",F200/E200)</f>
        <v>13935.4120945946</v>
      </c>
      <c r="Q200" s="685">
        <f t="shared" ref="Q200:Q203" si="390">IF(E200=0,"0",B200/E200)</f>
        <v>205.977027027027</v>
      </c>
      <c r="R200" s="902">
        <f t="shared" ref="R200:R204" si="391">B200/G200</f>
        <v>14.7411025145068</v>
      </c>
      <c r="S200" s="558">
        <f t="shared" ref="S200:S204" si="392">G200+J200</f>
        <v>2565</v>
      </c>
      <c r="T200" s="917">
        <f t="shared" ref="T200:T204" si="393">(S200-S192)/S192</f>
        <v>0.089171974522293</v>
      </c>
      <c r="U200" s="850">
        <f t="shared" ref="U200:U204" si="394">B200/S200</f>
        <v>11.8848343079922</v>
      </c>
      <c r="V200" s="917">
        <f t="shared" ref="V200:V204" si="395">(B200-B192)/B192</f>
        <v>0.0152592283728797</v>
      </c>
      <c r="W200" s="917">
        <f t="shared" ref="W200:W204" si="396">D200/$D$132</f>
        <v>0.0356512931992787</v>
      </c>
      <c r="X200" s="917">
        <f t="shared" ref="X200:X204" si="397">(G200-G192)/G192</f>
        <v>0.122692725298588</v>
      </c>
      <c r="Y200" s="917">
        <f t="shared" ref="Y200:Y204" si="398">(F200-F192)/F192</f>
        <v>0.682124431017875</v>
      </c>
      <c r="Z200" s="917">
        <f t="shared" ref="Z200:Z204" si="399">(R200-R192)/R192</f>
        <v>-0.0956926989057811</v>
      </c>
      <c r="AA200" s="917">
        <f t="shared" ref="AA200:AA204" si="400">(U200-U192)/U192</f>
        <v>-0.067861410207356</v>
      </c>
      <c r="AB200" s="917">
        <f>B200/B204</f>
        <v>0.138750315019918</v>
      </c>
    </row>
    <row r="201" spans="1:29">
      <c r="A201" s="686" t="s">
        <v>20</v>
      </c>
      <c r="B201" s="685">
        <f>SUM(直通车!B1162:B1191)</f>
        <v>62711.26</v>
      </c>
      <c r="C201" s="1086">
        <f>SUM(直通车!C1162:C1191)</f>
        <v>232223</v>
      </c>
      <c r="D201" s="1086">
        <f>SUM(直通车!D1162:D1191)</f>
        <v>22348</v>
      </c>
      <c r="E201" s="1086">
        <f>SUM(直通车!E1162:E1191)</f>
        <v>77</v>
      </c>
      <c r="F201" s="685">
        <f>SUM(直通车!F1162:F1191)</f>
        <v>1000221</v>
      </c>
      <c r="G201" s="1086">
        <f>SUM(直通车!G1162:G1191)</f>
        <v>1612</v>
      </c>
      <c r="H201" s="1086">
        <f>SUM(直通车!H1162:H1191)</f>
        <v>159</v>
      </c>
      <c r="I201" s="1086">
        <f>SUM(直通车!I1162:I1191)</f>
        <v>146</v>
      </c>
      <c r="J201" s="1086">
        <f t="shared" si="383"/>
        <v>305</v>
      </c>
      <c r="K201" s="688">
        <f t="shared" si="384"/>
        <v>0.0962350843801002</v>
      </c>
      <c r="L201" s="685">
        <f t="shared" si="385"/>
        <v>2.80612403794523</v>
      </c>
      <c r="M201" s="886">
        <f t="shared" si="386"/>
        <v>270.047583572687</v>
      </c>
      <c r="N201" s="887">
        <f t="shared" si="387"/>
        <v>15.949623719887</v>
      </c>
      <c r="O201" s="688">
        <f t="shared" si="388"/>
        <v>0.00344549847861106</v>
      </c>
      <c r="P201" s="915">
        <f t="shared" si="389"/>
        <v>12989.8831168831</v>
      </c>
      <c r="Q201" s="685">
        <f t="shared" si="390"/>
        <v>814.431948051948</v>
      </c>
      <c r="R201" s="902">
        <f t="shared" si="391"/>
        <v>38.9027667493796</v>
      </c>
      <c r="S201" s="558">
        <f t="shared" si="392"/>
        <v>1917</v>
      </c>
      <c r="T201" s="917">
        <f t="shared" si="393"/>
        <v>-0.0415</v>
      </c>
      <c r="U201" s="850">
        <f t="shared" si="394"/>
        <v>32.7132290036515</v>
      </c>
      <c r="V201" s="917">
        <f t="shared" si="395"/>
        <v>-0.19993728226286</v>
      </c>
      <c r="W201" s="917">
        <f t="shared" si="396"/>
        <v>0.110412292186458</v>
      </c>
      <c r="X201" s="917">
        <f t="shared" si="397"/>
        <v>-0.0387596899224806</v>
      </c>
      <c r="Y201" s="917">
        <f t="shared" si="398"/>
        <v>-0.127710686564225</v>
      </c>
      <c r="Z201" s="917">
        <f t="shared" si="399"/>
        <v>-0.167676688805718</v>
      </c>
      <c r="AA201" s="917">
        <f t="shared" si="400"/>
        <v>-0.165297112428649</v>
      </c>
      <c r="AB201" s="917">
        <f>B201/B204</f>
        <v>0.285429596592901</v>
      </c>
    </row>
    <row r="202" spans="1:29">
      <c r="A202" s="686" t="s">
        <v>21</v>
      </c>
      <c r="B202" s="685">
        <f>SUM(引力魔方!B1061:B1090)</f>
        <v>45249.47</v>
      </c>
      <c r="C202" s="1086">
        <f>SUM(引力魔方!C1061:C1090)</f>
        <v>1749886</v>
      </c>
      <c r="D202" s="1086">
        <f>SUM(引力魔方!D1061:D1090)</f>
        <v>26773</v>
      </c>
      <c r="E202" s="1086">
        <f>SUM(引力魔方!E1061:E1090)</f>
        <v>88</v>
      </c>
      <c r="F202" s="685">
        <f>SUM(引力魔方!F1061:F1090)</f>
        <v>1204340</v>
      </c>
      <c r="G202" s="1086">
        <f>SUM(引力魔方!G1061:G1090)</f>
        <v>1343</v>
      </c>
      <c r="H202" s="1086">
        <f>SUM(引力魔方!H1061:H1090)</f>
        <v>375</v>
      </c>
      <c r="I202" s="1086">
        <f>SUM(引力魔方!I1061:I1090)</f>
        <v>75</v>
      </c>
      <c r="J202" s="1086">
        <f t="shared" si="383"/>
        <v>450</v>
      </c>
      <c r="K202" s="688">
        <f t="shared" si="384"/>
        <v>0.0152998538190488</v>
      </c>
      <c r="L202" s="685">
        <f t="shared" si="385"/>
        <v>1.69011578829418</v>
      </c>
      <c r="M202" s="886">
        <f t="shared" si="386"/>
        <v>25.8585244981673</v>
      </c>
      <c r="N202" s="887">
        <f t="shared" si="387"/>
        <v>26.6155603590495</v>
      </c>
      <c r="O202" s="688">
        <f t="shared" si="388"/>
        <v>0.00328689351212042</v>
      </c>
      <c r="P202" s="915">
        <f t="shared" si="389"/>
        <v>13685.6818181818</v>
      </c>
      <c r="Q202" s="685">
        <f t="shared" si="390"/>
        <v>514.198522727273</v>
      </c>
      <c r="R202" s="902">
        <f t="shared" si="391"/>
        <v>33.6928294862249</v>
      </c>
      <c r="S202" s="558">
        <f t="shared" si="392"/>
        <v>1793</v>
      </c>
      <c r="T202" s="917">
        <f t="shared" si="393"/>
        <v>0.279800142755175</v>
      </c>
      <c r="U202" s="850">
        <f t="shared" si="394"/>
        <v>25.236737311768</v>
      </c>
      <c r="V202" s="917">
        <f t="shared" si="395"/>
        <v>0.0578316931490043</v>
      </c>
      <c r="W202" s="917">
        <f t="shared" si="396"/>
        <v>0.13227440033596</v>
      </c>
      <c r="X202" s="917">
        <f t="shared" si="397"/>
        <v>0.187444739168877</v>
      </c>
      <c r="Y202" s="917">
        <f t="shared" si="398"/>
        <v>-0.135244751139417</v>
      </c>
      <c r="Z202" s="917">
        <f t="shared" si="399"/>
        <v>-0.109152907705492</v>
      </c>
      <c r="AA202" s="917">
        <f t="shared" si="400"/>
        <v>-0.173439931900862</v>
      </c>
      <c r="AB202" s="917">
        <f>B202/B204</f>
        <v>0.20595245523918</v>
      </c>
    </row>
    <row r="203" spans="1:29">
      <c r="A203" s="686" t="s">
        <v>27</v>
      </c>
      <c r="B203" s="685">
        <f>SUM(万相台!B650:B679)</f>
        <v>81263</v>
      </c>
      <c r="C203" s="1086">
        <f>SUM(万相台!C650:C679)</f>
        <v>2269683</v>
      </c>
      <c r="D203" s="1086">
        <f>SUM(万相台!D650:D679)</f>
        <v>54890</v>
      </c>
      <c r="E203" s="1086">
        <f>SUM(万相台!E650:E679)</f>
        <v>264</v>
      </c>
      <c r="F203" s="685">
        <f>SUM(万相台!F650:F679)</f>
        <v>3120225</v>
      </c>
      <c r="G203" s="1086">
        <f>SUM(万相台!G650:G679)</f>
        <v>2130</v>
      </c>
      <c r="H203" s="1086">
        <f>SUM(万相台!H650:H679)</f>
        <v>630</v>
      </c>
      <c r="I203" s="1086">
        <f>SUM(万相台!I650:I679)</f>
        <v>197</v>
      </c>
      <c r="J203" s="1086">
        <f t="shared" si="383"/>
        <v>827</v>
      </c>
      <c r="K203" s="688">
        <f t="shared" si="384"/>
        <v>0.0241839939762513</v>
      </c>
      <c r="L203" s="685">
        <f t="shared" si="385"/>
        <v>1.48047003097103</v>
      </c>
      <c r="M203" s="886">
        <f t="shared" si="386"/>
        <v>35.8036783110241</v>
      </c>
      <c r="N203" s="887">
        <f t="shared" si="387"/>
        <v>38.3966257706459</v>
      </c>
      <c r="O203" s="688">
        <f t="shared" si="388"/>
        <v>0.00480961923847695</v>
      </c>
      <c r="P203" s="915">
        <f t="shared" si="389"/>
        <v>11819.0340909091</v>
      </c>
      <c r="Q203" s="685">
        <f t="shared" si="390"/>
        <v>307.814393939394</v>
      </c>
      <c r="R203" s="902">
        <f t="shared" si="391"/>
        <v>38.1516431924883</v>
      </c>
      <c r="S203" s="558">
        <f t="shared" si="392"/>
        <v>2957</v>
      </c>
      <c r="T203" s="917">
        <f t="shared" si="393"/>
        <v>0.0493257629524485</v>
      </c>
      <c r="U203" s="850">
        <f t="shared" si="394"/>
        <v>27.4815691579303</v>
      </c>
      <c r="V203" s="917">
        <f t="shared" si="395"/>
        <v>-0.00782623559288924</v>
      </c>
      <c r="W203" s="917">
        <f t="shared" si="396"/>
        <v>0.271188952842074</v>
      </c>
      <c r="X203" s="917">
        <f t="shared" si="397"/>
        <v>0.0395314787701318</v>
      </c>
      <c r="Y203" s="917">
        <f t="shared" si="398"/>
        <v>0.0182102916015782</v>
      </c>
      <c r="Z203" s="917">
        <f t="shared" si="399"/>
        <v>-0.0455567871971033</v>
      </c>
      <c r="AA203" s="917">
        <f t="shared" si="400"/>
        <v>-0.0544654487320805</v>
      </c>
      <c r="AB203" s="917">
        <f>B203/B204</f>
        <v>0.369867633148001</v>
      </c>
    </row>
    <row r="204" spans="1:29">
      <c r="A204" s="891" t="s">
        <v>22</v>
      </c>
      <c r="B204" s="903">
        <f t="shared" ref="B204:J204" si="401">SUM(B200:B203)</f>
        <v>219708.33</v>
      </c>
      <c r="C204" s="904">
        <f t="shared" si="401"/>
        <v>4273954</v>
      </c>
      <c r="D204" s="904">
        <f t="shared" si="401"/>
        <v>111227</v>
      </c>
      <c r="E204" s="904">
        <f t="shared" si="401"/>
        <v>577</v>
      </c>
      <c r="F204" s="903">
        <f t="shared" si="401"/>
        <v>7387226.99</v>
      </c>
      <c r="G204" s="904">
        <f t="shared" si="401"/>
        <v>7153</v>
      </c>
      <c r="H204" s="904">
        <f t="shared" si="401"/>
        <v>1342</v>
      </c>
      <c r="I204" s="904">
        <f t="shared" si="401"/>
        <v>737</v>
      </c>
      <c r="J204" s="904">
        <f t="shared" si="401"/>
        <v>2079</v>
      </c>
      <c r="K204" s="896">
        <f t="shared" si="384"/>
        <v>0.0260243792984201</v>
      </c>
      <c r="L204" s="903">
        <f t="shared" si="385"/>
        <v>1.97531471675043</v>
      </c>
      <c r="M204" s="897">
        <f t="shared" si="386"/>
        <v>51.4063394224645</v>
      </c>
      <c r="N204" s="898">
        <f t="shared" si="387"/>
        <v>33.6228807983748</v>
      </c>
      <c r="O204" s="896">
        <f t="shared" si="388"/>
        <v>0.00518758934431388</v>
      </c>
      <c r="P204" s="916">
        <f>F204/E204</f>
        <v>12802.8197400347</v>
      </c>
      <c r="Q204" s="903">
        <f>B204/E204</f>
        <v>380.777001733102</v>
      </c>
      <c r="R204" s="902">
        <f t="shared" si="391"/>
        <v>30.7155501188313</v>
      </c>
      <c r="S204" s="558">
        <f t="shared" si="392"/>
        <v>9232</v>
      </c>
      <c r="T204" s="917">
        <f t="shared" si="393"/>
        <v>0.0767436435735946</v>
      </c>
      <c r="U204" s="850">
        <f t="shared" si="394"/>
        <v>23.7985626083189</v>
      </c>
      <c r="V204" s="917">
        <f t="shared" si="395"/>
        <v>-0.0574059620051617</v>
      </c>
      <c r="W204" s="917">
        <f t="shared" si="396"/>
        <v>0.549526938563771</v>
      </c>
      <c r="X204" s="917">
        <f t="shared" si="397"/>
        <v>0.0677713091506195</v>
      </c>
      <c r="Y204" s="917">
        <f t="shared" si="398"/>
        <v>0.0816056979984113</v>
      </c>
      <c r="Z204" s="917">
        <f t="shared" si="399"/>
        <v>-0.117232285680495</v>
      </c>
      <c r="AA204" s="917">
        <f t="shared" si="400"/>
        <v>-0.124588249375244</v>
      </c>
      <c r="AB204" s="917">
        <f>B204/B204</f>
        <v>1</v>
      </c>
      <c r="AC204" s="917">
        <f>B204/F204</f>
        <v>0.0297416514068698</v>
      </c>
    </row>
    <row r="205" spans="1:29">
      <c r="A205" s="37" t="s">
        <v>50</v>
      </c>
      <c r="B205" s="917">
        <f t="shared" ref="B205:R205" si="402">(B204-B196)/B196</f>
        <v>-0.0574059620051617</v>
      </c>
      <c r="C205" s="917">
        <f t="shared" si="402"/>
        <v>-0.0453362925099639</v>
      </c>
      <c r="D205" s="917">
        <f t="shared" si="402"/>
        <v>0.0871566806763757</v>
      </c>
      <c r="E205" s="917">
        <f t="shared" si="402"/>
        <v>-0.0269814502529511</v>
      </c>
      <c r="F205" s="917">
        <f t="shared" si="402"/>
        <v>0.0816056979984113</v>
      </c>
      <c r="G205" s="917">
        <f t="shared" si="402"/>
        <v>0.0677713091506195</v>
      </c>
      <c r="H205" s="917">
        <f t="shared" si="402"/>
        <v>0.207920792079208</v>
      </c>
      <c r="I205" s="917">
        <f t="shared" si="402"/>
        <v>-0.0353403141361257</v>
      </c>
      <c r="J205" s="917">
        <f t="shared" si="402"/>
        <v>0.1088</v>
      </c>
      <c r="K205" s="917">
        <f t="shared" si="402"/>
        <v>0.138784969143412</v>
      </c>
      <c r="L205" s="917">
        <f t="shared" si="402"/>
        <v>-0.132973144764743</v>
      </c>
      <c r="M205" s="917">
        <f t="shared" si="402"/>
        <v>-0.0126428494144087</v>
      </c>
      <c r="N205" s="917">
        <f t="shared" si="402"/>
        <v>0.147477762854611</v>
      </c>
      <c r="O205" s="917">
        <f t="shared" si="402"/>
        <v>-0.104987747357921</v>
      </c>
      <c r="P205" s="917">
        <f t="shared" si="402"/>
        <v>0.11159823035192</v>
      </c>
      <c r="Q205" s="917">
        <f t="shared" si="402"/>
        <v>-0.0312681723900535</v>
      </c>
      <c r="R205" s="917">
        <f t="shared" si="402"/>
        <v>-0.117232285680495</v>
      </c>
    </row>
    <row r="207" ht="41.4" spans="1:29">
      <c r="A207" s="868" t="s">
        <v>51</v>
      </c>
      <c r="B207" s="869" t="s">
        <v>1</v>
      </c>
      <c r="C207" s="870" t="s">
        <v>2</v>
      </c>
      <c r="D207" s="870" t="s">
        <v>3</v>
      </c>
      <c r="E207" s="871" t="s">
        <v>4</v>
      </c>
      <c r="F207" s="869" t="s">
        <v>5</v>
      </c>
      <c r="G207" s="871" t="s">
        <v>6</v>
      </c>
      <c r="H207" s="871" t="s">
        <v>7</v>
      </c>
      <c r="I207" s="871" t="s">
        <v>8</v>
      </c>
      <c r="J207" s="871" t="s">
        <v>34</v>
      </c>
      <c r="K207" s="879" t="s">
        <v>9</v>
      </c>
      <c r="L207" s="869" t="s">
        <v>10</v>
      </c>
      <c r="M207" s="880" t="s">
        <v>11</v>
      </c>
      <c r="N207" s="881" t="s">
        <v>12</v>
      </c>
      <c r="O207" s="879" t="s">
        <v>13</v>
      </c>
      <c r="P207" s="875" t="s">
        <v>14</v>
      </c>
      <c r="Q207" s="869" t="s">
        <v>15</v>
      </c>
      <c r="R207" s="912" t="s">
        <v>16</v>
      </c>
      <c r="S207" s="882" t="s">
        <v>35</v>
      </c>
      <c r="T207" s="882" t="s">
        <v>37</v>
      </c>
      <c r="U207" s="882" t="s">
        <v>36</v>
      </c>
      <c r="V207" s="882" t="s">
        <v>38</v>
      </c>
      <c r="W207" s="882" t="s">
        <v>39</v>
      </c>
      <c r="X207" s="882" t="s">
        <v>40</v>
      </c>
      <c r="Y207" s="882" t="s">
        <v>41</v>
      </c>
      <c r="Z207" s="882" t="s">
        <v>42</v>
      </c>
      <c r="AA207" s="882" t="s">
        <v>43</v>
      </c>
      <c r="AB207" s="37" t="s">
        <v>44</v>
      </c>
      <c r="AC207" s="37" t="s">
        <v>49</v>
      </c>
    </row>
    <row r="208" spans="1:29">
      <c r="A208" s="686" t="s">
        <v>19</v>
      </c>
      <c r="B208" s="685">
        <f>SUM(明星店铺!B1192:B1222)</f>
        <v>51547.31</v>
      </c>
      <c r="C208" s="1086">
        <f>SUM(明星店铺!C1192:C1222)</f>
        <v>112775</v>
      </c>
      <c r="D208" s="1086">
        <f>SUM(明星店铺!D1192:D1222)</f>
        <v>6163</v>
      </c>
      <c r="E208" s="1086">
        <f>SUM(明星店铺!E1192:E1222)</f>
        <v>63</v>
      </c>
      <c r="F208" s="685">
        <f>SUM(明星店铺!F1192:F1222)</f>
        <v>874606.99</v>
      </c>
      <c r="G208" s="1086">
        <f>SUM(明星店铺!G1192:G1222)</f>
        <v>1469</v>
      </c>
      <c r="H208" s="1086">
        <f>SUM(明星店铺!H1192:H1222)</f>
        <v>112</v>
      </c>
      <c r="I208" s="1086">
        <f>SUM(明星店铺!I1192:I1222)</f>
        <v>228</v>
      </c>
      <c r="J208" s="1086">
        <f t="shared" ref="J208:J211" si="403">H208+I208</f>
        <v>340</v>
      </c>
      <c r="K208" s="688">
        <f t="shared" ref="K208:K212" si="404">D208/C208</f>
        <v>0.0546486366659277</v>
      </c>
      <c r="L208" s="685">
        <f t="shared" ref="L208:L212" si="405">B208/D208</f>
        <v>8.36399643030991</v>
      </c>
      <c r="M208" s="886">
        <f t="shared" ref="M208:M212" si="406">(B208/C208)*1000</f>
        <v>457.081001995123</v>
      </c>
      <c r="N208" s="887">
        <f t="shared" ref="N208:N212" si="407">F208/B208</f>
        <v>16.9670733545553</v>
      </c>
      <c r="O208" s="688">
        <f t="shared" ref="O208:O212" si="408">E208/D208</f>
        <v>0.0102222943371735</v>
      </c>
      <c r="P208" s="915">
        <f t="shared" ref="P208:P211" si="409">IF(E208=0,"0",F208/E208)</f>
        <v>13882.6506349206</v>
      </c>
      <c r="Q208" s="685">
        <f t="shared" ref="Q208:Q211" si="410">IF(E208=0,"0",B208/E208)</f>
        <v>818.21126984127</v>
      </c>
      <c r="R208" s="902">
        <f t="shared" ref="R208:R212" si="411">B208/G208</f>
        <v>35.0900680735194</v>
      </c>
      <c r="S208" s="558">
        <f t="shared" ref="S208:S212" si="412">G208+J208</f>
        <v>1809</v>
      </c>
      <c r="T208" s="917">
        <f t="shared" ref="T208:T212" si="413">(S208-S200)/S200</f>
        <v>-0.294736842105263</v>
      </c>
      <c r="U208" s="850">
        <f t="shared" ref="U208:U212" si="414">B208/S208</f>
        <v>28.4949198452184</v>
      </c>
      <c r="V208" s="917">
        <f t="shared" ref="V208:V212" si="415">(B208-B200)/B200</f>
        <v>0.690929518510986</v>
      </c>
      <c r="W208" s="917">
        <f t="shared" ref="W208:W212" si="416">D208/$D$132</f>
        <v>0.030448852548109</v>
      </c>
      <c r="X208" s="917">
        <f t="shared" ref="X208:X212" si="417">(G208-G200)/G200</f>
        <v>-0.289651837524178</v>
      </c>
      <c r="Y208" s="917">
        <f t="shared" ref="Y208:Y212" si="418">(F208-F200)/F200</f>
        <v>-0.575935993203859</v>
      </c>
      <c r="Z208" s="917">
        <f t="shared" ref="Z208:Z212" si="419">(R208-R200)/R200</f>
        <v>1.38042358358116</v>
      </c>
      <c r="AA208" s="917">
        <f t="shared" ref="AA208:AA212" si="420">(U208-U200)/U200</f>
        <v>1.39758663072453</v>
      </c>
      <c r="AB208" s="917">
        <f>B208/B212</f>
        <v>0.233873639123535</v>
      </c>
    </row>
    <row r="209" spans="1:29">
      <c r="A209" s="686" t="s">
        <v>20</v>
      </c>
      <c r="B209" s="685">
        <f>SUM(直通车!B1192:B1222)</f>
        <v>67394.36</v>
      </c>
      <c r="C209" s="1086">
        <f>SUM(直通车!C1192:C1222)</f>
        <v>247854</v>
      </c>
      <c r="D209" s="1086">
        <f>SUM(直通车!D1192:D1222)</f>
        <v>28193</v>
      </c>
      <c r="E209" s="1086">
        <f>SUM(直通车!E1192:E1222)</f>
        <v>63</v>
      </c>
      <c r="F209" s="685">
        <f>SUM(直通车!F1192:F1222)</f>
        <v>890831.99</v>
      </c>
      <c r="G209" s="1086">
        <f>SUM(直通车!G1192:G1222)</f>
        <v>1735</v>
      </c>
      <c r="H209" s="1086">
        <f>SUM(直通车!H1192:H1222)</f>
        <v>190</v>
      </c>
      <c r="I209" s="1086">
        <f>SUM(直通车!I1192:I1222)</f>
        <v>123</v>
      </c>
      <c r="J209" s="1086">
        <f t="shared" si="403"/>
        <v>313</v>
      </c>
      <c r="K209" s="688">
        <f t="shared" si="404"/>
        <v>0.113748416406433</v>
      </c>
      <c r="L209" s="685">
        <f t="shared" si="405"/>
        <v>2.39046429964885</v>
      </c>
      <c r="M209" s="886">
        <f t="shared" si="406"/>
        <v>271.911528561169</v>
      </c>
      <c r="N209" s="887">
        <f t="shared" si="407"/>
        <v>13.2181979322899</v>
      </c>
      <c r="O209" s="688">
        <f t="shared" si="408"/>
        <v>0.00223459724044976</v>
      </c>
      <c r="P209" s="915">
        <f t="shared" si="409"/>
        <v>14140.1903174603</v>
      </c>
      <c r="Q209" s="685">
        <f t="shared" si="410"/>
        <v>1069.75174603175</v>
      </c>
      <c r="R209" s="902">
        <f t="shared" si="411"/>
        <v>38.8440115273775</v>
      </c>
      <c r="S209" s="558">
        <f t="shared" si="412"/>
        <v>2048</v>
      </c>
      <c r="T209" s="917">
        <f t="shared" si="413"/>
        <v>0.0683359415753782</v>
      </c>
      <c r="U209" s="850">
        <f t="shared" si="414"/>
        <v>32.90740234375</v>
      </c>
      <c r="V209" s="917">
        <f t="shared" si="415"/>
        <v>0.074677179186003</v>
      </c>
      <c r="W209" s="917">
        <f t="shared" si="416"/>
        <v>0.13929003730145</v>
      </c>
      <c r="X209" s="917">
        <f t="shared" si="417"/>
        <v>0.076302729528536</v>
      </c>
      <c r="Y209" s="917">
        <f t="shared" si="418"/>
        <v>-0.109364840370278</v>
      </c>
      <c r="Z209" s="917">
        <f t="shared" si="419"/>
        <v>-0.00151030959778842</v>
      </c>
      <c r="AA209" s="917">
        <f t="shared" si="420"/>
        <v>0.0059356213376796</v>
      </c>
      <c r="AB209" s="917">
        <f>B209/B212</f>
        <v>0.305772779017985</v>
      </c>
    </row>
    <row r="210" spans="1:29">
      <c r="A210" s="686" t="s">
        <v>21</v>
      </c>
      <c r="B210" s="685">
        <f>SUM(引力魔方!B1091:B1121)</f>
        <v>40122</v>
      </c>
      <c r="C210" s="1086">
        <f>SUM(引力魔方!C1091:C1121)</f>
        <v>3589248</v>
      </c>
      <c r="D210" s="1086">
        <f>SUM(引力魔方!D1091:D1121)</f>
        <v>54716</v>
      </c>
      <c r="E210" s="1086">
        <f>SUM(引力魔方!E1091:E1121)</f>
        <v>64</v>
      </c>
      <c r="F210" s="685">
        <f>SUM(引力魔方!F1091:F1121)</f>
        <v>832195</v>
      </c>
      <c r="G210" s="1086">
        <f>SUM(引力魔方!G1091:G1121)</f>
        <v>1693</v>
      </c>
      <c r="H210" s="1086">
        <f>SUM(引力魔方!H1091:H1121)</f>
        <v>538</v>
      </c>
      <c r="I210" s="1086">
        <f>SUM(引力魔方!I1091:I1121)</f>
        <v>121</v>
      </c>
      <c r="J210" s="1086">
        <f t="shared" si="403"/>
        <v>659</v>
      </c>
      <c r="K210" s="688">
        <f t="shared" si="404"/>
        <v>0.0152444188866303</v>
      </c>
      <c r="L210" s="685">
        <f t="shared" si="405"/>
        <v>0.733277286351341</v>
      </c>
      <c r="M210" s="886">
        <f t="shared" si="406"/>
        <v>11.1783861131914</v>
      </c>
      <c r="N210" s="887">
        <f t="shared" si="407"/>
        <v>20.7416130801057</v>
      </c>
      <c r="O210" s="688">
        <f t="shared" si="408"/>
        <v>0.0011696761459171</v>
      </c>
      <c r="P210" s="915">
        <f t="shared" si="409"/>
        <v>13003.046875</v>
      </c>
      <c r="Q210" s="685">
        <f t="shared" si="410"/>
        <v>626.90625</v>
      </c>
      <c r="R210" s="902">
        <f t="shared" si="411"/>
        <v>23.6987595983461</v>
      </c>
      <c r="S210" s="558">
        <f t="shared" si="412"/>
        <v>2352</v>
      </c>
      <c r="T210" s="917">
        <f t="shared" si="413"/>
        <v>0.311767986614612</v>
      </c>
      <c r="U210" s="850">
        <f t="shared" si="414"/>
        <v>17.0586734693878</v>
      </c>
      <c r="V210" s="917">
        <f t="shared" si="415"/>
        <v>-0.11331558137587</v>
      </c>
      <c r="W210" s="917">
        <f t="shared" si="416"/>
        <v>0.270329290284331</v>
      </c>
      <c r="X210" s="917">
        <f t="shared" si="417"/>
        <v>0.260610573343261</v>
      </c>
      <c r="Y210" s="917">
        <f t="shared" si="418"/>
        <v>-0.309003271501403</v>
      </c>
      <c r="Z210" s="917">
        <f t="shared" si="419"/>
        <v>-0.296623051262725</v>
      </c>
      <c r="AA210" s="917">
        <f t="shared" si="420"/>
        <v>-0.324053927468935</v>
      </c>
      <c r="AB210" s="917">
        <f>B210/B212</f>
        <v>0.182036233295481</v>
      </c>
    </row>
    <row r="211" spans="1:29">
      <c r="A211" s="686" t="s">
        <v>27</v>
      </c>
      <c r="B211" s="685">
        <f>SUM(万相台!B680:B710)</f>
        <v>61343</v>
      </c>
      <c r="C211" s="1086">
        <f>SUM(万相台!C680:C710)</f>
        <v>2522600</v>
      </c>
      <c r="D211" s="1086">
        <f>SUM(万相台!D680:D710)</f>
        <v>53354</v>
      </c>
      <c r="E211" s="1086">
        <f>SUM(万相台!E680:E710)</f>
        <v>71</v>
      </c>
      <c r="F211" s="685">
        <f>SUM(万相台!F680:F710)</f>
        <v>1018488</v>
      </c>
      <c r="G211" s="1086">
        <f>SUM(万相台!G680:G710)</f>
        <v>1618</v>
      </c>
      <c r="H211" s="1086">
        <f>SUM(万相台!H680:H710)</f>
        <v>443</v>
      </c>
      <c r="I211" s="1086">
        <f>SUM(万相台!I680:I710)</f>
        <v>186</v>
      </c>
      <c r="J211" s="1086">
        <f t="shared" si="403"/>
        <v>629</v>
      </c>
      <c r="K211" s="688">
        <f t="shared" si="404"/>
        <v>0.0211504003805597</v>
      </c>
      <c r="L211" s="685">
        <f t="shared" si="405"/>
        <v>1.14973572740563</v>
      </c>
      <c r="M211" s="886">
        <f t="shared" si="406"/>
        <v>24.3173709664632</v>
      </c>
      <c r="N211" s="887">
        <f t="shared" si="407"/>
        <v>16.6031658053894</v>
      </c>
      <c r="O211" s="688">
        <f t="shared" si="408"/>
        <v>0.00133073434044308</v>
      </c>
      <c r="P211" s="915">
        <f t="shared" si="409"/>
        <v>14344.9014084507</v>
      </c>
      <c r="Q211" s="685">
        <f t="shared" si="410"/>
        <v>863.985915492958</v>
      </c>
      <c r="R211" s="902">
        <f t="shared" si="411"/>
        <v>37.9128553770087</v>
      </c>
      <c r="S211" s="558">
        <f t="shared" si="412"/>
        <v>2247</v>
      </c>
      <c r="T211" s="917">
        <f t="shared" si="413"/>
        <v>-0.240108217788299</v>
      </c>
      <c r="U211" s="850">
        <f t="shared" si="414"/>
        <v>27.2999554962172</v>
      </c>
      <c r="V211" s="917">
        <f t="shared" si="415"/>
        <v>-0.245130009967636</v>
      </c>
      <c r="W211" s="917">
        <f t="shared" si="416"/>
        <v>0.263600207504755</v>
      </c>
      <c r="X211" s="917">
        <f t="shared" si="417"/>
        <v>-0.24037558685446</v>
      </c>
      <c r="Y211" s="917">
        <f t="shared" si="418"/>
        <v>-0.673585077999183</v>
      </c>
      <c r="Z211" s="917">
        <f t="shared" si="419"/>
        <v>-0.00625891299818579</v>
      </c>
      <c r="AA211" s="917">
        <f t="shared" si="420"/>
        <v>-0.00660856229385817</v>
      </c>
      <c r="AB211" s="917">
        <f>B211/B212</f>
        <v>0.278317348562999</v>
      </c>
    </row>
    <row r="212" spans="1:29">
      <c r="A212" s="891" t="s">
        <v>22</v>
      </c>
      <c r="B212" s="903">
        <f t="shared" ref="B212:J212" si="421">SUM(B208:B211)</f>
        <v>220406.67</v>
      </c>
      <c r="C212" s="904">
        <f t="shared" si="421"/>
        <v>6472477</v>
      </c>
      <c r="D212" s="904">
        <f t="shared" si="421"/>
        <v>142426</v>
      </c>
      <c r="E212" s="904">
        <f t="shared" si="421"/>
        <v>261</v>
      </c>
      <c r="F212" s="903">
        <f t="shared" si="421"/>
        <v>3616121.98</v>
      </c>
      <c r="G212" s="904">
        <f t="shared" si="421"/>
        <v>6515</v>
      </c>
      <c r="H212" s="904">
        <f t="shared" si="421"/>
        <v>1283</v>
      </c>
      <c r="I212" s="904">
        <f t="shared" si="421"/>
        <v>658</v>
      </c>
      <c r="J212" s="904">
        <f t="shared" si="421"/>
        <v>1941</v>
      </c>
      <c r="K212" s="896">
        <f t="shared" si="404"/>
        <v>0.0220048676882127</v>
      </c>
      <c r="L212" s="903">
        <f t="shared" si="405"/>
        <v>1.54751709659753</v>
      </c>
      <c r="M212" s="897">
        <f t="shared" si="406"/>
        <v>34.0529089558758</v>
      </c>
      <c r="N212" s="898">
        <f t="shared" si="407"/>
        <v>16.4065905083544</v>
      </c>
      <c r="O212" s="896">
        <f t="shared" si="408"/>
        <v>0.00183253057728224</v>
      </c>
      <c r="P212" s="916">
        <f>F212/E212</f>
        <v>13854.87348659</v>
      </c>
      <c r="Q212" s="903">
        <f>B212/E212</f>
        <v>844.47</v>
      </c>
      <c r="R212" s="902">
        <f t="shared" si="411"/>
        <v>33.8306477359939</v>
      </c>
      <c r="S212" s="558">
        <f t="shared" si="412"/>
        <v>8456</v>
      </c>
      <c r="T212" s="917">
        <f t="shared" si="413"/>
        <v>-0.0840554592720971</v>
      </c>
      <c r="U212" s="850">
        <f t="shared" si="414"/>
        <v>26.0651218070009</v>
      </c>
      <c r="V212" s="917">
        <f t="shared" si="415"/>
        <v>0.00317848667822483</v>
      </c>
      <c r="W212" s="917">
        <f t="shared" si="416"/>
        <v>0.703668387638645</v>
      </c>
      <c r="X212" s="917">
        <f t="shared" si="417"/>
        <v>-0.0891933454494618</v>
      </c>
      <c r="Y212" s="917">
        <f t="shared" si="418"/>
        <v>-0.510489932840144</v>
      </c>
      <c r="Z212" s="917">
        <f t="shared" si="419"/>
        <v>0.101417607860221</v>
      </c>
      <c r="AA212" s="917">
        <f t="shared" si="420"/>
        <v>0.0952393317187053</v>
      </c>
      <c r="AB212" s="917">
        <f>B212/B212</f>
        <v>1</v>
      </c>
      <c r="AC212" s="917">
        <f>B212/F212</f>
        <v>0.0609511159244689</v>
      </c>
    </row>
    <row r="213" spans="1:29">
      <c r="A213" s="37" t="s">
        <v>52</v>
      </c>
      <c r="B213" s="917">
        <f t="shared" ref="B213:R213" si="422">(B212-B204)/B204</f>
        <v>0.00317848667822483</v>
      </c>
      <c r="C213" s="917">
        <f t="shared" si="422"/>
        <v>0.514400248575441</v>
      </c>
      <c r="D213" s="917">
        <f t="shared" si="422"/>
        <v>0.280498440126948</v>
      </c>
      <c r="E213" s="917">
        <f t="shared" si="422"/>
        <v>-0.547660311958406</v>
      </c>
      <c r="F213" s="917">
        <f t="shared" si="422"/>
        <v>-0.510489932840144</v>
      </c>
      <c r="G213" s="917">
        <f t="shared" si="422"/>
        <v>-0.0891933454494618</v>
      </c>
      <c r="H213" s="917">
        <f t="shared" si="422"/>
        <v>-0.0439642324888227</v>
      </c>
      <c r="I213" s="917">
        <f t="shared" si="422"/>
        <v>-0.10719131614654</v>
      </c>
      <c r="J213" s="917">
        <f t="shared" si="422"/>
        <v>-0.0663780663780664</v>
      </c>
      <c r="K213" s="917">
        <f t="shared" si="422"/>
        <v>-0.154451776317733</v>
      </c>
      <c r="L213" s="917">
        <f t="shared" si="422"/>
        <v>-0.216571879167014</v>
      </c>
      <c r="M213" s="917">
        <f t="shared" si="422"/>
        <v>-0.337573744046932</v>
      </c>
      <c r="N213" s="917">
        <f t="shared" si="422"/>
        <v>-0.512040904325265</v>
      </c>
      <c r="O213" s="917">
        <f t="shared" si="422"/>
        <v>-0.646747177609408</v>
      </c>
      <c r="P213" s="917">
        <f t="shared" si="422"/>
        <v>0.0821735967480339</v>
      </c>
      <c r="Q213" s="917">
        <f t="shared" si="422"/>
        <v>1.21775473874841</v>
      </c>
      <c r="R213" s="917">
        <f t="shared" si="422"/>
        <v>0.101417607860221</v>
      </c>
    </row>
    <row r="215" ht="41.4" spans="1:29">
      <c r="A215" s="868" t="s">
        <v>26</v>
      </c>
      <c r="B215" s="869" t="s">
        <v>1</v>
      </c>
      <c r="C215" s="870" t="s">
        <v>2</v>
      </c>
      <c r="D215" s="870" t="s">
        <v>3</v>
      </c>
      <c r="E215" s="871" t="s">
        <v>4</v>
      </c>
      <c r="F215" s="869" t="s">
        <v>5</v>
      </c>
      <c r="G215" s="871" t="s">
        <v>6</v>
      </c>
      <c r="H215" s="871" t="s">
        <v>7</v>
      </c>
      <c r="I215" s="871" t="s">
        <v>8</v>
      </c>
      <c r="J215" s="871" t="s">
        <v>34</v>
      </c>
      <c r="K215" s="879" t="s">
        <v>9</v>
      </c>
      <c r="L215" s="869" t="s">
        <v>10</v>
      </c>
      <c r="M215" s="880" t="s">
        <v>11</v>
      </c>
      <c r="N215" s="881" t="s">
        <v>12</v>
      </c>
      <c r="O215" s="879" t="s">
        <v>13</v>
      </c>
      <c r="P215" s="875" t="s">
        <v>14</v>
      </c>
      <c r="Q215" s="869" t="s">
        <v>15</v>
      </c>
      <c r="R215" s="912" t="s">
        <v>16</v>
      </c>
      <c r="S215" s="882" t="s">
        <v>35</v>
      </c>
      <c r="T215" s="882" t="s">
        <v>37</v>
      </c>
      <c r="U215" s="882" t="s">
        <v>36</v>
      </c>
      <c r="V215" s="882" t="s">
        <v>38</v>
      </c>
      <c r="W215" s="882" t="s">
        <v>39</v>
      </c>
      <c r="X215" s="882" t="s">
        <v>40</v>
      </c>
      <c r="Y215" s="882" t="s">
        <v>41</v>
      </c>
      <c r="Z215" s="882" t="s">
        <v>42</v>
      </c>
      <c r="AA215" s="882" t="s">
        <v>43</v>
      </c>
      <c r="AB215" s="37" t="s">
        <v>44</v>
      </c>
      <c r="AC215" s="37" t="s">
        <v>49</v>
      </c>
    </row>
    <row r="216" spans="1:29">
      <c r="A216" s="686" t="s">
        <v>19</v>
      </c>
      <c r="B216" s="685">
        <f>SUM(明星店铺!B1223:B1253)</f>
        <v>70070.69</v>
      </c>
      <c r="C216" s="1086">
        <f>SUM(明星店铺!C1223:C1253)</f>
        <v>181107</v>
      </c>
      <c r="D216" s="1086">
        <f>SUM(明星店铺!D1223:D1253)</f>
        <v>6524</v>
      </c>
      <c r="E216" s="1086">
        <f>SUM(明星店铺!E1223:E1253)</f>
        <v>81</v>
      </c>
      <c r="F216" s="685">
        <f>SUM(明星店铺!F1223:F1253)</f>
        <v>869223.8</v>
      </c>
      <c r="G216" s="1086">
        <f>SUM(明星店铺!G1223:G1253)</f>
        <v>1558</v>
      </c>
      <c r="H216" s="1086">
        <f>SUM(明星店铺!H1223:H1253)</f>
        <v>142</v>
      </c>
      <c r="I216" s="1086">
        <f>SUM(明星店铺!I1223:I1253)</f>
        <v>243</v>
      </c>
      <c r="J216" s="1086">
        <f t="shared" ref="J216:J219" si="423">H216+I216</f>
        <v>385</v>
      </c>
      <c r="K216" s="688">
        <f t="shared" ref="K216:K220" si="424">D216/C216</f>
        <v>0.036022903587382</v>
      </c>
      <c r="L216" s="685">
        <f t="shared" ref="L216:L220" si="425">B216/D216</f>
        <v>10.7404491109749</v>
      </c>
      <c r="M216" s="886">
        <f t="shared" ref="M216:M220" si="426">(B216/C216)*1000</f>
        <v>386.902162809831</v>
      </c>
      <c r="N216" s="887">
        <f t="shared" ref="N216:N220" si="427">F216/B216</f>
        <v>12.404955624099</v>
      </c>
      <c r="O216" s="688">
        <f t="shared" ref="O216:O220" si="428">E216/D216</f>
        <v>0.0124156958920907</v>
      </c>
      <c r="P216" s="915">
        <f t="shared" ref="P216:P219" si="429">IF(E216=0,"0",F216/E216)</f>
        <v>10731.1580246914</v>
      </c>
      <c r="Q216" s="685">
        <f t="shared" ref="Q216:Q219" si="430">IF(E216=0,"0",B216/E216)</f>
        <v>865.07024691358</v>
      </c>
      <c r="R216" s="902">
        <f t="shared" ref="R216:R220" si="431">B216/G216</f>
        <v>44.9747689345314</v>
      </c>
      <c r="S216" s="558">
        <f t="shared" ref="S216:S220" si="432">G216+J216</f>
        <v>1943</v>
      </c>
      <c r="T216" s="917">
        <f t="shared" ref="T216:T220" si="433">(S216-S208)/S208</f>
        <v>0.0740740740740741</v>
      </c>
      <c r="U216" s="850">
        <f t="shared" ref="U216:U220" si="434">B216/S216</f>
        <v>36.063144621719</v>
      </c>
      <c r="V216" s="917">
        <f t="shared" ref="V216:V220" si="435">(B216-B208)/B208</f>
        <v>0.359347170589503</v>
      </c>
      <c r="W216" s="917">
        <f t="shared" ref="W216:W220" si="436">D216/$D$132</f>
        <v>0.0322324053259554</v>
      </c>
      <c r="X216" s="917">
        <f t="shared" ref="X216:X220" si="437">(G216-G208)/G208</f>
        <v>0.0605854322668482</v>
      </c>
      <c r="Y216" s="917">
        <f t="shared" ref="Y216:Y220" si="438">(F216-F208)/F208</f>
        <v>-0.00615498167925681</v>
      </c>
      <c r="Z216" s="917">
        <f t="shared" ref="Z216:Z220" si="439">(R216-R208)/R208</f>
        <v>0.281695117840808</v>
      </c>
      <c r="AA216" s="917">
        <f t="shared" ref="AA216:AA220" si="440">(U216-U208)/U208</f>
        <v>0.265599089859192</v>
      </c>
      <c r="AB216" s="917">
        <f>B216/B220</f>
        <v>0.274630404888318</v>
      </c>
    </row>
    <row r="217" spans="1:29">
      <c r="A217" s="686" t="s">
        <v>20</v>
      </c>
      <c r="B217" s="685">
        <f>SUM(直通车!B1223:B1253)</f>
        <v>73520.3</v>
      </c>
      <c r="C217" s="1086">
        <f>SUM(直通车!C1223:C1253)</f>
        <v>242382</v>
      </c>
      <c r="D217" s="1086">
        <f>SUM(直通车!D1223:D1253)</f>
        <v>32154</v>
      </c>
      <c r="E217" s="1086">
        <f>SUM(直通车!E1223:E1253)</f>
        <v>105</v>
      </c>
      <c r="F217" s="685">
        <f>SUM(直通车!F1223:F1253)</f>
        <v>1311373</v>
      </c>
      <c r="G217" s="1086">
        <f>SUM(直通车!G1223:G1253)</f>
        <v>1813</v>
      </c>
      <c r="H217" s="1086">
        <f>SUM(直通车!H1223:H1253)</f>
        <v>174</v>
      </c>
      <c r="I217" s="1086">
        <f>SUM(直通车!I1223:I1253)</f>
        <v>108</v>
      </c>
      <c r="J217" s="1086">
        <f t="shared" si="423"/>
        <v>282</v>
      </c>
      <c r="K217" s="688">
        <f t="shared" si="424"/>
        <v>0.132658365720227</v>
      </c>
      <c r="L217" s="685">
        <f t="shared" si="425"/>
        <v>2.28650556695901</v>
      </c>
      <c r="M217" s="886">
        <f t="shared" si="426"/>
        <v>303.324091722983</v>
      </c>
      <c r="N217" s="887">
        <f t="shared" si="427"/>
        <v>17.8368831465595</v>
      </c>
      <c r="O217" s="688">
        <f t="shared" si="428"/>
        <v>0.00326553461466692</v>
      </c>
      <c r="P217" s="915">
        <f t="shared" si="429"/>
        <v>12489.2666666667</v>
      </c>
      <c r="Q217" s="685">
        <f t="shared" si="430"/>
        <v>700.193333333333</v>
      </c>
      <c r="R217" s="902">
        <f t="shared" si="431"/>
        <v>40.5517374517375</v>
      </c>
      <c r="S217" s="558">
        <f t="shared" si="432"/>
        <v>2095</v>
      </c>
      <c r="T217" s="917">
        <f t="shared" si="433"/>
        <v>0.02294921875</v>
      </c>
      <c r="U217" s="850">
        <f t="shared" si="434"/>
        <v>35.0932219570406</v>
      </c>
      <c r="V217" s="917">
        <f t="shared" si="435"/>
        <v>0.0908969237188394</v>
      </c>
      <c r="W217" s="917">
        <f t="shared" si="436"/>
        <v>0.158859711963637</v>
      </c>
      <c r="X217" s="917">
        <f t="shared" si="437"/>
        <v>0.0449567723342939</v>
      </c>
      <c r="Y217" s="917">
        <f t="shared" si="438"/>
        <v>0.472076681934155</v>
      </c>
      <c r="Z217" s="917">
        <f t="shared" si="439"/>
        <v>0.0439636859636989</v>
      </c>
      <c r="AA217" s="917">
        <f t="shared" si="440"/>
        <v>0.066423341181949</v>
      </c>
      <c r="AB217" s="917">
        <f>B217/B220</f>
        <v>0.288150577031718</v>
      </c>
    </row>
    <row r="218" spans="1:29">
      <c r="A218" s="686" t="s">
        <v>21</v>
      </c>
      <c r="B218" s="685">
        <f>SUM(引力魔方!B1122:B1152)</f>
        <v>37928.43</v>
      </c>
      <c r="C218" s="1086">
        <f>SUM(引力魔方!C1122:C1152)</f>
        <v>2404930</v>
      </c>
      <c r="D218" s="1086">
        <f>SUM(引力魔方!D1122:D1152)</f>
        <v>40066</v>
      </c>
      <c r="E218" s="1086">
        <f>SUM(引力魔方!E1122:E1152)</f>
        <v>90</v>
      </c>
      <c r="F218" s="685">
        <f>SUM(引力魔方!F1122:F1152)</f>
        <v>954041</v>
      </c>
      <c r="G218" s="1086">
        <f>SUM(引力魔方!G1122:G1152)</f>
        <v>1510</v>
      </c>
      <c r="H218" s="1086">
        <f>SUM(引力魔方!H1122:H1152)</f>
        <v>350</v>
      </c>
      <c r="I218" s="1086">
        <f>SUM(引力魔方!I1122:I1152)</f>
        <v>93</v>
      </c>
      <c r="J218" s="1086">
        <f t="shared" si="423"/>
        <v>443</v>
      </c>
      <c r="K218" s="688">
        <f t="shared" si="424"/>
        <v>0.016659944364285</v>
      </c>
      <c r="L218" s="685">
        <f t="shared" si="425"/>
        <v>0.946648779513802</v>
      </c>
      <c r="M218" s="886">
        <f t="shared" si="426"/>
        <v>15.7711159992183</v>
      </c>
      <c r="N218" s="887">
        <f t="shared" si="427"/>
        <v>25.1537171456873</v>
      </c>
      <c r="O218" s="688">
        <f t="shared" si="428"/>
        <v>0.00224629361553437</v>
      </c>
      <c r="P218" s="915">
        <f t="shared" si="429"/>
        <v>10600.4555555556</v>
      </c>
      <c r="Q218" s="685">
        <f t="shared" si="430"/>
        <v>421.427</v>
      </c>
      <c r="R218" s="902">
        <f t="shared" si="431"/>
        <v>25.1181655629139</v>
      </c>
      <c r="S218" s="558">
        <f t="shared" si="432"/>
        <v>1953</v>
      </c>
      <c r="T218" s="917">
        <f t="shared" si="433"/>
        <v>-0.169642857142857</v>
      </c>
      <c r="U218" s="850">
        <f t="shared" si="434"/>
        <v>19.420599078341</v>
      </c>
      <c r="V218" s="917">
        <f t="shared" si="435"/>
        <v>-0.0546724988784206</v>
      </c>
      <c r="W218" s="917">
        <f t="shared" si="436"/>
        <v>0.197949655393888</v>
      </c>
      <c r="X218" s="917">
        <f t="shared" si="437"/>
        <v>-0.108092144122859</v>
      </c>
      <c r="Y218" s="917">
        <f t="shared" si="438"/>
        <v>0.146415203167527</v>
      </c>
      <c r="Z218" s="917">
        <f t="shared" si="439"/>
        <v>0.0598936817210821</v>
      </c>
      <c r="AA218" s="917">
        <f t="shared" si="440"/>
        <v>0.138458926081902</v>
      </c>
      <c r="AB218" s="917">
        <f>B218/B220</f>
        <v>0.148654167493973</v>
      </c>
    </row>
    <row r="219" spans="1:29">
      <c r="A219" s="686" t="s">
        <v>27</v>
      </c>
      <c r="B219" s="685">
        <f>SUM(万相台!B711:B741)</f>
        <v>73626</v>
      </c>
      <c r="C219" s="1086">
        <f>SUM(万相台!C712:C741)</f>
        <v>2036619</v>
      </c>
      <c r="D219" s="1086">
        <f>SUM(万相台!D711:D741)</f>
        <v>61202</v>
      </c>
      <c r="E219" s="1086">
        <f>SUM(万相台!E711:E741)</f>
        <v>119</v>
      </c>
      <c r="F219" s="685">
        <f>SUM(万相台!F711:F741)</f>
        <v>1442177</v>
      </c>
      <c r="G219" s="1086">
        <f>SUM(万相台!G711:G741)</f>
        <v>1965</v>
      </c>
      <c r="H219" s="1086">
        <f>SUM(万相台!H711:H741)</f>
        <v>406</v>
      </c>
      <c r="I219" s="1086">
        <f>SUM(万相台!I711:I741)</f>
        <v>187</v>
      </c>
      <c r="J219" s="1086">
        <f t="shared" si="423"/>
        <v>593</v>
      </c>
      <c r="K219" s="688">
        <f t="shared" si="424"/>
        <v>0.0300507851493087</v>
      </c>
      <c r="L219" s="685">
        <f t="shared" si="425"/>
        <v>1.20299990196399</v>
      </c>
      <c r="M219" s="886">
        <f t="shared" si="426"/>
        <v>36.1510915885593</v>
      </c>
      <c r="N219" s="887">
        <f t="shared" si="427"/>
        <v>19.5878765653438</v>
      </c>
      <c r="O219" s="688">
        <f t="shared" si="428"/>
        <v>0.00194438090258488</v>
      </c>
      <c r="P219" s="915">
        <f t="shared" si="429"/>
        <v>12119.1344537815</v>
      </c>
      <c r="Q219" s="685">
        <f t="shared" si="430"/>
        <v>618.705882352941</v>
      </c>
      <c r="R219" s="902">
        <f t="shared" si="431"/>
        <v>37.4687022900763</v>
      </c>
      <c r="S219" s="558">
        <f t="shared" si="432"/>
        <v>2558</v>
      </c>
      <c r="T219" s="917">
        <f t="shared" si="433"/>
        <v>0.138406764574989</v>
      </c>
      <c r="U219" s="850">
        <f t="shared" si="434"/>
        <v>28.7826426896012</v>
      </c>
      <c r="V219" s="917">
        <f t="shared" si="435"/>
        <v>0.200234745610746</v>
      </c>
      <c r="W219" s="917">
        <f t="shared" si="436"/>
        <v>0.302373953212618</v>
      </c>
      <c r="X219" s="917">
        <f t="shared" si="437"/>
        <v>0.214462299134734</v>
      </c>
      <c r="Y219" s="917">
        <f t="shared" si="438"/>
        <v>0.415998028450016</v>
      </c>
      <c r="Z219" s="917">
        <f t="shared" si="439"/>
        <v>-0.0117151051408716</v>
      </c>
      <c r="AA219" s="917">
        <f t="shared" si="440"/>
        <v>0.0543109747409485</v>
      </c>
      <c r="AB219" s="917">
        <f>B219/B220</f>
        <v>0.288564850585991</v>
      </c>
    </row>
    <row r="220" spans="1:29">
      <c r="A220" s="891" t="s">
        <v>22</v>
      </c>
      <c r="B220" s="903">
        <f t="shared" ref="B220:J220" si="441">SUM(B216:B219)</f>
        <v>255145.42</v>
      </c>
      <c r="C220" s="904">
        <f t="shared" si="441"/>
        <v>4865038</v>
      </c>
      <c r="D220" s="904">
        <f t="shared" si="441"/>
        <v>139946</v>
      </c>
      <c r="E220" s="904">
        <f t="shared" si="441"/>
        <v>395</v>
      </c>
      <c r="F220" s="903">
        <f t="shared" si="441"/>
        <v>4576814.8</v>
      </c>
      <c r="G220" s="904">
        <f t="shared" si="441"/>
        <v>6846</v>
      </c>
      <c r="H220" s="904">
        <f t="shared" si="441"/>
        <v>1072</v>
      </c>
      <c r="I220" s="904">
        <f t="shared" si="441"/>
        <v>631</v>
      </c>
      <c r="J220" s="904">
        <f t="shared" si="441"/>
        <v>1703</v>
      </c>
      <c r="K220" s="896">
        <f t="shared" si="424"/>
        <v>0.0287656540401123</v>
      </c>
      <c r="L220" s="903">
        <f t="shared" si="425"/>
        <v>1.82317050862476</v>
      </c>
      <c r="M220" s="897">
        <f t="shared" si="426"/>
        <v>52.4446921072353</v>
      </c>
      <c r="N220" s="898">
        <f t="shared" si="427"/>
        <v>17.9380637128427</v>
      </c>
      <c r="O220" s="896">
        <f t="shared" si="428"/>
        <v>0.00282251725665614</v>
      </c>
      <c r="P220" s="916">
        <f>F220/E220</f>
        <v>11586.8729113924</v>
      </c>
      <c r="Q220" s="903">
        <f>B220/E220</f>
        <v>645.937772151899</v>
      </c>
      <c r="R220" s="902">
        <f t="shared" si="431"/>
        <v>37.2692696465089</v>
      </c>
      <c r="S220" s="558">
        <f t="shared" si="432"/>
        <v>8549</v>
      </c>
      <c r="T220" s="917">
        <f t="shared" si="433"/>
        <v>0.0109981078524125</v>
      </c>
      <c r="U220" s="850">
        <f t="shared" si="434"/>
        <v>29.8450602409639</v>
      </c>
      <c r="V220" s="917">
        <f t="shared" si="435"/>
        <v>0.157612063192098</v>
      </c>
      <c r="W220" s="917">
        <f t="shared" si="436"/>
        <v>0.691415725896099</v>
      </c>
      <c r="X220" s="917">
        <f t="shared" si="437"/>
        <v>0.0508058326937836</v>
      </c>
      <c r="Y220" s="917">
        <f t="shared" si="438"/>
        <v>0.265669362182301</v>
      </c>
      <c r="Z220" s="917">
        <f t="shared" si="439"/>
        <v>0.10164221321889</v>
      </c>
      <c r="AA220" s="917">
        <f t="shared" si="440"/>
        <v>0.14501902051145</v>
      </c>
      <c r="AB220" s="917">
        <f>B220/B220</f>
        <v>1</v>
      </c>
      <c r="AC220" s="917">
        <f>B220/F220</f>
        <v>0.0557473769749215</v>
      </c>
    </row>
    <row r="221" spans="1:29">
      <c r="A221" s="37" t="s">
        <v>53</v>
      </c>
      <c r="B221" s="917">
        <f t="shared" ref="B221:R221" si="442">(B220-B212)/B212</f>
        <v>0.157612063192098</v>
      </c>
      <c r="C221" s="917">
        <f t="shared" si="442"/>
        <v>-0.248349897573989</v>
      </c>
      <c r="D221" s="917">
        <f t="shared" si="442"/>
        <v>-0.0174125510791569</v>
      </c>
      <c r="E221" s="917">
        <f t="shared" si="442"/>
        <v>0.513409961685824</v>
      </c>
      <c r="F221" s="917">
        <f t="shared" si="442"/>
        <v>0.265669362182301</v>
      </c>
      <c r="G221" s="917">
        <f t="shared" si="442"/>
        <v>0.0508058326937836</v>
      </c>
      <c r="H221" s="917">
        <f t="shared" si="442"/>
        <v>-0.164458300857366</v>
      </c>
      <c r="I221" s="917">
        <f t="shared" si="442"/>
        <v>-0.0410334346504559</v>
      </c>
      <c r="J221" s="917">
        <f t="shared" si="442"/>
        <v>-0.122617207624936</v>
      </c>
      <c r="K221" s="917">
        <f t="shared" si="442"/>
        <v>0.307240490953787</v>
      </c>
      <c r="L221" s="917">
        <f t="shared" si="442"/>
        <v>0.178126246639402</v>
      </c>
      <c r="M221" s="917">
        <f t="shared" si="442"/>
        <v>0.540094333062435</v>
      </c>
      <c r="N221" s="917">
        <f t="shared" si="442"/>
        <v>0.0933450008219819</v>
      </c>
      <c r="O221" s="917">
        <f t="shared" si="442"/>
        <v>0.540229282745238</v>
      </c>
      <c r="P221" s="917">
        <f t="shared" si="442"/>
        <v>-0.163696953089669</v>
      </c>
      <c r="Q221" s="917">
        <f t="shared" si="442"/>
        <v>-0.235096839257879</v>
      </c>
      <c r="R221" s="917">
        <f t="shared" si="442"/>
        <v>0.10164221321889</v>
      </c>
    </row>
    <row r="223" ht="41.4" spans="1:29">
      <c r="A223" s="868" t="s">
        <v>28</v>
      </c>
      <c r="B223" s="869" t="s">
        <v>1</v>
      </c>
      <c r="C223" s="870" t="s">
        <v>2</v>
      </c>
      <c r="D223" s="870" t="s">
        <v>3</v>
      </c>
      <c r="E223" s="871" t="s">
        <v>4</v>
      </c>
      <c r="F223" s="869" t="s">
        <v>5</v>
      </c>
      <c r="G223" s="871" t="s">
        <v>6</v>
      </c>
      <c r="H223" s="871" t="s">
        <v>7</v>
      </c>
      <c r="I223" s="871" t="s">
        <v>8</v>
      </c>
      <c r="J223" s="871" t="s">
        <v>34</v>
      </c>
      <c r="K223" s="879" t="s">
        <v>9</v>
      </c>
      <c r="L223" s="869" t="s">
        <v>10</v>
      </c>
      <c r="M223" s="880" t="s">
        <v>11</v>
      </c>
      <c r="N223" s="881" t="s">
        <v>12</v>
      </c>
      <c r="O223" s="879" t="s">
        <v>13</v>
      </c>
      <c r="P223" s="875" t="s">
        <v>14</v>
      </c>
      <c r="Q223" s="869" t="s">
        <v>15</v>
      </c>
      <c r="R223" s="912" t="s">
        <v>16</v>
      </c>
      <c r="S223" s="882" t="s">
        <v>35</v>
      </c>
      <c r="T223" s="882" t="s">
        <v>37</v>
      </c>
      <c r="U223" s="882" t="s">
        <v>36</v>
      </c>
      <c r="V223" s="882" t="s">
        <v>38</v>
      </c>
      <c r="W223" s="882" t="s">
        <v>39</v>
      </c>
      <c r="X223" s="882" t="s">
        <v>40</v>
      </c>
      <c r="Y223" s="882" t="s">
        <v>41</v>
      </c>
      <c r="Z223" s="882" t="s">
        <v>42</v>
      </c>
      <c r="AA223" s="882" t="s">
        <v>43</v>
      </c>
      <c r="AB223" s="37" t="s">
        <v>44</v>
      </c>
      <c r="AC223" s="37" t="s">
        <v>49</v>
      </c>
    </row>
    <row r="224" spans="1:29">
      <c r="A224" s="686" t="s">
        <v>19</v>
      </c>
      <c r="B224" s="685">
        <f>SUM(明星店铺!B1254:B1283)</f>
        <v>58433.12</v>
      </c>
      <c r="C224" s="1086">
        <f>SUM(明星店铺!C1254:C1283)</f>
        <v>176982</v>
      </c>
      <c r="D224" s="1086">
        <f>SUM(明星店铺!D1254:D1283)</f>
        <v>4851</v>
      </c>
      <c r="E224" s="1086">
        <f>SUM(明星店铺!E1254:E1283)</f>
        <v>75</v>
      </c>
      <c r="F224" s="685">
        <f>SUM(明星店铺!F1254:F1283)</f>
        <v>820375</v>
      </c>
      <c r="G224" s="1086">
        <f>SUM(明星店铺!G1254:G1283)</f>
        <v>1020</v>
      </c>
      <c r="H224" s="1086">
        <f>SUM(明星店铺!H1254:H1283)</f>
        <v>97</v>
      </c>
      <c r="I224" s="1086">
        <f>SUM(明星店铺!I1254:I1283)</f>
        <v>160</v>
      </c>
      <c r="J224" s="1086">
        <f t="shared" ref="J224:J227" si="443">H224+I224</f>
        <v>257</v>
      </c>
      <c r="K224" s="688">
        <f t="shared" ref="K224:K228" si="444">D224/C224</f>
        <v>0.0274095670746178</v>
      </c>
      <c r="L224" s="685">
        <f t="shared" ref="L224:L228" si="445">B224/D224</f>
        <v>12.0455823541538</v>
      </c>
      <c r="M224" s="886">
        <f t="shared" ref="M224:M228" si="446">(B224/C224)*1000</f>
        <v>330.16419748901</v>
      </c>
      <c r="N224" s="887">
        <f t="shared" ref="N224:N228" si="447">F224/B224</f>
        <v>14.0395549647186</v>
      </c>
      <c r="O224" s="688">
        <f t="shared" ref="O224:O228" si="448">E224/D224</f>
        <v>0.015460729746444</v>
      </c>
      <c r="P224" s="915">
        <f t="shared" ref="P224:P227" si="449">IF(E224=0,"0",F224/E224)</f>
        <v>10938.3333333333</v>
      </c>
      <c r="Q224" s="685">
        <f t="shared" ref="Q224:Q227" si="450">IF(E224=0,"0",B224/E224)</f>
        <v>779.108266666667</v>
      </c>
      <c r="R224" s="902">
        <f t="shared" ref="R224:R228" si="451">B224/G224</f>
        <v>57.2873725490196</v>
      </c>
      <c r="S224" s="558">
        <f t="shared" ref="S224:S228" si="452">G224+J224</f>
        <v>1277</v>
      </c>
      <c r="T224" s="917">
        <f t="shared" ref="T224:T228" si="453">(S224-S216)/S216</f>
        <v>-0.342768914050437</v>
      </c>
      <c r="U224" s="850">
        <f t="shared" ref="U224:U228" si="454">B224/S224</f>
        <v>45.7581205951449</v>
      </c>
      <c r="V224" s="917">
        <f t="shared" ref="V224:V228" si="455">(B224-B216)/B216</f>
        <v>-0.166083279613773</v>
      </c>
      <c r="W224" s="917">
        <f t="shared" ref="W224:W228" si="456">D224/$D$132</f>
        <v>0.0239667992391492</v>
      </c>
      <c r="X224" s="917">
        <f t="shared" ref="X224:X228" si="457">(G224-G216)/G216</f>
        <v>-0.345314505776637</v>
      </c>
      <c r="Y224" s="917">
        <f t="shared" ref="Y224:Y228" si="458">(F224-F216)/F216</f>
        <v>-0.0561981850934133</v>
      </c>
      <c r="Z224" s="917">
        <f t="shared" ref="Z224:Z228" si="459">(R224-R216)/R216</f>
        <v>0.273766912119355</v>
      </c>
      <c r="AA224" s="917">
        <f t="shared" ref="AA224:AA228" si="460">(U224-U216)/U216</f>
        <v>0.268833349812404</v>
      </c>
      <c r="AB224" s="917">
        <f>B224/B228</f>
        <v>0.284303651615596</v>
      </c>
    </row>
    <row r="225" spans="1:29">
      <c r="A225" s="686" t="s">
        <v>20</v>
      </c>
      <c r="B225" s="685">
        <f>SUM(直通车!B1254:B1283)</f>
        <v>55734.39</v>
      </c>
      <c r="C225" s="1086">
        <f>SUM(直通车!C1254:C1283)</f>
        <v>242654</v>
      </c>
      <c r="D225" s="1086">
        <f>SUM(直通车!D1254:D1283)</f>
        <v>25427</v>
      </c>
      <c r="E225" s="1086">
        <f>SUM(直通车!E1254:E1283)</f>
        <v>47</v>
      </c>
      <c r="F225" s="685">
        <f>SUM(直通车!F1254:F1283)</f>
        <v>656102.5</v>
      </c>
      <c r="G225" s="1086">
        <f>SUM(直通车!G1254:G1283)</f>
        <v>1109</v>
      </c>
      <c r="H225" s="1086">
        <f>SUM(直通车!H1254:H1283)</f>
        <v>117</v>
      </c>
      <c r="I225" s="1086">
        <f>SUM(直通车!I1254:I1283)</f>
        <v>77</v>
      </c>
      <c r="J225" s="1086">
        <f t="shared" si="443"/>
        <v>194</v>
      </c>
      <c r="K225" s="688">
        <f t="shared" si="444"/>
        <v>0.104787063060984</v>
      </c>
      <c r="L225" s="685">
        <f t="shared" si="445"/>
        <v>2.19193731073269</v>
      </c>
      <c r="M225" s="886">
        <f t="shared" si="446"/>
        <v>229.68667320547</v>
      </c>
      <c r="N225" s="887">
        <f t="shared" si="447"/>
        <v>11.7719508547595</v>
      </c>
      <c r="O225" s="688">
        <f t="shared" si="448"/>
        <v>0.00184842883548983</v>
      </c>
      <c r="P225" s="915">
        <f t="shared" si="449"/>
        <v>13959.6276595745</v>
      </c>
      <c r="Q225" s="685">
        <f t="shared" si="450"/>
        <v>1185.83808510638</v>
      </c>
      <c r="R225" s="902">
        <f t="shared" si="451"/>
        <v>50.256438232642</v>
      </c>
      <c r="S225" s="558">
        <f t="shared" si="452"/>
        <v>1303</v>
      </c>
      <c r="T225" s="917">
        <f t="shared" si="453"/>
        <v>-0.378042959427208</v>
      </c>
      <c r="U225" s="850">
        <f t="shared" si="454"/>
        <v>42.7738986953185</v>
      </c>
      <c r="V225" s="917">
        <f t="shared" si="455"/>
        <v>-0.241918354522492</v>
      </c>
      <c r="W225" s="917">
        <f t="shared" si="456"/>
        <v>0.125624366986982</v>
      </c>
      <c r="X225" s="917">
        <f t="shared" si="457"/>
        <v>-0.38830667402096</v>
      </c>
      <c r="Y225" s="917">
        <f t="shared" si="458"/>
        <v>-0.499682775228711</v>
      </c>
      <c r="Z225" s="917">
        <f t="shared" si="459"/>
        <v>0.239316522318053</v>
      </c>
      <c r="AA225" s="917">
        <f t="shared" si="460"/>
        <v>0.218864963373276</v>
      </c>
      <c r="AB225" s="917">
        <f>B225/B228</f>
        <v>0.271173105211013</v>
      </c>
    </row>
    <row r="226" spans="1:29">
      <c r="A226" s="686" t="s">
        <v>21</v>
      </c>
      <c r="B226" s="685">
        <f>SUM(引力魔方!B1153:B1182)</f>
        <v>26532.16</v>
      </c>
      <c r="C226" s="1086">
        <f>SUM(引力魔方!C1153:C1182)</f>
        <v>1530990</v>
      </c>
      <c r="D226" s="1086">
        <f>SUM(引力魔方!D1153:D1182)</f>
        <v>25674</v>
      </c>
      <c r="E226" s="1086">
        <f>SUM(引力魔方!E1153:E1182)</f>
        <v>39</v>
      </c>
      <c r="F226" s="685">
        <f>SUM(引力魔方!F1153:F1182)</f>
        <v>368198</v>
      </c>
      <c r="G226" s="1086">
        <f>SUM(引力魔方!G1153:G1182)</f>
        <v>755</v>
      </c>
      <c r="H226" s="1086">
        <f>SUM(引力魔方!H1153:H1182)</f>
        <v>260</v>
      </c>
      <c r="I226" s="1086">
        <f>SUM(引力魔方!I1153:I1182)</f>
        <v>56</v>
      </c>
      <c r="J226" s="1086">
        <f t="shared" si="443"/>
        <v>316</v>
      </c>
      <c r="K226" s="688">
        <f t="shared" si="444"/>
        <v>0.0167695412772128</v>
      </c>
      <c r="L226" s="685">
        <f t="shared" si="445"/>
        <v>1.03342525512191</v>
      </c>
      <c r="M226" s="886">
        <f t="shared" si="446"/>
        <v>17.3300674726811</v>
      </c>
      <c r="N226" s="887">
        <f t="shared" si="447"/>
        <v>13.8774227202007</v>
      </c>
      <c r="O226" s="688">
        <f t="shared" si="448"/>
        <v>0.00151904650619304</v>
      </c>
      <c r="P226" s="915">
        <f t="shared" si="449"/>
        <v>9440.97435897436</v>
      </c>
      <c r="Q226" s="685">
        <f t="shared" si="450"/>
        <v>680.311794871795</v>
      </c>
      <c r="R226" s="902">
        <f t="shared" si="451"/>
        <v>35.1419337748344</v>
      </c>
      <c r="S226" s="558">
        <f t="shared" si="452"/>
        <v>1071</v>
      </c>
      <c r="T226" s="917">
        <f t="shared" si="453"/>
        <v>-0.451612903225806</v>
      </c>
      <c r="U226" s="850">
        <f t="shared" si="454"/>
        <v>24.773258636788</v>
      </c>
      <c r="V226" s="917">
        <f t="shared" si="455"/>
        <v>-0.300467749390102</v>
      </c>
      <c r="W226" s="917">
        <f t="shared" si="456"/>
        <v>0.126844692571824</v>
      </c>
      <c r="X226" s="917">
        <f t="shared" si="457"/>
        <v>-0.5</v>
      </c>
      <c r="Y226" s="917">
        <f t="shared" si="458"/>
        <v>-0.61406480434279</v>
      </c>
      <c r="Z226" s="917">
        <f t="shared" si="459"/>
        <v>0.399064501219797</v>
      </c>
      <c r="AA226" s="917">
        <f t="shared" si="460"/>
        <v>0.275617633465109</v>
      </c>
      <c r="AB226" s="917">
        <f>B226/B228</f>
        <v>0.129091001357608</v>
      </c>
    </row>
    <row r="227" spans="1:29">
      <c r="A227" s="686" t="s">
        <v>27</v>
      </c>
      <c r="B227" s="685">
        <f>SUM(万相台!B742:B771)</f>
        <v>64831</v>
      </c>
      <c r="C227" s="1086">
        <f>SUM(万相台!C742:C771)</f>
        <v>1250506</v>
      </c>
      <c r="D227" s="1086">
        <f>SUM(万相台!D742:D771)</f>
        <v>42568</v>
      </c>
      <c r="E227" s="1086">
        <f>SUM(万相台!E742:E771)</f>
        <v>81</v>
      </c>
      <c r="F227" s="685">
        <f>SUM(万相台!F742:F771)</f>
        <v>951306</v>
      </c>
      <c r="G227" s="1086">
        <f>SUM(万相台!G742:G771)</f>
        <v>1270</v>
      </c>
      <c r="H227" s="1086">
        <f>SUM(万相台!H742:H771)</f>
        <v>153</v>
      </c>
      <c r="I227" s="1086">
        <f>SUM(万相台!I742:I771)</f>
        <v>188</v>
      </c>
      <c r="J227" s="1086">
        <f t="shared" si="443"/>
        <v>341</v>
      </c>
      <c r="K227" s="688">
        <f t="shared" si="444"/>
        <v>0.0340406203568795</v>
      </c>
      <c r="L227" s="685">
        <f t="shared" si="445"/>
        <v>1.52299849652321</v>
      </c>
      <c r="M227" s="886">
        <f t="shared" si="446"/>
        <v>51.8438136242449</v>
      </c>
      <c r="N227" s="887">
        <f t="shared" si="447"/>
        <v>14.6736283568046</v>
      </c>
      <c r="O227" s="688">
        <f t="shared" si="448"/>
        <v>0.00190283781244127</v>
      </c>
      <c r="P227" s="915">
        <f t="shared" si="449"/>
        <v>11744.5185185185</v>
      </c>
      <c r="Q227" s="685">
        <f t="shared" si="450"/>
        <v>800.382716049383</v>
      </c>
      <c r="R227" s="902">
        <f t="shared" si="451"/>
        <v>51.048031496063</v>
      </c>
      <c r="S227" s="558">
        <f t="shared" si="452"/>
        <v>1611</v>
      </c>
      <c r="T227" s="917">
        <f t="shared" si="453"/>
        <v>-0.370211102423769</v>
      </c>
      <c r="U227" s="850">
        <f t="shared" si="454"/>
        <v>40.2427063935444</v>
      </c>
      <c r="V227" s="917">
        <f t="shared" si="455"/>
        <v>-0.119455083801918</v>
      </c>
      <c r="W227" s="917">
        <f t="shared" si="456"/>
        <v>0.210311010103505</v>
      </c>
      <c r="X227" s="917">
        <f t="shared" si="457"/>
        <v>-0.353689567430025</v>
      </c>
      <c r="Y227" s="917">
        <f t="shared" si="458"/>
        <v>-0.340368068551918</v>
      </c>
      <c r="Z227" s="917">
        <f t="shared" si="459"/>
        <v>0.36241792151908</v>
      </c>
      <c r="AA227" s="917">
        <f t="shared" si="460"/>
        <v>0.398158842727929</v>
      </c>
      <c r="AB227" s="917">
        <f>B227/B228</f>
        <v>0.315432241815784</v>
      </c>
    </row>
    <row r="228" spans="1:29">
      <c r="A228" s="891" t="s">
        <v>22</v>
      </c>
      <c r="B228" s="903">
        <f t="shared" ref="B228:J228" si="461">SUM(B224:B227)</f>
        <v>205530.67</v>
      </c>
      <c r="C228" s="904">
        <f t="shared" si="461"/>
        <v>3201132</v>
      </c>
      <c r="D228" s="904">
        <f t="shared" si="461"/>
        <v>98520</v>
      </c>
      <c r="E228" s="904">
        <f t="shared" si="461"/>
        <v>242</v>
      </c>
      <c r="F228" s="903">
        <f t="shared" si="461"/>
        <v>2795981.5</v>
      </c>
      <c r="G228" s="904">
        <f t="shared" si="461"/>
        <v>4154</v>
      </c>
      <c r="H228" s="904">
        <f t="shared" si="461"/>
        <v>627</v>
      </c>
      <c r="I228" s="904">
        <f t="shared" si="461"/>
        <v>481</v>
      </c>
      <c r="J228" s="904">
        <f t="shared" si="461"/>
        <v>1108</v>
      </c>
      <c r="K228" s="896">
        <f t="shared" si="444"/>
        <v>0.0307766127732315</v>
      </c>
      <c r="L228" s="903">
        <f t="shared" si="445"/>
        <v>2.08618219650832</v>
      </c>
      <c r="M228" s="897">
        <f t="shared" si="446"/>
        <v>64.2056216363461</v>
      </c>
      <c r="N228" s="898">
        <f t="shared" si="447"/>
        <v>13.603719094576</v>
      </c>
      <c r="O228" s="896">
        <f t="shared" si="448"/>
        <v>0.00245635403978888</v>
      </c>
      <c r="P228" s="916">
        <f>F228/E228</f>
        <v>11553.6425619835</v>
      </c>
      <c r="Q228" s="903">
        <f>B228/E228</f>
        <v>849.300289256198</v>
      </c>
      <c r="R228" s="902">
        <f t="shared" si="451"/>
        <v>49.4777732306211</v>
      </c>
      <c r="S228" s="558">
        <f t="shared" si="452"/>
        <v>5262</v>
      </c>
      <c r="T228" s="917">
        <f t="shared" si="453"/>
        <v>-0.384489413966546</v>
      </c>
      <c r="U228" s="850">
        <f t="shared" si="454"/>
        <v>39.0594203724819</v>
      </c>
      <c r="V228" s="917">
        <f t="shared" si="455"/>
        <v>-0.194456753329141</v>
      </c>
      <c r="W228" s="917">
        <f t="shared" si="456"/>
        <v>0.48674686890146</v>
      </c>
      <c r="X228" s="917">
        <f t="shared" si="457"/>
        <v>-0.393222319602688</v>
      </c>
      <c r="Y228" s="917">
        <f t="shared" si="458"/>
        <v>-0.389098833538119</v>
      </c>
      <c r="Z228" s="917">
        <f t="shared" si="459"/>
        <v>0.327575605851878</v>
      </c>
      <c r="AA228" s="917">
        <f t="shared" si="460"/>
        <v>0.308739873772173</v>
      </c>
      <c r="AB228" s="917">
        <f>B228/B228</f>
        <v>1</v>
      </c>
      <c r="AC228" s="917">
        <f>B228/F228</f>
        <v>0.0735093097003682</v>
      </c>
    </row>
    <row r="229" spans="1:29">
      <c r="A229" s="37" t="s">
        <v>54</v>
      </c>
      <c r="B229" s="917">
        <f t="shared" ref="B229:R229" si="462">(B228-B220)/B220</f>
        <v>-0.194456753329141</v>
      </c>
      <c r="C229" s="917">
        <f t="shared" si="462"/>
        <v>-0.342012950361333</v>
      </c>
      <c r="D229" s="917">
        <f t="shared" si="462"/>
        <v>-0.296014176896803</v>
      </c>
      <c r="E229" s="917">
        <f t="shared" si="462"/>
        <v>-0.387341772151899</v>
      </c>
      <c r="F229" s="917">
        <f t="shared" si="462"/>
        <v>-0.389098833538119</v>
      </c>
      <c r="G229" s="917">
        <f t="shared" si="462"/>
        <v>-0.393222319602688</v>
      </c>
      <c r="H229" s="917">
        <f t="shared" si="462"/>
        <v>-0.415111940298507</v>
      </c>
      <c r="I229" s="917">
        <f t="shared" si="462"/>
        <v>-0.237717908082409</v>
      </c>
      <c r="J229" s="917">
        <f t="shared" si="462"/>
        <v>-0.349383440986494</v>
      </c>
      <c r="K229" s="917">
        <f t="shared" si="462"/>
        <v>0.0699083264477476</v>
      </c>
      <c r="L229" s="917">
        <f t="shared" si="462"/>
        <v>0.144260608999189</v>
      </c>
      <c r="M229" s="917">
        <f t="shared" si="462"/>
        <v>0.224253953194403</v>
      </c>
      <c r="N229" s="917">
        <f t="shared" si="462"/>
        <v>-0.241628343373733</v>
      </c>
      <c r="O229" s="917">
        <f t="shared" si="462"/>
        <v>-0.129729310247357</v>
      </c>
      <c r="P229" s="917">
        <f t="shared" si="462"/>
        <v>-0.00286793077502898</v>
      </c>
      <c r="Q229" s="917">
        <f t="shared" si="462"/>
        <v>0.314832985268551</v>
      </c>
      <c r="R229" s="917">
        <f t="shared" si="462"/>
        <v>0.327575605851878</v>
      </c>
    </row>
    <row r="231" ht="41.4" spans="1:29">
      <c r="A231" s="868" t="s">
        <v>29</v>
      </c>
      <c r="B231" s="869" t="s">
        <v>1</v>
      </c>
      <c r="C231" s="870" t="s">
        <v>2</v>
      </c>
      <c r="D231" s="870" t="s">
        <v>3</v>
      </c>
      <c r="E231" s="871" t="s">
        <v>4</v>
      </c>
      <c r="F231" s="869" t="s">
        <v>5</v>
      </c>
      <c r="G231" s="871" t="s">
        <v>6</v>
      </c>
      <c r="H231" s="871" t="s">
        <v>7</v>
      </c>
      <c r="I231" s="871" t="s">
        <v>8</v>
      </c>
      <c r="J231" s="871" t="s">
        <v>34</v>
      </c>
      <c r="K231" s="879" t="s">
        <v>9</v>
      </c>
      <c r="L231" s="869" t="s">
        <v>10</v>
      </c>
      <c r="M231" s="880" t="s">
        <v>11</v>
      </c>
      <c r="N231" s="881" t="s">
        <v>12</v>
      </c>
      <c r="O231" s="879" t="s">
        <v>13</v>
      </c>
      <c r="P231" s="875" t="s">
        <v>14</v>
      </c>
      <c r="Q231" s="869" t="s">
        <v>15</v>
      </c>
      <c r="R231" s="912" t="s">
        <v>16</v>
      </c>
      <c r="S231" s="882" t="s">
        <v>35</v>
      </c>
      <c r="T231" s="882" t="s">
        <v>37</v>
      </c>
      <c r="U231" s="882" t="s">
        <v>36</v>
      </c>
      <c r="V231" s="882" t="s">
        <v>38</v>
      </c>
      <c r="W231" s="882" t="s">
        <v>39</v>
      </c>
      <c r="X231" s="882" t="s">
        <v>40</v>
      </c>
      <c r="Y231" s="882" t="s">
        <v>41</v>
      </c>
      <c r="Z231" s="882" t="s">
        <v>42</v>
      </c>
      <c r="AA231" s="882" t="s">
        <v>43</v>
      </c>
      <c r="AB231" s="37" t="s">
        <v>44</v>
      </c>
      <c r="AC231" s="37" t="s">
        <v>49</v>
      </c>
    </row>
    <row r="232" spans="1:29">
      <c r="A232" s="686" t="s">
        <v>19</v>
      </c>
      <c r="B232" s="685">
        <f>SUM(明星店铺!B1284:B1314)</f>
        <v>79255.02</v>
      </c>
      <c r="C232" s="1086">
        <f>SUM(明星店铺!C1284:C1314)</f>
        <v>201517</v>
      </c>
      <c r="D232" s="1086">
        <f>SUM(明星店铺!D1284:D1314)</f>
        <v>7976</v>
      </c>
      <c r="E232" s="1086">
        <f>SUM(明星店铺!E1284:E1314)</f>
        <v>356</v>
      </c>
      <c r="F232" s="685">
        <f>SUM(明星店铺!F1284:F1314)</f>
        <v>3291097</v>
      </c>
      <c r="G232" s="1086">
        <f>SUM(明星店铺!G1284:G1314)</f>
        <v>2584</v>
      </c>
      <c r="H232" s="1086">
        <f>SUM(明星店铺!H1284:H1314)</f>
        <v>228</v>
      </c>
      <c r="I232" s="1086">
        <f>SUM(明星店铺!I1284:I1314)</f>
        <v>391</v>
      </c>
      <c r="J232" s="1086">
        <f t="shared" ref="J232:J235" si="463">H232+I232</f>
        <v>619</v>
      </c>
      <c r="K232" s="688">
        <f t="shared" ref="K232:K236" si="464">D232/C232</f>
        <v>0.0395797873132292</v>
      </c>
      <c r="L232" s="685">
        <f t="shared" ref="L232:L236" si="465">B232/D232</f>
        <v>9.93668756268806</v>
      </c>
      <c r="M232" s="886">
        <f t="shared" ref="M232:M236" si="466">(B232/C232)*1000</f>
        <v>393.291980329203</v>
      </c>
      <c r="N232" s="887">
        <f t="shared" ref="N232:N236" si="467">F232/B232</f>
        <v>41.5254074757662</v>
      </c>
      <c r="O232" s="688">
        <f t="shared" ref="O232:O236" si="468">E232/D232</f>
        <v>0.0446339017051153</v>
      </c>
      <c r="P232" s="915">
        <f t="shared" ref="P232:P235" si="469">IF(E232=0,"0",F232/E232)</f>
        <v>9244.65449438202</v>
      </c>
      <c r="Q232" s="685">
        <f t="shared" ref="Q232:Q235" si="470">IF(E232=0,"0",B232/E232)</f>
        <v>222.626460674157</v>
      </c>
      <c r="R232" s="902">
        <f t="shared" ref="R232:R236" si="471">B232/G232</f>
        <v>30.6714473684211</v>
      </c>
      <c r="S232" s="558">
        <f t="shared" ref="S232:S236" si="472">G232+J232</f>
        <v>3203</v>
      </c>
      <c r="T232" s="917">
        <f t="shared" ref="T232:T236" si="473">(S232-S224)/S224</f>
        <v>1.50822239624119</v>
      </c>
      <c r="U232" s="850">
        <f t="shared" ref="U232:U236" si="474">B232/S232</f>
        <v>24.7439962535123</v>
      </c>
      <c r="V232" s="917">
        <f t="shared" ref="V232:V236" si="475">(B232-B224)/B224</f>
        <v>0.3563372963826</v>
      </c>
      <c r="W232" s="917">
        <f t="shared" ref="W232:W236" si="476">D232/$D$132</f>
        <v>0.0394061411526395</v>
      </c>
      <c r="X232" s="917">
        <f t="shared" ref="X232:X236" si="477">(G232-G224)/G224</f>
        <v>1.53333333333333</v>
      </c>
      <c r="Y232" s="917">
        <f t="shared" ref="Y232:Y236" si="478">(F232-F224)/F224</f>
        <v>3.01169830870029</v>
      </c>
      <c r="Z232" s="917">
        <f t="shared" ref="Z232:Z236" si="479">(R232-R224)/R224</f>
        <v>-0.464603698796342</v>
      </c>
      <c r="AA232" s="917">
        <f t="shared" ref="AA232:AA236" si="480">(U232-U224)/U224</f>
        <v>-0.459243606780962</v>
      </c>
      <c r="AB232" s="917">
        <f>B232/B236</f>
        <v>0.253872121452674</v>
      </c>
    </row>
    <row r="233" spans="1:29">
      <c r="A233" s="686" t="s">
        <v>20</v>
      </c>
      <c r="B233" s="685">
        <f>SUM(直通车!B1284:B1314)</f>
        <v>73347.35</v>
      </c>
      <c r="C233" s="1086">
        <f>SUM(直通车!C1284:C1314)</f>
        <v>300603</v>
      </c>
      <c r="D233" s="1086">
        <f>SUM(直通车!D1284:D1314)</f>
        <v>29125</v>
      </c>
      <c r="E233" s="1086">
        <f>SUM(直通车!E1284:E1314)</f>
        <v>244</v>
      </c>
      <c r="F233" s="685">
        <f>SUM(直通车!F1284:F1314)</f>
        <v>1956483</v>
      </c>
      <c r="G233" s="1086">
        <f>SUM(直通车!G1284:G1314)</f>
        <v>2001</v>
      </c>
      <c r="H233" s="1086">
        <f>SUM(直通车!H1284:H1314)</f>
        <v>199</v>
      </c>
      <c r="I233" s="1086">
        <f>SUM(直通车!I1284:I1314)</f>
        <v>142</v>
      </c>
      <c r="J233" s="1086">
        <f t="shared" si="463"/>
        <v>341</v>
      </c>
      <c r="K233" s="688">
        <f t="shared" si="464"/>
        <v>0.0968885872729148</v>
      </c>
      <c r="L233" s="685">
        <f t="shared" si="465"/>
        <v>2.51836394849785</v>
      </c>
      <c r="M233" s="886">
        <f t="shared" si="466"/>
        <v>244.000725208997</v>
      </c>
      <c r="N233" s="887">
        <f t="shared" si="467"/>
        <v>26.6742152238629</v>
      </c>
      <c r="O233" s="688">
        <f t="shared" si="468"/>
        <v>0.00837768240343348</v>
      </c>
      <c r="P233" s="915">
        <f t="shared" si="469"/>
        <v>8018.37295081967</v>
      </c>
      <c r="Q233" s="685">
        <f t="shared" si="470"/>
        <v>300.603893442623</v>
      </c>
      <c r="R233" s="902">
        <f t="shared" si="471"/>
        <v>36.6553473263368</v>
      </c>
      <c r="S233" s="558">
        <f t="shared" si="472"/>
        <v>2342</v>
      </c>
      <c r="T233" s="917">
        <f t="shared" si="473"/>
        <v>0.797390636991558</v>
      </c>
      <c r="U233" s="850">
        <f t="shared" si="474"/>
        <v>31.3182536293766</v>
      </c>
      <c r="V233" s="917">
        <f t="shared" si="475"/>
        <v>0.31601601811736</v>
      </c>
      <c r="W233" s="917">
        <f t="shared" si="476"/>
        <v>0.143894666633729</v>
      </c>
      <c r="X233" s="917">
        <f t="shared" si="477"/>
        <v>0.804328223624887</v>
      </c>
      <c r="Y233" s="917">
        <f t="shared" si="478"/>
        <v>1.98197766355105</v>
      </c>
      <c r="Z233" s="917">
        <f t="shared" si="479"/>
        <v>-0.270633801053397</v>
      </c>
      <c r="AA233" s="917">
        <f t="shared" si="480"/>
        <v>-0.267818585991921</v>
      </c>
      <c r="AB233" s="917">
        <f>B233/B236</f>
        <v>0.234948490927537</v>
      </c>
    </row>
    <row r="234" spans="1:29">
      <c r="A234" s="686" t="s">
        <v>21</v>
      </c>
      <c r="B234" s="685">
        <f>SUM(引力魔方!B1183:B1213)</f>
        <v>54603.44</v>
      </c>
      <c r="C234" s="1086">
        <f>SUM(引力魔方!C1183:C1213)</f>
        <v>1898346</v>
      </c>
      <c r="D234" s="1086">
        <f>SUM(引力魔方!D1183:D1213)</f>
        <v>38203</v>
      </c>
      <c r="E234" s="1086">
        <f>SUM(引力魔方!E1183:E1213)</f>
        <v>502</v>
      </c>
      <c r="F234" s="685">
        <f>SUM(引力魔方!F1183:F1213)</f>
        <v>4169134</v>
      </c>
      <c r="G234" s="1086">
        <f>SUM(引力魔方!G1183:G1213)</f>
        <v>1797</v>
      </c>
      <c r="H234" s="1086">
        <f>SUM(引力魔方!H1183:H1213)</f>
        <v>368</v>
      </c>
      <c r="I234" s="1086">
        <f>SUM(引力魔方!I1183:I1213)</f>
        <v>109</v>
      </c>
      <c r="J234" s="1086">
        <f t="shared" si="463"/>
        <v>477</v>
      </c>
      <c r="K234" s="688">
        <f t="shared" si="464"/>
        <v>0.0201243608910072</v>
      </c>
      <c r="L234" s="685">
        <f t="shared" si="465"/>
        <v>1.42929717561448</v>
      </c>
      <c r="M234" s="886">
        <f t="shared" si="466"/>
        <v>28.7636921825631</v>
      </c>
      <c r="N234" s="887">
        <f t="shared" si="467"/>
        <v>76.3529550519161</v>
      </c>
      <c r="O234" s="688">
        <f t="shared" si="468"/>
        <v>0.013140329293511</v>
      </c>
      <c r="P234" s="915">
        <f t="shared" si="469"/>
        <v>8305.04780876494</v>
      </c>
      <c r="Q234" s="685">
        <f t="shared" si="470"/>
        <v>108.771792828685</v>
      </c>
      <c r="R234" s="902">
        <f t="shared" si="471"/>
        <v>30.3858875904285</v>
      </c>
      <c r="S234" s="558">
        <f t="shared" si="472"/>
        <v>2274</v>
      </c>
      <c r="T234" s="917">
        <f t="shared" si="473"/>
        <v>1.12324929971989</v>
      </c>
      <c r="U234" s="850">
        <f t="shared" si="474"/>
        <v>24.0120668425682</v>
      </c>
      <c r="V234" s="917">
        <f t="shared" si="475"/>
        <v>1.05800960042454</v>
      </c>
      <c r="W234" s="917">
        <f t="shared" si="476"/>
        <v>0.188745337318742</v>
      </c>
      <c r="X234" s="917">
        <f t="shared" si="477"/>
        <v>1.38013245033113</v>
      </c>
      <c r="Y234" s="917">
        <f t="shared" si="478"/>
        <v>10.3230761709732</v>
      </c>
      <c r="Z234" s="917">
        <f t="shared" si="479"/>
        <v>-0.135338203494418</v>
      </c>
      <c r="AA234" s="917">
        <f t="shared" si="480"/>
        <v>-0.0307263491404185</v>
      </c>
      <c r="AB234" s="917">
        <f>B234/B236</f>
        <v>0.174907421024104</v>
      </c>
    </row>
    <row r="235" spans="1:29">
      <c r="A235" s="686" t="s">
        <v>27</v>
      </c>
      <c r="B235" s="685">
        <f>SUM(万相台!B772:B802)</f>
        <v>104979</v>
      </c>
      <c r="C235" s="1086">
        <f>SUM(万相台!C772:C802)</f>
        <v>1065242</v>
      </c>
      <c r="D235" s="1086">
        <f>SUM(万相台!D772:D802)</f>
        <v>47566</v>
      </c>
      <c r="E235" s="1086">
        <f>SUM(万相台!E772:E802)</f>
        <v>770</v>
      </c>
      <c r="F235" s="685">
        <f>SUM(万相台!F772:F802)</f>
        <v>6719900</v>
      </c>
      <c r="G235" s="1086">
        <f>SUM(万相台!G772:G802)</f>
        <v>2686</v>
      </c>
      <c r="H235" s="1086">
        <f>SUM(万相台!H772:H802)</f>
        <v>357</v>
      </c>
      <c r="I235" s="1086">
        <f>SUM(万相台!I772:I802)</f>
        <v>242</v>
      </c>
      <c r="J235" s="1086">
        <f t="shared" si="463"/>
        <v>599</v>
      </c>
      <c r="K235" s="688">
        <f t="shared" si="464"/>
        <v>0.0446527643483828</v>
      </c>
      <c r="L235" s="685">
        <f t="shared" si="465"/>
        <v>2.20701761762604</v>
      </c>
      <c r="M235" s="886">
        <f t="shared" si="466"/>
        <v>98.5494375925846</v>
      </c>
      <c r="N235" s="887">
        <f t="shared" si="467"/>
        <v>64.0118499890454</v>
      </c>
      <c r="O235" s="688">
        <f t="shared" si="468"/>
        <v>0.0161880334692848</v>
      </c>
      <c r="P235" s="915">
        <f t="shared" si="469"/>
        <v>8727.14285714286</v>
      </c>
      <c r="Q235" s="685">
        <f t="shared" si="470"/>
        <v>136.336363636364</v>
      </c>
      <c r="R235" s="902">
        <f t="shared" si="471"/>
        <v>39.0837676842889</v>
      </c>
      <c r="S235" s="558">
        <f t="shared" si="472"/>
        <v>3285</v>
      </c>
      <c r="T235" s="917">
        <f t="shared" si="473"/>
        <v>1.0391061452514</v>
      </c>
      <c r="U235" s="850">
        <f t="shared" si="474"/>
        <v>31.9570776255708</v>
      </c>
      <c r="V235" s="917">
        <f t="shared" si="475"/>
        <v>0.619271644737857</v>
      </c>
      <c r="W235" s="917">
        <f t="shared" si="476"/>
        <v>0.235004075986265</v>
      </c>
      <c r="X235" s="917">
        <f t="shared" si="477"/>
        <v>1.11496062992126</v>
      </c>
      <c r="Y235" s="917">
        <f t="shared" si="478"/>
        <v>6.06386798779783</v>
      </c>
      <c r="Z235" s="917">
        <f t="shared" si="479"/>
        <v>-0.234372677283292</v>
      </c>
      <c r="AA235" s="917">
        <f t="shared" si="480"/>
        <v>-0.205891439977873</v>
      </c>
      <c r="AB235" s="917">
        <f>B235/B236</f>
        <v>0.336271966595684</v>
      </c>
    </row>
    <row r="236" spans="1:29">
      <c r="A236" s="891" t="s">
        <v>22</v>
      </c>
      <c r="B236" s="903">
        <f t="shared" ref="B236:J236" si="481">SUM(B232:B235)</f>
        <v>312184.81</v>
      </c>
      <c r="C236" s="904">
        <f t="shared" si="481"/>
        <v>3465708</v>
      </c>
      <c r="D236" s="904">
        <f t="shared" si="481"/>
        <v>122870</v>
      </c>
      <c r="E236" s="904">
        <f t="shared" si="481"/>
        <v>1872</v>
      </c>
      <c r="F236" s="903">
        <f t="shared" si="481"/>
        <v>16136614</v>
      </c>
      <c r="G236" s="904">
        <f t="shared" si="481"/>
        <v>9068</v>
      </c>
      <c r="H236" s="904">
        <f t="shared" si="481"/>
        <v>1152</v>
      </c>
      <c r="I236" s="904">
        <f t="shared" si="481"/>
        <v>884</v>
      </c>
      <c r="J236" s="904">
        <f t="shared" si="481"/>
        <v>2036</v>
      </c>
      <c r="K236" s="896">
        <f t="shared" si="464"/>
        <v>0.0354530733691355</v>
      </c>
      <c r="L236" s="903">
        <f t="shared" si="465"/>
        <v>2.54077325628713</v>
      </c>
      <c r="M236" s="897">
        <f t="shared" si="466"/>
        <v>90.0782206694851</v>
      </c>
      <c r="N236" s="898">
        <f t="shared" si="467"/>
        <v>51.6892990405267</v>
      </c>
      <c r="O236" s="896">
        <f t="shared" si="468"/>
        <v>0.0152356148775128</v>
      </c>
      <c r="P236" s="916">
        <f>F236/E236</f>
        <v>8619.98611111111</v>
      </c>
      <c r="Q236" s="903">
        <f>B236/E236</f>
        <v>166.765389957265</v>
      </c>
      <c r="R236" s="902">
        <f t="shared" si="471"/>
        <v>34.4270853550948</v>
      </c>
      <c r="S236" s="558">
        <f t="shared" si="472"/>
        <v>11104</v>
      </c>
      <c r="T236" s="917">
        <f t="shared" si="473"/>
        <v>1.11022424933485</v>
      </c>
      <c r="U236" s="850">
        <f t="shared" si="474"/>
        <v>28.1146262608069</v>
      </c>
      <c r="V236" s="917">
        <f t="shared" si="475"/>
        <v>0.518920801455082</v>
      </c>
      <c r="W236" s="917">
        <f t="shared" si="476"/>
        <v>0.607050221091376</v>
      </c>
      <c r="X236" s="917">
        <f t="shared" si="477"/>
        <v>1.1829561868079</v>
      </c>
      <c r="Y236" s="917">
        <f t="shared" si="478"/>
        <v>4.7713593598527</v>
      </c>
      <c r="Z236" s="917">
        <f t="shared" si="479"/>
        <v>-0.30419089002598</v>
      </c>
      <c r="AA236" s="917">
        <f t="shared" si="480"/>
        <v>-0.280208820492016</v>
      </c>
      <c r="AB236" s="917">
        <f>B236/B236</f>
        <v>1</v>
      </c>
      <c r="AC236" s="917">
        <f>B236/F236</f>
        <v>0.019346364113314</v>
      </c>
    </row>
    <row r="237" spans="1:29">
      <c r="A237" s="37" t="s">
        <v>55</v>
      </c>
      <c r="B237" s="917">
        <f t="shared" ref="B237:R237" si="482">(B236-B228)/B228</f>
        <v>0.518920801455082</v>
      </c>
      <c r="C237" s="917">
        <f t="shared" si="482"/>
        <v>0.0826507622928389</v>
      </c>
      <c r="D237" s="917">
        <f t="shared" si="482"/>
        <v>0.247157937474624</v>
      </c>
      <c r="E237" s="917">
        <f t="shared" si="482"/>
        <v>6.73553719008264</v>
      </c>
      <c r="F237" s="917">
        <f t="shared" si="482"/>
        <v>4.7713593598527</v>
      </c>
      <c r="G237" s="917">
        <f t="shared" si="482"/>
        <v>1.1829561868079</v>
      </c>
      <c r="H237" s="917">
        <f t="shared" si="482"/>
        <v>0.837320574162679</v>
      </c>
      <c r="I237" s="917">
        <f t="shared" si="482"/>
        <v>0.837837837837838</v>
      </c>
      <c r="J237" s="917">
        <f t="shared" si="482"/>
        <v>0.837545126353791</v>
      </c>
      <c r="K237" s="917">
        <f t="shared" si="482"/>
        <v>0.15194851461924</v>
      </c>
      <c r="L237" s="917">
        <f t="shared" si="482"/>
        <v>0.217905732557621</v>
      </c>
      <c r="M237" s="917">
        <f t="shared" si="482"/>
        <v>0.402964699566009</v>
      </c>
      <c r="N237" s="917">
        <f t="shared" si="482"/>
        <v>2.79964469136502</v>
      </c>
      <c r="O237" s="917">
        <f t="shared" si="482"/>
        <v>5.20253213939074</v>
      </c>
      <c r="P237" s="917">
        <f t="shared" si="482"/>
        <v>-0.253916151130155</v>
      </c>
      <c r="Q237" s="917">
        <f t="shared" si="482"/>
        <v>-0.803643785281982</v>
      </c>
      <c r="R237" s="917">
        <f t="shared" si="482"/>
        <v>-0.30419089002598</v>
      </c>
    </row>
    <row r="239" ht="41.4" spans="1:29">
      <c r="A239" s="868" t="s">
        <v>30</v>
      </c>
      <c r="B239" s="869" t="s">
        <v>1</v>
      </c>
      <c r="C239" s="870" t="s">
        <v>2</v>
      </c>
      <c r="D239" s="870" t="s">
        <v>3</v>
      </c>
      <c r="E239" s="871" t="s">
        <v>4</v>
      </c>
      <c r="F239" s="869" t="s">
        <v>5</v>
      </c>
      <c r="G239" s="871" t="s">
        <v>6</v>
      </c>
      <c r="H239" s="871" t="s">
        <v>7</v>
      </c>
      <c r="I239" s="871" t="s">
        <v>8</v>
      </c>
      <c r="J239" s="871" t="s">
        <v>34</v>
      </c>
      <c r="K239" s="879" t="s">
        <v>9</v>
      </c>
      <c r="L239" s="869" t="s">
        <v>10</v>
      </c>
      <c r="M239" s="880" t="s">
        <v>11</v>
      </c>
      <c r="N239" s="881" t="s">
        <v>12</v>
      </c>
      <c r="O239" s="879" t="s">
        <v>13</v>
      </c>
      <c r="P239" s="875" t="s">
        <v>14</v>
      </c>
      <c r="Q239" s="869" t="s">
        <v>15</v>
      </c>
      <c r="R239" s="912" t="s">
        <v>16</v>
      </c>
      <c r="S239" s="882" t="s">
        <v>35</v>
      </c>
      <c r="T239" s="882" t="s">
        <v>37</v>
      </c>
      <c r="U239" s="882" t="s">
        <v>36</v>
      </c>
      <c r="V239" s="882" t="s">
        <v>38</v>
      </c>
      <c r="W239" s="882" t="s">
        <v>39</v>
      </c>
      <c r="X239" s="882" t="s">
        <v>40</v>
      </c>
      <c r="Y239" s="882" t="s">
        <v>41</v>
      </c>
      <c r="Z239" s="882" t="s">
        <v>42</v>
      </c>
      <c r="AA239" s="882" t="s">
        <v>43</v>
      </c>
      <c r="AB239" s="37" t="s">
        <v>44</v>
      </c>
      <c r="AC239" s="37" t="s">
        <v>49</v>
      </c>
    </row>
    <row r="240" spans="1:29">
      <c r="A240" s="686" t="s">
        <v>19</v>
      </c>
      <c r="B240" s="685">
        <f>SUM(明星店铺!B1315:B1344)</f>
        <v>54632.6</v>
      </c>
      <c r="C240" s="1086">
        <f>SUM(明星店铺!C1315:C1344)</f>
        <v>146148</v>
      </c>
      <c r="D240" s="1086">
        <f>SUM(明星店铺!D1315:D1344)</f>
        <v>4030</v>
      </c>
      <c r="E240" s="1086">
        <f>SUM(明星店铺!E1315:E1344)</f>
        <v>166</v>
      </c>
      <c r="F240" s="685">
        <f>SUM(明星店铺!F1315:F1344)</f>
        <v>1444669</v>
      </c>
      <c r="G240" s="1086">
        <f>SUM(明星店铺!G1315:G1344)</f>
        <v>982</v>
      </c>
      <c r="H240" s="1086">
        <f>SUM(明星店铺!H1315:H1344)</f>
        <v>96</v>
      </c>
      <c r="I240" s="1086">
        <f>SUM(明星店铺!I1315:I1344)</f>
        <v>180</v>
      </c>
      <c r="J240" s="1086">
        <f t="shared" ref="J240:J243" si="483">H240+I240</f>
        <v>276</v>
      </c>
      <c r="K240" s="688">
        <f t="shared" ref="K240:K244" si="484">D240/C240</f>
        <v>0.0275747872020144</v>
      </c>
      <c r="L240" s="685">
        <f t="shared" ref="L240:L244" si="485">B240/D240</f>
        <v>13.556476426799</v>
      </c>
      <c r="M240" s="886">
        <f t="shared" ref="M240:M244" si="486">(B240/C240)*1000</f>
        <v>373.816952678107</v>
      </c>
      <c r="N240" s="887">
        <f t="shared" ref="N240:N244" si="487">F240/B240</f>
        <v>26.4433506734075</v>
      </c>
      <c r="O240" s="688">
        <f t="shared" ref="O240:O244" si="488">E240/D240</f>
        <v>0.0411910669975186</v>
      </c>
      <c r="P240" s="915">
        <f t="shared" ref="P240:P243" si="489">IF(E240=0,"0",F240/E240)</f>
        <v>8702.82530120482</v>
      </c>
      <c r="Q240" s="685">
        <f t="shared" ref="Q240:Q243" si="490">IF(E240=0,"0",B240/E240)</f>
        <v>329.112048192771</v>
      </c>
      <c r="R240" s="902">
        <f t="shared" ref="R240:R244" si="491">B240/G240</f>
        <v>55.6340122199593</v>
      </c>
      <c r="S240" s="558">
        <f t="shared" ref="S240:S244" si="492">G240+J240</f>
        <v>1258</v>
      </c>
      <c r="T240" s="917">
        <f t="shared" ref="T240:T244" si="493">(S240-S232)/S232</f>
        <v>-0.607243209491102</v>
      </c>
      <c r="U240" s="850">
        <f t="shared" ref="U240:U244" si="494">B240/S240</f>
        <v>43.4281399046105</v>
      </c>
      <c r="V240" s="917">
        <f t="shared" ref="V240:V244" si="495">(B240-B232)/B232</f>
        <v>-0.310673317601838</v>
      </c>
      <c r="W240" s="917">
        <f t="shared" ref="W240:W244" si="496">D240/$D$132</f>
        <v>0.0199105753316371</v>
      </c>
      <c r="X240" s="917">
        <f t="shared" ref="X240:X244" si="497">(G240-G232)/G232</f>
        <v>-0.619969040247678</v>
      </c>
      <c r="Y240" s="917">
        <f t="shared" ref="Y240:Y244" si="498">(F240-F232)/F232</f>
        <v>-0.561037246851126</v>
      </c>
      <c r="Z240" s="917">
        <f t="shared" ref="Z240:Z244" si="499">(R240-R232)/R232</f>
        <v>0.813869803784981</v>
      </c>
      <c r="AA240" s="917">
        <f t="shared" ref="AA240:AA244" si="500">(U240-U232)/U232</f>
        <v>0.755098063371474</v>
      </c>
      <c r="AB240" s="917">
        <f>B240/B244</f>
        <v>0.185143577213059</v>
      </c>
    </row>
    <row r="241" spans="1:29">
      <c r="A241" s="686" t="s">
        <v>20</v>
      </c>
      <c r="B241" s="685">
        <f>SUM(直通车!B1315:B1344)</f>
        <v>67607.21</v>
      </c>
      <c r="C241" s="1086">
        <f>SUM(直通车!C1315:C1344)</f>
        <v>259676</v>
      </c>
      <c r="D241" s="1086">
        <f>SUM(直通车!D1315:D1344)</f>
        <v>19516</v>
      </c>
      <c r="E241" s="1086">
        <f>SUM(直通车!E1315:E1344)</f>
        <v>78</v>
      </c>
      <c r="F241" s="685">
        <f>SUM(直通车!F1315:F1344)</f>
        <v>653560.01</v>
      </c>
      <c r="G241" s="1086">
        <f>SUM(直通车!G1315:G1344)</f>
        <v>729</v>
      </c>
      <c r="H241" s="1086">
        <f>SUM(直通车!H1315:H1344)</f>
        <v>67</v>
      </c>
      <c r="I241" s="1086">
        <f>SUM(直通车!I1315:I1344)</f>
        <v>60</v>
      </c>
      <c r="J241" s="1086">
        <f t="shared" si="483"/>
        <v>127</v>
      </c>
      <c r="K241" s="688">
        <f t="shared" si="484"/>
        <v>0.0751551933948459</v>
      </c>
      <c r="L241" s="685">
        <f t="shared" si="485"/>
        <v>3.46419399467104</v>
      </c>
      <c r="M241" s="886">
        <f t="shared" si="486"/>
        <v>260.352169626766</v>
      </c>
      <c r="N241" s="887">
        <f t="shared" si="487"/>
        <v>9.66701643212314</v>
      </c>
      <c r="O241" s="688">
        <f t="shared" si="488"/>
        <v>0.0039967206394753</v>
      </c>
      <c r="P241" s="915">
        <f t="shared" si="489"/>
        <v>8378.97448717949</v>
      </c>
      <c r="Q241" s="685">
        <f t="shared" si="490"/>
        <v>866.759102564103</v>
      </c>
      <c r="R241" s="902">
        <f t="shared" si="491"/>
        <v>92.7396570644719</v>
      </c>
      <c r="S241" s="558">
        <f t="shared" si="492"/>
        <v>856</v>
      </c>
      <c r="T241" s="917">
        <f t="shared" si="493"/>
        <v>-0.634500426985482</v>
      </c>
      <c r="U241" s="850">
        <f t="shared" si="494"/>
        <v>78.9803855140187</v>
      </c>
      <c r="V241" s="917">
        <f t="shared" si="495"/>
        <v>-0.078259678093346</v>
      </c>
      <c r="W241" s="917">
        <f t="shared" si="496"/>
        <v>0.0964205429707764</v>
      </c>
      <c r="X241" s="917">
        <f t="shared" si="497"/>
        <v>-0.63568215892054</v>
      </c>
      <c r="Y241" s="917">
        <f t="shared" si="498"/>
        <v>-0.66595160295285</v>
      </c>
      <c r="Z241" s="917">
        <f t="shared" si="499"/>
        <v>1.53004442268205</v>
      </c>
      <c r="AA241" s="917">
        <f t="shared" si="500"/>
        <v>1.52186429194554</v>
      </c>
      <c r="AB241" s="917">
        <f>B241/B244</f>
        <v>0.229113033331646</v>
      </c>
    </row>
    <row r="242" spans="1:29">
      <c r="A242" s="686" t="s">
        <v>21</v>
      </c>
      <c r="B242" s="685">
        <f>SUM(引力魔方!B1214:B1243)</f>
        <v>55891.53</v>
      </c>
      <c r="C242" s="1086">
        <f>SUM(引力魔方!C1214:C1243)</f>
        <v>1598971</v>
      </c>
      <c r="D242" s="1086">
        <f>SUM(引力魔方!D1214:D1243)</f>
        <v>34595</v>
      </c>
      <c r="E242" s="1086">
        <f>SUM(引力魔方!E1214:E1243)</f>
        <v>161</v>
      </c>
      <c r="F242" s="685">
        <f>SUM(引力魔方!F1214:F1243)</f>
        <v>1489400</v>
      </c>
      <c r="G242" s="1086">
        <f>SUM(引力魔方!G1214:G1243)</f>
        <v>1043</v>
      </c>
      <c r="H242" s="1086">
        <f>SUM(引力魔方!H1214:H1243)</f>
        <v>376</v>
      </c>
      <c r="I242" s="1086">
        <f>SUM(引力魔方!I1214:I1243)</f>
        <v>73</v>
      </c>
      <c r="J242" s="1086">
        <f t="shared" si="483"/>
        <v>449</v>
      </c>
      <c r="K242" s="688">
        <f t="shared" si="484"/>
        <v>0.0216357895171332</v>
      </c>
      <c r="L242" s="685">
        <f t="shared" si="485"/>
        <v>1.61559560630149</v>
      </c>
      <c r="M242" s="886">
        <f t="shared" si="486"/>
        <v>34.9546864827442</v>
      </c>
      <c r="N242" s="887">
        <f t="shared" si="487"/>
        <v>26.6480448826504</v>
      </c>
      <c r="O242" s="688">
        <f t="shared" si="488"/>
        <v>0.00465385171267524</v>
      </c>
      <c r="P242" s="915">
        <f t="shared" si="489"/>
        <v>9250.93167701863</v>
      </c>
      <c r="Q242" s="685">
        <f t="shared" si="490"/>
        <v>347.152360248447</v>
      </c>
      <c r="R242" s="902">
        <f t="shared" si="491"/>
        <v>53.5872770853308</v>
      </c>
      <c r="S242" s="558">
        <f t="shared" si="492"/>
        <v>1492</v>
      </c>
      <c r="T242" s="917">
        <f t="shared" si="493"/>
        <v>-0.343887423043096</v>
      </c>
      <c r="U242" s="850">
        <f t="shared" si="494"/>
        <v>37.4608109919571</v>
      </c>
      <c r="V242" s="917">
        <f t="shared" si="495"/>
        <v>0.0235899056909233</v>
      </c>
      <c r="W242" s="917">
        <f t="shared" si="496"/>
        <v>0.170919690719103</v>
      </c>
      <c r="X242" s="917">
        <f t="shared" si="497"/>
        <v>-0.419588202559822</v>
      </c>
      <c r="Y242" s="917">
        <f t="shared" si="498"/>
        <v>-0.642755545875954</v>
      </c>
      <c r="Z242" s="917">
        <f t="shared" si="499"/>
        <v>0.763558063783882</v>
      </c>
      <c r="AA242" s="917">
        <f t="shared" si="500"/>
        <v>0.560082738298364</v>
      </c>
      <c r="AB242" s="917">
        <f>B242/B244</f>
        <v>0.189409945712102</v>
      </c>
    </row>
    <row r="243" spans="1:29">
      <c r="A243" s="686" t="s">
        <v>27</v>
      </c>
      <c r="B243" s="685">
        <f>SUM(万相台!B803:B832)</f>
        <v>116951</v>
      </c>
      <c r="C243" s="1086">
        <f>SUM(万相台!C803:C832)</f>
        <v>1365464</v>
      </c>
      <c r="D243" s="1086">
        <f>SUM(万相台!D803:D832)</f>
        <v>56510</v>
      </c>
      <c r="E243" s="1086">
        <f>SUM(万相台!E803:E832)</f>
        <v>395</v>
      </c>
      <c r="F243" s="685">
        <f>SUM(万相台!F803:F832)</f>
        <v>3434408</v>
      </c>
      <c r="G243" s="1086">
        <f>SUM(万相台!G803:G832)</f>
        <v>1823</v>
      </c>
      <c r="H243" s="1086">
        <f>SUM(万相台!H803:H832)</f>
        <v>245</v>
      </c>
      <c r="I243" s="1086">
        <f>SUM(万相台!I803:I832)</f>
        <v>177</v>
      </c>
      <c r="J243" s="1086">
        <f t="shared" si="483"/>
        <v>422</v>
      </c>
      <c r="K243" s="688">
        <f t="shared" si="484"/>
        <v>0.0413851994633326</v>
      </c>
      <c r="L243" s="685">
        <f t="shared" si="485"/>
        <v>2.06956290921961</v>
      </c>
      <c r="M243" s="886">
        <f t="shared" si="486"/>
        <v>85.6492737999684</v>
      </c>
      <c r="N243" s="887">
        <f t="shared" si="487"/>
        <v>29.3662132004002</v>
      </c>
      <c r="O243" s="688">
        <f t="shared" si="488"/>
        <v>0.00698991328968324</v>
      </c>
      <c r="P243" s="915">
        <f t="shared" si="489"/>
        <v>8694.70379746836</v>
      </c>
      <c r="Q243" s="685">
        <f t="shared" si="490"/>
        <v>296.078481012658</v>
      </c>
      <c r="R243" s="902">
        <f t="shared" si="491"/>
        <v>64.1530444322545</v>
      </c>
      <c r="S243" s="558">
        <f t="shared" si="492"/>
        <v>2245</v>
      </c>
      <c r="T243" s="917">
        <f t="shared" si="493"/>
        <v>-0.316590563165906</v>
      </c>
      <c r="U243" s="850">
        <f t="shared" si="494"/>
        <v>52.093986636971</v>
      </c>
      <c r="V243" s="917">
        <f t="shared" si="495"/>
        <v>0.114041855990246</v>
      </c>
      <c r="W243" s="917">
        <f t="shared" si="496"/>
        <v>0.279192707690027</v>
      </c>
      <c r="X243" s="917">
        <f t="shared" si="497"/>
        <v>-0.321295606850335</v>
      </c>
      <c r="Y243" s="917">
        <f t="shared" si="498"/>
        <v>-0.488919775591899</v>
      </c>
      <c r="Z243" s="917">
        <f t="shared" si="499"/>
        <v>0.641424259566539</v>
      </c>
      <c r="AA243" s="917">
        <f t="shared" si="500"/>
        <v>0.630123606649424</v>
      </c>
      <c r="AB243" s="917">
        <f>B243/B244</f>
        <v>0.396333443743194</v>
      </c>
    </row>
    <row r="244" spans="1:29">
      <c r="A244" s="891" t="s">
        <v>22</v>
      </c>
      <c r="B244" s="903">
        <f t="shared" ref="B244:J244" si="501">SUM(B240:B243)</f>
        <v>295082.34</v>
      </c>
      <c r="C244" s="904">
        <f t="shared" si="501"/>
        <v>3370259</v>
      </c>
      <c r="D244" s="904">
        <f t="shared" si="501"/>
        <v>114651</v>
      </c>
      <c r="E244" s="904">
        <f t="shared" si="501"/>
        <v>800</v>
      </c>
      <c r="F244" s="903">
        <f t="shared" si="501"/>
        <v>7022037.01</v>
      </c>
      <c r="G244" s="904">
        <f t="shared" si="501"/>
        <v>4577</v>
      </c>
      <c r="H244" s="904">
        <f t="shared" si="501"/>
        <v>784</v>
      </c>
      <c r="I244" s="904">
        <f t="shared" si="501"/>
        <v>490</v>
      </c>
      <c r="J244" s="904">
        <f t="shared" si="501"/>
        <v>1274</v>
      </c>
      <c r="K244" s="896">
        <f t="shared" si="484"/>
        <v>0.0340184537746209</v>
      </c>
      <c r="L244" s="903">
        <f t="shared" si="485"/>
        <v>2.57374414527566</v>
      </c>
      <c r="M244" s="897">
        <f t="shared" si="486"/>
        <v>87.5547962337613</v>
      </c>
      <c r="N244" s="898">
        <f t="shared" si="487"/>
        <v>23.7968731371725</v>
      </c>
      <c r="O244" s="896">
        <f t="shared" si="488"/>
        <v>0.00697769753425613</v>
      </c>
      <c r="P244" s="916">
        <f>F244/E244</f>
        <v>8777.5462625</v>
      </c>
      <c r="Q244" s="903">
        <f>B244/E244</f>
        <v>368.852925</v>
      </c>
      <c r="R244" s="902">
        <f t="shared" si="491"/>
        <v>64.4706882237273</v>
      </c>
      <c r="S244" s="558">
        <f t="shared" si="492"/>
        <v>5851</v>
      </c>
      <c r="T244" s="917">
        <f t="shared" si="493"/>
        <v>-0.473072766570605</v>
      </c>
      <c r="U244" s="850">
        <f t="shared" si="494"/>
        <v>50.432804648778</v>
      </c>
      <c r="V244" s="917">
        <f t="shared" si="495"/>
        <v>-0.0547831587321626</v>
      </c>
      <c r="W244" s="917">
        <f t="shared" si="496"/>
        <v>0.566443516711544</v>
      </c>
      <c r="X244" s="917">
        <f t="shared" si="497"/>
        <v>-0.495258050286723</v>
      </c>
      <c r="Y244" s="917">
        <f t="shared" si="498"/>
        <v>-0.564838260988334</v>
      </c>
      <c r="Z244" s="917">
        <f t="shared" si="499"/>
        <v>0.872673436009777</v>
      </c>
      <c r="AA244" s="917">
        <f t="shared" si="500"/>
        <v>0.793828030326109</v>
      </c>
      <c r="AB244" s="917">
        <f>B244/B244</f>
        <v>1</v>
      </c>
      <c r="AC244" s="917">
        <f>B244/F244</f>
        <v>0.0420223276493383</v>
      </c>
    </row>
    <row r="245" spans="1:29">
      <c r="A245" s="37" t="s">
        <v>56</v>
      </c>
      <c r="B245" s="917">
        <f t="shared" ref="B245:R245" si="502">(B244-B236)/B236</f>
        <v>-0.0547831587321626</v>
      </c>
      <c r="C245" s="917">
        <f t="shared" si="502"/>
        <v>-0.0275409815252756</v>
      </c>
      <c r="D245" s="917">
        <f t="shared" si="502"/>
        <v>-0.0668918369007895</v>
      </c>
      <c r="E245" s="917">
        <f t="shared" si="502"/>
        <v>-0.572649572649573</v>
      </c>
      <c r="F245" s="917">
        <f t="shared" si="502"/>
        <v>-0.564838260988334</v>
      </c>
      <c r="G245" s="917">
        <f t="shared" si="502"/>
        <v>-0.495258050286723</v>
      </c>
      <c r="H245" s="917">
        <f t="shared" si="502"/>
        <v>-0.319444444444444</v>
      </c>
      <c r="I245" s="917">
        <f t="shared" si="502"/>
        <v>-0.445701357466063</v>
      </c>
      <c r="J245" s="917">
        <f t="shared" si="502"/>
        <v>-0.37426326129666</v>
      </c>
      <c r="K245" s="917">
        <f t="shared" si="502"/>
        <v>-0.0404653097230097</v>
      </c>
      <c r="L245" s="917">
        <f t="shared" si="502"/>
        <v>0.0129767144340579</v>
      </c>
      <c r="M245" s="917">
        <f t="shared" si="502"/>
        <v>-0.028013702057713</v>
      </c>
      <c r="N245" s="917">
        <f t="shared" si="502"/>
        <v>-0.539617027529921</v>
      </c>
      <c r="O245" s="917">
        <f t="shared" si="502"/>
        <v>-0.542014051263862</v>
      </c>
      <c r="P245" s="917">
        <f t="shared" si="502"/>
        <v>0.018278469287299</v>
      </c>
      <c r="Q245" s="917">
        <f t="shared" si="502"/>
        <v>1.21180740856674</v>
      </c>
      <c r="R245" s="917">
        <f t="shared" si="502"/>
        <v>0.872673436009777</v>
      </c>
    </row>
    <row r="247" ht="41.4" spans="1:29">
      <c r="A247" s="868" t="s">
        <v>61</v>
      </c>
      <c r="B247" s="869" t="s">
        <v>1</v>
      </c>
      <c r="C247" s="870" t="s">
        <v>2</v>
      </c>
      <c r="D247" s="870" t="s">
        <v>3</v>
      </c>
      <c r="E247" s="871" t="s">
        <v>4</v>
      </c>
      <c r="F247" s="869" t="s">
        <v>5</v>
      </c>
      <c r="G247" s="871" t="s">
        <v>6</v>
      </c>
      <c r="H247" s="871" t="s">
        <v>7</v>
      </c>
      <c r="I247" s="871" t="s">
        <v>8</v>
      </c>
      <c r="J247" s="871" t="s">
        <v>34</v>
      </c>
      <c r="K247" s="879" t="s">
        <v>9</v>
      </c>
      <c r="L247" s="869" t="s">
        <v>10</v>
      </c>
      <c r="M247" s="880" t="s">
        <v>11</v>
      </c>
      <c r="N247" s="881" t="s">
        <v>12</v>
      </c>
      <c r="O247" s="879" t="s">
        <v>13</v>
      </c>
      <c r="P247" s="875" t="s">
        <v>14</v>
      </c>
      <c r="Q247" s="869" t="s">
        <v>15</v>
      </c>
      <c r="R247" s="912" t="s">
        <v>16</v>
      </c>
      <c r="S247" s="882" t="s">
        <v>35</v>
      </c>
      <c r="T247" s="882" t="s">
        <v>37</v>
      </c>
      <c r="U247" s="882" t="s">
        <v>36</v>
      </c>
      <c r="V247" s="882" t="s">
        <v>38</v>
      </c>
      <c r="W247" s="882" t="s">
        <v>39</v>
      </c>
      <c r="X247" s="882" t="s">
        <v>40</v>
      </c>
      <c r="Y247" s="882" t="s">
        <v>41</v>
      </c>
      <c r="Z247" s="882" t="s">
        <v>42</v>
      </c>
      <c r="AA247" s="882" t="s">
        <v>43</v>
      </c>
      <c r="AB247" s="37" t="s">
        <v>44</v>
      </c>
      <c r="AC247" s="37" t="s">
        <v>49</v>
      </c>
    </row>
    <row r="248" spans="1:29">
      <c r="A248" s="686" t="s">
        <v>19</v>
      </c>
      <c r="B248" s="685">
        <f>SUM(明星店铺!B1345:B1375)</f>
        <v>51451.69</v>
      </c>
      <c r="C248" s="1086">
        <f>SUM(明星店铺!C1345:C1375)</f>
        <v>157029</v>
      </c>
      <c r="D248" s="1086">
        <f>SUM(明星店铺!D1345:D1375)</f>
        <v>4925</v>
      </c>
      <c r="E248" s="1086">
        <f>SUM(明星店铺!E1345:E1375)</f>
        <v>30</v>
      </c>
      <c r="F248" s="685">
        <f>SUM(明星店铺!F1345:F1375)</f>
        <v>328446</v>
      </c>
      <c r="G248" s="1086">
        <f>SUM(明星店铺!G1345:G1375)</f>
        <v>904</v>
      </c>
      <c r="H248" s="1086">
        <f>SUM(明星店铺!H1345:H1375)</f>
        <v>71</v>
      </c>
      <c r="I248" s="1086">
        <f>SUM(明星店铺!I1345:I1375)</f>
        <v>172</v>
      </c>
      <c r="J248" s="1086">
        <f t="shared" ref="J248:J251" si="503">H248+I248</f>
        <v>243</v>
      </c>
      <c r="K248" s="688">
        <f t="shared" ref="K248:K252" si="504">D248/C248</f>
        <v>0.0313636334689771</v>
      </c>
      <c r="L248" s="685">
        <f t="shared" ref="L248:L252" si="505">B248/D248</f>
        <v>10.4470436548223</v>
      </c>
      <c r="M248" s="886">
        <f t="shared" ref="M248:M252" si="506">(B248/C248)*1000</f>
        <v>327.65724802425</v>
      </c>
      <c r="N248" s="887">
        <f t="shared" ref="N248:N252" si="507">F248/B248</f>
        <v>6.38358040328704</v>
      </c>
      <c r="O248" s="688">
        <f t="shared" ref="O248:O252" si="508">E248/D248</f>
        <v>0.00609137055837563</v>
      </c>
      <c r="P248" s="915">
        <f t="shared" ref="P248:P251" si="509">IF(E248=0,"0",F248/E248)</f>
        <v>10948.2</v>
      </c>
      <c r="Q248" s="685">
        <f t="shared" ref="Q248:Q251" si="510">IF(E248=0,"0",B248/E248)</f>
        <v>1715.05633333333</v>
      </c>
      <c r="R248" s="902">
        <f t="shared" ref="R248:R252" si="511">B248/G248</f>
        <v>56.9155862831858</v>
      </c>
      <c r="S248" s="558">
        <f t="shared" ref="S248:S252" si="512">G248+J248</f>
        <v>1147</v>
      </c>
      <c r="T248" s="917">
        <f t="shared" ref="T248:T252" si="513">(S248-S240)/S240</f>
        <v>-0.0882352941176471</v>
      </c>
      <c r="U248" s="850">
        <f t="shared" ref="U248:U252" si="514">B248/S248</f>
        <v>44.8576198779425</v>
      </c>
      <c r="V248" s="917">
        <f t="shared" ref="V248:V252" si="515">(B248-B240)/B240</f>
        <v>-0.0582236613304146</v>
      </c>
      <c r="W248" s="917">
        <f t="shared" ref="W248:W252" si="516">D248/$D$132</f>
        <v>0.0243324028556607</v>
      </c>
      <c r="X248" s="917">
        <f t="shared" ref="X248:X252" si="517">(G248-G240)/G240</f>
        <v>-0.0794297352342159</v>
      </c>
      <c r="Y248" s="917">
        <f t="shared" ref="Y248:Y252" si="518">(F248-F240)/F240</f>
        <v>-0.772649651927189</v>
      </c>
      <c r="Z248" s="917">
        <f t="shared" ref="Z248:Z252" si="519">(R248-R240)/R240</f>
        <v>0.0230358015193948</v>
      </c>
      <c r="AA248" s="917">
        <f t="shared" ref="AA248:AA252" si="520">(U248-U240)/U240</f>
        <v>0.0329159843472872</v>
      </c>
      <c r="AB248" s="917">
        <f>B248/B252</f>
        <v>0.243311494499213</v>
      </c>
    </row>
    <row r="249" spans="1:29">
      <c r="A249" s="686" t="s">
        <v>20</v>
      </c>
      <c r="B249" s="685">
        <f>SUM(直通车!B1345:B1375)</f>
        <v>56552.25</v>
      </c>
      <c r="C249" s="1086">
        <f>SUM(直通车!C1345:C1375)</f>
        <v>261613</v>
      </c>
      <c r="D249" s="1086">
        <f>SUM(直通车!D1345:D1375)</f>
        <v>18266</v>
      </c>
      <c r="E249" s="1086">
        <f>SUM(直通车!E1345:E1375)</f>
        <v>25</v>
      </c>
      <c r="F249" s="685">
        <f>SUM(直通车!F1345:F1375)</f>
        <v>408329</v>
      </c>
      <c r="G249" s="1086">
        <f>SUM(直通车!G1345:G1375)</f>
        <v>611</v>
      </c>
      <c r="H249" s="1086">
        <f>SUM(直通车!H1345:H1375)</f>
        <v>69</v>
      </c>
      <c r="I249" s="1086">
        <f>SUM(直通车!I1345:I1375)</f>
        <v>38</v>
      </c>
      <c r="J249" s="1086">
        <f t="shared" si="503"/>
        <v>107</v>
      </c>
      <c r="K249" s="688">
        <f t="shared" si="504"/>
        <v>0.0698206893388326</v>
      </c>
      <c r="L249" s="685">
        <f t="shared" si="505"/>
        <v>3.09603908901785</v>
      </c>
      <c r="M249" s="886">
        <f t="shared" si="506"/>
        <v>216.167583415197</v>
      </c>
      <c r="N249" s="887">
        <f t="shared" si="507"/>
        <v>7.22038468849604</v>
      </c>
      <c r="O249" s="688">
        <f t="shared" si="508"/>
        <v>0.00136866308989379</v>
      </c>
      <c r="P249" s="915">
        <f t="shared" si="509"/>
        <v>16333.16</v>
      </c>
      <c r="Q249" s="685">
        <f t="shared" si="510"/>
        <v>2262.09</v>
      </c>
      <c r="R249" s="902">
        <f t="shared" si="511"/>
        <v>92.5568739770867</v>
      </c>
      <c r="S249" s="558">
        <f t="shared" si="512"/>
        <v>718</v>
      </c>
      <c r="T249" s="917">
        <f t="shared" si="513"/>
        <v>-0.161214953271028</v>
      </c>
      <c r="U249" s="850">
        <f t="shared" si="514"/>
        <v>78.7635793871866</v>
      </c>
      <c r="V249" s="917">
        <f t="shared" si="515"/>
        <v>-0.16351747099163</v>
      </c>
      <c r="W249" s="917">
        <f t="shared" si="516"/>
        <v>0.0902448062053803</v>
      </c>
      <c r="X249" s="917">
        <f t="shared" si="517"/>
        <v>-0.161865569272977</v>
      </c>
      <c r="Y249" s="917">
        <f t="shared" si="518"/>
        <v>-0.375223401444039</v>
      </c>
      <c r="Z249" s="917">
        <f t="shared" si="519"/>
        <v>-0.00197092692782016</v>
      </c>
      <c r="AA249" s="917">
        <f t="shared" si="520"/>
        <v>-0.00274506290924111</v>
      </c>
      <c r="AB249" s="917">
        <f>B249/B252</f>
        <v>0.267431691063853</v>
      </c>
    </row>
    <row r="250" spans="1:29">
      <c r="A250" s="686" t="s">
        <v>21</v>
      </c>
      <c r="B250" s="685">
        <f>SUM(引力魔方!B1244:B1274)</f>
        <v>46438.34</v>
      </c>
      <c r="C250" s="1087">
        <f>SUM(引力魔方!C1244:C1274)</f>
        <v>3282906</v>
      </c>
      <c r="D250" s="1086">
        <f>SUM(引力魔方!D1244:D1274)</f>
        <v>68672</v>
      </c>
      <c r="E250" s="1086">
        <f>SUM(引力魔方!E1244:E1274)</f>
        <v>27</v>
      </c>
      <c r="F250" s="685">
        <f>SUM(引力魔方!F1244:F1274)</f>
        <v>237119</v>
      </c>
      <c r="G250" s="1086">
        <f>SUM(引力魔方!G1244:G1274)</f>
        <v>797</v>
      </c>
      <c r="H250" s="1086">
        <f>SUM(引力魔方!H1244:H1274)</f>
        <v>430</v>
      </c>
      <c r="I250" s="1086">
        <f>SUM(引力魔方!I1244:I1274)</f>
        <v>68</v>
      </c>
      <c r="J250" s="1086">
        <f t="shared" si="503"/>
        <v>498</v>
      </c>
      <c r="K250" s="688">
        <f t="shared" si="504"/>
        <v>0.0209180524815514</v>
      </c>
      <c r="L250" s="685">
        <f t="shared" si="505"/>
        <v>0.676233981826654</v>
      </c>
      <c r="M250" s="886">
        <f t="shared" si="506"/>
        <v>14.1454979216584</v>
      </c>
      <c r="N250" s="887">
        <f t="shared" si="507"/>
        <v>5.10610413722799</v>
      </c>
      <c r="O250" s="688">
        <f t="shared" si="508"/>
        <v>0.000393173345759553</v>
      </c>
      <c r="P250" s="915">
        <f t="shared" si="509"/>
        <v>8782.18518518518</v>
      </c>
      <c r="Q250" s="685">
        <f t="shared" si="510"/>
        <v>1719.93851851852</v>
      </c>
      <c r="R250" s="902">
        <f t="shared" si="511"/>
        <v>58.2664240903388</v>
      </c>
      <c r="S250" s="558">
        <f t="shared" si="512"/>
        <v>1295</v>
      </c>
      <c r="T250" s="917">
        <f t="shared" si="513"/>
        <v>-0.132037533512064</v>
      </c>
      <c r="U250" s="850">
        <f t="shared" si="514"/>
        <v>35.859722007722</v>
      </c>
      <c r="V250" s="917">
        <f t="shared" si="515"/>
        <v>-0.169134571910985</v>
      </c>
      <c r="W250" s="917">
        <f t="shared" si="516"/>
        <v>0.339280156122625</v>
      </c>
      <c r="X250" s="917">
        <f t="shared" si="517"/>
        <v>-0.235858101629914</v>
      </c>
      <c r="Y250" s="917">
        <f t="shared" si="518"/>
        <v>-0.840795622398281</v>
      </c>
      <c r="Z250" s="917">
        <f t="shared" si="519"/>
        <v>0.0873182452908938</v>
      </c>
      <c r="AA250" s="917">
        <f t="shared" si="520"/>
        <v>-0.0427403716534284</v>
      </c>
      <c r="AB250" s="917">
        <f>B250/B252</f>
        <v>0.219603708011585</v>
      </c>
    </row>
    <row r="251" spans="1:29">
      <c r="A251" s="686" t="s">
        <v>27</v>
      </c>
      <c r="B251" s="685">
        <f>SUM(万相台!B833:B863)</f>
        <v>57022</v>
      </c>
      <c r="C251" s="1086">
        <f>SUM(万相台!C833:C863)</f>
        <v>616392</v>
      </c>
      <c r="D251" s="1086">
        <f>SUM(万相台!D833:D863)</f>
        <v>25396</v>
      </c>
      <c r="E251" s="1086">
        <f>SUM(万相台!E833:E863)</f>
        <v>33</v>
      </c>
      <c r="F251" s="685">
        <f>SUM(万相台!F833:F863)</f>
        <v>354362</v>
      </c>
      <c r="G251" s="1086">
        <f>SUM(万相台!G833:G863)</f>
        <v>771</v>
      </c>
      <c r="H251" s="1086">
        <f>SUM(万相台!H833:H863)</f>
        <v>164</v>
      </c>
      <c r="I251" s="1086">
        <f>SUM(万相台!I833:I863)</f>
        <v>100</v>
      </c>
      <c r="J251" s="1086">
        <f t="shared" si="503"/>
        <v>264</v>
      </c>
      <c r="K251" s="688">
        <f t="shared" si="504"/>
        <v>0.0412010538748069</v>
      </c>
      <c r="L251" s="685">
        <f t="shared" si="505"/>
        <v>2.24531422271224</v>
      </c>
      <c r="M251" s="886">
        <f t="shared" si="506"/>
        <v>92.5093122558372</v>
      </c>
      <c r="N251" s="887">
        <f t="shared" si="507"/>
        <v>6.21447862228614</v>
      </c>
      <c r="O251" s="688">
        <f t="shared" si="508"/>
        <v>0.00129941723106001</v>
      </c>
      <c r="P251" s="915">
        <f t="shared" si="509"/>
        <v>10738.2424242424</v>
      </c>
      <c r="Q251" s="685">
        <f t="shared" si="510"/>
        <v>1727.93939393939</v>
      </c>
      <c r="R251" s="902">
        <f t="shared" si="511"/>
        <v>73.958495460441</v>
      </c>
      <c r="S251" s="558">
        <f t="shared" si="512"/>
        <v>1035</v>
      </c>
      <c r="T251" s="917">
        <f t="shared" si="513"/>
        <v>-0.538975501113586</v>
      </c>
      <c r="U251" s="850">
        <f t="shared" si="514"/>
        <v>55.0937198067633</v>
      </c>
      <c r="V251" s="917">
        <f t="shared" si="515"/>
        <v>-0.512428281930039</v>
      </c>
      <c r="W251" s="917">
        <f t="shared" si="516"/>
        <v>0.1254712087152</v>
      </c>
      <c r="X251" s="917">
        <f t="shared" si="517"/>
        <v>-0.57707076247943</v>
      </c>
      <c r="Y251" s="917">
        <f t="shared" si="518"/>
        <v>-0.896820063312222</v>
      </c>
      <c r="Z251" s="917">
        <f t="shared" si="519"/>
        <v>0.15284467190861</v>
      </c>
      <c r="AA251" s="917">
        <f t="shared" si="520"/>
        <v>0.0575830986155191</v>
      </c>
      <c r="AB251" s="917">
        <f>B251/B252</f>
        <v>0.26965310642535</v>
      </c>
    </row>
    <row r="252" spans="1:29">
      <c r="A252" s="891" t="s">
        <v>22</v>
      </c>
      <c r="B252" s="903">
        <f t="shared" ref="B252:J252" si="521">SUM(B248:B251)</f>
        <v>211464.28</v>
      </c>
      <c r="C252" s="904">
        <f t="shared" si="521"/>
        <v>4317940</v>
      </c>
      <c r="D252" s="904">
        <f t="shared" si="521"/>
        <v>117259</v>
      </c>
      <c r="E252" s="904">
        <f t="shared" si="521"/>
        <v>115</v>
      </c>
      <c r="F252" s="903">
        <f t="shared" si="521"/>
        <v>1328256</v>
      </c>
      <c r="G252" s="904">
        <f t="shared" si="521"/>
        <v>3083</v>
      </c>
      <c r="H252" s="904">
        <f t="shared" si="521"/>
        <v>734</v>
      </c>
      <c r="I252" s="904">
        <f t="shared" si="521"/>
        <v>378</v>
      </c>
      <c r="J252" s="904">
        <f t="shared" si="521"/>
        <v>1112</v>
      </c>
      <c r="K252" s="896">
        <f t="shared" si="504"/>
        <v>0.0271562365387199</v>
      </c>
      <c r="L252" s="903">
        <f t="shared" si="505"/>
        <v>1.8033948780051</v>
      </c>
      <c r="M252" s="897">
        <f t="shared" si="506"/>
        <v>48.9734178798223</v>
      </c>
      <c r="N252" s="898">
        <f t="shared" si="507"/>
        <v>6.28123104289765</v>
      </c>
      <c r="O252" s="896">
        <f t="shared" si="508"/>
        <v>0.000980734954246582</v>
      </c>
      <c r="P252" s="916">
        <f>F252/E252</f>
        <v>11550.052173913</v>
      </c>
      <c r="Q252" s="903">
        <f>B252/E252</f>
        <v>1838.81982608696</v>
      </c>
      <c r="R252" s="902">
        <f t="shared" si="511"/>
        <v>68.5904249108012</v>
      </c>
      <c r="S252" s="558">
        <f t="shared" si="512"/>
        <v>4195</v>
      </c>
      <c r="T252" s="917">
        <f t="shared" si="513"/>
        <v>-0.283028542129551</v>
      </c>
      <c r="U252" s="850">
        <f t="shared" si="514"/>
        <v>50.4086483909416</v>
      </c>
      <c r="V252" s="917">
        <f t="shared" si="515"/>
        <v>-0.283371956451206</v>
      </c>
      <c r="W252" s="917">
        <f t="shared" si="516"/>
        <v>0.579328573898866</v>
      </c>
      <c r="X252" s="917">
        <f t="shared" si="517"/>
        <v>-0.326414682106183</v>
      </c>
      <c r="Y252" s="917">
        <f t="shared" si="518"/>
        <v>-0.810844631250384</v>
      </c>
      <c r="Z252" s="917">
        <f t="shared" si="519"/>
        <v>0.0639009261507719</v>
      </c>
      <c r="AA252" s="917">
        <f t="shared" si="520"/>
        <v>-0.000478979069369812</v>
      </c>
      <c r="AB252" s="917">
        <f>B252/B252</f>
        <v>1</v>
      </c>
      <c r="AC252" s="917">
        <f>B252/F252</f>
        <v>0.159204460585911</v>
      </c>
    </row>
    <row r="253" spans="1:29">
      <c r="A253" s="37" t="s">
        <v>62</v>
      </c>
      <c r="B253" s="917">
        <f t="shared" ref="B253:R253" si="522">(B252-B244)/B244</f>
        <v>-0.283371956451206</v>
      </c>
      <c r="C253" s="917">
        <f t="shared" si="522"/>
        <v>0.281189368532211</v>
      </c>
      <c r="D253" s="917">
        <f t="shared" si="522"/>
        <v>0.022747293961675</v>
      </c>
      <c r="E253" s="917">
        <f t="shared" si="522"/>
        <v>-0.85625</v>
      </c>
      <c r="F253" s="917">
        <f t="shared" si="522"/>
        <v>-0.810844631250384</v>
      </c>
      <c r="G253" s="917">
        <f t="shared" si="522"/>
        <v>-0.326414682106183</v>
      </c>
      <c r="H253" s="917">
        <f t="shared" si="522"/>
        <v>-0.0637755102040816</v>
      </c>
      <c r="I253" s="917">
        <f t="shared" si="522"/>
        <v>-0.228571428571429</v>
      </c>
      <c r="J253" s="917">
        <f t="shared" si="522"/>
        <v>-0.127158555729984</v>
      </c>
      <c r="K253" s="917">
        <f t="shared" si="522"/>
        <v>-0.20172043330848</v>
      </c>
      <c r="L253" s="917">
        <f t="shared" si="522"/>
        <v>-0.299310741001435</v>
      </c>
      <c r="M253" s="917">
        <f t="shared" si="522"/>
        <v>-0.440654081941223</v>
      </c>
      <c r="N253" s="917">
        <f t="shared" si="522"/>
        <v>-0.73604805107416</v>
      </c>
      <c r="O253" s="917">
        <f t="shared" si="522"/>
        <v>-0.859447195950844</v>
      </c>
      <c r="P253" s="917">
        <f t="shared" si="522"/>
        <v>0.315863434779936</v>
      </c>
      <c r="Q253" s="917">
        <f t="shared" si="522"/>
        <v>3.9852385638177</v>
      </c>
      <c r="R253" s="917">
        <f t="shared" si="522"/>
        <v>0.0639009261507719</v>
      </c>
    </row>
    <row r="255" s="37" customFormat="1" ht="41.4" spans="1:29">
      <c r="A255" s="868" t="s">
        <v>63</v>
      </c>
      <c r="B255" s="869" t="s">
        <v>1</v>
      </c>
      <c r="C255" s="870" t="s">
        <v>2</v>
      </c>
      <c r="D255" s="870" t="s">
        <v>3</v>
      </c>
      <c r="E255" s="871" t="s">
        <v>4</v>
      </c>
      <c r="F255" s="869" t="s">
        <v>5</v>
      </c>
      <c r="G255" s="871" t="s">
        <v>6</v>
      </c>
      <c r="H255" s="871" t="s">
        <v>7</v>
      </c>
      <c r="I255" s="871" t="s">
        <v>8</v>
      </c>
      <c r="J255" s="871" t="s">
        <v>34</v>
      </c>
      <c r="K255" s="879" t="s">
        <v>9</v>
      </c>
      <c r="L255" s="869" t="s">
        <v>10</v>
      </c>
      <c r="M255" s="880" t="s">
        <v>11</v>
      </c>
      <c r="N255" s="881" t="s">
        <v>12</v>
      </c>
      <c r="O255" s="879" t="s">
        <v>13</v>
      </c>
      <c r="P255" s="875" t="s">
        <v>14</v>
      </c>
      <c r="Q255" s="869" t="s">
        <v>15</v>
      </c>
      <c r="R255" s="912" t="s">
        <v>16</v>
      </c>
      <c r="S255" s="882" t="s">
        <v>35</v>
      </c>
      <c r="T255" s="882" t="s">
        <v>37</v>
      </c>
      <c r="U255" s="882" t="s">
        <v>36</v>
      </c>
      <c r="V255" s="882" t="s">
        <v>38</v>
      </c>
      <c r="W255" s="882" t="s">
        <v>39</v>
      </c>
      <c r="X255" s="882" t="s">
        <v>40</v>
      </c>
      <c r="Y255" s="882" t="s">
        <v>41</v>
      </c>
      <c r="Z255" s="882" t="s">
        <v>42</v>
      </c>
      <c r="AA255" s="882" t="s">
        <v>43</v>
      </c>
      <c r="AB255" s="37" t="s">
        <v>44</v>
      </c>
      <c r="AC255" s="37" t="s">
        <v>49</v>
      </c>
    </row>
    <row r="256" s="37" customFormat="1" spans="1:29">
      <c r="A256" s="686" t="s">
        <v>19</v>
      </c>
      <c r="B256" s="685">
        <f>SUM(明星店铺!B1376:B1406)</f>
        <v>55705.37</v>
      </c>
      <c r="C256" s="1086">
        <f>SUM(明星店铺!C1376:C1406)</f>
        <v>142486</v>
      </c>
      <c r="D256" s="1086">
        <f>SUM(明星店铺!D1376:D1406)</f>
        <v>6062</v>
      </c>
      <c r="E256" s="1086">
        <f>SUM(明星店铺!E1376:E1406)</f>
        <v>54</v>
      </c>
      <c r="F256" s="1088">
        <f>SUM(明星店铺!F1376:F1406)</f>
        <v>618450</v>
      </c>
      <c r="G256" s="1086">
        <f>SUM(明星店铺!G1376:G1406)</f>
        <v>1230</v>
      </c>
      <c r="H256" s="1086">
        <f>SUM(明星店铺!H1376:H1406)</f>
        <v>128</v>
      </c>
      <c r="I256" s="1086">
        <f>SUM(明星店铺!I1376:I1406)</f>
        <v>247</v>
      </c>
      <c r="J256" s="1086">
        <f t="shared" ref="J256:J259" si="523">H256+I256</f>
        <v>375</v>
      </c>
      <c r="K256" s="688">
        <f t="shared" ref="K256:K260" si="524">D256/C256</f>
        <v>0.0425445306907345</v>
      </c>
      <c r="L256" s="685">
        <f t="shared" ref="L256:L260" si="525">B256/D256</f>
        <v>9.18927251732102</v>
      </c>
      <c r="M256" s="886">
        <f t="shared" ref="M256:M260" si="526">(B256/C256)*1000</f>
        <v>390.953286638687</v>
      </c>
      <c r="N256" s="887">
        <f t="shared" ref="N256:N260" si="527">F256/B256</f>
        <v>11.1021612458548</v>
      </c>
      <c r="O256" s="688">
        <f t="shared" ref="O256:O260" si="528">E256/D256</f>
        <v>0.00890795117123062</v>
      </c>
      <c r="P256" s="915">
        <f t="shared" ref="P256:P259" si="529">IF(E256=0,"0",F256/E256)</f>
        <v>11452.7777777778</v>
      </c>
      <c r="Q256" s="685">
        <f t="shared" ref="Q256:Q259" si="530">IF(E256=0,"0",B256/E256)</f>
        <v>1031.58092592593</v>
      </c>
      <c r="R256" s="902">
        <f t="shared" ref="R256:R260" si="531">B256/G256</f>
        <v>45.288918699187</v>
      </c>
      <c r="S256" s="558">
        <f t="shared" ref="S256:S260" si="532">G256+J256</f>
        <v>1605</v>
      </c>
      <c r="T256" s="917">
        <f t="shared" ref="T256:T260" si="533">(S256-S248)/S248</f>
        <v>0.399302528334786</v>
      </c>
      <c r="U256" s="850">
        <f t="shared" ref="U256:U260" si="534">B256/S256</f>
        <v>34.7073956386293</v>
      </c>
      <c r="V256" s="917">
        <f t="shared" ref="V256:V260" si="535">(B256-B248)/B248</f>
        <v>0.0826732805083761</v>
      </c>
      <c r="W256" s="917">
        <f t="shared" ref="W256:W260" si="536">D256/$D$132</f>
        <v>0.029949853017465</v>
      </c>
      <c r="X256" s="917">
        <f t="shared" ref="X256:X260" si="537">(G256-G248)/G248</f>
        <v>0.360619469026549</v>
      </c>
      <c r="Y256" s="917">
        <f t="shared" ref="Y256:Y260" si="538">(F256-F248)/F248</f>
        <v>0.882957929157304</v>
      </c>
      <c r="Z256" s="917">
        <f t="shared" ref="Z256:Z260" si="539">(R256-R248)/R248</f>
        <v>-0.204279149935307</v>
      </c>
      <c r="AA256" s="917">
        <f t="shared" ref="AA256:AA260" si="540">(U256-U248)/U248</f>
        <v>-0.226276478041678</v>
      </c>
      <c r="AB256" s="917">
        <f>B256/B260</f>
        <v>0.201941379494978</v>
      </c>
    </row>
    <row r="257" s="37" customFormat="1" spans="1:29">
      <c r="A257" s="686" t="s">
        <v>20</v>
      </c>
      <c r="B257" s="685">
        <f>SUM(直通车!B1376:B1406)</f>
        <v>67670.49</v>
      </c>
      <c r="C257" s="1086">
        <f>SUM(直通车!C1376:C1406)</f>
        <v>200920.72</v>
      </c>
      <c r="D257" s="1086">
        <f>SUM(直通车!D1376:D1406)</f>
        <v>16595</v>
      </c>
      <c r="E257" s="1086">
        <f>SUM(直通车!E1376:E1406)</f>
        <v>28</v>
      </c>
      <c r="F257" s="685">
        <f>SUM(直通车!F1376:F1406)</f>
        <v>430562</v>
      </c>
      <c r="G257" s="1086">
        <f>SUM(直通车!G1376:G1406)</f>
        <v>745</v>
      </c>
      <c r="H257" s="1086">
        <f>SUM(直通车!H1376:H1406)</f>
        <v>85</v>
      </c>
      <c r="I257" s="1086">
        <f>SUM(直通车!I1376:I1406)</f>
        <v>56</v>
      </c>
      <c r="J257" s="1086">
        <f t="shared" si="523"/>
        <v>141</v>
      </c>
      <c r="K257" s="688">
        <f t="shared" si="524"/>
        <v>0.0825947667318731</v>
      </c>
      <c r="L257" s="685">
        <f t="shared" si="525"/>
        <v>4.07776378427237</v>
      </c>
      <c r="M257" s="886">
        <f t="shared" si="526"/>
        <v>336.801948549657</v>
      </c>
      <c r="N257" s="887">
        <f t="shared" si="527"/>
        <v>6.36262571765034</v>
      </c>
      <c r="O257" s="688">
        <f t="shared" si="528"/>
        <v>0.0016872551973486</v>
      </c>
      <c r="P257" s="915">
        <f t="shared" si="529"/>
        <v>15377.2142857143</v>
      </c>
      <c r="Q257" s="685">
        <f t="shared" si="530"/>
        <v>2416.80321428571</v>
      </c>
      <c r="R257" s="902">
        <f t="shared" si="531"/>
        <v>90.8328724832215</v>
      </c>
      <c r="S257" s="558">
        <f t="shared" si="532"/>
        <v>886</v>
      </c>
      <c r="T257" s="917">
        <f t="shared" si="533"/>
        <v>0.233983286908078</v>
      </c>
      <c r="U257" s="850">
        <f t="shared" si="534"/>
        <v>76.3775282167043</v>
      </c>
      <c r="V257" s="917">
        <f t="shared" si="535"/>
        <v>0.196601196238877</v>
      </c>
      <c r="W257" s="917">
        <f t="shared" si="536"/>
        <v>0.0819890812973988</v>
      </c>
      <c r="X257" s="917">
        <f t="shared" si="537"/>
        <v>0.219312602291326</v>
      </c>
      <c r="Y257" s="917">
        <f t="shared" si="538"/>
        <v>0.0544487410886809</v>
      </c>
      <c r="Z257" s="917">
        <f t="shared" si="539"/>
        <v>-0.0186264014738878</v>
      </c>
      <c r="AA257" s="917">
        <f t="shared" si="540"/>
        <v>-0.0302938387138675</v>
      </c>
      <c r="AB257" s="917">
        <f>B257/B260</f>
        <v>0.245316961393509</v>
      </c>
    </row>
    <row r="258" s="37" customFormat="1" spans="1:29">
      <c r="A258" s="686" t="s">
        <v>21</v>
      </c>
      <c r="B258" s="685">
        <f>SUM(引力魔方!B1275:B1305)</f>
        <v>51234.35</v>
      </c>
      <c r="C258" s="1087">
        <f>SUM(引力魔方!C1275:C1305)</f>
        <v>3516190</v>
      </c>
      <c r="D258" s="1087">
        <f>SUM(引力魔方!D1275:D1305)</f>
        <v>82376</v>
      </c>
      <c r="E258" s="1087">
        <f>SUM(引力魔方!E1275:E1305)</f>
        <v>34</v>
      </c>
      <c r="F258" s="685">
        <f>SUM(引力魔方!F1275:F1305)</f>
        <v>365620</v>
      </c>
      <c r="G258" s="1086">
        <f>SUM(引力魔方!G1275:G1305)</f>
        <v>892</v>
      </c>
      <c r="H258" s="1086">
        <f>SUM(引力魔方!H1275:H1305)</f>
        <v>421</v>
      </c>
      <c r="I258" s="1086">
        <f>SUM(引力魔方!I1275:I1305)</f>
        <v>85</v>
      </c>
      <c r="J258" s="1086">
        <f t="shared" si="523"/>
        <v>506</v>
      </c>
      <c r="K258" s="688">
        <f t="shared" si="524"/>
        <v>0.0234276304750312</v>
      </c>
      <c r="L258" s="685">
        <f t="shared" si="525"/>
        <v>0.621957244828591</v>
      </c>
      <c r="M258" s="886">
        <f t="shared" si="526"/>
        <v>14.5709845031127</v>
      </c>
      <c r="N258" s="887">
        <f t="shared" si="527"/>
        <v>7.13622794082486</v>
      </c>
      <c r="O258" s="688">
        <f t="shared" si="528"/>
        <v>0.000412741575216082</v>
      </c>
      <c r="P258" s="915">
        <f t="shared" si="529"/>
        <v>10753.5294117647</v>
      </c>
      <c r="Q258" s="685">
        <f t="shared" si="530"/>
        <v>1506.89264705882</v>
      </c>
      <c r="R258" s="902">
        <f t="shared" si="531"/>
        <v>57.4376121076233</v>
      </c>
      <c r="S258" s="558">
        <f t="shared" si="532"/>
        <v>1398</v>
      </c>
      <c r="T258" s="917">
        <f t="shared" si="533"/>
        <v>0.0795366795366795</v>
      </c>
      <c r="U258" s="850">
        <f t="shared" si="534"/>
        <v>36.6483190271817</v>
      </c>
      <c r="V258" s="917">
        <f t="shared" si="535"/>
        <v>0.103276947453333</v>
      </c>
      <c r="W258" s="917">
        <f t="shared" si="536"/>
        <v>0.406985993429016</v>
      </c>
      <c r="X258" s="917">
        <f t="shared" si="537"/>
        <v>0.119196988707654</v>
      </c>
      <c r="Y258" s="917">
        <f t="shared" si="538"/>
        <v>0.541926205829141</v>
      </c>
      <c r="Z258" s="917">
        <f t="shared" si="539"/>
        <v>-0.014224521165576</v>
      </c>
      <c r="AA258" s="917">
        <f t="shared" si="540"/>
        <v>0.0219911637711487</v>
      </c>
      <c r="AB258" s="917">
        <f>B258/B260</f>
        <v>0.185733176469855</v>
      </c>
    </row>
    <row r="259" s="37" customFormat="1" spans="1:29">
      <c r="A259" s="686" t="s">
        <v>27</v>
      </c>
      <c r="B259" s="685">
        <f>SUM(万相台!B864:B894)</f>
        <v>101239</v>
      </c>
      <c r="C259" s="1086">
        <f>SUM(万相台!C864:C894)</f>
        <v>1387765</v>
      </c>
      <c r="D259" s="1086">
        <f>SUM(万相台!D864:D894)</f>
        <v>49368</v>
      </c>
      <c r="E259" s="1086">
        <f>SUM(万相台!E864:E894)</f>
        <v>90</v>
      </c>
      <c r="F259" s="685">
        <f>SUM(万相台!F864:F894)</f>
        <v>942803</v>
      </c>
      <c r="G259" s="1086">
        <f>SUM(万相台!G864:G894)</f>
        <v>1346</v>
      </c>
      <c r="H259" s="1086">
        <f>SUM(万相台!H864:H894)</f>
        <v>243</v>
      </c>
      <c r="I259" s="1086">
        <f>SUM(万相台!I864:I894)</f>
        <v>191</v>
      </c>
      <c r="J259" s="1086">
        <f t="shared" si="523"/>
        <v>434</v>
      </c>
      <c r="K259" s="688">
        <f t="shared" si="524"/>
        <v>0.0355737462754861</v>
      </c>
      <c r="L259" s="685">
        <f t="shared" si="525"/>
        <v>2.05070085885594</v>
      </c>
      <c r="M259" s="886">
        <f t="shared" si="526"/>
        <v>72.9511120398627</v>
      </c>
      <c r="N259" s="887">
        <f t="shared" si="527"/>
        <v>9.31264631219194</v>
      </c>
      <c r="O259" s="688">
        <f t="shared" si="528"/>
        <v>0.00182304326689353</v>
      </c>
      <c r="P259" s="915">
        <f t="shared" si="529"/>
        <v>10475.5888888889</v>
      </c>
      <c r="Q259" s="685">
        <f t="shared" si="530"/>
        <v>1124.87777777778</v>
      </c>
      <c r="R259" s="902">
        <f t="shared" si="531"/>
        <v>75.2147102526003</v>
      </c>
      <c r="S259" s="558">
        <f t="shared" si="532"/>
        <v>1780</v>
      </c>
      <c r="T259" s="917">
        <f t="shared" si="533"/>
        <v>0.719806763285024</v>
      </c>
      <c r="U259" s="850">
        <f t="shared" si="534"/>
        <v>56.8758426966292</v>
      </c>
      <c r="V259" s="917">
        <f t="shared" si="535"/>
        <v>0.775437550419136</v>
      </c>
      <c r="W259" s="917">
        <f t="shared" si="536"/>
        <v>0.24390701810726</v>
      </c>
      <c r="X259" s="917">
        <f t="shared" si="537"/>
        <v>0.745784695201038</v>
      </c>
      <c r="Y259" s="917">
        <f t="shared" si="538"/>
        <v>1.66056462035997</v>
      </c>
      <c r="Z259" s="917">
        <f t="shared" si="539"/>
        <v>0.0169854022088813</v>
      </c>
      <c r="AA259" s="917">
        <f t="shared" si="540"/>
        <v>0.0323471149909024</v>
      </c>
      <c r="AB259" s="917">
        <f>B259/B260</f>
        <v>0.367008482641658</v>
      </c>
    </row>
    <row r="260" s="37" customFormat="1" spans="1:29">
      <c r="A260" s="891" t="s">
        <v>22</v>
      </c>
      <c r="B260" s="903">
        <f t="shared" ref="B260:J260" si="541">SUM(B256:B259)</f>
        <v>275849.21</v>
      </c>
      <c r="C260" s="904">
        <f t="shared" si="541"/>
        <v>5247361.72</v>
      </c>
      <c r="D260" s="904">
        <f t="shared" si="541"/>
        <v>154401</v>
      </c>
      <c r="E260" s="904">
        <f t="shared" si="541"/>
        <v>206</v>
      </c>
      <c r="F260" s="903">
        <f t="shared" si="541"/>
        <v>2357435</v>
      </c>
      <c r="G260" s="904">
        <f t="shared" si="541"/>
        <v>4213</v>
      </c>
      <c r="H260" s="904">
        <f t="shared" si="541"/>
        <v>877</v>
      </c>
      <c r="I260" s="904">
        <f t="shared" si="541"/>
        <v>579</v>
      </c>
      <c r="J260" s="904">
        <f t="shared" si="541"/>
        <v>1456</v>
      </c>
      <c r="K260" s="896">
        <f t="shared" si="524"/>
        <v>0.0294245009661732</v>
      </c>
      <c r="L260" s="903">
        <f t="shared" si="525"/>
        <v>1.78657657657658</v>
      </c>
      <c r="M260" s="897">
        <f t="shared" si="526"/>
        <v>52.5691242036198</v>
      </c>
      <c r="N260" s="898">
        <f t="shared" si="527"/>
        <v>8.5461002407801</v>
      </c>
      <c r="O260" s="896">
        <f t="shared" si="528"/>
        <v>0.0013341882500761</v>
      </c>
      <c r="P260" s="916">
        <f>F260/E260</f>
        <v>11443.859223301</v>
      </c>
      <c r="Q260" s="903">
        <f>B260/E260</f>
        <v>1339.07383495146</v>
      </c>
      <c r="R260" s="902">
        <f t="shared" si="531"/>
        <v>65.4757203892713</v>
      </c>
      <c r="S260" s="558">
        <f t="shared" si="532"/>
        <v>5669</v>
      </c>
      <c r="T260" s="917">
        <f t="shared" si="533"/>
        <v>0.351370679380215</v>
      </c>
      <c r="U260" s="850">
        <f t="shared" si="534"/>
        <v>48.6592361968601</v>
      </c>
      <c r="V260" s="917">
        <f t="shared" si="535"/>
        <v>0.304471894733238</v>
      </c>
      <c r="W260" s="917">
        <f t="shared" si="536"/>
        <v>0.76283194585114</v>
      </c>
      <c r="X260" s="917">
        <f t="shared" si="537"/>
        <v>0.366526110930911</v>
      </c>
      <c r="Y260" s="917">
        <f t="shared" si="538"/>
        <v>0.774834820998362</v>
      </c>
      <c r="Z260" s="917">
        <f t="shared" si="539"/>
        <v>-0.0454101942884943</v>
      </c>
      <c r="AA260" s="917">
        <f t="shared" si="540"/>
        <v>-0.0347046042677837</v>
      </c>
      <c r="AB260" s="917">
        <f>B260/B260</f>
        <v>1</v>
      </c>
      <c r="AC260" s="917">
        <f>B260/F260</f>
        <v>0.117012435125465</v>
      </c>
    </row>
    <row r="261" s="37" customFormat="1" spans="1:29">
      <c r="A261" s="37" t="s">
        <v>58</v>
      </c>
      <c r="B261" s="917">
        <f t="shared" ref="B261:R261" si="542">(B260-B252)/B252</f>
        <v>0.304471894733238</v>
      </c>
      <c r="C261" s="917">
        <f t="shared" si="542"/>
        <v>0.215246557386161</v>
      </c>
      <c r="D261" s="917">
        <f t="shared" si="542"/>
        <v>0.316751805831535</v>
      </c>
      <c r="E261" s="917">
        <f t="shared" si="542"/>
        <v>0.791304347826087</v>
      </c>
      <c r="F261" s="917">
        <f t="shared" si="542"/>
        <v>0.774834820998362</v>
      </c>
      <c r="G261" s="917">
        <f t="shared" si="542"/>
        <v>0.366526110930911</v>
      </c>
      <c r="H261" s="917">
        <f t="shared" si="542"/>
        <v>0.194822888283379</v>
      </c>
      <c r="I261" s="917">
        <f t="shared" si="542"/>
        <v>0.531746031746032</v>
      </c>
      <c r="J261" s="917">
        <f t="shared" si="542"/>
        <v>0.309352517985612</v>
      </c>
      <c r="K261" s="917">
        <f t="shared" si="542"/>
        <v>0.0835264645091438</v>
      </c>
      <c r="L261" s="917">
        <f t="shared" si="542"/>
        <v>-0.0093259117199709</v>
      </c>
      <c r="M261" s="917">
        <f t="shared" si="542"/>
        <v>0.0734215923548795</v>
      </c>
      <c r="N261" s="917">
        <f t="shared" si="542"/>
        <v>0.360577278946521</v>
      </c>
      <c r="O261" s="917">
        <f t="shared" si="542"/>
        <v>0.360396347962378</v>
      </c>
      <c r="P261" s="917">
        <f t="shared" si="542"/>
        <v>-0.00919415332615724</v>
      </c>
      <c r="Q261" s="917">
        <f t="shared" si="542"/>
        <v>-0.27177539857125</v>
      </c>
      <c r="R261" s="917">
        <f t="shared" si="542"/>
        <v>-0.0454101942884943</v>
      </c>
      <c r="S261" s="558"/>
      <c r="T261" s="850"/>
      <c r="U261" s="850"/>
    </row>
    <row r="263" s="37" customFormat="1" ht="41.4" spans="1:29">
      <c r="A263" s="868" t="s">
        <v>64</v>
      </c>
      <c r="B263" s="869" t="s">
        <v>1</v>
      </c>
      <c r="C263" s="870" t="s">
        <v>2</v>
      </c>
      <c r="D263" s="870" t="s">
        <v>3</v>
      </c>
      <c r="E263" s="871" t="s">
        <v>4</v>
      </c>
      <c r="F263" s="869" t="s">
        <v>5</v>
      </c>
      <c r="G263" s="871" t="s">
        <v>6</v>
      </c>
      <c r="H263" s="871" t="s">
        <v>7</v>
      </c>
      <c r="I263" s="871" t="s">
        <v>8</v>
      </c>
      <c r="J263" s="871" t="s">
        <v>34</v>
      </c>
      <c r="K263" s="879" t="s">
        <v>9</v>
      </c>
      <c r="L263" s="869" t="s">
        <v>10</v>
      </c>
      <c r="M263" s="880" t="s">
        <v>11</v>
      </c>
      <c r="N263" s="881" t="s">
        <v>12</v>
      </c>
      <c r="O263" s="879" t="s">
        <v>13</v>
      </c>
      <c r="P263" s="875" t="s">
        <v>14</v>
      </c>
      <c r="Q263" s="869" t="s">
        <v>15</v>
      </c>
      <c r="R263" s="912" t="s">
        <v>16</v>
      </c>
      <c r="S263" s="882" t="s">
        <v>35</v>
      </c>
      <c r="T263" s="882" t="s">
        <v>37</v>
      </c>
      <c r="U263" s="882" t="s">
        <v>36</v>
      </c>
      <c r="V263" s="882" t="s">
        <v>38</v>
      </c>
      <c r="W263" s="882" t="s">
        <v>39</v>
      </c>
      <c r="X263" s="882" t="s">
        <v>40</v>
      </c>
      <c r="Y263" s="882" t="s">
        <v>41</v>
      </c>
      <c r="Z263" s="882" t="s">
        <v>42</v>
      </c>
      <c r="AA263" s="882" t="s">
        <v>43</v>
      </c>
      <c r="AB263" s="37" t="s">
        <v>44</v>
      </c>
      <c r="AC263" s="37" t="s">
        <v>49</v>
      </c>
    </row>
    <row r="264" s="37" customFormat="1" spans="1:29">
      <c r="A264" s="686" t="s">
        <v>19</v>
      </c>
      <c r="B264" s="685">
        <f>SUM(明星店铺!B1396:B1426)</f>
        <v>42640.33</v>
      </c>
      <c r="C264" s="1086">
        <f>SUM(明星店铺!C1396:C1426)</f>
        <v>121175</v>
      </c>
      <c r="D264" s="1086">
        <f>SUM(明星店铺!D1396:D1426)</f>
        <v>4070</v>
      </c>
      <c r="E264" s="1086">
        <f>SUM(明星店铺!E1396:E1426)</f>
        <v>36</v>
      </c>
      <c r="F264" s="1088">
        <f>SUM(明星店铺!F1396:F1426)</f>
        <v>301214</v>
      </c>
      <c r="G264" s="1086">
        <f>SUM(明星店铺!G1396:G1426)</f>
        <v>863</v>
      </c>
      <c r="H264" s="1086">
        <f>SUM(明星店铺!H1396:H1426)</f>
        <v>75</v>
      </c>
      <c r="I264" s="1086">
        <f>SUM(明星店铺!I1396:I1426)</f>
        <v>150</v>
      </c>
      <c r="J264" s="1086">
        <f t="shared" ref="J264:J267" si="543">H264+I264</f>
        <v>225</v>
      </c>
      <c r="K264" s="688">
        <f t="shared" ref="K264:K268" si="544">D264/C264</f>
        <v>0.033587786259542</v>
      </c>
      <c r="L264" s="685">
        <f t="shared" ref="L264:L268" si="545">B264/D264</f>
        <v>10.4767395577396</v>
      </c>
      <c r="M264" s="886">
        <f t="shared" ref="M264:M268" si="546">(B264/C264)*1000</f>
        <v>351.890488962245</v>
      </c>
      <c r="N264" s="887">
        <f t="shared" ref="N264:N268" si="547">F264/B264</f>
        <v>7.06406352858901</v>
      </c>
      <c r="O264" s="688">
        <f t="shared" ref="O264:O268" si="548">E264/D264</f>
        <v>0.00884520884520885</v>
      </c>
      <c r="P264" s="915">
        <f t="shared" ref="P264:P267" si="549">IF(E264=0,"0",F264/E264)</f>
        <v>8367.05555555555</v>
      </c>
      <c r="Q264" s="685">
        <f t="shared" ref="Q264:Q267" si="550">IF(E264=0,"0",B264/E264)</f>
        <v>1184.45361111111</v>
      </c>
      <c r="R264" s="902">
        <f t="shared" ref="R264:R268" si="551">B264/G264</f>
        <v>49.4094206257242</v>
      </c>
      <c r="S264" s="558">
        <f t="shared" ref="S264:S268" si="552">G264+J264</f>
        <v>1088</v>
      </c>
      <c r="T264" s="917">
        <f t="shared" ref="T264:T268" si="553">(S264-S256)/S256</f>
        <v>-0.322118380062305</v>
      </c>
      <c r="U264" s="850">
        <f t="shared" ref="U264:U268" si="554">B264/S264</f>
        <v>39.1914797794118</v>
      </c>
      <c r="V264" s="917">
        <f t="shared" ref="V264:V268" si="555">(B264-B256)/B256</f>
        <v>-0.234538250082532</v>
      </c>
      <c r="W264" s="917">
        <f t="shared" ref="W264:W268" si="556">D264/$D$132</f>
        <v>0.0201081989081297</v>
      </c>
      <c r="X264" s="917">
        <f t="shared" ref="X264:X268" si="557">(G264-G256)/G256</f>
        <v>-0.298373983739837</v>
      </c>
      <c r="Y264" s="917">
        <f t="shared" ref="Y264:Y268" si="558">(F264-F256)/F256</f>
        <v>-0.512953351119735</v>
      </c>
      <c r="Z264" s="917">
        <f t="shared" ref="Z264:Z268" si="559">(R264-R256)/R256</f>
        <v>0.09098256361354</v>
      </c>
      <c r="AA264" s="917">
        <f t="shared" ref="AA264:AA268" si="560">(U264-U256)/U256</f>
        <v>0.129196791008764</v>
      </c>
      <c r="AB264" s="917">
        <f>B264/B268</f>
        <v>0.191055122874511</v>
      </c>
    </row>
    <row r="265" s="37" customFormat="1" spans="1:29">
      <c r="A265" s="686" t="s">
        <v>20</v>
      </c>
      <c r="B265" s="685">
        <f>SUM(直通车!B1396:B1426)</f>
        <v>53903.01</v>
      </c>
      <c r="C265" s="1086">
        <f>SUM(直通车!C1396:C1426)</f>
        <v>187333</v>
      </c>
      <c r="D265" s="1086">
        <f>SUM(直通车!D1396:D1426)</f>
        <v>18575</v>
      </c>
      <c r="E265" s="1086">
        <f>SUM(直通车!E1396:E1426)</f>
        <v>21</v>
      </c>
      <c r="F265" s="685">
        <f>SUM(直通车!F1396:F1426)</f>
        <v>292937</v>
      </c>
      <c r="G265" s="1086">
        <f>SUM(直通车!G1396:G1426)</f>
        <v>726</v>
      </c>
      <c r="H265" s="1086">
        <f>SUM(直通车!H1396:H1426)</f>
        <v>83</v>
      </c>
      <c r="I265" s="1086">
        <f>SUM(直通车!I1396:I1426)</f>
        <v>63</v>
      </c>
      <c r="J265" s="1086">
        <f t="shared" si="543"/>
        <v>146</v>
      </c>
      <c r="K265" s="688">
        <f t="shared" si="544"/>
        <v>0.0991549807028126</v>
      </c>
      <c r="L265" s="685">
        <f t="shared" si="545"/>
        <v>2.90191170928668</v>
      </c>
      <c r="M265" s="886">
        <f t="shared" si="546"/>
        <v>287.738999535586</v>
      </c>
      <c r="N265" s="887">
        <f t="shared" si="547"/>
        <v>5.43452026148447</v>
      </c>
      <c r="O265" s="688">
        <f t="shared" si="548"/>
        <v>0.00113055181695828</v>
      </c>
      <c r="P265" s="915">
        <f t="shared" si="549"/>
        <v>13949.380952381</v>
      </c>
      <c r="Q265" s="685">
        <f t="shared" si="550"/>
        <v>2566.81</v>
      </c>
      <c r="R265" s="902">
        <f t="shared" si="551"/>
        <v>74.2465702479339</v>
      </c>
      <c r="S265" s="558">
        <f t="shared" si="552"/>
        <v>872</v>
      </c>
      <c r="T265" s="917">
        <f t="shared" si="553"/>
        <v>-0.0158013544018059</v>
      </c>
      <c r="U265" s="850">
        <f t="shared" si="554"/>
        <v>61.815378440367</v>
      </c>
      <c r="V265" s="917">
        <f t="shared" si="555"/>
        <v>-0.203448800208185</v>
      </c>
      <c r="W265" s="917">
        <f t="shared" si="556"/>
        <v>0.0917714483337862</v>
      </c>
      <c r="X265" s="917">
        <f t="shared" si="557"/>
        <v>-0.025503355704698</v>
      </c>
      <c r="Y265" s="917">
        <f t="shared" si="558"/>
        <v>-0.319640376995648</v>
      </c>
      <c r="Z265" s="917">
        <f t="shared" si="559"/>
        <v>-0.182602418946416</v>
      </c>
      <c r="AA265" s="917">
        <f t="shared" si="560"/>
        <v>-0.190660134156482</v>
      </c>
      <c r="AB265" s="917">
        <f>B265/B268</f>
        <v>0.241518914109155</v>
      </c>
    </row>
    <row r="266" s="37" customFormat="1" spans="1:29">
      <c r="A266" s="686" t="s">
        <v>21</v>
      </c>
      <c r="B266" s="685">
        <f>SUM(引力魔方!B1295:B1325)</f>
        <v>45673.05</v>
      </c>
      <c r="C266" s="1087">
        <f>SUM(引力魔方!C1295:C1325)</f>
        <v>1933522</v>
      </c>
      <c r="D266" s="1087">
        <f>SUM(引力魔方!D1295:D1325)</f>
        <v>49427</v>
      </c>
      <c r="E266" s="1087">
        <f>SUM(引力魔方!E1295:E1325)</f>
        <v>44</v>
      </c>
      <c r="F266" s="685">
        <f>SUM(引力魔方!F1295:F1325)</f>
        <v>505794</v>
      </c>
      <c r="G266" s="1086">
        <f>SUM(引力魔方!G1295:G1325)</f>
        <v>740</v>
      </c>
      <c r="H266" s="1086">
        <f>SUM(引力魔方!H1295:H1325)</f>
        <v>470</v>
      </c>
      <c r="I266" s="1086">
        <f>SUM(引力魔方!I1295:I1325)</f>
        <v>69</v>
      </c>
      <c r="J266" s="1086">
        <f t="shared" si="543"/>
        <v>539</v>
      </c>
      <c r="K266" s="688">
        <f t="shared" si="544"/>
        <v>0.0255631950399323</v>
      </c>
      <c r="L266" s="685">
        <f t="shared" si="545"/>
        <v>0.92405062010642</v>
      </c>
      <c r="M266" s="886">
        <f t="shared" si="546"/>
        <v>23.6216862285508</v>
      </c>
      <c r="N266" s="887">
        <f t="shared" si="547"/>
        <v>11.0742330542847</v>
      </c>
      <c r="O266" s="688">
        <f t="shared" si="548"/>
        <v>0.000890201711615109</v>
      </c>
      <c r="P266" s="915">
        <f t="shared" si="549"/>
        <v>11495.3181818182</v>
      </c>
      <c r="Q266" s="685">
        <f t="shared" si="550"/>
        <v>1038.02386363636</v>
      </c>
      <c r="R266" s="902">
        <f t="shared" si="551"/>
        <v>61.7203378378378</v>
      </c>
      <c r="S266" s="558">
        <f t="shared" si="552"/>
        <v>1279</v>
      </c>
      <c r="T266" s="917">
        <f t="shared" si="553"/>
        <v>-0.0851216022889843</v>
      </c>
      <c r="U266" s="850">
        <f t="shared" si="554"/>
        <v>35.7099687255669</v>
      </c>
      <c r="V266" s="917">
        <f t="shared" si="555"/>
        <v>-0.108546317070481</v>
      </c>
      <c r="W266" s="917">
        <f t="shared" si="556"/>
        <v>0.244198512882587</v>
      </c>
      <c r="X266" s="917">
        <f t="shared" si="557"/>
        <v>-0.170403587443946</v>
      </c>
      <c r="Y266" s="917">
        <f t="shared" si="558"/>
        <v>0.383387123242711</v>
      </c>
      <c r="Z266" s="917">
        <f t="shared" si="559"/>
        <v>0.0745630880717985</v>
      </c>
      <c r="AA266" s="917">
        <f t="shared" si="560"/>
        <v>-0.0256041839441224</v>
      </c>
      <c r="AB266" s="917">
        <f>B266/B268</f>
        <v>0.204643589292196</v>
      </c>
    </row>
    <row r="267" s="37" customFormat="1" spans="1:29">
      <c r="A267" s="686" t="s">
        <v>27</v>
      </c>
      <c r="B267" s="685">
        <f>SUM(万相台!B884:B914)</f>
        <v>80967</v>
      </c>
      <c r="C267" s="1086">
        <f>SUM(万相台!C884:C914)</f>
        <v>1006676</v>
      </c>
      <c r="D267" s="1086">
        <f>SUM(万相台!D884:D914)</f>
        <v>90341</v>
      </c>
      <c r="E267" s="1086">
        <f>SUM(万相台!E884:E914)</f>
        <v>89</v>
      </c>
      <c r="F267" s="685">
        <f>SUM(万相台!F884:F914)</f>
        <v>899417</v>
      </c>
      <c r="G267" s="1086">
        <f>SUM(万相台!G884:G914)</f>
        <v>1235</v>
      </c>
      <c r="H267" s="1086">
        <f>SUM(万相台!H884:H914)</f>
        <v>243</v>
      </c>
      <c r="I267" s="1086">
        <f>SUM(万相台!I884:I914)</f>
        <v>183</v>
      </c>
      <c r="J267" s="1086">
        <f t="shared" si="543"/>
        <v>426</v>
      </c>
      <c r="K267" s="688">
        <f t="shared" si="544"/>
        <v>0.089741883187838</v>
      </c>
      <c r="L267" s="685">
        <f t="shared" si="545"/>
        <v>0.896237588691735</v>
      </c>
      <c r="M267" s="886">
        <f t="shared" si="546"/>
        <v>80.4300489929232</v>
      </c>
      <c r="N267" s="887">
        <f t="shared" si="547"/>
        <v>11.1084392406783</v>
      </c>
      <c r="O267" s="688">
        <f t="shared" si="548"/>
        <v>0.00098515624135221</v>
      </c>
      <c r="P267" s="915">
        <f t="shared" si="549"/>
        <v>10105.808988764</v>
      </c>
      <c r="Q267" s="685">
        <f t="shared" si="550"/>
        <v>909.741573033708</v>
      </c>
      <c r="R267" s="902">
        <f t="shared" si="551"/>
        <v>65.5603238866397</v>
      </c>
      <c r="S267" s="558">
        <f t="shared" si="552"/>
        <v>1661</v>
      </c>
      <c r="T267" s="917">
        <f t="shared" si="553"/>
        <v>-0.0668539325842697</v>
      </c>
      <c r="U267" s="850">
        <f t="shared" si="554"/>
        <v>48.7459361830223</v>
      </c>
      <c r="V267" s="917">
        <f t="shared" si="555"/>
        <v>-0.200239038315274</v>
      </c>
      <c r="W267" s="917">
        <f t="shared" si="556"/>
        <v>0.44633778809812</v>
      </c>
      <c r="X267" s="917">
        <f t="shared" si="557"/>
        <v>-0.0824665676077266</v>
      </c>
      <c r="Y267" s="917">
        <f t="shared" si="558"/>
        <v>-0.0460180970998183</v>
      </c>
      <c r="Z267" s="917">
        <f t="shared" si="559"/>
        <v>-0.128357688722557</v>
      </c>
      <c r="AA267" s="917">
        <f t="shared" si="560"/>
        <v>-0.142941293317994</v>
      </c>
      <c r="AB267" s="917">
        <f>B267/B268</f>
        <v>0.362782373724138</v>
      </c>
    </row>
    <row r="268" s="37" customFormat="1" spans="1:29">
      <c r="A268" s="891" t="s">
        <v>22</v>
      </c>
      <c r="B268" s="903">
        <f t="shared" ref="B268:J268" si="561">SUM(B264:B267)</f>
        <v>223183.39</v>
      </c>
      <c r="C268" s="904">
        <f t="shared" si="561"/>
        <v>3248706</v>
      </c>
      <c r="D268" s="904">
        <f t="shared" si="561"/>
        <v>162413</v>
      </c>
      <c r="E268" s="904">
        <f t="shared" si="561"/>
        <v>190</v>
      </c>
      <c r="F268" s="903">
        <f t="shared" si="561"/>
        <v>1999362</v>
      </c>
      <c r="G268" s="904">
        <f t="shared" si="561"/>
        <v>3564</v>
      </c>
      <c r="H268" s="904">
        <f t="shared" si="561"/>
        <v>871</v>
      </c>
      <c r="I268" s="904">
        <f t="shared" si="561"/>
        <v>465</v>
      </c>
      <c r="J268" s="904">
        <f t="shared" si="561"/>
        <v>1336</v>
      </c>
      <c r="K268" s="896">
        <f t="shared" si="544"/>
        <v>0.0499931357285024</v>
      </c>
      <c r="L268" s="903">
        <f t="shared" si="545"/>
        <v>1.37417195667834</v>
      </c>
      <c r="M268" s="897">
        <f t="shared" si="546"/>
        <v>68.6991651445222</v>
      </c>
      <c r="N268" s="898">
        <f t="shared" si="547"/>
        <v>8.9583817146966</v>
      </c>
      <c r="O268" s="896">
        <f t="shared" si="548"/>
        <v>0.00116985709272041</v>
      </c>
      <c r="P268" s="916">
        <f>F268/E268</f>
        <v>10522.9578947368</v>
      </c>
      <c r="Q268" s="903">
        <f>B268/E268</f>
        <v>1174.64942105263</v>
      </c>
      <c r="R268" s="902">
        <f t="shared" si="551"/>
        <v>62.6216021324355</v>
      </c>
      <c r="S268" s="558">
        <f t="shared" si="552"/>
        <v>4900</v>
      </c>
      <c r="T268" s="917">
        <f t="shared" si="553"/>
        <v>-0.135650026459693</v>
      </c>
      <c r="U268" s="850">
        <f t="shared" si="554"/>
        <v>45.5476306122449</v>
      </c>
      <c r="V268" s="917">
        <f t="shared" si="555"/>
        <v>-0.19092249711355</v>
      </c>
      <c r="W268" s="917">
        <f t="shared" si="556"/>
        <v>0.802415948222623</v>
      </c>
      <c r="X268" s="917">
        <f t="shared" si="557"/>
        <v>-0.154046997389034</v>
      </c>
      <c r="Y268" s="917">
        <f t="shared" si="558"/>
        <v>-0.151890932305663</v>
      </c>
      <c r="Z268" s="917">
        <f t="shared" si="559"/>
        <v>-0.0435904826990419</v>
      </c>
      <c r="AA268" s="917">
        <f t="shared" si="560"/>
        <v>-0.0639468645176967</v>
      </c>
      <c r="AB268" s="917">
        <f>B268/B268</f>
        <v>1</v>
      </c>
      <c r="AC268" s="917">
        <f>B268/F268</f>
        <v>0.111627304110011</v>
      </c>
    </row>
    <row r="269" s="37" customFormat="1" spans="1:29">
      <c r="A269" s="37" t="s">
        <v>59</v>
      </c>
      <c r="B269" s="917">
        <f t="shared" ref="B269:R269" si="562">(B268-B260)/B260</f>
        <v>-0.19092249711355</v>
      </c>
      <c r="C269" s="917">
        <f t="shared" si="562"/>
        <v>-0.380887734951117</v>
      </c>
      <c r="D269" s="917">
        <f t="shared" si="562"/>
        <v>0.0518908556291734</v>
      </c>
      <c r="E269" s="917">
        <f t="shared" si="562"/>
        <v>-0.0776699029126214</v>
      </c>
      <c r="F269" s="917">
        <f t="shared" si="562"/>
        <v>-0.151890932305663</v>
      </c>
      <c r="G269" s="917">
        <f t="shared" si="562"/>
        <v>-0.154046997389034</v>
      </c>
      <c r="H269" s="917">
        <f t="shared" si="562"/>
        <v>-0.00684150513112885</v>
      </c>
      <c r="I269" s="917">
        <f t="shared" si="562"/>
        <v>-0.196891191709845</v>
      </c>
      <c r="J269" s="917">
        <f t="shared" si="562"/>
        <v>-0.0824175824175824</v>
      </c>
      <c r="K269" s="917">
        <f t="shared" si="562"/>
        <v>0.69903087858568</v>
      </c>
      <c r="L269" s="917">
        <f t="shared" si="562"/>
        <v>-0.2308351208144</v>
      </c>
      <c r="M269" s="917">
        <f t="shared" si="562"/>
        <v>0.306834880459958</v>
      </c>
      <c r="N269" s="917">
        <f t="shared" si="562"/>
        <v>0.0482420592200858</v>
      </c>
      <c r="O269" s="917">
        <f t="shared" si="562"/>
        <v>-0.123169393334349</v>
      </c>
      <c r="P269" s="917">
        <f t="shared" si="562"/>
        <v>-0.080471221341929</v>
      </c>
      <c r="Q269" s="917">
        <f t="shared" si="562"/>
        <v>-0.122789654765217</v>
      </c>
      <c r="R269" s="917">
        <f t="shared" si="562"/>
        <v>-0.0435904826990419</v>
      </c>
      <c r="S269" s="558"/>
      <c r="T269" s="850"/>
      <c r="U269" s="850"/>
    </row>
    <row r="271" s="37" customFormat="1" ht="41.4" spans="1:29">
      <c r="A271" s="868" t="s">
        <v>65</v>
      </c>
      <c r="B271" s="869" t="s">
        <v>1</v>
      </c>
      <c r="C271" s="870" t="s">
        <v>2</v>
      </c>
      <c r="D271" s="870" t="s">
        <v>3</v>
      </c>
      <c r="E271" s="871" t="s">
        <v>4</v>
      </c>
      <c r="F271" s="869" t="s">
        <v>5</v>
      </c>
      <c r="G271" s="871" t="s">
        <v>6</v>
      </c>
      <c r="H271" s="871" t="s">
        <v>7</v>
      </c>
      <c r="I271" s="871" t="s">
        <v>8</v>
      </c>
      <c r="J271" s="871" t="s">
        <v>34</v>
      </c>
      <c r="K271" s="879" t="s">
        <v>9</v>
      </c>
      <c r="L271" s="869" t="s">
        <v>10</v>
      </c>
      <c r="M271" s="880" t="s">
        <v>11</v>
      </c>
      <c r="N271" s="881" t="s">
        <v>12</v>
      </c>
      <c r="O271" s="879" t="s">
        <v>13</v>
      </c>
      <c r="P271" s="875" t="s">
        <v>14</v>
      </c>
      <c r="Q271" s="869" t="s">
        <v>15</v>
      </c>
      <c r="R271" s="912" t="s">
        <v>16</v>
      </c>
      <c r="S271" s="882" t="s">
        <v>35</v>
      </c>
      <c r="T271" s="882" t="s">
        <v>37</v>
      </c>
      <c r="U271" s="882" t="s">
        <v>36</v>
      </c>
      <c r="V271" s="882" t="s">
        <v>38</v>
      </c>
      <c r="W271" s="882" t="s">
        <v>39</v>
      </c>
      <c r="X271" s="882" t="s">
        <v>40</v>
      </c>
      <c r="Y271" s="882" t="s">
        <v>41</v>
      </c>
      <c r="Z271" s="882" t="s">
        <v>42</v>
      </c>
      <c r="AA271" s="882" t="s">
        <v>43</v>
      </c>
      <c r="AB271" s="37" t="s">
        <v>44</v>
      </c>
      <c r="AC271" s="37" t="s">
        <v>49</v>
      </c>
    </row>
    <row r="272" s="37" customFormat="1" spans="1:29">
      <c r="A272" s="686" t="s">
        <v>19</v>
      </c>
      <c r="B272" s="685">
        <f>SUM(明星店铺!B1427:B1454)</f>
        <v>58179.93</v>
      </c>
      <c r="C272" s="1086">
        <f>SUM(明星店铺!C1427:C1454)</f>
        <v>169219</v>
      </c>
      <c r="D272" s="1086">
        <f>SUM(明星店铺!D1427:D1454)</f>
        <v>6879</v>
      </c>
      <c r="E272" s="1086">
        <f>SUM(明星店铺!E1427:E1454)</f>
        <v>92</v>
      </c>
      <c r="F272" s="1088">
        <f>SUM(明星店铺!F1427:F1454)</f>
        <v>976117</v>
      </c>
      <c r="G272" s="1086">
        <f>SUM(明星店铺!G1427:G1454)</f>
        <v>1652</v>
      </c>
      <c r="H272" s="1086">
        <f>SUM(明星店铺!H1427:H1454)</f>
        <v>118</v>
      </c>
      <c r="I272" s="1086">
        <f>SUM(明星店铺!I1427:I1454)</f>
        <v>251</v>
      </c>
      <c r="J272" s="1086">
        <f t="shared" ref="J272:J275" si="563">H272+I272</f>
        <v>369</v>
      </c>
      <c r="K272" s="688">
        <f t="shared" ref="K272:K276" si="564">D272/C272</f>
        <v>0.0406514634881426</v>
      </c>
      <c r="L272" s="685">
        <f t="shared" ref="L272:L276" si="565">B272/D272</f>
        <v>8.45761447884867</v>
      </c>
      <c r="M272" s="886">
        <f t="shared" ref="M272:M276" si="566">(B272/C272)*1000</f>
        <v>343.814406183703</v>
      </c>
      <c r="N272" s="887">
        <f t="shared" ref="N272:N276" si="567">F272/B272</f>
        <v>16.7775554216033</v>
      </c>
      <c r="O272" s="688">
        <f t="shared" ref="O272:O276" si="568">E272/D272</f>
        <v>0.0133740369239715</v>
      </c>
      <c r="P272" s="915">
        <f t="shared" ref="P272:P275" si="569">IF(E272=0,"0",F272/E272)</f>
        <v>10609.9673913043</v>
      </c>
      <c r="Q272" s="685">
        <f t="shared" ref="Q272:Q275" si="570">IF(E272=0,"0",B272/E272)</f>
        <v>632.390543478261</v>
      </c>
      <c r="R272" s="902">
        <f t="shared" ref="R272:R276" si="571">B272/G272</f>
        <v>35.2178753026634</v>
      </c>
      <c r="S272" s="558">
        <f t="shared" ref="S272:S276" si="572">G272+J272</f>
        <v>2021</v>
      </c>
      <c r="T272" s="917">
        <f t="shared" ref="T272:T276" si="573">(S272-S264)/S264</f>
        <v>0.857536764705882</v>
      </c>
      <c r="U272" s="850">
        <f t="shared" ref="U272:U276" si="574">B272/S272</f>
        <v>28.7876942107867</v>
      </c>
      <c r="V272" s="917">
        <f t="shared" ref="V272:V276" si="575">(B272-B264)/B264</f>
        <v>0.36443432778311</v>
      </c>
      <c r="W272" s="917">
        <f t="shared" ref="W272:W276" si="576">D272/$D$132</f>
        <v>0.0339863145673279</v>
      </c>
      <c r="X272" s="917">
        <f t="shared" ref="X272:X276" si="577">(G272-G264)/G264</f>
        <v>0.914252607184241</v>
      </c>
      <c r="Y272" s="917">
        <f t="shared" ref="Y272:Y276" si="578">(F272-F264)/F264</f>
        <v>2.24060966621737</v>
      </c>
      <c r="Z272" s="917">
        <f t="shared" ref="Z272:Z276" si="579">(R272-R264)/R264</f>
        <v>-0.287223471624198</v>
      </c>
      <c r="AA272" s="917">
        <f t="shared" ref="AA272:AA276" si="580">(U272-U264)/U264</f>
        <v>-0.265460391574456</v>
      </c>
      <c r="AB272" s="917">
        <f>B272/B276</f>
        <v>0.2015382115939</v>
      </c>
    </row>
    <row r="273" s="37" customFormat="1" spans="1:29">
      <c r="A273" s="686" t="s">
        <v>20</v>
      </c>
      <c r="B273" s="685">
        <f>SUM(直通车!B1427:B1454)</f>
        <v>51645.24</v>
      </c>
      <c r="C273" s="1086">
        <f>SUM(直通车!C1427:C1454)</f>
        <v>161562</v>
      </c>
      <c r="D273" s="1086">
        <f>SUM(直通车!D1427:D1454)</f>
        <v>15680</v>
      </c>
      <c r="E273" s="1086">
        <f>SUM(直通车!E1427:E1454)</f>
        <v>34</v>
      </c>
      <c r="F273" s="685">
        <f>SUM(直通车!F1427:F1454)</f>
        <v>392036</v>
      </c>
      <c r="G273" s="1086">
        <f>SUM(直通车!G1427:G1454)</f>
        <v>871</v>
      </c>
      <c r="H273" s="1086">
        <f>SUM(直通车!H1427:H1454)</f>
        <v>87</v>
      </c>
      <c r="I273" s="1086">
        <f>SUM(直通车!I1427:I1454)</f>
        <v>71</v>
      </c>
      <c r="J273" s="1086">
        <f t="shared" si="563"/>
        <v>158</v>
      </c>
      <c r="K273" s="688">
        <f t="shared" si="564"/>
        <v>0.0970525247273493</v>
      </c>
      <c r="L273" s="685">
        <f t="shared" si="565"/>
        <v>3.29370153061224</v>
      </c>
      <c r="M273" s="886">
        <f t="shared" si="566"/>
        <v>319.662049244253</v>
      </c>
      <c r="N273" s="887">
        <f t="shared" si="567"/>
        <v>7.59094158532326</v>
      </c>
      <c r="O273" s="688">
        <f t="shared" si="568"/>
        <v>0.00216836734693878</v>
      </c>
      <c r="P273" s="915">
        <f t="shared" si="569"/>
        <v>11530.4705882353</v>
      </c>
      <c r="Q273" s="685">
        <f t="shared" si="570"/>
        <v>1518.97764705882</v>
      </c>
      <c r="R273" s="902">
        <f t="shared" si="571"/>
        <v>59.2941905855339</v>
      </c>
      <c r="S273" s="558">
        <f t="shared" si="572"/>
        <v>1029</v>
      </c>
      <c r="T273" s="917">
        <f t="shared" si="573"/>
        <v>0.180045871559633</v>
      </c>
      <c r="U273" s="850">
        <f t="shared" si="574"/>
        <v>50.1897376093294</v>
      </c>
      <c r="V273" s="917">
        <f t="shared" si="575"/>
        <v>-0.0418857870831335</v>
      </c>
      <c r="W273" s="917">
        <f t="shared" si="576"/>
        <v>0.0774684419851288</v>
      </c>
      <c r="X273" s="917">
        <f t="shared" si="577"/>
        <v>0.199724517906336</v>
      </c>
      <c r="Y273" s="917">
        <f t="shared" si="578"/>
        <v>0.338294582111512</v>
      </c>
      <c r="Z273" s="917">
        <f t="shared" si="579"/>
        <v>-0.201388153182956</v>
      </c>
      <c r="AA273" s="917">
        <f t="shared" si="580"/>
        <v>-0.188070365730313</v>
      </c>
      <c r="AB273" s="917">
        <f>B273/B276</f>
        <v>0.17890171588274</v>
      </c>
    </row>
    <row r="274" s="37" customFormat="1" spans="1:29">
      <c r="A274" s="686" t="s">
        <v>21</v>
      </c>
      <c r="B274" s="685">
        <f>SUM(引力魔方!B1326:B1353)</f>
        <v>42240.23</v>
      </c>
      <c r="C274" s="1087">
        <f>SUM(引力魔方!C1326:C1353)</f>
        <v>1895228</v>
      </c>
      <c r="D274" s="1087">
        <f>SUM(引力魔方!D1326:D1353)</f>
        <v>58484</v>
      </c>
      <c r="E274" s="1087">
        <f>SUM(引力魔方!E1326:E1353)</f>
        <v>42</v>
      </c>
      <c r="F274" s="685">
        <f>SUM(引力魔方!F1326:F1353)</f>
        <v>479698</v>
      </c>
      <c r="G274" s="1086">
        <f>SUM(引力魔方!G1326:G1353)</f>
        <v>914</v>
      </c>
      <c r="H274" s="1086">
        <f>SUM(引力魔方!H1326:H1353)</f>
        <v>780</v>
      </c>
      <c r="I274" s="1086">
        <f>SUM(引力魔方!I1326:I1353)</f>
        <v>72</v>
      </c>
      <c r="J274" s="1086">
        <f t="shared" si="563"/>
        <v>852</v>
      </c>
      <c r="K274" s="688">
        <f t="shared" si="564"/>
        <v>0.0308585563320086</v>
      </c>
      <c r="L274" s="685">
        <f t="shared" si="565"/>
        <v>0.722252752889679</v>
      </c>
      <c r="M274" s="886">
        <f t="shared" si="566"/>
        <v>22.2876772609944</v>
      </c>
      <c r="N274" s="887">
        <f t="shared" si="567"/>
        <v>11.3564249058303</v>
      </c>
      <c r="O274" s="688">
        <f t="shared" si="568"/>
        <v>0.000718145133711784</v>
      </c>
      <c r="P274" s="915">
        <f t="shared" si="569"/>
        <v>11421.380952381</v>
      </c>
      <c r="Q274" s="685">
        <f t="shared" si="570"/>
        <v>1005.71976190476</v>
      </c>
      <c r="R274" s="902">
        <f t="shared" si="571"/>
        <v>46.2146936542669</v>
      </c>
      <c r="S274" s="558">
        <f t="shared" si="572"/>
        <v>1766</v>
      </c>
      <c r="T274" s="917">
        <f t="shared" si="573"/>
        <v>0.380766223612197</v>
      </c>
      <c r="U274" s="850">
        <f t="shared" si="574"/>
        <v>23.9185900339751</v>
      </c>
      <c r="V274" s="917">
        <f t="shared" si="575"/>
        <v>-0.0751607348315914</v>
      </c>
      <c r="W274" s="917">
        <f t="shared" si="576"/>
        <v>0.288945431189941</v>
      </c>
      <c r="X274" s="917">
        <f t="shared" si="577"/>
        <v>0.235135135135135</v>
      </c>
      <c r="Y274" s="917">
        <f t="shared" si="578"/>
        <v>-0.0515941272533877</v>
      </c>
      <c r="Z274" s="917">
        <f t="shared" si="579"/>
        <v>-0.251224227325358</v>
      </c>
      <c r="AA274" s="917">
        <f t="shared" si="580"/>
        <v>-0.33019851633613</v>
      </c>
      <c r="AB274" s="917">
        <f>B274/B276</f>
        <v>0.146322286938382</v>
      </c>
    </row>
    <row r="275" s="37" customFormat="1" spans="1:29">
      <c r="A275" s="686" t="s">
        <v>27</v>
      </c>
      <c r="B275" s="685">
        <f>SUM(万相台!B915:B942)</f>
        <v>136614</v>
      </c>
      <c r="C275" s="1086">
        <f>SUM(万相台!C915:C942)</f>
        <v>4094131</v>
      </c>
      <c r="D275" s="1086">
        <f>SUM(万相台!D915:D942)</f>
        <v>95770</v>
      </c>
      <c r="E275" s="1086">
        <f>SUM(万相台!E915:E942)</f>
        <v>117</v>
      </c>
      <c r="F275" s="685">
        <f>SUM(万相台!F915:F942)</f>
        <v>1407294</v>
      </c>
      <c r="G275" s="1086">
        <f>SUM(万相台!G915:G942)</f>
        <v>2073</v>
      </c>
      <c r="H275" s="1086">
        <f>SUM(万相台!H915:H942)</f>
        <v>273</v>
      </c>
      <c r="I275" s="1086">
        <f>SUM(万相台!I915:I942)</f>
        <v>168</v>
      </c>
      <c r="J275" s="1086">
        <f t="shared" si="563"/>
        <v>441</v>
      </c>
      <c r="K275" s="688">
        <f t="shared" si="564"/>
        <v>0.023392021408206</v>
      </c>
      <c r="L275" s="685">
        <f t="shared" si="565"/>
        <v>1.42648010859351</v>
      </c>
      <c r="M275" s="886">
        <f t="shared" si="566"/>
        <v>33.3682532385994</v>
      </c>
      <c r="N275" s="887">
        <f t="shared" si="567"/>
        <v>10.3012429180025</v>
      </c>
      <c r="O275" s="688">
        <f t="shared" si="568"/>
        <v>0.00122167693432181</v>
      </c>
      <c r="P275" s="915">
        <f t="shared" si="569"/>
        <v>12028.1538461538</v>
      </c>
      <c r="Q275" s="685">
        <f t="shared" si="570"/>
        <v>1167.64102564103</v>
      </c>
      <c r="R275" s="902">
        <f t="shared" si="571"/>
        <v>65.9015918958032</v>
      </c>
      <c r="S275" s="558">
        <f t="shared" si="572"/>
        <v>2514</v>
      </c>
      <c r="T275" s="917">
        <f t="shared" si="573"/>
        <v>0.513546056592414</v>
      </c>
      <c r="U275" s="850">
        <f t="shared" si="574"/>
        <v>54.3412887828162</v>
      </c>
      <c r="V275" s="917">
        <f t="shared" si="575"/>
        <v>0.687280002964171</v>
      </c>
      <c r="W275" s="917">
        <f t="shared" si="576"/>
        <v>0.473160248017588</v>
      </c>
      <c r="X275" s="917">
        <f t="shared" si="577"/>
        <v>0.678542510121457</v>
      </c>
      <c r="Y275" s="917">
        <f t="shared" si="578"/>
        <v>0.564673560762138</v>
      </c>
      <c r="Z275" s="917">
        <f t="shared" si="579"/>
        <v>0.00520540456379663</v>
      </c>
      <c r="AA275" s="917">
        <f t="shared" si="580"/>
        <v>0.114786032189136</v>
      </c>
      <c r="AB275" s="917">
        <f>B275/B276</f>
        <v>0.473237785584978</v>
      </c>
    </row>
    <row r="276" s="37" customFormat="1" spans="1:29">
      <c r="A276" s="891" t="s">
        <v>22</v>
      </c>
      <c r="B276" s="903">
        <f t="shared" ref="B276:J276" si="581">SUM(B272:B275)</f>
        <v>288679.4</v>
      </c>
      <c r="C276" s="904">
        <f t="shared" si="581"/>
        <v>6320140</v>
      </c>
      <c r="D276" s="904">
        <f t="shared" si="581"/>
        <v>176813</v>
      </c>
      <c r="E276" s="904">
        <f t="shared" si="581"/>
        <v>285</v>
      </c>
      <c r="F276" s="903">
        <f t="shared" si="581"/>
        <v>3255145</v>
      </c>
      <c r="G276" s="904">
        <f t="shared" si="581"/>
        <v>5510</v>
      </c>
      <c r="H276" s="904">
        <f t="shared" si="581"/>
        <v>1258</v>
      </c>
      <c r="I276" s="904">
        <f t="shared" si="581"/>
        <v>562</v>
      </c>
      <c r="J276" s="904">
        <f t="shared" si="581"/>
        <v>1820</v>
      </c>
      <c r="K276" s="896">
        <f t="shared" si="564"/>
        <v>0.0279761207821346</v>
      </c>
      <c r="L276" s="903">
        <f t="shared" si="565"/>
        <v>1.63268198605306</v>
      </c>
      <c r="M276" s="897">
        <f t="shared" si="566"/>
        <v>45.6761084406358</v>
      </c>
      <c r="N276" s="898">
        <f t="shared" si="567"/>
        <v>11.275986440321</v>
      </c>
      <c r="O276" s="896">
        <f t="shared" si="568"/>
        <v>0.00161187243019461</v>
      </c>
      <c r="P276" s="916">
        <f>F276/E276</f>
        <v>11421.5614035088</v>
      </c>
      <c r="Q276" s="903">
        <f>B276/E276</f>
        <v>1012.9101754386</v>
      </c>
      <c r="R276" s="902">
        <f t="shared" si="571"/>
        <v>52.3919056261343</v>
      </c>
      <c r="S276" s="558">
        <f t="shared" si="572"/>
        <v>7330</v>
      </c>
      <c r="T276" s="917">
        <f t="shared" si="573"/>
        <v>0.495918367346939</v>
      </c>
      <c r="U276" s="850">
        <f t="shared" si="574"/>
        <v>39.3832742155525</v>
      </c>
      <c r="V276" s="917">
        <f t="shared" si="575"/>
        <v>0.293462743800065</v>
      </c>
      <c r="W276" s="917">
        <f t="shared" si="576"/>
        <v>0.873560435759986</v>
      </c>
      <c r="X276" s="917">
        <f t="shared" si="577"/>
        <v>0.546015712682379</v>
      </c>
      <c r="Y276" s="917">
        <f t="shared" si="578"/>
        <v>0.628091861303756</v>
      </c>
      <c r="Z276" s="917">
        <f t="shared" si="579"/>
        <v>-0.163357310543842</v>
      </c>
      <c r="AA276" s="917">
        <f t="shared" si="580"/>
        <v>-0.135338684226423</v>
      </c>
      <c r="AB276" s="917">
        <f>B276/B276</f>
        <v>1</v>
      </c>
      <c r="AC276" s="917">
        <f>B276/F276</f>
        <v>0.0886840371166261</v>
      </c>
    </row>
    <row r="277" s="37" customFormat="1" spans="1:29">
      <c r="A277" s="37" t="s">
        <v>60</v>
      </c>
      <c r="B277" s="917">
        <f t="shared" ref="B277:R277" si="582">(B276-B268)/B268</f>
        <v>0.293462743800065</v>
      </c>
      <c r="C277" s="917">
        <f t="shared" si="582"/>
        <v>0.945433043187041</v>
      </c>
      <c r="D277" s="917">
        <f t="shared" si="582"/>
        <v>0.0886628533430206</v>
      </c>
      <c r="E277" s="917">
        <f t="shared" si="582"/>
        <v>0.5</v>
      </c>
      <c r="F277" s="917">
        <f t="shared" si="582"/>
        <v>0.628091861303756</v>
      </c>
      <c r="G277" s="917">
        <f t="shared" si="582"/>
        <v>0.546015712682379</v>
      </c>
      <c r="H277" s="917">
        <f t="shared" si="582"/>
        <v>0.444316877152698</v>
      </c>
      <c r="I277" s="917">
        <f t="shared" si="582"/>
        <v>0.208602150537634</v>
      </c>
      <c r="J277" s="917">
        <f t="shared" si="582"/>
        <v>0.362275449101796</v>
      </c>
      <c r="K277" s="917">
        <f t="shared" si="582"/>
        <v>-0.44040075953498</v>
      </c>
      <c r="L277" s="917">
        <f t="shared" si="582"/>
        <v>0.18812058281235</v>
      </c>
      <c r="M277" s="917">
        <f t="shared" si="582"/>
        <v>-0.335128624277352</v>
      </c>
      <c r="N277" s="917">
        <f t="shared" si="582"/>
        <v>0.258707967514073</v>
      </c>
      <c r="O277" s="917">
        <f t="shared" si="582"/>
        <v>0.377837036869461</v>
      </c>
      <c r="P277" s="917">
        <f t="shared" si="582"/>
        <v>0.0853945742025038</v>
      </c>
      <c r="Q277" s="917">
        <f t="shared" si="582"/>
        <v>-0.13769150413329</v>
      </c>
      <c r="R277" s="917">
        <f t="shared" si="582"/>
        <v>-0.163357310543842</v>
      </c>
      <c r="S277" s="558"/>
      <c r="T277" s="850"/>
      <c r="U277" s="850"/>
    </row>
    <row r="279" s="37" customFormat="1" ht="41.4" spans="1:29">
      <c r="A279" s="868" t="s">
        <v>66</v>
      </c>
      <c r="B279" s="869" t="s">
        <v>1</v>
      </c>
      <c r="C279" s="870" t="s">
        <v>2</v>
      </c>
      <c r="D279" s="870" t="s">
        <v>3</v>
      </c>
      <c r="E279" s="871" t="s">
        <v>4</v>
      </c>
      <c r="F279" s="869" t="s">
        <v>5</v>
      </c>
      <c r="G279" s="871" t="s">
        <v>6</v>
      </c>
      <c r="H279" s="871" t="s">
        <v>7</v>
      </c>
      <c r="I279" s="871" t="s">
        <v>8</v>
      </c>
      <c r="J279" s="871" t="s">
        <v>34</v>
      </c>
      <c r="K279" s="879" t="s">
        <v>9</v>
      </c>
      <c r="L279" s="869" t="s">
        <v>10</v>
      </c>
      <c r="M279" s="880" t="s">
        <v>11</v>
      </c>
      <c r="N279" s="881" t="s">
        <v>12</v>
      </c>
      <c r="O279" s="879" t="s">
        <v>13</v>
      </c>
      <c r="P279" s="875" t="s">
        <v>14</v>
      </c>
      <c r="Q279" s="869" t="s">
        <v>15</v>
      </c>
      <c r="R279" s="912" t="s">
        <v>16</v>
      </c>
      <c r="S279" s="882" t="s">
        <v>35</v>
      </c>
      <c r="T279" s="882" t="s">
        <v>37</v>
      </c>
      <c r="U279" s="882" t="s">
        <v>36</v>
      </c>
      <c r="V279" s="882" t="s">
        <v>38</v>
      </c>
      <c r="W279" s="882" t="s">
        <v>39</v>
      </c>
      <c r="X279" s="882" t="s">
        <v>40</v>
      </c>
      <c r="Y279" s="882" t="s">
        <v>41</v>
      </c>
      <c r="Z279" s="882" t="s">
        <v>42</v>
      </c>
      <c r="AA279" s="882" t="s">
        <v>43</v>
      </c>
      <c r="AB279" s="37" t="s">
        <v>44</v>
      </c>
      <c r="AC279" s="37" t="s">
        <v>49</v>
      </c>
    </row>
    <row r="280" s="37" customFormat="1" spans="1:29">
      <c r="A280" s="686" t="s">
        <v>19</v>
      </c>
      <c r="B280" s="685">
        <f>SUM(明星店铺!B1455:B1485)</f>
        <v>34156.2</v>
      </c>
      <c r="C280" s="1086">
        <f>SUM(明星店铺!C1455:C1485)</f>
        <v>73399</v>
      </c>
      <c r="D280" s="1086">
        <f>SUM(明星店铺!D1455:D1485)</f>
        <v>4506</v>
      </c>
      <c r="E280" s="1086">
        <f>SUM(明星店铺!E1455:E1485)</f>
        <v>56</v>
      </c>
      <c r="F280" s="1088">
        <f>SUM(明星店铺!F1455:F1485)</f>
        <v>616536.07</v>
      </c>
      <c r="G280" s="1086">
        <f>SUM(明星店铺!G1455:G1485)</f>
        <v>1024</v>
      </c>
      <c r="H280" s="1086">
        <f>SUM(明星店铺!H1455:H1485)</f>
        <v>77</v>
      </c>
      <c r="I280" s="1086">
        <f>SUM(明星店铺!I1455:I1485)</f>
        <v>145</v>
      </c>
      <c r="J280" s="1086">
        <f t="shared" ref="J280:J283" si="583">H280+I280</f>
        <v>222</v>
      </c>
      <c r="K280" s="688">
        <f t="shared" ref="K280:K284" si="584">D280/C280</f>
        <v>0.0613904821591575</v>
      </c>
      <c r="L280" s="685">
        <f t="shared" ref="L280:L284" si="585">B280/D280</f>
        <v>7.58015978695073</v>
      </c>
      <c r="M280" s="886">
        <f t="shared" ref="M280:M284" si="586">(B280/C280)*1000</f>
        <v>465.349664164362</v>
      </c>
      <c r="N280" s="887">
        <f t="shared" ref="N280:N284" si="587">F280/B280</f>
        <v>18.050487759177</v>
      </c>
      <c r="O280" s="688">
        <f t="shared" ref="O280:O284" si="588">E280/D280</f>
        <v>0.01242787394585</v>
      </c>
      <c r="P280" s="915">
        <f t="shared" ref="P280:P283" si="589">IF(E280=0,"0",F280/E280)</f>
        <v>11009.5726785714</v>
      </c>
      <c r="Q280" s="685">
        <f t="shared" ref="Q280:Q283" si="590">IF(E280=0,"0",B280/E280)</f>
        <v>609.932142857143</v>
      </c>
      <c r="R280" s="902">
        <f t="shared" ref="R280:R284" si="591">B280/G280</f>
        <v>33.3556640625</v>
      </c>
      <c r="S280" s="558">
        <f t="shared" ref="S280:S284" si="592">G280+J280</f>
        <v>1246</v>
      </c>
      <c r="T280" s="917">
        <f t="shared" ref="T280:T284" si="593">(S280-S272)/S272</f>
        <v>-0.383473527956457</v>
      </c>
      <c r="U280" s="850">
        <f t="shared" ref="U280:U284" si="594">B280/S280</f>
        <v>27.4126805778491</v>
      </c>
      <c r="V280" s="917">
        <f t="shared" ref="V280:V284" si="595">(B280-B272)/B272</f>
        <v>-0.412921259960265</v>
      </c>
      <c r="W280" s="917">
        <f t="shared" ref="W280:W284" si="596">D280/$D$132</f>
        <v>0.0222622958918999</v>
      </c>
      <c r="X280" s="917">
        <f t="shared" ref="X280:X284" si="597">(G280-G272)/G272</f>
        <v>-0.380145278450363</v>
      </c>
      <c r="Y280" s="917">
        <f t="shared" ref="Y280:Y284" si="598">(F280-F272)/F272</f>
        <v>-0.368378923838023</v>
      </c>
      <c r="Z280" s="917">
        <f t="shared" ref="Z280:Z284" si="599">(R280-R272)/R272</f>
        <v>-0.0528768764202696</v>
      </c>
      <c r="AA280" s="917">
        <f t="shared" ref="AA280:AA284" si="600">(U280-U272)/U272</f>
        <v>-0.0477639377044086</v>
      </c>
      <c r="AB280" s="917">
        <f>B280/B284</f>
        <v>0.172002432272173</v>
      </c>
    </row>
    <row r="281" s="37" customFormat="1" spans="1:29">
      <c r="A281" s="686" t="s">
        <v>20</v>
      </c>
      <c r="B281" s="685">
        <f>SUM(直通车!B1455:B1485)</f>
        <v>38724.43</v>
      </c>
      <c r="C281" s="1086">
        <f>SUM(直通车!C1455:C1485)</f>
        <v>291258</v>
      </c>
      <c r="D281" s="1086">
        <f>SUM(直通车!D1455:D1485)</f>
        <v>16264</v>
      </c>
      <c r="E281" s="1086">
        <f>SUM(直通车!E1455:E1485)</f>
        <v>19</v>
      </c>
      <c r="F281" s="685">
        <f>SUM(直通车!F1455:F1485)</f>
        <v>157474.01</v>
      </c>
      <c r="G281" s="1086">
        <f>SUM(直通车!G1455:G1485)</f>
        <v>608</v>
      </c>
      <c r="H281" s="1086">
        <f>SUM(直通车!H1455:H1485)</f>
        <v>50</v>
      </c>
      <c r="I281" s="1086">
        <f>SUM(直通车!I1455:I1485)</f>
        <v>35</v>
      </c>
      <c r="J281" s="1086">
        <f t="shared" si="583"/>
        <v>85</v>
      </c>
      <c r="K281" s="688">
        <f t="shared" si="584"/>
        <v>0.0558405262688064</v>
      </c>
      <c r="L281" s="685">
        <f t="shared" si="585"/>
        <v>2.38099053123463</v>
      </c>
      <c r="M281" s="886">
        <f t="shared" si="586"/>
        <v>132.955764305186</v>
      </c>
      <c r="N281" s="887">
        <f t="shared" si="587"/>
        <v>4.06652880365186</v>
      </c>
      <c r="O281" s="688">
        <f t="shared" si="588"/>
        <v>0.00116822429906542</v>
      </c>
      <c r="P281" s="915">
        <f t="shared" si="589"/>
        <v>8288.10578947368</v>
      </c>
      <c r="Q281" s="685">
        <f t="shared" si="590"/>
        <v>2038.12789473684</v>
      </c>
      <c r="R281" s="902">
        <f t="shared" si="591"/>
        <v>63.6914967105263</v>
      </c>
      <c r="S281" s="558">
        <f t="shared" si="592"/>
        <v>693</v>
      </c>
      <c r="T281" s="917">
        <f t="shared" si="593"/>
        <v>-0.326530612244898</v>
      </c>
      <c r="U281" s="850">
        <f t="shared" si="594"/>
        <v>55.8794083694084</v>
      </c>
      <c r="V281" s="917">
        <f t="shared" si="595"/>
        <v>-0.250183947252448</v>
      </c>
      <c r="W281" s="917">
        <f t="shared" si="596"/>
        <v>0.0803537462019219</v>
      </c>
      <c r="X281" s="917">
        <f t="shared" si="597"/>
        <v>-0.30195177956372</v>
      </c>
      <c r="Y281" s="917">
        <f t="shared" si="598"/>
        <v>-0.598317475946087</v>
      </c>
      <c r="Z281" s="917">
        <f t="shared" si="599"/>
        <v>0.0741608255643385</v>
      </c>
      <c r="AA281" s="917">
        <f t="shared" si="600"/>
        <v>0.113363229837276</v>
      </c>
      <c r="AB281" s="917">
        <f>B281/B284</f>
        <v>0.195006943054365</v>
      </c>
    </row>
    <row r="282" s="37" customFormat="1" spans="1:29">
      <c r="A282" s="686" t="s">
        <v>21</v>
      </c>
      <c r="B282" s="685">
        <f>SUM(引力魔方!B1354:B1384)</f>
        <v>31862.12</v>
      </c>
      <c r="C282" s="1087">
        <f>SUM(引力魔方!C1354:C1384)</f>
        <v>1222930</v>
      </c>
      <c r="D282" s="1087">
        <f>SUM(引力魔方!D1354:D1384)</f>
        <v>46396</v>
      </c>
      <c r="E282" s="1087">
        <f>SUM(引力魔方!E1354:E1384)</f>
        <v>62</v>
      </c>
      <c r="F282" s="685">
        <f>SUM(引力魔方!F1354:F1384)</f>
        <v>681623.12</v>
      </c>
      <c r="G282" s="1086">
        <f>SUM(引力魔方!G1354:G1384)</f>
        <v>714</v>
      </c>
      <c r="H282" s="1086">
        <f>SUM(引力魔方!H1354:H1384)</f>
        <v>1267</v>
      </c>
      <c r="I282" s="1086">
        <f>SUM(引力魔方!I1354:I1384)</f>
        <v>77</v>
      </c>
      <c r="J282" s="1086">
        <f t="shared" si="583"/>
        <v>1344</v>
      </c>
      <c r="K282" s="688">
        <f t="shared" si="584"/>
        <v>0.0379383938573753</v>
      </c>
      <c r="L282" s="685">
        <f t="shared" si="585"/>
        <v>0.686742822657126</v>
      </c>
      <c r="M282" s="886">
        <f t="shared" si="586"/>
        <v>26.0539196846917</v>
      </c>
      <c r="N282" s="887">
        <f t="shared" si="587"/>
        <v>21.3928991542308</v>
      </c>
      <c r="O282" s="688">
        <f t="shared" si="588"/>
        <v>0.00133632209673248</v>
      </c>
      <c r="P282" s="915">
        <f t="shared" si="589"/>
        <v>10993.9212903226</v>
      </c>
      <c r="Q282" s="685">
        <f t="shared" si="590"/>
        <v>513.905161290323</v>
      </c>
      <c r="R282" s="902">
        <f t="shared" si="591"/>
        <v>44.6248179271709</v>
      </c>
      <c r="S282" s="558">
        <f t="shared" si="592"/>
        <v>2058</v>
      </c>
      <c r="T282" s="917">
        <f t="shared" si="593"/>
        <v>0.165345413363533</v>
      </c>
      <c r="U282" s="850">
        <f t="shared" si="594"/>
        <v>15.4820796890185</v>
      </c>
      <c r="V282" s="917">
        <f t="shared" si="595"/>
        <v>-0.245692554230883</v>
      </c>
      <c r="W282" s="917">
        <f t="shared" si="596"/>
        <v>0.229223586373854</v>
      </c>
      <c r="X282" s="917">
        <f t="shared" si="597"/>
        <v>-0.218818380743982</v>
      </c>
      <c r="Y282" s="917">
        <f t="shared" si="598"/>
        <v>0.420942176119142</v>
      </c>
      <c r="Z282" s="917">
        <f t="shared" si="599"/>
        <v>-0.0344019531751084</v>
      </c>
      <c r="AA282" s="917">
        <f t="shared" si="600"/>
        <v>-0.352717711745258</v>
      </c>
      <c r="AB282" s="917">
        <f>B282/B284</f>
        <v>0.160449995530763</v>
      </c>
    </row>
    <row r="283" s="37" customFormat="1" spans="1:29">
      <c r="A283" s="686" t="s">
        <v>27</v>
      </c>
      <c r="B283" s="685">
        <f>SUM(万相台!B943:B973)</f>
        <v>93837</v>
      </c>
      <c r="C283" s="1086">
        <f>SUM(万相台!C943:C973)</f>
        <v>1723933</v>
      </c>
      <c r="D283" s="1086">
        <f>SUM(万相台!D943:D973)</f>
        <v>59826</v>
      </c>
      <c r="E283" s="1086">
        <f>SUM(万相台!E943:E973)</f>
        <v>124</v>
      </c>
      <c r="F283" s="685">
        <f>SUM(万相台!F943:F973)</f>
        <v>1454469</v>
      </c>
      <c r="G283" s="1086">
        <f>SUM(万相台!G943:G973)</f>
        <v>1408</v>
      </c>
      <c r="H283" s="1086">
        <f>SUM(万相台!H943:H973)</f>
        <v>194</v>
      </c>
      <c r="I283" s="1086">
        <f>SUM(万相台!I943:I973)</f>
        <v>105</v>
      </c>
      <c r="J283" s="1086">
        <f t="shared" si="583"/>
        <v>299</v>
      </c>
      <c r="K283" s="688">
        <f t="shared" si="584"/>
        <v>0.0347032048229253</v>
      </c>
      <c r="L283" s="685">
        <f t="shared" si="585"/>
        <v>1.56849864607361</v>
      </c>
      <c r="M283" s="886">
        <f t="shared" si="586"/>
        <v>54.4319297791736</v>
      </c>
      <c r="N283" s="887">
        <f t="shared" si="587"/>
        <v>15.4999520445027</v>
      </c>
      <c r="O283" s="688">
        <f t="shared" si="588"/>
        <v>0.0020726774312172</v>
      </c>
      <c r="P283" s="915">
        <f t="shared" si="589"/>
        <v>11729.5887096774</v>
      </c>
      <c r="Q283" s="685">
        <f t="shared" si="590"/>
        <v>756.75</v>
      </c>
      <c r="R283" s="902">
        <f t="shared" si="591"/>
        <v>66.6455965909091</v>
      </c>
      <c r="S283" s="558">
        <f t="shared" si="592"/>
        <v>1707</v>
      </c>
      <c r="T283" s="917">
        <f t="shared" si="593"/>
        <v>-0.321002386634845</v>
      </c>
      <c r="U283" s="850">
        <f t="shared" si="594"/>
        <v>54.9718804920914</v>
      </c>
      <c r="V283" s="917">
        <f t="shared" si="595"/>
        <v>-0.313123105977425</v>
      </c>
      <c r="W283" s="917">
        <f t="shared" si="596"/>
        <v>0.29557570218127</v>
      </c>
      <c r="X283" s="917">
        <f t="shared" si="597"/>
        <v>-0.320791123974916</v>
      </c>
      <c r="Y283" s="917">
        <f t="shared" si="598"/>
        <v>0.0335217800971226</v>
      </c>
      <c r="Z283" s="917">
        <f t="shared" si="599"/>
        <v>0.0112896316113614</v>
      </c>
      <c r="AA283" s="917">
        <f t="shared" si="600"/>
        <v>0.0116042832880804</v>
      </c>
      <c r="AB283" s="917">
        <f>B283/B284</f>
        <v>0.4725406291427</v>
      </c>
    </row>
    <row r="284" s="37" customFormat="1" spans="1:29">
      <c r="A284" s="891" t="s">
        <v>22</v>
      </c>
      <c r="B284" s="903">
        <f t="shared" ref="B284:J284" si="601">SUM(B280:B283)</f>
        <v>198579.75</v>
      </c>
      <c r="C284" s="904">
        <f t="shared" si="601"/>
        <v>3311520</v>
      </c>
      <c r="D284" s="904">
        <f t="shared" si="601"/>
        <v>126992</v>
      </c>
      <c r="E284" s="904">
        <f t="shared" si="601"/>
        <v>261</v>
      </c>
      <c r="F284" s="903">
        <f t="shared" si="601"/>
        <v>2910102.2</v>
      </c>
      <c r="G284" s="904">
        <f t="shared" si="601"/>
        <v>3754</v>
      </c>
      <c r="H284" s="904">
        <f t="shared" si="601"/>
        <v>1588</v>
      </c>
      <c r="I284" s="904">
        <f t="shared" si="601"/>
        <v>362</v>
      </c>
      <c r="J284" s="904">
        <f t="shared" si="601"/>
        <v>1950</v>
      </c>
      <c r="K284" s="896">
        <f t="shared" si="584"/>
        <v>0.0383485529303764</v>
      </c>
      <c r="L284" s="903">
        <f t="shared" si="585"/>
        <v>1.563718580698</v>
      </c>
      <c r="M284" s="897">
        <f t="shared" si="586"/>
        <v>59.9663447601102</v>
      </c>
      <c r="N284" s="898">
        <f t="shared" si="587"/>
        <v>14.6545768135976</v>
      </c>
      <c r="O284" s="896">
        <f t="shared" si="588"/>
        <v>0.00205524757465037</v>
      </c>
      <c r="P284" s="916">
        <f>F284/E284</f>
        <v>11149.8168582375</v>
      </c>
      <c r="Q284" s="903">
        <f>B284/E284</f>
        <v>760.841954022988</v>
      </c>
      <c r="R284" s="902">
        <f t="shared" si="591"/>
        <v>52.8981752797017</v>
      </c>
      <c r="S284" s="558">
        <f t="shared" si="592"/>
        <v>5704</v>
      </c>
      <c r="T284" s="917">
        <f t="shared" si="593"/>
        <v>-0.221828103683492</v>
      </c>
      <c r="U284" s="850">
        <f t="shared" si="594"/>
        <v>34.8141216690042</v>
      </c>
      <c r="V284" s="917">
        <f t="shared" si="595"/>
        <v>-0.312109731418314</v>
      </c>
      <c r="W284" s="917">
        <f t="shared" si="596"/>
        <v>0.627415330648946</v>
      </c>
      <c r="X284" s="917">
        <f t="shared" si="597"/>
        <v>-0.318693284936479</v>
      </c>
      <c r="Y284" s="917">
        <f t="shared" si="598"/>
        <v>-0.105999210480639</v>
      </c>
      <c r="Z284" s="917">
        <f t="shared" si="599"/>
        <v>0.00966312730023723</v>
      </c>
      <c r="AA284" s="917">
        <f t="shared" si="600"/>
        <v>-0.116017589638191</v>
      </c>
      <c r="AB284" s="917">
        <f>B284/B284</f>
        <v>1</v>
      </c>
      <c r="AC284" s="917">
        <f>B284/F284</f>
        <v>0.0682380673778399</v>
      </c>
    </row>
    <row r="285" s="37" customFormat="1" spans="1:29">
      <c r="A285" s="37" t="s">
        <v>45</v>
      </c>
      <c r="B285" s="917">
        <f t="shared" ref="B285:R285" si="602">(B284-B276)/B276</f>
        <v>-0.312109731418314</v>
      </c>
      <c r="C285" s="917">
        <f t="shared" si="602"/>
        <v>-0.476036923232713</v>
      </c>
      <c r="D285" s="917">
        <f t="shared" si="602"/>
        <v>-0.281772267876231</v>
      </c>
      <c r="E285" s="917">
        <f t="shared" si="602"/>
        <v>-0.0842105263157895</v>
      </c>
      <c r="F285" s="917">
        <f t="shared" si="602"/>
        <v>-0.105999210480639</v>
      </c>
      <c r="G285" s="917">
        <f t="shared" si="602"/>
        <v>-0.318693284936479</v>
      </c>
      <c r="H285" s="917">
        <f t="shared" si="602"/>
        <v>0.262321144674086</v>
      </c>
      <c r="I285" s="917">
        <f t="shared" si="602"/>
        <v>-0.355871886120996</v>
      </c>
      <c r="J285" s="917">
        <f t="shared" si="602"/>
        <v>0.0714285714285714</v>
      </c>
      <c r="K285" s="917">
        <f t="shared" si="602"/>
        <v>0.370760200422984</v>
      </c>
      <c r="L285" s="917">
        <f t="shared" si="602"/>
        <v>-0.0422393374485507</v>
      </c>
      <c r="M285" s="917">
        <f t="shared" si="602"/>
        <v>0.312860197756274</v>
      </c>
      <c r="N285" s="917">
        <f t="shared" si="602"/>
        <v>0.299627034065535</v>
      </c>
      <c r="O285" s="917">
        <f t="shared" si="602"/>
        <v>0.275068383918092</v>
      </c>
      <c r="P285" s="917">
        <f t="shared" si="602"/>
        <v>-0.0237922413294333</v>
      </c>
      <c r="Q285" s="917">
        <f t="shared" si="602"/>
        <v>-0.248855453847584</v>
      </c>
      <c r="R285" s="917">
        <f t="shared" si="602"/>
        <v>0.00966312730023723</v>
      </c>
      <c r="S285" s="558"/>
      <c r="T285" s="850"/>
      <c r="U285" s="850"/>
    </row>
    <row r="287" s="37" customFormat="1" ht="41.4" spans="1:29">
      <c r="A287" s="868" t="s">
        <v>67</v>
      </c>
      <c r="B287" s="869" t="s">
        <v>1</v>
      </c>
      <c r="C287" s="870" t="s">
        <v>2</v>
      </c>
      <c r="D287" s="870" t="s">
        <v>3</v>
      </c>
      <c r="E287" s="871" t="s">
        <v>4</v>
      </c>
      <c r="F287" s="869" t="s">
        <v>5</v>
      </c>
      <c r="G287" s="871" t="s">
        <v>6</v>
      </c>
      <c r="H287" s="871" t="s">
        <v>7</v>
      </c>
      <c r="I287" s="871" t="s">
        <v>8</v>
      </c>
      <c r="J287" s="871" t="s">
        <v>34</v>
      </c>
      <c r="K287" s="879" t="s">
        <v>9</v>
      </c>
      <c r="L287" s="869" t="s">
        <v>10</v>
      </c>
      <c r="M287" s="880" t="s">
        <v>11</v>
      </c>
      <c r="N287" s="881" t="s">
        <v>12</v>
      </c>
      <c r="O287" s="879" t="s">
        <v>13</v>
      </c>
      <c r="P287" s="875" t="s">
        <v>14</v>
      </c>
      <c r="Q287" s="869" t="s">
        <v>15</v>
      </c>
      <c r="R287" s="912" t="s">
        <v>16</v>
      </c>
      <c r="S287" s="882" t="s">
        <v>35</v>
      </c>
      <c r="T287" s="882" t="s">
        <v>37</v>
      </c>
      <c r="U287" s="882" t="s">
        <v>36</v>
      </c>
      <c r="V287" s="882" t="s">
        <v>38</v>
      </c>
      <c r="W287" s="882" t="s">
        <v>39</v>
      </c>
      <c r="X287" s="882" t="s">
        <v>40</v>
      </c>
      <c r="Y287" s="882" t="s">
        <v>41</v>
      </c>
      <c r="Z287" s="882" t="s">
        <v>42</v>
      </c>
      <c r="AA287" s="882" t="s">
        <v>43</v>
      </c>
      <c r="AB287" s="37" t="s">
        <v>44</v>
      </c>
      <c r="AC287" s="37" t="s">
        <v>49</v>
      </c>
    </row>
    <row r="288" s="37" customFormat="1" spans="1:29">
      <c r="A288" s="686" t="s">
        <v>19</v>
      </c>
      <c r="B288" s="685">
        <f>SUM(明星店铺!B1486:B1515)</f>
        <v>19386.44</v>
      </c>
      <c r="C288" s="1086">
        <f>SUM(明星店铺!C1486:C1515)</f>
        <v>11106</v>
      </c>
      <c r="D288" s="1086">
        <f>SUM(明星店铺!D1486:D1515)</f>
        <v>2951</v>
      </c>
      <c r="E288" s="1086">
        <f>SUM(明星店铺!E1486:E1515)</f>
        <v>48</v>
      </c>
      <c r="F288" s="1088">
        <f>SUM(明星店铺!F1486:F1515)</f>
        <v>599867.05</v>
      </c>
      <c r="G288" s="1086">
        <f>SUM(明星店铺!G1486:G1515)</f>
        <v>498</v>
      </c>
      <c r="H288" s="1086">
        <f>SUM(明星店铺!H1486:H1515)</f>
        <v>29</v>
      </c>
      <c r="I288" s="1086">
        <f>SUM(明星店铺!I1486:I1515)</f>
        <v>83</v>
      </c>
      <c r="J288" s="1086">
        <f t="shared" ref="J288:J291" si="603">H288+I288</f>
        <v>112</v>
      </c>
      <c r="K288" s="688">
        <f t="shared" ref="K288:K292" si="604">D288/C288</f>
        <v>0.265712227624707</v>
      </c>
      <c r="L288" s="685">
        <f t="shared" ref="L288:L292" si="605">B288/D288</f>
        <v>6.56944764486615</v>
      </c>
      <c r="M288" s="886">
        <f t="shared" ref="M288:M292" si="606">(B288/C288)*1000</f>
        <v>1745.58256798127</v>
      </c>
      <c r="N288" s="887">
        <f t="shared" ref="N288:N292" si="607">F288/B288</f>
        <v>30.9426098860853</v>
      </c>
      <c r="O288" s="688">
        <f t="shared" ref="O288:O292" si="608">E288/D288</f>
        <v>0.0162656726533379</v>
      </c>
      <c r="P288" s="915">
        <f t="shared" ref="P288:P291" si="609">IF(E288=0,"0",F288/E288)</f>
        <v>12497.2302083333</v>
      </c>
      <c r="Q288" s="685">
        <f t="shared" ref="Q288:Q291" si="610">IF(E288=0,"0",B288/E288)</f>
        <v>403.884166666667</v>
      </c>
      <c r="R288" s="902">
        <f t="shared" ref="R288:R292" si="611">B288/G288</f>
        <v>38.92859437751</v>
      </c>
      <c r="S288" s="558">
        <f t="shared" ref="S288:S292" si="612">G288+J288</f>
        <v>610</v>
      </c>
      <c r="T288" s="917">
        <f t="shared" ref="T288:T292" si="613">(S288-S280)/S280</f>
        <v>-0.510433386837881</v>
      </c>
      <c r="U288" s="850">
        <f t="shared" ref="U288:U292" si="614">B288/S288</f>
        <v>31.7810491803279</v>
      </c>
      <c r="V288" s="917">
        <f t="shared" ref="V288:V292" si="615">(B288-B280)/B280</f>
        <v>-0.432418126138153</v>
      </c>
      <c r="W288" s="917">
        <f t="shared" ref="W288:W292" si="616">D288/$D$132</f>
        <v>0.0145796793557471</v>
      </c>
      <c r="X288" s="917">
        <f t="shared" ref="X288:X292" si="617">(G288-G280)/G280</f>
        <v>-0.513671875</v>
      </c>
      <c r="Y288" s="917">
        <f t="shared" ref="Y288:Y292" si="618">(F288-F280)/F280</f>
        <v>-0.0270365690039837</v>
      </c>
      <c r="Z288" s="917">
        <f t="shared" ref="Z288:Z292" si="619">(R288-R280)/R280</f>
        <v>0.167075981595444</v>
      </c>
      <c r="AA288" s="917">
        <f t="shared" ref="AA288:AA292" si="620">(U288-U280)/U280</f>
        <v>0.159355762019445</v>
      </c>
      <c r="AB288" s="917">
        <f>B288/B292</f>
        <v>0.187903754674952</v>
      </c>
    </row>
    <row r="289" s="37" customFormat="1" spans="1:29">
      <c r="A289" s="686" t="s">
        <v>20</v>
      </c>
      <c r="B289" s="685">
        <f>SUM(直通车!B1486:B1515)</f>
        <v>23426.48</v>
      </c>
      <c r="C289" s="1086">
        <f>SUM(直通车!C1486:C1515)</f>
        <v>223187</v>
      </c>
      <c r="D289" s="1086">
        <f>SUM(直通车!D1486:D1515)</f>
        <v>9641</v>
      </c>
      <c r="E289" s="1086">
        <f>SUM(直通车!E1486:E1515)</f>
        <v>5</v>
      </c>
      <c r="F289" s="685">
        <f>SUM(直通车!F1486:F1515)</f>
        <v>77136.01</v>
      </c>
      <c r="G289" s="1086">
        <f>SUM(直通车!G1486:G1515)</f>
        <v>270</v>
      </c>
      <c r="H289" s="1086">
        <f>SUM(直通车!H1486:H1515)</f>
        <v>33</v>
      </c>
      <c r="I289" s="1086">
        <f>SUM(直通车!I1486:I1515)</f>
        <v>13</v>
      </c>
      <c r="J289" s="1086">
        <f t="shared" si="603"/>
        <v>46</v>
      </c>
      <c r="K289" s="688">
        <f t="shared" si="604"/>
        <v>0.0431969603964389</v>
      </c>
      <c r="L289" s="685">
        <f t="shared" si="605"/>
        <v>2.42988071776787</v>
      </c>
      <c r="M289" s="886">
        <f t="shared" si="606"/>
        <v>104.963461133489</v>
      </c>
      <c r="N289" s="887">
        <f t="shared" si="607"/>
        <v>3.29268460306457</v>
      </c>
      <c r="O289" s="688">
        <f t="shared" si="608"/>
        <v>0.000518618400580853</v>
      </c>
      <c r="P289" s="915">
        <f t="shared" si="609"/>
        <v>15427.202</v>
      </c>
      <c r="Q289" s="685">
        <f t="shared" si="610"/>
        <v>4685.296</v>
      </c>
      <c r="R289" s="902">
        <f t="shared" si="611"/>
        <v>86.7647407407407</v>
      </c>
      <c r="S289" s="558">
        <f t="shared" si="612"/>
        <v>316</v>
      </c>
      <c r="T289" s="917">
        <f t="shared" si="613"/>
        <v>-0.544011544011544</v>
      </c>
      <c r="U289" s="850">
        <f t="shared" si="614"/>
        <v>74.1344303797468</v>
      </c>
      <c r="V289" s="917">
        <f t="shared" si="615"/>
        <v>-0.395046486158738</v>
      </c>
      <c r="W289" s="917">
        <f t="shared" si="616"/>
        <v>0.0476322225241471</v>
      </c>
      <c r="X289" s="917">
        <f t="shared" si="617"/>
        <v>-0.555921052631579</v>
      </c>
      <c r="Y289" s="917">
        <f t="shared" si="618"/>
        <v>-0.510166725290097</v>
      </c>
      <c r="Z289" s="917">
        <f t="shared" si="619"/>
        <v>0.362265690427732</v>
      </c>
      <c r="AA289" s="917">
        <f t="shared" si="620"/>
        <v>0.326686028772135</v>
      </c>
      <c r="AB289" s="917">
        <f>B289/B292</f>
        <v>0.227061985120407</v>
      </c>
    </row>
    <row r="290" s="37" customFormat="1" spans="1:29">
      <c r="A290" s="686" t="s">
        <v>21</v>
      </c>
      <c r="B290" s="685">
        <f>SUM(引力魔方!B1385:B1414)</f>
        <v>27780.84</v>
      </c>
      <c r="C290" s="1087">
        <f>SUM(引力魔方!C1385:C1414)</f>
        <v>1062547</v>
      </c>
      <c r="D290" s="1087">
        <f>SUM(引力魔方!D1385:D1414)</f>
        <v>37227</v>
      </c>
      <c r="E290" s="1087">
        <f>SUM(引力魔方!E1385:E1414)</f>
        <v>18</v>
      </c>
      <c r="F290" s="685">
        <f>SUM(引力魔方!F1385:F1414)</f>
        <v>281257.08</v>
      </c>
      <c r="G290" s="1086">
        <f>SUM(引力魔方!G1385:G1414)</f>
        <v>530</v>
      </c>
      <c r="H290" s="1086">
        <f>SUM(引力魔方!H1385:H1414)</f>
        <v>454</v>
      </c>
      <c r="I290" s="1086">
        <f>SUM(引力魔方!I1385:I1414)</f>
        <v>54</v>
      </c>
      <c r="J290" s="1086">
        <f t="shared" si="603"/>
        <v>508</v>
      </c>
      <c r="K290" s="688">
        <f t="shared" si="604"/>
        <v>0.0350356266593384</v>
      </c>
      <c r="L290" s="685">
        <f t="shared" si="605"/>
        <v>0.746255137400274</v>
      </c>
      <c r="M290" s="886">
        <f t="shared" si="606"/>
        <v>26.1455163865693</v>
      </c>
      <c r="N290" s="887">
        <f t="shared" si="607"/>
        <v>10.1241387949392</v>
      </c>
      <c r="O290" s="688">
        <f t="shared" si="608"/>
        <v>0.000483520025787735</v>
      </c>
      <c r="P290" s="915">
        <f t="shared" si="609"/>
        <v>15625.3933333333</v>
      </c>
      <c r="Q290" s="685">
        <f t="shared" si="610"/>
        <v>1543.38</v>
      </c>
      <c r="R290" s="902">
        <f t="shared" si="611"/>
        <v>52.416679245283</v>
      </c>
      <c r="S290" s="558">
        <f t="shared" si="612"/>
        <v>1038</v>
      </c>
      <c r="T290" s="917">
        <f t="shared" si="613"/>
        <v>-0.495626822157434</v>
      </c>
      <c r="U290" s="850">
        <f t="shared" si="614"/>
        <v>26.7638150289017</v>
      </c>
      <c r="V290" s="917">
        <f t="shared" si="615"/>
        <v>-0.128091916043251</v>
      </c>
      <c r="W290" s="917">
        <f t="shared" si="616"/>
        <v>0.183923322052321</v>
      </c>
      <c r="X290" s="917">
        <f t="shared" si="617"/>
        <v>-0.257703081232493</v>
      </c>
      <c r="Y290" s="917">
        <f t="shared" si="618"/>
        <v>-0.587371566856476</v>
      </c>
      <c r="Z290" s="917">
        <f t="shared" si="619"/>
        <v>0.174608248953053</v>
      </c>
      <c r="AA290" s="917">
        <f t="shared" si="620"/>
        <v>0.728696374550082</v>
      </c>
      <c r="AB290" s="917">
        <f>B290/B292</f>
        <v>0.269266773271632</v>
      </c>
    </row>
    <row r="291" s="37" customFormat="1" spans="1:29">
      <c r="A291" s="686" t="s">
        <v>27</v>
      </c>
      <c r="B291" s="685">
        <f>SUM(万相台!B974:B1003)</f>
        <v>32578.42</v>
      </c>
      <c r="C291" s="1086">
        <f>SUM(万相台!C974:C1003)</f>
        <v>457410</v>
      </c>
      <c r="D291" s="1086">
        <f>SUM(万相台!D974:D1003)</f>
        <v>15767</v>
      </c>
      <c r="E291" s="1086">
        <f>SUM(万相台!E974:E1003)</f>
        <v>12</v>
      </c>
      <c r="F291" s="685">
        <f>SUM(万相台!F974:F1003)</f>
        <v>145733.02</v>
      </c>
      <c r="G291" s="1086">
        <f>SUM(万相台!G974:G1003)</f>
        <v>383</v>
      </c>
      <c r="H291" s="1086">
        <f>SUM(万相台!H974:H1003)</f>
        <v>56</v>
      </c>
      <c r="I291" s="1086">
        <f>SUM(万相台!I974:I1003)</f>
        <v>22</v>
      </c>
      <c r="J291" s="1086">
        <f t="shared" si="603"/>
        <v>78</v>
      </c>
      <c r="K291" s="688">
        <f t="shared" si="604"/>
        <v>0.0344701689949935</v>
      </c>
      <c r="L291" s="685">
        <f t="shared" si="605"/>
        <v>2.0662408828566</v>
      </c>
      <c r="M291" s="886">
        <f t="shared" si="606"/>
        <v>71.2236724164316</v>
      </c>
      <c r="N291" s="887">
        <f t="shared" si="607"/>
        <v>4.47329919621639</v>
      </c>
      <c r="O291" s="688">
        <f t="shared" si="608"/>
        <v>0.000761083275195028</v>
      </c>
      <c r="P291" s="915">
        <f t="shared" si="609"/>
        <v>12144.4183333333</v>
      </c>
      <c r="Q291" s="685">
        <f t="shared" si="610"/>
        <v>2714.86833333333</v>
      </c>
      <c r="R291" s="902">
        <f t="shared" si="611"/>
        <v>85.0611488250653</v>
      </c>
      <c r="S291" s="558">
        <f t="shared" si="612"/>
        <v>461</v>
      </c>
      <c r="T291" s="917">
        <f t="shared" si="613"/>
        <v>-0.729935559461043</v>
      </c>
      <c r="U291" s="850">
        <f t="shared" si="614"/>
        <v>70.6690238611714</v>
      </c>
      <c r="V291" s="917">
        <f t="shared" si="615"/>
        <v>-0.65281903726675</v>
      </c>
      <c r="W291" s="917">
        <f t="shared" si="616"/>
        <v>0.0778982732640004</v>
      </c>
      <c r="X291" s="917">
        <f t="shared" si="617"/>
        <v>-0.727982954545455</v>
      </c>
      <c r="Y291" s="917">
        <f t="shared" si="618"/>
        <v>-0.899803282160018</v>
      </c>
      <c r="Z291" s="917">
        <f t="shared" si="619"/>
        <v>0.2763206149567</v>
      </c>
      <c r="AA291" s="917">
        <f t="shared" si="620"/>
        <v>0.285548597365852</v>
      </c>
      <c r="AB291" s="917">
        <f>B291/B292</f>
        <v>0.315767486933008</v>
      </c>
    </row>
    <row r="292" s="37" customFormat="1" spans="1:29">
      <c r="A292" s="891" t="s">
        <v>22</v>
      </c>
      <c r="B292" s="903">
        <f t="shared" ref="B292:J292" si="621">SUM(B288:B291)</f>
        <v>103172.18</v>
      </c>
      <c r="C292" s="904">
        <f t="shared" si="621"/>
        <v>1754250</v>
      </c>
      <c r="D292" s="904">
        <f t="shared" si="621"/>
        <v>65586</v>
      </c>
      <c r="E292" s="904">
        <f t="shared" si="621"/>
        <v>83</v>
      </c>
      <c r="F292" s="903">
        <f t="shared" si="621"/>
        <v>1103993.16</v>
      </c>
      <c r="G292" s="904">
        <f t="shared" si="621"/>
        <v>1681</v>
      </c>
      <c r="H292" s="904">
        <f t="shared" si="621"/>
        <v>572</v>
      </c>
      <c r="I292" s="904">
        <f t="shared" si="621"/>
        <v>172</v>
      </c>
      <c r="J292" s="904">
        <f t="shared" si="621"/>
        <v>744</v>
      </c>
      <c r="K292" s="896">
        <f t="shared" si="604"/>
        <v>0.0373869174861052</v>
      </c>
      <c r="L292" s="903">
        <f t="shared" si="605"/>
        <v>1.5730823651389</v>
      </c>
      <c r="M292" s="897">
        <f t="shared" si="606"/>
        <v>58.8127005842953</v>
      </c>
      <c r="N292" s="898">
        <f t="shared" si="607"/>
        <v>10.7004927103411</v>
      </c>
      <c r="O292" s="896">
        <f t="shared" si="608"/>
        <v>0.00126551398164242</v>
      </c>
      <c r="P292" s="916">
        <f>F292/E292</f>
        <v>13301.1224096386</v>
      </c>
      <c r="Q292" s="903">
        <f>B292/E292</f>
        <v>1243.03831325301</v>
      </c>
      <c r="R292" s="902">
        <f t="shared" si="611"/>
        <v>61.3754788816181</v>
      </c>
      <c r="S292" s="558">
        <f t="shared" si="612"/>
        <v>2425</v>
      </c>
      <c r="T292" s="917">
        <f t="shared" si="613"/>
        <v>-0.574859747545582</v>
      </c>
      <c r="U292" s="850">
        <f t="shared" si="614"/>
        <v>42.5452288659794</v>
      </c>
      <c r="V292" s="917">
        <f t="shared" si="615"/>
        <v>-0.480449643027549</v>
      </c>
      <c r="W292" s="917">
        <f t="shared" si="616"/>
        <v>0.324033497196215</v>
      </c>
      <c r="X292" s="917">
        <f t="shared" si="617"/>
        <v>-0.552210974960043</v>
      </c>
      <c r="Y292" s="917">
        <f t="shared" si="618"/>
        <v>-0.620634230646608</v>
      </c>
      <c r="Z292" s="917">
        <f t="shared" si="619"/>
        <v>0.160257013726697</v>
      </c>
      <c r="AA292" s="917">
        <f t="shared" si="620"/>
        <v>0.222068138627158</v>
      </c>
      <c r="AB292" s="917">
        <f>B292/B292</f>
        <v>1</v>
      </c>
      <c r="AC292" s="917">
        <f>B292/F292</f>
        <v>0.0934536406004545</v>
      </c>
    </row>
    <row r="293" s="37" customFormat="1" spans="1:29">
      <c r="A293" s="37" t="s">
        <v>47</v>
      </c>
      <c r="B293" s="917">
        <f t="shared" ref="B293:R293" si="622">(B292-B284)/B284</f>
        <v>-0.480449643027549</v>
      </c>
      <c r="C293" s="917">
        <f t="shared" si="622"/>
        <v>-0.470258370778374</v>
      </c>
      <c r="D293" s="917">
        <f t="shared" si="622"/>
        <v>-0.483542270379236</v>
      </c>
      <c r="E293" s="917">
        <f t="shared" si="622"/>
        <v>-0.681992337164751</v>
      </c>
      <c r="F293" s="917">
        <f t="shared" si="622"/>
        <v>-0.620634230646608</v>
      </c>
      <c r="G293" s="917">
        <f t="shared" si="622"/>
        <v>-0.552210974960043</v>
      </c>
      <c r="H293" s="917">
        <f t="shared" si="622"/>
        <v>-0.639798488664987</v>
      </c>
      <c r="I293" s="917">
        <f t="shared" si="622"/>
        <v>-0.524861878453039</v>
      </c>
      <c r="J293" s="917">
        <f t="shared" si="622"/>
        <v>-0.618461538461539</v>
      </c>
      <c r="K293" s="917">
        <f t="shared" si="622"/>
        <v>-0.0250761859519737</v>
      </c>
      <c r="L293" s="917">
        <f t="shared" si="622"/>
        <v>0.00598815193250556</v>
      </c>
      <c r="M293" s="917">
        <f t="shared" si="622"/>
        <v>-0.0192381940308345</v>
      </c>
      <c r="N293" s="917">
        <f t="shared" si="622"/>
        <v>-0.269819057455662</v>
      </c>
      <c r="O293" s="917">
        <f t="shared" si="622"/>
        <v>-0.384252292886074</v>
      </c>
      <c r="P293" s="917">
        <f t="shared" si="622"/>
        <v>0.192945371099227</v>
      </c>
      <c r="Q293" s="917">
        <f t="shared" si="622"/>
        <v>0.63376678517843</v>
      </c>
      <c r="R293" s="917">
        <f t="shared" si="622"/>
        <v>0.160257013726697</v>
      </c>
      <c r="S293" s="558"/>
      <c r="T293" s="850"/>
      <c r="U293" s="850"/>
    </row>
    <row r="295" spans="1:29">
      <c r="A295" s="1089">
        <v>46163</v>
      </c>
    </row>
    <row r="296" spans="1:29">
      <c r="A296" s="1089">
        <v>46193</v>
      </c>
    </row>
    <row r="297" s="37" customFormat="1" ht="41.4" spans="1:29">
      <c r="A297" s="868" t="s">
        <v>67</v>
      </c>
      <c r="B297" s="869" t="s">
        <v>1</v>
      </c>
      <c r="C297" s="870" t="s">
        <v>2</v>
      </c>
      <c r="D297" s="870" t="s">
        <v>3</v>
      </c>
      <c r="E297" s="871" t="s">
        <v>4</v>
      </c>
      <c r="F297" s="869" t="s">
        <v>5</v>
      </c>
      <c r="G297" s="871" t="s">
        <v>6</v>
      </c>
      <c r="H297" s="871" t="s">
        <v>7</v>
      </c>
      <c r="I297" s="871" t="s">
        <v>8</v>
      </c>
      <c r="J297" s="871" t="s">
        <v>34</v>
      </c>
      <c r="K297" s="879" t="s">
        <v>9</v>
      </c>
      <c r="L297" s="869" t="s">
        <v>10</v>
      </c>
      <c r="M297" s="880" t="s">
        <v>11</v>
      </c>
      <c r="N297" s="881" t="s">
        <v>12</v>
      </c>
      <c r="O297" s="879" t="s">
        <v>13</v>
      </c>
      <c r="P297" s="875" t="s">
        <v>14</v>
      </c>
      <c r="Q297" s="869" t="s">
        <v>15</v>
      </c>
      <c r="R297" s="912" t="s">
        <v>16</v>
      </c>
      <c r="S297" s="882" t="s">
        <v>35</v>
      </c>
      <c r="T297" s="882" t="s">
        <v>37</v>
      </c>
      <c r="U297" s="882" t="s">
        <v>36</v>
      </c>
      <c r="V297" s="882" t="s">
        <v>38</v>
      </c>
      <c r="W297" s="882" t="s">
        <v>39</v>
      </c>
      <c r="X297" s="882" t="s">
        <v>40</v>
      </c>
      <c r="Y297" s="882" t="s">
        <v>41</v>
      </c>
      <c r="Z297" s="882" t="s">
        <v>42</v>
      </c>
      <c r="AA297" s="882" t="s">
        <v>43</v>
      </c>
      <c r="AB297" s="37" t="s">
        <v>44</v>
      </c>
      <c r="AC297" s="37" t="s">
        <v>49</v>
      </c>
    </row>
    <row r="298" s="37" customFormat="1" spans="1:29">
      <c r="A298" s="686" t="s">
        <v>19</v>
      </c>
      <c r="B298" s="685">
        <f>SUM(明星店铺!B1496:B1525)</f>
        <v>8687.21</v>
      </c>
      <c r="C298" s="1086">
        <f>SUM(明星店铺!C1496:C1525)</f>
        <v>4972</v>
      </c>
      <c r="D298" s="1086">
        <f>SUM(明星店铺!D1496:D1525)</f>
        <v>1364</v>
      </c>
      <c r="E298" s="1086">
        <f>SUM(明星店铺!E1496:E1525)</f>
        <v>15</v>
      </c>
      <c r="F298" s="1088">
        <f>SUM(明星店铺!F1496:F1525)</f>
        <v>236747.02</v>
      </c>
      <c r="G298" s="1086">
        <f>SUM(明星店铺!G1496:G1525)</f>
        <v>156</v>
      </c>
      <c r="H298" s="1086">
        <f>SUM(明星店铺!H1496:H1525)</f>
        <v>9</v>
      </c>
      <c r="I298" s="1086">
        <f>SUM(明星店铺!I1496:I1525)</f>
        <v>36</v>
      </c>
      <c r="J298" s="1086">
        <f t="shared" ref="J298:J301" si="623">H298+I298</f>
        <v>45</v>
      </c>
      <c r="K298" s="688">
        <f t="shared" ref="K298:K302" si="624">D298/C298</f>
        <v>0.274336283185841</v>
      </c>
      <c r="L298" s="685">
        <f t="shared" ref="L298:L302" si="625">B298/D298</f>
        <v>6.36892228739003</v>
      </c>
      <c r="M298" s="886">
        <f t="shared" ref="M298:M302" si="626">(B298/C298)*1000</f>
        <v>1747.22646822204</v>
      </c>
      <c r="N298" s="887">
        <f t="shared" ref="N298:N302" si="627">F298/B298</f>
        <v>27.2523652588115</v>
      </c>
      <c r="O298" s="688">
        <f t="shared" ref="O298:O302" si="628">E298/D298</f>
        <v>0.0109970674486804</v>
      </c>
      <c r="P298" s="915">
        <f t="shared" ref="P298:P301" si="629">IF(E298=0,"0",F298/E298)</f>
        <v>15783.1346666667</v>
      </c>
      <c r="Q298" s="685">
        <f t="shared" ref="Q298:Q301" si="630">IF(E298=0,"0",B298/E298)</f>
        <v>579.147333333333</v>
      </c>
      <c r="R298" s="902">
        <f t="shared" ref="R298:R302" si="631">B298/G298</f>
        <v>55.6872435897436</v>
      </c>
      <c r="S298" s="558">
        <f t="shared" ref="S298:S302" si="632">G298+J298</f>
        <v>201</v>
      </c>
      <c r="T298" s="917">
        <f t="shared" ref="T298:T302" si="633">(S298-S290)/S290</f>
        <v>-0.80635838150289</v>
      </c>
      <c r="U298" s="850">
        <f t="shared" ref="U298:U302" si="634">B298/S298</f>
        <v>43.2199502487562</v>
      </c>
      <c r="V298" s="917">
        <f t="shared" ref="V298:V302" si="635">(B298-B290)/B290</f>
        <v>-0.687294912608834</v>
      </c>
      <c r="W298" s="917">
        <f t="shared" ref="W298:W302" si="636">D298/$D$132</f>
        <v>0.00673896395840024</v>
      </c>
      <c r="X298" s="917">
        <f t="shared" ref="X298:X302" si="637">(G298-G290)/G290</f>
        <v>-0.705660377358491</v>
      </c>
      <c r="Y298" s="917">
        <f t="shared" ref="Y298:Y302" si="638">(F298-F290)/F290</f>
        <v>-0.158254007330233</v>
      </c>
      <c r="Z298" s="917">
        <f t="shared" ref="Z298:Z302" si="639">(R298-R290)/R290</f>
        <v>0.062395489213577</v>
      </c>
      <c r="AA298" s="917">
        <f t="shared" ref="AA298:AA302" si="640">(U298-U290)/U290</f>
        <v>0.614865078169307</v>
      </c>
      <c r="AB298" s="917">
        <f>B298/B302</f>
        <v>0.185803517156092</v>
      </c>
    </row>
    <row r="299" s="37" customFormat="1" spans="1:29">
      <c r="A299" s="686" t="s">
        <v>20</v>
      </c>
      <c r="B299" s="685">
        <f>SUM(直通车!B1496:B1525)</f>
        <v>10367.71</v>
      </c>
      <c r="C299" s="1086">
        <f>SUM(直通车!C1496:C1525)</f>
        <v>94074</v>
      </c>
      <c r="D299" s="1086">
        <f>SUM(直通车!D1496:D1525)</f>
        <v>4423</v>
      </c>
      <c r="E299" s="1086">
        <f>SUM(直通车!E1496:E1525)</f>
        <v>2</v>
      </c>
      <c r="F299" s="685">
        <f>SUM(直通车!F1496:F1525)</f>
        <v>41705.01</v>
      </c>
      <c r="G299" s="1086">
        <f>SUM(直通车!G1496:G1525)</f>
        <v>111</v>
      </c>
      <c r="H299" s="1086">
        <f>SUM(直通车!H1496:H1525)</f>
        <v>11</v>
      </c>
      <c r="I299" s="1086">
        <f>SUM(直通车!I1496:I1525)</f>
        <v>6</v>
      </c>
      <c r="J299" s="1086">
        <f t="shared" si="623"/>
        <v>17</v>
      </c>
      <c r="K299" s="688">
        <f t="shared" si="624"/>
        <v>0.0470161787528967</v>
      </c>
      <c r="L299" s="685">
        <f t="shared" si="625"/>
        <v>2.34404476599593</v>
      </c>
      <c r="M299" s="886">
        <f t="shared" si="626"/>
        <v>110.208027722856</v>
      </c>
      <c r="N299" s="887">
        <f t="shared" si="627"/>
        <v>4.02258647280836</v>
      </c>
      <c r="O299" s="688">
        <f t="shared" si="628"/>
        <v>0.000452181777074384</v>
      </c>
      <c r="P299" s="915">
        <f t="shared" si="629"/>
        <v>20852.505</v>
      </c>
      <c r="Q299" s="685">
        <f t="shared" si="630"/>
        <v>5183.855</v>
      </c>
      <c r="R299" s="902">
        <f t="shared" si="631"/>
        <v>93.4027927927928</v>
      </c>
      <c r="S299" s="558">
        <f t="shared" si="632"/>
        <v>128</v>
      </c>
      <c r="T299" s="917">
        <f t="shared" si="633"/>
        <v>-0.72234273318872</v>
      </c>
      <c r="U299" s="850">
        <f t="shared" si="634"/>
        <v>80.997734375</v>
      </c>
      <c r="V299" s="917">
        <f t="shared" si="635"/>
        <v>-0.681761423666341</v>
      </c>
      <c r="W299" s="917">
        <f t="shared" si="636"/>
        <v>0.0218522269706776</v>
      </c>
      <c r="X299" s="917">
        <f t="shared" si="637"/>
        <v>-0.710182767624021</v>
      </c>
      <c r="Y299" s="917">
        <f t="shared" si="638"/>
        <v>-0.713825940064922</v>
      </c>
      <c r="Z299" s="917">
        <f t="shared" si="639"/>
        <v>0.0980664390611831</v>
      </c>
      <c r="AA299" s="917">
        <f t="shared" si="640"/>
        <v>0.146156122576693</v>
      </c>
      <c r="AB299" s="917">
        <f>B299/B302</f>
        <v>0.221746335458034</v>
      </c>
    </row>
    <row r="300" s="37" customFormat="1" spans="1:29">
      <c r="A300" s="686" t="s">
        <v>21</v>
      </c>
      <c r="B300" s="685">
        <f>SUM(引力魔方!B1395:B1424)</f>
        <v>12869.64</v>
      </c>
      <c r="C300" s="1087">
        <f>SUM(引力魔方!C1395:C1424)</f>
        <v>467900</v>
      </c>
      <c r="D300" s="1087">
        <f>SUM(引力魔方!D1395:D1424)</f>
        <v>15595</v>
      </c>
      <c r="E300" s="1087">
        <f>SUM(引力魔方!E1395:E1424)</f>
        <v>7</v>
      </c>
      <c r="F300" s="685">
        <f>SUM(引力魔方!F1395:F1424)</f>
        <v>113455.04</v>
      </c>
      <c r="G300" s="1086">
        <f>SUM(引力魔方!G1395:G1424)</f>
        <v>195</v>
      </c>
      <c r="H300" s="1086">
        <f>SUM(引力魔方!H1395:H1424)</f>
        <v>181</v>
      </c>
      <c r="I300" s="1086">
        <f>SUM(引力魔方!I1395:I1424)</f>
        <v>20</v>
      </c>
      <c r="J300" s="1086">
        <f t="shared" si="623"/>
        <v>201</v>
      </c>
      <c r="K300" s="688">
        <f t="shared" si="624"/>
        <v>0.0333297713186578</v>
      </c>
      <c r="L300" s="685">
        <f t="shared" si="625"/>
        <v>0.825241423533184</v>
      </c>
      <c r="M300" s="886">
        <f t="shared" si="626"/>
        <v>27.5051079290447</v>
      </c>
      <c r="N300" s="887">
        <f t="shared" si="627"/>
        <v>8.81571201680855</v>
      </c>
      <c r="O300" s="688">
        <f t="shared" si="628"/>
        <v>0.000448861814684194</v>
      </c>
      <c r="P300" s="915">
        <f t="shared" si="629"/>
        <v>16207.8628571429</v>
      </c>
      <c r="Q300" s="685">
        <f t="shared" si="630"/>
        <v>1838.52</v>
      </c>
      <c r="R300" s="902">
        <f t="shared" si="631"/>
        <v>65.9981538461538</v>
      </c>
      <c r="S300" s="558">
        <f t="shared" si="632"/>
        <v>396</v>
      </c>
      <c r="T300" s="917">
        <f t="shared" si="633"/>
        <v>-0.836701030927835</v>
      </c>
      <c r="U300" s="850">
        <f t="shared" si="634"/>
        <v>32.4990909090909</v>
      </c>
      <c r="V300" s="917">
        <f t="shared" si="635"/>
        <v>-0.875260559581081</v>
      </c>
      <c r="W300" s="917">
        <f t="shared" si="636"/>
        <v>0.0770484918850819</v>
      </c>
      <c r="X300" s="917">
        <f t="shared" si="637"/>
        <v>-0.88399762046401</v>
      </c>
      <c r="Y300" s="917">
        <f t="shared" si="638"/>
        <v>-0.89723211690913</v>
      </c>
      <c r="Z300" s="917">
        <f t="shared" si="639"/>
        <v>0.0753179453548871</v>
      </c>
      <c r="AA300" s="917">
        <f t="shared" si="640"/>
        <v>-0.236128426727579</v>
      </c>
      <c r="AB300" s="917">
        <f>B300/B302</f>
        <v>0.275258037567036</v>
      </c>
    </row>
    <row r="301" s="37" customFormat="1" spans="1:29">
      <c r="A301" s="686" t="s">
        <v>27</v>
      </c>
      <c r="B301" s="685">
        <f>SUM(万相台!B984:B1013)</f>
        <v>14830.26</v>
      </c>
      <c r="C301" s="1086">
        <f>SUM(万相台!C984:C1013)</f>
        <v>199980</v>
      </c>
      <c r="D301" s="1086">
        <f>SUM(万相台!D984:D1013)</f>
        <v>7466</v>
      </c>
      <c r="E301" s="1086">
        <f>SUM(万相台!E984:E1013)</f>
        <v>3</v>
      </c>
      <c r="F301" s="685">
        <f>SUM(万相台!F984:F1013)</f>
        <v>37165</v>
      </c>
      <c r="G301" s="1086">
        <f>SUM(万相台!G984:G1013)</f>
        <v>211</v>
      </c>
      <c r="H301" s="1086">
        <f>SUM(万相台!H984:H1013)</f>
        <v>28</v>
      </c>
      <c r="I301" s="1086">
        <f>SUM(万相台!I984:I1013)</f>
        <v>9</v>
      </c>
      <c r="J301" s="1086">
        <f t="shared" si="623"/>
        <v>37</v>
      </c>
      <c r="K301" s="688">
        <f t="shared" si="624"/>
        <v>0.0373337333733373</v>
      </c>
      <c r="L301" s="685">
        <f t="shared" si="625"/>
        <v>1.98637289043665</v>
      </c>
      <c r="M301" s="886">
        <f t="shared" si="626"/>
        <v>74.1587158715872</v>
      </c>
      <c r="N301" s="887">
        <f t="shared" si="627"/>
        <v>2.5060248437991</v>
      </c>
      <c r="O301" s="688">
        <f t="shared" si="628"/>
        <v>0.000401821591213501</v>
      </c>
      <c r="P301" s="915">
        <f t="shared" si="629"/>
        <v>12388.3333333333</v>
      </c>
      <c r="Q301" s="685">
        <f t="shared" si="630"/>
        <v>4943.42</v>
      </c>
      <c r="R301" s="902">
        <f t="shared" si="631"/>
        <v>70.2855924170616</v>
      </c>
      <c r="S301" s="558">
        <f t="shared" si="632"/>
        <v>248</v>
      </c>
      <c r="T301" s="917" t="e">
        <f t="shared" si="633"/>
        <v>#DIV/0!</v>
      </c>
      <c r="U301" s="850">
        <f t="shared" si="634"/>
        <v>59.799435483871</v>
      </c>
      <c r="V301" s="917">
        <f t="shared" si="635"/>
        <v>-30868.4597124212</v>
      </c>
      <c r="W301" s="917">
        <f t="shared" si="636"/>
        <v>0.0368864405523579</v>
      </c>
      <c r="X301" s="917">
        <f t="shared" si="637"/>
        <v>-383.100337674867</v>
      </c>
      <c r="Y301" s="917">
        <f t="shared" si="638"/>
        <v>-59883.2916378293</v>
      </c>
      <c r="Z301" s="917">
        <f t="shared" si="639"/>
        <v>437.580445139998</v>
      </c>
      <c r="AA301" s="917" t="e">
        <f t="shared" si="640"/>
        <v>#DIV/0!</v>
      </c>
      <c r="AB301" s="917">
        <f>B301/B302</f>
        <v>0.317192109818838</v>
      </c>
    </row>
    <row r="302" s="37" customFormat="1" spans="1:29">
      <c r="A302" s="891" t="s">
        <v>22</v>
      </c>
      <c r="B302" s="903">
        <f t="shared" ref="B302:J302" si="641">SUM(B298:B301)</f>
        <v>46754.82</v>
      </c>
      <c r="C302" s="904">
        <f t="shared" si="641"/>
        <v>766926</v>
      </c>
      <c r="D302" s="904">
        <f t="shared" si="641"/>
        <v>28848</v>
      </c>
      <c r="E302" s="904">
        <f t="shared" si="641"/>
        <v>27</v>
      </c>
      <c r="F302" s="903">
        <f t="shared" si="641"/>
        <v>429072.07</v>
      </c>
      <c r="G302" s="904">
        <f t="shared" si="641"/>
        <v>673</v>
      </c>
      <c r="H302" s="904">
        <f t="shared" si="641"/>
        <v>229</v>
      </c>
      <c r="I302" s="904">
        <f t="shared" si="641"/>
        <v>71</v>
      </c>
      <c r="J302" s="904">
        <f t="shared" si="641"/>
        <v>300</v>
      </c>
      <c r="K302" s="896">
        <f t="shared" si="624"/>
        <v>0.0376151023697202</v>
      </c>
      <c r="L302" s="903">
        <f t="shared" si="625"/>
        <v>1.62073003327787</v>
      </c>
      <c r="M302" s="897">
        <f t="shared" si="626"/>
        <v>60.963926115427</v>
      </c>
      <c r="N302" s="898">
        <f t="shared" si="627"/>
        <v>9.17706602228391</v>
      </c>
      <c r="O302" s="896">
        <f t="shared" si="628"/>
        <v>0.000935940099833611</v>
      </c>
      <c r="P302" s="916">
        <f>F302/E302</f>
        <v>15891.5581481481</v>
      </c>
      <c r="Q302" s="903">
        <f>B302/E302</f>
        <v>1731.66</v>
      </c>
      <c r="R302" s="902">
        <f t="shared" si="631"/>
        <v>69.4722436849926</v>
      </c>
      <c r="S302" s="558">
        <f t="shared" si="632"/>
        <v>973</v>
      </c>
      <c r="T302" s="917" t="e">
        <f t="shared" si="633"/>
        <v>#DIV/0!</v>
      </c>
      <c r="U302" s="850">
        <f t="shared" si="634"/>
        <v>48.0522302158273</v>
      </c>
      <c r="V302" s="917" t="e">
        <f t="shared" si="635"/>
        <v>#DIV/0!</v>
      </c>
      <c r="W302" s="917">
        <f t="shared" si="636"/>
        <v>0.142526123366518</v>
      </c>
      <c r="X302" s="917" t="e">
        <f t="shared" si="637"/>
        <v>#DIV/0!</v>
      </c>
      <c r="Y302" s="917" t="e">
        <f t="shared" si="638"/>
        <v>#DIV/0!</v>
      </c>
      <c r="Z302" s="917" t="e">
        <f t="shared" si="639"/>
        <v>#DIV/0!</v>
      </c>
      <c r="AA302" s="917" t="e">
        <f t="shared" si="640"/>
        <v>#DIV/0!</v>
      </c>
      <c r="AB302" s="917">
        <f>B302/B302</f>
        <v>1</v>
      </c>
      <c r="AC302" s="917">
        <f>B302/F302</f>
        <v>0.108967288409148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03"/>
  <sheetViews>
    <sheetView workbookViewId="0">
      <pane ySplit="1" topLeftCell="A1491" activePane="bottomLeft" state="frozen"/>
      <selection/>
      <selection pane="bottomLeft" activeCell="E1517" sqref="E1517"/>
    </sheetView>
  </sheetViews>
  <sheetFormatPr defaultColWidth="9" defaultRowHeight="13.8"/>
  <cols>
    <col min="1" max="1" width="12.75" style="37" customWidth="1"/>
    <col min="2" max="2" width="10.8796296296296" style="670" customWidth="1"/>
    <col min="3" max="3" width="10.5185185185185" style="37" customWidth="1"/>
    <col min="4" max="5" width="10" style="37" customWidth="1"/>
    <col min="6" max="6" width="14.6296296296296" style="670" customWidth="1"/>
    <col min="7" max="7" width="11.75" style="37" customWidth="1"/>
    <col min="8" max="8" width="11.5185185185185" style="37" customWidth="1"/>
    <col min="9" max="9" width="11.3796296296296" style="37" customWidth="1"/>
    <col min="10" max="10" width="10.1296296296296" style="39"/>
    <col min="11" max="11" width="12" style="41" customWidth="1"/>
    <col min="12" max="12" width="13.3796296296296" style="41" customWidth="1"/>
    <col min="13" max="13" width="18.75" style="37" customWidth="1"/>
    <col min="14" max="14" width="11.75" style="39"/>
    <col min="15" max="15" width="9.87962962962963" style="558" customWidth="1"/>
    <col min="16" max="16" width="10" style="559" customWidth="1"/>
    <col min="17" max="17" width="15.75" style="41" customWidth="1"/>
    <col min="18" max="18" width="12.6296296296296" style="1021"/>
    <col min="19" max="16384" width="9" style="37"/>
  </cols>
  <sheetData>
    <row r="1" s="1" customFormat="1" ht="63" customHeight="1" spans="1:18">
      <c r="A1" s="676" t="s">
        <v>68</v>
      </c>
      <c r="B1" s="677" t="s">
        <v>1</v>
      </c>
      <c r="C1" s="1022" t="s">
        <v>2</v>
      </c>
      <c r="D1" s="1022" t="s">
        <v>3</v>
      </c>
      <c r="E1" s="1022" t="s">
        <v>4</v>
      </c>
      <c r="F1" s="677" t="s">
        <v>5</v>
      </c>
      <c r="G1" s="1022" t="s">
        <v>6</v>
      </c>
      <c r="H1" s="1022" t="s">
        <v>7</v>
      </c>
      <c r="I1" s="1022" t="s">
        <v>8</v>
      </c>
      <c r="J1" s="683" t="s">
        <v>9</v>
      </c>
      <c r="K1" s="679" t="s">
        <v>10</v>
      </c>
      <c r="L1" s="679" t="s">
        <v>11</v>
      </c>
      <c r="M1" s="1023" t="s">
        <v>12</v>
      </c>
      <c r="N1" s="683" t="s">
        <v>13</v>
      </c>
      <c r="O1" s="563" t="s">
        <v>14</v>
      </c>
      <c r="P1" s="1024" t="s">
        <v>15</v>
      </c>
      <c r="Q1" s="679" t="s">
        <v>16</v>
      </c>
      <c r="R1" s="1024" t="s">
        <v>69</v>
      </c>
    </row>
    <row r="2" spans="1:18">
      <c r="A2" s="684">
        <v>44197</v>
      </c>
      <c r="B2" s="685">
        <v>56.54</v>
      </c>
      <c r="C2" s="686">
        <v>42</v>
      </c>
      <c r="D2" s="686">
        <v>18</v>
      </c>
      <c r="E2" s="686">
        <v>0</v>
      </c>
      <c r="F2" s="685">
        <v>0</v>
      </c>
      <c r="G2" s="686">
        <v>0</v>
      </c>
      <c r="H2" s="686">
        <v>0</v>
      </c>
      <c r="I2" s="686">
        <v>2</v>
      </c>
      <c r="J2" s="527">
        <f t="shared" ref="J2:J65" si="0">D2/C2</f>
        <v>0.428571428571429</v>
      </c>
      <c r="K2" s="687">
        <f t="shared" ref="K2:K65" si="1">B2/D2</f>
        <v>3.14111111111111</v>
      </c>
      <c r="L2" s="687">
        <v>1346.19</v>
      </c>
      <c r="M2" s="686">
        <v>0</v>
      </c>
      <c r="N2" s="527">
        <v>0</v>
      </c>
      <c r="O2" s="543" t="e">
        <f t="shared" ref="O2:O13" si="2">F2/E2</f>
        <v>#DIV/0!</v>
      </c>
      <c r="P2" s="528" t="e">
        <f t="shared" ref="P2:P13" si="3">B2/E2</f>
        <v>#DIV/0!</v>
      </c>
      <c r="Q2" s="687" t="e">
        <f t="shared" ref="Q2:Q13" si="4">B2/G2</f>
        <v>#DIV/0!</v>
      </c>
    </row>
    <row r="3" spans="1:18">
      <c r="A3" s="684">
        <v>44198</v>
      </c>
      <c r="B3" s="685">
        <v>36.58</v>
      </c>
      <c r="C3" s="686">
        <v>26</v>
      </c>
      <c r="D3" s="686">
        <v>11</v>
      </c>
      <c r="E3" s="686">
        <v>0</v>
      </c>
      <c r="F3" s="685">
        <v>0</v>
      </c>
      <c r="G3" s="686">
        <v>0</v>
      </c>
      <c r="H3" s="686">
        <v>0</v>
      </c>
      <c r="I3" s="686">
        <v>2</v>
      </c>
      <c r="J3" s="527">
        <f t="shared" si="0"/>
        <v>0.423076923076923</v>
      </c>
      <c r="K3" s="687">
        <f t="shared" si="1"/>
        <v>3.32545454545455</v>
      </c>
      <c r="L3" s="687">
        <v>1406.92</v>
      </c>
      <c r="M3" s="686">
        <v>0</v>
      </c>
      <c r="N3" s="527">
        <v>0</v>
      </c>
      <c r="O3" s="543" t="e">
        <f t="shared" si="2"/>
        <v>#DIV/0!</v>
      </c>
      <c r="P3" s="528" t="e">
        <f t="shared" si="3"/>
        <v>#DIV/0!</v>
      </c>
      <c r="Q3" s="687" t="e">
        <f t="shared" si="4"/>
        <v>#DIV/0!</v>
      </c>
    </row>
    <row r="4" spans="1:18">
      <c r="A4" s="684">
        <v>44199</v>
      </c>
      <c r="B4" s="685">
        <v>49.47</v>
      </c>
      <c r="C4" s="686">
        <v>39</v>
      </c>
      <c r="D4" s="686">
        <v>11</v>
      </c>
      <c r="E4" s="686">
        <v>0</v>
      </c>
      <c r="F4" s="685">
        <v>0</v>
      </c>
      <c r="G4" s="686">
        <v>0</v>
      </c>
      <c r="H4" s="686">
        <v>0</v>
      </c>
      <c r="I4" s="686">
        <v>3</v>
      </c>
      <c r="J4" s="527">
        <f t="shared" si="0"/>
        <v>0.282051282051282</v>
      </c>
      <c r="K4" s="687">
        <f t="shared" si="1"/>
        <v>4.49727272727273</v>
      </c>
      <c r="L4" s="687">
        <v>1268.46</v>
      </c>
      <c r="M4" s="686">
        <v>0</v>
      </c>
      <c r="N4" s="527">
        <v>0</v>
      </c>
      <c r="O4" s="543" t="e">
        <f t="shared" si="2"/>
        <v>#DIV/0!</v>
      </c>
      <c r="P4" s="528" t="e">
        <f t="shared" si="3"/>
        <v>#DIV/0!</v>
      </c>
      <c r="Q4" s="687" t="e">
        <f t="shared" si="4"/>
        <v>#DIV/0!</v>
      </c>
    </row>
    <row r="5" spans="1:18">
      <c r="A5" s="684">
        <v>44200</v>
      </c>
      <c r="B5" s="685">
        <v>78.09</v>
      </c>
      <c r="C5" s="686">
        <v>62</v>
      </c>
      <c r="D5" s="686">
        <v>30</v>
      </c>
      <c r="E5" s="686">
        <v>0</v>
      </c>
      <c r="F5" s="685">
        <v>0</v>
      </c>
      <c r="G5" s="686">
        <v>1</v>
      </c>
      <c r="H5" s="686">
        <v>0</v>
      </c>
      <c r="I5" s="686">
        <v>0</v>
      </c>
      <c r="J5" s="527">
        <f t="shared" si="0"/>
        <v>0.483870967741935</v>
      </c>
      <c r="K5" s="687">
        <f t="shared" si="1"/>
        <v>2.603</v>
      </c>
      <c r="L5" s="687">
        <v>1259.52</v>
      </c>
      <c r="M5" s="686">
        <v>0</v>
      </c>
      <c r="N5" s="527">
        <v>0</v>
      </c>
      <c r="O5" s="543" t="e">
        <f t="shared" si="2"/>
        <v>#DIV/0!</v>
      </c>
      <c r="P5" s="528" t="e">
        <f t="shared" si="3"/>
        <v>#DIV/0!</v>
      </c>
      <c r="Q5" s="687">
        <f t="shared" si="4"/>
        <v>78.09</v>
      </c>
    </row>
    <row r="6" spans="1:18">
      <c r="A6" s="684">
        <v>44201</v>
      </c>
      <c r="B6" s="685">
        <v>59.83</v>
      </c>
      <c r="C6" s="686">
        <v>50</v>
      </c>
      <c r="D6" s="686">
        <v>20</v>
      </c>
      <c r="E6" s="686">
        <v>0</v>
      </c>
      <c r="F6" s="685">
        <v>0</v>
      </c>
      <c r="G6" s="686">
        <v>1</v>
      </c>
      <c r="H6" s="686">
        <v>0</v>
      </c>
      <c r="I6" s="686">
        <v>2</v>
      </c>
      <c r="J6" s="527">
        <f t="shared" si="0"/>
        <v>0.4</v>
      </c>
      <c r="K6" s="687">
        <f t="shared" si="1"/>
        <v>2.9915</v>
      </c>
      <c r="L6" s="687">
        <v>1196.6</v>
      </c>
      <c r="M6" s="686">
        <v>0</v>
      </c>
      <c r="N6" s="527">
        <v>0</v>
      </c>
      <c r="O6" s="543" t="e">
        <f t="shared" si="2"/>
        <v>#DIV/0!</v>
      </c>
      <c r="P6" s="528" t="e">
        <f t="shared" si="3"/>
        <v>#DIV/0!</v>
      </c>
      <c r="Q6" s="1025">
        <f t="shared" si="4"/>
        <v>59.83</v>
      </c>
    </row>
    <row r="7" spans="1:18">
      <c r="A7" s="684">
        <v>44202</v>
      </c>
      <c r="B7" s="685">
        <v>78.24</v>
      </c>
      <c r="C7" s="686">
        <v>58</v>
      </c>
      <c r="D7" s="686">
        <v>31</v>
      </c>
      <c r="E7" s="686">
        <v>0</v>
      </c>
      <c r="F7" s="685">
        <v>0</v>
      </c>
      <c r="G7" s="686">
        <v>0</v>
      </c>
      <c r="H7" s="686">
        <v>0</v>
      </c>
      <c r="I7" s="686">
        <v>2</v>
      </c>
      <c r="J7" s="527">
        <f t="shared" si="0"/>
        <v>0.53448275862069</v>
      </c>
      <c r="K7" s="687">
        <f t="shared" si="1"/>
        <v>2.52387096774194</v>
      </c>
      <c r="L7" s="687">
        <v>1348.97</v>
      </c>
      <c r="M7" s="686">
        <v>0</v>
      </c>
      <c r="N7" s="527">
        <v>0</v>
      </c>
      <c r="O7" s="543" t="e">
        <f t="shared" si="2"/>
        <v>#DIV/0!</v>
      </c>
      <c r="P7" s="528" t="e">
        <f t="shared" si="3"/>
        <v>#DIV/0!</v>
      </c>
      <c r="Q7" s="1025" t="e">
        <f t="shared" si="4"/>
        <v>#DIV/0!</v>
      </c>
    </row>
    <row r="8" spans="1:18">
      <c r="A8" s="684">
        <v>44203</v>
      </c>
      <c r="B8" s="685">
        <v>72.5</v>
      </c>
      <c r="C8" s="686">
        <v>71</v>
      </c>
      <c r="D8" s="686">
        <v>23</v>
      </c>
      <c r="E8" s="686">
        <v>0</v>
      </c>
      <c r="F8" s="685">
        <v>0</v>
      </c>
      <c r="G8" s="686">
        <v>2</v>
      </c>
      <c r="H8" s="686">
        <v>0</v>
      </c>
      <c r="I8" s="686">
        <v>1</v>
      </c>
      <c r="J8" s="527">
        <f t="shared" si="0"/>
        <v>0.323943661971831</v>
      </c>
      <c r="K8" s="687">
        <f t="shared" si="1"/>
        <v>3.15217391304348</v>
      </c>
      <c r="L8" s="687">
        <v>1021.13</v>
      </c>
      <c r="M8" s="686">
        <v>0</v>
      </c>
      <c r="N8" s="527">
        <v>0</v>
      </c>
      <c r="O8" s="543" t="e">
        <f t="shared" si="2"/>
        <v>#DIV/0!</v>
      </c>
      <c r="P8" s="528" t="e">
        <f t="shared" si="3"/>
        <v>#DIV/0!</v>
      </c>
      <c r="Q8" s="1025">
        <f t="shared" si="4"/>
        <v>36.25</v>
      </c>
    </row>
    <row r="9" spans="1:18">
      <c r="A9" s="684">
        <v>44204</v>
      </c>
      <c r="B9" s="685">
        <v>72.51</v>
      </c>
      <c r="C9" s="686">
        <v>70</v>
      </c>
      <c r="D9" s="686">
        <v>22</v>
      </c>
      <c r="E9" s="686">
        <v>0</v>
      </c>
      <c r="F9" s="685">
        <v>0</v>
      </c>
      <c r="G9" s="686">
        <v>0</v>
      </c>
      <c r="H9" s="686">
        <v>0</v>
      </c>
      <c r="I9" s="686">
        <v>1</v>
      </c>
      <c r="J9" s="527">
        <f t="shared" si="0"/>
        <v>0.314285714285714</v>
      </c>
      <c r="K9" s="687">
        <f t="shared" si="1"/>
        <v>3.29590909090909</v>
      </c>
      <c r="L9" s="687">
        <v>1035.86</v>
      </c>
      <c r="M9" s="686">
        <v>0</v>
      </c>
      <c r="N9" s="527">
        <v>0</v>
      </c>
      <c r="O9" s="543" t="e">
        <f t="shared" si="2"/>
        <v>#DIV/0!</v>
      </c>
      <c r="P9" s="528" t="e">
        <f t="shared" si="3"/>
        <v>#DIV/0!</v>
      </c>
      <c r="Q9" s="1025" t="e">
        <f t="shared" si="4"/>
        <v>#DIV/0!</v>
      </c>
    </row>
    <row r="10" spans="1:18">
      <c r="A10" s="684">
        <v>44205</v>
      </c>
      <c r="B10" s="685">
        <v>66.9</v>
      </c>
      <c r="C10" s="686">
        <v>81</v>
      </c>
      <c r="D10" s="686">
        <v>8</v>
      </c>
      <c r="E10" s="686">
        <v>0</v>
      </c>
      <c r="F10" s="685">
        <v>0</v>
      </c>
      <c r="G10" s="686">
        <v>0</v>
      </c>
      <c r="H10" s="686">
        <v>0</v>
      </c>
      <c r="I10" s="686">
        <v>0</v>
      </c>
      <c r="J10" s="527">
        <f t="shared" si="0"/>
        <v>0.0987654320987654</v>
      </c>
      <c r="K10" s="687">
        <f t="shared" si="1"/>
        <v>8.3625</v>
      </c>
      <c r="L10" s="687">
        <v>825.93</v>
      </c>
      <c r="M10" s="686">
        <v>0</v>
      </c>
      <c r="N10" s="527">
        <v>0</v>
      </c>
      <c r="O10" s="543" t="e">
        <f t="shared" si="2"/>
        <v>#DIV/0!</v>
      </c>
      <c r="P10" s="528" t="e">
        <f t="shared" si="3"/>
        <v>#DIV/0!</v>
      </c>
      <c r="Q10" s="1025" t="e">
        <f t="shared" si="4"/>
        <v>#DIV/0!</v>
      </c>
    </row>
    <row r="11" spans="1:18">
      <c r="A11" s="684">
        <v>44206</v>
      </c>
      <c r="B11" s="685">
        <v>41.51</v>
      </c>
      <c r="C11" s="686">
        <v>38</v>
      </c>
      <c r="D11" s="686">
        <v>9</v>
      </c>
      <c r="E11" s="686">
        <v>0</v>
      </c>
      <c r="F11" s="685">
        <v>0</v>
      </c>
      <c r="G11" s="686">
        <v>0</v>
      </c>
      <c r="H11" s="686">
        <v>0</v>
      </c>
      <c r="I11" s="686">
        <v>1</v>
      </c>
      <c r="J11" s="527">
        <f t="shared" si="0"/>
        <v>0.236842105263158</v>
      </c>
      <c r="K11" s="687">
        <f t="shared" si="1"/>
        <v>4.61222222222222</v>
      </c>
      <c r="L11" s="687">
        <v>1092.37</v>
      </c>
      <c r="M11" s="686">
        <v>0</v>
      </c>
      <c r="N11" s="527">
        <v>0</v>
      </c>
      <c r="O11" s="543" t="e">
        <f t="shared" si="2"/>
        <v>#DIV/0!</v>
      </c>
      <c r="P11" s="528" t="e">
        <f t="shared" si="3"/>
        <v>#DIV/0!</v>
      </c>
      <c r="Q11" s="1025" t="e">
        <f t="shared" si="4"/>
        <v>#DIV/0!</v>
      </c>
    </row>
    <row r="12" spans="1:18">
      <c r="A12" s="684">
        <v>44207</v>
      </c>
      <c r="B12" s="685">
        <v>56.58</v>
      </c>
      <c r="C12" s="686">
        <v>51</v>
      </c>
      <c r="D12" s="686">
        <v>16</v>
      </c>
      <c r="E12" s="686">
        <v>0</v>
      </c>
      <c r="F12" s="685">
        <v>0</v>
      </c>
      <c r="G12" s="686">
        <v>2</v>
      </c>
      <c r="H12" s="686">
        <v>0</v>
      </c>
      <c r="I12" s="686">
        <v>0</v>
      </c>
      <c r="J12" s="527">
        <f t="shared" si="0"/>
        <v>0.313725490196078</v>
      </c>
      <c r="K12" s="687">
        <f t="shared" si="1"/>
        <v>3.53625</v>
      </c>
      <c r="L12" s="687">
        <v>1109.41</v>
      </c>
      <c r="M12" s="686">
        <v>0</v>
      </c>
      <c r="N12" s="527">
        <v>0</v>
      </c>
      <c r="O12" s="543" t="e">
        <f t="shared" si="2"/>
        <v>#DIV/0!</v>
      </c>
      <c r="P12" s="528" t="e">
        <f t="shared" si="3"/>
        <v>#DIV/0!</v>
      </c>
      <c r="Q12" s="1025">
        <f t="shared" si="4"/>
        <v>28.29</v>
      </c>
    </row>
    <row r="13" spans="1:18">
      <c r="A13" s="684">
        <v>44208</v>
      </c>
      <c r="B13" s="670">
        <v>56.94</v>
      </c>
      <c r="C13" s="938">
        <v>57</v>
      </c>
      <c r="D13" s="938">
        <v>13</v>
      </c>
      <c r="E13" s="686">
        <v>0</v>
      </c>
      <c r="F13" s="685">
        <v>0</v>
      </c>
      <c r="G13" s="938">
        <v>1</v>
      </c>
      <c r="H13" s="938">
        <v>1</v>
      </c>
      <c r="I13" s="686">
        <v>0</v>
      </c>
      <c r="J13" s="527">
        <f t="shared" si="0"/>
        <v>0.228070175438596</v>
      </c>
      <c r="K13" s="687">
        <f t="shared" si="1"/>
        <v>4.38</v>
      </c>
      <c r="L13" s="41">
        <v>998.95</v>
      </c>
      <c r="M13" s="686">
        <v>0</v>
      </c>
      <c r="N13" s="527">
        <v>0</v>
      </c>
      <c r="O13" s="543" t="e">
        <f t="shared" si="2"/>
        <v>#DIV/0!</v>
      </c>
      <c r="P13" s="528" t="e">
        <f t="shared" si="3"/>
        <v>#DIV/0!</v>
      </c>
      <c r="Q13" s="687">
        <f t="shared" si="4"/>
        <v>56.94</v>
      </c>
    </row>
    <row r="14" spans="1:18">
      <c r="A14" s="684">
        <v>44209</v>
      </c>
      <c r="B14" s="670">
        <v>59.54</v>
      </c>
      <c r="C14" s="938">
        <v>55</v>
      </c>
      <c r="D14" s="938">
        <v>15</v>
      </c>
      <c r="E14" s="686">
        <v>0</v>
      </c>
      <c r="F14" s="685">
        <v>0</v>
      </c>
      <c r="G14" s="938">
        <v>2</v>
      </c>
      <c r="H14" s="938">
        <v>2</v>
      </c>
      <c r="I14" s="686">
        <v>0</v>
      </c>
      <c r="J14" s="527">
        <f t="shared" si="0"/>
        <v>0.272727272727273</v>
      </c>
      <c r="K14" s="687">
        <f t="shared" si="1"/>
        <v>3.96933333333333</v>
      </c>
      <c r="L14" s="41">
        <v>1082.55</v>
      </c>
      <c r="M14" s="686">
        <v>0</v>
      </c>
      <c r="N14" s="527">
        <v>0</v>
      </c>
      <c r="O14" s="543" t="e">
        <f t="shared" ref="O14:O77" si="5">F14/E14</f>
        <v>#DIV/0!</v>
      </c>
      <c r="P14" s="528" t="e">
        <f t="shared" ref="P14:P77" si="6">B14/E14</f>
        <v>#DIV/0!</v>
      </c>
      <c r="Q14" s="687">
        <f t="shared" ref="Q14:Q77" si="7">B14/G14</f>
        <v>29.77</v>
      </c>
    </row>
    <row r="15" spans="1:18">
      <c r="A15" s="684">
        <v>44210</v>
      </c>
      <c r="B15" s="670">
        <v>66.47</v>
      </c>
      <c r="C15" s="938">
        <v>86</v>
      </c>
      <c r="D15" s="938">
        <v>20</v>
      </c>
      <c r="E15" s="938">
        <v>0</v>
      </c>
      <c r="F15" s="670">
        <v>0</v>
      </c>
      <c r="G15" s="938">
        <v>0</v>
      </c>
      <c r="H15" s="938">
        <v>3</v>
      </c>
      <c r="I15" s="938">
        <v>0</v>
      </c>
      <c r="J15" s="527">
        <f t="shared" si="0"/>
        <v>0.232558139534884</v>
      </c>
      <c r="K15" s="687">
        <f t="shared" si="1"/>
        <v>3.3235</v>
      </c>
      <c r="L15" s="41">
        <v>772.91</v>
      </c>
      <c r="M15" s="686">
        <v>0</v>
      </c>
      <c r="N15" s="527">
        <v>0</v>
      </c>
      <c r="O15" s="543" t="e">
        <f t="shared" si="5"/>
        <v>#DIV/0!</v>
      </c>
      <c r="P15" s="528" t="e">
        <f t="shared" si="6"/>
        <v>#DIV/0!</v>
      </c>
      <c r="Q15" s="687" t="e">
        <f t="shared" si="7"/>
        <v>#DIV/0!</v>
      </c>
    </row>
    <row r="16" spans="1:18">
      <c r="A16" s="684">
        <v>44211</v>
      </c>
      <c r="B16" s="670">
        <v>47.05</v>
      </c>
      <c r="C16" s="938">
        <v>49</v>
      </c>
      <c r="D16" s="938">
        <v>15</v>
      </c>
      <c r="E16" s="938">
        <v>0</v>
      </c>
      <c r="F16" s="670">
        <v>0</v>
      </c>
      <c r="G16" s="938">
        <v>0</v>
      </c>
      <c r="H16" s="938">
        <v>1</v>
      </c>
      <c r="I16" s="938">
        <v>0</v>
      </c>
      <c r="J16" s="527">
        <f t="shared" si="0"/>
        <v>0.306122448979592</v>
      </c>
      <c r="K16" s="687">
        <f t="shared" si="1"/>
        <v>3.13666666666667</v>
      </c>
      <c r="L16" s="41">
        <v>960.2</v>
      </c>
      <c r="M16" s="686">
        <v>0</v>
      </c>
      <c r="N16" s="527">
        <v>0</v>
      </c>
      <c r="O16" s="543" t="e">
        <f t="shared" si="5"/>
        <v>#DIV/0!</v>
      </c>
      <c r="P16" s="528" t="e">
        <f t="shared" si="6"/>
        <v>#DIV/0!</v>
      </c>
      <c r="Q16" s="687" t="e">
        <f t="shared" si="7"/>
        <v>#DIV/0!</v>
      </c>
    </row>
    <row r="17" spans="1:17">
      <c r="A17" s="684">
        <v>44212</v>
      </c>
      <c r="B17" s="670">
        <v>53.45</v>
      </c>
      <c r="C17" s="938">
        <v>52</v>
      </c>
      <c r="D17" s="938">
        <v>13</v>
      </c>
      <c r="E17" s="938">
        <v>0</v>
      </c>
      <c r="F17" s="670">
        <v>0</v>
      </c>
      <c r="G17" s="37">
        <v>2</v>
      </c>
      <c r="H17" s="938">
        <v>1</v>
      </c>
      <c r="I17" s="938">
        <v>0</v>
      </c>
      <c r="J17" s="527">
        <f t="shared" si="0"/>
        <v>0.25</v>
      </c>
      <c r="K17" s="687">
        <f t="shared" si="1"/>
        <v>4.11153846153846</v>
      </c>
      <c r="L17" s="41">
        <v>1027.88</v>
      </c>
      <c r="M17" s="686">
        <v>0</v>
      </c>
      <c r="N17" s="527">
        <v>0</v>
      </c>
      <c r="O17" s="543" t="e">
        <f t="shared" si="5"/>
        <v>#DIV/0!</v>
      </c>
      <c r="P17" s="528" t="e">
        <f t="shared" si="6"/>
        <v>#DIV/0!</v>
      </c>
      <c r="Q17" s="687">
        <f t="shared" si="7"/>
        <v>26.725</v>
      </c>
    </row>
    <row r="18" spans="1:17">
      <c r="A18" s="684">
        <v>44213</v>
      </c>
      <c r="B18" s="670">
        <v>49.73</v>
      </c>
      <c r="C18" s="938">
        <v>42</v>
      </c>
      <c r="D18" s="938">
        <v>11</v>
      </c>
      <c r="E18" s="938">
        <v>0</v>
      </c>
      <c r="F18" s="670">
        <v>0</v>
      </c>
      <c r="G18" s="37">
        <v>2</v>
      </c>
      <c r="H18" s="938">
        <v>2</v>
      </c>
      <c r="I18" s="37">
        <v>1</v>
      </c>
      <c r="J18" s="527">
        <f t="shared" si="0"/>
        <v>0.261904761904762</v>
      </c>
      <c r="K18" s="687">
        <f t="shared" si="1"/>
        <v>4.52090909090909</v>
      </c>
      <c r="L18" s="41">
        <v>1184.05</v>
      </c>
      <c r="M18" s="686">
        <v>0</v>
      </c>
      <c r="N18" s="527">
        <v>0</v>
      </c>
      <c r="O18" s="543" t="e">
        <f t="shared" si="5"/>
        <v>#DIV/0!</v>
      </c>
      <c r="P18" s="528" t="e">
        <f t="shared" si="6"/>
        <v>#DIV/0!</v>
      </c>
      <c r="Q18" s="687">
        <f t="shared" si="7"/>
        <v>24.865</v>
      </c>
    </row>
    <row r="19" spans="1:17">
      <c r="A19" s="684">
        <v>44214</v>
      </c>
      <c r="B19" s="670">
        <v>50.64</v>
      </c>
      <c r="C19" s="938">
        <v>41</v>
      </c>
      <c r="D19" s="938">
        <v>18</v>
      </c>
      <c r="E19" s="938">
        <v>1</v>
      </c>
      <c r="F19" s="670">
        <v>0.01</v>
      </c>
      <c r="G19" s="37">
        <v>2</v>
      </c>
      <c r="H19" s="938">
        <v>0</v>
      </c>
      <c r="I19" s="37">
        <v>0</v>
      </c>
      <c r="J19" s="527">
        <f t="shared" si="0"/>
        <v>0.439024390243902</v>
      </c>
      <c r="K19" s="687">
        <f t="shared" si="1"/>
        <v>2.81333333333333</v>
      </c>
      <c r="L19" s="41">
        <f>B19/(C19/1000)</f>
        <v>1235.12195121951</v>
      </c>
      <c r="M19" s="686">
        <v>0</v>
      </c>
      <c r="N19" s="527">
        <v>0</v>
      </c>
      <c r="O19" s="543">
        <f t="shared" si="5"/>
        <v>0.01</v>
      </c>
      <c r="P19" s="528">
        <f t="shared" si="6"/>
        <v>50.64</v>
      </c>
      <c r="Q19" s="687">
        <f t="shared" si="7"/>
        <v>25.32</v>
      </c>
    </row>
    <row r="20" spans="1:17">
      <c r="A20" s="684">
        <v>44215</v>
      </c>
      <c r="B20" s="670">
        <v>50.78</v>
      </c>
      <c r="C20" s="938">
        <v>39</v>
      </c>
      <c r="D20" s="938">
        <v>16</v>
      </c>
      <c r="E20" s="938">
        <v>0</v>
      </c>
      <c r="F20" s="670">
        <v>0</v>
      </c>
      <c r="G20" s="941">
        <v>0</v>
      </c>
      <c r="H20" s="938">
        <v>0</v>
      </c>
      <c r="I20" s="37">
        <v>1</v>
      </c>
      <c r="J20" s="527">
        <f t="shared" si="0"/>
        <v>0.41025641025641</v>
      </c>
      <c r="K20" s="687">
        <f t="shared" si="1"/>
        <v>3.17375</v>
      </c>
      <c r="L20" s="41">
        <f t="shared" ref="L20:L61" si="8">B20/(C20/1000)</f>
        <v>1302.05128205128</v>
      </c>
      <c r="M20" s="686">
        <v>0</v>
      </c>
      <c r="N20" s="527">
        <v>0</v>
      </c>
      <c r="O20" s="543" t="e">
        <f t="shared" si="5"/>
        <v>#DIV/0!</v>
      </c>
      <c r="P20" s="528" t="e">
        <f t="shared" si="6"/>
        <v>#DIV/0!</v>
      </c>
      <c r="Q20" s="687" t="e">
        <f t="shared" si="7"/>
        <v>#DIV/0!</v>
      </c>
    </row>
    <row r="21" spans="1:17">
      <c r="A21" s="684">
        <v>44216</v>
      </c>
      <c r="B21" s="670">
        <v>71.75</v>
      </c>
      <c r="C21" s="938">
        <v>58</v>
      </c>
      <c r="D21" s="938">
        <v>32</v>
      </c>
      <c r="E21" s="37">
        <v>1</v>
      </c>
      <c r="F21" s="670">
        <v>0.01</v>
      </c>
      <c r="G21" s="37">
        <v>0</v>
      </c>
      <c r="H21" s="938">
        <v>0</v>
      </c>
      <c r="I21" s="37">
        <v>2</v>
      </c>
      <c r="J21" s="527">
        <f t="shared" si="0"/>
        <v>0.551724137931034</v>
      </c>
      <c r="K21" s="687">
        <f t="shared" si="1"/>
        <v>2.2421875</v>
      </c>
      <c r="L21" s="41">
        <f t="shared" si="8"/>
        <v>1237.06896551724</v>
      </c>
      <c r="M21" s="686">
        <v>0</v>
      </c>
      <c r="N21" s="527">
        <v>0</v>
      </c>
      <c r="O21" s="543">
        <f t="shared" si="5"/>
        <v>0.01</v>
      </c>
      <c r="P21" s="528">
        <f t="shared" si="6"/>
        <v>71.75</v>
      </c>
      <c r="Q21" s="687" t="e">
        <f t="shared" si="7"/>
        <v>#DIV/0!</v>
      </c>
    </row>
    <row r="22" spans="1:17">
      <c r="A22" s="684">
        <v>44217</v>
      </c>
      <c r="B22" s="670">
        <v>52.78</v>
      </c>
      <c r="C22" s="938">
        <v>38</v>
      </c>
      <c r="D22" s="938">
        <v>18</v>
      </c>
      <c r="E22" s="37">
        <v>1</v>
      </c>
      <c r="F22" s="670">
        <v>0.01</v>
      </c>
      <c r="G22" s="37">
        <v>0</v>
      </c>
      <c r="H22" s="938">
        <v>0</v>
      </c>
      <c r="I22" s="37">
        <v>0</v>
      </c>
      <c r="J22" s="527">
        <f t="shared" si="0"/>
        <v>0.473684210526316</v>
      </c>
      <c r="K22" s="687">
        <f t="shared" si="1"/>
        <v>2.93222222222222</v>
      </c>
      <c r="L22" s="41">
        <f t="shared" si="8"/>
        <v>1388.94736842105</v>
      </c>
      <c r="M22" s="686">
        <v>0</v>
      </c>
      <c r="N22" s="527">
        <v>0</v>
      </c>
      <c r="O22" s="543">
        <f t="shared" si="5"/>
        <v>0.01</v>
      </c>
      <c r="P22" s="528">
        <f t="shared" si="6"/>
        <v>52.78</v>
      </c>
      <c r="Q22" s="687" t="e">
        <f t="shared" si="7"/>
        <v>#DIV/0!</v>
      </c>
    </row>
    <row r="23" spans="1:17">
      <c r="A23" s="684">
        <v>44218</v>
      </c>
      <c r="B23" s="670">
        <v>49.79</v>
      </c>
      <c r="C23" s="938">
        <v>43</v>
      </c>
      <c r="D23" s="938">
        <v>14</v>
      </c>
      <c r="E23" s="37">
        <v>0</v>
      </c>
      <c r="F23" s="670">
        <v>0</v>
      </c>
      <c r="G23" s="37">
        <v>0</v>
      </c>
      <c r="H23" s="938">
        <v>0</v>
      </c>
      <c r="I23" s="37">
        <v>0</v>
      </c>
      <c r="J23" s="527">
        <f t="shared" si="0"/>
        <v>0.325581395348837</v>
      </c>
      <c r="K23" s="687">
        <f t="shared" si="1"/>
        <v>3.55642857142857</v>
      </c>
      <c r="L23" s="41">
        <f t="shared" si="8"/>
        <v>1157.90697674419</v>
      </c>
      <c r="M23" s="686">
        <v>0</v>
      </c>
      <c r="N23" s="527">
        <v>0</v>
      </c>
      <c r="O23" s="543" t="e">
        <f t="shared" si="5"/>
        <v>#DIV/0!</v>
      </c>
      <c r="P23" s="528" t="e">
        <f t="shared" si="6"/>
        <v>#DIV/0!</v>
      </c>
      <c r="Q23" s="687" t="e">
        <f t="shared" si="7"/>
        <v>#DIV/0!</v>
      </c>
    </row>
    <row r="24" spans="1:17">
      <c r="A24" s="684">
        <v>44219</v>
      </c>
      <c r="B24" s="670">
        <v>60.91</v>
      </c>
      <c r="C24" s="938">
        <v>67</v>
      </c>
      <c r="D24" s="938">
        <v>13</v>
      </c>
      <c r="E24" s="37">
        <v>0</v>
      </c>
      <c r="F24" s="670">
        <v>0</v>
      </c>
      <c r="G24" s="37">
        <v>1</v>
      </c>
      <c r="H24" s="938">
        <v>0</v>
      </c>
      <c r="I24" s="37">
        <v>2</v>
      </c>
      <c r="J24" s="527">
        <f t="shared" si="0"/>
        <v>0.194029850746269</v>
      </c>
      <c r="K24" s="687">
        <f t="shared" si="1"/>
        <v>4.68538461538462</v>
      </c>
      <c r="L24" s="41">
        <f t="shared" si="8"/>
        <v>909.10447761194</v>
      </c>
      <c r="M24" s="686">
        <v>0</v>
      </c>
      <c r="N24" s="527">
        <v>0</v>
      </c>
      <c r="O24" s="543" t="e">
        <f t="shared" si="5"/>
        <v>#DIV/0!</v>
      </c>
      <c r="P24" s="528" t="e">
        <f t="shared" si="6"/>
        <v>#DIV/0!</v>
      </c>
      <c r="Q24" s="687">
        <f t="shared" si="7"/>
        <v>60.91</v>
      </c>
    </row>
    <row r="25" spans="1:17">
      <c r="A25" s="684">
        <v>44220</v>
      </c>
      <c r="B25" s="670">
        <v>54.85</v>
      </c>
      <c r="C25" s="938">
        <v>50</v>
      </c>
      <c r="D25" s="938">
        <v>15</v>
      </c>
      <c r="E25" s="37">
        <v>0</v>
      </c>
      <c r="F25" s="670">
        <v>0</v>
      </c>
      <c r="G25" s="37">
        <v>1</v>
      </c>
      <c r="H25" s="938">
        <v>0</v>
      </c>
      <c r="I25" s="37">
        <v>1</v>
      </c>
      <c r="J25" s="527">
        <f t="shared" si="0"/>
        <v>0.3</v>
      </c>
      <c r="K25" s="687">
        <f t="shared" si="1"/>
        <v>3.65666666666667</v>
      </c>
      <c r="L25" s="41">
        <f t="shared" si="8"/>
        <v>1097</v>
      </c>
      <c r="M25" s="686">
        <v>0</v>
      </c>
      <c r="N25" s="527">
        <v>0</v>
      </c>
      <c r="O25" s="543" t="e">
        <f t="shared" si="5"/>
        <v>#DIV/0!</v>
      </c>
      <c r="P25" s="528" t="e">
        <f t="shared" si="6"/>
        <v>#DIV/0!</v>
      </c>
      <c r="Q25" s="687">
        <f t="shared" si="7"/>
        <v>54.85</v>
      </c>
    </row>
    <row r="26" spans="1:17">
      <c r="A26" s="684">
        <v>44221</v>
      </c>
      <c r="B26" s="670">
        <v>35.77</v>
      </c>
      <c r="C26" s="938">
        <v>36</v>
      </c>
      <c r="D26" s="938">
        <v>10</v>
      </c>
      <c r="E26" s="37">
        <v>0</v>
      </c>
      <c r="F26" s="670">
        <v>0</v>
      </c>
      <c r="G26" s="37">
        <v>1</v>
      </c>
      <c r="H26" s="938">
        <v>0</v>
      </c>
      <c r="I26" s="37">
        <v>1</v>
      </c>
      <c r="J26" s="527">
        <f t="shared" si="0"/>
        <v>0.277777777777778</v>
      </c>
      <c r="K26" s="687">
        <f t="shared" si="1"/>
        <v>3.577</v>
      </c>
      <c r="L26" s="41">
        <f t="shared" si="8"/>
        <v>993.611111111111</v>
      </c>
      <c r="M26" s="686">
        <v>0</v>
      </c>
      <c r="N26" s="527">
        <v>0</v>
      </c>
      <c r="O26" s="543" t="e">
        <f t="shared" si="5"/>
        <v>#DIV/0!</v>
      </c>
      <c r="P26" s="528" t="e">
        <f t="shared" si="6"/>
        <v>#DIV/0!</v>
      </c>
      <c r="Q26" s="687">
        <f t="shared" si="7"/>
        <v>35.77</v>
      </c>
    </row>
    <row r="27" spans="1:17">
      <c r="A27" s="684">
        <v>44222</v>
      </c>
      <c r="B27" s="670">
        <v>45.51</v>
      </c>
      <c r="C27" s="938">
        <v>40</v>
      </c>
      <c r="D27" s="938">
        <v>21</v>
      </c>
      <c r="E27" s="37">
        <v>0</v>
      </c>
      <c r="F27" s="670">
        <v>0</v>
      </c>
      <c r="G27" s="37">
        <v>0</v>
      </c>
      <c r="H27" s="938">
        <v>1</v>
      </c>
      <c r="I27" s="37">
        <v>1</v>
      </c>
      <c r="J27" s="527">
        <f t="shared" si="0"/>
        <v>0.525</v>
      </c>
      <c r="K27" s="687">
        <f t="shared" si="1"/>
        <v>2.16714285714286</v>
      </c>
      <c r="L27" s="41">
        <f t="shared" si="8"/>
        <v>1137.75</v>
      </c>
      <c r="M27" s="686">
        <v>0</v>
      </c>
      <c r="N27" s="527">
        <v>0</v>
      </c>
      <c r="O27" s="543" t="e">
        <f t="shared" si="5"/>
        <v>#DIV/0!</v>
      </c>
      <c r="P27" s="528" t="e">
        <f t="shared" si="6"/>
        <v>#DIV/0!</v>
      </c>
      <c r="Q27" s="687" t="e">
        <f t="shared" si="7"/>
        <v>#DIV/0!</v>
      </c>
    </row>
    <row r="28" spans="1:17">
      <c r="A28" s="684">
        <v>44223</v>
      </c>
      <c r="B28" s="670">
        <v>51.74</v>
      </c>
      <c r="C28" s="938">
        <v>39</v>
      </c>
      <c r="D28" s="938">
        <v>26</v>
      </c>
      <c r="E28" s="37">
        <v>0</v>
      </c>
      <c r="F28" s="670">
        <v>0</v>
      </c>
      <c r="G28" s="37">
        <v>1</v>
      </c>
      <c r="H28" s="938">
        <v>0</v>
      </c>
      <c r="I28" s="37">
        <v>0</v>
      </c>
      <c r="J28" s="527">
        <f t="shared" si="0"/>
        <v>0.666666666666667</v>
      </c>
      <c r="K28" s="687">
        <f t="shared" si="1"/>
        <v>1.99</v>
      </c>
      <c r="L28" s="41">
        <f t="shared" si="8"/>
        <v>1326.66666666667</v>
      </c>
      <c r="M28" s="686">
        <v>0</v>
      </c>
      <c r="N28" s="527">
        <v>0</v>
      </c>
      <c r="O28" s="543" t="e">
        <f t="shared" si="5"/>
        <v>#DIV/0!</v>
      </c>
      <c r="P28" s="528" t="e">
        <f t="shared" si="6"/>
        <v>#DIV/0!</v>
      </c>
      <c r="Q28" s="687">
        <f t="shared" si="7"/>
        <v>51.74</v>
      </c>
    </row>
    <row r="29" spans="1:17">
      <c r="A29" s="684">
        <v>44224</v>
      </c>
      <c r="B29" s="670">
        <v>58.41</v>
      </c>
      <c r="C29" s="938">
        <v>41</v>
      </c>
      <c r="D29" s="938">
        <v>25</v>
      </c>
      <c r="E29" s="37">
        <v>0</v>
      </c>
      <c r="F29" s="670">
        <v>0</v>
      </c>
      <c r="G29" s="37">
        <v>2</v>
      </c>
      <c r="H29" s="938">
        <v>1</v>
      </c>
      <c r="I29" s="37">
        <v>2</v>
      </c>
      <c r="J29" s="527">
        <f t="shared" si="0"/>
        <v>0.609756097560976</v>
      </c>
      <c r="K29" s="687">
        <f t="shared" si="1"/>
        <v>2.3364</v>
      </c>
      <c r="L29" s="41">
        <f t="shared" si="8"/>
        <v>1424.63414634146</v>
      </c>
      <c r="M29" s="686">
        <v>0</v>
      </c>
      <c r="N29" s="527">
        <v>0</v>
      </c>
      <c r="O29" s="543" t="e">
        <f t="shared" si="5"/>
        <v>#DIV/0!</v>
      </c>
      <c r="P29" s="528" t="e">
        <f t="shared" si="6"/>
        <v>#DIV/0!</v>
      </c>
      <c r="Q29" s="687">
        <f t="shared" si="7"/>
        <v>29.205</v>
      </c>
    </row>
    <row r="30" spans="1:17">
      <c r="A30" s="684">
        <v>44225</v>
      </c>
      <c r="B30" s="670">
        <v>41.08</v>
      </c>
      <c r="C30" s="938">
        <v>28</v>
      </c>
      <c r="D30" s="938">
        <v>10</v>
      </c>
      <c r="E30" s="37">
        <v>0</v>
      </c>
      <c r="F30" s="670">
        <v>0</v>
      </c>
      <c r="G30" s="37">
        <v>2</v>
      </c>
      <c r="H30" s="938">
        <v>0</v>
      </c>
      <c r="I30" s="37">
        <v>0</v>
      </c>
      <c r="J30" s="527">
        <f t="shared" si="0"/>
        <v>0.357142857142857</v>
      </c>
      <c r="K30" s="687">
        <f t="shared" si="1"/>
        <v>4.108</v>
      </c>
      <c r="L30" s="41">
        <f t="shared" si="8"/>
        <v>1467.14285714286</v>
      </c>
      <c r="M30" s="686">
        <v>0</v>
      </c>
      <c r="N30" s="527">
        <v>0</v>
      </c>
      <c r="O30" s="543" t="e">
        <f t="shared" si="5"/>
        <v>#DIV/0!</v>
      </c>
      <c r="P30" s="528" t="e">
        <f t="shared" si="6"/>
        <v>#DIV/0!</v>
      </c>
      <c r="Q30" s="687">
        <f t="shared" si="7"/>
        <v>20.54</v>
      </c>
    </row>
    <row r="31" spans="1:17">
      <c r="A31" s="684">
        <v>44226</v>
      </c>
      <c r="B31" s="670">
        <v>5.85</v>
      </c>
      <c r="C31" s="938">
        <v>4</v>
      </c>
      <c r="D31" s="938">
        <v>1</v>
      </c>
      <c r="E31" s="37">
        <v>0</v>
      </c>
      <c r="F31" s="670">
        <v>0</v>
      </c>
      <c r="G31" s="37">
        <v>0</v>
      </c>
      <c r="H31" s="938">
        <v>0</v>
      </c>
      <c r="I31" s="37">
        <v>0</v>
      </c>
      <c r="J31" s="527">
        <f t="shared" si="0"/>
        <v>0.25</v>
      </c>
      <c r="K31" s="687">
        <f t="shared" si="1"/>
        <v>5.85</v>
      </c>
      <c r="L31" s="41">
        <f t="shared" si="8"/>
        <v>1462.5</v>
      </c>
      <c r="M31" s="686">
        <v>0</v>
      </c>
      <c r="N31" s="527">
        <v>0</v>
      </c>
      <c r="O31" s="543" t="e">
        <f t="shared" si="5"/>
        <v>#DIV/0!</v>
      </c>
      <c r="P31" s="528" t="e">
        <f t="shared" si="6"/>
        <v>#DIV/0!</v>
      </c>
      <c r="Q31" s="687" t="e">
        <f t="shared" si="7"/>
        <v>#DIV/0!</v>
      </c>
    </row>
    <row r="32" spans="1:17">
      <c r="A32" s="684">
        <v>44227</v>
      </c>
      <c r="B32" s="670">
        <v>0</v>
      </c>
      <c r="C32" s="938">
        <v>0</v>
      </c>
      <c r="D32" s="938">
        <v>0</v>
      </c>
      <c r="E32" s="37">
        <v>0</v>
      </c>
      <c r="F32" s="670">
        <v>0</v>
      </c>
      <c r="G32" s="37">
        <v>0</v>
      </c>
      <c r="H32" s="938">
        <v>0</v>
      </c>
      <c r="I32" s="37">
        <v>0</v>
      </c>
      <c r="J32" s="527" t="e">
        <f t="shared" si="0"/>
        <v>#DIV/0!</v>
      </c>
      <c r="K32" s="687" t="e">
        <f t="shared" si="1"/>
        <v>#DIV/0!</v>
      </c>
      <c r="L32" s="41" t="e">
        <f t="shared" si="8"/>
        <v>#DIV/0!</v>
      </c>
      <c r="M32" s="686">
        <v>0</v>
      </c>
      <c r="N32" s="527">
        <v>0</v>
      </c>
      <c r="O32" s="543" t="e">
        <f t="shared" si="5"/>
        <v>#DIV/0!</v>
      </c>
      <c r="P32" s="528" t="e">
        <f t="shared" si="6"/>
        <v>#DIV/0!</v>
      </c>
      <c r="Q32" s="687" t="e">
        <f t="shared" si="7"/>
        <v>#DIV/0!</v>
      </c>
    </row>
    <row r="33" spans="1:17">
      <c r="A33" s="684">
        <f t="shared" ref="A33:A96" si="9">A32+1</f>
        <v>44228</v>
      </c>
      <c r="B33" s="685">
        <v>0</v>
      </c>
      <c r="C33" s="686">
        <v>0</v>
      </c>
      <c r="D33" s="686">
        <v>0</v>
      </c>
      <c r="E33" s="686">
        <v>0</v>
      </c>
      <c r="F33" s="685">
        <v>0</v>
      </c>
      <c r="G33" s="686">
        <v>0</v>
      </c>
      <c r="H33" s="686">
        <v>0</v>
      </c>
      <c r="I33" s="686">
        <v>0</v>
      </c>
      <c r="J33" s="527" t="e">
        <f t="shared" si="0"/>
        <v>#DIV/0!</v>
      </c>
      <c r="K33" s="687" t="e">
        <f t="shared" si="1"/>
        <v>#DIV/0!</v>
      </c>
      <c r="L33" s="41" t="e">
        <f t="shared" si="8"/>
        <v>#DIV/0!</v>
      </c>
      <c r="M33" s="686">
        <v>0</v>
      </c>
      <c r="N33" s="527">
        <v>0</v>
      </c>
      <c r="O33" s="543" t="e">
        <f t="shared" si="5"/>
        <v>#DIV/0!</v>
      </c>
      <c r="P33" s="528" t="e">
        <f t="shared" si="6"/>
        <v>#DIV/0!</v>
      </c>
      <c r="Q33" s="687" t="e">
        <f t="shared" si="7"/>
        <v>#DIV/0!</v>
      </c>
    </row>
    <row r="34" spans="1:17">
      <c r="A34" s="684">
        <f t="shared" si="9"/>
        <v>44229</v>
      </c>
      <c r="B34" s="685">
        <v>58.2</v>
      </c>
      <c r="C34" s="686">
        <v>54</v>
      </c>
      <c r="D34" s="686">
        <v>20</v>
      </c>
      <c r="E34" s="686">
        <v>0</v>
      </c>
      <c r="F34" s="685">
        <v>0</v>
      </c>
      <c r="G34" s="686">
        <v>1</v>
      </c>
      <c r="H34" s="686">
        <v>0</v>
      </c>
      <c r="I34" s="686">
        <v>1</v>
      </c>
      <c r="J34" s="527">
        <f t="shared" si="0"/>
        <v>0.37037037037037</v>
      </c>
      <c r="K34" s="687">
        <f t="shared" si="1"/>
        <v>2.91</v>
      </c>
      <c r="L34" s="41">
        <f t="shared" si="8"/>
        <v>1077.77777777778</v>
      </c>
      <c r="M34" s="686">
        <v>0</v>
      </c>
      <c r="N34" s="527">
        <v>0</v>
      </c>
      <c r="O34" s="543" t="e">
        <f t="shared" si="5"/>
        <v>#DIV/0!</v>
      </c>
      <c r="P34" s="528" t="e">
        <f t="shared" si="6"/>
        <v>#DIV/0!</v>
      </c>
      <c r="Q34" s="687">
        <f t="shared" si="7"/>
        <v>58.2</v>
      </c>
    </row>
    <row r="35" spans="1:17">
      <c r="A35" s="684">
        <f t="shared" si="9"/>
        <v>44230</v>
      </c>
      <c r="B35" s="685">
        <v>81.92</v>
      </c>
      <c r="C35" s="686">
        <v>71</v>
      </c>
      <c r="D35" s="686">
        <v>30</v>
      </c>
      <c r="E35" s="686">
        <v>0</v>
      </c>
      <c r="F35" s="685">
        <v>0</v>
      </c>
      <c r="G35" s="686">
        <v>4</v>
      </c>
      <c r="H35" s="686">
        <v>1</v>
      </c>
      <c r="I35" s="686">
        <v>1</v>
      </c>
      <c r="J35" s="527">
        <f t="shared" si="0"/>
        <v>0.422535211267606</v>
      </c>
      <c r="K35" s="687">
        <f t="shared" si="1"/>
        <v>2.73066666666667</v>
      </c>
      <c r="L35" s="41">
        <f t="shared" si="8"/>
        <v>1153.80281690141</v>
      </c>
      <c r="M35" s="686">
        <v>0</v>
      </c>
      <c r="N35" s="527">
        <v>0</v>
      </c>
      <c r="O35" s="543" t="e">
        <f t="shared" si="5"/>
        <v>#DIV/0!</v>
      </c>
      <c r="P35" s="528" t="e">
        <f t="shared" si="6"/>
        <v>#DIV/0!</v>
      </c>
      <c r="Q35" s="687">
        <f t="shared" si="7"/>
        <v>20.48</v>
      </c>
    </row>
    <row r="36" spans="1:17">
      <c r="A36" s="684">
        <f t="shared" si="9"/>
        <v>44231</v>
      </c>
      <c r="B36" s="685">
        <v>41.85</v>
      </c>
      <c r="C36" s="686">
        <v>35</v>
      </c>
      <c r="D36" s="686">
        <v>16</v>
      </c>
      <c r="E36" s="686">
        <v>0</v>
      </c>
      <c r="F36" s="685">
        <v>0</v>
      </c>
      <c r="G36" s="686">
        <v>1</v>
      </c>
      <c r="H36" s="686">
        <v>2</v>
      </c>
      <c r="I36" s="686">
        <v>0</v>
      </c>
      <c r="J36" s="527">
        <f t="shared" si="0"/>
        <v>0.457142857142857</v>
      </c>
      <c r="K36" s="687">
        <f t="shared" si="1"/>
        <v>2.615625</v>
      </c>
      <c r="L36" s="41">
        <f t="shared" si="8"/>
        <v>1195.71428571429</v>
      </c>
      <c r="M36" s="686">
        <v>0</v>
      </c>
      <c r="N36" s="527">
        <v>0</v>
      </c>
      <c r="O36" s="543" t="e">
        <f t="shared" si="5"/>
        <v>#DIV/0!</v>
      </c>
      <c r="P36" s="528" t="e">
        <f t="shared" si="6"/>
        <v>#DIV/0!</v>
      </c>
      <c r="Q36" s="687">
        <f t="shared" si="7"/>
        <v>41.85</v>
      </c>
    </row>
    <row r="37" spans="1:17">
      <c r="A37" s="684">
        <f t="shared" si="9"/>
        <v>44232</v>
      </c>
      <c r="B37" s="685">
        <v>72.21</v>
      </c>
      <c r="C37" s="686">
        <v>57</v>
      </c>
      <c r="D37" s="686">
        <v>11</v>
      </c>
      <c r="E37" s="686">
        <v>0</v>
      </c>
      <c r="F37" s="685">
        <v>0</v>
      </c>
      <c r="G37" s="686">
        <v>0</v>
      </c>
      <c r="H37" s="686">
        <v>0</v>
      </c>
      <c r="I37" s="686">
        <v>1</v>
      </c>
      <c r="J37" s="527">
        <f t="shared" si="0"/>
        <v>0.192982456140351</v>
      </c>
      <c r="K37" s="687">
        <f t="shared" si="1"/>
        <v>6.56454545454545</v>
      </c>
      <c r="L37" s="41">
        <f t="shared" si="8"/>
        <v>1266.84210526316</v>
      </c>
      <c r="M37" s="686">
        <v>0</v>
      </c>
      <c r="N37" s="527">
        <v>0</v>
      </c>
      <c r="O37" s="543" t="e">
        <f t="shared" si="5"/>
        <v>#DIV/0!</v>
      </c>
      <c r="P37" s="528" t="e">
        <f t="shared" si="6"/>
        <v>#DIV/0!</v>
      </c>
      <c r="Q37" s="687" t="e">
        <f t="shared" si="7"/>
        <v>#DIV/0!</v>
      </c>
    </row>
    <row r="38" spans="1:17">
      <c r="A38" s="684">
        <f t="shared" si="9"/>
        <v>44233</v>
      </c>
      <c r="B38" s="685">
        <v>43.5</v>
      </c>
      <c r="C38" s="686">
        <v>52</v>
      </c>
      <c r="D38" s="686">
        <v>12</v>
      </c>
      <c r="E38" s="686">
        <v>0</v>
      </c>
      <c r="F38" s="685">
        <v>0</v>
      </c>
      <c r="G38" s="686">
        <v>0</v>
      </c>
      <c r="H38" s="686">
        <v>0</v>
      </c>
      <c r="I38" s="686">
        <v>0</v>
      </c>
      <c r="J38" s="527">
        <f t="shared" si="0"/>
        <v>0.230769230769231</v>
      </c>
      <c r="K38" s="687">
        <f t="shared" si="1"/>
        <v>3.625</v>
      </c>
      <c r="L38" s="41">
        <f t="shared" si="8"/>
        <v>836.538461538462</v>
      </c>
      <c r="M38" s="686">
        <v>0</v>
      </c>
      <c r="N38" s="527">
        <v>0</v>
      </c>
      <c r="O38" s="543" t="e">
        <f t="shared" si="5"/>
        <v>#DIV/0!</v>
      </c>
      <c r="P38" s="528" t="e">
        <f t="shared" si="6"/>
        <v>#DIV/0!</v>
      </c>
      <c r="Q38" s="687" t="e">
        <f t="shared" si="7"/>
        <v>#DIV/0!</v>
      </c>
    </row>
    <row r="39" spans="1:17">
      <c r="A39" s="684">
        <f t="shared" si="9"/>
        <v>44234</v>
      </c>
      <c r="B39" s="685">
        <v>23.77</v>
      </c>
      <c r="C39" s="686">
        <v>25</v>
      </c>
      <c r="D39" s="686">
        <v>7</v>
      </c>
      <c r="E39" s="686">
        <v>0</v>
      </c>
      <c r="F39" s="685">
        <v>0</v>
      </c>
      <c r="G39" s="686">
        <v>0</v>
      </c>
      <c r="H39" s="686">
        <v>0</v>
      </c>
      <c r="I39" s="686">
        <v>1</v>
      </c>
      <c r="J39" s="527">
        <f t="shared" si="0"/>
        <v>0.28</v>
      </c>
      <c r="K39" s="687">
        <f t="shared" si="1"/>
        <v>3.39571428571429</v>
      </c>
      <c r="L39" s="41">
        <f t="shared" si="8"/>
        <v>950.8</v>
      </c>
      <c r="M39" s="686">
        <v>0</v>
      </c>
      <c r="N39" s="527">
        <v>0</v>
      </c>
      <c r="O39" s="543" t="e">
        <f t="shared" si="5"/>
        <v>#DIV/0!</v>
      </c>
      <c r="P39" s="528" t="e">
        <f t="shared" si="6"/>
        <v>#DIV/0!</v>
      </c>
      <c r="Q39" s="687" t="e">
        <f t="shared" si="7"/>
        <v>#DIV/0!</v>
      </c>
    </row>
    <row r="40" spans="1:17">
      <c r="A40" s="684">
        <f t="shared" si="9"/>
        <v>44235</v>
      </c>
      <c r="B40" s="685">
        <v>33.8</v>
      </c>
      <c r="C40" s="686">
        <v>33</v>
      </c>
      <c r="D40" s="686">
        <v>11</v>
      </c>
      <c r="E40" s="686">
        <v>0</v>
      </c>
      <c r="F40" s="685">
        <v>0</v>
      </c>
      <c r="G40" s="686">
        <v>0</v>
      </c>
      <c r="H40" s="686">
        <v>0</v>
      </c>
      <c r="I40" s="686">
        <v>0</v>
      </c>
      <c r="J40" s="527">
        <f t="shared" si="0"/>
        <v>0.333333333333333</v>
      </c>
      <c r="K40" s="687">
        <f t="shared" si="1"/>
        <v>3.07272727272727</v>
      </c>
      <c r="L40" s="41">
        <f t="shared" si="8"/>
        <v>1024.24242424242</v>
      </c>
      <c r="M40" s="686">
        <v>0</v>
      </c>
      <c r="N40" s="527">
        <v>0</v>
      </c>
      <c r="O40" s="543" t="e">
        <f t="shared" si="5"/>
        <v>#DIV/0!</v>
      </c>
      <c r="P40" s="528" t="e">
        <f t="shared" si="6"/>
        <v>#DIV/0!</v>
      </c>
      <c r="Q40" s="687" t="e">
        <f t="shared" si="7"/>
        <v>#DIV/0!</v>
      </c>
    </row>
    <row r="41" spans="1:17">
      <c r="A41" s="684">
        <f t="shared" si="9"/>
        <v>44236</v>
      </c>
      <c r="B41" s="685">
        <v>29.93</v>
      </c>
      <c r="C41" s="686">
        <v>35</v>
      </c>
      <c r="D41" s="686">
        <v>5</v>
      </c>
      <c r="E41" s="686">
        <v>0</v>
      </c>
      <c r="F41" s="685">
        <v>0</v>
      </c>
      <c r="G41" s="686">
        <v>0</v>
      </c>
      <c r="H41" s="686">
        <v>0</v>
      </c>
      <c r="I41" s="686">
        <v>0</v>
      </c>
      <c r="J41" s="527">
        <f t="shared" si="0"/>
        <v>0.142857142857143</v>
      </c>
      <c r="K41" s="687">
        <f t="shared" si="1"/>
        <v>5.986</v>
      </c>
      <c r="L41" s="41">
        <f t="shared" si="8"/>
        <v>855.142857142857</v>
      </c>
      <c r="M41" s="686">
        <v>0</v>
      </c>
      <c r="N41" s="527">
        <v>0</v>
      </c>
      <c r="O41" s="543" t="e">
        <f t="shared" si="5"/>
        <v>#DIV/0!</v>
      </c>
      <c r="P41" s="528" t="e">
        <f t="shared" si="6"/>
        <v>#DIV/0!</v>
      </c>
      <c r="Q41" s="687" t="e">
        <f t="shared" si="7"/>
        <v>#DIV/0!</v>
      </c>
    </row>
    <row r="42" spans="1:17">
      <c r="A42" s="684">
        <f t="shared" si="9"/>
        <v>44237</v>
      </c>
      <c r="B42" s="685">
        <v>50.8</v>
      </c>
      <c r="C42" s="686">
        <v>71</v>
      </c>
      <c r="D42" s="686">
        <v>15</v>
      </c>
      <c r="E42" s="686">
        <v>0</v>
      </c>
      <c r="F42" s="685">
        <v>0</v>
      </c>
      <c r="G42" s="686">
        <v>3</v>
      </c>
      <c r="H42" s="686">
        <v>0</v>
      </c>
      <c r="I42" s="686">
        <v>0</v>
      </c>
      <c r="J42" s="527">
        <f t="shared" si="0"/>
        <v>0.211267605633803</v>
      </c>
      <c r="K42" s="687">
        <f t="shared" si="1"/>
        <v>3.38666666666667</v>
      </c>
      <c r="L42" s="41">
        <f t="shared" si="8"/>
        <v>715.492957746479</v>
      </c>
      <c r="M42" s="686">
        <v>0</v>
      </c>
      <c r="N42" s="527">
        <v>0</v>
      </c>
      <c r="O42" s="543" t="e">
        <f t="shared" si="5"/>
        <v>#DIV/0!</v>
      </c>
      <c r="P42" s="528" t="e">
        <f t="shared" si="6"/>
        <v>#DIV/0!</v>
      </c>
      <c r="Q42" s="687">
        <f t="shared" si="7"/>
        <v>16.9333333333333</v>
      </c>
    </row>
    <row r="43" spans="1:17">
      <c r="A43" s="684">
        <f t="shared" si="9"/>
        <v>44238</v>
      </c>
      <c r="B43" s="685">
        <v>24.51</v>
      </c>
      <c r="C43" s="686">
        <v>35</v>
      </c>
      <c r="D43" s="686">
        <v>8</v>
      </c>
      <c r="E43" s="686">
        <v>0</v>
      </c>
      <c r="F43" s="685">
        <v>0</v>
      </c>
      <c r="G43" s="686">
        <v>1</v>
      </c>
      <c r="H43" s="686">
        <v>0</v>
      </c>
      <c r="I43" s="686">
        <v>0</v>
      </c>
      <c r="J43" s="527">
        <f t="shared" si="0"/>
        <v>0.228571428571429</v>
      </c>
      <c r="K43" s="687">
        <f t="shared" si="1"/>
        <v>3.06375</v>
      </c>
      <c r="L43" s="41">
        <f t="shared" si="8"/>
        <v>700.285714285714</v>
      </c>
      <c r="M43" s="686">
        <v>0</v>
      </c>
      <c r="N43" s="527">
        <v>0</v>
      </c>
      <c r="O43" s="543" t="e">
        <f t="shared" si="5"/>
        <v>#DIV/0!</v>
      </c>
      <c r="P43" s="528" t="e">
        <f t="shared" si="6"/>
        <v>#DIV/0!</v>
      </c>
      <c r="Q43" s="687">
        <f t="shared" si="7"/>
        <v>24.51</v>
      </c>
    </row>
    <row r="44" spans="1:17">
      <c r="A44" s="684">
        <f t="shared" si="9"/>
        <v>44239</v>
      </c>
      <c r="B44" s="685">
        <v>42.93</v>
      </c>
      <c r="C44" s="686">
        <v>46</v>
      </c>
      <c r="D44" s="686">
        <v>16</v>
      </c>
      <c r="E44" s="686">
        <v>0</v>
      </c>
      <c r="F44" s="685">
        <v>0</v>
      </c>
      <c r="G44" s="686">
        <v>1</v>
      </c>
      <c r="H44" s="686">
        <v>0</v>
      </c>
      <c r="I44" s="686">
        <v>0</v>
      </c>
      <c r="J44" s="527">
        <f t="shared" si="0"/>
        <v>0.347826086956522</v>
      </c>
      <c r="K44" s="687">
        <f t="shared" si="1"/>
        <v>2.683125</v>
      </c>
      <c r="L44" s="41">
        <f t="shared" si="8"/>
        <v>933.260869565217</v>
      </c>
      <c r="M44" s="686">
        <v>0</v>
      </c>
      <c r="N44" s="527">
        <v>0</v>
      </c>
      <c r="O44" s="543" t="e">
        <f t="shared" si="5"/>
        <v>#DIV/0!</v>
      </c>
      <c r="P44" s="528" t="e">
        <f t="shared" si="6"/>
        <v>#DIV/0!</v>
      </c>
      <c r="Q44" s="687">
        <f t="shared" si="7"/>
        <v>42.93</v>
      </c>
    </row>
    <row r="45" spans="1:17">
      <c r="A45" s="684">
        <f t="shared" si="9"/>
        <v>44240</v>
      </c>
      <c r="B45" s="685">
        <v>35.26</v>
      </c>
      <c r="C45" s="686">
        <v>48</v>
      </c>
      <c r="D45" s="686">
        <v>26</v>
      </c>
      <c r="E45" s="686">
        <v>0</v>
      </c>
      <c r="F45" s="685">
        <v>0</v>
      </c>
      <c r="G45" s="686">
        <v>4</v>
      </c>
      <c r="H45" s="686">
        <v>0</v>
      </c>
      <c r="I45" s="686">
        <v>1</v>
      </c>
      <c r="J45" s="527">
        <f t="shared" si="0"/>
        <v>0.541666666666667</v>
      </c>
      <c r="K45" s="687">
        <f t="shared" si="1"/>
        <v>1.35615384615385</v>
      </c>
      <c r="L45" s="41">
        <f t="shared" si="8"/>
        <v>734.583333333333</v>
      </c>
      <c r="M45" s="686">
        <v>0</v>
      </c>
      <c r="N45" s="527">
        <v>0</v>
      </c>
      <c r="O45" s="543" t="e">
        <f t="shared" si="5"/>
        <v>#DIV/0!</v>
      </c>
      <c r="P45" s="528" t="e">
        <f t="shared" si="6"/>
        <v>#DIV/0!</v>
      </c>
      <c r="Q45" s="687">
        <f t="shared" si="7"/>
        <v>8.815</v>
      </c>
    </row>
    <row r="46" spans="1:17">
      <c r="A46" s="684">
        <f t="shared" si="9"/>
        <v>44241</v>
      </c>
      <c r="B46" s="685">
        <v>67.19</v>
      </c>
      <c r="C46" s="686">
        <v>70</v>
      </c>
      <c r="D46" s="686">
        <v>16</v>
      </c>
      <c r="E46" s="686">
        <v>0</v>
      </c>
      <c r="F46" s="685">
        <v>0</v>
      </c>
      <c r="G46" s="686">
        <v>1</v>
      </c>
      <c r="H46" s="686">
        <v>0</v>
      </c>
      <c r="I46" s="686">
        <v>0</v>
      </c>
      <c r="J46" s="527">
        <f t="shared" si="0"/>
        <v>0.228571428571429</v>
      </c>
      <c r="K46" s="687">
        <f t="shared" si="1"/>
        <v>4.199375</v>
      </c>
      <c r="L46" s="41">
        <f t="shared" si="8"/>
        <v>959.857142857143</v>
      </c>
      <c r="M46" s="686">
        <v>0</v>
      </c>
      <c r="N46" s="527">
        <v>0</v>
      </c>
      <c r="O46" s="543" t="e">
        <f t="shared" si="5"/>
        <v>#DIV/0!</v>
      </c>
      <c r="P46" s="528" t="e">
        <f t="shared" si="6"/>
        <v>#DIV/0!</v>
      </c>
      <c r="Q46" s="687">
        <f t="shared" si="7"/>
        <v>67.19</v>
      </c>
    </row>
    <row r="47" spans="1:17">
      <c r="A47" s="684">
        <f t="shared" si="9"/>
        <v>44242</v>
      </c>
      <c r="B47" s="685">
        <v>0</v>
      </c>
      <c r="C47" s="686">
        <v>0</v>
      </c>
      <c r="D47" s="686">
        <v>0</v>
      </c>
      <c r="E47" s="686">
        <v>0</v>
      </c>
      <c r="F47" s="685">
        <v>0</v>
      </c>
      <c r="G47" s="686">
        <v>0</v>
      </c>
      <c r="H47" s="686">
        <v>0</v>
      </c>
      <c r="I47" s="686">
        <v>0</v>
      </c>
      <c r="J47" s="527" t="e">
        <f t="shared" si="0"/>
        <v>#DIV/0!</v>
      </c>
      <c r="K47" s="687" t="e">
        <f t="shared" si="1"/>
        <v>#DIV/0!</v>
      </c>
      <c r="L47" s="41" t="e">
        <f t="shared" si="8"/>
        <v>#DIV/0!</v>
      </c>
      <c r="M47" s="686">
        <v>0</v>
      </c>
      <c r="N47" s="527">
        <v>0</v>
      </c>
      <c r="O47" s="543" t="e">
        <f t="shared" si="5"/>
        <v>#DIV/0!</v>
      </c>
      <c r="P47" s="528" t="e">
        <f t="shared" si="6"/>
        <v>#DIV/0!</v>
      </c>
      <c r="Q47" s="687" t="e">
        <f t="shared" si="7"/>
        <v>#DIV/0!</v>
      </c>
    </row>
    <row r="48" spans="1:17">
      <c r="A48" s="684">
        <f t="shared" si="9"/>
        <v>44243</v>
      </c>
      <c r="B48" s="685">
        <v>0</v>
      </c>
      <c r="C48" s="686">
        <v>0</v>
      </c>
      <c r="D48" s="686">
        <v>0</v>
      </c>
      <c r="E48" s="686">
        <v>0</v>
      </c>
      <c r="F48" s="685">
        <v>0</v>
      </c>
      <c r="G48" s="686">
        <v>0</v>
      </c>
      <c r="H48" s="686">
        <v>0</v>
      </c>
      <c r="I48" s="686">
        <v>0</v>
      </c>
      <c r="J48" s="527" t="e">
        <f t="shared" si="0"/>
        <v>#DIV/0!</v>
      </c>
      <c r="K48" s="687" t="e">
        <f t="shared" si="1"/>
        <v>#DIV/0!</v>
      </c>
      <c r="L48" s="41" t="e">
        <f t="shared" si="8"/>
        <v>#DIV/0!</v>
      </c>
      <c r="M48" s="686">
        <v>0</v>
      </c>
      <c r="N48" s="527">
        <v>0</v>
      </c>
      <c r="O48" s="543" t="e">
        <f t="shared" si="5"/>
        <v>#DIV/0!</v>
      </c>
      <c r="P48" s="528" t="e">
        <f t="shared" si="6"/>
        <v>#DIV/0!</v>
      </c>
      <c r="Q48" s="687" t="e">
        <f t="shared" si="7"/>
        <v>#DIV/0!</v>
      </c>
    </row>
    <row r="49" spans="1:17">
      <c r="A49" s="684">
        <f t="shared" si="9"/>
        <v>44244</v>
      </c>
      <c r="B49" s="685">
        <v>0</v>
      </c>
      <c r="C49" s="686">
        <v>0</v>
      </c>
      <c r="D49" s="686">
        <v>0</v>
      </c>
      <c r="E49" s="686">
        <v>0</v>
      </c>
      <c r="F49" s="685">
        <v>0</v>
      </c>
      <c r="G49" s="686">
        <v>0</v>
      </c>
      <c r="H49" s="686">
        <v>0</v>
      </c>
      <c r="I49" s="686">
        <v>0</v>
      </c>
      <c r="J49" s="527" t="e">
        <f t="shared" si="0"/>
        <v>#DIV/0!</v>
      </c>
      <c r="K49" s="687" t="e">
        <f t="shared" si="1"/>
        <v>#DIV/0!</v>
      </c>
      <c r="L49" s="41" t="e">
        <f t="shared" si="8"/>
        <v>#DIV/0!</v>
      </c>
      <c r="M49" s="686">
        <v>0</v>
      </c>
      <c r="N49" s="527">
        <v>0</v>
      </c>
      <c r="O49" s="543" t="e">
        <f t="shared" si="5"/>
        <v>#DIV/0!</v>
      </c>
      <c r="P49" s="528" t="e">
        <f t="shared" si="6"/>
        <v>#DIV/0!</v>
      </c>
      <c r="Q49" s="687" t="e">
        <f t="shared" si="7"/>
        <v>#DIV/0!</v>
      </c>
    </row>
    <row r="50" spans="1:17">
      <c r="A50" s="684">
        <f t="shared" si="9"/>
        <v>44245</v>
      </c>
      <c r="B50" s="670">
        <v>92.68</v>
      </c>
      <c r="C50" s="938">
        <v>99</v>
      </c>
      <c r="D50" s="938">
        <v>35</v>
      </c>
      <c r="E50" s="686">
        <v>0</v>
      </c>
      <c r="F50" s="685">
        <v>0</v>
      </c>
      <c r="G50" s="938">
        <v>5</v>
      </c>
      <c r="H50" s="686">
        <v>0</v>
      </c>
      <c r="I50" s="938">
        <v>2</v>
      </c>
      <c r="J50" s="527">
        <f t="shared" si="0"/>
        <v>0.353535353535354</v>
      </c>
      <c r="K50" s="687">
        <f t="shared" si="1"/>
        <v>2.648</v>
      </c>
      <c r="L50" s="41">
        <f t="shared" si="8"/>
        <v>936.161616161616</v>
      </c>
      <c r="M50" s="686">
        <v>0</v>
      </c>
      <c r="N50" s="527">
        <v>0</v>
      </c>
      <c r="O50" s="543" t="e">
        <f t="shared" si="5"/>
        <v>#DIV/0!</v>
      </c>
      <c r="P50" s="528" t="e">
        <f t="shared" si="6"/>
        <v>#DIV/0!</v>
      </c>
      <c r="Q50" s="687">
        <f t="shared" si="7"/>
        <v>18.536</v>
      </c>
    </row>
    <row r="51" spans="1:17">
      <c r="A51" s="684">
        <f t="shared" si="9"/>
        <v>44246</v>
      </c>
      <c r="B51" s="670">
        <v>57.6</v>
      </c>
      <c r="C51" s="938">
        <v>58</v>
      </c>
      <c r="D51" s="938">
        <v>21</v>
      </c>
      <c r="E51" s="938">
        <v>0</v>
      </c>
      <c r="F51" s="685">
        <v>0</v>
      </c>
      <c r="G51" s="938">
        <v>1</v>
      </c>
      <c r="H51" s="938">
        <v>1</v>
      </c>
      <c r="I51" s="938">
        <v>1</v>
      </c>
      <c r="J51" s="527">
        <f t="shared" si="0"/>
        <v>0.362068965517241</v>
      </c>
      <c r="K51" s="687">
        <f t="shared" si="1"/>
        <v>2.74285714285714</v>
      </c>
      <c r="L51" s="41">
        <f t="shared" si="8"/>
        <v>993.103448275862</v>
      </c>
      <c r="M51" s="686">
        <v>0</v>
      </c>
      <c r="N51" s="527">
        <v>0</v>
      </c>
      <c r="O51" s="543" t="e">
        <f t="shared" si="5"/>
        <v>#DIV/0!</v>
      </c>
      <c r="P51" s="528" t="e">
        <f t="shared" si="6"/>
        <v>#DIV/0!</v>
      </c>
      <c r="Q51" s="687">
        <f t="shared" si="7"/>
        <v>57.6</v>
      </c>
    </row>
    <row r="52" spans="1:17">
      <c r="A52" s="684">
        <f t="shared" si="9"/>
        <v>44247</v>
      </c>
      <c r="B52" s="670">
        <v>57.69</v>
      </c>
      <c r="C52" s="938">
        <v>74</v>
      </c>
      <c r="D52" s="938">
        <v>23</v>
      </c>
      <c r="E52" s="938">
        <v>0</v>
      </c>
      <c r="F52" s="685">
        <v>0</v>
      </c>
      <c r="G52" s="938">
        <v>0</v>
      </c>
      <c r="H52" s="938">
        <v>1</v>
      </c>
      <c r="I52" s="938">
        <v>0</v>
      </c>
      <c r="J52" s="527">
        <f t="shared" si="0"/>
        <v>0.310810810810811</v>
      </c>
      <c r="K52" s="687">
        <f t="shared" si="1"/>
        <v>2.50826086956522</v>
      </c>
      <c r="L52" s="41">
        <f t="shared" si="8"/>
        <v>779.594594594595</v>
      </c>
      <c r="M52" s="686">
        <v>0</v>
      </c>
      <c r="N52" s="527">
        <v>0</v>
      </c>
      <c r="O52" s="543" t="e">
        <f t="shared" si="5"/>
        <v>#DIV/0!</v>
      </c>
      <c r="P52" s="528" t="e">
        <f t="shared" si="6"/>
        <v>#DIV/0!</v>
      </c>
      <c r="Q52" s="687" t="e">
        <f t="shared" si="7"/>
        <v>#DIV/0!</v>
      </c>
    </row>
    <row r="53" spans="1:17">
      <c r="A53" s="684">
        <f t="shared" si="9"/>
        <v>44248</v>
      </c>
      <c r="B53" s="670">
        <v>63.29</v>
      </c>
      <c r="C53" s="938">
        <v>68</v>
      </c>
      <c r="D53" s="938">
        <v>19</v>
      </c>
      <c r="E53" s="938">
        <v>0</v>
      </c>
      <c r="F53" s="685">
        <v>0</v>
      </c>
      <c r="G53" s="938">
        <v>0</v>
      </c>
      <c r="H53" s="938">
        <v>6</v>
      </c>
      <c r="I53" s="938">
        <v>0</v>
      </c>
      <c r="J53" s="527">
        <f t="shared" si="0"/>
        <v>0.279411764705882</v>
      </c>
      <c r="K53" s="687">
        <f t="shared" si="1"/>
        <v>3.33105263157895</v>
      </c>
      <c r="L53" s="41">
        <f t="shared" si="8"/>
        <v>930.735294117647</v>
      </c>
      <c r="M53" s="686">
        <v>0</v>
      </c>
      <c r="N53" s="527">
        <v>0</v>
      </c>
      <c r="O53" s="543" t="e">
        <f t="shared" si="5"/>
        <v>#DIV/0!</v>
      </c>
      <c r="P53" s="528" t="e">
        <f t="shared" si="6"/>
        <v>#DIV/0!</v>
      </c>
      <c r="Q53" s="687" t="e">
        <f t="shared" si="7"/>
        <v>#DIV/0!</v>
      </c>
    </row>
    <row r="54" spans="1:17">
      <c r="A54" s="684">
        <f t="shared" si="9"/>
        <v>44249</v>
      </c>
      <c r="B54" s="670">
        <v>65.03</v>
      </c>
      <c r="C54" s="938">
        <v>75</v>
      </c>
      <c r="D54" s="938">
        <v>22</v>
      </c>
      <c r="E54" s="938">
        <v>0</v>
      </c>
      <c r="F54" s="685">
        <v>0</v>
      </c>
      <c r="G54" s="938">
        <v>4</v>
      </c>
      <c r="H54" s="938">
        <v>0</v>
      </c>
      <c r="I54" s="938">
        <v>1</v>
      </c>
      <c r="J54" s="527">
        <f t="shared" si="0"/>
        <v>0.293333333333333</v>
      </c>
      <c r="K54" s="687">
        <f t="shared" si="1"/>
        <v>2.95590909090909</v>
      </c>
      <c r="L54" s="41">
        <f t="shared" si="8"/>
        <v>867.066666666667</v>
      </c>
      <c r="M54" s="686">
        <v>0</v>
      </c>
      <c r="N54" s="527">
        <v>0</v>
      </c>
      <c r="O54" s="543" t="e">
        <f t="shared" si="5"/>
        <v>#DIV/0!</v>
      </c>
      <c r="P54" s="528" t="e">
        <f t="shared" si="6"/>
        <v>#DIV/0!</v>
      </c>
      <c r="Q54" s="687">
        <f t="shared" si="7"/>
        <v>16.2575</v>
      </c>
    </row>
    <row r="55" spans="1:17">
      <c r="A55" s="684">
        <f t="shared" si="9"/>
        <v>44250</v>
      </c>
      <c r="B55" s="670">
        <v>91.97</v>
      </c>
      <c r="C55" s="938">
        <v>125</v>
      </c>
      <c r="D55" s="938">
        <v>16</v>
      </c>
      <c r="E55" s="938">
        <v>0</v>
      </c>
      <c r="F55" s="685">
        <v>0</v>
      </c>
      <c r="G55" s="938">
        <v>1</v>
      </c>
      <c r="H55" s="938">
        <v>1</v>
      </c>
      <c r="I55" s="938">
        <v>0</v>
      </c>
      <c r="J55" s="527">
        <f t="shared" si="0"/>
        <v>0.128</v>
      </c>
      <c r="K55" s="687">
        <f t="shared" si="1"/>
        <v>5.748125</v>
      </c>
      <c r="L55" s="41">
        <f t="shared" si="8"/>
        <v>735.76</v>
      </c>
      <c r="M55" s="686">
        <v>0</v>
      </c>
      <c r="N55" s="527">
        <v>0</v>
      </c>
      <c r="O55" s="543" t="e">
        <f t="shared" si="5"/>
        <v>#DIV/0!</v>
      </c>
      <c r="P55" s="528" t="e">
        <f t="shared" si="6"/>
        <v>#DIV/0!</v>
      </c>
      <c r="Q55" s="687">
        <f t="shared" si="7"/>
        <v>91.97</v>
      </c>
    </row>
    <row r="56" spans="1:17">
      <c r="A56" s="684">
        <f t="shared" si="9"/>
        <v>44251</v>
      </c>
      <c r="B56" s="670">
        <v>84.91</v>
      </c>
      <c r="C56" s="938">
        <v>99</v>
      </c>
      <c r="D56" s="938">
        <v>20</v>
      </c>
      <c r="E56" s="938">
        <v>1</v>
      </c>
      <c r="F56" s="685">
        <v>0.01</v>
      </c>
      <c r="G56" s="938">
        <v>2</v>
      </c>
      <c r="H56" s="938">
        <v>0</v>
      </c>
      <c r="I56" s="938">
        <v>2</v>
      </c>
      <c r="J56" s="527">
        <f t="shared" si="0"/>
        <v>0.202020202020202</v>
      </c>
      <c r="K56" s="687">
        <f t="shared" si="1"/>
        <v>4.2455</v>
      </c>
      <c r="L56" s="41">
        <f t="shared" si="8"/>
        <v>857.676767676768</v>
      </c>
      <c r="M56" s="686">
        <v>0</v>
      </c>
      <c r="N56" s="527">
        <v>0</v>
      </c>
      <c r="O56" s="543">
        <f t="shared" si="5"/>
        <v>0.01</v>
      </c>
      <c r="P56" s="528">
        <f t="shared" si="6"/>
        <v>84.91</v>
      </c>
      <c r="Q56" s="687">
        <f t="shared" si="7"/>
        <v>42.455</v>
      </c>
    </row>
    <row r="57" spans="1:17">
      <c r="A57" s="684">
        <f t="shared" si="9"/>
        <v>44252</v>
      </c>
      <c r="B57" s="670">
        <v>86.53</v>
      </c>
      <c r="C57" s="938">
        <v>114</v>
      </c>
      <c r="D57" s="938">
        <v>32</v>
      </c>
      <c r="E57" s="938">
        <v>0</v>
      </c>
      <c r="F57" s="685">
        <v>0</v>
      </c>
      <c r="G57" s="938">
        <v>3</v>
      </c>
      <c r="H57" s="938">
        <v>0</v>
      </c>
      <c r="I57" s="938">
        <v>0</v>
      </c>
      <c r="J57" s="527">
        <f t="shared" si="0"/>
        <v>0.280701754385965</v>
      </c>
      <c r="K57" s="687">
        <f t="shared" si="1"/>
        <v>2.7040625</v>
      </c>
      <c r="L57" s="41">
        <f t="shared" si="8"/>
        <v>759.035087719298</v>
      </c>
      <c r="M57" s="686">
        <v>0</v>
      </c>
      <c r="N57" s="527">
        <v>0</v>
      </c>
      <c r="O57" s="543" t="e">
        <f t="shared" si="5"/>
        <v>#DIV/0!</v>
      </c>
      <c r="P57" s="528" t="e">
        <f t="shared" si="6"/>
        <v>#DIV/0!</v>
      </c>
      <c r="Q57" s="687">
        <f t="shared" si="7"/>
        <v>28.8433333333333</v>
      </c>
    </row>
    <row r="58" ht="16.35" customHeight="1" spans="1:17">
      <c r="A58" s="684">
        <f t="shared" si="9"/>
        <v>44253</v>
      </c>
      <c r="B58" s="670">
        <v>54.3</v>
      </c>
      <c r="C58" s="938">
        <v>64</v>
      </c>
      <c r="D58" s="938">
        <v>11</v>
      </c>
      <c r="E58" s="938">
        <v>0</v>
      </c>
      <c r="F58" s="685">
        <v>0</v>
      </c>
      <c r="G58" s="938">
        <v>1</v>
      </c>
      <c r="H58" s="938">
        <v>0</v>
      </c>
      <c r="I58" s="938">
        <v>1</v>
      </c>
      <c r="J58" s="527">
        <f t="shared" si="0"/>
        <v>0.171875</v>
      </c>
      <c r="K58" s="687">
        <f t="shared" si="1"/>
        <v>4.93636363636364</v>
      </c>
      <c r="L58" s="41">
        <f t="shared" si="8"/>
        <v>848.4375</v>
      </c>
      <c r="M58" s="686">
        <v>0</v>
      </c>
      <c r="N58" s="527">
        <v>0</v>
      </c>
      <c r="O58" s="543" t="e">
        <f t="shared" si="5"/>
        <v>#DIV/0!</v>
      </c>
      <c r="P58" s="528" t="e">
        <f t="shared" si="6"/>
        <v>#DIV/0!</v>
      </c>
      <c r="Q58" s="687">
        <f t="shared" si="7"/>
        <v>54.3</v>
      </c>
    </row>
    <row r="59" ht="15" customHeight="1" spans="1:17">
      <c r="A59" s="684">
        <f t="shared" si="9"/>
        <v>44254</v>
      </c>
      <c r="B59" s="670">
        <v>72.77</v>
      </c>
      <c r="C59" s="938">
        <v>87</v>
      </c>
      <c r="D59" s="938">
        <v>17</v>
      </c>
      <c r="E59" s="938">
        <v>0</v>
      </c>
      <c r="F59" s="685">
        <v>0</v>
      </c>
      <c r="G59" s="938">
        <v>1</v>
      </c>
      <c r="H59" s="938">
        <v>0</v>
      </c>
      <c r="I59" s="938">
        <v>0</v>
      </c>
      <c r="J59" s="527">
        <f t="shared" si="0"/>
        <v>0.195402298850575</v>
      </c>
      <c r="K59" s="687">
        <f t="shared" si="1"/>
        <v>4.28058823529412</v>
      </c>
      <c r="L59" s="41">
        <f t="shared" si="8"/>
        <v>836.436781609195</v>
      </c>
      <c r="M59" s="686">
        <v>0</v>
      </c>
      <c r="N59" s="527">
        <v>0</v>
      </c>
      <c r="O59" s="543" t="e">
        <f t="shared" si="5"/>
        <v>#DIV/0!</v>
      </c>
      <c r="P59" s="528" t="e">
        <f t="shared" si="6"/>
        <v>#DIV/0!</v>
      </c>
      <c r="Q59" s="687">
        <f t="shared" si="7"/>
        <v>72.77</v>
      </c>
    </row>
    <row r="60" ht="15" customHeight="1" spans="1:17">
      <c r="A60" s="684">
        <f t="shared" si="9"/>
        <v>44255</v>
      </c>
      <c r="B60" s="670">
        <v>89.68</v>
      </c>
      <c r="C60" s="938">
        <v>110</v>
      </c>
      <c r="D60" s="938">
        <v>13</v>
      </c>
      <c r="E60" s="938">
        <v>0</v>
      </c>
      <c r="F60" s="685">
        <v>0</v>
      </c>
      <c r="G60" s="938">
        <v>4</v>
      </c>
      <c r="H60" s="938">
        <v>0</v>
      </c>
      <c r="I60" s="938">
        <v>0</v>
      </c>
      <c r="J60" s="527">
        <f t="shared" si="0"/>
        <v>0.118181818181818</v>
      </c>
      <c r="K60" s="687">
        <f t="shared" si="1"/>
        <v>6.89846153846154</v>
      </c>
      <c r="L60" s="41">
        <f t="shared" si="8"/>
        <v>815.272727272727</v>
      </c>
      <c r="M60" s="686">
        <v>0</v>
      </c>
      <c r="N60" s="527">
        <v>0</v>
      </c>
      <c r="O60" s="543" t="e">
        <f t="shared" si="5"/>
        <v>#DIV/0!</v>
      </c>
      <c r="P60" s="528" t="e">
        <f t="shared" si="6"/>
        <v>#DIV/0!</v>
      </c>
      <c r="Q60" s="687">
        <f t="shared" si="7"/>
        <v>22.42</v>
      </c>
    </row>
    <row r="61" ht="19.9" customHeight="1" spans="1:17">
      <c r="A61" s="684">
        <f t="shared" si="9"/>
        <v>44256</v>
      </c>
      <c r="B61" s="670">
        <v>72.08</v>
      </c>
      <c r="C61" s="938">
        <v>84</v>
      </c>
      <c r="D61" s="938">
        <v>21</v>
      </c>
      <c r="E61" s="938">
        <v>1</v>
      </c>
      <c r="F61" s="670">
        <v>0.01</v>
      </c>
      <c r="G61" s="938">
        <v>1</v>
      </c>
      <c r="H61" s="938">
        <v>1</v>
      </c>
      <c r="I61" s="938">
        <v>0</v>
      </c>
      <c r="J61" s="527">
        <f t="shared" si="0"/>
        <v>0.25</v>
      </c>
      <c r="K61" s="687">
        <f t="shared" si="1"/>
        <v>3.43238095238095</v>
      </c>
      <c r="L61" s="41">
        <f t="shared" si="8"/>
        <v>858.095238095238</v>
      </c>
      <c r="M61" s="686">
        <v>0</v>
      </c>
      <c r="N61" s="527">
        <v>0</v>
      </c>
      <c r="O61" s="543">
        <f t="shared" si="5"/>
        <v>0.01</v>
      </c>
      <c r="P61" s="528">
        <f t="shared" si="6"/>
        <v>72.08</v>
      </c>
      <c r="Q61" s="687">
        <f t="shared" si="7"/>
        <v>72.08</v>
      </c>
    </row>
    <row r="62" ht="18.6" customHeight="1" spans="1:17">
      <c r="A62" s="684">
        <f t="shared" si="9"/>
        <v>44257</v>
      </c>
      <c r="B62" s="670">
        <v>71.55</v>
      </c>
      <c r="C62" s="938">
        <v>74</v>
      </c>
      <c r="D62" s="938">
        <v>25</v>
      </c>
      <c r="E62" s="938">
        <v>0</v>
      </c>
      <c r="F62" s="670">
        <v>0</v>
      </c>
      <c r="G62" s="938">
        <v>0</v>
      </c>
      <c r="H62" s="938">
        <v>2</v>
      </c>
      <c r="I62" s="938">
        <v>1</v>
      </c>
      <c r="J62" s="527">
        <f t="shared" si="0"/>
        <v>0.337837837837838</v>
      </c>
      <c r="K62" s="687">
        <f t="shared" si="1"/>
        <v>2.862</v>
      </c>
      <c r="L62" s="41">
        <f t="shared" ref="L62:L67" si="10">B62/(C62/1000)</f>
        <v>966.891891891892</v>
      </c>
      <c r="M62" s="686">
        <v>0</v>
      </c>
      <c r="N62" s="527">
        <v>0</v>
      </c>
      <c r="O62" s="543" t="e">
        <f t="shared" si="5"/>
        <v>#DIV/0!</v>
      </c>
      <c r="P62" s="528" t="e">
        <f t="shared" si="6"/>
        <v>#DIV/0!</v>
      </c>
      <c r="Q62" s="687" t="e">
        <f t="shared" si="7"/>
        <v>#DIV/0!</v>
      </c>
    </row>
    <row r="63" ht="15.6" customHeight="1" spans="1:17">
      <c r="A63" s="684">
        <f t="shared" si="9"/>
        <v>44258</v>
      </c>
      <c r="B63" s="670">
        <v>78.94</v>
      </c>
      <c r="C63" s="938">
        <v>79</v>
      </c>
      <c r="D63" s="938">
        <v>28</v>
      </c>
      <c r="E63" s="938">
        <v>0</v>
      </c>
      <c r="F63" s="670">
        <v>0</v>
      </c>
      <c r="G63" s="938">
        <v>5</v>
      </c>
      <c r="H63" s="938">
        <v>1</v>
      </c>
      <c r="I63" s="938">
        <v>2</v>
      </c>
      <c r="J63" s="527">
        <f t="shared" si="0"/>
        <v>0.354430379746835</v>
      </c>
      <c r="K63" s="687">
        <f t="shared" si="1"/>
        <v>2.81928571428571</v>
      </c>
      <c r="L63" s="41">
        <f t="shared" si="10"/>
        <v>999.240506329114</v>
      </c>
      <c r="M63" s="686">
        <v>0</v>
      </c>
      <c r="N63" s="527">
        <v>0</v>
      </c>
      <c r="O63" s="543" t="e">
        <f t="shared" si="5"/>
        <v>#DIV/0!</v>
      </c>
      <c r="P63" s="528" t="e">
        <f t="shared" si="6"/>
        <v>#DIV/0!</v>
      </c>
      <c r="Q63" s="687">
        <f t="shared" si="7"/>
        <v>15.788</v>
      </c>
    </row>
    <row r="64" ht="16.9" customHeight="1" spans="1:17">
      <c r="A64" s="684">
        <f t="shared" si="9"/>
        <v>44259</v>
      </c>
      <c r="B64" s="670">
        <v>33.3</v>
      </c>
      <c r="C64" s="938">
        <v>57</v>
      </c>
      <c r="D64" s="938">
        <v>6</v>
      </c>
      <c r="E64" s="938">
        <v>0</v>
      </c>
      <c r="F64" s="670">
        <v>0</v>
      </c>
      <c r="G64" s="938">
        <v>1</v>
      </c>
      <c r="H64" s="938">
        <v>0</v>
      </c>
      <c r="I64" s="938">
        <v>0</v>
      </c>
      <c r="J64" s="527">
        <f t="shared" si="0"/>
        <v>0.105263157894737</v>
      </c>
      <c r="K64" s="687">
        <f t="shared" si="1"/>
        <v>5.55</v>
      </c>
      <c r="L64" s="41">
        <f t="shared" si="10"/>
        <v>584.210526315789</v>
      </c>
      <c r="M64" s="686">
        <v>0</v>
      </c>
      <c r="N64" s="527">
        <v>0</v>
      </c>
      <c r="O64" s="543" t="e">
        <f t="shared" si="5"/>
        <v>#DIV/0!</v>
      </c>
      <c r="P64" s="528" t="e">
        <f t="shared" si="6"/>
        <v>#DIV/0!</v>
      </c>
      <c r="Q64" s="687">
        <f t="shared" si="7"/>
        <v>33.3</v>
      </c>
    </row>
    <row r="65" ht="22.35" customHeight="1" spans="1:17">
      <c r="A65" s="684">
        <f t="shared" si="9"/>
        <v>44260</v>
      </c>
      <c r="B65" s="670">
        <v>60.06</v>
      </c>
      <c r="C65" s="938">
        <v>74</v>
      </c>
      <c r="D65" s="938">
        <v>12</v>
      </c>
      <c r="E65" s="938">
        <v>0</v>
      </c>
      <c r="F65" s="670">
        <v>0</v>
      </c>
      <c r="G65" s="938">
        <v>3</v>
      </c>
      <c r="H65" s="938">
        <v>1</v>
      </c>
      <c r="I65" s="938">
        <v>1</v>
      </c>
      <c r="J65" s="527">
        <f t="shared" si="0"/>
        <v>0.162162162162162</v>
      </c>
      <c r="K65" s="687">
        <f t="shared" si="1"/>
        <v>5.005</v>
      </c>
      <c r="L65" s="41">
        <f t="shared" si="10"/>
        <v>811.621621621622</v>
      </c>
      <c r="M65" s="686">
        <v>0</v>
      </c>
      <c r="N65" s="527">
        <v>0</v>
      </c>
      <c r="O65" s="543" t="e">
        <f t="shared" si="5"/>
        <v>#DIV/0!</v>
      </c>
      <c r="P65" s="528" t="e">
        <f t="shared" si="6"/>
        <v>#DIV/0!</v>
      </c>
      <c r="Q65" s="687">
        <f t="shared" si="7"/>
        <v>20.02</v>
      </c>
    </row>
    <row r="66" ht="28.9" customHeight="1" spans="1:17">
      <c r="A66" s="684">
        <f t="shared" si="9"/>
        <v>44261</v>
      </c>
      <c r="B66" s="670">
        <v>86.46</v>
      </c>
      <c r="C66" s="938">
        <v>113</v>
      </c>
      <c r="D66" s="938">
        <v>26</v>
      </c>
      <c r="E66" s="938">
        <v>0</v>
      </c>
      <c r="F66" s="670">
        <v>0</v>
      </c>
      <c r="G66" s="938">
        <v>3</v>
      </c>
      <c r="H66" s="938">
        <v>0</v>
      </c>
      <c r="I66" s="938">
        <v>2</v>
      </c>
      <c r="J66" s="527">
        <f t="shared" ref="J66:J129" si="11">D66/C66</f>
        <v>0.230088495575221</v>
      </c>
      <c r="K66" s="687">
        <f t="shared" ref="K66:K129" si="12">B66/D66</f>
        <v>3.32538461538461</v>
      </c>
      <c r="L66" s="41">
        <f t="shared" si="10"/>
        <v>765.132743362832</v>
      </c>
      <c r="M66" s="686">
        <v>0</v>
      </c>
      <c r="N66" s="527">
        <v>0</v>
      </c>
      <c r="O66" s="543" t="e">
        <f t="shared" si="5"/>
        <v>#DIV/0!</v>
      </c>
      <c r="P66" s="528" t="e">
        <f t="shared" si="6"/>
        <v>#DIV/0!</v>
      </c>
      <c r="Q66" s="687">
        <f t="shared" si="7"/>
        <v>28.82</v>
      </c>
    </row>
    <row r="67" spans="1:17">
      <c r="A67" s="684">
        <f t="shared" si="9"/>
        <v>44262</v>
      </c>
      <c r="B67" s="670">
        <v>152.95</v>
      </c>
      <c r="C67" s="938">
        <v>313</v>
      </c>
      <c r="D67" s="938">
        <v>18</v>
      </c>
      <c r="E67" s="938">
        <v>0</v>
      </c>
      <c r="F67" s="670">
        <v>0</v>
      </c>
      <c r="G67" s="938">
        <v>0</v>
      </c>
      <c r="H67" s="938">
        <v>1</v>
      </c>
      <c r="I67" s="938">
        <v>0</v>
      </c>
      <c r="J67" s="527">
        <f t="shared" si="11"/>
        <v>0.0575079872204473</v>
      </c>
      <c r="K67" s="687">
        <f t="shared" si="12"/>
        <v>8.49722222222222</v>
      </c>
      <c r="L67" s="41">
        <f t="shared" si="10"/>
        <v>488.658146964856</v>
      </c>
      <c r="M67" s="686">
        <v>0</v>
      </c>
      <c r="N67" s="527">
        <v>0</v>
      </c>
      <c r="O67" s="543" t="e">
        <f t="shared" si="5"/>
        <v>#DIV/0!</v>
      </c>
      <c r="P67" s="528" t="e">
        <f t="shared" si="6"/>
        <v>#DIV/0!</v>
      </c>
      <c r="Q67" s="687" t="e">
        <f t="shared" si="7"/>
        <v>#DIV/0!</v>
      </c>
    </row>
    <row r="68" spans="1:17">
      <c r="A68" s="684">
        <f t="shared" si="9"/>
        <v>44263</v>
      </c>
      <c r="B68" s="670">
        <v>135.08</v>
      </c>
      <c r="C68" s="37">
        <v>191</v>
      </c>
      <c r="D68" s="37">
        <v>17</v>
      </c>
      <c r="E68" s="37">
        <v>0</v>
      </c>
      <c r="F68" s="670">
        <v>0</v>
      </c>
      <c r="G68" s="37">
        <v>6</v>
      </c>
      <c r="H68" s="37">
        <v>2</v>
      </c>
      <c r="I68" s="37">
        <v>0</v>
      </c>
      <c r="J68" s="527">
        <f t="shared" si="11"/>
        <v>0.0890052356020942</v>
      </c>
      <c r="K68" s="687">
        <f t="shared" si="12"/>
        <v>7.94588235294118</v>
      </c>
      <c r="L68" s="41">
        <v>707.23</v>
      </c>
      <c r="M68" s="686">
        <v>0</v>
      </c>
      <c r="N68" s="527">
        <v>0</v>
      </c>
      <c r="O68" s="543" t="e">
        <f t="shared" si="5"/>
        <v>#DIV/0!</v>
      </c>
      <c r="P68" s="528" t="e">
        <f t="shared" si="6"/>
        <v>#DIV/0!</v>
      </c>
      <c r="Q68" s="687">
        <f t="shared" si="7"/>
        <v>22.5133333333333</v>
      </c>
    </row>
    <row r="69" spans="1:17">
      <c r="A69" s="684">
        <f t="shared" si="9"/>
        <v>44264</v>
      </c>
      <c r="B69" s="670">
        <v>137.37</v>
      </c>
      <c r="C69" s="37">
        <v>196</v>
      </c>
      <c r="D69" s="37">
        <v>18</v>
      </c>
      <c r="E69" s="37">
        <v>0</v>
      </c>
      <c r="F69" s="670">
        <v>0</v>
      </c>
      <c r="G69" s="37">
        <v>4</v>
      </c>
      <c r="H69" s="37">
        <v>1</v>
      </c>
      <c r="I69" s="37">
        <v>2</v>
      </c>
      <c r="J69" s="527">
        <f t="shared" si="11"/>
        <v>0.0918367346938776</v>
      </c>
      <c r="K69" s="687">
        <f t="shared" si="12"/>
        <v>7.63166666666667</v>
      </c>
      <c r="L69" s="41">
        <v>700.87</v>
      </c>
      <c r="M69" s="686">
        <v>0</v>
      </c>
      <c r="N69" s="527">
        <v>0</v>
      </c>
      <c r="O69" s="543" t="e">
        <f t="shared" si="5"/>
        <v>#DIV/0!</v>
      </c>
      <c r="P69" s="528" t="e">
        <f t="shared" si="6"/>
        <v>#DIV/0!</v>
      </c>
      <c r="Q69" s="687">
        <f t="shared" si="7"/>
        <v>34.3425</v>
      </c>
    </row>
    <row r="70" spans="1:17">
      <c r="A70" s="684">
        <f t="shared" si="9"/>
        <v>44265</v>
      </c>
      <c r="B70" s="670">
        <v>94.71</v>
      </c>
      <c r="C70" s="37">
        <v>89</v>
      </c>
      <c r="D70" s="37">
        <v>25</v>
      </c>
      <c r="E70" s="37">
        <v>1</v>
      </c>
      <c r="F70" s="670">
        <v>0.01</v>
      </c>
      <c r="G70" s="37">
        <v>1</v>
      </c>
      <c r="H70" s="37">
        <v>2</v>
      </c>
      <c r="I70" s="37">
        <v>0</v>
      </c>
      <c r="J70" s="527">
        <f t="shared" si="11"/>
        <v>0.280898876404494</v>
      </c>
      <c r="K70" s="687">
        <f t="shared" si="12"/>
        <v>3.7884</v>
      </c>
      <c r="L70" s="41">
        <v>1064.16</v>
      </c>
      <c r="M70" s="686">
        <v>0</v>
      </c>
      <c r="N70" s="527">
        <v>0</v>
      </c>
      <c r="O70" s="543">
        <f t="shared" si="5"/>
        <v>0.01</v>
      </c>
      <c r="P70" s="528">
        <f t="shared" si="6"/>
        <v>94.71</v>
      </c>
      <c r="Q70" s="687">
        <f t="shared" si="7"/>
        <v>94.71</v>
      </c>
    </row>
    <row r="71" spans="1:17">
      <c r="A71" s="684">
        <f t="shared" si="9"/>
        <v>44266</v>
      </c>
      <c r="B71" s="670">
        <v>71.65</v>
      </c>
      <c r="C71" s="37">
        <v>70</v>
      </c>
      <c r="D71" s="37">
        <v>11</v>
      </c>
      <c r="E71" s="37">
        <v>1</v>
      </c>
      <c r="F71" s="670">
        <v>0.01</v>
      </c>
      <c r="G71" s="37">
        <v>2</v>
      </c>
      <c r="H71" s="37">
        <v>0</v>
      </c>
      <c r="I71" s="37">
        <v>0</v>
      </c>
      <c r="J71" s="527">
        <f t="shared" si="11"/>
        <v>0.157142857142857</v>
      </c>
      <c r="K71" s="687">
        <f t="shared" si="12"/>
        <v>6.51363636363636</v>
      </c>
      <c r="L71" s="41">
        <v>1023.57</v>
      </c>
      <c r="M71" s="686">
        <v>0</v>
      </c>
      <c r="N71" s="527">
        <v>0</v>
      </c>
      <c r="O71" s="543">
        <f t="shared" si="5"/>
        <v>0.01</v>
      </c>
      <c r="P71" s="528">
        <f t="shared" si="6"/>
        <v>71.65</v>
      </c>
      <c r="Q71" s="687">
        <f t="shared" si="7"/>
        <v>35.825</v>
      </c>
    </row>
    <row r="72" spans="1:17">
      <c r="A72" s="684">
        <f t="shared" si="9"/>
        <v>44267</v>
      </c>
      <c r="B72" s="670">
        <v>57.08</v>
      </c>
      <c r="C72" s="37">
        <v>60</v>
      </c>
      <c r="D72" s="37">
        <v>14</v>
      </c>
      <c r="E72" s="37">
        <v>0</v>
      </c>
      <c r="F72" s="670">
        <v>0</v>
      </c>
      <c r="G72" s="37">
        <v>2</v>
      </c>
      <c r="H72" s="37">
        <v>0</v>
      </c>
      <c r="I72" s="37">
        <v>0</v>
      </c>
      <c r="J72" s="527">
        <f t="shared" si="11"/>
        <v>0.233333333333333</v>
      </c>
      <c r="K72" s="687">
        <f t="shared" si="12"/>
        <v>4.07714285714286</v>
      </c>
      <c r="L72" s="41">
        <v>951.33</v>
      </c>
      <c r="M72" s="686">
        <v>0</v>
      </c>
      <c r="N72" s="527">
        <v>0</v>
      </c>
      <c r="O72" s="543" t="e">
        <f t="shared" si="5"/>
        <v>#DIV/0!</v>
      </c>
      <c r="P72" s="528" t="e">
        <f t="shared" si="6"/>
        <v>#DIV/0!</v>
      </c>
      <c r="Q72" s="687">
        <f t="shared" si="7"/>
        <v>28.54</v>
      </c>
    </row>
    <row r="73" spans="1:17">
      <c r="A73" s="684">
        <f t="shared" si="9"/>
        <v>44268</v>
      </c>
      <c r="B73" s="670">
        <v>53.24</v>
      </c>
      <c r="C73" s="37">
        <v>58</v>
      </c>
      <c r="D73" s="37">
        <v>12</v>
      </c>
      <c r="E73" s="37">
        <v>0</v>
      </c>
      <c r="F73" s="670">
        <v>0</v>
      </c>
      <c r="G73" s="37">
        <v>4</v>
      </c>
      <c r="H73" s="37">
        <v>0</v>
      </c>
      <c r="I73" s="37">
        <v>1</v>
      </c>
      <c r="J73" s="527">
        <f t="shared" si="11"/>
        <v>0.206896551724138</v>
      </c>
      <c r="K73" s="687">
        <f t="shared" si="12"/>
        <v>4.43666666666667</v>
      </c>
      <c r="L73" s="41">
        <v>917.93</v>
      </c>
      <c r="M73" s="686">
        <v>0</v>
      </c>
      <c r="N73" s="527">
        <v>0</v>
      </c>
      <c r="O73" s="543" t="e">
        <f t="shared" si="5"/>
        <v>#DIV/0!</v>
      </c>
      <c r="P73" s="528" t="e">
        <f t="shared" si="6"/>
        <v>#DIV/0!</v>
      </c>
      <c r="Q73" s="687">
        <f t="shared" si="7"/>
        <v>13.31</v>
      </c>
    </row>
    <row r="74" spans="1:17">
      <c r="A74" s="684">
        <f t="shared" si="9"/>
        <v>44269</v>
      </c>
      <c r="B74" s="670">
        <v>59.63</v>
      </c>
      <c r="C74" s="37">
        <v>67</v>
      </c>
      <c r="D74" s="37">
        <v>13</v>
      </c>
      <c r="E74" s="37">
        <v>0</v>
      </c>
      <c r="F74" s="670">
        <v>0</v>
      </c>
      <c r="G74" s="37">
        <v>1</v>
      </c>
      <c r="H74" s="37">
        <v>0</v>
      </c>
      <c r="I74" s="37">
        <v>0</v>
      </c>
      <c r="J74" s="527">
        <f t="shared" si="11"/>
        <v>0.194029850746269</v>
      </c>
      <c r="K74" s="687">
        <f t="shared" si="12"/>
        <v>4.58692307692308</v>
      </c>
      <c r="L74" s="41">
        <v>890</v>
      </c>
      <c r="M74" s="686">
        <v>0</v>
      </c>
      <c r="N74" s="527">
        <v>0</v>
      </c>
      <c r="O74" s="543" t="e">
        <f t="shared" si="5"/>
        <v>#DIV/0!</v>
      </c>
      <c r="P74" s="528" t="e">
        <f t="shared" si="6"/>
        <v>#DIV/0!</v>
      </c>
      <c r="Q74" s="687">
        <f t="shared" si="7"/>
        <v>59.63</v>
      </c>
    </row>
    <row r="75" spans="1:17">
      <c r="A75" s="684">
        <f t="shared" si="9"/>
        <v>44270</v>
      </c>
      <c r="B75" s="670">
        <v>71.4</v>
      </c>
      <c r="C75" s="37">
        <v>78</v>
      </c>
      <c r="D75" s="37">
        <v>17</v>
      </c>
      <c r="E75" s="37">
        <v>0</v>
      </c>
      <c r="F75" s="670">
        <v>0</v>
      </c>
      <c r="G75" s="37">
        <v>2</v>
      </c>
      <c r="H75" s="37">
        <v>0</v>
      </c>
      <c r="I75" s="37">
        <v>1</v>
      </c>
      <c r="J75" s="527">
        <f t="shared" si="11"/>
        <v>0.217948717948718</v>
      </c>
      <c r="K75" s="687">
        <f t="shared" si="12"/>
        <v>4.2</v>
      </c>
      <c r="L75" s="41">
        <v>915.38</v>
      </c>
      <c r="M75" s="686">
        <v>0</v>
      </c>
      <c r="N75" s="527">
        <v>0</v>
      </c>
      <c r="O75" s="543" t="e">
        <f t="shared" si="5"/>
        <v>#DIV/0!</v>
      </c>
      <c r="P75" s="528" t="e">
        <f t="shared" si="6"/>
        <v>#DIV/0!</v>
      </c>
      <c r="Q75" s="687">
        <f t="shared" si="7"/>
        <v>35.7</v>
      </c>
    </row>
    <row r="76" spans="1:17">
      <c r="A76" s="684">
        <f t="shared" si="9"/>
        <v>44271</v>
      </c>
      <c r="B76" s="670">
        <v>126.18</v>
      </c>
      <c r="C76" s="37">
        <v>140</v>
      </c>
      <c r="D76" s="37">
        <v>23</v>
      </c>
      <c r="E76" s="37">
        <v>0</v>
      </c>
      <c r="F76" s="670">
        <v>0</v>
      </c>
      <c r="G76" s="37">
        <v>6</v>
      </c>
      <c r="H76" s="37">
        <v>1</v>
      </c>
      <c r="I76" s="37">
        <v>0</v>
      </c>
      <c r="J76" s="527">
        <f t="shared" si="11"/>
        <v>0.164285714285714</v>
      </c>
      <c r="K76" s="687">
        <f t="shared" si="12"/>
        <v>5.48608695652174</v>
      </c>
      <c r="L76" s="41">
        <v>901.29</v>
      </c>
      <c r="M76" s="686">
        <v>0</v>
      </c>
      <c r="N76" s="527">
        <v>0</v>
      </c>
      <c r="O76" s="543" t="e">
        <f t="shared" si="5"/>
        <v>#DIV/0!</v>
      </c>
      <c r="P76" s="528" t="e">
        <f t="shared" si="6"/>
        <v>#DIV/0!</v>
      </c>
      <c r="Q76" s="687">
        <f t="shared" si="7"/>
        <v>21.03</v>
      </c>
    </row>
    <row r="77" spans="1:17">
      <c r="A77" s="684">
        <f t="shared" si="9"/>
        <v>44272</v>
      </c>
      <c r="B77" s="670">
        <v>96.16</v>
      </c>
      <c r="C77" s="37">
        <v>94</v>
      </c>
      <c r="D77" s="37">
        <v>20</v>
      </c>
      <c r="E77" s="37">
        <v>0</v>
      </c>
      <c r="F77" s="670">
        <v>0</v>
      </c>
      <c r="G77" s="37">
        <v>4</v>
      </c>
      <c r="H77" s="37">
        <v>1</v>
      </c>
      <c r="I77" s="37">
        <v>0</v>
      </c>
      <c r="J77" s="527">
        <f t="shared" si="11"/>
        <v>0.212765957446809</v>
      </c>
      <c r="K77" s="687">
        <f t="shared" si="12"/>
        <v>4.808</v>
      </c>
      <c r="L77" s="41">
        <v>1022.98</v>
      </c>
      <c r="M77" s="686">
        <v>0</v>
      </c>
      <c r="N77" s="527">
        <v>0</v>
      </c>
      <c r="O77" s="543" t="e">
        <f t="shared" si="5"/>
        <v>#DIV/0!</v>
      </c>
      <c r="P77" s="528" t="e">
        <f t="shared" si="6"/>
        <v>#DIV/0!</v>
      </c>
      <c r="Q77" s="687">
        <f t="shared" si="7"/>
        <v>24.04</v>
      </c>
    </row>
    <row r="78" spans="1:17">
      <c r="A78" s="684">
        <f t="shared" si="9"/>
        <v>44273</v>
      </c>
      <c r="B78" s="670">
        <v>142.2</v>
      </c>
      <c r="C78" s="37">
        <v>147</v>
      </c>
      <c r="D78" s="37">
        <v>49</v>
      </c>
      <c r="E78" s="37">
        <v>0</v>
      </c>
      <c r="F78" s="670">
        <v>0</v>
      </c>
      <c r="G78" s="37">
        <v>4</v>
      </c>
      <c r="H78" s="37">
        <v>1</v>
      </c>
      <c r="I78" s="37">
        <v>1</v>
      </c>
      <c r="J78" s="527">
        <f t="shared" si="11"/>
        <v>0.333333333333333</v>
      </c>
      <c r="K78" s="687">
        <f t="shared" si="12"/>
        <v>2.90204081632653</v>
      </c>
      <c r="L78" s="41">
        <v>967.35</v>
      </c>
      <c r="M78" s="686">
        <v>0</v>
      </c>
      <c r="N78" s="527">
        <v>0</v>
      </c>
      <c r="O78" s="543" t="e">
        <f t="shared" ref="O78:O141" si="13">F78/E78</f>
        <v>#DIV/0!</v>
      </c>
      <c r="P78" s="528" t="e">
        <f t="shared" ref="P78:P141" si="14">B78/E78</f>
        <v>#DIV/0!</v>
      </c>
      <c r="Q78" s="687">
        <f t="shared" ref="Q78:Q141" si="15">B78/G78</f>
        <v>35.55</v>
      </c>
    </row>
    <row r="79" spans="1:17">
      <c r="A79" s="684">
        <f t="shared" si="9"/>
        <v>44274</v>
      </c>
      <c r="B79" s="670">
        <v>101.1</v>
      </c>
      <c r="C79" s="37">
        <v>131</v>
      </c>
      <c r="D79" s="37">
        <v>18</v>
      </c>
      <c r="E79" s="37">
        <v>1</v>
      </c>
      <c r="F79" s="670">
        <v>1</v>
      </c>
      <c r="G79" s="37">
        <v>4</v>
      </c>
      <c r="H79" s="37">
        <v>0</v>
      </c>
      <c r="I79" s="37">
        <v>0</v>
      </c>
      <c r="J79" s="527">
        <f t="shared" si="11"/>
        <v>0.137404580152672</v>
      </c>
      <c r="K79" s="687">
        <f t="shared" si="12"/>
        <v>5.61666666666667</v>
      </c>
      <c r="L79" s="41">
        <v>771.76</v>
      </c>
      <c r="M79" s="686">
        <v>0</v>
      </c>
      <c r="N79" s="527">
        <v>0</v>
      </c>
      <c r="O79" s="543">
        <f t="shared" si="13"/>
        <v>1</v>
      </c>
      <c r="P79" s="528">
        <f t="shared" si="14"/>
        <v>101.1</v>
      </c>
      <c r="Q79" s="687">
        <f t="shared" si="15"/>
        <v>25.275</v>
      </c>
    </row>
    <row r="80" spans="1:17">
      <c r="A80" s="684">
        <f t="shared" si="9"/>
        <v>44275</v>
      </c>
      <c r="B80" s="670">
        <v>97.1</v>
      </c>
      <c r="C80" s="37">
        <v>104</v>
      </c>
      <c r="D80" s="37">
        <v>15</v>
      </c>
      <c r="E80" s="37">
        <v>0</v>
      </c>
      <c r="F80" s="670">
        <v>0</v>
      </c>
      <c r="G80" s="37">
        <v>4</v>
      </c>
      <c r="H80" s="37">
        <v>0</v>
      </c>
      <c r="I80" s="37">
        <v>1</v>
      </c>
      <c r="J80" s="527">
        <f t="shared" si="11"/>
        <v>0.144230769230769</v>
      </c>
      <c r="K80" s="687">
        <f t="shared" si="12"/>
        <v>6.47333333333333</v>
      </c>
      <c r="L80" s="41">
        <v>933.65</v>
      </c>
      <c r="M80" s="686">
        <v>0</v>
      </c>
      <c r="N80" s="527">
        <v>0</v>
      </c>
      <c r="O80" s="543" t="e">
        <f t="shared" si="13"/>
        <v>#DIV/0!</v>
      </c>
      <c r="P80" s="528" t="e">
        <f t="shared" si="14"/>
        <v>#DIV/0!</v>
      </c>
      <c r="Q80" s="687">
        <f t="shared" si="15"/>
        <v>24.275</v>
      </c>
    </row>
    <row r="81" spans="1:17">
      <c r="A81" s="684">
        <f t="shared" si="9"/>
        <v>44276</v>
      </c>
      <c r="B81" s="670">
        <v>124.04</v>
      </c>
      <c r="C81" s="37">
        <v>136</v>
      </c>
      <c r="D81" s="37">
        <v>16</v>
      </c>
      <c r="E81" s="37">
        <v>0</v>
      </c>
      <c r="F81" s="670">
        <v>0</v>
      </c>
      <c r="G81" s="37">
        <v>2</v>
      </c>
      <c r="H81" s="37">
        <v>1</v>
      </c>
      <c r="I81" s="37">
        <v>0</v>
      </c>
      <c r="J81" s="527">
        <f t="shared" si="11"/>
        <v>0.117647058823529</v>
      </c>
      <c r="K81" s="687">
        <f t="shared" si="12"/>
        <v>7.7525</v>
      </c>
      <c r="L81" s="41">
        <v>912.06</v>
      </c>
      <c r="M81" s="686">
        <v>0</v>
      </c>
      <c r="N81" s="527">
        <v>0</v>
      </c>
      <c r="O81" s="543" t="e">
        <f t="shared" si="13"/>
        <v>#DIV/0!</v>
      </c>
      <c r="P81" s="528" t="e">
        <f t="shared" si="14"/>
        <v>#DIV/0!</v>
      </c>
      <c r="Q81" s="687">
        <f t="shared" si="15"/>
        <v>62.02</v>
      </c>
    </row>
    <row r="82" spans="1:17">
      <c r="A82" s="684">
        <f t="shared" si="9"/>
        <v>44277</v>
      </c>
      <c r="B82" s="670">
        <v>108.51</v>
      </c>
      <c r="C82" s="37">
        <v>128</v>
      </c>
      <c r="D82" s="37">
        <v>31</v>
      </c>
      <c r="E82" s="37">
        <v>1</v>
      </c>
      <c r="F82" s="670">
        <v>0.01</v>
      </c>
      <c r="G82" s="37">
        <v>10</v>
      </c>
      <c r="H82" s="37">
        <v>1</v>
      </c>
      <c r="I82" s="37">
        <v>0</v>
      </c>
      <c r="J82" s="527">
        <f t="shared" si="11"/>
        <v>0.2421875</v>
      </c>
      <c r="K82" s="687">
        <f t="shared" si="12"/>
        <v>3.50032258064516</v>
      </c>
      <c r="L82" s="41">
        <v>847.73</v>
      </c>
      <c r="M82" s="686">
        <v>0</v>
      </c>
      <c r="N82" s="527">
        <v>0</v>
      </c>
      <c r="O82" s="543">
        <f t="shared" si="13"/>
        <v>0.01</v>
      </c>
      <c r="P82" s="528">
        <f t="shared" si="14"/>
        <v>108.51</v>
      </c>
      <c r="Q82" s="687">
        <f t="shared" si="15"/>
        <v>10.851</v>
      </c>
    </row>
    <row r="83" spans="1:17">
      <c r="A83" s="684">
        <f t="shared" si="9"/>
        <v>44278</v>
      </c>
      <c r="B83" s="670">
        <v>73.37</v>
      </c>
      <c r="C83" s="37">
        <v>79</v>
      </c>
      <c r="D83" s="37">
        <v>24</v>
      </c>
      <c r="E83" s="37">
        <v>1</v>
      </c>
      <c r="F83" s="670">
        <v>0.01</v>
      </c>
      <c r="G83" s="37">
        <v>5</v>
      </c>
      <c r="H83" s="37">
        <v>0</v>
      </c>
      <c r="I83" s="37">
        <v>1</v>
      </c>
      <c r="J83" s="527">
        <f t="shared" si="11"/>
        <v>0.30379746835443</v>
      </c>
      <c r="K83" s="687">
        <f t="shared" si="12"/>
        <v>3.05708333333333</v>
      </c>
      <c r="L83" s="41">
        <v>928.73</v>
      </c>
      <c r="M83" s="686">
        <v>0</v>
      </c>
      <c r="N83" s="527">
        <v>0</v>
      </c>
      <c r="O83" s="543">
        <f t="shared" si="13"/>
        <v>0.01</v>
      </c>
      <c r="P83" s="528">
        <f t="shared" si="14"/>
        <v>73.37</v>
      </c>
      <c r="Q83" s="687">
        <f t="shared" si="15"/>
        <v>14.674</v>
      </c>
    </row>
    <row r="84" spans="1:17">
      <c r="A84" s="684">
        <f t="shared" si="9"/>
        <v>44279</v>
      </c>
      <c r="B84" s="670">
        <v>66.07</v>
      </c>
      <c r="C84" s="37">
        <v>61</v>
      </c>
      <c r="D84" s="37">
        <v>13</v>
      </c>
      <c r="E84" s="37">
        <v>0</v>
      </c>
      <c r="F84" s="670">
        <v>0</v>
      </c>
      <c r="G84" s="37">
        <v>2</v>
      </c>
      <c r="H84" s="37">
        <v>1</v>
      </c>
      <c r="I84" s="37">
        <v>0</v>
      </c>
      <c r="J84" s="527">
        <f t="shared" si="11"/>
        <v>0.213114754098361</v>
      </c>
      <c r="K84" s="687">
        <f t="shared" si="12"/>
        <v>5.08230769230769</v>
      </c>
      <c r="L84" s="41">
        <v>1083.11</v>
      </c>
      <c r="M84" s="686">
        <v>0</v>
      </c>
      <c r="N84" s="527">
        <v>0</v>
      </c>
      <c r="O84" s="543" t="e">
        <f t="shared" si="13"/>
        <v>#DIV/0!</v>
      </c>
      <c r="P84" s="528" t="e">
        <f t="shared" si="14"/>
        <v>#DIV/0!</v>
      </c>
      <c r="Q84" s="687">
        <f t="shared" si="15"/>
        <v>33.035</v>
      </c>
    </row>
    <row r="85" spans="1:17">
      <c r="A85" s="684">
        <f t="shared" si="9"/>
        <v>44280</v>
      </c>
      <c r="B85" s="670">
        <v>101.13</v>
      </c>
      <c r="C85" s="37">
        <v>94</v>
      </c>
      <c r="D85" s="37">
        <v>41</v>
      </c>
      <c r="E85" s="37">
        <v>2</v>
      </c>
      <c r="F85" s="670">
        <v>0.02</v>
      </c>
      <c r="G85" s="37">
        <v>9</v>
      </c>
      <c r="H85" s="37">
        <v>3</v>
      </c>
      <c r="I85" s="37">
        <v>2</v>
      </c>
      <c r="J85" s="527">
        <f t="shared" si="11"/>
        <v>0.436170212765957</v>
      </c>
      <c r="K85" s="687">
        <f t="shared" si="12"/>
        <v>2.46658536585366</v>
      </c>
      <c r="L85" s="41">
        <v>1075.85</v>
      </c>
      <c r="M85" s="686">
        <v>0</v>
      </c>
      <c r="N85" s="527">
        <v>0</v>
      </c>
      <c r="O85" s="543">
        <f t="shared" si="13"/>
        <v>0.01</v>
      </c>
      <c r="P85" s="528">
        <f t="shared" si="14"/>
        <v>50.565</v>
      </c>
      <c r="Q85" s="687">
        <f t="shared" si="15"/>
        <v>11.2366666666667</v>
      </c>
    </row>
    <row r="86" spans="1:17">
      <c r="A86" s="684">
        <f t="shared" si="9"/>
        <v>44281</v>
      </c>
      <c r="B86" s="670">
        <v>92.24</v>
      </c>
      <c r="C86" s="37">
        <v>94</v>
      </c>
      <c r="D86" s="37">
        <v>22</v>
      </c>
      <c r="E86" s="37">
        <v>1</v>
      </c>
      <c r="F86" s="670">
        <v>0.01</v>
      </c>
      <c r="G86" s="37">
        <v>3</v>
      </c>
      <c r="H86" s="37">
        <v>1</v>
      </c>
      <c r="I86" s="37">
        <v>2</v>
      </c>
      <c r="J86" s="527">
        <f t="shared" si="11"/>
        <v>0.234042553191489</v>
      </c>
      <c r="K86" s="687">
        <f t="shared" si="12"/>
        <v>4.19272727272727</v>
      </c>
      <c r="L86" s="41">
        <v>981.28</v>
      </c>
      <c r="M86" s="686">
        <v>0</v>
      </c>
      <c r="N86" s="527">
        <v>0</v>
      </c>
      <c r="O86" s="543">
        <f t="shared" si="13"/>
        <v>0.01</v>
      </c>
      <c r="P86" s="528">
        <f t="shared" si="14"/>
        <v>92.24</v>
      </c>
      <c r="Q86" s="687">
        <f t="shared" si="15"/>
        <v>30.7466666666667</v>
      </c>
    </row>
    <row r="87" spans="1:17">
      <c r="A87" s="684">
        <f t="shared" si="9"/>
        <v>44282</v>
      </c>
      <c r="B87" s="670">
        <v>74.88</v>
      </c>
      <c r="C87" s="37">
        <v>73</v>
      </c>
      <c r="D87" s="37">
        <v>9</v>
      </c>
      <c r="E87" s="37">
        <v>0</v>
      </c>
      <c r="F87" s="670">
        <v>0</v>
      </c>
      <c r="G87" s="37">
        <v>2</v>
      </c>
      <c r="H87" s="37">
        <v>0</v>
      </c>
      <c r="I87" s="37">
        <v>2</v>
      </c>
      <c r="J87" s="527">
        <f t="shared" si="11"/>
        <v>0.123287671232877</v>
      </c>
      <c r="K87" s="687">
        <f t="shared" si="12"/>
        <v>8.32</v>
      </c>
      <c r="L87" s="41">
        <v>1025.75</v>
      </c>
      <c r="M87" s="686">
        <v>0</v>
      </c>
      <c r="N87" s="527">
        <v>0</v>
      </c>
      <c r="O87" s="543" t="e">
        <f t="shared" si="13"/>
        <v>#DIV/0!</v>
      </c>
      <c r="P87" s="528" t="e">
        <f t="shared" si="14"/>
        <v>#DIV/0!</v>
      </c>
      <c r="Q87" s="687">
        <f t="shared" si="15"/>
        <v>37.44</v>
      </c>
    </row>
    <row r="88" spans="1:17">
      <c r="A88" s="684">
        <f t="shared" si="9"/>
        <v>44283</v>
      </c>
      <c r="B88" s="670">
        <v>53.61</v>
      </c>
      <c r="C88" s="37">
        <v>62</v>
      </c>
      <c r="D88" s="37">
        <v>12</v>
      </c>
      <c r="E88" s="37">
        <v>0</v>
      </c>
      <c r="F88" s="670">
        <v>0</v>
      </c>
      <c r="G88" s="37">
        <v>0</v>
      </c>
      <c r="H88" s="37">
        <v>1</v>
      </c>
      <c r="I88" s="37">
        <v>0</v>
      </c>
      <c r="J88" s="527">
        <f t="shared" si="11"/>
        <v>0.193548387096774</v>
      </c>
      <c r="K88" s="687">
        <f t="shared" si="12"/>
        <v>4.4675</v>
      </c>
      <c r="L88" s="41">
        <v>864.68</v>
      </c>
      <c r="M88" s="686">
        <v>0</v>
      </c>
      <c r="N88" s="527">
        <v>0</v>
      </c>
      <c r="O88" s="543" t="e">
        <f t="shared" si="13"/>
        <v>#DIV/0!</v>
      </c>
      <c r="P88" s="528" t="e">
        <f t="shared" si="14"/>
        <v>#DIV/0!</v>
      </c>
      <c r="Q88" s="687" t="e">
        <f t="shared" si="15"/>
        <v>#DIV/0!</v>
      </c>
    </row>
    <row r="89" spans="1:17">
      <c r="A89" s="684">
        <f t="shared" si="9"/>
        <v>44284</v>
      </c>
      <c r="B89" s="670">
        <v>85.42</v>
      </c>
      <c r="C89" s="37">
        <v>96</v>
      </c>
      <c r="D89" s="37">
        <v>18</v>
      </c>
      <c r="E89" s="37">
        <v>0</v>
      </c>
      <c r="F89" s="670">
        <v>0</v>
      </c>
      <c r="G89" s="37">
        <v>2</v>
      </c>
      <c r="H89" s="37">
        <v>0</v>
      </c>
      <c r="I89" s="37">
        <v>2</v>
      </c>
      <c r="J89" s="527">
        <f t="shared" si="11"/>
        <v>0.1875</v>
      </c>
      <c r="K89" s="687">
        <f t="shared" si="12"/>
        <v>4.74555555555556</v>
      </c>
      <c r="L89" s="41">
        <v>899.79</v>
      </c>
      <c r="M89" s="686">
        <v>0</v>
      </c>
      <c r="N89" s="527">
        <v>0</v>
      </c>
      <c r="O89" s="543" t="e">
        <f t="shared" si="13"/>
        <v>#DIV/0!</v>
      </c>
      <c r="P89" s="528" t="e">
        <f t="shared" si="14"/>
        <v>#DIV/0!</v>
      </c>
      <c r="Q89" s="687">
        <f t="shared" si="15"/>
        <v>42.71</v>
      </c>
    </row>
    <row r="90" spans="1:17">
      <c r="A90" s="684">
        <f t="shared" si="9"/>
        <v>44285</v>
      </c>
      <c r="B90" s="670">
        <v>117.81</v>
      </c>
      <c r="C90" s="37">
        <v>119</v>
      </c>
      <c r="D90" s="37">
        <v>26</v>
      </c>
      <c r="E90" s="37">
        <v>0</v>
      </c>
      <c r="F90" s="670">
        <v>0</v>
      </c>
      <c r="G90" s="37">
        <v>3</v>
      </c>
      <c r="H90" s="37">
        <v>1</v>
      </c>
      <c r="I90" s="37">
        <v>2</v>
      </c>
      <c r="J90" s="527">
        <f t="shared" si="11"/>
        <v>0.218487394957983</v>
      </c>
      <c r="K90" s="687">
        <f t="shared" si="12"/>
        <v>4.53115384615385</v>
      </c>
      <c r="L90" s="940">
        <v>990</v>
      </c>
      <c r="M90" s="686">
        <v>0</v>
      </c>
      <c r="N90" s="527">
        <v>0</v>
      </c>
      <c r="O90" s="543" t="e">
        <f t="shared" si="13"/>
        <v>#DIV/0!</v>
      </c>
      <c r="P90" s="528" t="e">
        <f t="shared" si="14"/>
        <v>#DIV/0!</v>
      </c>
      <c r="Q90" s="687">
        <f t="shared" si="15"/>
        <v>39.27</v>
      </c>
    </row>
    <row r="91" spans="1:17">
      <c r="A91" s="684">
        <f t="shared" si="9"/>
        <v>44286</v>
      </c>
      <c r="B91" s="670">
        <v>117.33</v>
      </c>
      <c r="C91" s="37">
        <v>131</v>
      </c>
      <c r="D91" s="37">
        <v>23</v>
      </c>
      <c r="E91" s="37">
        <v>1</v>
      </c>
      <c r="F91" s="670">
        <v>11086</v>
      </c>
      <c r="G91" s="37">
        <v>5</v>
      </c>
      <c r="H91" s="37">
        <v>0</v>
      </c>
      <c r="I91" s="37">
        <v>0</v>
      </c>
      <c r="J91" s="527">
        <f t="shared" si="11"/>
        <v>0.175572519083969</v>
      </c>
      <c r="K91" s="687">
        <f t="shared" si="12"/>
        <v>5.10130434782609</v>
      </c>
      <c r="L91" s="940">
        <v>895.648</v>
      </c>
      <c r="M91" s="686">
        <v>0</v>
      </c>
      <c r="N91" s="527">
        <v>0</v>
      </c>
      <c r="O91" s="543">
        <f t="shared" si="13"/>
        <v>11086</v>
      </c>
      <c r="P91" s="528">
        <f t="shared" si="14"/>
        <v>117.33</v>
      </c>
      <c r="Q91" s="687">
        <f t="shared" si="15"/>
        <v>23.466</v>
      </c>
    </row>
    <row r="92" spans="1:17">
      <c r="A92" s="684">
        <f t="shared" si="9"/>
        <v>44287</v>
      </c>
      <c r="B92" s="670">
        <v>98.02</v>
      </c>
      <c r="C92" s="37">
        <v>108</v>
      </c>
      <c r="D92" s="37">
        <v>26</v>
      </c>
      <c r="E92" s="37">
        <v>1</v>
      </c>
      <c r="F92" s="670">
        <v>1</v>
      </c>
      <c r="G92" s="37">
        <v>0</v>
      </c>
      <c r="H92" s="37">
        <v>1</v>
      </c>
      <c r="I92" s="37">
        <v>2</v>
      </c>
      <c r="J92" s="527">
        <f t="shared" si="11"/>
        <v>0.240740740740741</v>
      </c>
      <c r="K92" s="687">
        <f t="shared" si="12"/>
        <v>3.77</v>
      </c>
      <c r="L92" s="940">
        <v>907.592</v>
      </c>
      <c r="M92" s="686">
        <v>0</v>
      </c>
      <c r="N92" s="527">
        <v>0</v>
      </c>
      <c r="O92" s="543">
        <f t="shared" si="13"/>
        <v>1</v>
      </c>
      <c r="P92" s="528">
        <f t="shared" si="14"/>
        <v>98.02</v>
      </c>
      <c r="Q92" s="687" t="e">
        <f t="shared" si="15"/>
        <v>#DIV/0!</v>
      </c>
    </row>
    <row r="93" spans="1:17">
      <c r="A93" s="684">
        <f t="shared" si="9"/>
        <v>44288</v>
      </c>
      <c r="B93" s="670">
        <v>114.47</v>
      </c>
      <c r="C93" s="37">
        <v>124</v>
      </c>
      <c r="D93" s="37">
        <v>16</v>
      </c>
      <c r="E93" s="37">
        <v>0</v>
      </c>
      <c r="F93" s="670">
        <v>0</v>
      </c>
      <c r="G93" s="37">
        <v>3</v>
      </c>
      <c r="H93" s="37">
        <v>3</v>
      </c>
      <c r="I93" s="37">
        <v>0</v>
      </c>
      <c r="J93" s="527">
        <f t="shared" si="11"/>
        <v>0.129032258064516</v>
      </c>
      <c r="K93" s="687">
        <f t="shared" si="12"/>
        <v>7.154375</v>
      </c>
      <c r="L93" s="940">
        <v>923.145</v>
      </c>
      <c r="M93" s="686">
        <v>0</v>
      </c>
      <c r="N93" s="527">
        <v>0</v>
      </c>
      <c r="O93" s="543" t="e">
        <f t="shared" si="13"/>
        <v>#DIV/0!</v>
      </c>
      <c r="P93" s="528" t="e">
        <f t="shared" si="14"/>
        <v>#DIV/0!</v>
      </c>
      <c r="Q93" s="687">
        <f t="shared" si="15"/>
        <v>38.1566666666667</v>
      </c>
    </row>
    <row r="94" spans="1:17">
      <c r="A94" s="684">
        <f t="shared" si="9"/>
        <v>44289</v>
      </c>
      <c r="B94" s="670">
        <v>101.15</v>
      </c>
      <c r="C94" s="37">
        <v>103</v>
      </c>
      <c r="D94" s="37">
        <v>16</v>
      </c>
      <c r="E94" s="37">
        <v>0</v>
      </c>
      <c r="F94" s="670">
        <v>0</v>
      </c>
      <c r="G94" s="37">
        <v>3</v>
      </c>
      <c r="H94" s="37">
        <v>1</v>
      </c>
      <c r="I94" s="37">
        <v>0</v>
      </c>
      <c r="J94" s="527">
        <f t="shared" si="11"/>
        <v>0.155339805825243</v>
      </c>
      <c r="K94" s="687">
        <f t="shared" si="12"/>
        <v>6.321875</v>
      </c>
      <c r="L94" s="940">
        <v>982.038</v>
      </c>
      <c r="M94" s="686">
        <v>0</v>
      </c>
      <c r="N94" s="527">
        <v>0</v>
      </c>
      <c r="O94" s="543" t="e">
        <f t="shared" si="13"/>
        <v>#DIV/0!</v>
      </c>
      <c r="P94" s="528" t="e">
        <f t="shared" si="14"/>
        <v>#DIV/0!</v>
      </c>
      <c r="Q94" s="687">
        <f t="shared" si="15"/>
        <v>33.7166666666667</v>
      </c>
    </row>
    <row r="95" spans="1:17">
      <c r="A95" s="684">
        <f t="shared" si="9"/>
        <v>44290</v>
      </c>
      <c r="B95" s="670">
        <v>126.04</v>
      </c>
      <c r="C95" s="37">
        <v>147</v>
      </c>
      <c r="D95" s="37">
        <v>18</v>
      </c>
      <c r="E95" s="37">
        <v>0</v>
      </c>
      <c r="F95" s="670">
        <v>0</v>
      </c>
      <c r="G95" s="37">
        <v>2</v>
      </c>
      <c r="H95" s="37">
        <v>2</v>
      </c>
      <c r="I95" s="37">
        <v>1</v>
      </c>
      <c r="J95" s="527">
        <f t="shared" si="11"/>
        <v>0.122448979591837</v>
      </c>
      <c r="K95" s="687">
        <f t="shared" si="12"/>
        <v>7.00222222222222</v>
      </c>
      <c r="L95" s="940">
        <v>857.414</v>
      </c>
      <c r="M95" s="686">
        <v>0</v>
      </c>
      <c r="N95" s="527">
        <v>0</v>
      </c>
      <c r="O95" s="543" t="e">
        <f t="shared" si="13"/>
        <v>#DIV/0!</v>
      </c>
      <c r="P95" s="528" t="e">
        <f t="shared" si="14"/>
        <v>#DIV/0!</v>
      </c>
      <c r="Q95" s="687">
        <f t="shared" si="15"/>
        <v>63.02</v>
      </c>
    </row>
    <row r="96" spans="1:17">
      <c r="A96" s="684">
        <f t="shared" si="9"/>
        <v>44291</v>
      </c>
      <c r="B96" s="670">
        <v>99.52</v>
      </c>
      <c r="C96" s="37">
        <v>103</v>
      </c>
      <c r="D96" s="37">
        <v>22</v>
      </c>
      <c r="E96" s="37">
        <v>0</v>
      </c>
      <c r="F96" s="670">
        <v>0</v>
      </c>
      <c r="G96" s="37">
        <v>5</v>
      </c>
      <c r="H96" s="37">
        <v>0</v>
      </c>
      <c r="I96" s="37">
        <v>0</v>
      </c>
      <c r="J96" s="527">
        <f t="shared" si="11"/>
        <v>0.213592233009709</v>
      </c>
      <c r="K96" s="687">
        <f t="shared" si="12"/>
        <v>4.52363636363636</v>
      </c>
      <c r="L96" s="940">
        <v>966.213</v>
      </c>
      <c r="M96" s="686">
        <v>0</v>
      </c>
      <c r="N96" s="527">
        <v>0</v>
      </c>
      <c r="O96" s="543" t="e">
        <f t="shared" si="13"/>
        <v>#DIV/0!</v>
      </c>
      <c r="P96" s="528" t="e">
        <f t="shared" si="14"/>
        <v>#DIV/0!</v>
      </c>
      <c r="Q96" s="687">
        <f t="shared" si="15"/>
        <v>19.904</v>
      </c>
    </row>
    <row r="97" spans="1:17">
      <c r="A97" s="684">
        <f t="shared" ref="A97:A137" si="16">A96+1</f>
        <v>44292</v>
      </c>
      <c r="B97" s="670">
        <v>107.93</v>
      </c>
      <c r="C97" s="37">
        <v>124</v>
      </c>
      <c r="D97" s="37">
        <v>28</v>
      </c>
      <c r="E97" s="37">
        <v>0</v>
      </c>
      <c r="F97" s="670">
        <v>0</v>
      </c>
      <c r="G97" s="37">
        <v>5</v>
      </c>
      <c r="H97" s="37">
        <v>1</v>
      </c>
      <c r="I97" s="37">
        <v>1</v>
      </c>
      <c r="J97" s="527">
        <f t="shared" si="11"/>
        <v>0.225806451612903</v>
      </c>
      <c r="K97" s="687">
        <f t="shared" si="12"/>
        <v>3.85464285714286</v>
      </c>
      <c r="L97" s="940">
        <v>870.403</v>
      </c>
      <c r="M97" s="686">
        <v>0</v>
      </c>
      <c r="N97" s="527">
        <v>0</v>
      </c>
      <c r="O97" s="543" t="e">
        <f t="shared" si="13"/>
        <v>#DIV/0!</v>
      </c>
      <c r="P97" s="528" t="e">
        <f t="shared" si="14"/>
        <v>#DIV/0!</v>
      </c>
      <c r="Q97" s="687">
        <f t="shared" si="15"/>
        <v>21.586</v>
      </c>
    </row>
    <row r="98" spans="1:17">
      <c r="A98" s="684">
        <f t="shared" si="16"/>
        <v>44293</v>
      </c>
      <c r="B98" s="670">
        <v>98.25</v>
      </c>
      <c r="C98" s="37">
        <v>96</v>
      </c>
      <c r="D98" s="37">
        <v>27</v>
      </c>
      <c r="E98" s="37">
        <v>0</v>
      </c>
      <c r="F98" s="670">
        <v>0</v>
      </c>
      <c r="G98" s="37">
        <v>7</v>
      </c>
      <c r="H98" s="37">
        <v>0</v>
      </c>
      <c r="I98" s="37">
        <v>1</v>
      </c>
      <c r="J98" s="527">
        <f t="shared" si="11"/>
        <v>0.28125</v>
      </c>
      <c r="K98" s="687">
        <f t="shared" si="12"/>
        <v>3.63888888888889</v>
      </c>
      <c r="L98" s="940">
        <v>1023.43699999999</v>
      </c>
      <c r="M98" s="686">
        <v>0</v>
      </c>
      <c r="N98" s="527">
        <v>0</v>
      </c>
      <c r="O98" s="543" t="e">
        <f t="shared" si="13"/>
        <v>#DIV/0!</v>
      </c>
      <c r="P98" s="528" t="e">
        <f t="shared" si="14"/>
        <v>#DIV/0!</v>
      </c>
      <c r="Q98" s="687">
        <f t="shared" si="15"/>
        <v>14.0357142857143</v>
      </c>
    </row>
    <row r="99" spans="1:17">
      <c r="A99" s="684">
        <f t="shared" si="16"/>
        <v>44294</v>
      </c>
      <c r="B99" s="670">
        <v>103.66</v>
      </c>
      <c r="C99" s="37">
        <v>102</v>
      </c>
      <c r="D99" s="37">
        <v>26</v>
      </c>
      <c r="E99" s="37">
        <v>0</v>
      </c>
      <c r="F99" s="670">
        <v>0</v>
      </c>
      <c r="G99" s="37">
        <v>0</v>
      </c>
      <c r="H99" s="37">
        <v>0</v>
      </c>
      <c r="I99" s="37">
        <v>1</v>
      </c>
      <c r="J99" s="527">
        <f t="shared" si="11"/>
        <v>0.254901960784314</v>
      </c>
      <c r="K99" s="687">
        <f t="shared" si="12"/>
        <v>3.98692307692308</v>
      </c>
      <c r="L99" s="940">
        <v>1016.27399999999</v>
      </c>
      <c r="M99" s="686">
        <v>0</v>
      </c>
      <c r="N99" s="527">
        <v>0</v>
      </c>
      <c r="O99" s="543" t="e">
        <f t="shared" si="13"/>
        <v>#DIV/0!</v>
      </c>
      <c r="P99" s="528" t="e">
        <f t="shared" si="14"/>
        <v>#DIV/0!</v>
      </c>
      <c r="Q99" s="687" t="e">
        <f t="shared" si="15"/>
        <v>#DIV/0!</v>
      </c>
    </row>
    <row r="100" spans="1:17">
      <c r="A100" s="684">
        <f t="shared" si="16"/>
        <v>44295</v>
      </c>
      <c r="B100" s="670">
        <v>160.3</v>
      </c>
      <c r="C100" s="37">
        <v>182</v>
      </c>
      <c r="D100" s="37">
        <v>36</v>
      </c>
      <c r="E100" s="37">
        <v>0</v>
      </c>
      <c r="F100" s="670">
        <v>0</v>
      </c>
      <c r="G100" s="37">
        <v>0</v>
      </c>
      <c r="H100" s="37">
        <v>0</v>
      </c>
      <c r="I100" s="37">
        <v>0</v>
      </c>
      <c r="J100" s="527">
        <f t="shared" si="11"/>
        <v>0.197802197802198</v>
      </c>
      <c r="K100" s="687">
        <f t="shared" si="12"/>
        <v>4.45277777777778</v>
      </c>
      <c r="L100" s="940">
        <v>880.769</v>
      </c>
      <c r="M100" s="686">
        <v>0</v>
      </c>
      <c r="N100" s="527">
        <v>0</v>
      </c>
      <c r="O100" s="543" t="e">
        <f t="shared" si="13"/>
        <v>#DIV/0!</v>
      </c>
      <c r="P100" s="528" t="e">
        <f t="shared" si="14"/>
        <v>#DIV/0!</v>
      </c>
      <c r="Q100" s="687" t="e">
        <f t="shared" si="15"/>
        <v>#DIV/0!</v>
      </c>
    </row>
    <row r="101" spans="1:17">
      <c r="A101" s="684">
        <f t="shared" si="16"/>
        <v>44296</v>
      </c>
      <c r="B101" s="670">
        <v>134.58</v>
      </c>
      <c r="C101" s="37">
        <v>145</v>
      </c>
      <c r="D101" s="37">
        <v>26</v>
      </c>
      <c r="E101" s="37">
        <v>1</v>
      </c>
      <c r="F101" s="670">
        <v>1</v>
      </c>
      <c r="G101" s="37">
        <v>3</v>
      </c>
      <c r="H101" s="37">
        <v>2</v>
      </c>
      <c r="I101" s="37">
        <v>4</v>
      </c>
      <c r="J101" s="527">
        <f t="shared" si="11"/>
        <v>0.179310344827586</v>
      </c>
      <c r="K101" s="687">
        <f t="shared" si="12"/>
        <v>5.17615384615385</v>
      </c>
      <c r="L101" s="940">
        <v>928.137</v>
      </c>
      <c r="M101" s="686">
        <v>0</v>
      </c>
      <c r="N101" s="527">
        <v>0</v>
      </c>
      <c r="O101" s="543">
        <f t="shared" si="13"/>
        <v>1</v>
      </c>
      <c r="P101" s="528">
        <f t="shared" si="14"/>
        <v>134.58</v>
      </c>
      <c r="Q101" s="687">
        <f t="shared" si="15"/>
        <v>44.86</v>
      </c>
    </row>
    <row r="102" spans="1:17">
      <c r="A102" s="684">
        <f t="shared" si="16"/>
        <v>44297</v>
      </c>
      <c r="B102" s="670">
        <v>104.55</v>
      </c>
      <c r="C102" s="37">
        <v>122</v>
      </c>
      <c r="D102" s="37">
        <v>13</v>
      </c>
      <c r="E102" s="37">
        <v>0</v>
      </c>
      <c r="F102" s="670">
        <v>0</v>
      </c>
      <c r="G102" s="37">
        <v>4</v>
      </c>
      <c r="H102" s="37">
        <v>2</v>
      </c>
      <c r="I102" s="37">
        <v>1</v>
      </c>
      <c r="J102" s="527">
        <f t="shared" si="11"/>
        <v>0.10655737704918</v>
      </c>
      <c r="K102" s="687">
        <f t="shared" si="12"/>
        <v>8.04230769230769</v>
      </c>
      <c r="L102" s="940">
        <v>856.967</v>
      </c>
      <c r="M102" s="686">
        <v>0</v>
      </c>
      <c r="N102" s="527">
        <v>0</v>
      </c>
      <c r="O102" s="543" t="e">
        <f t="shared" si="13"/>
        <v>#DIV/0!</v>
      </c>
      <c r="P102" s="528" t="e">
        <f t="shared" si="14"/>
        <v>#DIV/0!</v>
      </c>
      <c r="Q102" s="687">
        <f t="shared" si="15"/>
        <v>26.1375</v>
      </c>
    </row>
    <row r="103" spans="1:17">
      <c r="A103" s="684">
        <f t="shared" si="16"/>
        <v>44298</v>
      </c>
      <c r="B103" s="670">
        <v>116.9</v>
      </c>
      <c r="C103" s="37">
        <v>133</v>
      </c>
      <c r="D103" s="37">
        <v>30</v>
      </c>
      <c r="E103" s="37">
        <v>1</v>
      </c>
      <c r="F103" s="670">
        <v>0.01</v>
      </c>
      <c r="G103" s="37">
        <v>4</v>
      </c>
      <c r="H103" s="37">
        <v>0</v>
      </c>
      <c r="I103" s="37">
        <v>0</v>
      </c>
      <c r="J103" s="527">
        <f t="shared" si="11"/>
        <v>0.225563909774436</v>
      </c>
      <c r="K103" s="687">
        <f t="shared" si="12"/>
        <v>3.89666666666667</v>
      </c>
      <c r="L103" s="41">
        <v>878.95</v>
      </c>
      <c r="M103" s="686">
        <v>0</v>
      </c>
      <c r="N103" s="527">
        <v>0</v>
      </c>
      <c r="O103" s="543">
        <f t="shared" si="13"/>
        <v>0.01</v>
      </c>
      <c r="P103" s="528">
        <f t="shared" si="14"/>
        <v>116.9</v>
      </c>
      <c r="Q103" s="687">
        <f t="shared" si="15"/>
        <v>29.225</v>
      </c>
    </row>
    <row r="104" spans="1:17">
      <c r="A104" s="684">
        <f t="shared" si="16"/>
        <v>44299</v>
      </c>
      <c r="B104" s="670">
        <v>116.58</v>
      </c>
      <c r="C104" s="37">
        <v>138</v>
      </c>
      <c r="D104" s="37">
        <v>23</v>
      </c>
      <c r="E104" s="37">
        <v>0</v>
      </c>
      <c r="F104" s="670">
        <v>0</v>
      </c>
      <c r="G104" s="37">
        <v>2</v>
      </c>
      <c r="H104" s="37">
        <v>0</v>
      </c>
      <c r="I104" s="37">
        <v>3</v>
      </c>
      <c r="J104" s="527">
        <f t="shared" si="11"/>
        <v>0.166666666666667</v>
      </c>
      <c r="K104" s="687">
        <f t="shared" si="12"/>
        <v>5.06869565217391</v>
      </c>
      <c r="L104" s="41">
        <v>844.78</v>
      </c>
      <c r="M104" s="686">
        <v>0</v>
      </c>
      <c r="N104" s="527">
        <v>0</v>
      </c>
      <c r="O104" s="543" t="e">
        <f t="shared" si="13"/>
        <v>#DIV/0!</v>
      </c>
      <c r="P104" s="528" t="e">
        <f t="shared" si="14"/>
        <v>#DIV/0!</v>
      </c>
      <c r="Q104" s="687">
        <f t="shared" si="15"/>
        <v>58.29</v>
      </c>
    </row>
    <row r="105" spans="1:17">
      <c r="A105" s="684">
        <f t="shared" si="16"/>
        <v>44300</v>
      </c>
      <c r="B105" s="670">
        <v>125.28</v>
      </c>
      <c r="C105" s="37">
        <v>129</v>
      </c>
      <c r="D105" s="37">
        <v>34</v>
      </c>
      <c r="E105" s="37">
        <v>0</v>
      </c>
      <c r="F105" s="670">
        <v>0</v>
      </c>
      <c r="G105" s="37">
        <v>4</v>
      </c>
      <c r="H105" s="37">
        <v>4</v>
      </c>
      <c r="I105" s="37">
        <v>7</v>
      </c>
      <c r="J105" s="527">
        <f t="shared" si="11"/>
        <v>0.263565891472868</v>
      </c>
      <c r="K105" s="687">
        <f t="shared" si="12"/>
        <v>3.68470588235294</v>
      </c>
      <c r="L105" s="41">
        <v>971.16</v>
      </c>
      <c r="M105" s="686">
        <v>0</v>
      </c>
      <c r="N105" s="527">
        <v>0</v>
      </c>
      <c r="O105" s="543" t="e">
        <f t="shared" si="13"/>
        <v>#DIV/0!</v>
      </c>
      <c r="P105" s="528" t="e">
        <f t="shared" si="14"/>
        <v>#DIV/0!</v>
      </c>
      <c r="Q105" s="687">
        <f t="shared" si="15"/>
        <v>31.32</v>
      </c>
    </row>
    <row r="106" spans="1:17">
      <c r="A106" s="684">
        <f t="shared" si="16"/>
        <v>44301</v>
      </c>
      <c r="B106" s="670">
        <v>120.06</v>
      </c>
      <c r="C106" s="37">
        <v>125</v>
      </c>
      <c r="D106" s="37">
        <v>35</v>
      </c>
      <c r="E106" s="37">
        <v>2</v>
      </c>
      <c r="F106" s="670">
        <v>0.2</v>
      </c>
      <c r="G106" s="37">
        <v>16</v>
      </c>
      <c r="H106" s="37">
        <v>3</v>
      </c>
      <c r="I106" s="37">
        <v>1</v>
      </c>
      <c r="J106" s="527">
        <f t="shared" si="11"/>
        <v>0.28</v>
      </c>
      <c r="K106" s="687">
        <f t="shared" si="12"/>
        <v>3.43028571428571</v>
      </c>
      <c r="L106" s="41">
        <v>960.48</v>
      </c>
      <c r="M106" s="686">
        <v>0</v>
      </c>
      <c r="N106" s="527">
        <v>0</v>
      </c>
      <c r="O106" s="543">
        <f t="shared" si="13"/>
        <v>0.1</v>
      </c>
      <c r="P106" s="528">
        <f t="shared" si="14"/>
        <v>60.03</v>
      </c>
      <c r="Q106" s="687">
        <f t="shared" si="15"/>
        <v>7.50375</v>
      </c>
    </row>
    <row r="107" spans="1:17">
      <c r="A107" s="684">
        <f t="shared" si="16"/>
        <v>44302</v>
      </c>
      <c r="B107" s="670">
        <v>108.55</v>
      </c>
      <c r="C107" s="37">
        <v>99</v>
      </c>
      <c r="D107" s="37">
        <v>24</v>
      </c>
      <c r="E107" s="37">
        <v>0</v>
      </c>
      <c r="F107" s="670">
        <v>0</v>
      </c>
      <c r="G107" s="37">
        <v>4</v>
      </c>
      <c r="H107" s="37">
        <v>0</v>
      </c>
      <c r="I107" s="37">
        <v>0</v>
      </c>
      <c r="J107" s="527">
        <f t="shared" si="11"/>
        <v>0.242424242424242</v>
      </c>
      <c r="K107" s="687">
        <f t="shared" si="12"/>
        <v>4.52291666666667</v>
      </c>
      <c r="L107" s="41">
        <v>1096.46</v>
      </c>
      <c r="M107" s="686">
        <v>0</v>
      </c>
      <c r="N107" s="527">
        <v>0</v>
      </c>
      <c r="O107" s="543" t="e">
        <f t="shared" si="13"/>
        <v>#DIV/0!</v>
      </c>
      <c r="P107" s="528" t="e">
        <f t="shared" si="14"/>
        <v>#DIV/0!</v>
      </c>
      <c r="Q107" s="687">
        <f t="shared" si="15"/>
        <v>27.1375</v>
      </c>
    </row>
    <row r="108" spans="1:17">
      <c r="A108" s="684">
        <f t="shared" si="16"/>
        <v>44303</v>
      </c>
      <c r="B108" s="670">
        <v>157.81</v>
      </c>
      <c r="C108" s="37">
        <v>208</v>
      </c>
      <c r="D108" s="37">
        <v>21</v>
      </c>
      <c r="E108" s="37">
        <v>0</v>
      </c>
      <c r="F108" s="670">
        <v>0</v>
      </c>
      <c r="G108" s="37">
        <v>1</v>
      </c>
      <c r="H108" s="37">
        <v>0</v>
      </c>
      <c r="I108" s="37">
        <v>1</v>
      </c>
      <c r="J108" s="527">
        <f t="shared" si="11"/>
        <v>0.100961538461538</v>
      </c>
      <c r="K108" s="687">
        <f t="shared" si="12"/>
        <v>7.5147619047619</v>
      </c>
      <c r="L108" s="41">
        <v>758.7</v>
      </c>
      <c r="M108" s="686">
        <v>0</v>
      </c>
      <c r="N108" s="527">
        <v>0</v>
      </c>
      <c r="O108" s="543" t="e">
        <f t="shared" si="13"/>
        <v>#DIV/0!</v>
      </c>
      <c r="P108" s="528" t="e">
        <f t="shared" si="14"/>
        <v>#DIV/0!</v>
      </c>
      <c r="Q108" s="687">
        <f t="shared" si="15"/>
        <v>157.81</v>
      </c>
    </row>
    <row r="109" spans="1:17">
      <c r="A109" s="684">
        <f t="shared" si="16"/>
        <v>44304</v>
      </c>
      <c r="B109" s="670">
        <v>192.51</v>
      </c>
      <c r="C109" s="37">
        <v>310</v>
      </c>
      <c r="D109" s="37">
        <v>21</v>
      </c>
      <c r="E109" s="37">
        <v>1</v>
      </c>
      <c r="F109" s="670">
        <v>0.01</v>
      </c>
      <c r="G109" s="37">
        <v>1</v>
      </c>
      <c r="H109" s="37">
        <v>4</v>
      </c>
      <c r="I109" s="37">
        <v>1</v>
      </c>
      <c r="J109" s="527">
        <f t="shared" si="11"/>
        <v>0.067741935483871</v>
      </c>
      <c r="K109" s="687">
        <f t="shared" si="12"/>
        <v>9.16714285714286</v>
      </c>
      <c r="L109" s="41">
        <v>621</v>
      </c>
      <c r="M109" s="686">
        <v>0</v>
      </c>
      <c r="N109" s="527">
        <v>0</v>
      </c>
      <c r="O109" s="543">
        <f t="shared" si="13"/>
        <v>0.01</v>
      </c>
      <c r="P109" s="528">
        <f t="shared" si="14"/>
        <v>192.51</v>
      </c>
      <c r="Q109" s="687">
        <f t="shared" si="15"/>
        <v>192.51</v>
      </c>
    </row>
    <row r="110" spans="1:17">
      <c r="A110" s="684">
        <f t="shared" si="16"/>
        <v>44305</v>
      </c>
      <c r="B110" s="670">
        <v>154.89</v>
      </c>
      <c r="C110" s="37">
        <v>189</v>
      </c>
      <c r="D110" s="37">
        <v>46</v>
      </c>
      <c r="E110" s="37">
        <v>0</v>
      </c>
      <c r="F110" s="670">
        <v>0</v>
      </c>
      <c r="G110" s="37">
        <v>5</v>
      </c>
      <c r="H110" s="37">
        <v>0</v>
      </c>
      <c r="I110" s="37">
        <v>5</v>
      </c>
      <c r="J110" s="527">
        <f t="shared" si="11"/>
        <v>0.243386243386243</v>
      </c>
      <c r="K110" s="687">
        <f t="shared" si="12"/>
        <v>3.36717391304348</v>
      </c>
      <c r="M110" s="686">
        <v>0</v>
      </c>
      <c r="N110" s="527">
        <v>0</v>
      </c>
      <c r="O110" s="543" t="e">
        <f t="shared" si="13"/>
        <v>#DIV/0!</v>
      </c>
      <c r="P110" s="528" t="e">
        <f t="shared" si="14"/>
        <v>#DIV/0!</v>
      </c>
      <c r="Q110" s="687">
        <f t="shared" si="15"/>
        <v>30.978</v>
      </c>
    </row>
    <row r="111" spans="1:17">
      <c r="A111" s="684">
        <f t="shared" si="16"/>
        <v>44306</v>
      </c>
      <c r="B111" s="670">
        <v>299.2</v>
      </c>
      <c r="C111" s="37">
        <v>289</v>
      </c>
      <c r="D111" s="37">
        <v>137</v>
      </c>
      <c r="E111" s="37">
        <v>12</v>
      </c>
      <c r="F111" s="670">
        <v>12478.99</v>
      </c>
      <c r="G111" s="37">
        <v>15</v>
      </c>
      <c r="H111" s="37">
        <v>4</v>
      </c>
      <c r="I111" s="37">
        <v>7</v>
      </c>
      <c r="J111" s="527">
        <f t="shared" si="11"/>
        <v>0.474048442906574</v>
      </c>
      <c r="K111" s="687">
        <f t="shared" si="12"/>
        <v>2.18394160583942</v>
      </c>
      <c r="M111" s="686">
        <v>0</v>
      </c>
      <c r="N111" s="527">
        <v>0</v>
      </c>
      <c r="O111" s="543">
        <f t="shared" si="13"/>
        <v>1039.91583333333</v>
      </c>
      <c r="P111" s="528">
        <f t="shared" si="14"/>
        <v>24.9333333333333</v>
      </c>
      <c r="Q111" s="687">
        <f t="shared" si="15"/>
        <v>19.9466666666667</v>
      </c>
    </row>
    <row r="112" spans="1:17">
      <c r="A112" s="684">
        <f t="shared" si="16"/>
        <v>44307</v>
      </c>
      <c r="B112" s="670">
        <v>265.19</v>
      </c>
      <c r="C112" s="37">
        <v>410</v>
      </c>
      <c r="D112" s="37">
        <v>78</v>
      </c>
      <c r="E112" s="37">
        <v>0</v>
      </c>
      <c r="F112" s="670">
        <v>0</v>
      </c>
      <c r="G112" s="37">
        <v>15</v>
      </c>
      <c r="H112" s="37">
        <v>1</v>
      </c>
      <c r="I112" s="37">
        <v>9</v>
      </c>
      <c r="J112" s="527">
        <f t="shared" si="11"/>
        <v>0.190243902439024</v>
      </c>
      <c r="K112" s="687">
        <f t="shared" si="12"/>
        <v>3.39987179487179</v>
      </c>
      <c r="M112" s="686">
        <v>0</v>
      </c>
      <c r="N112" s="527">
        <v>0</v>
      </c>
      <c r="O112" s="543" t="e">
        <f t="shared" si="13"/>
        <v>#DIV/0!</v>
      </c>
      <c r="P112" s="528" t="e">
        <f t="shared" si="14"/>
        <v>#DIV/0!</v>
      </c>
      <c r="Q112" s="687">
        <f t="shared" si="15"/>
        <v>17.6793333333333</v>
      </c>
    </row>
    <row r="113" spans="1:17">
      <c r="A113" s="684">
        <f t="shared" si="16"/>
        <v>44308</v>
      </c>
      <c r="B113" s="670">
        <v>217.39</v>
      </c>
      <c r="C113" s="37">
        <v>314</v>
      </c>
      <c r="D113" s="37">
        <v>62</v>
      </c>
      <c r="E113" s="37">
        <v>1</v>
      </c>
      <c r="F113" s="670">
        <v>0.1</v>
      </c>
      <c r="G113" s="37">
        <v>10</v>
      </c>
      <c r="H113" s="37">
        <v>1</v>
      </c>
      <c r="I113" s="37">
        <v>2</v>
      </c>
      <c r="J113" s="527">
        <f t="shared" si="11"/>
        <v>0.197452229299363</v>
      </c>
      <c r="K113" s="687">
        <f t="shared" si="12"/>
        <v>3.50629032258064</v>
      </c>
      <c r="M113" s="686">
        <v>0</v>
      </c>
      <c r="N113" s="527">
        <v>0</v>
      </c>
      <c r="O113" s="543">
        <f t="shared" si="13"/>
        <v>0.1</v>
      </c>
      <c r="P113" s="528">
        <f t="shared" si="14"/>
        <v>217.39</v>
      </c>
      <c r="Q113" s="687">
        <f t="shared" si="15"/>
        <v>21.739</v>
      </c>
    </row>
    <row r="114" spans="1:17">
      <c r="A114" s="684">
        <f t="shared" si="16"/>
        <v>44309</v>
      </c>
      <c r="B114" s="670">
        <v>237.06</v>
      </c>
      <c r="C114" s="37">
        <v>361</v>
      </c>
      <c r="D114" s="37">
        <v>66</v>
      </c>
      <c r="E114" s="37">
        <v>3</v>
      </c>
      <c r="F114" s="670">
        <v>5800.1</v>
      </c>
      <c r="G114" s="37">
        <v>14</v>
      </c>
      <c r="H114" s="37">
        <v>0</v>
      </c>
      <c r="I114" s="37">
        <v>5</v>
      </c>
      <c r="J114" s="527">
        <f t="shared" si="11"/>
        <v>0.182825484764543</v>
      </c>
      <c r="K114" s="687">
        <f t="shared" si="12"/>
        <v>3.59181818181818</v>
      </c>
      <c r="M114" s="686">
        <v>0</v>
      </c>
      <c r="N114" s="527">
        <v>0</v>
      </c>
      <c r="O114" s="543">
        <f t="shared" si="13"/>
        <v>1933.36666666667</v>
      </c>
      <c r="P114" s="528">
        <f t="shared" si="14"/>
        <v>79.02</v>
      </c>
      <c r="Q114" s="687">
        <f t="shared" si="15"/>
        <v>16.9328571428571</v>
      </c>
    </row>
    <row r="115" spans="1:17">
      <c r="A115" s="684">
        <f t="shared" si="16"/>
        <v>44310</v>
      </c>
      <c r="B115" s="670">
        <v>176.32</v>
      </c>
      <c r="C115" s="37">
        <v>210</v>
      </c>
      <c r="D115" s="37">
        <v>26</v>
      </c>
      <c r="E115" s="37">
        <v>0</v>
      </c>
      <c r="F115" s="670">
        <v>0</v>
      </c>
      <c r="G115" s="37">
        <v>3</v>
      </c>
      <c r="H115" s="37">
        <v>2</v>
      </c>
      <c r="I115" s="37">
        <v>2</v>
      </c>
      <c r="J115" s="527">
        <f t="shared" si="11"/>
        <v>0.123809523809524</v>
      </c>
      <c r="K115" s="687">
        <f t="shared" si="12"/>
        <v>6.78153846153846</v>
      </c>
      <c r="M115" s="686">
        <v>0</v>
      </c>
      <c r="N115" s="527">
        <v>0</v>
      </c>
      <c r="O115" s="543" t="e">
        <f t="shared" si="13"/>
        <v>#DIV/0!</v>
      </c>
      <c r="P115" s="528" t="e">
        <f t="shared" si="14"/>
        <v>#DIV/0!</v>
      </c>
      <c r="Q115" s="687">
        <f t="shared" si="15"/>
        <v>58.7733333333333</v>
      </c>
    </row>
    <row r="116" spans="1:17">
      <c r="A116" s="684">
        <f t="shared" si="16"/>
        <v>44311</v>
      </c>
      <c r="B116" s="670">
        <v>202.63</v>
      </c>
      <c r="C116" s="37">
        <v>284</v>
      </c>
      <c r="D116" s="37">
        <v>41</v>
      </c>
      <c r="E116" s="37">
        <v>0</v>
      </c>
      <c r="F116" s="670">
        <v>0</v>
      </c>
      <c r="G116" s="37">
        <v>3</v>
      </c>
      <c r="H116" s="37">
        <v>0</v>
      </c>
      <c r="I116" s="37">
        <v>4</v>
      </c>
      <c r="J116" s="527">
        <f t="shared" si="11"/>
        <v>0.144366197183099</v>
      </c>
      <c r="K116" s="687">
        <f t="shared" si="12"/>
        <v>4.94219512195122</v>
      </c>
      <c r="M116" s="686">
        <v>0</v>
      </c>
      <c r="N116" s="527">
        <v>0</v>
      </c>
      <c r="O116" s="543" t="e">
        <f t="shared" si="13"/>
        <v>#DIV/0!</v>
      </c>
      <c r="P116" s="528" t="e">
        <f t="shared" si="14"/>
        <v>#DIV/0!</v>
      </c>
      <c r="Q116" s="687">
        <f t="shared" si="15"/>
        <v>67.5433333333333</v>
      </c>
    </row>
    <row r="117" spans="1:17">
      <c r="A117" s="684">
        <f t="shared" si="16"/>
        <v>44312</v>
      </c>
      <c r="B117" s="670">
        <v>256.45</v>
      </c>
      <c r="C117" s="37">
        <v>435</v>
      </c>
      <c r="D117" s="37">
        <v>45</v>
      </c>
      <c r="E117" s="37">
        <v>0</v>
      </c>
      <c r="F117" s="670">
        <v>0</v>
      </c>
      <c r="G117" s="37">
        <v>6</v>
      </c>
      <c r="H117" s="37">
        <v>4</v>
      </c>
      <c r="I117" s="37">
        <v>5</v>
      </c>
      <c r="J117" s="527">
        <f t="shared" si="11"/>
        <v>0.103448275862069</v>
      </c>
      <c r="K117" s="687">
        <f t="shared" si="12"/>
        <v>5.69888888888889</v>
      </c>
      <c r="M117" s="686">
        <v>0</v>
      </c>
      <c r="N117" s="527">
        <v>0</v>
      </c>
      <c r="O117" s="543" t="e">
        <f t="shared" si="13"/>
        <v>#DIV/0!</v>
      </c>
      <c r="P117" s="528" t="e">
        <f t="shared" si="14"/>
        <v>#DIV/0!</v>
      </c>
      <c r="Q117" s="687">
        <f t="shared" si="15"/>
        <v>42.7416666666667</v>
      </c>
    </row>
    <row r="118" spans="1:17">
      <c r="A118" s="684">
        <f t="shared" si="16"/>
        <v>44313</v>
      </c>
      <c r="B118" s="670">
        <v>208.37</v>
      </c>
      <c r="C118" s="37">
        <v>355</v>
      </c>
      <c r="D118" s="37">
        <v>43</v>
      </c>
      <c r="E118" s="37">
        <v>0</v>
      </c>
      <c r="F118" s="670">
        <v>0</v>
      </c>
      <c r="G118" s="37">
        <v>1</v>
      </c>
      <c r="H118" s="37">
        <v>0</v>
      </c>
      <c r="I118" s="37">
        <v>0</v>
      </c>
      <c r="J118" s="527">
        <f t="shared" si="11"/>
        <v>0.12112676056338</v>
      </c>
      <c r="K118" s="687">
        <f t="shared" si="12"/>
        <v>4.84581395348837</v>
      </c>
      <c r="M118" s="686">
        <v>0</v>
      </c>
      <c r="N118" s="527">
        <v>0</v>
      </c>
      <c r="O118" s="543" t="e">
        <f t="shared" si="13"/>
        <v>#DIV/0!</v>
      </c>
      <c r="P118" s="528" t="e">
        <f t="shared" si="14"/>
        <v>#DIV/0!</v>
      </c>
      <c r="Q118" s="687">
        <f t="shared" si="15"/>
        <v>208.37</v>
      </c>
    </row>
    <row r="119" spans="1:17">
      <c r="A119" s="684">
        <f t="shared" si="16"/>
        <v>44314</v>
      </c>
      <c r="B119" s="670">
        <v>198.82</v>
      </c>
      <c r="C119" s="37">
        <v>323</v>
      </c>
      <c r="D119" s="37">
        <v>43</v>
      </c>
      <c r="E119" s="37">
        <v>0</v>
      </c>
      <c r="F119" s="670">
        <v>0</v>
      </c>
      <c r="G119" s="37">
        <v>6</v>
      </c>
      <c r="H119" s="37">
        <v>0</v>
      </c>
      <c r="I119" s="37">
        <v>2</v>
      </c>
      <c r="J119" s="527">
        <f t="shared" si="11"/>
        <v>0.13312693498452</v>
      </c>
      <c r="K119" s="687">
        <f t="shared" si="12"/>
        <v>4.62372093023256</v>
      </c>
      <c r="M119" s="686">
        <v>0</v>
      </c>
      <c r="N119" s="527">
        <v>0</v>
      </c>
      <c r="O119" s="543" t="e">
        <f t="shared" si="13"/>
        <v>#DIV/0!</v>
      </c>
      <c r="P119" s="528" t="e">
        <f t="shared" si="14"/>
        <v>#DIV/0!</v>
      </c>
      <c r="Q119" s="687">
        <f t="shared" si="15"/>
        <v>33.1366666666667</v>
      </c>
    </row>
    <row r="120" spans="1:17">
      <c r="A120" s="684">
        <f t="shared" si="16"/>
        <v>44315</v>
      </c>
      <c r="B120" s="670">
        <v>184.05</v>
      </c>
      <c r="C120" s="37">
        <v>330</v>
      </c>
      <c r="D120" s="37">
        <v>22</v>
      </c>
      <c r="E120" s="37">
        <v>0</v>
      </c>
      <c r="F120" s="670">
        <v>0</v>
      </c>
      <c r="G120" s="37">
        <v>4</v>
      </c>
      <c r="H120" s="37">
        <v>0</v>
      </c>
      <c r="I120" s="37">
        <v>1</v>
      </c>
      <c r="J120" s="527">
        <f t="shared" si="11"/>
        <v>0.0666666666666667</v>
      </c>
      <c r="K120" s="687">
        <f t="shared" si="12"/>
        <v>8.36590909090909</v>
      </c>
      <c r="M120" s="686">
        <v>0</v>
      </c>
      <c r="N120" s="527">
        <v>0</v>
      </c>
      <c r="O120" s="543" t="e">
        <f t="shared" si="13"/>
        <v>#DIV/0!</v>
      </c>
      <c r="P120" s="528" t="e">
        <f t="shared" si="14"/>
        <v>#DIV/0!</v>
      </c>
      <c r="Q120" s="687">
        <f t="shared" si="15"/>
        <v>46.0125</v>
      </c>
    </row>
    <row r="121" spans="1:17">
      <c r="A121" s="684">
        <f t="shared" si="16"/>
        <v>44316</v>
      </c>
      <c r="B121" s="670">
        <v>158.37</v>
      </c>
      <c r="C121" s="37">
        <v>300</v>
      </c>
      <c r="D121" s="37">
        <v>23</v>
      </c>
      <c r="E121" s="37">
        <v>1</v>
      </c>
      <c r="F121" s="670">
        <v>17068</v>
      </c>
      <c r="G121" s="37">
        <v>4</v>
      </c>
      <c r="H121" s="37">
        <v>0</v>
      </c>
      <c r="I121" s="37">
        <v>0</v>
      </c>
      <c r="J121" s="527">
        <f t="shared" si="11"/>
        <v>0.0766666666666667</v>
      </c>
      <c r="K121" s="687">
        <f t="shared" si="12"/>
        <v>6.88565217391304</v>
      </c>
      <c r="M121" s="686">
        <v>0</v>
      </c>
      <c r="N121" s="527">
        <v>0</v>
      </c>
      <c r="O121" s="543">
        <f t="shared" si="13"/>
        <v>17068</v>
      </c>
      <c r="P121" s="528">
        <f t="shared" si="14"/>
        <v>158.37</v>
      </c>
      <c r="Q121" s="687">
        <f t="shared" si="15"/>
        <v>39.5925</v>
      </c>
    </row>
    <row r="122" spans="1:17">
      <c r="A122" s="684">
        <f t="shared" si="16"/>
        <v>44317</v>
      </c>
      <c r="B122" s="670">
        <v>195.96</v>
      </c>
      <c r="C122" s="37">
        <v>367</v>
      </c>
      <c r="D122" s="37">
        <v>18</v>
      </c>
      <c r="E122" s="37">
        <v>0</v>
      </c>
      <c r="F122" s="670">
        <v>0</v>
      </c>
      <c r="G122" s="37">
        <v>1</v>
      </c>
      <c r="H122" s="37">
        <v>0</v>
      </c>
      <c r="I122" s="37">
        <v>1</v>
      </c>
      <c r="J122" s="527">
        <f t="shared" si="11"/>
        <v>0.0490463215258856</v>
      </c>
      <c r="K122" s="687">
        <f t="shared" si="12"/>
        <v>10.8866666666667</v>
      </c>
      <c r="M122" s="686">
        <v>0</v>
      </c>
      <c r="N122" s="527">
        <v>0</v>
      </c>
      <c r="O122" s="543" t="e">
        <f t="shared" si="13"/>
        <v>#DIV/0!</v>
      </c>
      <c r="P122" s="528" t="e">
        <f t="shared" si="14"/>
        <v>#DIV/0!</v>
      </c>
      <c r="Q122" s="687">
        <f t="shared" si="15"/>
        <v>195.96</v>
      </c>
    </row>
    <row r="123" spans="1:17">
      <c r="A123" s="684">
        <f t="shared" si="16"/>
        <v>44318</v>
      </c>
      <c r="B123" s="670">
        <v>151.72</v>
      </c>
      <c r="C123" s="37">
        <v>284</v>
      </c>
      <c r="D123" s="37">
        <v>27</v>
      </c>
      <c r="E123" s="37">
        <v>0</v>
      </c>
      <c r="F123" s="670">
        <v>0</v>
      </c>
      <c r="G123" s="37">
        <v>3</v>
      </c>
      <c r="H123" s="37">
        <v>0</v>
      </c>
      <c r="I123" s="37">
        <v>0</v>
      </c>
      <c r="J123" s="527">
        <f t="shared" si="11"/>
        <v>0.0950704225352113</v>
      </c>
      <c r="K123" s="687">
        <f t="shared" si="12"/>
        <v>5.61925925925926</v>
      </c>
      <c r="M123" s="686">
        <v>0</v>
      </c>
      <c r="N123" s="527">
        <v>0</v>
      </c>
      <c r="O123" s="543" t="e">
        <f t="shared" si="13"/>
        <v>#DIV/0!</v>
      </c>
      <c r="P123" s="528" t="e">
        <f t="shared" si="14"/>
        <v>#DIV/0!</v>
      </c>
      <c r="Q123" s="687">
        <f t="shared" si="15"/>
        <v>50.5733333333333</v>
      </c>
    </row>
    <row r="124" spans="1:17">
      <c r="A124" s="684">
        <f t="shared" si="16"/>
        <v>44319</v>
      </c>
      <c r="B124" s="670">
        <v>195.65</v>
      </c>
      <c r="C124" s="37">
        <v>347</v>
      </c>
      <c r="D124" s="37">
        <v>31</v>
      </c>
      <c r="E124" s="37">
        <v>0</v>
      </c>
      <c r="F124" s="670">
        <v>0</v>
      </c>
      <c r="G124" s="37">
        <v>1</v>
      </c>
      <c r="H124" s="37">
        <v>0</v>
      </c>
      <c r="I124" s="37">
        <v>2</v>
      </c>
      <c r="J124" s="527">
        <f t="shared" si="11"/>
        <v>0.0893371757925072</v>
      </c>
      <c r="K124" s="687">
        <f t="shared" si="12"/>
        <v>6.31129032258065</v>
      </c>
      <c r="L124" s="41">
        <v>563.83</v>
      </c>
      <c r="M124" s="686">
        <v>0</v>
      </c>
      <c r="N124" s="527">
        <v>0</v>
      </c>
      <c r="O124" s="543" t="e">
        <f t="shared" si="13"/>
        <v>#DIV/0!</v>
      </c>
      <c r="P124" s="528" t="e">
        <f t="shared" si="14"/>
        <v>#DIV/0!</v>
      </c>
      <c r="Q124" s="687">
        <f t="shared" si="15"/>
        <v>195.65</v>
      </c>
    </row>
    <row r="125" spans="1:17">
      <c r="A125" s="684">
        <f t="shared" si="16"/>
        <v>44320</v>
      </c>
      <c r="B125" s="670">
        <v>178.71</v>
      </c>
      <c r="C125" s="37">
        <v>308</v>
      </c>
      <c r="D125" s="37">
        <v>27</v>
      </c>
      <c r="E125" s="37">
        <v>0</v>
      </c>
      <c r="F125" s="670">
        <v>0</v>
      </c>
      <c r="G125" s="37">
        <v>1</v>
      </c>
      <c r="H125" s="37">
        <v>0</v>
      </c>
      <c r="I125" s="37">
        <v>1</v>
      </c>
      <c r="J125" s="527">
        <f t="shared" si="11"/>
        <v>0.0876623376623377</v>
      </c>
      <c r="K125" s="687">
        <f t="shared" si="12"/>
        <v>6.61888888888889</v>
      </c>
      <c r="L125" s="41">
        <v>580.23</v>
      </c>
      <c r="M125" s="686">
        <v>0</v>
      </c>
      <c r="N125" s="527">
        <v>0</v>
      </c>
      <c r="O125" s="543" t="e">
        <f t="shared" si="13"/>
        <v>#DIV/0!</v>
      </c>
      <c r="P125" s="528" t="e">
        <f t="shared" si="14"/>
        <v>#DIV/0!</v>
      </c>
      <c r="Q125" s="687">
        <f t="shared" si="15"/>
        <v>178.71</v>
      </c>
    </row>
    <row r="126" spans="1:17">
      <c r="A126" s="684">
        <f t="shared" si="16"/>
        <v>44321</v>
      </c>
      <c r="B126" s="670">
        <v>198.25</v>
      </c>
      <c r="C126" s="37">
        <v>310</v>
      </c>
      <c r="D126" s="37">
        <v>35</v>
      </c>
      <c r="E126" s="37">
        <v>0</v>
      </c>
      <c r="F126" s="670">
        <v>0</v>
      </c>
      <c r="G126" s="37">
        <v>2</v>
      </c>
      <c r="H126" s="37">
        <v>0</v>
      </c>
      <c r="I126" s="37">
        <v>0</v>
      </c>
      <c r="J126" s="527">
        <f t="shared" si="11"/>
        <v>0.112903225806452</v>
      </c>
      <c r="K126" s="687">
        <f t="shared" si="12"/>
        <v>5.66428571428571</v>
      </c>
      <c r="L126" s="41">
        <v>639.52</v>
      </c>
      <c r="M126" s="686">
        <v>0</v>
      </c>
      <c r="N126" s="527">
        <v>0</v>
      </c>
      <c r="O126" s="543" t="e">
        <f t="shared" si="13"/>
        <v>#DIV/0!</v>
      </c>
      <c r="P126" s="528" t="e">
        <f t="shared" si="14"/>
        <v>#DIV/0!</v>
      </c>
      <c r="Q126" s="687">
        <f t="shared" si="15"/>
        <v>99.125</v>
      </c>
    </row>
    <row r="127" spans="1:17">
      <c r="A127" s="684">
        <f t="shared" si="16"/>
        <v>44322</v>
      </c>
      <c r="B127" s="670">
        <v>164.93</v>
      </c>
      <c r="C127" s="37">
        <v>208</v>
      </c>
      <c r="D127" s="37">
        <v>35</v>
      </c>
      <c r="E127" s="37">
        <v>1</v>
      </c>
      <c r="F127" s="670">
        <v>4000</v>
      </c>
      <c r="G127" s="37">
        <v>3</v>
      </c>
      <c r="H127" s="37">
        <v>0</v>
      </c>
      <c r="I127" s="37">
        <v>2</v>
      </c>
      <c r="J127" s="527">
        <f t="shared" si="11"/>
        <v>0.168269230769231</v>
      </c>
      <c r="K127" s="687">
        <f t="shared" si="12"/>
        <v>4.71228571428571</v>
      </c>
      <c r="L127" s="41">
        <v>792.93</v>
      </c>
      <c r="M127" s="686">
        <v>0</v>
      </c>
      <c r="N127" s="527">
        <v>0</v>
      </c>
      <c r="O127" s="543">
        <f t="shared" si="13"/>
        <v>4000</v>
      </c>
      <c r="P127" s="528">
        <f t="shared" si="14"/>
        <v>164.93</v>
      </c>
      <c r="Q127" s="687">
        <f t="shared" si="15"/>
        <v>54.9766666666667</v>
      </c>
    </row>
    <row r="128" spans="1:17">
      <c r="A128" s="684">
        <f t="shared" si="16"/>
        <v>44323</v>
      </c>
      <c r="B128" s="670">
        <v>120.08</v>
      </c>
      <c r="C128" s="37">
        <v>139</v>
      </c>
      <c r="D128" s="37">
        <v>26</v>
      </c>
      <c r="E128" s="37">
        <v>0</v>
      </c>
      <c r="F128" s="670">
        <v>0</v>
      </c>
      <c r="G128" s="37">
        <v>3</v>
      </c>
      <c r="H128" s="37">
        <v>1</v>
      </c>
      <c r="I128" s="37">
        <v>3</v>
      </c>
      <c r="J128" s="527">
        <f t="shared" si="11"/>
        <v>0.18705035971223</v>
      </c>
      <c r="K128" s="687">
        <f t="shared" si="12"/>
        <v>4.61846153846154</v>
      </c>
      <c r="L128" s="41">
        <v>863.88</v>
      </c>
      <c r="M128" s="686">
        <v>0</v>
      </c>
      <c r="N128" s="527">
        <v>0</v>
      </c>
      <c r="O128" s="543" t="e">
        <f t="shared" si="13"/>
        <v>#DIV/0!</v>
      </c>
      <c r="P128" s="528" t="e">
        <f t="shared" si="14"/>
        <v>#DIV/0!</v>
      </c>
      <c r="Q128" s="687">
        <f t="shared" si="15"/>
        <v>40.0266666666667</v>
      </c>
    </row>
    <row r="129" spans="1:17">
      <c r="A129" s="684">
        <f t="shared" si="16"/>
        <v>44324</v>
      </c>
      <c r="B129" s="670">
        <v>129.42</v>
      </c>
      <c r="C129" s="37">
        <v>155</v>
      </c>
      <c r="D129" s="37">
        <v>23</v>
      </c>
      <c r="E129" s="37">
        <v>0</v>
      </c>
      <c r="F129" s="670">
        <v>0</v>
      </c>
      <c r="G129" s="37">
        <v>3</v>
      </c>
      <c r="H129" s="37">
        <v>0</v>
      </c>
      <c r="I129" s="37">
        <v>1</v>
      </c>
      <c r="J129" s="527">
        <f t="shared" si="11"/>
        <v>0.148387096774194</v>
      </c>
      <c r="K129" s="687">
        <f t="shared" si="12"/>
        <v>5.62695652173913</v>
      </c>
      <c r="L129" s="41">
        <v>834.97</v>
      </c>
      <c r="M129" s="686">
        <v>0</v>
      </c>
      <c r="N129" s="527">
        <v>0</v>
      </c>
      <c r="O129" s="543" t="e">
        <f t="shared" si="13"/>
        <v>#DIV/0!</v>
      </c>
      <c r="P129" s="528" t="e">
        <f t="shared" si="14"/>
        <v>#DIV/0!</v>
      </c>
      <c r="Q129" s="687">
        <f t="shared" si="15"/>
        <v>43.14</v>
      </c>
    </row>
    <row r="130" spans="1:17">
      <c r="A130" s="684">
        <f t="shared" si="16"/>
        <v>44325</v>
      </c>
      <c r="B130" s="670">
        <v>32.57</v>
      </c>
      <c r="C130" s="37">
        <v>32</v>
      </c>
      <c r="D130" s="37">
        <v>5</v>
      </c>
      <c r="E130" s="37">
        <v>0</v>
      </c>
      <c r="F130" s="670">
        <v>0</v>
      </c>
      <c r="G130" s="37">
        <v>2</v>
      </c>
      <c r="H130" s="37">
        <v>0</v>
      </c>
      <c r="I130" s="37">
        <v>0</v>
      </c>
      <c r="J130" s="527">
        <f t="shared" ref="J130:J193" si="17">D130/C130</f>
        <v>0.15625</v>
      </c>
      <c r="K130" s="687">
        <f t="shared" ref="K130:K193" si="18">B130/D130</f>
        <v>6.514</v>
      </c>
      <c r="L130" s="41">
        <v>1017.81</v>
      </c>
      <c r="M130" s="686">
        <v>0</v>
      </c>
      <c r="N130" s="527">
        <v>0</v>
      </c>
      <c r="O130" s="543" t="e">
        <f t="shared" si="13"/>
        <v>#DIV/0!</v>
      </c>
      <c r="P130" s="528" t="e">
        <f t="shared" si="14"/>
        <v>#DIV/0!</v>
      </c>
      <c r="Q130" s="687">
        <f t="shared" si="15"/>
        <v>16.285</v>
      </c>
    </row>
    <row r="131" spans="1:17">
      <c r="A131" s="684">
        <f t="shared" si="16"/>
        <v>44326</v>
      </c>
      <c r="B131" s="670">
        <v>86.76</v>
      </c>
      <c r="C131" s="37">
        <v>91</v>
      </c>
      <c r="D131" s="37">
        <v>21</v>
      </c>
      <c r="E131" s="37">
        <v>0</v>
      </c>
      <c r="F131" s="670">
        <v>0</v>
      </c>
      <c r="G131" s="37">
        <v>2</v>
      </c>
      <c r="H131" s="37">
        <v>0</v>
      </c>
      <c r="I131" s="37">
        <v>1</v>
      </c>
      <c r="J131" s="527">
        <f t="shared" si="17"/>
        <v>0.230769230769231</v>
      </c>
      <c r="K131" s="687">
        <f t="shared" si="18"/>
        <v>4.13142857142857</v>
      </c>
      <c r="L131" s="41">
        <v>953.41</v>
      </c>
      <c r="M131" s="686">
        <v>0</v>
      </c>
      <c r="N131" s="527">
        <v>0</v>
      </c>
      <c r="O131" s="543" t="e">
        <f t="shared" si="13"/>
        <v>#DIV/0!</v>
      </c>
      <c r="P131" s="528" t="e">
        <f t="shared" si="14"/>
        <v>#DIV/0!</v>
      </c>
      <c r="Q131" s="687">
        <f t="shared" si="15"/>
        <v>43.38</v>
      </c>
    </row>
    <row r="132" spans="1:17">
      <c r="A132" s="684">
        <f t="shared" si="16"/>
        <v>44327</v>
      </c>
      <c r="B132" s="670">
        <v>77.14</v>
      </c>
      <c r="C132" s="37">
        <v>77</v>
      </c>
      <c r="D132" s="37">
        <v>13</v>
      </c>
      <c r="E132" s="37">
        <v>0</v>
      </c>
      <c r="F132" s="670">
        <v>0</v>
      </c>
      <c r="G132" s="37">
        <v>1</v>
      </c>
      <c r="H132" s="37">
        <v>0</v>
      </c>
      <c r="I132" s="37">
        <v>2</v>
      </c>
      <c r="J132" s="527">
        <f t="shared" si="17"/>
        <v>0.168831168831169</v>
      </c>
      <c r="K132" s="687">
        <f t="shared" si="18"/>
        <v>5.93384615384615</v>
      </c>
      <c r="L132" s="41">
        <v>1001.82</v>
      </c>
      <c r="M132" s="686">
        <v>0</v>
      </c>
      <c r="N132" s="527">
        <v>0</v>
      </c>
      <c r="O132" s="543" t="e">
        <f t="shared" si="13"/>
        <v>#DIV/0!</v>
      </c>
      <c r="P132" s="528" t="e">
        <f t="shared" si="14"/>
        <v>#DIV/0!</v>
      </c>
      <c r="Q132" s="687">
        <f t="shared" si="15"/>
        <v>77.14</v>
      </c>
    </row>
    <row r="133" spans="1:17">
      <c r="A133" s="684">
        <f t="shared" si="16"/>
        <v>44328</v>
      </c>
      <c r="B133" s="670">
        <v>146.82</v>
      </c>
      <c r="C133" s="37">
        <v>143</v>
      </c>
      <c r="D133" s="37">
        <v>67</v>
      </c>
      <c r="E133" s="37">
        <v>9</v>
      </c>
      <c r="F133" s="670">
        <v>0.45</v>
      </c>
      <c r="G133" s="37">
        <v>4</v>
      </c>
      <c r="H133" s="37">
        <v>1</v>
      </c>
      <c r="I133" s="37">
        <v>0</v>
      </c>
      <c r="J133" s="527">
        <f t="shared" si="17"/>
        <v>0.468531468531469</v>
      </c>
      <c r="K133" s="687">
        <f t="shared" si="18"/>
        <v>2.19134328358209</v>
      </c>
      <c r="L133" s="41">
        <v>1026.71</v>
      </c>
      <c r="M133" s="686">
        <v>0</v>
      </c>
      <c r="N133" s="527">
        <v>0</v>
      </c>
      <c r="O133" s="543">
        <f t="shared" si="13"/>
        <v>0.05</v>
      </c>
      <c r="P133" s="528">
        <f t="shared" si="14"/>
        <v>16.3133333333333</v>
      </c>
      <c r="Q133" s="687">
        <f t="shared" si="15"/>
        <v>36.705</v>
      </c>
    </row>
    <row r="134" spans="1:17">
      <c r="A134" s="684">
        <f t="shared" si="16"/>
        <v>44329</v>
      </c>
      <c r="B134" s="670">
        <v>137.29</v>
      </c>
      <c r="C134" s="37">
        <v>158</v>
      </c>
      <c r="D134" s="37">
        <v>29</v>
      </c>
      <c r="E134" s="37">
        <v>0</v>
      </c>
      <c r="F134" s="670">
        <v>0</v>
      </c>
      <c r="G134" s="37">
        <v>2</v>
      </c>
      <c r="H134" s="37">
        <v>1</v>
      </c>
      <c r="I134" s="37">
        <v>1</v>
      </c>
      <c r="J134" s="527">
        <f t="shared" si="17"/>
        <v>0.183544303797468</v>
      </c>
      <c r="K134" s="687">
        <f t="shared" si="18"/>
        <v>4.73413793103448</v>
      </c>
      <c r="L134" s="41">
        <v>868.92</v>
      </c>
      <c r="M134" s="686">
        <v>0</v>
      </c>
      <c r="N134" s="527">
        <v>0</v>
      </c>
      <c r="O134" s="543" t="e">
        <f t="shared" si="13"/>
        <v>#DIV/0!</v>
      </c>
      <c r="P134" s="528" t="e">
        <f t="shared" si="14"/>
        <v>#DIV/0!</v>
      </c>
      <c r="Q134" s="687">
        <f t="shared" si="15"/>
        <v>68.645</v>
      </c>
    </row>
    <row r="135" spans="1:17">
      <c r="A135" s="684">
        <f t="shared" si="16"/>
        <v>44330</v>
      </c>
      <c r="B135" s="670">
        <v>89.65</v>
      </c>
      <c r="C135" s="37">
        <v>107</v>
      </c>
      <c r="D135" s="37">
        <v>13</v>
      </c>
      <c r="E135" s="37">
        <v>0</v>
      </c>
      <c r="F135" s="670">
        <v>0</v>
      </c>
      <c r="G135" s="37">
        <v>2</v>
      </c>
      <c r="H135" s="37">
        <v>2</v>
      </c>
      <c r="I135" s="37">
        <v>1</v>
      </c>
      <c r="J135" s="527">
        <f t="shared" si="17"/>
        <v>0.121495327102804</v>
      </c>
      <c r="K135" s="687">
        <f t="shared" si="18"/>
        <v>6.89615384615385</v>
      </c>
      <c r="L135" s="41">
        <v>837.85</v>
      </c>
      <c r="M135" s="686">
        <v>0</v>
      </c>
      <c r="N135" s="527">
        <v>0</v>
      </c>
      <c r="O135" s="543" t="e">
        <f t="shared" si="13"/>
        <v>#DIV/0!</v>
      </c>
      <c r="P135" s="528" t="e">
        <f t="shared" si="14"/>
        <v>#DIV/0!</v>
      </c>
      <c r="Q135" s="687">
        <f t="shared" si="15"/>
        <v>44.825</v>
      </c>
    </row>
    <row r="136" spans="1:17">
      <c r="A136" s="684">
        <f t="shared" si="16"/>
        <v>44331</v>
      </c>
      <c r="B136" s="670">
        <v>87.82</v>
      </c>
      <c r="C136" s="37">
        <v>109</v>
      </c>
      <c r="D136" s="37">
        <v>14</v>
      </c>
      <c r="E136" s="37">
        <v>0</v>
      </c>
      <c r="F136" s="670">
        <v>0</v>
      </c>
      <c r="G136" s="37">
        <v>0</v>
      </c>
      <c r="H136" s="37">
        <v>0</v>
      </c>
      <c r="I136" s="37">
        <v>0</v>
      </c>
      <c r="J136" s="527">
        <f t="shared" si="17"/>
        <v>0.128440366972477</v>
      </c>
      <c r="K136" s="687">
        <f t="shared" si="18"/>
        <v>6.27285714285714</v>
      </c>
      <c r="L136" s="41">
        <v>805.69</v>
      </c>
      <c r="M136" s="686">
        <v>0</v>
      </c>
      <c r="N136" s="527">
        <v>0</v>
      </c>
      <c r="O136" s="543" t="e">
        <f t="shared" si="13"/>
        <v>#DIV/0!</v>
      </c>
      <c r="P136" s="528" t="e">
        <f t="shared" si="14"/>
        <v>#DIV/0!</v>
      </c>
      <c r="Q136" s="687" t="e">
        <f t="shared" si="15"/>
        <v>#DIV/0!</v>
      </c>
    </row>
    <row r="137" spans="1:17">
      <c r="A137" s="684">
        <f t="shared" si="16"/>
        <v>44332</v>
      </c>
      <c r="B137" s="670">
        <v>102.53</v>
      </c>
      <c r="C137" s="37">
        <v>140</v>
      </c>
      <c r="D137" s="37">
        <v>12</v>
      </c>
      <c r="E137" s="37">
        <v>0</v>
      </c>
      <c r="F137" s="670">
        <v>0</v>
      </c>
      <c r="G137" s="37">
        <v>1</v>
      </c>
      <c r="H137" s="37">
        <v>1</v>
      </c>
      <c r="I137" s="37">
        <v>0</v>
      </c>
      <c r="J137" s="527">
        <f t="shared" si="17"/>
        <v>0.0857142857142857</v>
      </c>
      <c r="K137" s="687">
        <f t="shared" si="18"/>
        <v>8.54416666666667</v>
      </c>
      <c r="L137" s="41">
        <v>732.36</v>
      </c>
      <c r="M137" s="686">
        <v>0</v>
      </c>
      <c r="N137" s="527">
        <v>0</v>
      </c>
      <c r="O137" s="543" t="e">
        <f t="shared" si="13"/>
        <v>#DIV/0!</v>
      </c>
      <c r="P137" s="528" t="e">
        <f t="shared" si="14"/>
        <v>#DIV/0!</v>
      </c>
      <c r="Q137" s="687">
        <f t="shared" si="15"/>
        <v>102.53</v>
      </c>
    </row>
    <row r="138" spans="1:17">
      <c r="A138" s="684">
        <f t="shared" ref="A138:A201" si="19">A137+1</f>
        <v>44333</v>
      </c>
      <c r="B138" s="670">
        <v>94.19</v>
      </c>
      <c r="C138" s="37">
        <v>128</v>
      </c>
      <c r="D138" s="37">
        <v>20</v>
      </c>
      <c r="E138" s="37">
        <v>0</v>
      </c>
      <c r="F138" s="670">
        <v>0</v>
      </c>
      <c r="G138" s="37">
        <v>3</v>
      </c>
      <c r="H138" s="37">
        <v>2</v>
      </c>
      <c r="I138" s="37">
        <v>1</v>
      </c>
      <c r="J138" s="527">
        <f t="shared" si="17"/>
        <v>0.15625</v>
      </c>
      <c r="K138" s="687">
        <f t="shared" si="18"/>
        <v>4.7095</v>
      </c>
      <c r="L138" s="41">
        <v>735.86</v>
      </c>
      <c r="M138" s="686">
        <v>0</v>
      </c>
      <c r="N138" s="527">
        <v>0</v>
      </c>
      <c r="O138" s="543" t="e">
        <f t="shared" si="13"/>
        <v>#DIV/0!</v>
      </c>
      <c r="P138" s="528" t="e">
        <f t="shared" si="14"/>
        <v>#DIV/0!</v>
      </c>
      <c r="Q138" s="687">
        <f t="shared" si="15"/>
        <v>31.3966666666667</v>
      </c>
    </row>
    <row r="139" spans="1:17">
      <c r="A139" s="684">
        <f t="shared" si="19"/>
        <v>44334</v>
      </c>
      <c r="B139" s="670">
        <v>124.54</v>
      </c>
      <c r="C139" s="37">
        <v>139</v>
      </c>
      <c r="D139" s="37">
        <v>23</v>
      </c>
      <c r="E139" s="37">
        <v>2</v>
      </c>
      <c r="F139" s="670">
        <v>2801</v>
      </c>
      <c r="G139" s="37">
        <v>2</v>
      </c>
      <c r="H139" s="37">
        <v>0</v>
      </c>
      <c r="I139" s="37">
        <v>0</v>
      </c>
      <c r="J139" s="527">
        <f t="shared" si="17"/>
        <v>0.165467625899281</v>
      </c>
      <c r="K139" s="687">
        <f t="shared" si="18"/>
        <v>5.41478260869565</v>
      </c>
      <c r="L139" s="41">
        <v>895.97</v>
      </c>
      <c r="M139" s="686">
        <v>0</v>
      </c>
      <c r="N139" s="527">
        <v>0</v>
      </c>
      <c r="O139" s="543">
        <f t="shared" si="13"/>
        <v>1400.5</v>
      </c>
      <c r="P139" s="528">
        <f t="shared" si="14"/>
        <v>62.27</v>
      </c>
      <c r="Q139" s="687">
        <f t="shared" si="15"/>
        <v>62.27</v>
      </c>
    </row>
    <row r="140" spans="1:17">
      <c r="A140" s="684">
        <f t="shared" si="19"/>
        <v>44335</v>
      </c>
      <c r="B140" s="670">
        <v>118.76</v>
      </c>
      <c r="C140" s="37">
        <v>129</v>
      </c>
      <c r="D140" s="37">
        <v>24</v>
      </c>
      <c r="E140" s="37">
        <v>1</v>
      </c>
      <c r="F140" s="670">
        <v>1</v>
      </c>
      <c r="G140" s="37">
        <v>2</v>
      </c>
      <c r="H140" s="37">
        <v>1</v>
      </c>
      <c r="I140" s="37">
        <v>0</v>
      </c>
      <c r="J140" s="527">
        <f t="shared" si="17"/>
        <v>0.186046511627907</v>
      </c>
      <c r="K140" s="687">
        <f t="shared" si="18"/>
        <v>4.94833333333333</v>
      </c>
      <c r="L140" s="41">
        <v>920.62</v>
      </c>
      <c r="M140" s="686">
        <v>0</v>
      </c>
      <c r="N140" s="527">
        <v>0</v>
      </c>
      <c r="O140" s="543">
        <f t="shared" si="13"/>
        <v>1</v>
      </c>
      <c r="P140" s="528">
        <f t="shared" si="14"/>
        <v>118.76</v>
      </c>
      <c r="Q140" s="687">
        <f t="shared" si="15"/>
        <v>59.38</v>
      </c>
    </row>
    <row r="141" spans="1:17">
      <c r="A141" s="684">
        <f t="shared" si="19"/>
        <v>44336</v>
      </c>
      <c r="B141" s="670">
        <v>88.59</v>
      </c>
      <c r="C141" s="37">
        <v>93</v>
      </c>
      <c r="D141" s="37">
        <v>9</v>
      </c>
      <c r="E141" s="37">
        <v>0</v>
      </c>
      <c r="F141" s="670">
        <v>0</v>
      </c>
      <c r="G141" s="37">
        <v>0</v>
      </c>
      <c r="H141" s="37">
        <v>1</v>
      </c>
      <c r="I141" s="37">
        <v>0</v>
      </c>
      <c r="J141" s="527">
        <f t="shared" si="17"/>
        <v>0.0967741935483871</v>
      </c>
      <c r="K141" s="687">
        <f t="shared" si="18"/>
        <v>9.84333333333333</v>
      </c>
      <c r="L141" s="41">
        <v>952.58</v>
      </c>
      <c r="M141" s="686">
        <v>0</v>
      </c>
      <c r="N141" s="527">
        <v>0</v>
      </c>
      <c r="O141" s="543" t="e">
        <f t="shared" si="13"/>
        <v>#DIV/0!</v>
      </c>
      <c r="P141" s="528" t="e">
        <f t="shared" si="14"/>
        <v>#DIV/0!</v>
      </c>
      <c r="Q141" s="687" t="e">
        <f t="shared" si="15"/>
        <v>#DIV/0!</v>
      </c>
    </row>
    <row r="142" spans="1:17">
      <c r="A142" s="684">
        <f t="shared" si="19"/>
        <v>44337</v>
      </c>
      <c r="B142" s="670">
        <v>113.89</v>
      </c>
      <c r="C142" s="37">
        <v>117</v>
      </c>
      <c r="D142" s="37">
        <v>19</v>
      </c>
      <c r="E142" s="37">
        <v>2</v>
      </c>
      <c r="F142" s="670">
        <v>2001</v>
      </c>
      <c r="G142" s="37">
        <v>3</v>
      </c>
      <c r="H142" s="37">
        <v>0</v>
      </c>
      <c r="I142" s="37">
        <v>0</v>
      </c>
      <c r="J142" s="527">
        <f t="shared" si="17"/>
        <v>0.162393162393162</v>
      </c>
      <c r="K142" s="687">
        <f t="shared" si="18"/>
        <v>5.99421052631579</v>
      </c>
      <c r="L142" s="41">
        <v>973.42</v>
      </c>
      <c r="M142" s="686">
        <v>0</v>
      </c>
      <c r="N142" s="527">
        <v>0</v>
      </c>
      <c r="O142" s="543">
        <f t="shared" ref="O142:O205" si="20">F142/E142</f>
        <v>1000.5</v>
      </c>
      <c r="P142" s="528">
        <f t="shared" ref="P142:P205" si="21">B142/E142</f>
        <v>56.945</v>
      </c>
      <c r="Q142" s="687">
        <f t="shared" ref="Q142:Q205" si="22">B142/G142</f>
        <v>37.9633333333333</v>
      </c>
    </row>
    <row r="143" spans="1:17">
      <c r="A143" s="684">
        <f t="shared" si="19"/>
        <v>44338</v>
      </c>
      <c r="B143" s="670">
        <v>93.31</v>
      </c>
      <c r="C143" s="37">
        <v>101</v>
      </c>
      <c r="D143" s="37">
        <v>21</v>
      </c>
      <c r="E143" s="37">
        <v>0</v>
      </c>
      <c r="F143" s="670">
        <v>0</v>
      </c>
      <c r="G143" s="37">
        <v>3</v>
      </c>
      <c r="H143" s="37">
        <v>0</v>
      </c>
      <c r="I143" s="37">
        <v>2</v>
      </c>
      <c r="J143" s="527">
        <f t="shared" si="17"/>
        <v>0.207920792079208</v>
      </c>
      <c r="K143" s="687">
        <f t="shared" si="18"/>
        <v>4.44333333333333</v>
      </c>
      <c r="L143" s="41">
        <v>923.86</v>
      </c>
      <c r="M143" s="686">
        <v>0</v>
      </c>
      <c r="N143" s="527">
        <v>0</v>
      </c>
      <c r="O143" s="543" t="e">
        <f t="shared" si="20"/>
        <v>#DIV/0!</v>
      </c>
      <c r="P143" s="528" t="e">
        <f t="shared" si="21"/>
        <v>#DIV/0!</v>
      </c>
      <c r="Q143" s="687">
        <f t="shared" si="22"/>
        <v>31.1033333333333</v>
      </c>
    </row>
    <row r="144" spans="1:17">
      <c r="A144" s="684">
        <f t="shared" si="19"/>
        <v>44339</v>
      </c>
      <c r="B144" s="670">
        <v>86.64</v>
      </c>
      <c r="C144" s="37">
        <v>105</v>
      </c>
      <c r="D144" s="37">
        <v>5</v>
      </c>
      <c r="E144" s="37">
        <v>0</v>
      </c>
      <c r="F144" s="670">
        <v>0</v>
      </c>
      <c r="G144" s="37">
        <v>0</v>
      </c>
      <c r="H144" s="37">
        <v>1</v>
      </c>
      <c r="I144" s="37">
        <v>1</v>
      </c>
      <c r="J144" s="527">
        <f t="shared" si="17"/>
        <v>0.0476190476190476</v>
      </c>
      <c r="K144" s="687">
        <f t="shared" si="18"/>
        <v>17.328</v>
      </c>
      <c r="L144" s="41">
        <v>825.14</v>
      </c>
      <c r="M144" s="686">
        <v>0</v>
      </c>
      <c r="N144" s="527">
        <v>0</v>
      </c>
      <c r="O144" s="543" t="e">
        <f t="shared" si="20"/>
        <v>#DIV/0!</v>
      </c>
      <c r="P144" s="528" t="e">
        <f t="shared" si="21"/>
        <v>#DIV/0!</v>
      </c>
      <c r="Q144" s="687" t="e">
        <f t="shared" si="22"/>
        <v>#DIV/0!</v>
      </c>
    </row>
    <row r="145" spans="1:17">
      <c r="A145" s="684">
        <f t="shared" si="19"/>
        <v>44340</v>
      </c>
      <c r="B145" s="670">
        <v>112.94</v>
      </c>
      <c r="C145" s="37">
        <v>118</v>
      </c>
      <c r="D145" s="37">
        <v>15</v>
      </c>
      <c r="E145" s="37">
        <v>0</v>
      </c>
      <c r="F145" s="670">
        <v>0</v>
      </c>
      <c r="G145" s="37">
        <v>2</v>
      </c>
      <c r="H145" s="37">
        <v>1</v>
      </c>
      <c r="I145" s="37">
        <v>0</v>
      </c>
      <c r="J145" s="527">
        <f t="shared" si="17"/>
        <v>0.127118644067797</v>
      </c>
      <c r="K145" s="687">
        <f t="shared" si="18"/>
        <v>7.52933333333333</v>
      </c>
      <c r="L145" s="41">
        <v>957.12</v>
      </c>
      <c r="M145" s="686">
        <v>0</v>
      </c>
      <c r="N145" s="527">
        <v>0</v>
      </c>
      <c r="O145" s="543" t="e">
        <f t="shared" si="20"/>
        <v>#DIV/0!</v>
      </c>
      <c r="P145" s="528" t="e">
        <f t="shared" si="21"/>
        <v>#DIV/0!</v>
      </c>
      <c r="Q145" s="687">
        <f t="shared" si="22"/>
        <v>56.47</v>
      </c>
    </row>
    <row r="146" spans="1:17">
      <c r="A146" s="684">
        <f t="shared" si="19"/>
        <v>44341</v>
      </c>
      <c r="B146" s="670">
        <v>101.03</v>
      </c>
      <c r="C146" s="37">
        <v>104</v>
      </c>
      <c r="D146" s="37">
        <v>21</v>
      </c>
      <c r="E146" s="37">
        <v>0</v>
      </c>
      <c r="F146" s="670">
        <v>0</v>
      </c>
      <c r="G146" s="37">
        <v>2</v>
      </c>
      <c r="H146" s="37">
        <v>0</v>
      </c>
      <c r="I146" s="37">
        <v>0</v>
      </c>
      <c r="J146" s="527">
        <f t="shared" si="17"/>
        <v>0.201923076923077</v>
      </c>
      <c r="K146" s="687">
        <f t="shared" si="18"/>
        <v>4.81095238095238</v>
      </c>
      <c r="L146" s="41">
        <v>971.44</v>
      </c>
      <c r="M146" s="686">
        <v>0</v>
      </c>
      <c r="N146" s="527">
        <v>0</v>
      </c>
      <c r="O146" s="543" t="e">
        <f t="shared" si="20"/>
        <v>#DIV/0!</v>
      </c>
      <c r="P146" s="528" t="e">
        <f t="shared" si="21"/>
        <v>#DIV/0!</v>
      </c>
      <c r="Q146" s="687">
        <f t="shared" si="22"/>
        <v>50.515</v>
      </c>
    </row>
    <row r="147" spans="1:17">
      <c r="A147" s="684">
        <f t="shared" si="19"/>
        <v>44342</v>
      </c>
      <c r="B147" s="670">
        <v>190.41</v>
      </c>
      <c r="C147" s="37">
        <v>212</v>
      </c>
      <c r="D147" s="37">
        <v>11</v>
      </c>
      <c r="E147" s="37">
        <v>0</v>
      </c>
      <c r="F147" s="670">
        <v>0</v>
      </c>
      <c r="G147" s="37">
        <v>2</v>
      </c>
      <c r="H147" s="37">
        <v>0</v>
      </c>
      <c r="I147" s="37">
        <v>0</v>
      </c>
      <c r="J147" s="527">
        <f t="shared" si="17"/>
        <v>0.0518867924528302</v>
      </c>
      <c r="K147" s="687">
        <f t="shared" si="18"/>
        <v>17.31</v>
      </c>
      <c r="L147" s="41">
        <v>898.16</v>
      </c>
      <c r="M147" s="686">
        <v>0</v>
      </c>
      <c r="N147" s="527">
        <v>0</v>
      </c>
      <c r="O147" s="543" t="e">
        <f t="shared" si="20"/>
        <v>#DIV/0!</v>
      </c>
      <c r="P147" s="528" t="e">
        <f t="shared" si="21"/>
        <v>#DIV/0!</v>
      </c>
      <c r="Q147" s="687">
        <f t="shared" si="22"/>
        <v>95.205</v>
      </c>
    </row>
    <row r="148" spans="1:17">
      <c r="A148" s="684">
        <f t="shared" si="19"/>
        <v>44343</v>
      </c>
      <c r="B148" s="670">
        <v>103.09</v>
      </c>
      <c r="C148" s="37">
        <v>100</v>
      </c>
      <c r="D148" s="37">
        <v>14</v>
      </c>
      <c r="E148" s="37">
        <v>0</v>
      </c>
      <c r="F148" s="670">
        <v>0</v>
      </c>
      <c r="G148" s="37">
        <v>3</v>
      </c>
      <c r="H148" s="37">
        <v>0</v>
      </c>
      <c r="I148" s="37">
        <v>0</v>
      </c>
      <c r="J148" s="527">
        <f t="shared" si="17"/>
        <v>0.14</v>
      </c>
      <c r="K148" s="687">
        <f t="shared" si="18"/>
        <v>7.36357142857143</v>
      </c>
      <c r="L148" s="41">
        <v>1030.9</v>
      </c>
      <c r="M148" s="686">
        <v>0</v>
      </c>
      <c r="N148" s="527">
        <v>0</v>
      </c>
      <c r="O148" s="543" t="e">
        <f t="shared" si="20"/>
        <v>#DIV/0!</v>
      </c>
      <c r="P148" s="528" t="e">
        <f t="shared" si="21"/>
        <v>#DIV/0!</v>
      </c>
      <c r="Q148" s="687">
        <f t="shared" si="22"/>
        <v>34.3633333333333</v>
      </c>
    </row>
    <row r="149" spans="1:17">
      <c r="A149" s="684">
        <f t="shared" si="19"/>
        <v>44344</v>
      </c>
      <c r="B149" s="670">
        <v>64.15</v>
      </c>
      <c r="C149" s="37">
        <v>63</v>
      </c>
      <c r="D149" s="37">
        <v>14</v>
      </c>
      <c r="E149" s="37">
        <v>0</v>
      </c>
      <c r="F149" s="670">
        <v>0</v>
      </c>
      <c r="G149" s="37">
        <v>1</v>
      </c>
      <c r="H149" s="37">
        <v>0</v>
      </c>
      <c r="I149" s="37">
        <v>0</v>
      </c>
      <c r="J149" s="527">
        <f t="shared" si="17"/>
        <v>0.222222222222222</v>
      </c>
      <c r="K149" s="687">
        <f t="shared" si="18"/>
        <v>4.58214285714286</v>
      </c>
      <c r="L149" s="41">
        <v>1018.25</v>
      </c>
      <c r="M149" s="686">
        <v>0</v>
      </c>
      <c r="N149" s="527">
        <v>0</v>
      </c>
      <c r="O149" s="543" t="e">
        <f t="shared" si="20"/>
        <v>#DIV/0!</v>
      </c>
      <c r="P149" s="528" t="e">
        <f t="shared" si="21"/>
        <v>#DIV/0!</v>
      </c>
      <c r="Q149" s="687">
        <f t="shared" si="22"/>
        <v>64.15</v>
      </c>
    </row>
    <row r="150" spans="1:17">
      <c r="A150" s="684">
        <f t="shared" si="19"/>
        <v>44345</v>
      </c>
      <c r="B150" s="670">
        <v>50.36</v>
      </c>
      <c r="C150" s="37">
        <v>47</v>
      </c>
      <c r="D150" s="37">
        <v>10</v>
      </c>
      <c r="E150" s="37">
        <v>1</v>
      </c>
      <c r="F150" s="670">
        <v>2000</v>
      </c>
      <c r="G150" s="37">
        <v>2</v>
      </c>
      <c r="H150" s="37">
        <v>0</v>
      </c>
      <c r="I150" s="37">
        <v>0</v>
      </c>
      <c r="J150" s="527">
        <f t="shared" si="17"/>
        <v>0.212765957446809</v>
      </c>
      <c r="K150" s="687">
        <f t="shared" si="18"/>
        <v>5.036</v>
      </c>
      <c r="L150" s="41">
        <v>1071.49</v>
      </c>
      <c r="M150" s="686">
        <v>0</v>
      </c>
      <c r="N150" s="527">
        <v>0</v>
      </c>
      <c r="O150" s="543">
        <f t="shared" si="20"/>
        <v>2000</v>
      </c>
      <c r="P150" s="528">
        <f t="shared" si="21"/>
        <v>50.36</v>
      </c>
      <c r="Q150" s="687">
        <f t="shared" si="22"/>
        <v>25.18</v>
      </c>
    </row>
    <row r="151" spans="1:17">
      <c r="A151" s="684">
        <f t="shared" si="19"/>
        <v>44346</v>
      </c>
      <c r="B151" s="670">
        <v>90.7</v>
      </c>
      <c r="C151" s="37">
        <v>88</v>
      </c>
      <c r="D151" s="37">
        <v>15</v>
      </c>
      <c r="E151" s="37">
        <v>0</v>
      </c>
      <c r="F151" s="670">
        <v>0</v>
      </c>
      <c r="G151" s="37">
        <v>0</v>
      </c>
      <c r="H151" s="37">
        <v>0</v>
      </c>
      <c r="I151" s="37">
        <v>0</v>
      </c>
      <c r="J151" s="527">
        <f t="shared" si="17"/>
        <v>0.170454545454545</v>
      </c>
      <c r="K151" s="687">
        <f t="shared" si="18"/>
        <v>6.04666666666667</v>
      </c>
      <c r="L151" s="41">
        <v>1030.68</v>
      </c>
      <c r="M151" s="686">
        <v>0</v>
      </c>
      <c r="N151" s="527">
        <v>0</v>
      </c>
      <c r="O151" s="543" t="e">
        <f t="shared" si="20"/>
        <v>#DIV/0!</v>
      </c>
      <c r="P151" s="528" t="e">
        <f t="shared" si="21"/>
        <v>#DIV/0!</v>
      </c>
      <c r="Q151" s="687" t="e">
        <f t="shared" si="22"/>
        <v>#DIV/0!</v>
      </c>
    </row>
    <row r="152" spans="1:17">
      <c r="A152" s="684">
        <f t="shared" si="19"/>
        <v>44347</v>
      </c>
      <c r="B152" s="670">
        <v>89.18</v>
      </c>
      <c r="C152" s="37">
        <v>101</v>
      </c>
      <c r="D152" s="37">
        <v>19</v>
      </c>
      <c r="E152" s="37">
        <v>0</v>
      </c>
      <c r="F152" s="670">
        <v>0</v>
      </c>
      <c r="G152" s="37">
        <v>1</v>
      </c>
      <c r="H152" s="37">
        <v>0</v>
      </c>
      <c r="I152" s="37">
        <v>3</v>
      </c>
      <c r="J152" s="527">
        <f t="shared" si="17"/>
        <v>0.188118811881188</v>
      </c>
      <c r="K152" s="687">
        <f t="shared" si="18"/>
        <v>4.69368421052632</v>
      </c>
      <c r="L152" s="41">
        <v>882.97</v>
      </c>
      <c r="M152" s="686">
        <v>0</v>
      </c>
      <c r="N152" s="527">
        <v>0</v>
      </c>
      <c r="O152" s="543" t="e">
        <f t="shared" si="20"/>
        <v>#DIV/0!</v>
      </c>
      <c r="P152" s="528" t="e">
        <f t="shared" si="21"/>
        <v>#DIV/0!</v>
      </c>
      <c r="Q152" s="687">
        <f t="shared" si="22"/>
        <v>89.18</v>
      </c>
    </row>
    <row r="153" spans="1:17">
      <c r="A153" s="684">
        <f t="shared" si="19"/>
        <v>44348</v>
      </c>
      <c r="B153" s="1026">
        <v>191.11</v>
      </c>
      <c r="C153" s="37">
        <v>721</v>
      </c>
      <c r="D153" s="37">
        <v>32</v>
      </c>
      <c r="E153" s="37">
        <v>0</v>
      </c>
      <c r="F153" s="670">
        <v>0</v>
      </c>
      <c r="G153" s="37">
        <v>1</v>
      </c>
      <c r="H153" s="37">
        <v>0</v>
      </c>
      <c r="I153" s="37">
        <v>2</v>
      </c>
      <c r="J153" s="527">
        <f t="shared" si="17"/>
        <v>0.0443828016643551</v>
      </c>
      <c r="K153" s="687">
        <f t="shared" si="18"/>
        <v>5.9721875</v>
      </c>
      <c r="L153" s="41">
        <v>265.06</v>
      </c>
      <c r="M153" s="686">
        <v>0</v>
      </c>
      <c r="N153" s="527">
        <v>0</v>
      </c>
      <c r="O153" s="543" t="e">
        <f t="shared" si="20"/>
        <v>#DIV/0!</v>
      </c>
      <c r="P153" s="528" t="e">
        <f t="shared" si="21"/>
        <v>#DIV/0!</v>
      </c>
      <c r="Q153" s="687">
        <f t="shared" si="22"/>
        <v>191.11</v>
      </c>
    </row>
    <row r="154" spans="1:17">
      <c r="A154" s="684">
        <f t="shared" si="19"/>
        <v>44349</v>
      </c>
      <c r="B154" s="670">
        <v>215.57</v>
      </c>
      <c r="C154" s="37">
        <v>751</v>
      </c>
      <c r="D154" s="37">
        <v>57</v>
      </c>
      <c r="E154" s="37">
        <v>1</v>
      </c>
      <c r="F154" s="670">
        <v>0.01</v>
      </c>
      <c r="G154" s="37">
        <v>1</v>
      </c>
      <c r="H154" s="37">
        <v>0</v>
      </c>
      <c r="I154" s="37">
        <v>1</v>
      </c>
      <c r="J154" s="527">
        <f t="shared" si="17"/>
        <v>0.0758988015978695</v>
      </c>
      <c r="K154" s="687">
        <f t="shared" si="18"/>
        <v>3.7819298245614</v>
      </c>
      <c r="L154" s="41">
        <v>301.5</v>
      </c>
      <c r="M154" s="686">
        <v>0</v>
      </c>
      <c r="N154" s="527">
        <v>0</v>
      </c>
      <c r="O154" s="543">
        <f t="shared" si="20"/>
        <v>0.01</v>
      </c>
      <c r="P154" s="528">
        <f t="shared" si="21"/>
        <v>215.57</v>
      </c>
      <c r="Q154" s="687">
        <f t="shared" si="22"/>
        <v>215.57</v>
      </c>
    </row>
    <row r="155" spans="1:17">
      <c r="A155" s="684">
        <f t="shared" si="19"/>
        <v>44350</v>
      </c>
      <c r="B155" s="670">
        <v>190.26</v>
      </c>
      <c r="C155" s="37">
        <v>793</v>
      </c>
      <c r="D155" s="37">
        <v>47</v>
      </c>
      <c r="E155" s="37">
        <v>0</v>
      </c>
      <c r="F155" s="670">
        <v>0</v>
      </c>
      <c r="G155" s="37">
        <v>3</v>
      </c>
      <c r="H155" s="37">
        <v>0</v>
      </c>
      <c r="I155" s="37">
        <v>5</v>
      </c>
      <c r="J155" s="527">
        <f t="shared" si="17"/>
        <v>0.0592686002522068</v>
      </c>
      <c r="K155" s="687">
        <f t="shared" si="18"/>
        <v>4.04808510638298</v>
      </c>
      <c r="L155" s="41">
        <v>239.92</v>
      </c>
      <c r="M155" s="686">
        <v>0</v>
      </c>
      <c r="N155" s="527">
        <v>0</v>
      </c>
      <c r="O155" s="543" t="e">
        <f t="shared" si="20"/>
        <v>#DIV/0!</v>
      </c>
      <c r="P155" s="528" t="e">
        <f t="shared" si="21"/>
        <v>#DIV/0!</v>
      </c>
      <c r="Q155" s="687">
        <f t="shared" si="22"/>
        <v>63.42</v>
      </c>
    </row>
    <row r="156" spans="1:17">
      <c r="A156" s="684">
        <f t="shared" si="19"/>
        <v>44351</v>
      </c>
      <c r="B156" s="670">
        <v>204.19</v>
      </c>
      <c r="C156" s="37">
        <v>785</v>
      </c>
      <c r="D156" s="37">
        <v>49</v>
      </c>
      <c r="E156" s="37">
        <v>0</v>
      </c>
      <c r="F156" s="670">
        <v>0</v>
      </c>
      <c r="G156" s="37">
        <v>0</v>
      </c>
      <c r="H156" s="37">
        <v>0</v>
      </c>
      <c r="I156" s="37">
        <v>1</v>
      </c>
      <c r="J156" s="527">
        <f t="shared" si="17"/>
        <v>0.0624203821656051</v>
      </c>
      <c r="K156" s="687">
        <f t="shared" si="18"/>
        <v>4.16714285714286</v>
      </c>
      <c r="L156" s="41">
        <v>260.11</v>
      </c>
      <c r="M156" s="686">
        <v>0</v>
      </c>
      <c r="N156" s="527">
        <v>0</v>
      </c>
      <c r="O156" s="543" t="e">
        <f t="shared" si="20"/>
        <v>#DIV/0!</v>
      </c>
      <c r="P156" s="528" t="e">
        <f t="shared" si="21"/>
        <v>#DIV/0!</v>
      </c>
      <c r="Q156" s="687" t="e">
        <f t="shared" si="22"/>
        <v>#DIV/0!</v>
      </c>
    </row>
    <row r="157" spans="1:17">
      <c r="A157" s="684">
        <f t="shared" si="19"/>
        <v>44352</v>
      </c>
      <c r="B157" s="670">
        <v>255.5</v>
      </c>
      <c r="C157" s="37">
        <v>986</v>
      </c>
      <c r="D157" s="37">
        <v>40</v>
      </c>
      <c r="E157" s="37">
        <v>0</v>
      </c>
      <c r="F157" s="670">
        <v>0</v>
      </c>
      <c r="G157" s="37">
        <v>1</v>
      </c>
      <c r="H157" s="37">
        <v>0</v>
      </c>
      <c r="I157" s="37">
        <v>0</v>
      </c>
      <c r="J157" s="527">
        <f t="shared" si="17"/>
        <v>0.0405679513184584</v>
      </c>
      <c r="K157" s="687">
        <f t="shared" si="18"/>
        <v>6.3875</v>
      </c>
      <c r="L157" s="41">
        <v>259.13</v>
      </c>
      <c r="M157" s="686">
        <v>0</v>
      </c>
      <c r="N157" s="527">
        <v>0</v>
      </c>
      <c r="O157" s="543" t="e">
        <f t="shared" si="20"/>
        <v>#DIV/0!</v>
      </c>
      <c r="P157" s="528" t="e">
        <f t="shared" si="21"/>
        <v>#DIV/0!</v>
      </c>
      <c r="Q157" s="687">
        <f t="shared" si="22"/>
        <v>255.5</v>
      </c>
    </row>
    <row r="158" spans="1:17">
      <c r="A158" s="684">
        <f t="shared" si="19"/>
        <v>44353</v>
      </c>
      <c r="B158" s="670">
        <v>228.91</v>
      </c>
      <c r="C158" s="37">
        <v>923</v>
      </c>
      <c r="D158" s="37">
        <v>40</v>
      </c>
      <c r="E158" s="37">
        <v>0</v>
      </c>
      <c r="F158" s="670">
        <v>0</v>
      </c>
      <c r="G158" s="37">
        <v>1</v>
      </c>
      <c r="H158" s="37">
        <v>1</v>
      </c>
      <c r="I158" s="37">
        <v>6</v>
      </c>
      <c r="J158" s="527">
        <f t="shared" si="17"/>
        <v>0.0433369447453954</v>
      </c>
      <c r="K158" s="687">
        <f t="shared" si="18"/>
        <v>5.72275</v>
      </c>
      <c r="L158" s="41">
        <v>248.01</v>
      </c>
      <c r="M158" s="686">
        <v>0</v>
      </c>
      <c r="N158" s="527">
        <v>0</v>
      </c>
      <c r="O158" s="543" t="e">
        <f t="shared" si="20"/>
        <v>#DIV/0!</v>
      </c>
      <c r="P158" s="528" t="e">
        <f t="shared" si="21"/>
        <v>#DIV/0!</v>
      </c>
      <c r="Q158" s="687">
        <f t="shared" si="22"/>
        <v>228.91</v>
      </c>
    </row>
    <row r="159" spans="1:17">
      <c r="A159" s="684">
        <f t="shared" si="19"/>
        <v>44354</v>
      </c>
      <c r="B159" s="670">
        <v>209.39</v>
      </c>
      <c r="C159" s="37">
        <v>848</v>
      </c>
      <c r="D159" s="37">
        <v>28</v>
      </c>
      <c r="E159" s="37">
        <v>1</v>
      </c>
      <c r="F159" s="670">
        <v>0.01</v>
      </c>
      <c r="G159" s="37">
        <v>2</v>
      </c>
      <c r="H159" s="37">
        <v>2</v>
      </c>
      <c r="I159" s="37">
        <v>0</v>
      </c>
      <c r="J159" s="527">
        <f t="shared" si="17"/>
        <v>0.0330188679245283</v>
      </c>
      <c r="K159" s="687">
        <f t="shared" si="18"/>
        <v>7.47821428571429</v>
      </c>
      <c r="L159" s="41">
        <v>246.92</v>
      </c>
      <c r="M159" s="686">
        <v>0</v>
      </c>
      <c r="N159" s="527">
        <v>0</v>
      </c>
      <c r="O159" s="543">
        <f t="shared" si="20"/>
        <v>0.01</v>
      </c>
      <c r="P159" s="528">
        <f t="shared" si="21"/>
        <v>209.39</v>
      </c>
      <c r="Q159" s="687">
        <f t="shared" si="22"/>
        <v>104.695</v>
      </c>
    </row>
    <row r="160" spans="1:17">
      <c r="A160" s="684">
        <f t="shared" si="19"/>
        <v>44355</v>
      </c>
      <c r="B160" s="670">
        <v>189.26</v>
      </c>
      <c r="C160" s="37">
        <v>783</v>
      </c>
      <c r="D160" s="37">
        <v>34</v>
      </c>
      <c r="E160" s="37">
        <v>0</v>
      </c>
      <c r="F160" s="670">
        <v>0</v>
      </c>
      <c r="G160" s="37">
        <v>1</v>
      </c>
      <c r="H160" s="37">
        <v>0</v>
      </c>
      <c r="I160" s="37">
        <v>2</v>
      </c>
      <c r="J160" s="527">
        <f t="shared" si="17"/>
        <v>0.0434227330779055</v>
      </c>
      <c r="K160" s="687">
        <f t="shared" si="18"/>
        <v>5.56647058823529</v>
      </c>
      <c r="L160" s="41">
        <v>241.71</v>
      </c>
      <c r="M160" s="686">
        <v>0</v>
      </c>
      <c r="N160" s="527">
        <v>0</v>
      </c>
      <c r="O160" s="543" t="e">
        <f t="shared" si="20"/>
        <v>#DIV/0!</v>
      </c>
      <c r="P160" s="528" t="e">
        <f t="shared" si="21"/>
        <v>#DIV/0!</v>
      </c>
      <c r="Q160" s="687">
        <f t="shared" si="22"/>
        <v>189.26</v>
      </c>
    </row>
    <row r="161" spans="1:17">
      <c r="A161" s="684">
        <f t="shared" si="19"/>
        <v>44356</v>
      </c>
      <c r="B161" s="670">
        <v>225.44</v>
      </c>
      <c r="C161" s="37">
        <v>776</v>
      </c>
      <c r="D161" s="37">
        <v>35</v>
      </c>
      <c r="E161" s="37">
        <v>0</v>
      </c>
      <c r="F161" s="670">
        <v>0</v>
      </c>
      <c r="G161" s="37">
        <v>1</v>
      </c>
      <c r="H161" s="37">
        <v>1</v>
      </c>
      <c r="I161" s="37">
        <v>4</v>
      </c>
      <c r="J161" s="527">
        <f t="shared" si="17"/>
        <v>0.0451030927835052</v>
      </c>
      <c r="K161" s="687">
        <f t="shared" si="18"/>
        <v>6.44114285714286</v>
      </c>
      <c r="L161" s="41">
        <v>290.52</v>
      </c>
      <c r="M161" s="686">
        <v>0</v>
      </c>
      <c r="N161" s="527">
        <v>0</v>
      </c>
      <c r="O161" s="543" t="e">
        <f t="shared" si="20"/>
        <v>#DIV/0!</v>
      </c>
      <c r="P161" s="528" t="e">
        <f t="shared" si="21"/>
        <v>#DIV/0!</v>
      </c>
      <c r="Q161" s="687">
        <f t="shared" si="22"/>
        <v>225.44</v>
      </c>
    </row>
    <row r="162" spans="1:17">
      <c r="A162" s="684">
        <f t="shared" si="19"/>
        <v>44357</v>
      </c>
      <c r="B162" s="670">
        <v>225.54</v>
      </c>
      <c r="C162" s="37">
        <v>860</v>
      </c>
      <c r="D162" s="37">
        <v>24</v>
      </c>
      <c r="E162" s="37">
        <v>0</v>
      </c>
      <c r="F162" s="670">
        <v>0</v>
      </c>
      <c r="G162" s="37">
        <v>0</v>
      </c>
      <c r="H162" s="37">
        <v>0</v>
      </c>
      <c r="I162" s="37">
        <v>1</v>
      </c>
      <c r="J162" s="527">
        <f t="shared" si="17"/>
        <v>0.027906976744186</v>
      </c>
      <c r="K162" s="687">
        <f t="shared" si="18"/>
        <v>9.3975</v>
      </c>
      <c r="L162" s="41">
        <v>262.26</v>
      </c>
      <c r="M162" s="686">
        <v>0</v>
      </c>
      <c r="N162" s="527">
        <v>0</v>
      </c>
      <c r="O162" s="543" t="e">
        <f t="shared" si="20"/>
        <v>#DIV/0!</v>
      </c>
      <c r="P162" s="528" t="e">
        <f t="shared" si="21"/>
        <v>#DIV/0!</v>
      </c>
      <c r="Q162" s="687" t="e">
        <f t="shared" si="22"/>
        <v>#DIV/0!</v>
      </c>
    </row>
    <row r="163" spans="1:17">
      <c r="A163" s="684">
        <f t="shared" si="19"/>
        <v>44358</v>
      </c>
      <c r="B163" s="670">
        <v>231.28</v>
      </c>
      <c r="C163" s="37">
        <v>868</v>
      </c>
      <c r="D163" s="37">
        <v>27</v>
      </c>
      <c r="E163" s="37">
        <v>0</v>
      </c>
      <c r="F163" s="670">
        <v>0</v>
      </c>
      <c r="G163" s="37">
        <v>0</v>
      </c>
      <c r="H163" s="37">
        <v>1</v>
      </c>
      <c r="I163" s="37">
        <v>1</v>
      </c>
      <c r="J163" s="527">
        <f t="shared" si="17"/>
        <v>0.0311059907834101</v>
      </c>
      <c r="K163" s="687">
        <f t="shared" si="18"/>
        <v>8.56592592592593</v>
      </c>
      <c r="L163" s="41">
        <v>266.45</v>
      </c>
      <c r="M163" s="686">
        <v>0</v>
      </c>
      <c r="N163" s="527">
        <v>0</v>
      </c>
      <c r="O163" s="543" t="e">
        <f t="shared" si="20"/>
        <v>#DIV/0!</v>
      </c>
      <c r="P163" s="528" t="e">
        <f t="shared" si="21"/>
        <v>#DIV/0!</v>
      </c>
      <c r="Q163" s="687" t="e">
        <f t="shared" si="22"/>
        <v>#DIV/0!</v>
      </c>
    </row>
    <row r="164" spans="1:17">
      <c r="A164" s="684">
        <f t="shared" si="19"/>
        <v>44359</v>
      </c>
      <c r="B164" s="670">
        <v>228.5</v>
      </c>
      <c r="C164" s="37">
        <v>967</v>
      </c>
      <c r="D164" s="37">
        <v>30</v>
      </c>
      <c r="E164" s="37">
        <v>0</v>
      </c>
      <c r="F164" s="670">
        <v>0</v>
      </c>
      <c r="G164" s="37">
        <v>1</v>
      </c>
      <c r="H164" s="37">
        <v>0</v>
      </c>
      <c r="I164" s="37">
        <v>3</v>
      </c>
      <c r="J164" s="527">
        <f t="shared" si="17"/>
        <v>0.031023784901758</v>
      </c>
      <c r="K164" s="687">
        <f t="shared" si="18"/>
        <v>7.61666666666667</v>
      </c>
      <c r="L164" s="41">
        <v>236.3</v>
      </c>
      <c r="M164" s="686">
        <v>0</v>
      </c>
      <c r="N164" s="527">
        <v>0</v>
      </c>
      <c r="O164" s="543" t="e">
        <f t="shared" si="20"/>
        <v>#DIV/0!</v>
      </c>
      <c r="P164" s="528" t="e">
        <f t="shared" si="21"/>
        <v>#DIV/0!</v>
      </c>
      <c r="Q164" s="687">
        <f t="shared" si="22"/>
        <v>228.5</v>
      </c>
    </row>
    <row r="165" spans="1:17">
      <c r="A165" s="684">
        <f t="shared" si="19"/>
        <v>44360</v>
      </c>
      <c r="B165" s="670">
        <v>262.58</v>
      </c>
      <c r="C165" s="37">
        <v>1012</v>
      </c>
      <c r="D165" s="37">
        <v>38</v>
      </c>
      <c r="E165" s="37">
        <v>0</v>
      </c>
      <c r="F165" s="670">
        <v>0</v>
      </c>
      <c r="G165" s="37">
        <v>0</v>
      </c>
      <c r="H165" s="37">
        <v>0</v>
      </c>
      <c r="I165" s="37">
        <v>0</v>
      </c>
      <c r="J165" s="527">
        <f t="shared" si="17"/>
        <v>0.0375494071146245</v>
      </c>
      <c r="K165" s="687">
        <f t="shared" si="18"/>
        <v>6.91</v>
      </c>
      <c r="L165" s="41">
        <v>259.47</v>
      </c>
      <c r="M165" s="686">
        <v>0</v>
      </c>
      <c r="N165" s="527">
        <v>0</v>
      </c>
      <c r="O165" s="543" t="e">
        <f t="shared" si="20"/>
        <v>#DIV/0!</v>
      </c>
      <c r="P165" s="528" t="e">
        <f t="shared" si="21"/>
        <v>#DIV/0!</v>
      </c>
      <c r="Q165" s="687" t="e">
        <f t="shared" si="22"/>
        <v>#DIV/0!</v>
      </c>
    </row>
    <row r="166" spans="1:17">
      <c r="A166" s="684">
        <f t="shared" si="19"/>
        <v>44361</v>
      </c>
      <c r="B166" s="670">
        <v>240.3</v>
      </c>
      <c r="C166" s="37">
        <v>984</v>
      </c>
      <c r="D166" s="37">
        <v>44</v>
      </c>
      <c r="E166" s="37">
        <v>0</v>
      </c>
      <c r="F166" s="670">
        <v>0</v>
      </c>
      <c r="G166" s="37">
        <v>0</v>
      </c>
      <c r="H166" s="37">
        <v>0</v>
      </c>
      <c r="I166" s="37">
        <v>5</v>
      </c>
      <c r="J166" s="527">
        <f t="shared" si="17"/>
        <v>0.0447154471544715</v>
      </c>
      <c r="K166" s="687">
        <f t="shared" si="18"/>
        <v>5.46136363636364</v>
      </c>
      <c r="L166" s="41">
        <v>244.21</v>
      </c>
      <c r="M166" s="686">
        <v>0</v>
      </c>
      <c r="N166" s="527">
        <v>0</v>
      </c>
      <c r="O166" s="543" t="e">
        <f t="shared" si="20"/>
        <v>#DIV/0!</v>
      </c>
      <c r="P166" s="528" t="e">
        <f t="shared" si="21"/>
        <v>#DIV/0!</v>
      </c>
      <c r="Q166" s="687" t="e">
        <f t="shared" si="22"/>
        <v>#DIV/0!</v>
      </c>
    </row>
    <row r="167" spans="1:17">
      <c r="A167" s="684">
        <f t="shared" si="19"/>
        <v>44362</v>
      </c>
      <c r="B167" s="670">
        <v>236.29</v>
      </c>
      <c r="C167" s="37">
        <v>922</v>
      </c>
      <c r="D167" s="37">
        <v>47</v>
      </c>
      <c r="E167" s="37">
        <v>0</v>
      </c>
      <c r="F167" s="670">
        <v>0</v>
      </c>
      <c r="G167" s="37">
        <v>4</v>
      </c>
      <c r="H167" s="37">
        <v>2</v>
      </c>
      <c r="I167" s="37">
        <v>1</v>
      </c>
      <c r="J167" s="527">
        <f t="shared" si="17"/>
        <v>0.0509761388286334</v>
      </c>
      <c r="K167" s="687">
        <f t="shared" si="18"/>
        <v>5.02744680851064</v>
      </c>
      <c r="L167" s="41">
        <v>256.28</v>
      </c>
      <c r="M167" s="686">
        <v>0</v>
      </c>
      <c r="N167" s="527">
        <v>0</v>
      </c>
      <c r="O167" s="543" t="e">
        <f t="shared" si="20"/>
        <v>#DIV/0!</v>
      </c>
      <c r="P167" s="528" t="e">
        <f t="shared" si="21"/>
        <v>#DIV/0!</v>
      </c>
      <c r="Q167" s="687">
        <f t="shared" si="22"/>
        <v>59.0725</v>
      </c>
    </row>
    <row r="168" spans="1:17">
      <c r="A168" s="684">
        <f t="shared" si="19"/>
        <v>44363</v>
      </c>
      <c r="B168" s="670">
        <v>244.25</v>
      </c>
      <c r="C168" s="37">
        <v>925</v>
      </c>
      <c r="D168" s="37">
        <v>46</v>
      </c>
      <c r="E168" s="37">
        <v>1</v>
      </c>
      <c r="F168" s="670">
        <v>0.2</v>
      </c>
      <c r="G168" s="37">
        <v>2</v>
      </c>
      <c r="H168" s="37">
        <v>0</v>
      </c>
      <c r="I168" s="37">
        <v>3</v>
      </c>
      <c r="J168" s="527">
        <f t="shared" si="17"/>
        <v>0.0497297297297297</v>
      </c>
      <c r="K168" s="687">
        <f t="shared" si="18"/>
        <v>5.30978260869565</v>
      </c>
      <c r="L168" s="41">
        <v>264.05</v>
      </c>
      <c r="M168" s="686">
        <v>0</v>
      </c>
      <c r="N168" s="527">
        <v>0</v>
      </c>
      <c r="O168" s="543">
        <f t="shared" si="20"/>
        <v>0.2</v>
      </c>
      <c r="P168" s="528">
        <f t="shared" si="21"/>
        <v>244.25</v>
      </c>
      <c r="Q168" s="687">
        <f t="shared" si="22"/>
        <v>122.125</v>
      </c>
    </row>
    <row r="169" spans="1:17">
      <c r="A169" s="684">
        <f t="shared" si="19"/>
        <v>44364</v>
      </c>
      <c r="B169" s="670">
        <v>273.38</v>
      </c>
      <c r="C169" s="37">
        <v>981</v>
      </c>
      <c r="D169" s="37">
        <v>28</v>
      </c>
      <c r="E169" s="37">
        <v>2</v>
      </c>
      <c r="F169" s="670">
        <v>0.21</v>
      </c>
      <c r="G169" s="37">
        <v>4</v>
      </c>
      <c r="H169" s="37">
        <v>1</v>
      </c>
      <c r="I169" s="37">
        <v>0</v>
      </c>
      <c r="J169" s="527">
        <f t="shared" si="17"/>
        <v>0.0285423037716616</v>
      </c>
      <c r="K169" s="687">
        <f t="shared" si="18"/>
        <v>9.76357142857143</v>
      </c>
      <c r="L169" s="41">
        <v>278.67</v>
      </c>
      <c r="M169" s="686">
        <v>0</v>
      </c>
      <c r="N169" s="527">
        <v>0</v>
      </c>
      <c r="O169" s="543">
        <f t="shared" si="20"/>
        <v>0.105</v>
      </c>
      <c r="P169" s="528">
        <f t="shared" si="21"/>
        <v>136.69</v>
      </c>
      <c r="Q169" s="687">
        <f t="shared" si="22"/>
        <v>68.345</v>
      </c>
    </row>
    <row r="170" spans="1:17">
      <c r="A170" s="684">
        <f t="shared" si="19"/>
        <v>44365</v>
      </c>
      <c r="B170" s="670">
        <v>297.35</v>
      </c>
      <c r="C170" s="37">
        <v>1006</v>
      </c>
      <c r="D170" s="37">
        <v>60</v>
      </c>
      <c r="E170" s="37">
        <v>5</v>
      </c>
      <c r="F170" s="670">
        <v>600.23</v>
      </c>
      <c r="G170" s="37">
        <v>6</v>
      </c>
      <c r="H170" s="37">
        <v>0</v>
      </c>
      <c r="I170" s="37">
        <v>0</v>
      </c>
      <c r="J170" s="527">
        <f t="shared" si="17"/>
        <v>0.0596421471172962</v>
      </c>
      <c r="K170" s="687">
        <f t="shared" si="18"/>
        <v>4.95583333333333</v>
      </c>
      <c r="L170" s="41">
        <v>295.58</v>
      </c>
      <c r="M170" s="686">
        <v>0</v>
      </c>
      <c r="N170" s="527">
        <v>0</v>
      </c>
      <c r="O170" s="543">
        <f t="shared" si="20"/>
        <v>120.046</v>
      </c>
      <c r="P170" s="528">
        <f t="shared" si="21"/>
        <v>59.47</v>
      </c>
      <c r="Q170" s="687">
        <f t="shared" si="22"/>
        <v>49.5583333333333</v>
      </c>
    </row>
    <row r="171" spans="1:17">
      <c r="A171" s="684">
        <f t="shared" si="19"/>
        <v>44366</v>
      </c>
      <c r="B171" s="670">
        <v>249.01</v>
      </c>
      <c r="C171" s="37">
        <v>981</v>
      </c>
      <c r="D171" s="37">
        <v>25</v>
      </c>
      <c r="E171" s="37">
        <v>0</v>
      </c>
      <c r="F171" s="670">
        <v>0</v>
      </c>
      <c r="G171" s="37">
        <v>0</v>
      </c>
      <c r="H171" s="37">
        <v>0</v>
      </c>
      <c r="I171" s="37">
        <v>0</v>
      </c>
      <c r="J171" s="527">
        <f t="shared" si="17"/>
        <v>0.0254841997961264</v>
      </c>
      <c r="K171" s="687">
        <f t="shared" si="18"/>
        <v>9.9604</v>
      </c>
      <c r="L171" s="41">
        <v>253.83</v>
      </c>
      <c r="M171" s="686">
        <v>0</v>
      </c>
      <c r="N171" s="527">
        <v>0</v>
      </c>
      <c r="O171" s="543" t="e">
        <f t="shared" si="20"/>
        <v>#DIV/0!</v>
      </c>
      <c r="P171" s="528" t="e">
        <f t="shared" si="21"/>
        <v>#DIV/0!</v>
      </c>
      <c r="Q171" s="687" t="e">
        <f t="shared" si="22"/>
        <v>#DIV/0!</v>
      </c>
    </row>
    <row r="172" spans="1:17">
      <c r="A172" s="684">
        <f t="shared" si="19"/>
        <v>44367</v>
      </c>
      <c r="B172" s="670">
        <v>233.05</v>
      </c>
      <c r="C172" s="37">
        <v>976</v>
      </c>
      <c r="D172" s="37">
        <v>29</v>
      </c>
      <c r="E172" s="37">
        <v>0</v>
      </c>
      <c r="F172" s="670">
        <v>0</v>
      </c>
      <c r="G172" s="37">
        <v>1</v>
      </c>
      <c r="H172" s="37">
        <v>3</v>
      </c>
      <c r="I172" s="37">
        <v>2</v>
      </c>
      <c r="J172" s="527">
        <f t="shared" si="17"/>
        <v>0.0297131147540984</v>
      </c>
      <c r="K172" s="687">
        <f t="shared" si="18"/>
        <v>8.03620689655173</v>
      </c>
      <c r="L172" s="41">
        <v>238.78</v>
      </c>
      <c r="M172" s="686">
        <v>0</v>
      </c>
      <c r="N172" s="527">
        <v>0</v>
      </c>
      <c r="O172" s="543" t="e">
        <f t="shared" si="20"/>
        <v>#DIV/0!</v>
      </c>
      <c r="P172" s="528" t="e">
        <f t="shared" si="21"/>
        <v>#DIV/0!</v>
      </c>
      <c r="Q172" s="687">
        <f t="shared" si="22"/>
        <v>233.05</v>
      </c>
    </row>
    <row r="173" spans="1:17">
      <c r="A173" s="684">
        <f t="shared" si="19"/>
        <v>44368</v>
      </c>
      <c r="B173" s="670">
        <v>186.96</v>
      </c>
      <c r="C173" s="37">
        <v>653</v>
      </c>
      <c r="D173" s="37">
        <v>29</v>
      </c>
      <c r="E173" s="37">
        <v>0</v>
      </c>
      <c r="F173" s="670">
        <v>0</v>
      </c>
      <c r="G173" s="37">
        <v>1</v>
      </c>
      <c r="H173" s="37">
        <v>0</v>
      </c>
      <c r="I173" s="37">
        <v>0</v>
      </c>
      <c r="J173" s="527">
        <f t="shared" si="17"/>
        <v>0.0444104134762634</v>
      </c>
      <c r="K173" s="687">
        <f t="shared" si="18"/>
        <v>6.44689655172414</v>
      </c>
      <c r="L173" s="41">
        <v>286.31</v>
      </c>
      <c r="M173" s="686">
        <v>0</v>
      </c>
      <c r="N173" s="527">
        <v>0</v>
      </c>
      <c r="O173" s="543" t="e">
        <f t="shared" si="20"/>
        <v>#DIV/0!</v>
      </c>
      <c r="P173" s="528" t="e">
        <f t="shared" si="21"/>
        <v>#DIV/0!</v>
      </c>
      <c r="Q173" s="687">
        <f t="shared" si="22"/>
        <v>186.96</v>
      </c>
    </row>
    <row r="174" spans="1:17">
      <c r="A174" s="684">
        <f t="shared" si="19"/>
        <v>44369</v>
      </c>
      <c r="B174" s="670">
        <v>146.3</v>
      </c>
      <c r="C174" s="37">
        <v>550</v>
      </c>
      <c r="D174" s="37">
        <v>17</v>
      </c>
      <c r="E174" s="37">
        <v>1</v>
      </c>
      <c r="F174" s="670">
        <v>0.01</v>
      </c>
      <c r="G174" s="37">
        <v>0</v>
      </c>
      <c r="H174" s="37">
        <v>0</v>
      </c>
      <c r="I174" s="37">
        <v>1</v>
      </c>
      <c r="J174" s="527">
        <f t="shared" si="17"/>
        <v>0.0309090909090909</v>
      </c>
      <c r="K174" s="687">
        <f t="shared" si="18"/>
        <v>8.60588235294118</v>
      </c>
      <c r="L174" s="41">
        <v>266</v>
      </c>
      <c r="M174" s="686">
        <v>0</v>
      </c>
      <c r="N174" s="527">
        <v>0</v>
      </c>
      <c r="O174" s="543">
        <f t="shared" si="20"/>
        <v>0.01</v>
      </c>
      <c r="P174" s="528">
        <f t="shared" si="21"/>
        <v>146.3</v>
      </c>
      <c r="Q174" s="687" t="e">
        <f t="shared" si="22"/>
        <v>#DIV/0!</v>
      </c>
    </row>
    <row r="175" spans="1:17">
      <c r="A175" s="684">
        <f t="shared" si="19"/>
        <v>44370</v>
      </c>
      <c r="B175" s="670">
        <v>207.1</v>
      </c>
      <c r="C175" s="37">
        <v>746</v>
      </c>
      <c r="D175" s="37">
        <v>41</v>
      </c>
      <c r="E175" s="37">
        <v>0</v>
      </c>
      <c r="F175" s="670">
        <v>0</v>
      </c>
      <c r="G175" s="37">
        <v>2</v>
      </c>
      <c r="H175" s="37">
        <v>1</v>
      </c>
      <c r="I175" s="37">
        <v>1</v>
      </c>
      <c r="J175" s="527">
        <f t="shared" si="17"/>
        <v>0.0549597855227882</v>
      </c>
      <c r="K175" s="687">
        <f t="shared" si="18"/>
        <v>5.05121951219512</v>
      </c>
      <c r="L175" s="41">
        <v>277.61</v>
      </c>
      <c r="M175" s="686">
        <v>0</v>
      </c>
      <c r="N175" s="527">
        <v>0</v>
      </c>
      <c r="O175" s="543" t="e">
        <f t="shared" si="20"/>
        <v>#DIV/0!</v>
      </c>
      <c r="P175" s="528" t="e">
        <f t="shared" si="21"/>
        <v>#DIV/0!</v>
      </c>
      <c r="Q175" s="687">
        <f t="shared" si="22"/>
        <v>103.55</v>
      </c>
    </row>
    <row r="176" spans="1:17">
      <c r="A176" s="684">
        <f t="shared" si="19"/>
        <v>44371</v>
      </c>
      <c r="B176" s="670">
        <v>152</v>
      </c>
      <c r="C176" s="37">
        <v>601</v>
      </c>
      <c r="D176" s="37">
        <v>26</v>
      </c>
      <c r="E176" s="37">
        <v>0</v>
      </c>
      <c r="F176" s="670">
        <v>0</v>
      </c>
      <c r="G176" s="37">
        <v>2</v>
      </c>
      <c r="H176" s="37">
        <v>0</v>
      </c>
      <c r="I176" s="37">
        <v>3</v>
      </c>
      <c r="J176" s="527">
        <f t="shared" si="17"/>
        <v>0.043261231281198</v>
      </c>
      <c r="K176" s="687">
        <f t="shared" si="18"/>
        <v>5.84615384615385</v>
      </c>
      <c r="L176" s="41">
        <v>252.91</v>
      </c>
      <c r="M176" s="686">
        <v>0</v>
      </c>
      <c r="N176" s="527">
        <v>0</v>
      </c>
      <c r="O176" s="543" t="e">
        <f t="shared" si="20"/>
        <v>#DIV/0!</v>
      </c>
      <c r="P176" s="528" t="e">
        <f t="shared" si="21"/>
        <v>#DIV/0!</v>
      </c>
      <c r="Q176" s="687">
        <f t="shared" si="22"/>
        <v>76</v>
      </c>
    </row>
    <row r="177" spans="1:17">
      <c r="A177" s="684">
        <f t="shared" si="19"/>
        <v>44372</v>
      </c>
      <c r="B177" s="670">
        <v>212.56</v>
      </c>
      <c r="C177" s="37">
        <v>839</v>
      </c>
      <c r="D177" s="37">
        <v>33</v>
      </c>
      <c r="E177" s="37">
        <v>0</v>
      </c>
      <c r="F177" s="670">
        <v>0</v>
      </c>
      <c r="G177" s="37">
        <v>2</v>
      </c>
      <c r="H177" s="37">
        <v>0</v>
      </c>
      <c r="I177" s="37">
        <v>2</v>
      </c>
      <c r="J177" s="527">
        <f t="shared" si="17"/>
        <v>0.0393325387365912</v>
      </c>
      <c r="K177" s="687">
        <f t="shared" si="18"/>
        <v>6.44121212121212</v>
      </c>
      <c r="L177" s="41">
        <v>253.35</v>
      </c>
      <c r="M177" s="686">
        <v>0</v>
      </c>
      <c r="N177" s="527">
        <v>0</v>
      </c>
      <c r="O177" s="543" t="e">
        <f t="shared" si="20"/>
        <v>#DIV/0!</v>
      </c>
      <c r="P177" s="528" t="e">
        <f t="shared" si="21"/>
        <v>#DIV/0!</v>
      </c>
      <c r="Q177" s="687">
        <f t="shared" si="22"/>
        <v>106.28</v>
      </c>
    </row>
    <row r="178" spans="1:17">
      <c r="A178" s="684">
        <f t="shared" si="19"/>
        <v>44373</v>
      </c>
      <c r="B178" s="670">
        <v>177.86</v>
      </c>
      <c r="C178" s="37">
        <v>703</v>
      </c>
      <c r="D178" s="37">
        <v>20</v>
      </c>
      <c r="E178" s="37">
        <v>0</v>
      </c>
      <c r="F178" s="670">
        <v>0</v>
      </c>
      <c r="G178" s="37">
        <v>1</v>
      </c>
      <c r="H178" s="37">
        <v>2</v>
      </c>
      <c r="I178" s="37">
        <v>2</v>
      </c>
      <c r="J178" s="527">
        <f t="shared" si="17"/>
        <v>0.0284495021337127</v>
      </c>
      <c r="K178" s="687">
        <f t="shared" si="18"/>
        <v>8.893</v>
      </c>
      <c r="L178" s="41">
        <v>253</v>
      </c>
      <c r="M178" s="686">
        <v>0</v>
      </c>
      <c r="N178" s="527">
        <v>0</v>
      </c>
      <c r="O178" s="543" t="e">
        <f t="shared" si="20"/>
        <v>#DIV/0!</v>
      </c>
      <c r="P178" s="528" t="e">
        <f t="shared" si="21"/>
        <v>#DIV/0!</v>
      </c>
      <c r="Q178" s="687">
        <f t="shared" si="22"/>
        <v>177.86</v>
      </c>
    </row>
    <row r="179" spans="1:17">
      <c r="A179" s="684">
        <f t="shared" si="19"/>
        <v>44374</v>
      </c>
      <c r="B179" s="670">
        <v>187.43</v>
      </c>
      <c r="C179" s="37">
        <v>678</v>
      </c>
      <c r="D179" s="37">
        <v>30</v>
      </c>
      <c r="E179" s="37">
        <v>0</v>
      </c>
      <c r="F179" s="670">
        <v>0</v>
      </c>
      <c r="G179" s="37">
        <v>4</v>
      </c>
      <c r="H179" s="37">
        <v>0</v>
      </c>
      <c r="I179" s="37">
        <v>0</v>
      </c>
      <c r="J179" s="527">
        <f t="shared" si="17"/>
        <v>0.0442477876106195</v>
      </c>
      <c r="K179" s="687">
        <f t="shared" si="18"/>
        <v>6.24766666666667</v>
      </c>
      <c r="L179" s="41">
        <v>276.45</v>
      </c>
      <c r="M179" s="686">
        <v>0</v>
      </c>
      <c r="N179" s="527">
        <v>0</v>
      </c>
      <c r="O179" s="543" t="e">
        <f t="shared" si="20"/>
        <v>#DIV/0!</v>
      </c>
      <c r="P179" s="528" t="e">
        <f t="shared" si="21"/>
        <v>#DIV/0!</v>
      </c>
      <c r="Q179" s="687">
        <f t="shared" si="22"/>
        <v>46.8575</v>
      </c>
    </row>
    <row r="180" spans="1:17">
      <c r="A180" s="684">
        <f t="shared" si="19"/>
        <v>44375</v>
      </c>
      <c r="B180" s="670">
        <v>275.7</v>
      </c>
      <c r="C180" s="37">
        <v>909</v>
      </c>
      <c r="D180" s="37">
        <v>32</v>
      </c>
      <c r="E180" s="37">
        <v>0</v>
      </c>
      <c r="F180" s="670">
        <v>0</v>
      </c>
      <c r="G180" s="37">
        <v>0</v>
      </c>
      <c r="H180" s="37">
        <v>2</v>
      </c>
      <c r="I180" s="37">
        <v>1</v>
      </c>
      <c r="J180" s="527">
        <f t="shared" si="17"/>
        <v>0.0352035203520352</v>
      </c>
      <c r="K180" s="687">
        <f t="shared" si="18"/>
        <v>8.615625</v>
      </c>
      <c r="L180" s="41">
        <v>303.3</v>
      </c>
      <c r="M180" s="686">
        <v>0</v>
      </c>
      <c r="N180" s="527">
        <v>0</v>
      </c>
      <c r="O180" s="543" t="e">
        <f t="shared" si="20"/>
        <v>#DIV/0!</v>
      </c>
      <c r="P180" s="528" t="e">
        <f t="shared" si="21"/>
        <v>#DIV/0!</v>
      </c>
      <c r="Q180" s="687" t="e">
        <f t="shared" si="22"/>
        <v>#DIV/0!</v>
      </c>
    </row>
    <row r="181" spans="1:17">
      <c r="A181" s="684">
        <f t="shared" si="19"/>
        <v>44376</v>
      </c>
      <c r="B181" s="670">
        <v>203.76</v>
      </c>
      <c r="C181" s="37">
        <v>736</v>
      </c>
      <c r="D181" s="37">
        <v>39</v>
      </c>
      <c r="E181" s="37">
        <v>1</v>
      </c>
      <c r="F181" s="670">
        <v>16992</v>
      </c>
      <c r="G181" s="37">
        <v>4</v>
      </c>
      <c r="H181" s="37">
        <v>0</v>
      </c>
      <c r="I181" s="37">
        <v>1</v>
      </c>
      <c r="J181" s="527">
        <f t="shared" si="17"/>
        <v>0.0529891304347826</v>
      </c>
      <c r="K181" s="687">
        <f t="shared" si="18"/>
        <v>5.22461538461538</v>
      </c>
      <c r="L181" s="41">
        <v>276.85</v>
      </c>
      <c r="M181" s="686">
        <v>0</v>
      </c>
      <c r="N181" s="527">
        <v>0</v>
      </c>
      <c r="O181" s="543">
        <f t="shared" si="20"/>
        <v>16992</v>
      </c>
      <c r="P181" s="528">
        <f t="shared" si="21"/>
        <v>203.76</v>
      </c>
      <c r="Q181" s="687">
        <f t="shared" si="22"/>
        <v>50.94</v>
      </c>
    </row>
    <row r="182" spans="1:17">
      <c r="A182" s="684">
        <f t="shared" si="19"/>
        <v>44377</v>
      </c>
      <c r="B182" s="670">
        <v>205.21</v>
      </c>
      <c r="C182" s="37">
        <v>726</v>
      </c>
      <c r="D182" s="37">
        <v>33</v>
      </c>
      <c r="E182" s="37">
        <v>0</v>
      </c>
      <c r="F182" s="670">
        <v>0</v>
      </c>
      <c r="G182" s="37">
        <v>1</v>
      </c>
      <c r="H182" s="37">
        <v>0</v>
      </c>
      <c r="I182" s="37">
        <v>1</v>
      </c>
      <c r="J182" s="527">
        <f t="shared" si="17"/>
        <v>0.0454545454545455</v>
      </c>
      <c r="K182" s="687">
        <f t="shared" si="18"/>
        <v>6.21848484848485</v>
      </c>
      <c r="L182" s="41">
        <v>282.66</v>
      </c>
      <c r="M182" s="686">
        <v>0</v>
      </c>
      <c r="N182" s="527">
        <v>0</v>
      </c>
      <c r="O182" s="543" t="e">
        <f t="shared" si="20"/>
        <v>#DIV/0!</v>
      </c>
      <c r="P182" s="528" t="e">
        <f t="shared" si="21"/>
        <v>#DIV/0!</v>
      </c>
      <c r="Q182" s="687">
        <f t="shared" si="22"/>
        <v>205.21</v>
      </c>
    </row>
    <row r="183" spans="1:17">
      <c r="A183" s="684">
        <f t="shared" si="19"/>
        <v>44378</v>
      </c>
      <c r="B183" s="670">
        <v>184.78</v>
      </c>
      <c r="C183" s="37">
        <v>848</v>
      </c>
      <c r="D183" s="37">
        <v>35</v>
      </c>
      <c r="E183" s="37">
        <v>1</v>
      </c>
      <c r="F183" s="670">
        <v>0.1</v>
      </c>
      <c r="G183" s="37">
        <v>0</v>
      </c>
      <c r="H183" s="37">
        <v>2</v>
      </c>
      <c r="I183" s="37">
        <v>0</v>
      </c>
      <c r="J183" s="527">
        <f t="shared" si="17"/>
        <v>0.0412735849056604</v>
      </c>
      <c r="K183" s="687">
        <f t="shared" si="18"/>
        <v>5.27942857142857</v>
      </c>
      <c r="L183" s="41">
        <v>217.9</v>
      </c>
      <c r="M183" s="686">
        <v>0</v>
      </c>
      <c r="N183" s="527">
        <v>0</v>
      </c>
      <c r="O183" s="543">
        <f t="shared" si="20"/>
        <v>0.1</v>
      </c>
      <c r="P183" s="528">
        <f t="shared" si="21"/>
        <v>184.78</v>
      </c>
      <c r="Q183" s="687" t="e">
        <f t="shared" si="22"/>
        <v>#DIV/0!</v>
      </c>
    </row>
    <row r="184" spans="1:17">
      <c r="A184" s="684">
        <f t="shared" si="19"/>
        <v>44379</v>
      </c>
      <c r="B184" s="670">
        <v>204.02</v>
      </c>
      <c r="C184" s="37">
        <v>960</v>
      </c>
      <c r="D184" s="37">
        <v>29</v>
      </c>
      <c r="E184" s="37">
        <v>0</v>
      </c>
      <c r="F184" s="670">
        <v>0</v>
      </c>
      <c r="G184" s="37">
        <v>2</v>
      </c>
      <c r="H184" s="37">
        <v>0</v>
      </c>
      <c r="I184" s="37">
        <v>2</v>
      </c>
      <c r="J184" s="527">
        <f t="shared" si="17"/>
        <v>0.0302083333333333</v>
      </c>
      <c r="K184" s="687">
        <f t="shared" si="18"/>
        <v>7.0351724137931</v>
      </c>
      <c r="L184" s="41">
        <v>212.52</v>
      </c>
      <c r="M184" s="686">
        <v>0</v>
      </c>
      <c r="N184" s="527">
        <v>0</v>
      </c>
      <c r="O184" s="543" t="e">
        <f t="shared" si="20"/>
        <v>#DIV/0!</v>
      </c>
      <c r="P184" s="528" t="e">
        <f t="shared" si="21"/>
        <v>#DIV/0!</v>
      </c>
      <c r="Q184" s="687">
        <f t="shared" si="22"/>
        <v>102.01</v>
      </c>
    </row>
    <row r="185" spans="1:17">
      <c r="A185" s="684">
        <f t="shared" si="19"/>
        <v>44380</v>
      </c>
      <c r="B185" s="670">
        <v>242.86</v>
      </c>
      <c r="C185" s="37">
        <v>958</v>
      </c>
      <c r="D185" s="37">
        <v>41</v>
      </c>
      <c r="E185" s="37">
        <v>1</v>
      </c>
      <c r="F185" s="670">
        <v>1800</v>
      </c>
      <c r="G185" s="37">
        <v>3</v>
      </c>
      <c r="H185" s="37">
        <v>2</v>
      </c>
      <c r="I185" s="37">
        <v>4</v>
      </c>
      <c r="J185" s="527">
        <f t="shared" si="17"/>
        <v>0.0427974947807933</v>
      </c>
      <c r="K185" s="687">
        <f t="shared" si="18"/>
        <v>5.92341463414634</v>
      </c>
      <c r="L185" s="41">
        <v>253.51</v>
      </c>
      <c r="M185" s="686">
        <v>0</v>
      </c>
      <c r="N185" s="527">
        <v>0</v>
      </c>
      <c r="O185" s="543">
        <f t="shared" si="20"/>
        <v>1800</v>
      </c>
      <c r="P185" s="528">
        <f t="shared" si="21"/>
        <v>242.86</v>
      </c>
      <c r="Q185" s="687">
        <f t="shared" si="22"/>
        <v>80.9533333333333</v>
      </c>
    </row>
    <row r="186" spans="1:17">
      <c r="A186" s="684">
        <f t="shared" si="19"/>
        <v>44381</v>
      </c>
      <c r="B186" s="670">
        <v>238.56</v>
      </c>
      <c r="C186" s="37">
        <v>1009</v>
      </c>
      <c r="D186" s="37">
        <v>30</v>
      </c>
      <c r="E186" s="37">
        <v>0</v>
      </c>
      <c r="F186" s="670">
        <v>0</v>
      </c>
      <c r="G186" s="37">
        <v>0</v>
      </c>
      <c r="H186" s="37">
        <v>0</v>
      </c>
      <c r="I186" s="37">
        <v>0</v>
      </c>
      <c r="J186" s="527">
        <f t="shared" si="17"/>
        <v>0.0297324083250743</v>
      </c>
      <c r="K186" s="687">
        <f t="shared" si="18"/>
        <v>7.952</v>
      </c>
      <c r="L186" s="41">
        <v>238.56</v>
      </c>
      <c r="M186" s="686">
        <v>0</v>
      </c>
      <c r="N186" s="527">
        <v>0</v>
      </c>
      <c r="O186" s="543" t="e">
        <f t="shared" si="20"/>
        <v>#DIV/0!</v>
      </c>
      <c r="P186" s="528" t="e">
        <f t="shared" si="21"/>
        <v>#DIV/0!</v>
      </c>
      <c r="Q186" s="687" t="e">
        <f t="shared" si="22"/>
        <v>#DIV/0!</v>
      </c>
    </row>
    <row r="187" spans="1:17">
      <c r="A187" s="684">
        <f t="shared" si="19"/>
        <v>44382</v>
      </c>
      <c r="B187" s="670">
        <v>253.17</v>
      </c>
      <c r="C187" s="37">
        <v>1109</v>
      </c>
      <c r="D187" s="37">
        <v>38</v>
      </c>
      <c r="E187" s="37">
        <v>1</v>
      </c>
      <c r="F187" s="670">
        <v>0.1</v>
      </c>
      <c r="G187" s="37">
        <v>1</v>
      </c>
      <c r="H187" s="37">
        <v>0</v>
      </c>
      <c r="I187" s="37">
        <v>1</v>
      </c>
      <c r="J187" s="527">
        <f t="shared" si="17"/>
        <v>0.0342651036970243</v>
      </c>
      <c r="K187" s="687">
        <f t="shared" si="18"/>
        <v>6.66236842105263</v>
      </c>
      <c r="L187" s="41">
        <v>228.29</v>
      </c>
      <c r="M187" s="686">
        <v>0</v>
      </c>
      <c r="N187" s="527">
        <v>0</v>
      </c>
      <c r="O187" s="543">
        <f t="shared" si="20"/>
        <v>0.1</v>
      </c>
      <c r="P187" s="528">
        <f t="shared" si="21"/>
        <v>253.17</v>
      </c>
      <c r="Q187" s="687">
        <f t="shared" si="22"/>
        <v>253.17</v>
      </c>
    </row>
    <row r="188" spans="1:17">
      <c r="A188" s="684">
        <f t="shared" si="19"/>
        <v>44383</v>
      </c>
      <c r="B188" s="670">
        <v>282.84</v>
      </c>
      <c r="C188" s="37">
        <v>1144</v>
      </c>
      <c r="D188" s="37">
        <v>33</v>
      </c>
      <c r="E188" s="37">
        <v>1</v>
      </c>
      <c r="F188" s="670">
        <v>1</v>
      </c>
      <c r="G188" s="37">
        <v>3</v>
      </c>
      <c r="H188" s="37">
        <v>0</v>
      </c>
      <c r="I188" s="37">
        <v>1</v>
      </c>
      <c r="J188" s="527">
        <f t="shared" si="17"/>
        <v>0.0288461538461538</v>
      </c>
      <c r="K188" s="687">
        <f t="shared" si="18"/>
        <v>8.57090909090909</v>
      </c>
      <c r="L188" s="41">
        <v>247.24</v>
      </c>
      <c r="M188" s="686">
        <v>0</v>
      </c>
      <c r="N188" s="527">
        <v>0</v>
      </c>
      <c r="O188" s="543">
        <f t="shared" si="20"/>
        <v>1</v>
      </c>
      <c r="P188" s="528">
        <f t="shared" si="21"/>
        <v>282.84</v>
      </c>
      <c r="Q188" s="687">
        <f t="shared" si="22"/>
        <v>94.28</v>
      </c>
    </row>
    <row r="189" spans="1:17">
      <c r="A189" s="684">
        <f t="shared" si="19"/>
        <v>44384</v>
      </c>
      <c r="B189" s="670">
        <v>270.43</v>
      </c>
      <c r="C189" s="37">
        <v>1051</v>
      </c>
      <c r="D189" s="37">
        <v>35</v>
      </c>
      <c r="E189" s="37">
        <v>1</v>
      </c>
      <c r="F189" s="670">
        <v>0.01</v>
      </c>
      <c r="G189" s="37">
        <v>1</v>
      </c>
      <c r="H189" s="37">
        <v>1</v>
      </c>
      <c r="I189" s="37">
        <v>2</v>
      </c>
      <c r="J189" s="527">
        <f t="shared" si="17"/>
        <v>0.0333016175071361</v>
      </c>
      <c r="K189" s="687">
        <f t="shared" si="18"/>
        <v>7.72657142857143</v>
      </c>
      <c r="L189" s="41">
        <v>257.31</v>
      </c>
      <c r="M189" s="686">
        <v>0</v>
      </c>
      <c r="N189" s="527">
        <v>0</v>
      </c>
      <c r="O189" s="543">
        <f t="shared" si="20"/>
        <v>0.01</v>
      </c>
      <c r="P189" s="528">
        <f t="shared" si="21"/>
        <v>270.43</v>
      </c>
      <c r="Q189" s="687">
        <f t="shared" si="22"/>
        <v>270.43</v>
      </c>
    </row>
    <row r="190" spans="1:17">
      <c r="A190" s="684">
        <f t="shared" si="19"/>
        <v>44385</v>
      </c>
      <c r="B190" s="670">
        <v>344.95</v>
      </c>
      <c r="C190" s="37">
        <v>1623</v>
      </c>
      <c r="D190" s="37">
        <v>46</v>
      </c>
      <c r="E190" s="37">
        <v>0</v>
      </c>
      <c r="F190" s="670">
        <v>0</v>
      </c>
      <c r="G190" s="37">
        <v>3</v>
      </c>
      <c r="H190" s="37">
        <v>0</v>
      </c>
      <c r="I190" s="37">
        <v>1</v>
      </c>
      <c r="J190" s="527">
        <f t="shared" si="17"/>
        <v>0.0283425754775108</v>
      </c>
      <c r="K190" s="687">
        <f t="shared" si="18"/>
        <v>7.49891304347826</v>
      </c>
      <c r="L190" s="41">
        <v>212.54</v>
      </c>
      <c r="M190" s="686">
        <v>0</v>
      </c>
      <c r="N190" s="527">
        <v>0</v>
      </c>
      <c r="O190" s="543" t="e">
        <f t="shared" si="20"/>
        <v>#DIV/0!</v>
      </c>
      <c r="P190" s="528" t="e">
        <f t="shared" si="21"/>
        <v>#DIV/0!</v>
      </c>
      <c r="Q190" s="687">
        <f t="shared" si="22"/>
        <v>114.983333333333</v>
      </c>
    </row>
    <row r="191" spans="1:17">
      <c r="A191" s="684">
        <f t="shared" si="19"/>
        <v>44386</v>
      </c>
      <c r="B191" s="670">
        <v>252.88</v>
      </c>
      <c r="C191" s="37">
        <v>1143</v>
      </c>
      <c r="D191" s="37">
        <v>28</v>
      </c>
      <c r="E191" s="37">
        <v>0</v>
      </c>
      <c r="F191" s="670">
        <v>0</v>
      </c>
      <c r="G191" s="37">
        <v>3</v>
      </c>
      <c r="H191" s="37">
        <v>0</v>
      </c>
      <c r="I191" s="37">
        <v>2</v>
      </c>
      <c r="J191" s="527">
        <f t="shared" si="17"/>
        <v>0.0244969378827647</v>
      </c>
      <c r="K191" s="687">
        <f t="shared" si="18"/>
        <v>9.03142857142857</v>
      </c>
      <c r="L191" s="41">
        <v>221.24</v>
      </c>
      <c r="M191" s="686">
        <v>0</v>
      </c>
      <c r="N191" s="527">
        <v>0</v>
      </c>
      <c r="O191" s="543" t="e">
        <f t="shared" si="20"/>
        <v>#DIV/0!</v>
      </c>
      <c r="P191" s="528" t="e">
        <f t="shared" si="21"/>
        <v>#DIV/0!</v>
      </c>
      <c r="Q191" s="687">
        <f t="shared" si="22"/>
        <v>84.2933333333333</v>
      </c>
    </row>
    <row r="192" spans="1:17">
      <c r="A192" s="684">
        <f t="shared" si="19"/>
        <v>44387</v>
      </c>
      <c r="B192" s="670">
        <v>271.91</v>
      </c>
      <c r="C192" s="37">
        <v>1215</v>
      </c>
      <c r="D192" s="37">
        <v>30</v>
      </c>
      <c r="E192" s="37">
        <v>0</v>
      </c>
      <c r="F192" s="670">
        <v>0</v>
      </c>
      <c r="G192" s="37">
        <v>3</v>
      </c>
      <c r="H192" s="37">
        <v>1</v>
      </c>
      <c r="I192" s="37">
        <v>1</v>
      </c>
      <c r="J192" s="527">
        <f t="shared" si="17"/>
        <v>0.0246913580246914</v>
      </c>
      <c r="K192" s="687">
        <f t="shared" si="18"/>
        <v>9.06366666666667</v>
      </c>
      <c r="L192" s="41">
        <v>223.79</v>
      </c>
      <c r="M192" s="686">
        <v>0</v>
      </c>
      <c r="N192" s="527">
        <v>0</v>
      </c>
      <c r="O192" s="543" t="e">
        <f t="shared" si="20"/>
        <v>#DIV/0!</v>
      </c>
      <c r="P192" s="528" t="e">
        <f t="shared" si="21"/>
        <v>#DIV/0!</v>
      </c>
      <c r="Q192" s="687">
        <f t="shared" si="22"/>
        <v>90.6366666666667</v>
      </c>
    </row>
    <row r="193" spans="1:17">
      <c r="A193" s="684">
        <f t="shared" si="19"/>
        <v>44388</v>
      </c>
      <c r="B193" s="670">
        <v>295.38</v>
      </c>
      <c r="C193" s="37">
        <v>1192</v>
      </c>
      <c r="D193" s="37">
        <v>38</v>
      </c>
      <c r="E193" s="37">
        <v>0</v>
      </c>
      <c r="F193" s="670">
        <v>0</v>
      </c>
      <c r="G193" s="37">
        <v>2</v>
      </c>
      <c r="H193" s="37">
        <v>0</v>
      </c>
      <c r="I193" s="37">
        <v>1</v>
      </c>
      <c r="J193" s="527">
        <f t="shared" si="17"/>
        <v>0.0318791946308725</v>
      </c>
      <c r="K193" s="687">
        <f t="shared" si="18"/>
        <v>7.77315789473684</v>
      </c>
      <c r="L193" s="41">
        <v>247.8</v>
      </c>
      <c r="M193" s="686">
        <v>0</v>
      </c>
      <c r="N193" s="527">
        <v>0</v>
      </c>
      <c r="O193" s="543" t="e">
        <f t="shared" si="20"/>
        <v>#DIV/0!</v>
      </c>
      <c r="P193" s="528" t="e">
        <f t="shared" si="21"/>
        <v>#DIV/0!</v>
      </c>
      <c r="Q193" s="687">
        <f t="shared" si="22"/>
        <v>147.69</v>
      </c>
    </row>
    <row r="194" spans="1:17">
      <c r="A194" s="684">
        <f t="shared" si="19"/>
        <v>44389</v>
      </c>
      <c r="B194" s="670">
        <v>286.92</v>
      </c>
      <c r="C194" s="37">
        <v>1179</v>
      </c>
      <c r="D194" s="37">
        <v>40</v>
      </c>
      <c r="E194" s="37">
        <v>0</v>
      </c>
      <c r="F194" s="670">
        <v>0</v>
      </c>
      <c r="G194" s="37">
        <v>1</v>
      </c>
      <c r="H194" s="37">
        <v>0</v>
      </c>
      <c r="I194" s="37">
        <v>0</v>
      </c>
      <c r="J194" s="527">
        <f t="shared" ref="J194:J257" si="23">D194/C194</f>
        <v>0.0339270568278202</v>
      </c>
      <c r="K194" s="687">
        <f t="shared" ref="K194:K257" si="24">B194/D194</f>
        <v>7.173</v>
      </c>
      <c r="L194" s="41">
        <v>243.36</v>
      </c>
      <c r="M194" s="686">
        <v>0</v>
      </c>
      <c r="N194" s="527">
        <v>0</v>
      </c>
      <c r="O194" s="543" t="e">
        <f t="shared" si="20"/>
        <v>#DIV/0!</v>
      </c>
      <c r="P194" s="528" t="e">
        <f t="shared" si="21"/>
        <v>#DIV/0!</v>
      </c>
      <c r="Q194" s="687">
        <f t="shared" si="22"/>
        <v>286.92</v>
      </c>
    </row>
    <row r="195" spans="1:17">
      <c r="A195" s="684">
        <f t="shared" si="19"/>
        <v>44390</v>
      </c>
      <c r="B195" s="670">
        <v>282.66</v>
      </c>
      <c r="C195" s="37">
        <v>1127</v>
      </c>
      <c r="D195" s="37">
        <v>39</v>
      </c>
      <c r="E195" s="37">
        <v>0</v>
      </c>
      <c r="F195" s="670">
        <v>0</v>
      </c>
      <c r="G195" s="37">
        <v>0</v>
      </c>
      <c r="H195" s="37">
        <v>0</v>
      </c>
      <c r="I195" s="37">
        <v>2</v>
      </c>
      <c r="J195" s="527">
        <f t="shared" si="23"/>
        <v>0.0346051464063886</v>
      </c>
      <c r="K195" s="687">
        <f t="shared" si="24"/>
        <v>7.24769230769231</v>
      </c>
      <c r="L195" s="41">
        <v>282.66</v>
      </c>
      <c r="M195" s="686">
        <v>0</v>
      </c>
      <c r="N195" s="527">
        <v>0</v>
      </c>
      <c r="O195" s="543" t="e">
        <f t="shared" si="20"/>
        <v>#DIV/0!</v>
      </c>
      <c r="P195" s="528" t="e">
        <f t="shared" si="21"/>
        <v>#DIV/0!</v>
      </c>
      <c r="Q195" s="687" t="e">
        <f t="shared" si="22"/>
        <v>#DIV/0!</v>
      </c>
    </row>
    <row r="196" spans="1:17">
      <c r="A196" s="684">
        <f t="shared" si="19"/>
        <v>44391</v>
      </c>
      <c r="B196" s="670">
        <v>293.9</v>
      </c>
      <c r="C196" s="37">
        <v>1065</v>
      </c>
      <c r="D196" s="37">
        <v>22</v>
      </c>
      <c r="E196" s="37">
        <v>0</v>
      </c>
      <c r="F196" s="670">
        <v>0</v>
      </c>
      <c r="G196" s="37">
        <v>1</v>
      </c>
      <c r="H196" s="37">
        <v>2</v>
      </c>
      <c r="I196" s="37">
        <v>2</v>
      </c>
      <c r="J196" s="527">
        <f t="shared" si="23"/>
        <v>0.0206572769953052</v>
      </c>
      <c r="K196" s="687">
        <f t="shared" si="24"/>
        <v>13.3590909090909</v>
      </c>
      <c r="L196" s="41">
        <v>275.96</v>
      </c>
      <c r="M196" s="686">
        <v>0</v>
      </c>
      <c r="N196" s="527">
        <v>0</v>
      </c>
      <c r="O196" s="543" t="e">
        <f t="shared" si="20"/>
        <v>#DIV/0!</v>
      </c>
      <c r="P196" s="528" t="e">
        <f t="shared" si="21"/>
        <v>#DIV/0!</v>
      </c>
      <c r="Q196" s="687">
        <f t="shared" si="22"/>
        <v>293.9</v>
      </c>
    </row>
    <row r="197" spans="1:17">
      <c r="A197" s="684">
        <f t="shared" si="19"/>
        <v>44392</v>
      </c>
      <c r="B197" s="670">
        <v>243.18</v>
      </c>
      <c r="C197" s="37">
        <v>883</v>
      </c>
      <c r="D197" s="37">
        <v>41</v>
      </c>
      <c r="E197" s="37">
        <v>0</v>
      </c>
      <c r="F197" s="670">
        <v>0</v>
      </c>
      <c r="G197" s="37">
        <v>4</v>
      </c>
      <c r="H197" s="37">
        <v>1</v>
      </c>
      <c r="I197" s="37">
        <v>2</v>
      </c>
      <c r="J197" s="527">
        <f t="shared" si="23"/>
        <v>0.0464326160815402</v>
      </c>
      <c r="K197" s="687">
        <f t="shared" si="24"/>
        <v>5.93121951219512</v>
      </c>
      <c r="L197" s="41">
        <v>275.4</v>
      </c>
      <c r="M197" s="686">
        <v>0</v>
      </c>
      <c r="N197" s="527">
        <v>0</v>
      </c>
      <c r="O197" s="543" t="e">
        <f t="shared" si="20"/>
        <v>#DIV/0!</v>
      </c>
      <c r="P197" s="528" t="e">
        <f t="shared" si="21"/>
        <v>#DIV/0!</v>
      </c>
      <c r="Q197" s="687">
        <f t="shared" si="22"/>
        <v>60.795</v>
      </c>
    </row>
    <row r="198" spans="1:17">
      <c r="A198" s="684">
        <f t="shared" si="19"/>
        <v>44393</v>
      </c>
      <c r="B198" s="670">
        <v>207.1</v>
      </c>
      <c r="C198" s="37">
        <v>964</v>
      </c>
      <c r="D198" s="37">
        <v>30</v>
      </c>
      <c r="E198" s="37">
        <v>0</v>
      </c>
      <c r="F198" s="670">
        <v>0</v>
      </c>
      <c r="G198" s="37">
        <v>2</v>
      </c>
      <c r="H198" s="37">
        <v>0</v>
      </c>
      <c r="I198" s="37">
        <v>3</v>
      </c>
      <c r="J198" s="527">
        <f t="shared" si="23"/>
        <v>0.0311203319502075</v>
      </c>
      <c r="K198" s="687">
        <f t="shared" si="24"/>
        <v>6.90333333333333</v>
      </c>
      <c r="L198" s="41">
        <v>214.83</v>
      </c>
      <c r="M198" s="686">
        <v>0</v>
      </c>
      <c r="N198" s="527">
        <v>0</v>
      </c>
      <c r="O198" s="543" t="e">
        <f t="shared" si="20"/>
        <v>#DIV/0!</v>
      </c>
      <c r="P198" s="528" t="e">
        <f t="shared" si="21"/>
        <v>#DIV/0!</v>
      </c>
      <c r="Q198" s="687">
        <f t="shared" si="22"/>
        <v>103.55</v>
      </c>
    </row>
    <row r="199" spans="1:17">
      <c r="A199" s="684">
        <f t="shared" si="19"/>
        <v>44394</v>
      </c>
      <c r="B199" s="670">
        <v>215.72</v>
      </c>
      <c r="C199" s="37">
        <v>906</v>
      </c>
      <c r="D199" s="37">
        <v>34</v>
      </c>
      <c r="E199" s="37">
        <v>0</v>
      </c>
      <c r="F199" s="670">
        <v>0</v>
      </c>
      <c r="G199" s="37">
        <v>0</v>
      </c>
      <c r="H199" s="37">
        <v>2</v>
      </c>
      <c r="I199" s="37">
        <v>1</v>
      </c>
      <c r="J199" s="527">
        <f t="shared" si="23"/>
        <v>0.0375275938189845</v>
      </c>
      <c r="K199" s="687">
        <f t="shared" si="24"/>
        <v>6.34470588235294</v>
      </c>
      <c r="L199" s="41">
        <v>238.1</v>
      </c>
      <c r="M199" s="686">
        <v>0</v>
      </c>
      <c r="N199" s="527">
        <v>0</v>
      </c>
      <c r="O199" s="543" t="e">
        <f t="shared" si="20"/>
        <v>#DIV/0!</v>
      </c>
      <c r="P199" s="528" t="e">
        <f t="shared" si="21"/>
        <v>#DIV/0!</v>
      </c>
      <c r="Q199" s="687" t="e">
        <f t="shared" si="22"/>
        <v>#DIV/0!</v>
      </c>
    </row>
    <row r="200" spans="1:17">
      <c r="A200" s="684">
        <f t="shared" si="19"/>
        <v>44395</v>
      </c>
      <c r="B200" s="670">
        <v>247.71</v>
      </c>
      <c r="C200" s="37">
        <v>1145</v>
      </c>
      <c r="D200" s="37">
        <v>37</v>
      </c>
      <c r="E200" s="37">
        <v>0</v>
      </c>
      <c r="F200" s="670">
        <v>0</v>
      </c>
      <c r="G200" s="37">
        <v>1</v>
      </c>
      <c r="H200" s="37">
        <v>0</v>
      </c>
      <c r="I200" s="37">
        <v>2</v>
      </c>
      <c r="J200" s="527">
        <f t="shared" si="23"/>
        <v>0.0323144104803493</v>
      </c>
      <c r="K200" s="687">
        <f t="shared" si="24"/>
        <v>6.69486486486486</v>
      </c>
      <c r="L200" s="41">
        <v>216.34</v>
      </c>
      <c r="M200" s="686">
        <v>0</v>
      </c>
      <c r="N200" s="527">
        <v>0</v>
      </c>
      <c r="O200" s="543" t="e">
        <f t="shared" si="20"/>
        <v>#DIV/0!</v>
      </c>
      <c r="P200" s="528" t="e">
        <f t="shared" si="21"/>
        <v>#DIV/0!</v>
      </c>
      <c r="Q200" s="687">
        <f t="shared" si="22"/>
        <v>247.71</v>
      </c>
    </row>
    <row r="201" spans="1:17">
      <c r="A201" s="684">
        <f t="shared" si="19"/>
        <v>44396</v>
      </c>
      <c r="B201" s="670">
        <v>261.43</v>
      </c>
      <c r="C201" s="37">
        <v>1226</v>
      </c>
      <c r="D201" s="37">
        <v>43</v>
      </c>
      <c r="E201" s="37">
        <v>0</v>
      </c>
      <c r="F201" s="670">
        <v>0</v>
      </c>
      <c r="G201" s="37">
        <v>1</v>
      </c>
      <c r="H201" s="37">
        <v>0</v>
      </c>
      <c r="I201" s="37">
        <v>3</v>
      </c>
      <c r="J201" s="527">
        <f t="shared" si="23"/>
        <v>0.0350734094616639</v>
      </c>
      <c r="K201" s="687">
        <f t="shared" si="24"/>
        <v>6.07976744186047</v>
      </c>
      <c r="L201" s="41">
        <v>213.24</v>
      </c>
      <c r="M201" s="686">
        <v>0</v>
      </c>
      <c r="N201" s="527">
        <v>0</v>
      </c>
      <c r="O201" s="543" t="e">
        <f t="shared" si="20"/>
        <v>#DIV/0!</v>
      </c>
      <c r="P201" s="528" t="e">
        <f t="shared" si="21"/>
        <v>#DIV/0!</v>
      </c>
      <c r="Q201" s="687">
        <f t="shared" si="22"/>
        <v>261.43</v>
      </c>
    </row>
    <row r="202" spans="1:17">
      <c r="A202" s="684">
        <f t="shared" ref="A202:A265" si="25">A201+1</f>
        <v>44397</v>
      </c>
      <c r="B202" s="670">
        <v>270.03</v>
      </c>
      <c r="C202" s="37">
        <v>981</v>
      </c>
      <c r="D202" s="37">
        <v>42</v>
      </c>
      <c r="E202" s="37">
        <v>0</v>
      </c>
      <c r="F202" s="670">
        <v>0</v>
      </c>
      <c r="G202" s="37">
        <v>5</v>
      </c>
      <c r="H202" s="37">
        <v>2</v>
      </c>
      <c r="I202" s="37">
        <v>5</v>
      </c>
      <c r="J202" s="527">
        <f t="shared" si="23"/>
        <v>0.0428134556574924</v>
      </c>
      <c r="K202" s="687">
        <f t="shared" si="24"/>
        <v>6.42928571428571</v>
      </c>
      <c r="L202" s="41">
        <v>275.26</v>
      </c>
      <c r="M202" s="686">
        <v>0</v>
      </c>
      <c r="N202" s="527">
        <v>0</v>
      </c>
      <c r="O202" s="543" t="e">
        <f t="shared" si="20"/>
        <v>#DIV/0!</v>
      </c>
      <c r="P202" s="528" t="e">
        <f t="shared" si="21"/>
        <v>#DIV/0!</v>
      </c>
      <c r="Q202" s="687">
        <f t="shared" si="22"/>
        <v>54.006</v>
      </c>
    </row>
    <row r="203" spans="1:17">
      <c r="A203" s="684">
        <f t="shared" si="25"/>
        <v>44398</v>
      </c>
      <c r="B203" s="670">
        <v>213.25</v>
      </c>
      <c r="C203" s="37">
        <v>978</v>
      </c>
      <c r="D203" s="37">
        <v>35</v>
      </c>
      <c r="E203" s="37">
        <v>0</v>
      </c>
      <c r="F203" s="670">
        <v>0</v>
      </c>
      <c r="G203" s="37">
        <v>1</v>
      </c>
      <c r="H203" s="37">
        <v>0</v>
      </c>
      <c r="I203" s="37">
        <v>2</v>
      </c>
      <c r="J203" s="527">
        <f t="shared" si="23"/>
        <v>0.0357873210633947</v>
      </c>
      <c r="K203" s="687">
        <f t="shared" si="24"/>
        <v>6.09285714285714</v>
      </c>
      <c r="L203" s="41">
        <v>218.05</v>
      </c>
      <c r="M203" s="686">
        <v>0</v>
      </c>
      <c r="N203" s="527">
        <v>0</v>
      </c>
      <c r="O203" s="543" t="e">
        <f t="shared" si="20"/>
        <v>#DIV/0!</v>
      </c>
      <c r="P203" s="528" t="e">
        <f t="shared" si="21"/>
        <v>#DIV/0!</v>
      </c>
      <c r="Q203" s="687">
        <f t="shared" si="22"/>
        <v>213.25</v>
      </c>
    </row>
    <row r="204" spans="1:17">
      <c r="A204" s="684">
        <f t="shared" si="25"/>
        <v>44399</v>
      </c>
      <c r="B204" s="670">
        <v>242.54</v>
      </c>
      <c r="C204" s="37">
        <v>1001</v>
      </c>
      <c r="D204" s="37">
        <v>34</v>
      </c>
      <c r="E204" s="37">
        <v>0</v>
      </c>
      <c r="F204" s="670">
        <v>0</v>
      </c>
      <c r="G204" s="37">
        <v>5</v>
      </c>
      <c r="H204" s="37">
        <v>0</v>
      </c>
      <c r="I204" s="37">
        <v>2</v>
      </c>
      <c r="J204" s="527">
        <f t="shared" si="23"/>
        <v>0.033966033966034</v>
      </c>
      <c r="K204" s="687">
        <f t="shared" si="24"/>
        <v>7.13352941176471</v>
      </c>
      <c r="L204" s="41">
        <v>242.3</v>
      </c>
      <c r="M204" s="686">
        <v>0</v>
      </c>
      <c r="N204" s="527">
        <v>0</v>
      </c>
      <c r="O204" s="543" t="e">
        <f t="shared" si="20"/>
        <v>#DIV/0!</v>
      </c>
      <c r="P204" s="528" t="e">
        <f t="shared" si="21"/>
        <v>#DIV/0!</v>
      </c>
      <c r="Q204" s="687">
        <f t="shared" si="22"/>
        <v>48.508</v>
      </c>
    </row>
    <row r="205" spans="1:17">
      <c r="A205" s="684">
        <f t="shared" si="25"/>
        <v>44400</v>
      </c>
      <c r="B205" s="670">
        <v>250.81</v>
      </c>
      <c r="C205" s="37">
        <v>1117</v>
      </c>
      <c r="D205" s="37">
        <v>30</v>
      </c>
      <c r="E205" s="37">
        <v>0</v>
      </c>
      <c r="F205" s="670">
        <v>0</v>
      </c>
      <c r="G205" s="37">
        <v>0</v>
      </c>
      <c r="H205" s="37">
        <v>1</v>
      </c>
      <c r="I205" s="37">
        <v>1</v>
      </c>
      <c r="J205" s="527">
        <f t="shared" si="23"/>
        <v>0.026857654431513</v>
      </c>
      <c r="K205" s="687">
        <f t="shared" si="24"/>
        <v>8.36033333333333</v>
      </c>
      <c r="L205" s="41">
        <v>224.54</v>
      </c>
      <c r="M205" s="686">
        <v>0</v>
      </c>
      <c r="N205" s="527">
        <v>0</v>
      </c>
      <c r="O205" s="543" t="e">
        <f t="shared" si="20"/>
        <v>#DIV/0!</v>
      </c>
      <c r="P205" s="528" t="e">
        <f t="shared" si="21"/>
        <v>#DIV/0!</v>
      </c>
      <c r="Q205" s="687" t="e">
        <f t="shared" si="22"/>
        <v>#DIV/0!</v>
      </c>
    </row>
    <row r="206" spans="1:17">
      <c r="A206" s="684">
        <f t="shared" si="25"/>
        <v>44401</v>
      </c>
      <c r="B206" s="670">
        <v>138.8</v>
      </c>
      <c r="C206" s="37">
        <v>607</v>
      </c>
      <c r="D206" s="37">
        <v>14</v>
      </c>
      <c r="E206" s="37">
        <v>0</v>
      </c>
      <c r="F206" s="670">
        <v>0</v>
      </c>
      <c r="G206" s="37">
        <v>0</v>
      </c>
      <c r="H206" s="37">
        <v>0</v>
      </c>
      <c r="I206" s="37">
        <v>0</v>
      </c>
      <c r="J206" s="527">
        <f t="shared" si="23"/>
        <v>0.0230642504118616</v>
      </c>
      <c r="K206" s="687">
        <f t="shared" si="24"/>
        <v>9.91428571428571</v>
      </c>
      <c r="L206" s="41">
        <v>228.67</v>
      </c>
      <c r="M206" s="686">
        <v>0</v>
      </c>
      <c r="N206" s="527">
        <v>0</v>
      </c>
      <c r="O206" s="543" t="e">
        <f t="shared" ref="O206:O269" si="26">F206/E206</f>
        <v>#DIV/0!</v>
      </c>
      <c r="P206" s="528" t="e">
        <f t="shared" ref="P206:P269" si="27">B206/E206</f>
        <v>#DIV/0!</v>
      </c>
      <c r="Q206" s="687" t="e">
        <f t="shared" ref="Q206:Q269" si="28">B206/G206</f>
        <v>#DIV/0!</v>
      </c>
    </row>
    <row r="207" spans="1:17">
      <c r="A207" s="684">
        <f t="shared" si="25"/>
        <v>44402</v>
      </c>
      <c r="B207" s="670">
        <v>0</v>
      </c>
      <c r="C207" s="37">
        <v>0</v>
      </c>
      <c r="D207" s="37">
        <v>0</v>
      </c>
      <c r="E207" s="37">
        <v>0</v>
      </c>
      <c r="F207" s="670">
        <v>0</v>
      </c>
      <c r="G207" s="37">
        <v>0</v>
      </c>
      <c r="H207" s="37">
        <v>0</v>
      </c>
      <c r="I207" s="37">
        <v>0</v>
      </c>
      <c r="J207" s="527" t="e">
        <f t="shared" si="23"/>
        <v>#DIV/0!</v>
      </c>
      <c r="K207" s="687" t="e">
        <f t="shared" si="24"/>
        <v>#DIV/0!</v>
      </c>
      <c r="L207" s="41">
        <v>0</v>
      </c>
      <c r="M207" s="686">
        <v>0</v>
      </c>
      <c r="N207" s="527">
        <v>0</v>
      </c>
      <c r="O207" s="543" t="e">
        <f t="shared" si="26"/>
        <v>#DIV/0!</v>
      </c>
      <c r="P207" s="528" t="e">
        <f t="shared" si="27"/>
        <v>#DIV/0!</v>
      </c>
      <c r="Q207" s="687" t="e">
        <f t="shared" si="28"/>
        <v>#DIV/0!</v>
      </c>
    </row>
    <row r="208" spans="1:17">
      <c r="A208" s="684">
        <f t="shared" si="25"/>
        <v>44403</v>
      </c>
      <c r="B208" s="670">
        <v>189.43</v>
      </c>
      <c r="C208" s="37">
        <v>839</v>
      </c>
      <c r="D208" s="37">
        <v>24</v>
      </c>
      <c r="E208" s="37">
        <v>0</v>
      </c>
      <c r="F208" s="670">
        <v>0</v>
      </c>
      <c r="G208" s="37">
        <v>1</v>
      </c>
      <c r="H208" s="37">
        <v>1</v>
      </c>
      <c r="I208" s="37">
        <v>1</v>
      </c>
      <c r="J208" s="527">
        <f t="shared" si="23"/>
        <v>0.0286054827175209</v>
      </c>
      <c r="K208" s="687">
        <f t="shared" si="24"/>
        <v>7.89291666666667</v>
      </c>
      <c r="L208" s="41">
        <v>225.78</v>
      </c>
      <c r="M208" s="686">
        <v>0</v>
      </c>
      <c r="N208" s="527">
        <v>0</v>
      </c>
      <c r="O208" s="543" t="e">
        <f t="shared" si="26"/>
        <v>#DIV/0!</v>
      </c>
      <c r="P208" s="528" t="e">
        <f t="shared" si="27"/>
        <v>#DIV/0!</v>
      </c>
      <c r="Q208" s="687">
        <f t="shared" si="28"/>
        <v>189.43</v>
      </c>
    </row>
    <row r="209" spans="1:17">
      <c r="A209" s="684">
        <f t="shared" si="25"/>
        <v>44404</v>
      </c>
      <c r="B209" s="670">
        <v>240.33</v>
      </c>
      <c r="C209" s="37">
        <v>995</v>
      </c>
      <c r="D209" s="37">
        <v>18</v>
      </c>
      <c r="E209" s="37">
        <v>0</v>
      </c>
      <c r="F209" s="670">
        <v>0</v>
      </c>
      <c r="G209" s="37">
        <v>2</v>
      </c>
      <c r="H209" s="37">
        <v>0</v>
      </c>
      <c r="I209" s="37">
        <v>1</v>
      </c>
      <c r="J209" s="527">
        <f t="shared" si="23"/>
        <v>0.0180904522613065</v>
      </c>
      <c r="K209" s="687">
        <f t="shared" si="24"/>
        <v>13.3516666666667</v>
      </c>
      <c r="L209" s="41">
        <v>241.54</v>
      </c>
      <c r="M209" s="686">
        <v>0</v>
      </c>
      <c r="N209" s="527">
        <v>0</v>
      </c>
      <c r="O209" s="543" t="e">
        <f t="shared" si="26"/>
        <v>#DIV/0!</v>
      </c>
      <c r="P209" s="528" t="e">
        <f t="shared" si="27"/>
        <v>#DIV/0!</v>
      </c>
      <c r="Q209" s="687">
        <f t="shared" si="28"/>
        <v>120.165</v>
      </c>
    </row>
    <row r="210" spans="1:17">
      <c r="A210" s="684">
        <f t="shared" si="25"/>
        <v>44405</v>
      </c>
      <c r="B210" s="670">
        <v>266.26</v>
      </c>
      <c r="C210" s="37">
        <v>1043</v>
      </c>
      <c r="D210" s="37">
        <v>34</v>
      </c>
      <c r="E210" s="37">
        <v>0</v>
      </c>
      <c r="F210" s="670">
        <v>0</v>
      </c>
      <c r="G210" s="37">
        <v>1</v>
      </c>
      <c r="H210" s="37">
        <v>0</v>
      </c>
      <c r="I210" s="37">
        <v>1</v>
      </c>
      <c r="J210" s="527">
        <f t="shared" si="23"/>
        <v>0.0325982742090125</v>
      </c>
      <c r="K210" s="687">
        <f t="shared" si="24"/>
        <v>7.83117647058824</v>
      </c>
      <c r="L210" s="41">
        <v>255.28</v>
      </c>
      <c r="M210" s="686">
        <v>0</v>
      </c>
      <c r="N210" s="527">
        <v>0</v>
      </c>
      <c r="O210" s="543" t="e">
        <f t="shared" si="26"/>
        <v>#DIV/0!</v>
      </c>
      <c r="P210" s="528" t="e">
        <f t="shared" si="27"/>
        <v>#DIV/0!</v>
      </c>
      <c r="Q210" s="687">
        <f t="shared" si="28"/>
        <v>266.26</v>
      </c>
    </row>
    <row r="211" spans="1:17">
      <c r="A211" s="684">
        <f t="shared" si="25"/>
        <v>44406</v>
      </c>
      <c r="B211" s="670">
        <v>255.15</v>
      </c>
      <c r="C211" s="37">
        <v>995</v>
      </c>
      <c r="D211" s="37">
        <v>37</v>
      </c>
      <c r="E211" s="37">
        <v>3</v>
      </c>
      <c r="F211" s="670">
        <v>0.03</v>
      </c>
      <c r="G211" s="37">
        <v>0</v>
      </c>
      <c r="H211" s="37">
        <v>0</v>
      </c>
      <c r="I211" s="37">
        <v>1</v>
      </c>
      <c r="J211" s="527">
        <f t="shared" si="23"/>
        <v>0.0371859296482412</v>
      </c>
      <c r="K211" s="687">
        <f t="shared" si="24"/>
        <v>6.89594594594595</v>
      </c>
      <c r="L211" s="41">
        <v>256.43</v>
      </c>
      <c r="M211" s="686">
        <v>0</v>
      </c>
      <c r="N211" s="527">
        <v>0</v>
      </c>
      <c r="O211" s="543">
        <f t="shared" si="26"/>
        <v>0.01</v>
      </c>
      <c r="P211" s="528">
        <f t="shared" si="27"/>
        <v>85.05</v>
      </c>
      <c r="Q211" s="687" t="e">
        <f t="shared" si="28"/>
        <v>#DIV/0!</v>
      </c>
    </row>
    <row r="212" spans="1:17">
      <c r="A212" s="684">
        <f t="shared" si="25"/>
        <v>44407</v>
      </c>
      <c r="B212" s="670">
        <v>283.52</v>
      </c>
      <c r="C212" s="37">
        <v>1043</v>
      </c>
      <c r="D212" s="37">
        <v>44</v>
      </c>
      <c r="E212" s="37">
        <v>1</v>
      </c>
      <c r="F212" s="670">
        <v>0.01</v>
      </c>
      <c r="G212" s="37">
        <v>0</v>
      </c>
      <c r="H212" s="37">
        <v>0</v>
      </c>
      <c r="I212" s="37">
        <v>1</v>
      </c>
      <c r="J212" s="527">
        <f t="shared" si="23"/>
        <v>0.0421860019175455</v>
      </c>
      <c r="K212" s="687">
        <f t="shared" si="24"/>
        <v>6.44363636363636</v>
      </c>
      <c r="L212" s="41">
        <v>271.83</v>
      </c>
      <c r="M212" s="686">
        <v>0</v>
      </c>
      <c r="N212" s="527">
        <v>0</v>
      </c>
      <c r="O212" s="543">
        <f t="shared" si="26"/>
        <v>0.01</v>
      </c>
      <c r="P212" s="528">
        <f t="shared" si="27"/>
        <v>283.52</v>
      </c>
      <c r="Q212" s="687" t="e">
        <f t="shared" si="28"/>
        <v>#DIV/0!</v>
      </c>
    </row>
    <row r="213" spans="1:17">
      <c r="A213" s="684">
        <f t="shared" si="25"/>
        <v>44408</v>
      </c>
      <c r="B213" s="670">
        <v>248.49</v>
      </c>
      <c r="C213" s="37">
        <v>1079</v>
      </c>
      <c r="D213" s="37">
        <v>28</v>
      </c>
      <c r="E213" s="37">
        <v>0</v>
      </c>
      <c r="F213" s="670">
        <v>0</v>
      </c>
      <c r="G213" s="37">
        <v>0</v>
      </c>
      <c r="H213" s="37">
        <v>0</v>
      </c>
      <c r="I213" s="37">
        <v>1</v>
      </c>
      <c r="J213" s="527">
        <f t="shared" si="23"/>
        <v>0.025949953660797</v>
      </c>
      <c r="K213" s="687">
        <f t="shared" si="24"/>
        <v>8.87464285714286</v>
      </c>
      <c r="L213" s="41">
        <v>230.3</v>
      </c>
      <c r="M213" s="686">
        <v>0</v>
      </c>
      <c r="N213" s="527">
        <v>0</v>
      </c>
      <c r="O213" s="543" t="e">
        <f t="shared" si="26"/>
        <v>#DIV/0!</v>
      </c>
      <c r="P213" s="528" t="e">
        <f t="shared" si="27"/>
        <v>#DIV/0!</v>
      </c>
      <c r="Q213" s="687" t="e">
        <f t="shared" si="28"/>
        <v>#DIV/0!</v>
      </c>
    </row>
    <row r="214" spans="1:17">
      <c r="A214" s="684">
        <f t="shared" si="25"/>
        <v>44409</v>
      </c>
      <c r="B214" s="670">
        <v>293.55</v>
      </c>
      <c r="C214" s="37">
        <v>1263</v>
      </c>
      <c r="D214" s="37">
        <v>39</v>
      </c>
      <c r="E214" s="37">
        <v>0</v>
      </c>
      <c r="F214" s="670">
        <v>0</v>
      </c>
      <c r="G214" s="37">
        <v>0</v>
      </c>
      <c r="H214" s="37">
        <v>0</v>
      </c>
      <c r="I214" s="37">
        <v>1</v>
      </c>
      <c r="J214" s="527">
        <f t="shared" si="23"/>
        <v>0.0308788598574822</v>
      </c>
      <c r="K214" s="687">
        <f t="shared" si="24"/>
        <v>7.52692307692308</v>
      </c>
      <c r="L214" s="41">
        <v>232.42</v>
      </c>
      <c r="M214" s="686">
        <v>0</v>
      </c>
      <c r="N214" s="527">
        <v>0</v>
      </c>
      <c r="O214" s="543" t="e">
        <f t="shared" si="26"/>
        <v>#DIV/0!</v>
      </c>
      <c r="P214" s="528" t="e">
        <f t="shared" si="27"/>
        <v>#DIV/0!</v>
      </c>
      <c r="Q214" s="687" t="e">
        <f t="shared" si="28"/>
        <v>#DIV/0!</v>
      </c>
    </row>
    <row r="215" spans="1:17">
      <c r="A215" s="684">
        <f t="shared" si="25"/>
        <v>44410</v>
      </c>
      <c r="B215" s="670">
        <v>257.21</v>
      </c>
      <c r="C215" s="37">
        <v>1169</v>
      </c>
      <c r="D215" s="37">
        <v>36</v>
      </c>
      <c r="E215" s="37">
        <v>0</v>
      </c>
      <c r="F215" s="670">
        <v>0</v>
      </c>
      <c r="G215" s="37">
        <v>0</v>
      </c>
      <c r="H215" s="37">
        <v>0</v>
      </c>
      <c r="I215" s="37">
        <v>0</v>
      </c>
      <c r="J215" s="527">
        <f t="shared" si="23"/>
        <v>0.0307955517536356</v>
      </c>
      <c r="K215" s="687">
        <f t="shared" si="24"/>
        <v>7.14472222222222</v>
      </c>
      <c r="L215" s="41">
        <v>220.03</v>
      </c>
      <c r="M215" s="686">
        <v>0</v>
      </c>
      <c r="N215" s="527">
        <v>0</v>
      </c>
      <c r="O215" s="543" t="e">
        <f t="shared" si="26"/>
        <v>#DIV/0!</v>
      </c>
      <c r="P215" s="528" t="e">
        <f t="shared" si="27"/>
        <v>#DIV/0!</v>
      </c>
      <c r="Q215" s="687" t="e">
        <f t="shared" si="28"/>
        <v>#DIV/0!</v>
      </c>
    </row>
    <row r="216" spans="1:17">
      <c r="A216" s="684">
        <f t="shared" si="25"/>
        <v>44411</v>
      </c>
      <c r="B216" s="670">
        <v>235.15</v>
      </c>
      <c r="C216" s="37">
        <v>996</v>
      </c>
      <c r="D216" s="37">
        <v>45</v>
      </c>
      <c r="E216" s="37">
        <v>0</v>
      </c>
      <c r="F216" s="670">
        <v>0</v>
      </c>
      <c r="G216" s="37">
        <v>2</v>
      </c>
      <c r="H216" s="37">
        <v>0</v>
      </c>
      <c r="I216" s="37">
        <v>0</v>
      </c>
      <c r="J216" s="527">
        <f t="shared" si="23"/>
        <v>0.0451807228915663</v>
      </c>
      <c r="K216" s="687">
        <f t="shared" si="24"/>
        <v>5.22555555555556</v>
      </c>
      <c r="L216" s="41">
        <v>236.09</v>
      </c>
      <c r="M216" s="686">
        <v>0</v>
      </c>
      <c r="N216" s="527">
        <v>0</v>
      </c>
      <c r="O216" s="543" t="e">
        <f t="shared" si="26"/>
        <v>#DIV/0!</v>
      </c>
      <c r="P216" s="528" t="e">
        <f t="shared" si="27"/>
        <v>#DIV/0!</v>
      </c>
      <c r="Q216" s="687">
        <f t="shared" si="28"/>
        <v>117.575</v>
      </c>
    </row>
    <row r="217" spans="1:17">
      <c r="A217" s="684">
        <f t="shared" si="25"/>
        <v>44412</v>
      </c>
      <c r="B217" s="670">
        <v>244.07</v>
      </c>
      <c r="C217" s="37">
        <v>1101</v>
      </c>
      <c r="D217" s="37">
        <v>38</v>
      </c>
      <c r="E217" s="37">
        <v>0</v>
      </c>
      <c r="F217" s="670">
        <v>0</v>
      </c>
      <c r="G217" s="37">
        <v>0</v>
      </c>
      <c r="H217" s="37">
        <v>1</v>
      </c>
      <c r="I217" s="37">
        <v>1</v>
      </c>
      <c r="J217" s="527">
        <f t="shared" si="23"/>
        <v>0.0345140781108084</v>
      </c>
      <c r="K217" s="687">
        <f t="shared" si="24"/>
        <v>6.4228947368421</v>
      </c>
      <c r="L217" s="41">
        <v>221.68</v>
      </c>
      <c r="M217" s="686">
        <v>0</v>
      </c>
      <c r="N217" s="527">
        <v>0</v>
      </c>
      <c r="O217" s="543" t="e">
        <f t="shared" si="26"/>
        <v>#DIV/0!</v>
      </c>
      <c r="P217" s="528" t="e">
        <f t="shared" si="27"/>
        <v>#DIV/0!</v>
      </c>
      <c r="Q217" s="687" t="e">
        <f t="shared" si="28"/>
        <v>#DIV/0!</v>
      </c>
    </row>
    <row r="218" spans="1:17">
      <c r="A218" s="684">
        <f t="shared" si="25"/>
        <v>44413</v>
      </c>
      <c r="B218" s="670">
        <v>220.17</v>
      </c>
      <c r="C218" s="37">
        <v>1044</v>
      </c>
      <c r="D218" s="37">
        <v>29</v>
      </c>
      <c r="E218" s="37">
        <v>1</v>
      </c>
      <c r="F218" s="670">
        <v>0.01</v>
      </c>
      <c r="G218" s="37">
        <v>0</v>
      </c>
      <c r="H218" s="37">
        <v>0</v>
      </c>
      <c r="I218" s="37">
        <v>0</v>
      </c>
      <c r="J218" s="527">
        <f t="shared" si="23"/>
        <v>0.0277777777777778</v>
      </c>
      <c r="K218" s="687">
        <f t="shared" si="24"/>
        <v>7.59206896551724</v>
      </c>
      <c r="L218" s="41">
        <v>210.89</v>
      </c>
      <c r="M218" s="686">
        <v>0</v>
      </c>
      <c r="N218" s="527">
        <v>0</v>
      </c>
      <c r="O218" s="543">
        <f t="shared" si="26"/>
        <v>0.01</v>
      </c>
      <c r="P218" s="528">
        <f t="shared" si="27"/>
        <v>220.17</v>
      </c>
      <c r="Q218" s="687" t="e">
        <f t="shared" si="28"/>
        <v>#DIV/0!</v>
      </c>
    </row>
    <row r="219" spans="1:17">
      <c r="A219" s="684">
        <f t="shared" si="25"/>
        <v>44414</v>
      </c>
      <c r="B219" s="670">
        <v>295.85</v>
      </c>
      <c r="C219" s="37">
        <v>1229</v>
      </c>
      <c r="D219" s="37">
        <v>29</v>
      </c>
      <c r="E219" s="37">
        <v>0</v>
      </c>
      <c r="F219" s="670">
        <v>0</v>
      </c>
      <c r="G219" s="37">
        <v>1</v>
      </c>
      <c r="H219" s="37">
        <v>0</v>
      </c>
      <c r="I219" s="37">
        <v>0</v>
      </c>
      <c r="J219" s="527">
        <f t="shared" si="23"/>
        <v>0.0235964198535395</v>
      </c>
      <c r="K219" s="687">
        <f t="shared" si="24"/>
        <v>10.201724137931</v>
      </c>
      <c r="L219" s="41">
        <v>240.72</v>
      </c>
      <c r="M219" s="686">
        <v>0</v>
      </c>
      <c r="N219" s="527">
        <v>0</v>
      </c>
      <c r="O219" s="543" t="e">
        <f t="shared" si="26"/>
        <v>#DIV/0!</v>
      </c>
      <c r="P219" s="528" t="e">
        <f t="shared" si="27"/>
        <v>#DIV/0!</v>
      </c>
      <c r="Q219" s="687">
        <f t="shared" si="28"/>
        <v>295.85</v>
      </c>
    </row>
    <row r="220" spans="1:17">
      <c r="A220" s="684">
        <f t="shared" si="25"/>
        <v>44415</v>
      </c>
      <c r="B220" s="670">
        <v>281.63</v>
      </c>
      <c r="C220" s="37">
        <v>1317</v>
      </c>
      <c r="D220" s="37">
        <v>33</v>
      </c>
      <c r="E220" s="37">
        <v>0</v>
      </c>
      <c r="F220" s="670">
        <v>0</v>
      </c>
      <c r="G220" s="37">
        <v>1</v>
      </c>
      <c r="H220" s="37">
        <v>1</v>
      </c>
      <c r="I220" s="37">
        <v>0</v>
      </c>
      <c r="J220" s="527">
        <f t="shared" si="23"/>
        <v>0.0250569476082005</v>
      </c>
      <c r="K220" s="687">
        <f t="shared" si="24"/>
        <v>8.53424242424242</v>
      </c>
      <c r="L220" s="41">
        <v>213.84</v>
      </c>
      <c r="M220" s="686">
        <v>0</v>
      </c>
      <c r="N220" s="527">
        <v>0</v>
      </c>
      <c r="O220" s="543" t="e">
        <f t="shared" si="26"/>
        <v>#DIV/0!</v>
      </c>
      <c r="P220" s="528" t="e">
        <f t="shared" si="27"/>
        <v>#DIV/0!</v>
      </c>
      <c r="Q220" s="687">
        <f t="shared" si="28"/>
        <v>281.63</v>
      </c>
    </row>
    <row r="221" spans="1:17">
      <c r="A221" s="684">
        <f t="shared" si="25"/>
        <v>44416</v>
      </c>
      <c r="B221" s="670">
        <v>285.04</v>
      </c>
      <c r="C221" s="37">
        <v>1258</v>
      </c>
      <c r="D221" s="37">
        <v>33</v>
      </c>
      <c r="E221" s="37">
        <v>0</v>
      </c>
      <c r="F221" s="670">
        <v>0</v>
      </c>
      <c r="G221" s="37">
        <v>0</v>
      </c>
      <c r="H221" s="37">
        <v>0</v>
      </c>
      <c r="I221" s="37">
        <v>0</v>
      </c>
      <c r="J221" s="527">
        <f t="shared" si="23"/>
        <v>0.0262321144674086</v>
      </c>
      <c r="K221" s="687">
        <f t="shared" si="24"/>
        <v>8.63757575757576</v>
      </c>
      <c r="L221" s="41">
        <v>226.58</v>
      </c>
      <c r="M221" s="686">
        <v>0</v>
      </c>
      <c r="N221" s="527">
        <v>0</v>
      </c>
      <c r="O221" s="543" t="e">
        <f t="shared" si="26"/>
        <v>#DIV/0!</v>
      </c>
      <c r="P221" s="528" t="e">
        <f t="shared" si="27"/>
        <v>#DIV/0!</v>
      </c>
      <c r="Q221" s="687" t="e">
        <f t="shared" si="28"/>
        <v>#DIV/0!</v>
      </c>
    </row>
    <row r="222" spans="1:17">
      <c r="A222" s="684">
        <f t="shared" si="25"/>
        <v>44417</v>
      </c>
      <c r="B222" s="670">
        <v>298.25</v>
      </c>
      <c r="C222" s="37">
        <v>1159</v>
      </c>
      <c r="D222" s="37">
        <v>26</v>
      </c>
      <c r="E222" s="37">
        <v>0</v>
      </c>
      <c r="F222" s="670">
        <v>0</v>
      </c>
      <c r="G222" s="37">
        <v>0</v>
      </c>
      <c r="H222" s="37">
        <v>0</v>
      </c>
      <c r="I222" s="37">
        <v>0</v>
      </c>
      <c r="J222" s="527">
        <f t="shared" si="23"/>
        <v>0.0224331320103538</v>
      </c>
      <c r="K222" s="687">
        <f t="shared" si="24"/>
        <v>11.4711538461538</v>
      </c>
      <c r="L222" s="41">
        <v>298.25</v>
      </c>
      <c r="M222" s="686">
        <v>0</v>
      </c>
      <c r="N222" s="527">
        <v>0</v>
      </c>
      <c r="O222" s="543" t="e">
        <f t="shared" si="26"/>
        <v>#DIV/0!</v>
      </c>
      <c r="P222" s="528" t="e">
        <f t="shared" si="27"/>
        <v>#DIV/0!</v>
      </c>
      <c r="Q222" s="687" t="e">
        <f t="shared" si="28"/>
        <v>#DIV/0!</v>
      </c>
    </row>
    <row r="223" spans="1:17">
      <c r="A223" s="684">
        <f t="shared" si="25"/>
        <v>44418</v>
      </c>
      <c r="B223" s="670">
        <v>297.21</v>
      </c>
      <c r="C223" s="37">
        <v>1040</v>
      </c>
      <c r="D223" s="37">
        <v>47</v>
      </c>
      <c r="E223" s="37">
        <v>0</v>
      </c>
      <c r="F223" s="670">
        <v>0</v>
      </c>
      <c r="G223" s="37">
        <v>0</v>
      </c>
      <c r="H223" s="37">
        <v>0</v>
      </c>
      <c r="I223" s="37">
        <v>0</v>
      </c>
      <c r="J223" s="527">
        <f t="shared" si="23"/>
        <v>0.0451923076923077</v>
      </c>
      <c r="K223" s="687">
        <f t="shared" si="24"/>
        <v>6.3236170212766</v>
      </c>
      <c r="L223" s="41">
        <v>285.78</v>
      </c>
      <c r="M223" s="686">
        <v>0</v>
      </c>
      <c r="N223" s="527">
        <v>0</v>
      </c>
      <c r="O223" s="543" t="e">
        <f t="shared" si="26"/>
        <v>#DIV/0!</v>
      </c>
      <c r="P223" s="528" t="e">
        <f t="shared" si="27"/>
        <v>#DIV/0!</v>
      </c>
      <c r="Q223" s="687" t="e">
        <f t="shared" si="28"/>
        <v>#DIV/0!</v>
      </c>
    </row>
    <row r="224" spans="1:17">
      <c r="A224" s="684">
        <f t="shared" si="25"/>
        <v>44419</v>
      </c>
      <c r="B224" s="670">
        <v>274.08</v>
      </c>
      <c r="C224" s="37">
        <v>1068</v>
      </c>
      <c r="D224" s="37">
        <v>66</v>
      </c>
      <c r="E224" s="37">
        <v>0</v>
      </c>
      <c r="F224" s="670">
        <v>0</v>
      </c>
      <c r="G224" s="37">
        <v>1</v>
      </c>
      <c r="H224" s="37">
        <v>1</v>
      </c>
      <c r="I224" s="37">
        <v>1</v>
      </c>
      <c r="J224" s="527">
        <f t="shared" si="23"/>
        <v>0.0617977528089888</v>
      </c>
      <c r="K224" s="687">
        <f t="shared" si="24"/>
        <v>4.15272727272727</v>
      </c>
      <c r="L224" s="41">
        <v>256.63</v>
      </c>
      <c r="M224" s="686">
        <v>0</v>
      </c>
      <c r="N224" s="527">
        <v>0</v>
      </c>
      <c r="O224" s="543" t="e">
        <f t="shared" si="26"/>
        <v>#DIV/0!</v>
      </c>
      <c r="P224" s="528" t="e">
        <f t="shared" si="27"/>
        <v>#DIV/0!</v>
      </c>
      <c r="Q224" s="687">
        <f t="shared" si="28"/>
        <v>274.08</v>
      </c>
    </row>
    <row r="225" spans="1:17">
      <c r="A225" s="684">
        <f t="shared" si="25"/>
        <v>44420</v>
      </c>
      <c r="B225" s="670">
        <v>296.57</v>
      </c>
      <c r="C225" s="37">
        <v>1194</v>
      </c>
      <c r="D225" s="37">
        <v>34</v>
      </c>
      <c r="E225" s="37">
        <v>1</v>
      </c>
      <c r="F225" s="670">
        <v>0.01</v>
      </c>
      <c r="G225" s="37">
        <v>0</v>
      </c>
      <c r="H225" s="37">
        <v>0</v>
      </c>
      <c r="I225" s="37">
        <v>0</v>
      </c>
      <c r="J225" s="527">
        <f t="shared" si="23"/>
        <v>0.0284757118927973</v>
      </c>
      <c r="K225" s="687">
        <f t="shared" si="24"/>
        <v>8.72264705882353</v>
      </c>
      <c r="L225" s="41">
        <v>248.38</v>
      </c>
      <c r="M225" s="686">
        <v>0</v>
      </c>
      <c r="N225" s="527">
        <v>0</v>
      </c>
      <c r="O225" s="543">
        <f t="shared" si="26"/>
        <v>0.01</v>
      </c>
      <c r="P225" s="528">
        <f t="shared" si="27"/>
        <v>296.57</v>
      </c>
      <c r="Q225" s="687" t="e">
        <f t="shared" si="28"/>
        <v>#DIV/0!</v>
      </c>
    </row>
    <row r="226" spans="1:17">
      <c r="A226" s="684">
        <f t="shared" si="25"/>
        <v>44421</v>
      </c>
      <c r="B226" s="670">
        <v>298.53</v>
      </c>
      <c r="C226" s="37">
        <v>1083</v>
      </c>
      <c r="D226" s="37">
        <v>38</v>
      </c>
      <c r="E226" s="37">
        <v>0</v>
      </c>
      <c r="F226" s="670">
        <v>0</v>
      </c>
      <c r="G226" s="37">
        <v>0</v>
      </c>
      <c r="H226" s="37">
        <v>0</v>
      </c>
      <c r="I226" s="37">
        <v>0</v>
      </c>
      <c r="J226" s="527">
        <f t="shared" si="23"/>
        <v>0.0350877192982456</v>
      </c>
      <c r="K226" s="687">
        <f t="shared" si="24"/>
        <v>7.85605263157895</v>
      </c>
      <c r="L226" s="41">
        <v>275.65</v>
      </c>
      <c r="M226" s="686">
        <v>0</v>
      </c>
      <c r="N226" s="527">
        <v>0</v>
      </c>
      <c r="O226" s="543" t="e">
        <f t="shared" si="26"/>
        <v>#DIV/0!</v>
      </c>
      <c r="P226" s="528" t="e">
        <f t="shared" si="27"/>
        <v>#DIV/0!</v>
      </c>
      <c r="Q226" s="687" t="e">
        <f t="shared" si="28"/>
        <v>#DIV/0!</v>
      </c>
    </row>
    <row r="227" spans="1:17">
      <c r="A227" s="684">
        <f t="shared" si="25"/>
        <v>44422</v>
      </c>
      <c r="B227" s="670">
        <v>297.84</v>
      </c>
      <c r="C227" s="37">
        <v>1007</v>
      </c>
      <c r="D227" s="37">
        <v>25</v>
      </c>
      <c r="E227" s="37">
        <v>0</v>
      </c>
      <c r="F227" s="670">
        <v>0</v>
      </c>
      <c r="G227" s="37">
        <v>0</v>
      </c>
      <c r="H227" s="37">
        <v>0</v>
      </c>
      <c r="I227" s="37">
        <v>0</v>
      </c>
      <c r="J227" s="527">
        <f t="shared" si="23"/>
        <v>0.0248262164846077</v>
      </c>
      <c r="K227" s="687">
        <f t="shared" si="24"/>
        <v>11.9136</v>
      </c>
      <c r="L227" s="41">
        <v>295.77</v>
      </c>
      <c r="M227" s="686">
        <v>0</v>
      </c>
      <c r="N227" s="527">
        <v>0</v>
      </c>
      <c r="O227" s="543" t="e">
        <f t="shared" si="26"/>
        <v>#DIV/0!</v>
      </c>
      <c r="P227" s="528" t="e">
        <f t="shared" si="27"/>
        <v>#DIV/0!</v>
      </c>
      <c r="Q227" s="687" t="e">
        <f t="shared" si="28"/>
        <v>#DIV/0!</v>
      </c>
    </row>
    <row r="228" spans="1:17">
      <c r="A228" s="684">
        <f t="shared" si="25"/>
        <v>44423</v>
      </c>
      <c r="B228" s="670">
        <v>290.9</v>
      </c>
      <c r="C228" s="37">
        <v>1079</v>
      </c>
      <c r="D228" s="37">
        <v>39</v>
      </c>
      <c r="E228" s="37">
        <v>0</v>
      </c>
      <c r="F228" s="670">
        <v>0</v>
      </c>
      <c r="G228" s="37">
        <v>2</v>
      </c>
      <c r="H228" s="37">
        <v>0</v>
      </c>
      <c r="I228" s="37">
        <v>0</v>
      </c>
      <c r="J228" s="527">
        <f t="shared" si="23"/>
        <v>0.036144578313253</v>
      </c>
      <c r="K228" s="687">
        <f t="shared" si="24"/>
        <v>7.45897435897436</v>
      </c>
      <c r="L228" s="41">
        <v>269.6</v>
      </c>
      <c r="M228" s="686">
        <v>0</v>
      </c>
      <c r="N228" s="527">
        <v>0</v>
      </c>
      <c r="O228" s="543" t="e">
        <f t="shared" si="26"/>
        <v>#DIV/0!</v>
      </c>
      <c r="P228" s="528" t="e">
        <f t="shared" si="27"/>
        <v>#DIV/0!</v>
      </c>
      <c r="Q228" s="687">
        <f t="shared" si="28"/>
        <v>145.45</v>
      </c>
    </row>
    <row r="229" spans="1:17">
      <c r="A229" s="684">
        <f t="shared" si="25"/>
        <v>44424</v>
      </c>
      <c r="B229" s="670">
        <v>295.47</v>
      </c>
      <c r="C229" s="37">
        <v>1022</v>
      </c>
      <c r="D229" s="37">
        <v>46</v>
      </c>
      <c r="E229" s="37">
        <v>0</v>
      </c>
      <c r="F229" s="670">
        <v>0</v>
      </c>
      <c r="G229" s="37">
        <v>2</v>
      </c>
      <c r="H229" s="37">
        <v>0</v>
      </c>
      <c r="I229" s="37">
        <v>2</v>
      </c>
      <c r="J229" s="527">
        <f t="shared" si="23"/>
        <v>0.0450097847358121</v>
      </c>
      <c r="K229" s="687">
        <f t="shared" si="24"/>
        <v>6.42326086956522</v>
      </c>
      <c r="L229" s="41">
        <v>289.11</v>
      </c>
      <c r="M229" s="686">
        <v>0</v>
      </c>
      <c r="N229" s="527">
        <v>0</v>
      </c>
      <c r="O229" s="543" t="e">
        <f t="shared" si="26"/>
        <v>#DIV/0!</v>
      </c>
      <c r="P229" s="528" t="e">
        <f t="shared" si="27"/>
        <v>#DIV/0!</v>
      </c>
      <c r="Q229" s="687">
        <f t="shared" si="28"/>
        <v>147.735</v>
      </c>
    </row>
    <row r="230" spans="1:17">
      <c r="A230" s="684">
        <f t="shared" si="25"/>
        <v>44425</v>
      </c>
      <c r="B230" s="670">
        <v>153.51</v>
      </c>
      <c r="C230" s="37">
        <v>539</v>
      </c>
      <c r="D230" s="37">
        <v>18</v>
      </c>
      <c r="E230" s="37">
        <v>0</v>
      </c>
      <c r="F230" s="670">
        <v>0</v>
      </c>
      <c r="G230" s="37">
        <v>1</v>
      </c>
      <c r="H230" s="37">
        <v>0</v>
      </c>
      <c r="I230" s="37">
        <v>0</v>
      </c>
      <c r="J230" s="527">
        <f t="shared" si="23"/>
        <v>0.0333951762523191</v>
      </c>
      <c r="K230" s="687">
        <f t="shared" si="24"/>
        <v>8.52833333333333</v>
      </c>
      <c r="L230" s="41">
        <v>284.81</v>
      </c>
      <c r="M230" s="686">
        <v>0</v>
      </c>
      <c r="N230" s="527">
        <v>0</v>
      </c>
      <c r="O230" s="543" t="e">
        <f t="shared" si="26"/>
        <v>#DIV/0!</v>
      </c>
      <c r="P230" s="528" t="e">
        <f t="shared" si="27"/>
        <v>#DIV/0!</v>
      </c>
      <c r="Q230" s="687">
        <f t="shared" si="28"/>
        <v>153.51</v>
      </c>
    </row>
    <row r="231" spans="1:17">
      <c r="A231" s="684">
        <f t="shared" si="25"/>
        <v>44426</v>
      </c>
      <c r="B231" s="670">
        <v>285.39</v>
      </c>
      <c r="C231" s="37">
        <v>942</v>
      </c>
      <c r="D231" s="37">
        <v>37</v>
      </c>
      <c r="E231" s="37">
        <v>0</v>
      </c>
      <c r="F231" s="670">
        <v>0</v>
      </c>
      <c r="G231" s="37">
        <v>0</v>
      </c>
      <c r="H231" s="37">
        <v>1</v>
      </c>
      <c r="I231" s="37">
        <v>1</v>
      </c>
      <c r="J231" s="527">
        <f t="shared" si="23"/>
        <v>0.0392781316348195</v>
      </c>
      <c r="K231" s="687">
        <f t="shared" si="24"/>
        <v>7.71324324324324</v>
      </c>
      <c r="L231" s="41">
        <v>302.96</v>
      </c>
      <c r="M231" s="686">
        <v>0</v>
      </c>
      <c r="N231" s="527">
        <v>0</v>
      </c>
      <c r="O231" s="543" t="e">
        <f t="shared" si="26"/>
        <v>#DIV/0!</v>
      </c>
      <c r="P231" s="528" t="e">
        <f t="shared" si="27"/>
        <v>#DIV/0!</v>
      </c>
      <c r="Q231" s="687" t="e">
        <f t="shared" si="28"/>
        <v>#DIV/0!</v>
      </c>
    </row>
    <row r="232" spans="1:17">
      <c r="A232" s="684">
        <f t="shared" si="25"/>
        <v>44427</v>
      </c>
      <c r="B232" s="670">
        <v>281.99</v>
      </c>
      <c r="C232" s="37">
        <v>1173</v>
      </c>
      <c r="D232" s="37">
        <v>32</v>
      </c>
      <c r="E232" s="37">
        <v>0</v>
      </c>
      <c r="F232" s="670">
        <v>0</v>
      </c>
      <c r="G232" s="37">
        <v>0</v>
      </c>
      <c r="H232" s="37">
        <v>0</v>
      </c>
      <c r="I232" s="37">
        <v>0</v>
      </c>
      <c r="J232" s="527">
        <f t="shared" si="23"/>
        <v>0.0272804774083546</v>
      </c>
      <c r="K232" s="687">
        <f t="shared" si="24"/>
        <v>8.8121875</v>
      </c>
      <c r="L232" s="41">
        <v>240.4</v>
      </c>
      <c r="M232" s="686">
        <v>0</v>
      </c>
      <c r="N232" s="527">
        <v>0</v>
      </c>
      <c r="O232" s="543" t="e">
        <f t="shared" si="26"/>
        <v>#DIV/0!</v>
      </c>
      <c r="P232" s="528" t="e">
        <f t="shared" si="27"/>
        <v>#DIV/0!</v>
      </c>
      <c r="Q232" s="687" t="e">
        <f t="shared" si="28"/>
        <v>#DIV/0!</v>
      </c>
    </row>
    <row r="233" spans="1:17">
      <c r="A233" s="684">
        <f t="shared" si="25"/>
        <v>44428</v>
      </c>
      <c r="B233" s="670">
        <v>293.72</v>
      </c>
      <c r="C233" s="37">
        <v>1090</v>
      </c>
      <c r="D233" s="37">
        <v>46</v>
      </c>
      <c r="E233" s="37">
        <v>0</v>
      </c>
      <c r="F233" s="670">
        <v>0</v>
      </c>
      <c r="G233" s="37">
        <v>1</v>
      </c>
      <c r="H233" s="37">
        <v>0</v>
      </c>
      <c r="I233" s="37">
        <v>1</v>
      </c>
      <c r="J233" s="527">
        <f t="shared" si="23"/>
        <v>0.0422018348623853</v>
      </c>
      <c r="K233" s="687">
        <f t="shared" si="24"/>
        <v>6.38521739130435</v>
      </c>
      <c r="L233" s="41">
        <v>269.47</v>
      </c>
      <c r="M233" s="686">
        <v>0</v>
      </c>
      <c r="N233" s="527">
        <v>0</v>
      </c>
      <c r="O233" s="543" t="e">
        <f t="shared" si="26"/>
        <v>#DIV/0!</v>
      </c>
      <c r="P233" s="528" t="e">
        <f t="shared" si="27"/>
        <v>#DIV/0!</v>
      </c>
      <c r="Q233" s="687">
        <f t="shared" si="28"/>
        <v>293.72</v>
      </c>
    </row>
    <row r="234" spans="1:17">
      <c r="A234" s="684">
        <f t="shared" si="25"/>
        <v>44429</v>
      </c>
      <c r="B234" s="670">
        <v>277.64</v>
      </c>
      <c r="C234" s="37">
        <v>1014</v>
      </c>
      <c r="D234" s="37">
        <v>26</v>
      </c>
      <c r="E234" s="37">
        <v>0</v>
      </c>
      <c r="F234" s="670">
        <v>0</v>
      </c>
      <c r="G234" s="37">
        <v>2</v>
      </c>
      <c r="H234" s="37">
        <v>0</v>
      </c>
      <c r="I234" s="37">
        <v>0</v>
      </c>
      <c r="J234" s="527">
        <f t="shared" si="23"/>
        <v>0.0256410256410256</v>
      </c>
      <c r="K234" s="687">
        <f t="shared" si="24"/>
        <v>10.6784615384615</v>
      </c>
      <c r="L234" s="41">
        <v>273.81</v>
      </c>
      <c r="M234" s="686">
        <v>0</v>
      </c>
      <c r="N234" s="527">
        <v>0</v>
      </c>
      <c r="O234" s="543" t="e">
        <f t="shared" si="26"/>
        <v>#DIV/0!</v>
      </c>
      <c r="P234" s="528" t="e">
        <f t="shared" si="27"/>
        <v>#DIV/0!</v>
      </c>
      <c r="Q234" s="687">
        <f t="shared" si="28"/>
        <v>138.82</v>
      </c>
    </row>
    <row r="235" spans="1:17">
      <c r="A235" s="684">
        <f t="shared" si="25"/>
        <v>44430</v>
      </c>
      <c r="B235" s="670">
        <v>265.46</v>
      </c>
      <c r="C235" s="37">
        <v>1070</v>
      </c>
      <c r="D235" s="37">
        <v>41</v>
      </c>
      <c r="E235" s="37">
        <v>0</v>
      </c>
      <c r="F235" s="670">
        <v>0</v>
      </c>
      <c r="G235" s="37">
        <v>5</v>
      </c>
      <c r="H235" s="37">
        <v>0</v>
      </c>
      <c r="I235" s="37">
        <v>1</v>
      </c>
      <c r="J235" s="527">
        <f t="shared" si="23"/>
        <v>0.0383177570093458</v>
      </c>
      <c r="K235" s="687">
        <f t="shared" si="24"/>
        <v>6.47463414634146</v>
      </c>
      <c r="L235" s="41">
        <v>248.09</v>
      </c>
      <c r="M235" s="686">
        <v>0</v>
      </c>
      <c r="N235" s="527">
        <v>0</v>
      </c>
      <c r="O235" s="543" t="e">
        <f t="shared" si="26"/>
        <v>#DIV/0!</v>
      </c>
      <c r="P235" s="528" t="e">
        <f t="shared" si="27"/>
        <v>#DIV/0!</v>
      </c>
      <c r="Q235" s="687">
        <f t="shared" si="28"/>
        <v>53.092</v>
      </c>
    </row>
    <row r="236" spans="1:17">
      <c r="A236" s="684">
        <f t="shared" si="25"/>
        <v>44431</v>
      </c>
      <c r="B236" s="670">
        <v>279.8</v>
      </c>
      <c r="C236" s="37">
        <v>1009</v>
      </c>
      <c r="D236" s="37">
        <v>36</v>
      </c>
      <c r="E236" s="37">
        <v>0</v>
      </c>
      <c r="F236" s="670">
        <v>0</v>
      </c>
      <c r="G236" s="37">
        <v>1</v>
      </c>
      <c r="H236" s="37">
        <v>0</v>
      </c>
      <c r="I236" s="37">
        <v>0</v>
      </c>
      <c r="J236" s="527">
        <f t="shared" si="23"/>
        <v>0.0356788899900892</v>
      </c>
      <c r="K236" s="687">
        <f t="shared" si="24"/>
        <v>7.77222222222222</v>
      </c>
      <c r="L236" s="41">
        <v>277.3</v>
      </c>
      <c r="M236" s="686">
        <v>0</v>
      </c>
      <c r="N236" s="527">
        <v>0</v>
      </c>
      <c r="O236" s="543" t="e">
        <f t="shared" si="26"/>
        <v>#DIV/0!</v>
      </c>
      <c r="P236" s="528" t="e">
        <f t="shared" si="27"/>
        <v>#DIV/0!</v>
      </c>
      <c r="Q236" s="687">
        <f t="shared" si="28"/>
        <v>279.8</v>
      </c>
    </row>
    <row r="237" spans="1:17">
      <c r="A237" s="684">
        <f t="shared" si="25"/>
        <v>44432</v>
      </c>
      <c r="B237" s="670" t="s">
        <v>18</v>
      </c>
      <c r="C237" s="41" t="s">
        <v>18</v>
      </c>
      <c r="D237" s="41" t="s">
        <v>18</v>
      </c>
      <c r="E237" s="41" t="s">
        <v>18</v>
      </c>
      <c r="F237" s="670" t="s">
        <v>18</v>
      </c>
      <c r="G237" s="41" t="s">
        <v>18</v>
      </c>
      <c r="H237" s="41" t="s">
        <v>18</v>
      </c>
      <c r="I237" s="41" t="s">
        <v>18</v>
      </c>
      <c r="J237" s="527" t="e">
        <f t="shared" si="23"/>
        <v>#VALUE!</v>
      </c>
      <c r="K237" s="687" t="e">
        <f t="shared" si="24"/>
        <v>#VALUE!</v>
      </c>
      <c r="L237" s="41" t="s">
        <v>18</v>
      </c>
      <c r="M237" s="686">
        <v>0</v>
      </c>
      <c r="N237" s="527">
        <v>0</v>
      </c>
      <c r="O237" s="543" t="e">
        <f t="shared" si="26"/>
        <v>#VALUE!</v>
      </c>
      <c r="P237" s="528" t="e">
        <f t="shared" si="27"/>
        <v>#VALUE!</v>
      </c>
      <c r="Q237" s="687" t="e">
        <f t="shared" si="28"/>
        <v>#VALUE!</v>
      </c>
    </row>
    <row r="238" spans="1:17">
      <c r="A238" s="684">
        <f t="shared" si="25"/>
        <v>44433</v>
      </c>
      <c r="B238" s="670">
        <v>199.68</v>
      </c>
      <c r="C238" s="37">
        <v>769</v>
      </c>
      <c r="D238" s="37">
        <v>35</v>
      </c>
      <c r="E238" s="37">
        <v>0</v>
      </c>
      <c r="F238" s="670">
        <v>0</v>
      </c>
      <c r="G238" s="37">
        <v>1</v>
      </c>
      <c r="H238" s="37">
        <v>0</v>
      </c>
      <c r="I238" s="37">
        <v>1</v>
      </c>
      <c r="J238" s="527">
        <f t="shared" si="23"/>
        <v>0.0455136540962289</v>
      </c>
      <c r="K238" s="687">
        <f t="shared" si="24"/>
        <v>5.70514285714286</v>
      </c>
      <c r="L238" s="41">
        <v>259.66</v>
      </c>
      <c r="M238" s="686">
        <v>0</v>
      </c>
      <c r="N238" s="527">
        <v>0</v>
      </c>
      <c r="O238" s="543" t="e">
        <f t="shared" si="26"/>
        <v>#DIV/0!</v>
      </c>
      <c r="P238" s="528" t="e">
        <f t="shared" si="27"/>
        <v>#DIV/0!</v>
      </c>
      <c r="Q238" s="687">
        <f t="shared" si="28"/>
        <v>199.68</v>
      </c>
    </row>
    <row r="239" spans="1:17">
      <c r="A239" s="684">
        <f t="shared" si="25"/>
        <v>44434</v>
      </c>
      <c r="B239" s="670">
        <v>288.21</v>
      </c>
      <c r="C239" s="37">
        <v>979</v>
      </c>
      <c r="D239" s="37">
        <v>37</v>
      </c>
      <c r="E239" s="37">
        <v>0</v>
      </c>
      <c r="F239" s="670">
        <v>0</v>
      </c>
      <c r="G239" s="37">
        <v>0</v>
      </c>
      <c r="H239" s="37">
        <v>0</v>
      </c>
      <c r="I239" s="37">
        <v>0</v>
      </c>
      <c r="J239" s="527">
        <f t="shared" si="23"/>
        <v>0.0377936670071502</v>
      </c>
      <c r="K239" s="687">
        <f t="shared" si="24"/>
        <v>7.78945945945946</v>
      </c>
      <c r="L239" s="41">
        <v>294.39</v>
      </c>
      <c r="M239" s="686">
        <v>0</v>
      </c>
      <c r="N239" s="527">
        <v>0</v>
      </c>
      <c r="O239" s="543" t="e">
        <f t="shared" si="26"/>
        <v>#DIV/0!</v>
      </c>
      <c r="P239" s="528" t="e">
        <f t="shared" si="27"/>
        <v>#DIV/0!</v>
      </c>
      <c r="Q239" s="687" t="e">
        <f t="shared" si="28"/>
        <v>#DIV/0!</v>
      </c>
    </row>
    <row r="240" spans="1:17">
      <c r="A240" s="684">
        <f t="shared" si="25"/>
        <v>44435</v>
      </c>
      <c r="B240" s="670">
        <v>284.79</v>
      </c>
      <c r="C240" s="37">
        <v>1053</v>
      </c>
      <c r="D240" s="37">
        <v>34</v>
      </c>
      <c r="E240" s="37">
        <v>0</v>
      </c>
      <c r="F240" s="670">
        <v>0</v>
      </c>
      <c r="G240" s="37">
        <v>1</v>
      </c>
      <c r="H240" s="37">
        <v>0</v>
      </c>
      <c r="I240" s="37">
        <v>0</v>
      </c>
      <c r="J240" s="527">
        <f t="shared" si="23"/>
        <v>0.0322886989553656</v>
      </c>
      <c r="K240" s="687">
        <f t="shared" si="24"/>
        <v>8.37617647058824</v>
      </c>
      <c r="L240" s="41">
        <v>270.46</v>
      </c>
      <c r="M240" s="686">
        <v>0</v>
      </c>
      <c r="N240" s="527">
        <v>0</v>
      </c>
      <c r="O240" s="543" t="e">
        <f t="shared" si="26"/>
        <v>#DIV/0!</v>
      </c>
      <c r="P240" s="528" t="e">
        <f t="shared" si="27"/>
        <v>#DIV/0!</v>
      </c>
      <c r="Q240" s="687">
        <f t="shared" si="28"/>
        <v>284.79</v>
      </c>
    </row>
    <row r="241" spans="1:17">
      <c r="A241" s="684">
        <f t="shared" si="25"/>
        <v>44436</v>
      </c>
      <c r="B241" s="670">
        <v>272.49</v>
      </c>
      <c r="C241" s="37">
        <v>1047</v>
      </c>
      <c r="D241" s="37">
        <v>27</v>
      </c>
      <c r="E241" s="37">
        <v>0</v>
      </c>
      <c r="F241" s="670">
        <v>0</v>
      </c>
      <c r="G241" s="37">
        <v>3</v>
      </c>
      <c r="H241" s="37">
        <v>0</v>
      </c>
      <c r="I241" s="37">
        <v>0</v>
      </c>
      <c r="J241" s="527">
        <f t="shared" si="23"/>
        <v>0.0257879656160458</v>
      </c>
      <c r="K241" s="687">
        <f t="shared" si="24"/>
        <v>10.0922222222222</v>
      </c>
      <c r="L241" s="41">
        <v>272.49</v>
      </c>
      <c r="M241" s="686">
        <v>0</v>
      </c>
      <c r="N241" s="527">
        <v>0</v>
      </c>
      <c r="O241" s="543" t="e">
        <f t="shared" si="26"/>
        <v>#DIV/0!</v>
      </c>
      <c r="P241" s="528" t="e">
        <f t="shared" si="27"/>
        <v>#DIV/0!</v>
      </c>
      <c r="Q241" s="687">
        <f t="shared" si="28"/>
        <v>90.83</v>
      </c>
    </row>
    <row r="242" spans="1:17">
      <c r="A242" s="684">
        <f t="shared" si="25"/>
        <v>44437</v>
      </c>
      <c r="B242" s="670">
        <v>257.08</v>
      </c>
      <c r="C242" s="37">
        <v>1158</v>
      </c>
      <c r="D242" s="37">
        <v>49</v>
      </c>
      <c r="E242" s="37">
        <v>0</v>
      </c>
      <c r="F242" s="670">
        <v>0</v>
      </c>
      <c r="G242" s="37">
        <v>1</v>
      </c>
      <c r="H242" s="37">
        <v>0</v>
      </c>
      <c r="I242" s="37">
        <v>1</v>
      </c>
      <c r="J242" s="527">
        <f t="shared" si="23"/>
        <v>0.0423143350604491</v>
      </c>
      <c r="K242" s="687">
        <f t="shared" si="24"/>
        <v>5.2465306122449</v>
      </c>
      <c r="L242" s="41">
        <v>222</v>
      </c>
      <c r="M242" s="686">
        <v>0</v>
      </c>
      <c r="N242" s="527">
        <v>0</v>
      </c>
      <c r="O242" s="543" t="e">
        <f t="shared" si="26"/>
        <v>#DIV/0!</v>
      </c>
      <c r="P242" s="528" t="e">
        <f t="shared" si="27"/>
        <v>#DIV/0!</v>
      </c>
      <c r="Q242" s="687">
        <f t="shared" si="28"/>
        <v>257.08</v>
      </c>
    </row>
    <row r="243" spans="1:17">
      <c r="A243" s="684">
        <f t="shared" si="25"/>
        <v>44438</v>
      </c>
      <c r="B243" s="670">
        <v>295.03</v>
      </c>
      <c r="C243" s="37">
        <v>1150</v>
      </c>
      <c r="D243" s="37">
        <v>35</v>
      </c>
      <c r="E243" s="37">
        <v>0</v>
      </c>
      <c r="F243" s="670">
        <v>0</v>
      </c>
      <c r="G243" s="37">
        <v>1</v>
      </c>
      <c r="H243" s="37">
        <v>0</v>
      </c>
      <c r="I243" s="37">
        <v>0</v>
      </c>
      <c r="J243" s="527">
        <f t="shared" si="23"/>
        <v>0.0304347826086957</v>
      </c>
      <c r="K243" s="687">
        <f t="shared" si="24"/>
        <v>8.42942857142857</v>
      </c>
      <c r="L243" s="41">
        <v>256.55</v>
      </c>
      <c r="M243" s="686">
        <v>0</v>
      </c>
      <c r="N243" s="527">
        <v>0</v>
      </c>
      <c r="O243" s="543" t="e">
        <f t="shared" si="26"/>
        <v>#DIV/0!</v>
      </c>
      <c r="P243" s="528" t="e">
        <f t="shared" si="27"/>
        <v>#DIV/0!</v>
      </c>
      <c r="Q243" s="687">
        <f t="shared" si="28"/>
        <v>295.03</v>
      </c>
    </row>
    <row r="244" spans="1:17">
      <c r="A244" s="684">
        <f t="shared" si="25"/>
        <v>44439</v>
      </c>
      <c r="B244" s="670">
        <v>298.7</v>
      </c>
      <c r="C244" s="37">
        <v>1026</v>
      </c>
      <c r="D244" s="37">
        <v>34</v>
      </c>
      <c r="E244" s="37">
        <v>0</v>
      </c>
      <c r="F244" s="670">
        <v>0</v>
      </c>
      <c r="G244" s="37">
        <v>3</v>
      </c>
      <c r="H244" s="37">
        <v>1</v>
      </c>
      <c r="I244" s="37">
        <v>3</v>
      </c>
      <c r="J244" s="527">
        <f t="shared" si="23"/>
        <v>0.0331384015594542</v>
      </c>
      <c r="K244" s="687">
        <f t="shared" si="24"/>
        <v>8.78529411764706</v>
      </c>
      <c r="L244" s="41">
        <v>298.7</v>
      </c>
      <c r="M244" s="686">
        <v>0</v>
      </c>
      <c r="N244" s="527">
        <v>0</v>
      </c>
      <c r="O244" s="543" t="e">
        <f t="shared" si="26"/>
        <v>#DIV/0!</v>
      </c>
      <c r="P244" s="528" t="e">
        <f t="shared" si="27"/>
        <v>#DIV/0!</v>
      </c>
      <c r="Q244" s="687">
        <f t="shared" si="28"/>
        <v>99.5666666666667</v>
      </c>
    </row>
    <row r="245" spans="1:17">
      <c r="A245" s="684">
        <f t="shared" si="25"/>
        <v>44440</v>
      </c>
      <c r="B245" s="670">
        <v>355.12</v>
      </c>
      <c r="C245" s="37">
        <v>1348</v>
      </c>
      <c r="D245" s="37">
        <v>36</v>
      </c>
      <c r="E245" s="37">
        <v>0</v>
      </c>
      <c r="F245" s="670">
        <v>0</v>
      </c>
      <c r="G245" s="37">
        <v>0</v>
      </c>
      <c r="H245" s="37">
        <v>0</v>
      </c>
      <c r="I245" s="37">
        <v>0</v>
      </c>
      <c r="J245" s="527">
        <f t="shared" si="23"/>
        <v>0.0267062314540059</v>
      </c>
      <c r="K245" s="687">
        <f t="shared" si="24"/>
        <v>9.86444444444444</v>
      </c>
      <c r="L245" s="41">
        <v>263.44</v>
      </c>
      <c r="M245" s="686">
        <v>0</v>
      </c>
      <c r="N245" s="527">
        <v>0</v>
      </c>
      <c r="O245" s="543" t="e">
        <f t="shared" si="26"/>
        <v>#DIV/0!</v>
      </c>
      <c r="P245" s="528" t="e">
        <f t="shared" si="27"/>
        <v>#DIV/0!</v>
      </c>
      <c r="Q245" s="687" t="e">
        <f t="shared" si="28"/>
        <v>#DIV/0!</v>
      </c>
    </row>
    <row r="246" spans="1:17">
      <c r="A246" s="684">
        <f t="shared" si="25"/>
        <v>44441</v>
      </c>
      <c r="B246" s="670">
        <v>303.18</v>
      </c>
      <c r="C246" s="37">
        <v>1261</v>
      </c>
      <c r="D246" s="37">
        <v>36</v>
      </c>
      <c r="E246" s="37">
        <v>0</v>
      </c>
      <c r="F246" s="670">
        <v>0</v>
      </c>
      <c r="G246" s="37">
        <v>2</v>
      </c>
      <c r="H246" s="37">
        <v>0</v>
      </c>
      <c r="I246" s="37">
        <v>0</v>
      </c>
      <c r="J246" s="527">
        <f t="shared" si="23"/>
        <v>0.0285487708168121</v>
      </c>
      <c r="K246" s="687">
        <f t="shared" si="24"/>
        <v>8.42166666666667</v>
      </c>
      <c r="L246" s="41">
        <v>240.43</v>
      </c>
      <c r="M246" s="686">
        <v>0</v>
      </c>
      <c r="N246" s="527">
        <v>0</v>
      </c>
      <c r="O246" s="543" t="e">
        <f t="shared" si="26"/>
        <v>#DIV/0!</v>
      </c>
      <c r="P246" s="528" t="e">
        <f t="shared" si="27"/>
        <v>#DIV/0!</v>
      </c>
      <c r="Q246" s="687">
        <f t="shared" si="28"/>
        <v>151.59</v>
      </c>
    </row>
    <row r="247" spans="1:17">
      <c r="A247" s="684">
        <f t="shared" si="25"/>
        <v>44442</v>
      </c>
      <c r="B247" s="670">
        <v>353.35</v>
      </c>
      <c r="C247" s="37">
        <v>1320</v>
      </c>
      <c r="D247" s="37">
        <v>24</v>
      </c>
      <c r="E247" s="37">
        <v>2</v>
      </c>
      <c r="F247" s="911">
        <v>0.02</v>
      </c>
      <c r="G247" s="37">
        <v>0</v>
      </c>
      <c r="H247" s="37">
        <v>0</v>
      </c>
      <c r="I247" s="37">
        <v>2</v>
      </c>
      <c r="J247" s="527">
        <f t="shared" si="23"/>
        <v>0.0181818181818182</v>
      </c>
      <c r="K247" s="687">
        <f t="shared" si="24"/>
        <v>14.7229166666667</v>
      </c>
      <c r="L247" s="41">
        <v>353.35</v>
      </c>
      <c r="M247" s="686">
        <v>0</v>
      </c>
      <c r="N247" s="527">
        <v>0</v>
      </c>
      <c r="O247" s="543">
        <f t="shared" si="26"/>
        <v>0.01</v>
      </c>
      <c r="P247" s="528">
        <f t="shared" si="27"/>
        <v>176.675</v>
      </c>
      <c r="Q247" s="687" t="e">
        <f t="shared" si="28"/>
        <v>#DIV/0!</v>
      </c>
    </row>
    <row r="248" spans="1:17">
      <c r="A248" s="684">
        <f t="shared" si="25"/>
        <v>44443</v>
      </c>
      <c r="B248" s="670" t="s">
        <v>18</v>
      </c>
      <c r="C248" s="41" t="s">
        <v>18</v>
      </c>
      <c r="D248" s="41" t="s">
        <v>18</v>
      </c>
      <c r="E248" s="41" t="s">
        <v>18</v>
      </c>
      <c r="F248" s="670" t="s">
        <v>18</v>
      </c>
      <c r="G248" s="41" t="s">
        <v>18</v>
      </c>
      <c r="H248" s="41" t="s">
        <v>18</v>
      </c>
      <c r="I248" s="41" t="s">
        <v>18</v>
      </c>
      <c r="J248" s="527" t="e">
        <f t="shared" si="23"/>
        <v>#VALUE!</v>
      </c>
      <c r="K248" s="687" t="e">
        <f t="shared" si="24"/>
        <v>#VALUE!</v>
      </c>
      <c r="L248" s="41" t="s">
        <v>18</v>
      </c>
      <c r="M248" s="686">
        <v>0</v>
      </c>
      <c r="N248" s="527">
        <v>0</v>
      </c>
      <c r="O248" s="543" t="e">
        <f t="shared" si="26"/>
        <v>#VALUE!</v>
      </c>
      <c r="P248" s="528" t="e">
        <f t="shared" si="27"/>
        <v>#VALUE!</v>
      </c>
      <c r="Q248" s="687" t="e">
        <f t="shared" si="28"/>
        <v>#VALUE!</v>
      </c>
    </row>
    <row r="249" spans="1:17">
      <c r="A249" s="684">
        <f t="shared" si="25"/>
        <v>44444</v>
      </c>
      <c r="B249" s="670">
        <v>298.2</v>
      </c>
      <c r="C249" s="37">
        <v>1201</v>
      </c>
      <c r="D249" s="37">
        <v>25</v>
      </c>
      <c r="E249" s="37">
        <v>0</v>
      </c>
      <c r="F249" s="670">
        <v>0</v>
      </c>
      <c r="G249" s="37">
        <v>0</v>
      </c>
      <c r="H249" s="37">
        <v>1</v>
      </c>
      <c r="I249" s="37">
        <v>1</v>
      </c>
      <c r="J249" s="527">
        <f t="shared" si="23"/>
        <v>0.0208159866777685</v>
      </c>
      <c r="K249" s="687">
        <f t="shared" si="24"/>
        <v>11.928</v>
      </c>
      <c r="L249" s="41">
        <v>248.29</v>
      </c>
      <c r="M249" s="686">
        <v>0</v>
      </c>
      <c r="N249" s="527">
        <v>0</v>
      </c>
      <c r="O249" s="543" t="e">
        <f t="shared" si="26"/>
        <v>#DIV/0!</v>
      </c>
      <c r="P249" s="528" t="e">
        <f t="shared" si="27"/>
        <v>#DIV/0!</v>
      </c>
      <c r="Q249" s="687" t="e">
        <f t="shared" si="28"/>
        <v>#DIV/0!</v>
      </c>
    </row>
    <row r="250" spans="1:17">
      <c r="A250" s="684">
        <f t="shared" si="25"/>
        <v>44445</v>
      </c>
      <c r="B250" s="670">
        <v>267.99</v>
      </c>
      <c r="C250" s="37">
        <v>1050</v>
      </c>
      <c r="D250" s="37">
        <v>26</v>
      </c>
      <c r="E250" s="37">
        <v>0</v>
      </c>
      <c r="F250" s="670">
        <v>0</v>
      </c>
      <c r="G250" s="37">
        <v>0</v>
      </c>
      <c r="H250" s="37">
        <v>0</v>
      </c>
      <c r="I250" s="37">
        <v>0</v>
      </c>
      <c r="J250" s="527">
        <f t="shared" si="23"/>
        <v>0.0247619047619048</v>
      </c>
      <c r="K250" s="687">
        <f t="shared" si="24"/>
        <v>10.3073076923077</v>
      </c>
      <c r="L250" s="41">
        <v>255.23</v>
      </c>
      <c r="M250" s="686">
        <v>0</v>
      </c>
      <c r="N250" s="527">
        <v>0</v>
      </c>
      <c r="O250" s="543" t="e">
        <f t="shared" si="26"/>
        <v>#DIV/0!</v>
      </c>
      <c r="P250" s="528" t="e">
        <f t="shared" si="27"/>
        <v>#DIV/0!</v>
      </c>
      <c r="Q250" s="687" t="e">
        <f t="shared" si="28"/>
        <v>#DIV/0!</v>
      </c>
    </row>
    <row r="251" spans="1:17">
      <c r="A251" s="684">
        <f t="shared" si="25"/>
        <v>44446</v>
      </c>
      <c r="B251" s="670" t="s">
        <v>18</v>
      </c>
      <c r="C251" s="41" t="s">
        <v>18</v>
      </c>
      <c r="D251" s="41" t="s">
        <v>18</v>
      </c>
      <c r="E251" s="41" t="s">
        <v>18</v>
      </c>
      <c r="F251" s="670" t="s">
        <v>18</v>
      </c>
      <c r="G251" s="41" t="s">
        <v>18</v>
      </c>
      <c r="H251" s="41" t="s">
        <v>18</v>
      </c>
      <c r="I251" s="41" t="s">
        <v>18</v>
      </c>
      <c r="J251" s="527" t="e">
        <f t="shared" si="23"/>
        <v>#VALUE!</v>
      </c>
      <c r="K251" s="687" t="e">
        <f t="shared" si="24"/>
        <v>#VALUE!</v>
      </c>
      <c r="L251" s="41" t="s">
        <v>18</v>
      </c>
      <c r="M251" s="686">
        <v>0</v>
      </c>
      <c r="N251" s="527">
        <v>0</v>
      </c>
      <c r="O251" s="543" t="e">
        <f t="shared" si="26"/>
        <v>#VALUE!</v>
      </c>
      <c r="P251" s="528" t="e">
        <f t="shared" si="27"/>
        <v>#VALUE!</v>
      </c>
      <c r="Q251" s="687" t="e">
        <f t="shared" si="28"/>
        <v>#VALUE!</v>
      </c>
    </row>
    <row r="252" spans="1:17">
      <c r="A252" s="684">
        <f t="shared" si="25"/>
        <v>44447</v>
      </c>
      <c r="B252" s="670">
        <v>294.57</v>
      </c>
      <c r="C252" s="37">
        <v>1059</v>
      </c>
      <c r="D252" s="37">
        <v>43</v>
      </c>
      <c r="E252" s="37">
        <v>0</v>
      </c>
      <c r="F252" s="670">
        <v>0</v>
      </c>
      <c r="G252" s="37">
        <v>1</v>
      </c>
      <c r="H252" s="37">
        <v>1</v>
      </c>
      <c r="I252" s="37">
        <v>1</v>
      </c>
      <c r="J252" s="527">
        <f t="shared" si="23"/>
        <v>0.040604343720491</v>
      </c>
      <c r="K252" s="687">
        <f t="shared" si="24"/>
        <v>6.85046511627907</v>
      </c>
      <c r="L252" s="41">
        <v>278.16</v>
      </c>
      <c r="M252" s="686">
        <v>0</v>
      </c>
      <c r="N252" s="527">
        <v>0</v>
      </c>
      <c r="O252" s="543" t="e">
        <f t="shared" si="26"/>
        <v>#DIV/0!</v>
      </c>
      <c r="P252" s="528" t="e">
        <f t="shared" si="27"/>
        <v>#DIV/0!</v>
      </c>
      <c r="Q252" s="687">
        <f t="shared" si="28"/>
        <v>294.57</v>
      </c>
    </row>
    <row r="253" spans="1:17">
      <c r="A253" s="684">
        <f t="shared" si="25"/>
        <v>44448</v>
      </c>
      <c r="B253" s="670">
        <v>276.23</v>
      </c>
      <c r="C253" s="37">
        <v>982</v>
      </c>
      <c r="D253" s="37">
        <v>38</v>
      </c>
      <c r="E253" s="37">
        <v>0</v>
      </c>
      <c r="F253" s="670">
        <v>0</v>
      </c>
      <c r="G253" s="37">
        <v>1</v>
      </c>
      <c r="H253" s="37">
        <v>0</v>
      </c>
      <c r="I253" s="37">
        <v>0</v>
      </c>
      <c r="J253" s="527">
        <f t="shared" si="23"/>
        <v>0.0386965376782077</v>
      </c>
      <c r="K253" s="687">
        <f t="shared" si="24"/>
        <v>7.26921052631579</v>
      </c>
      <c r="L253" s="41">
        <v>281.29</v>
      </c>
      <c r="M253" s="686">
        <v>0</v>
      </c>
      <c r="N253" s="527">
        <v>0</v>
      </c>
      <c r="O253" s="543" t="e">
        <f t="shared" si="26"/>
        <v>#DIV/0!</v>
      </c>
      <c r="P253" s="528" t="e">
        <f t="shared" si="27"/>
        <v>#DIV/0!</v>
      </c>
      <c r="Q253" s="687">
        <f t="shared" si="28"/>
        <v>276.23</v>
      </c>
    </row>
    <row r="254" spans="1:17">
      <c r="A254" s="684">
        <f t="shared" si="25"/>
        <v>44449</v>
      </c>
      <c r="B254" s="670">
        <v>195.14</v>
      </c>
      <c r="C254" s="37">
        <v>814</v>
      </c>
      <c r="D254" s="37">
        <v>31</v>
      </c>
      <c r="E254" s="37">
        <v>0</v>
      </c>
      <c r="F254" s="670">
        <v>0</v>
      </c>
      <c r="G254" s="37">
        <v>0</v>
      </c>
      <c r="H254" s="37">
        <v>0</v>
      </c>
      <c r="I254" s="37">
        <v>0</v>
      </c>
      <c r="J254" s="527">
        <f t="shared" si="23"/>
        <v>0.0380835380835381</v>
      </c>
      <c r="K254" s="687">
        <f t="shared" si="24"/>
        <v>6.29483870967742</v>
      </c>
      <c r="L254" s="41">
        <v>239.73</v>
      </c>
      <c r="M254" s="686">
        <v>0</v>
      </c>
      <c r="N254" s="527">
        <v>0</v>
      </c>
      <c r="O254" s="543" t="e">
        <f t="shared" si="26"/>
        <v>#DIV/0!</v>
      </c>
      <c r="P254" s="528" t="e">
        <f t="shared" si="27"/>
        <v>#DIV/0!</v>
      </c>
      <c r="Q254" s="687" t="e">
        <f t="shared" si="28"/>
        <v>#DIV/0!</v>
      </c>
    </row>
    <row r="255" spans="1:17">
      <c r="A255" s="684">
        <f t="shared" si="25"/>
        <v>44450</v>
      </c>
      <c r="B255" s="670" t="s">
        <v>18</v>
      </c>
      <c r="C255" s="41" t="s">
        <v>18</v>
      </c>
      <c r="D255" s="41" t="s">
        <v>18</v>
      </c>
      <c r="E255" s="41" t="s">
        <v>18</v>
      </c>
      <c r="F255" s="670" t="s">
        <v>18</v>
      </c>
      <c r="G255" s="41" t="s">
        <v>18</v>
      </c>
      <c r="H255" s="41" t="s">
        <v>18</v>
      </c>
      <c r="I255" s="41" t="s">
        <v>18</v>
      </c>
      <c r="J255" s="527" t="e">
        <f t="shared" si="23"/>
        <v>#VALUE!</v>
      </c>
      <c r="K255" s="687" t="e">
        <f t="shared" si="24"/>
        <v>#VALUE!</v>
      </c>
      <c r="L255" s="41" t="s">
        <v>18</v>
      </c>
      <c r="M255" s="686">
        <v>0</v>
      </c>
      <c r="N255" s="527">
        <v>0</v>
      </c>
      <c r="O255" s="543" t="e">
        <f t="shared" si="26"/>
        <v>#VALUE!</v>
      </c>
      <c r="P255" s="528" t="e">
        <f t="shared" si="27"/>
        <v>#VALUE!</v>
      </c>
      <c r="Q255" s="687" t="e">
        <f t="shared" si="28"/>
        <v>#VALUE!</v>
      </c>
    </row>
    <row r="256" spans="1:17">
      <c r="A256" s="684">
        <f t="shared" si="25"/>
        <v>44451</v>
      </c>
      <c r="B256" s="670" t="s">
        <v>18</v>
      </c>
      <c r="C256" s="41" t="s">
        <v>18</v>
      </c>
      <c r="D256" s="41" t="s">
        <v>18</v>
      </c>
      <c r="E256" s="41" t="s">
        <v>18</v>
      </c>
      <c r="F256" s="670" t="s">
        <v>18</v>
      </c>
      <c r="G256" s="41" t="s">
        <v>18</v>
      </c>
      <c r="H256" s="41" t="s">
        <v>18</v>
      </c>
      <c r="I256" s="41" t="s">
        <v>18</v>
      </c>
      <c r="J256" s="527" t="e">
        <f t="shared" si="23"/>
        <v>#VALUE!</v>
      </c>
      <c r="K256" s="687" t="e">
        <f t="shared" si="24"/>
        <v>#VALUE!</v>
      </c>
      <c r="L256" s="41" t="s">
        <v>18</v>
      </c>
      <c r="M256" s="686">
        <v>0</v>
      </c>
      <c r="N256" s="527">
        <v>0</v>
      </c>
      <c r="O256" s="543" t="e">
        <f t="shared" si="26"/>
        <v>#VALUE!</v>
      </c>
      <c r="P256" s="528" t="e">
        <f t="shared" si="27"/>
        <v>#VALUE!</v>
      </c>
      <c r="Q256" s="687" t="e">
        <f t="shared" si="28"/>
        <v>#VALUE!</v>
      </c>
    </row>
    <row r="257" spans="1:17">
      <c r="A257" s="684">
        <f t="shared" si="25"/>
        <v>44452</v>
      </c>
      <c r="B257" s="670">
        <v>191.37</v>
      </c>
      <c r="C257" s="37">
        <v>883</v>
      </c>
      <c r="D257" s="37">
        <v>17</v>
      </c>
      <c r="E257" s="37">
        <v>0</v>
      </c>
      <c r="F257" s="670">
        <v>0</v>
      </c>
      <c r="G257" s="37">
        <v>0</v>
      </c>
      <c r="H257" s="37">
        <v>1</v>
      </c>
      <c r="I257" s="37">
        <v>0</v>
      </c>
      <c r="J257" s="527">
        <f t="shared" si="23"/>
        <v>0.0192525481313703</v>
      </c>
      <c r="K257" s="687">
        <f t="shared" si="24"/>
        <v>11.2570588235294</v>
      </c>
      <c r="L257" s="41">
        <v>216.73</v>
      </c>
      <c r="M257" s="686">
        <v>0</v>
      </c>
      <c r="N257" s="527">
        <v>0</v>
      </c>
      <c r="O257" s="543" t="e">
        <f t="shared" si="26"/>
        <v>#DIV/0!</v>
      </c>
      <c r="P257" s="528" t="e">
        <f t="shared" si="27"/>
        <v>#DIV/0!</v>
      </c>
      <c r="Q257" s="687" t="e">
        <f t="shared" si="28"/>
        <v>#DIV/0!</v>
      </c>
    </row>
    <row r="258" spans="1:17">
      <c r="A258" s="684">
        <f t="shared" si="25"/>
        <v>44453</v>
      </c>
      <c r="B258" s="670" t="s">
        <v>18</v>
      </c>
      <c r="J258" s="527" t="e">
        <f t="shared" ref="J258:J321" si="29">D258/C258</f>
        <v>#DIV/0!</v>
      </c>
      <c r="K258" s="687" t="e">
        <f t="shared" ref="K258:K321" si="30">B258/D258</f>
        <v>#VALUE!</v>
      </c>
      <c r="M258" s="686">
        <v>0</v>
      </c>
      <c r="N258" s="527">
        <v>0</v>
      </c>
      <c r="O258" s="543" t="e">
        <f t="shared" si="26"/>
        <v>#DIV/0!</v>
      </c>
      <c r="P258" s="528" t="e">
        <f t="shared" si="27"/>
        <v>#VALUE!</v>
      </c>
      <c r="Q258" s="687" t="e">
        <f t="shared" si="28"/>
        <v>#VALUE!</v>
      </c>
    </row>
    <row r="259" spans="1:17">
      <c r="A259" s="684">
        <f t="shared" si="25"/>
        <v>44454</v>
      </c>
      <c r="B259" s="670">
        <v>252.1</v>
      </c>
      <c r="C259" s="37">
        <v>1001</v>
      </c>
      <c r="D259" s="37">
        <v>29</v>
      </c>
      <c r="E259" s="37">
        <v>1</v>
      </c>
      <c r="F259" s="670">
        <v>0.01</v>
      </c>
      <c r="G259" s="37">
        <v>1</v>
      </c>
      <c r="H259" s="37">
        <v>0</v>
      </c>
      <c r="I259" s="37">
        <v>0</v>
      </c>
      <c r="J259" s="527">
        <f t="shared" si="29"/>
        <v>0.028971028971029</v>
      </c>
      <c r="K259" s="687">
        <f t="shared" si="30"/>
        <v>8.69310344827586</v>
      </c>
      <c r="L259" s="41">
        <v>251.85</v>
      </c>
      <c r="M259" s="686">
        <v>0</v>
      </c>
      <c r="N259" s="527">
        <v>0</v>
      </c>
      <c r="O259" s="543">
        <f t="shared" si="26"/>
        <v>0.01</v>
      </c>
      <c r="P259" s="528">
        <f t="shared" si="27"/>
        <v>252.1</v>
      </c>
      <c r="Q259" s="687">
        <f t="shared" si="28"/>
        <v>252.1</v>
      </c>
    </row>
    <row r="260" spans="1:17">
      <c r="A260" s="684">
        <f t="shared" si="25"/>
        <v>44455</v>
      </c>
      <c r="B260" s="670">
        <v>269.62</v>
      </c>
      <c r="C260" s="37">
        <v>971</v>
      </c>
      <c r="D260" s="37">
        <v>37</v>
      </c>
      <c r="E260" s="37">
        <v>0</v>
      </c>
      <c r="F260" s="670">
        <v>0</v>
      </c>
      <c r="G260" s="37">
        <v>0</v>
      </c>
      <c r="H260" s="37">
        <v>0</v>
      </c>
      <c r="I260" s="37">
        <v>2</v>
      </c>
      <c r="J260" s="527">
        <f t="shared" si="29"/>
        <v>0.0381050463439753</v>
      </c>
      <c r="K260" s="687">
        <f t="shared" si="30"/>
        <v>7.28702702702703</v>
      </c>
      <c r="L260" s="41">
        <v>277.67</v>
      </c>
      <c r="M260" s="686">
        <v>0</v>
      </c>
      <c r="N260" s="527">
        <v>0</v>
      </c>
      <c r="O260" s="543" t="e">
        <f t="shared" si="26"/>
        <v>#DIV/0!</v>
      </c>
      <c r="P260" s="528" t="e">
        <f t="shared" si="27"/>
        <v>#DIV/0!</v>
      </c>
      <c r="Q260" s="687" t="e">
        <f t="shared" si="28"/>
        <v>#DIV/0!</v>
      </c>
    </row>
    <row r="261" spans="1:17">
      <c r="A261" s="684">
        <f t="shared" si="25"/>
        <v>44456</v>
      </c>
      <c r="B261" s="670">
        <v>153.18</v>
      </c>
      <c r="C261" s="37">
        <v>540</v>
      </c>
      <c r="D261" s="37">
        <v>17</v>
      </c>
      <c r="E261" s="37">
        <v>0</v>
      </c>
      <c r="F261" s="670">
        <v>0</v>
      </c>
      <c r="G261" s="37">
        <v>0</v>
      </c>
      <c r="H261" s="37">
        <v>0</v>
      </c>
      <c r="I261" s="37">
        <v>2</v>
      </c>
      <c r="J261" s="527">
        <f t="shared" si="29"/>
        <v>0.0314814814814815</v>
      </c>
      <c r="K261" s="687">
        <f t="shared" si="30"/>
        <v>9.01058823529412</v>
      </c>
      <c r="M261" s="686">
        <v>0</v>
      </c>
      <c r="N261" s="527">
        <v>0</v>
      </c>
      <c r="O261" s="543" t="e">
        <f t="shared" si="26"/>
        <v>#DIV/0!</v>
      </c>
      <c r="P261" s="528" t="e">
        <f t="shared" si="27"/>
        <v>#DIV/0!</v>
      </c>
      <c r="Q261" s="687" t="e">
        <f t="shared" si="28"/>
        <v>#DIV/0!</v>
      </c>
    </row>
    <row r="262" spans="1:17">
      <c r="A262" s="684">
        <f t="shared" si="25"/>
        <v>44457</v>
      </c>
      <c r="B262" s="670" t="s">
        <v>18</v>
      </c>
      <c r="J262" s="527" t="e">
        <f t="shared" si="29"/>
        <v>#DIV/0!</v>
      </c>
      <c r="K262" s="687" t="e">
        <f t="shared" si="30"/>
        <v>#VALUE!</v>
      </c>
      <c r="M262" s="686">
        <v>0</v>
      </c>
      <c r="N262" s="527">
        <v>0</v>
      </c>
      <c r="O262" s="543" t="e">
        <f t="shared" si="26"/>
        <v>#DIV/0!</v>
      </c>
      <c r="P262" s="528" t="e">
        <f t="shared" si="27"/>
        <v>#VALUE!</v>
      </c>
      <c r="Q262" s="687" t="e">
        <f t="shared" si="28"/>
        <v>#VALUE!</v>
      </c>
    </row>
    <row r="263" spans="1:17">
      <c r="A263" s="684">
        <f t="shared" si="25"/>
        <v>44458</v>
      </c>
      <c r="B263" s="670">
        <v>258.44</v>
      </c>
      <c r="C263" s="37">
        <v>1168</v>
      </c>
      <c r="D263" s="37">
        <v>28</v>
      </c>
      <c r="E263" s="37">
        <v>0</v>
      </c>
      <c r="F263" s="670">
        <v>0</v>
      </c>
      <c r="G263" s="37">
        <v>1</v>
      </c>
      <c r="H263" s="37">
        <v>0</v>
      </c>
      <c r="I263" s="37">
        <v>1</v>
      </c>
      <c r="J263" s="527">
        <f t="shared" si="29"/>
        <v>0.023972602739726</v>
      </c>
      <c r="K263" s="687">
        <f t="shared" si="30"/>
        <v>9.23</v>
      </c>
      <c r="L263" s="41">
        <v>258.44</v>
      </c>
      <c r="M263" s="686">
        <v>0</v>
      </c>
      <c r="N263" s="527">
        <v>0</v>
      </c>
      <c r="O263" s="543" t="e">
        <f t="shared" si="26"/>
        <v>#DIV/0!</v>
      </c>
      <c r="P263" s="528" t="e">
        <f t="shared" si="27"/>
        <v>#DIV/0!</v>
      </c>
      <c r="Q263" s="687">
        <f t="shared" si="28"/>
        <v>258.44</v>
      </c>
    </row>
    <row r="264" spans="1:17">
      <c r="A264" s="684">
        <f t="shared" si="25"/>
        <v>44459</v>
      </c>
      <c r="B264" s="670">
        <v>255.38</v>
      </c>
      <c r="C264" s="37">
        <v>1169</v>
      </c>
      <c r="D264" s="37">
        <v>24</v>
      </c>
      <c r="E264" s="37">
        <v>0</v>
      </c>
      <c r="F264" s="670">
        <v>0</v>
      </c>
      <c r="G264" s="37">
        <v>0</v>
      </c>
      <c r="H264" s="37">
        <v>0</v>
      </c>
      <c r="I264" s="37">
        <v>0</v>
      </c>
      <c r="J264" s="527">
        <f t="shared" si="29"/>
        <v>0.0205303678357571</v>
      </c>
      <c r="K264" s="687">
        <f t="shared" si="30"/>
        <v>10.6408333333333</v>
      </c>
      <c r="L264" s="41">
        <v>218.46</v>
      </c>
      <c r="M264" s="686">
        <v>0</v>
      </c>
      <c r="N264" s="527">
        <v>0</v>
      </c>
      <c r="O264" s="543" t="e">
        <f t="shared" si="26"/>
        <v>#DIV/0!</v>
      </c>
      <c r="P264" s="528" t="e">
        <f t="shared" si="27"/>
        <v>#DIV/0!</v>
      </c>
      <c r="Q264" s="687" t="e">
        <f t="shared" si="28"/>
        <v>#DIV/0!</v>
      </c>
    </row>
    <row r="265" spans="1:17">
      <c r="A265" s="684">
        <f t="shared" si="25"/>
        <v>44460</v>
      </c>
      <c r="B265" s="670" t="s">
        <v>18</v>
      </c>
      <c r="C265" s="41" t="s">
        <v>18</v>
      </c>
      <c r="D265" s="41" t="s">
        <v>18</v>
      </c>
      <c r="E265" s="41" t="s">
        <v>18</v>
      </c>
      <c r="F265" s="670" t="s">
        <v>18</v>
      </c>
      <c r="G265" s="41" t="s">
        <v>18</v>
      </c>
      <c r="H265" s="41" t="s">
        <v>18</v>
      </c>
      <c r="I265" s="41" t="s">
        <v>18</v>
      </c>
      <c r="J265" s="527" t="e">
        <f t="shared" si="29"/>
        <v>#VALUE!</v>
      </c>
      <c r="K265" s="687" t="e">
        <f t="shared" si="30"/>
        <v>#VALUE!</v>
      </c>
      <c r="L265" s="41" t="s">
        <v>18</v>
      </c>
      <c r="M265" s="686">
        <v>0</v>
      </c>
      <c r="N265" s="527">
        <v>0</v>
      </c>
      <c r="O265" s="543" t="e">
        <f t="shared" si="26"/>
        <v>#VALUE!</v>
      </c>
      <c r="P265" s="528" t="e">
        <f t="shared" si="27"/>
        <v>#VALUE!</v>
      </c>
      <c r="Q265" s="687" t="e">
        <f t="shared" si="28"/>
        <v>#VALUE!</v>
      </c>
    </row>
    <row r="266" spans="1:17">
      <c r="A266" s="684">
        <f t="shared" ref="A266:A329" si="31">A265+1</f>
        <v>44461</v>
      </c>
      <c r="B266" s="670">
        <v>240</v>
      </c>
      <c r="C266" s="37">
        <v>1019</v>
      </c>
      <c r="D266" s="37">
        <v>35</v>
      </c>
      <c r="E266" s="37">
        <v>0</v>
      </c>
      <c r="F266" s="670">
        <v>0</v>
      </c>
      <c r="G266" s="37">
        <v>1</v>
      </c>
      <c r="H266" s="37">
        <v>0</v>
      </c>
      <c r="I266" s="37">
        <v>1</v>
      </c>
      <c r="J266" s="527">
        <f t="shared" si="29"/>
        <v>0.0343473994111874</v>
      </c>
      <c r="K266" s="687">
        <f t="shared" si="30"/>
        <v>6.85714285714286</v>
      </c>
      <c r="L266" s="41">
        <v>253.53</v>
      </c>
      <c r="M266" s="686">
        <v>0</v>
      </c>
      <c r="N266" s="527">
        <v>0</v>
      </c>
      <c r="O266" s="543" t="e">
        <f t="shared" si="26"/>
        <v>#DIV/0!</v>
      </c>
      <c r="P266" s="528" t="e">
        <f t="shared" si="27"/>
        <v>#DIV/0!</v>
      </c>
      <c r="Q266" s="687">
        <f t="shared" si="28"/>
        <v>240</v>
      </c>
    </row>
    <row r="267" spans="1:17">
      <c r="A267" s="684">
        <f t="shared" si="31"/>
        <v>44462</v>
      </c>
      <c r="B267" s="670">
        <v>226.43</v>
      </c>
      <c r="C267" s="37">
        <v>978</v>
      </c>
      <c r="D267" s="37">
        <v>22</v>
      </c>
      <c r="E267" s="37">
        <v>0</v>
      </c>
      <c r="F267" s="670">
        <v>0</v>
      </c>
      <c r="G267" s="37">
        <v>0</v>
      </c>
      <c r="H267" s="37">
        <v>0</v>
      </c>
      <c r="I267" s="37">
        <v>0</v>
      </c>
      <c r="J267" s="527">
        <f t="shared" si="29"/>
        <v>0.0224948875255624</v>
      </c>
      <c r="K267" s="687">
        <f t="shared" si="30"/>
        <v>10.2922727272727</v>
      </c>
      <c r="L267" s="41">
        <v>231.52</v>
      </c>
      <c r="M267" s="686">
        <v>0</v>
      </c>
      <c r="N267" s="527">
        <v>0</v>
      </c>
      <c r="O267" s="543" t="e">
        <f t="shared" si="26"/>
        <v>#DIV/0!</v>
      </c>
      <c r="P267" s="528" t="e">
        <f t="shared" si="27"/>
        <v>#DIV/0!</v>
      </c>
      <c r="Q267" s="687" t="e">
        <f t="shared" si="28"/>
        <v>#DIV/0!</v>
      </c>
    </row>
    <row r="268" spans="1:17">
      <c r="A268" s="684">
        <f t="shared" si="31"/>
        <v>44463</v>
      </c>
      <c r="B268" s="670">
        <v>201.88</v>
      </c>
      <c r="C268" s="37">
        <v>921</v>
      </c>
      <c r="D268" s="37">
        <v>17</v>
      </c>
      <c r="E268" s="37">
        <v>0</v>
      </c>
      <c r="F268" s="670">
        <v>0</v>
      </c>
      <c r="G268" s="37">
        <v>0</v>
      </c>
      <c r="H268" s="37">
        <v>1</v>
      </c>
      <c r="I268" s="37">
        <v>0</v>
      </c>
      <c r="J268" s="527">
        <f t="shared" si="29"/>
        <v>0.0184581976112921</v>
      </c>
      <c r="K268" s="687">
        <f t="shared" si="30"/>
        <v>11.8752941176471</v>
      </c>
      <c r="L268" s="41">
        <v>219.2</v>
      </c>
      <c r="M268" s="686">
        <v>0</v>
      </c>
      <c r="N268" s="527">
        <v>0</v>
      </c>
      <c r="O268" s="543" t="e">
        <f t="shared" si="26"/>
        <v>#DIV/0!</v>
      </c>
      <c r="P268" s="528" t="e">
        <f t="shared" si="27"/>
        <v>#DIV/0!</v>
      </c>
      <c r="Q268" s="687" t="e">
        <f t="shared" si="28"/>
        <v>#DIV/0!</v>
      </c>
    </row>
    <row r="269" spans="1:17">
      <c r="A269" s="684">
        <f t="shared" si="31"/>
        <v>44464</v>
      </c>
      <c r="B269" s="670" t="s">
        <v>18</v>
      </c>
      <c r="J269" s="527" t="e">
        <f t="shared" si="29"/>
        <v>#DIV/0!</v>
      </c>
      <c r="K269" s="687" t="e">
        <f t="shared" si="30"/>
        <v>#VALUE!</v>
      </c>
      <c r="M269" s="686">
        <v>0</v>
      </c>
      <c r="N269" s="527">
        <v>0</v>
      </c>
      <c r="O269" s="543" t="e">
        <f t="shared" si="26"/>
        <v>#DIV/0!</v>
      </c>
      <c r="P269" s="528" t="e">
        <f t="shared" si="27"/>
        <v>#VALUE!</v>
      </c>
      <c r="Q269" s="687" t="e">
        <f t="shared" si="28"/>
        <v>#VALUE!</v>
      </c>
    </row>
    <row r="270" spans="1:17">
      <c r="A270" s="684">
        <f t="shared" si="31"/>
        <v>44465</v>
      </c>
      <c r="B270" s="670">
        <v>298.32</v>
      </c>
      <c r="C270" s="37">
        <v>1095</v>
      </c>
      <c r="D270" s="37">
        <v>26</v>
      </c>
      <c r="E270" s="37">
        <v>0</v>
      </c>
      <c r="F270" s="670">
        <v>0</v>
      </c>
      <c r="G270" s="37">
        <v>0</v>
      </c>
      <c r="H270" s="37">
        <v>0</v>
      </c>
      <c r="I270" s="37">
        <v>0</v>
      </c>
      <c r="J270" s="527">
        <f t="shared" si="29"/>
        <v>0.0237442922374429</v>
      </c>
      <c r="K270" s="687">
        <f t="shared" si="30"/>
        <v>11.4738461538462</v>
      </c>
      <c r="L270" s="41">
        <v>272.44</v>
      </c>
      <c r="M270" s="686">
        <v>0</v>
      </c>
      <c r="N270" s="527">
        <v>0</v>
      </c>
      <c r="O270" s="543" t="e">
        <f t="shared" ref="O270:O333" si="32">F270/E270</f>
        <v>#DIV/0!</v>
      </c>
      <c r="P270" s="528" t="e">
        <f t="shared" ref="P270:P333" si="33">B270/E270</f>
        <v>#DIV/0!</v>
      </c>
      <c r="Q270" s="687" t="e">
        <f t="shared" ref="Q270:Q333" si="34">B270/G270</f>
        <v>#DIV/0!</v>
      </c>
    </row>
    <row r="271" spans="1:17">
      <c r="A271" s="684">
        <f t="shared" si="31"/>
        <v>44466</v>
      </c>
      <c r="B271" s="670">
        <v>296.66</v>
      </c>
      <c r="C271" s="37">
        <v>1146</v>
      </c>
      <c r="D271" s="37">
        <v>26</v>
      </c>
      <c r="E271" s="37">
        <v>0</v>
      </c>
      <c r="F271" s="670">
        <v>0</v>
      </c>
      <c r="G271" s="37">
        <v>1</v>
      </c>
      <c r="H271" s="37">
        <v>0</v>
      </c>
      <c r="I271" s="37">
        <v>0</v>
      </c>
      <c r="J271" s="527">
        <f t="shared" si="29"/>
        <v>0.0226876090750436</v>
      </c>
      <c r="K271" s="687">
        <f t="shared" si="30"/>
        <v>11.41</v>
      </c>
      <c r="L271" s="41">
        <v>258.87</v>
      </c>
      <c r="M271" s="686">
        <v>0</v>
      </c>
      <c r="N271" s="527">
        <v>0</v>
      </c>
      <c r="O271" s="543" t="e">
        <f t="shared" si="32"/>
        <v>#DIV/0!</v>
      </c>
      <c r="P271" s="528" t="e">
        <f t="shared" si="33"/>
        <v>#DIV/0!</v>
      </c>
      <c r="Q271" s="687">
        <f t="shared" si="34"/>
        <v>296.66</v>
      </c>
    </row>
    <row r="272" spans="1:17">
      <c r="A272" s="684">
        <f t="shared" si="31"/>
        <v>44467</v>
      </c>
      <c r="B272" s="670">
        <v>213.23</v>
      </c>
      <c r="C272" s="37">
        <v>785</v>
      </c>
      <c r="D272" s="37">
        <v>49</v>
      </c>
      <c r="E272" s="37">
        <v>0</v>
      </c>
      <c r="F272" s="670">
        <v>0</v>
      </c>
      <c r="G272" s="37">
        <v>1</v>
      </c>
      <c r="H272" s="37">
        <v>0</v>
      </c>
      <c r="I272" s="37">
        <v>3</v>
      </c>
      <c r="J272" s="527">
        <f t="shared" si="29"/>
        <v>0.0624203821656051</v>
      </c>
      <c r="K272" s="687">
        <f t="shared" si="30"/>
        <v>4.35163265306122</v>
      </c>
      <c r="L272" s="41">
        <v>271.63</v>
      </c>
      <c r="M272" s="686">
        <v>0</v>
      </c>
      <c r="N272" s="527">
        <v>0</v>
      </c>
      <c r="O272" s="543" t="e">
        <f t="shared" si="32"/>
        <v>#DIV/0!</v>
      </c>
      <c r="P272" s="528" t="e">
        <f t="shared" si="33"/>
        <v>#DIV/0!</v>
      </c>
      <c r="Q272" s="687">
        <f t="shared" si="34"/>
        <v>213.23</v>
      </c>
    </row>
    <row r="273" spans="1:17">
      <c r="A273" s="684">
        <f t="shared" si="31"/>
        <v>44468</v>
      </c>
      <c r="B273" s="670">
        <v>284.81</v>
      </c>
      <c r="C273" s="37">
        <v>1119</v>
      </c>
      <c r="D273" s="37">
        <v>59</v>
      </c>
      <c r="E273" s="37">
        <v>0</v>
      </c>
      <c r="F273" s="670">
        <v>0</v>
      </c>
      <c r="G273" s="37">
        <v>0</v>
      </c>
      <c r="H273" s="37">
        <v>0</v>
      </c>
      <c r="I273" s="37">
        <v>0</v>
      </c>
      <c r="J273" s="527">
        <f t="shared" si="29"/>
        <v>0.0527256478999106</v>
      </c>
      <c r="K273" s="687">
        <f t="shared" si="30"/>
        <v>4.82728813559322</v>
      </c>
      <c r="L273" s="41">
        <v>254.52</v>
      </c>
      <c r="M273" s="686">
        <v>0</v>
      </c>
      <c r="N273" s="527">
        <v>0</v>
      </c>
      <c r="O273" s="543" t="e">
        <f t="shared" si="32"/>
        <v>#DIV/0!</v>
      </c>
      <c r="P273" s="528" t="e">
        <f t="shared" si="33"/>
        <v>#DIV/0!</v>
      </c>
      <c r="Q273" s="687" t="e">
        <f t="shared" si="34"/>
        <v>#DIV/0!</v>
      </c>
    </row>
    <row r="274" spans="1:17">
      <c r="A274" s="684">
        <f t="shared" si="31"/>
        <v>44469</v>
      </c>
      <c r="B274" s="670">
        <v>249.47</v>
      </c>
      <c r="C274" s="37">
        <v>1102</v>
      </c>
      <c r="D274" s="37">
        <v>57</v>
      </c>
      <c r="E274" s="37">
        <v>3</v>
      </c>
      <c r="F274" s="670">
        <v>264</v>
      </c>
      <c r="G274" s="37">
        <v>2</v>
      </c>
      <c r="H274" s="37">
        <v>0</v>
      </c>
      <c r="I274" s="37">
        <v>2</v>
      </c>
      <c r="J274" s="527">
        <f t="shared" si="29"/>
        <v>0.0517241379310345</v>
      </c>
      <c r="K274" s="687">
        <f t="shared" si="30"/>
        <v>4.37666666666667</v>
      </c>
      <c r="L274" s="41">
        <v>244.53</v>
      </c>
      <c r="M274" s="686">
        <v>0</v>
      </c>
      <c r="N274" s="527">
        <v>0</v>
      </c>
      <c r="O274" s="543">
        <f t="shared" si="32"/>
        <v>88</v>
      </c>
      <c r="P274" s="528">
        <f t="shared" si="33"/>
        <v>83.1566666666667</v>
      </c>
      <c r="Q274" s="687">
        <f t="shared" si="34"/>
        <v>124.735</v>
      </c>
    </row>
    <row r="275" spans="1:17">
      <c r="A275" s="684">
        <f t="shared" si="31"/>
        <v>44470</v>
      </c>
      <c r="B275" s="670">
        <v>279.55</v>
      </c>
      <c r="C275" s="37">
        <v>1275</v>
      </c>
      <c r="D275" s="37">
        <v>41</v>
      </c>
      <c r="E275" s="37">
        <v>0</v>
      </c>
      <c r="F275" s="670">
        <v>0</v>
      </c>
      <c r="G275" s="37">
        <v>2</v>
      </c>
      <c r="H275" s="37">
        <v>0</v>
      </c>
      <c r="I275" s="37">
        <v>0</v>
      </c>
      <c r="J275" s="527">
        <f t="shared" si="29"/>
        <v>0.032156862745098</v>
      </c>
      <c r="K275" s="687">
        <f t="shared" si="30"/>
        <v>6.81829268292683</v>
      </c>
      <c r="L275" s="41">
        <v>219.25</v>
      </c>
      <c r="M275" s="686">
        <v>0</v>
      </c>
      <c r="N275" s="527">
        <v>0</v>
      </c>
      <c r="O275" s="543" t="e">
        <f t="shared" si="32"/>
        <v>#DIV/0!</v>
      </c>
      <c r="P275" s="528" t="e">
        <f t="shared" si="33"/>
        <v>#DIV/0!</v>
      </c>
      <c r="Q275" s="687">
        <f t="shared" si="34"/>
        <v>139.775</v>
      </c>
    </row>
    <row r="276" spans="1:17">
      <c r="A276" s="684">
        <f t="shared" si="31"/>
        <v>44471</v>
      </c>
      <c r="B276" s="670" t="s">
        <v>18</v>
      </c>
      <c r="J276" s="527" t="e">
        <f t="shared" si="29"/>
        <v>#DIV/0!</v>
      </c>
      <c r="K276" s="687" t="e">
        <f t="shared" si="30"/>
        <v>#VALUE!</v>
      </c>
      <c r="M276" s="686">
        <v>0</v>
      </c>
      <c r="N276" s="527">
        <v>0</v>
      </c>
      <c r="O276" s="543" t="e">
        <f t="shared" si="32"/>
        <v>#DIV/0!</v>
      </c>
      <c r="P276" s="528" t="e">
        <f t="shared" si="33"/>
        <v>#VALUE!</v>
      </c>
      <c r="Q276" s="687" t="e">
        <f t="shared" si="34"/>
        <v>#VALUE!</v>
      </c>
    </row>
    <row r="277" spans="1:17">
      <c r="A277" s="684">
        <f t="shared" si="31"/>
        <v>44472</v>
      </c>
      <c r="B277" s="670">
        <v>263.6</v>
      </c>
      <c r="C277" s="37">
        <v>1288</v>
      </c>
      <c r="D277" s="37">
        <v>27</v>
      </c>
      <c r="E277" s="37">
        <v>0</v>
      </c>
      <c r="F277" s="670">
        <v>0</v>
      </c>
      <c r="G277" s="37">
        <v>1</v>
      </c>
      <c r="H277" s="37">
        <v>0</v>
      </c>
      <c r="I277" s="37">
        <v>0</v>
      </c>
      <c r="J277" s="527">
        <f t="shared" si="29"/>
        <v>0.0209627329192547</v>
      </c>
      <c r="K277" s="687">
        <f t="shared" si="30"/>
        <v>9.76296296296296</v>
      </c>
      <c r="L277" s="41">
        <v>204.66</v>
      </c>
      <c r="M277" s="686">
        <v>0</v>
      </c>
      <c r="N277" s="527">
        <v>0</v>
      </c>
      <c r="O277" s="543" t="e">
        <f t="shared" si="32"/>
        <v>#DIV/0!</v>
      </c>
      <c r="P277" s="528" t="e">
        <f t="shared" si="33"/>
        <v>#DIV/0!</v>
      </c>
      <c r="Q277" s="687">
        <f t="shared" si="34"/>
        <v>263.6</v>
      </c>
    </row>
    <row r="278" spans="1:17">
      <c r="A278" s="684">
        <f t="shared" si="31"/>
        <v>44473</v>
      </c>
      <c r="B278" s="670">
        <v>285.11</v>
      </c>
      <c r="C278" s="37">
        <v>1304</v>
      </c>
      <c r="D278" s="37">
        <v>40</v>
      </c>
      <c r="E278" s="37">
        <v>0</v>
      </c>
      <c r="F278" s="670">
        <v>0</v>
      </c>
      <c r="G278" s="37">
        <v>4</v>
      </c>
      <c r="H278" s="37">
        <v>0</v>
      </c>
      <c r="I278" s="37">
        <v>0</v>
      </c>
      <c r="J278" s="527">
        <f t="shared" si="29"/>
        <v>0.0306748466257669</v>
      </c>
      <c r="K278" s="687">
        <f t="shared" si="30"/>
        <v>7.12775</v>
      </c>
      <c r="L278" s="41">
        <v>218.64</v>
      </c>
      <c r="M278" s="686">
        <v>0</v>
      </c>
      <c r="N278" s="527">
        <v>0</v>
      </c>
      <c r="O278" s="543" t="e">
        <f t="shared" si="32"/>
        <v>#DIV/0!</v>
      </c>
      <c r="P278" s="528" t="e">
        <f t="shared" si="33"/>
        <v>#DIV/0!</v>
      </c>
      <c r="Q278" s="687">
        <f t="shared" si="34"/>
        <v>71.2775</v>
      </c>
    </row>
    <row r="279" spans="1:17">
      <c r="A279" s="684">
        <f t="shared" si="31"/>
        <v>44474</v>
      </c>
      <c r="B279" s="670" t="s">
        <v>18</v>
      </c>
      <c r="J279" s="527" t="e">
        <f t="shared" si="29"/>
        <v>#DIV/0!</v>
      </c>
      <c r="K279" s="687" t="e">
        <f t="shared" si="30"/>
        <v>#VALUE!</v>
      </c>
      <c r="M279" s="686">
        <v>0</v>
      </c>
      <c r="N279" s="527">
        <v>0</v>
      </c>
      <c r="O279" s="543" t="e">
        <f t="shared" si="32"/>
        <v>#DIV/0!</v>
      </c>
      <c r="P279" s="528" t="e">
        <f t="shared" si="33"/>
        <v>#VALUE!</v>
      </c>
      <c r="Q279" s="687" t="e">
        <f t="shared" si="34"/>
        <v>#VALUE!</v>
      </c>
    </row>
    <row r="280" spans="1:17">
      <c r="A280" s="684">
        <f t="shared" si="31"/>
        <v>44475</v>
      </c>
      <c r="B280" s="670">
        <v>298.87</v>
      </c>
      <c r="C280" s="37">
        <v>1087</v>
      </c>
      <c r="D280" s="37">
        <v>31</v>
      </c>
      <c r="E280" s="37">
        <v>0</v>
      </c>
      <c r="F280" s="670">
        <v>0</v>
      </c>
      <c r="G280" s="37">
        <v>2</v>
      </c>
      <c r="H280" s="37">
        <v>0</v>
      </c>
      <c r="I280" s="37">
        <v>0</v>
      </c>
      <c r="J280" s="527">
        <f t="shared" si="29"/>
        <v>0.0285188592456302</v>
      </c>
      <c r="K280" s="687">
        <f t="shared" si="30"/>
        <v>9.64096774193548</v>
      </c>
      <c r="L280" s="41">
        <v>274.95</v>
      </c>
      <c r="M280" s="686">
        <v>0</v>
      </c>
      <c r="N280" s="527">
        <v>0</v>
      </c>
      <c r="O280" s="543" t="e">
        <f t="shared" si="32"/>
        <v>#DIV/0!</v>
      </c>
      <c r="P280" s="528" t="e">
        <f t="shared" si="33"/>
        <v>#DIV/0!</v>
      </c>
      <c r="Q280" s="687">
        <f t="shared" si="34"/>
        <v>149.435</v>
      </c>
    </row>
    <row r="281" spans="1:17">
      <c r="A281" s="684">
        <f t="shared" si="31"/>
        <v>44476</v>
      </c>
      <c r="B281" s="670">
        <v>298.74</v>
      </c>
      <c r="C281" s="37">
        <v>1006</v>
      </c>
      <c r="D281" s="37">
        <v>36</v>
      </c>
      <c r="E281" s="37">
        <v>2</v>
      </c>
      <c r="F281" s="670">
        <v>386</v>
      </c>
      <c r="G281" s="37">
        <v>4</v>
      </c>
      <c r="H281" s="37">
        <v>0</v>
      </c>
      <c r="I281" s="37">
        <v>1</v>
      </c>
      <c r="J281" s="527">
        <f t="shared" si="29"/>
        <v>0.0357852882703777</v>
      </c>
      <c r="K281" s="687">
        <f t="shared" si="30"/>
        <v>8.29833333333333</v>
      </c>
      <c r="L281" s="41">
        <v>296.96</v>
      </c>
      <c r="M281" s="686">
        <v>0</v>
      </c>
      <c r="N281" s="527">
        <v>0</v>
      </c>
      <c r="O281" s="543">
        <f t="shared" si="32"/>
        <v>193</v>
      </c>
      <c r="P281" s="528">
        <f t="shared" si="33"/>
        <v>149.37</v>
      </c>
      <c r="Q281" s="687">
        <f t="shared" si="34"/>
        <v>74.685</v>
      </c>
    </row>
    <row r="282" spans="1:17">
      <c r="A282" s="684">
        <f t="shared" si="31"/>
        <v>44477</v>
      </c>
      <c r="B282" s="670">
        <v>297.17</v>
      </c>
      <c r="C282" s="37">
        <v>1069</v>
      </c>
      <c r="D282" s="37">
        <v>28</v>
      </c>
      <c r="E282" s="37">
        <v>0</v>
      </c>
      <c r="F282" s="670">
        <v>0</v>
      </c>
      <c r="G282" s="37">
        <v>1</v>
      </c>
      <c r="H282" s="37">
        <v>2</v>
      </c>
      <c r="I282" s="37">
        <v>1</v>
      </c>
      <c r="J282" s="527">
        <f t="shared" si="29"/>
        <v>0.0261927034611787</v>
      </c>
      <c r="K282" s="687">
        <f t="shared" si="30"/>
        <v>10.6132142857143</v>
      </c>
      <c r="L282" s="41">
        <v>277.99</v>
      </c>
      <c r="M282" s="686">
        <v>0</v>
      </c>
      <c r="N282" s="527">
        <v>0</v>
      </c>
      <c r="O282" s="543" t="e">
        <f t="shared" si="32"/>
        <v>#DIV/0!</v>
      </c>
      <c r="P282" s="528" t="e">
        <f t="shared" si="33"/>
        <v>#DIV/0!</v>
      </c>
      <c r="Q282" s="687">
        <f t="shared" si="34"/>
        <v>297.17</v>
      </c>
    </row>
    <row r="283" spans="1:17">
      <c r="A283" s="684">
        <f t="shared" si="31"/>
        <v>44478</v>
      </c>
      <c r="B283" s="670" t="s">
        <v>18</v>
      </c>
      <c r="J283" s="527" t="e">
        <f t="shared" si="29"/>
        <v>#DIV/0!</v>
      </c>
      <c r="K283" s="687" t="e">
        <f t="shared" si="30"/>
        <v>#VALUE!</v>
      </c>
      <c r="M283" s="686">
        <v>0</v>
      </c>
      <c r="N283" s="527">
        <v>0</v>
      </c>
      <c r="O283" s="543" t="e">
        <f t="shared" si="32"/>
        <v>#DIV/0!</v>
      </c>
      <c r="P283" s="528" t="e">
        <f t="shared" si="33"/>
        <v>#VALUE!</v>
      </c>
      <c r="Q283" s="687" t="e">
        <f t="shared" si="34"/>
        <v>#VALUE!</v>
      </c>
    </row>
    <row r="284" spans="1:17">
      <c r="A284" s="684">
        <f t="shared" si="31"/>
        <v>44479</v>
      </c>
      <c r="B284" s="670">
        <v>288.29</v>
      </c>
      <c r="C284" s="37">
        <v>1205</v>
      </c>
      <c r="D284" s="37">
        <v>33</v>
      </c>
      <c r="E284" s="37">
        <v>0</v>
      </c>
      <c r="F284" s="670">
        <v>0</v>
      </c>
      <c r="G284" s="37">
        <v>1</v>
      </c>
      <c r="H284" s="37">
        <v>0</v>
      </c>
      <c r="I284" s="37">
        <v>3</v>
      </c>
      <c r="J284" s="527">
        <f t="shared" si="29"/>
        <v>0.0273858921161826</v>
      </c>
      <c r="K284" s="687">
        <f t="shared" si="30"/>
        <v>8.73606060606061</v>
      </c>
      <c r="L284" s="41">
        <v>239.24</v>
      </c>
      <c r="M284" s="686">
        <v>0</v>
      </c>
      <c r="N284" s="527">
        <v>0</v>
      </c>
      <c r="O284" s="543" t="e">
        <f t="shared" si="32"/>
        <v>#DIV/0!</v>
      </c>
      <c r="P284" s="528" t="e">
        <f t="shared" si="33"/>
        <v>#DIV/0!</v>
      </c>
      <c r="Q284" s="687">
        <f t="shared" si="34"/>
        <v>288.29</v>
      </c>
    </row>
    <row r="285" spans="1:17">
      <c r="A285" s="684">
        <f t="shared" si="31"/>
        <v>44480</v>
      </c>
      <c r="B285" s="670">
        <v>298.88</v>
      </c>
      <c r="C285" s="37">
        <v>1019</v>
      </c>
      <c r="D285" s="37">
        <v>30</v>
      </c>
      <c r="E285" s="37">
        <v>0</v>
      </c>
      <c r="F285" s="670">
        <v>0</v>
      </c>
      <c r="G285" s="37">
        <v>2</v>
      </c>
      <c r="H285" s="37">
        <v>0</v>
      </c>
      <c r="I285" s="37">
        <v>1</v>
      </c>
      <c r="J285" s="527">
        <f t="shared" si="29"/>
        <v>0.0294406280667321</v>
      </c>
      <c r="K285" s="687">
        <f t="shared" si="30"/>
        <v>9.96266666666667</v>
      </c>
      <c r="L285" s="41">
        <v>293.31</v>
      </c>
      <c r="M285" s="686">
        <v>0</v>
      </c>
      <c r="N285" s="527">
        <v>0</v>
      </c>
      <c r="O285" s="543" t="e">
        <f t="shared" si="32"/>
        <v>#DIV/0!</v>
      </c>
      <c r="P285" s="528" t="e">
        <f t="shared" si="33"/>
        <v>#DIV/0!</v>
      </c>
      <c r="Q285" s="687">
        <f t="shared" si="34"/>
        <v>149.44</v>
      </c>
    </row>
    <row r="286" spans="1:17">
      <c r="A286" s="684">
        <f t="shared" si="31"/>
        <v>44481</v>
      </c>
      <c r="B286" s="670" t="s">
        <v>18</v>
      </c>
      <c r="J286" s="527" t="e">
        <f t="shared" si="29"/>
        <v>#DIV/0!</v>
      </c>
      <c r="K286" s="687" t="e">
        <f t="shared" si="30"/>
        <v>#VALUE!</v>
      </c>
      <c r="M286" s="686">
        <v>0</v>
      </c>
      <c r="N286" s="527">
        <v>0</v>
      </c>
      <c r="O286" s="543" t="e">
        <f t="shared" si="32"/>
        <v>#DIV/0!</v>
      </c>
      <c r="P286" s="528" t="e">
        <f t="shared" si="33"/>
        <v>#VALUE!</v>
      </c>
      <c r="Q286" s="687" t="e">
        <f t="shared" si="34"/>
        <v>#VALUE!</v>
      </c>
    </row>
    <row r="287" spans="1:17">
      <c r="A287" s="684">
        <f t="shared" si="31"/>
        <v>44482</v>
      </c>
      <c r="B287" s="670">
        <v>298.6</v>
      </c>
      <c r="C287" s="37">
        <v>985</v>
      </c>
      <c r="D287" s="37">
        <v>29</v>
      </c>
      <c r="E287" s="37">
        <v>0</v>
      </c>
      <c r="F287" s="670">
        <v>0</v>
      </c>
      <c r="G287" s="37">
        <v>4</v>
      </c>
      <c r="H287" s="37">
        <v>2</v>
      </c>
      <c r="I287" s="37">
        <v>1</v>
      </c>
      <c r="J287" s="527">
        <f t="shared" si="29"/>
        <v>0.0294416243654822</v>
      </c>
      <c r="K287" s="687">
        <f t="shared" si="30"/>
        <v>10.2965517241379</v>
      </c>
      <c r="L287" s="41">
        <v>298.6</v>
      </c>
      <c r="M287" s="686">
        <v>0</v>
      </c>
      <c r="N287" s="527">
        <v>0</v>
      </c>
      <c r="O287" s="543" t="e">
        <f t="shared" si="32"/>
        <v>#DIV/0!</v>
      </c>
      <c r="P287" s="528" t="e">
        <f t="shared" si="33"/>
        <v>#DIV/0!</v>
      </c>
      <c r="Q287" s="687">
        <f t="shared" si="34"/>
        <v>74.65</v>
      </c>
    </row>
    <row r="288" spans="1:17">
      <c r="A288" s="684">
        <f t="shared" si="31"/>
        <v>44483</v>
      </c>
      <c r="B288" s="670">
        <v>481.13</v>
      </c>
      <c r="C288" s="37">
        <v>1403</v>
      </c>
      <c r="D288" s="37">
        <v>84</v>
      </c>
      <c r="E288" s="37">
        <v>3</v>
      </c>
      <c r="F288" s="670">
        <v>264.01</v>
      </c>
      <c r="G288" s="37">
        <v>5</v>
      </c>
      <c r="H288" s="37">
        <v>2</v>
      </c>
      <c r="I288" s="37">
        <v>0</v>
      </c>
      <c r="J288" s="527">
        <f t="shared" si="29"/>
        <v>0.059871703492516</v>
      </c>
      <c r="K288" s="687">
        <f t="shared" si="30"/>
        <v>5.7277380952381</v>
      </c>
      <c r="L288" s="41">
        <v>342.93</v>
      </c>
      <c r="M288" s="686">
        <v>0</v>
      </c>
      <c r="N288" s="527">
        <v>0</v>
      </c>
      <c r="O288" s="543">
        <f t="shared" si="32"/>
        <v>88.0033333333333</v>
      </c>
      <c r="P288" s="528">
        <f t="shared" si="33"/>
        <v>160.376666666667</v>
      </c>
      <c r="Q288" s="687">
        <f t="shared" si="34"/>
        <v>96.226</v>
      </c>
    </row>
    <row r="289" spans="1:17">
      <c r="A289" s="684">
        <f t="shared" si="31"/>
        <v>44484</v>
      </c>
      <c r="B289" s="670">
        <v>298.57</v>
      </c>
      <c r="C289" s="37">
        <v>976</v>
      </c>
      <c r="D289" s="37">
        <v>24</v>
      </c>
      <c r="E289" s="37">
        <v>0</v>
      </c>
      <c r="F289" s="670">
        <v>0</v>
      </c>
      <c r="G289" s="37">
        <v>3</v>
      </c>
      <c r="H289" s="37">
        <v>0</v>
      </c>
      <c r="I289" s="37">
        <v>2</v>
      </c>
      <c r="J289" s="527">
        <f t="shared" si="29"/>
        <v>0.0245901639344262</v>
      </c>
      <c r="K289" s="687">
        <f t="shared" si="30"/>
        <v>12.4404166666667</v>
      </c>
      <c r="L289" s="41">
        <v>305.91</v>
      </c>
      <c r="M289" s="686">
        <v>0</v>
      </c>
      <c r="N289" s="527">
        <v>0</v>
      </c>
      <c r="O289" s="543" t="e">
        <f t="shared" si="32"/>
        <v>#DIV/0!</v>
      </c>
      <c r="P289" s="528" t="e">
        <f t="shared" si="33"/>
        <v>#DIV/0!</v>
      </c>
      <c r="Q289" s="687">
        <f t="shared" si="34"/>
        <v>99.5233333333333</v>
      </c>
    </row>
    <row r="290" spans="1:17">
      <c r="A290" s="684">
        <f t="shared" si="31"/>
        <v>44485</v>
      </c>
      <c r="B290" s="670" t="s">
        <v>18</v>
      </c>
      <c r="J290" s="527" t="e">
        <f t="shared" si="29"/>
        <v>#DIV/0!</v>
      </c>
      <c r="K290" s="687" t="e">
        <f t="shared" si="30"/>
        <v>#VALUE!</v>
      </c>
      <c r="M290" s="686">
        <v>0</v>
      </c>
      <c r="N290" s="527">
        <v>0</v>
      </c>
      <c r="O290" s="543" t="e">
        <f t="shared" si="32"/>
        <v>#DIV/0!</v>
      </c>
      <c r="P290" s="528" t="e">
        <f t="shared" si="33"/>
        <v>#VALUE!</v>
      </c>
      <c r="Q290" s="687" t="e">
        <f t="shared" si="34"/>
        <v>#VALUE!</v>
      </c>
    </row>
    <row r="291" spans="1:17">
      <c r="A291" s="684">
        <f t="shared" si="31"/>
        <v>44486</v>
      </c>
      <c r="B291" s="670">
        <v>297.84</v>
      </c>
      <c r="C291" s="37">
        <v>1085</v>
      </c>
      <c r="D291" s="37">
        <v>29</v>
      </c>
      <c r="E291" s="37">
        <v>0</v>
      </c>
      <c r="F291" s="670">
        <v>0</v>
      </c>
      <c r="G291" s="37">
        <v>2</v>
      </c>
      <c r="H291" s="37">
        <v>0</v>
      </c>
      <c r="I291" s="37">
        <v>3</v>
      </c>
      <c r="J291" s="527">
        <f t="shared" si="29"/>
        <v>0.0267281105990783</v>
      </c>
      <c r="K291" s="687">
        <f t="shared" si="30"/>
        <v>10.2703448275862</v>
      </c>
      <c r="L291" s="41">
        <v>274.51</v>
      </c>
      <c r="M291" s="686">
        <v>0</v>
      </c>
      <c r="N291" s="527">
        <v>0</v>
      </c>
      <c r="O291" s="543" t="e">
        <f t="shared" si="32"/>
        <v>#DIV/0!</v>
      </c>
      <c r="P291" s="528" t="e">
        <f t="shared" si="33"/>
        <v>#DIV/0!</v>
      </c>
      <c r="Q291" s="687">
        <f t="shared" si="34"/>
        <v>148.92</v>
      </c>
    </row>
    <row r="292" spans="1:17">
      <c r="A292" s="684">
        <f t="shared" si="31"/>
        <v>44487</v>
      </c>
      <c r="B292" s="670">
        <v>298.63</v>
      </c>
      <c r="C292" s="37">
        <v>941</v>
      </c>
      <c r="D292" s="37">
        <v>35</v>
      </c>
      <c r="E292" s="37">
        <v>1</v>
      </c>
      <c r="F292" s="670">
        <v>188</v>
      </c>
      <c r="G292" s="37">
        <v>1</v>
      </c>
      <c r="H292" s="37">
        <v>0</v>
      </c>
      <c r="I292" s="37">
        <v>3</v>
      </c>
      <c r="J292" s="527">
        <f t="shared" si="29"/>
        <v>0.0371944739638682</v>
      </c>
      <c r="K292" s="687">
        <f t="shared" si="30"/>
        <v>8.53228571428571</v>
      </c>
      <c r="L292" s="41">
        <v>317.35</v>
      </c>
      <c r="M292" s="686">
        <v>0</v>
      </c>
      <c r="N292" s="527">
        <v>0</v>
      </c>
      <c r="O292" s="543">
        <f t="shared" si="32"/>
        <v>188</v>
      </c>
      <c r="P292" s="528">
        <f t="shared" si="33"/>
        <v>298.63</v>
      </c>
      <c r="Q292" s="687">
        <f t="shared" si="34"/>
        <v>298.63</v>
      </c>
    </row>
    <row r="293" spans="1:17">
      <c r="A293" s="684">
        <f t="shared" si="31"/>
        <v>44488</v>
      </c>
      <c r="B293" s="670" t="s">
        <v>18</v>
      </c>
      <c r="J293" s="527" t="e">
        <f t="shared" si="29"/>
        <v>#DIV/0!</v>
      </c>
      <c r="K293" s="687" t="e">
        <f t="shared" si="30"/>
        <v>#VALUE!</v>
      </c>
      <c r="M293" s="686">
        <v>0</v>
      </c>
      <c r="N293" s="527">
        <v>0</v>
      </c>
      <c r="O293" s="543" t="e">
        <f t="shared" si="32"/>
        <v>#DIV/0!</v>
      </c>
      <c r="P293" s="528" t="e">
        <f t="shared" si="33"/>
        <v>#VALUE!</v>
      </c>
      <c r="Q293" s="687" t="e">
        <f t="shared" si="34"/>
        <v>#VALUE!</v>
      </c>
    </row>
    <row r="294" spans="1:17">
      <c r="A294" s="684">
        <f t="shared" si="31"/>
        <v>44489</v>
      </c>
      <c r="B294" s="670">
        <v>195.85</v>
      </c>
      <c r="C294" s="37">
        <v>449</v>
      </c>
      <c r="D294" s="37">
        <v>42</v>
      </c>
      <c r="E294" s="37">
        <v>2</v>
      </c>
      <c r="F294" s="670">
        <v>2853</v>
      </c>
      <c r="G294" s="37">
        <v>3</v>
      </c>
      <c r="H294" s="37">
        <v>0</v>
      </c>
      <c r="I294" s="37">
        <v>2</v>
      </c>
      <c r="J294" s="527">
        <f t="shared" si="29"/>
        <v>0.0935412026726058</v>
      </c>
      <c r="K294" s="687">
        <f t="shared" si="30"/>
        <v>4.66309523809524</v>
      </c>
      <c r="L294" s="41">
        <v>436.19</v>
      </c>
      <c r="M294" s="686">
        <v>0</v>
      </c>
      <c r="N294" s="527">
        <v>0</v>
      </c>
      <c r="O294" s="543">
        <f t="shared" si="32"/>
        <v>1426.5</v>
      </c>
      <c r="P294" s="528">
        <f t="shared" si="33"/>
        <v>97.925</v>
      </c>
      <c r="Q294" s="687">
        <f t="shared" si="34"/>
        <v>65.2833333333333</v>
      </c>
    </row>
    <row r="295" spans="1:17">
      <c r="A295" s="684">
        <f t="shared" si="31"/>
        <v>44490</v>
      </c>
      <c r="B295" s="670">
        <v>498.28</v>
      </c>
      <c r="C295" s="37">
        <v>1230</v>
      </c>
      <c r="D295" s="37">
        <v>90</v>
      </c>
      <c r="E295" s="37">
        <v>4</v>
      </c>
      <c r="F295" s="670">
        <v>3476.5</v>
      </c>
      <c r="G295" s="37">
        <v>0</v>
      </c>
      <c r="H295" s="37">
        <v>2</v>
      </c>
      <c r="I295" s="37">
        <v>5</v>
      </c>
      <c r="J295" s="527">
        <f t="shared" si="29"/>
        <v>0.0731707317073171</v>
      </c>
      <c r="K295" s="687">
        <f t="shared" si="30"/>
        <v>5.53644444444444</v>
      </c>
      <c r="L295" s="41">
        <v>405.11</v>
      </c>
      <c r="M295" s="686">
        <v>0</v>
      </c>
      <c r="N295" s="527">
        <v>0</v>
      </c>
      <c r="O295" s="543">
        <f t="shared" si="32"/>
        <v>869.125</v>
      </c>
      <c r="P295" s="528">
        <f t="shared" si="33"/>
        <v>124.57</v>
      </c>
      <c r="Q295" s="687" t="e">
        <f t="shared" si="34"/>
        <v>#DIV/0!</v>
      </c>
    </row>
    <row r="296" spans="1:17">
      <c r="A296" s="684">
        <f t="shared" si="31"/>
        <v>44491</v>
      </c>
      <c r="B296" s="670">
        <v>299.19</v>
      </c>
      <c r="C296" s="37">
        <v>837</v>
      </c>
      <c r="D296" s="37">
        <v>47</v>
      </c>
      <c r="E296" s="37">
        <v>3</v>
      </c>
      <c r="F296" s="670">
        <v>4379.6</v>
      </c>
      <c r="G296" s="37">
        <v>0</v>
      </c>
      <c r="H296" s="37">
        <v>1</v>
      </c>
      <c r="I296" s="37">
        <v>0</v>
      </c>
      <c r="J296" s="527">
        <f t="shared" si="29"/>
        <v>0.0561529271206691</v>
      </c>
      <c r="K296" s="687">
        <f t="shared" si="30"/>
        <v>6.36574468085106</v>
      </c>
      <c r="L296" s="41">
        <v>357.46</v>
      </c>
      <c r="M296" s="686">
        <v>0</v>
      </c>
      <c r="N296" s="527">
        <v>0</v>
      </c>
      <c r="O296" s="543">
        <f t="shared" si="32"/>
        <v>1459.86666666667</v>
      </c>
      <c r="P296" s="528">
        <f t="shared" si="33"/>
        <v>99.73</v>
      </c>
      <c r="Q296" s="687" t="e">
        <f t="shared" si="34"/>
        <v>#DIV/0!</v>
      </c>
    </row>
    <row r="297" spans="1:17">
      <c r="A297" s="684">
        <f t="shared" si="31"/>
        <v>44492</v>
      </c>
      <c r="B297" s="670">
        <v>298.69</v>
      </c>
      <c r="C297" s="37">
        <v>1013</v>
      </c>
      <c r="D297" s="37">
        <v>36</v>
      </c>
      <c r="E297" s="37">
        <v>1</v>
      </c>
      <c r="F297" s="670">
        <v>944.37</v>
      </c>
      <c r="G297" s="37">
        <v>0</v>
      </c>
      <c r="H297" s="37">
        <v>0</v>
      </c>
      <c r="I297" s="37">
        <v>0</v>
      </c>
      <c r="J297" s="527">
        <f t="shared" si="29"/>
        <v>0.035538005923001</v>
      </c>
      <c r="K297" s="687">
        <f t="shared" si="30"/>
        <v>8.29694444444444</v>
      </c>
      <c r="L297" s="41">
        <v>294.86</v>
      </c>
      <c r="M297" s="686">
        <v>0</v>
      </c>
      <c r="N297" s="527">
        <v>0</v>
      </c>
      <c r="O297" s="543">
        <f t="shared" si="32"/>
        <v>944.37</v>
      </c>
      <c r="P297" s="528">
        <f t="shared" si="33"/>
        <v>298.69</v>
      </c>
      <c r="Q297" s="687" t="e">
        <f t="shared" si="34"/>
        <v>#DIV/0!</v>
      </c>
    </row>
    <row r="298" spans="1:17">
      <c r="A298" s="684">
        <f t="shared" si="31"/>
        <v>44493</v>
      </c>
      <c r="B298" s="670">
        <v>293.38</v>
      </c>
      <c r="C298" s="37">
        <v>1093</v>
      </c>
      <c r="D298" s="37">
        <v>33</v>
      </c>
      <c r="E298" s="37">
        <v>0</v>
      </c>
      <c r="F298" s="670">
        <v>0</v>
      </c>
      <c r="G298" s="37">
        <v>1</v>
      </c>
      <c r="H298" s="37">
        <v>2</v>
      </c>
      <c r="I298" s="37">
        <v>1</v>
      </c>
      <c r="J298" s="527">
        <f t="shared" si="29"/>
        <v>0.030192131747484</v>
      </c>
      <c r="K298" s="687">
        <f t="shared" si="30"/>
        <v>8.89030303030303</v>
      </c>
      <c r="L298" s="41">
        <v>268.42</v>
      </c>
      <c r="M298" s="686">
        <v>0</v>
      </c>
      <c r="N298" s="527">
        <v>0</v>
      </c>
      <c r="O298" s="543" t="e">
        <f t="shared" si="32"/>
        <v>#DIV/0!</v>
      </c>
      <c r="P298" s="528" t="e">
        <f t="shared" si="33"/>
        <v>#DIV/0!</v>
      </c>
      <c r="Q298" s="687">
        <f t="shared" si="34"/>
        <v>293.38</v>
      </c>
    </row>
    <row r="299" spans="1:17">
      <c r="A299" s="684">
        <f t="shared" si="31"/>
        <v>44494</v>
      </c>
      <c r="B299" s="670">
        <v>298.95</v>
      </c>
      <c r="C299" s="37">
        <v>947</v>
      </c>
      <c r="D299" s="37">
        <v>60</v>
      </c>
      <c r="E299" s="37">
        <v>3</v>
      </c>
      <c r="F299" s="670">
        <v>1144.93</v>
      </c>
      <c r="G299" s="37">
        <v>0</v>
      </c>
      <c r="H299" s="37">
        <v>3</v>
      </c>
      <c r="I299" s="37">
        <v>1</v>
      </c>
      <c r="J299" s="527">
        <f t="shared" si="29"/>
        <v>0.0633579725448786</v>
      </c>
      <c r="K299" s="687">
        <f t="shared" si="30"/>
        <v>4.9825</v>
      </c>
      <c r="L299" s="41">
        <v>315.68</v>
      </c>
      <c r="M299" s="686">
        <v>0</v>
      </c>
      <c r="N299" s="527">
        <v>0</v>
      </c>
      <c r="O299" s="543">
        <f t="shared" si="32"/>
        <v>381.643333333333</v>
      </c>
      <c r="P299" s="528">
        <f t="shared" si="33"/>
        <v>99.65</v>
      </c>
      <c r="Q299" s="687" t="e">
        <f t="shared" si="34"/>
        <v>#DIV/0!</v>
      </c>
    </row>
    <row r="300" spans="1:17">
      <c r="A300" s="684">
        <f t="shared" si="31"/>
        <v>44495</v>
      </c>
      <c r="B300" s="670">
        <v>298.76</v>
      </c>
      <c r="C300" s="37">
        <v>898</v>
      </c>
      <c r="D300" s="37">
        <v>64</v>
      </c>
      <c r="E300" s="37">
        <v>2</v>
      </c>
      <c r="F300" s="670">
        <v>3783.18</v>
      </c>
      <c r="G300" s="37">
        <v>0</v>
      </c>
      <c r="H300" s="37">
        <v>0</v>
      </c>
      <c r="I300" s="37">
        <v>2</v>
      </c>
      <c r="J300" s="527">
        <f t="shared" si="29"/>
        <v>0.0712694877505568</v>
      </c>
      <c r="K300" s="687">
        <f t="shared" si="30"/>
        <v>4.668125</v>
      </c>
      <c r="L300" s="41">
        <v>332.69</v>
      </c>
      <c r="M300" s="686">
        <v>0</v>
      </c>
      <c r="N300" s="527">
        <v>0</v>
      </c>
      <c r="O300" s="543">
        <f t="shared" si="32"/>
        <v>1891.59</v>
      </c>
      <c r="P300" s="528">
        <f t="shared" si="33"/>
        <v>149.38</v>
      </c>
      <c r="Q300" s="687" t="e">
        <f t="shared" si="34"/>
        <v>#DIV/0!</v>
      </c>
    </row>
    <row r="301" spans="1:17">
      <c r="A301" s="684">
        <f t="shared" si="31"/>
        <v>44496</v>
      </c>
      <c r="B301" s="670">
        <v>312.85</v>
      </c>
      <c r="C301" s="37">
        <v>1060</v>
      </c>
      <c r="D301" s="37">
        <v>53</v>
      </c>
      <c r="E301" s="37">
        <v>1</v>
      </c>
      <c r="F301" s="670">
        <v>2110</v>
      </c>
      <c r="G301" s="37">
        <v>0</v>
      </c>
      <c r="H301" s="37">
        <v>1</v>
      </c>
      <c r="I301" s="37">
        <v>3</v>
      </c>
      <c r="J301" s="527">
        <f t="shared" si="29"/>
        <v>0.05</v>
      </c>
      <c r="K301" s="687">
        <f t="shared" si="30"/>
        <v>5.90283018867925</v>
      </c>
      <c r="L301" s="41">
        <v>312.85</v>
      </c>
      <c r="M301" s="686">
        <v>0</v>
      </c>
      <c r="N301" s="527">
        <v>0</v>
      </c>
      <c r="O301" s="543">
        <f t="shared" si="32"/>
        <v>2110</v>
      </c>
      <c r="P301" s="528">
        <f t="shared" si="33"/>
        <v>312.85</v>
      </c>
      <c r="Q301" s="687" t="e">
        <f t="shared" si="34"/>
        <v>#DIV/0!</v>
      </c>
    </row>
    <row r="302" spans="1:17">
      <c r="A302" s="684">
        <f t="shared" si="31"/>
        <v>44497</v>
      </c>
      <c r="B302" s="670">
        <v>490.66</v>
      </c>
      <c r="C302" s="37">
        <v>1177</v>
      </c>
      <c r="D302" s="37">
        <v>81</v>
      </c>
      <c r="E302" s="37">
        <v>3</v>
      </c>
      <c r="F302" s="670">
        <v>33</v>
      </c>
      <c r="G302" s="37">
        <v>2</v>
      </c>
      <c r="H302" s="37">
        <v>4</v>
      </c>
      <c r="I302" s="37">
        <v>1</v>
      </c>
      <c r="J302" s="527">
        <f t="shared" si="29"/>
        <v>0.0688190314358539</v>
      </c>
      <c r="K302" s="687">
        <f t="shared" si="30"/>
        <v>6.05753086419753</v>
      </c>
      <c r="L302" s="41">
        <v>416.87</v>
      </c>
      <c r="M302" s="686">
        <v>0</v>
      </c>
      <c r="N302" s="527">
        <v>0</v>
      </c>
      <c r="O302" s="543">
        <f t="shared" si="32"/>
        <v>11</v>
      </c>
      <c r="P302" s="528">
        <f t="shared" si="33"/>
        <v>163.553333333333</v>
      </c>
      <c r="Q302" s="687">
        <f t="shared" si="34"/>
        <v>245.33</v>
      </c>
    </row>
    <row r="303" spans="1:17">
      <c r="A303" s="684">
        <f t="shared" si="31"/>
        <v>44498</v>
      </c>
      <c r="B303" s="670">
        <v>298.81</v>
      </c>
      <c r="C303" s="37">
        <v>943</v>
      </c>
      <c r="D303" s="37">
        <v>32</v>
      </c>
      <c r="E303" s="37">
        <v>1</v>
      </c>
      <c r="F303" s="670">
        <v>961</v>
      </c>
      <c r="G303" s="37">
        <v>0</v>
      </c>
      <c r="H303" s="37">
        <v>0</v>
      </c>
      <c r="I303" s="37">
        <v>0</v>
      </c>
      <c r="J303" s="527">
        <f t="shared" si="29"/>
        <v>0.0339342523860021</v>
      </c>
      <c r="K303" s="687">
        <f t="shared" si="30"/>
        <v>9.3378125</v>
      </c>
      <c r="L303" s="41">
        <v>316.87</v>
      </c>
      <c r="M303" s="686">
        <v>0</v>
      </c>
      <c r="N303" s="527">
        <v>0</v>
      </c>
      <c r="O303" s="543">
        <f t="shared" si="32"/>
        <v>961</v>
      </c>
      <c r="P303" s="528">
        <f t="shared" si="33"/>
        <v>298.81</v>
      </c>
      <c r="Q303" s="687" t="e">
        <f t="shared" si="34"/>
        <v>#DIV/0!</v>
      </c>
    </row>
    <row r="304" spans="1:17">
      <c r="A304" s="684">
        <f t="shared" si="31"/>
        <v>44499</v>
      </c>
      <c r="B304" s="670">
        <v>308.99</v>
      </c>
      <c r="C304" s="37">
        <v>1135</v>
      </c>
      <c r="D304" s="37">
        <v>37</v>
      </c>
      <c r="E304" s="37">
        <v>0</v>
      </c>
      <c r="F304" s="670">
        <v>0</v>
      </c>
      <c r="G304" s="37">
        <v>0</v>
      </c>
      <c r="H304" s="37">
        <v>3</v>
      </c>
      <c r="I304" s="37">
        <v>1</v>
      </c>
      <c r="J304" s="527">
        <f t="shared" si="29"/>
        <v>0.0325991189427313</v>
      </c>
      <c r="K304" s="687">
        <f t="shared" si="30"/>
        <v>8.35108108108108</v>
      </c>
      <c r="L304" s="41">
        <v>272.24</v>
      </c>
      <c r="M304" s="686">
        <v>0</v>
      </c>
      <c r="N304" s="527">
        <v>0</v>
      </c>
      <c r="O304" s="543" t="e">
        <f t="shared" si="32"/>
        <v>#DIV/0!</v>
      </c>
      <c r="P304" s="528" t="e">
        <f t="shared" si="33"/>
        <v>#DIV/0!</v>
      </c>
      <c r="Q304" s="687" t="e">
        <f t="shared" si="34"/>
        <v>#DIV/0!</v>
      </c>
    </row>
    <row r="305" spans="1:17">
      <c r="A305" s="684">
        <f t="shared" si="31"/>
        <v>44500</v>
      </c>
      <c r="B305" s="670">
        <v>457.03</v>
      </c>
      <c r="C305" s="37">
        <v>1527</v>
      </c>
      <c r="D305" s="37">
        <v>54</v>
      </c>
      <c r="E305" s="37">
        <v>2</v>
      </c>
      <c r="F305" s="670">
        <v>2862.24</v>
      </c>
      <c r="G305" s="37">
        <v>4</v>
      </c>
      <c r="H305" s="37">
        <v>1</v>
      </c>
      <c r="I305" s="37">
        <v>3</v>
      </c>
      <c r="J305" s="527">
        <f t="shared" si="29"/>
        <v>0.0353634577603143</v>
      </c>
      <c r="K305" s="687">
        <f t="shared" si="30"/>
        <v>8.46351851851852</v>
      </c>
      <c r="L305" s="41">
        <v>299.3</v>
      </c>
      <c r="M305" s="686">
        <v>0</v>
      </c>
      <c r="N305" s="527">
        <v>0</v>
      </c>
      <c r="O305" s="543">
        <f t="shared" si="32"/>
        <v>1431.12</v>
      </c>
      <c r="P305" s="528">
        <f t="shared" si="33"/>
        <v>228.515</v>
      </c>
      <c r="Q305" s="687">
        <f t="shared" si="34"/>
        <v>114.2575</v>
      </c>
    </row>
    <row r="306" spans="1:17">
      <c r="A306" s="684">
        <f t="shared" si="31"/>
        <v>44501</v>
      </c>
      <c r="B306" s="670">
        <v>456.55</v>
      </c>
      <c r="C306" s="37">
        <v>1405</v>
      </c>
      <c r="D306" s="37">
        <v>49</v>
      </c>
      <c r="E306" s="37">
        <v>0</v>
      </c>
      <c r="F306" s="670">
        <v>0</v>
      </c>
      <c r="G306" s="37">
        <v>3</v>
      </c>
      <c r="H306" s="37">
        <v>2</v>
      </c>
      <c r="I306" s="37">
        <v>1</v>
      </c>
      <c r="J306" s="527">
        <f t="shared" si="29"/>
        <v>0.0348754448398577</v>
      </c>
      <c r="K306" s="687">
        <f t="shared" si="30"/>
        <v>9.31734693877551</v>
      </c>
      <c r="L306" s="41">
        <v>324.95</v>
      </c>
      <c r="M306" s="686">
        <v>0</v>
      </c>
      <c r="N306" s="527">
        <v>0</v>
      </c>
      <c r="O306" s="543" t="e">
        <f t="shared" si="32"/>
        <v>#DIV/0!</v>
      </c>
      <c r="P306" s="528" t="e">
        <f t="shared" si="33"/>
        <v>#DIV/0!</v>
      </c>
      <c r="Q306" s="687">
        <f t="shared" si="34"/>
        <v>152.183333333333</v>
      </c>
    </row>
    <row r="307" spans="1:17">
      <c r="A307" s="684">
        <f t="shared" si="31"/>
        <v>44502</v>
      </c>
      <c r="B307" s="670">
        <v>392.38</v>
      </c>
      <c r="C307" s="37">
        <v>1277</v>
      </c>
      <c r="D307" s="37">
        <v>43</v>
      </c>
      <c r="E307" s="37">
        <v>2</v>
      </c>
      <c r="F307" s="670">
        <v>1908.39</v>
      </c>
      <c r="G307" s="37">
        <v>2</v>
      </c>
      <c r="H307" s="37">
        <v>1</v>
      </c>
      <c r="I307" s="37">
        <v>2</v>
      </c>
      <c r="J307" s="527">
        <f t="shared" si="29"/>
        <v>0.033672670321065</v>
      </c>
      <c r="K307" s="687">
        <f t="shared" si="30"/>
        <v>9.12511627906977</v>
      </c>
      <c r="L307" s="41">
        <v>307.27</v>
      </c>
      <c r="M307" s="686">
        <v>0</v>
      </c>
      <c r="N307" s="527">
        <v>0</v>
      </c>
      <c r="O307" s="543">
        <f t="shared" si="32"/>
        <v>954.195</v>
      </c>
      <c r="P307" s="528">
        <f t="shared" si="33"/>
        <v>196.19</v>
      </c>
      <c r="Q307" s="687">
        <f t="shared" si="34"/>
        <v>196.19</v>
      </c>
    </row>
    <row r="308" spans="1:17">
      <c r="A308" s="684">
        <f t="shared" si="31"/>
        <v>44503</v>
      </c>
      <c r="B308" s="670">
        <v>380.46</v>
      </c>
      <c r="C308" s="37">
        <v>1274</v>
      </c>
      <c r="D308" s="37">
        <v>50</v>
      </c>
      <c r="E308" s="37">
        <v>0</v>
      </c>
      <c r="F308" s="670">
        <v>0</v>
      </c>
      <c r="G308" s="37">
        <v>0</v>
      </c>
      <c r="H308" s="37">
        <v>1</v>
      </c>
      <c r="I308" s="37">
        <v>3</v>
      </c>
      <c r="J308" s="527">
        <f t="shared" si="29"/>
        <v>0.0392464678178964</v>
      </c>
      <c r="K308" s="687">
        <f t="shared" si="30"/>
        <v>7.6092</v>
      </c>
      <c r="L308" s="41">
        <v>298.63</v>
      </c>
      <c r="M308" s="686">
        <v>0</v>
      </c>
      <c r="N308" s="527">
        <v>0</v>
      </c>
      <c r="O308" s="543" t="e">
        <f t="shared" si="32"/>
        <v>#DIV/0!</v>
      </c>
      <c r="P308" s="528" t="e">
        <f t="shared" si="33"/>
        <v>#DIV/0!</v>
      </c>
      <c r="Q308" s="687" t="e">
        <f t="shared" si="34"/>
        <v>#DIV/0!</v>
      </c>
    </row>
    <row r="309" spans="1:17">
      <c r="A309" s="684">
        <f t="shared" si="31"/>
        <v>44504</v>
      </c>
      <c r="B309" s="670">
        <v>398.92</v>
      </c>
      <c r="C309" s="37">
        <v>1039</v>
      </c>
      <c r="D309" s="37">
        <v>69</v>
      </c>
      <c r="E309" s="37">
        <v>3</v>
      </c>
      <c r="F309" s="670">
        <v>857.75</v>
      </c>
      <c r="G309" s="37">
        <v>0</v>
      </c>
      <c r="H309" s="37">
        <v>0</v>
      </c>
      <c r="I309" s="37">
        <v>2</v>
      </c>
      <c r="J309" s="527">
        <f t="shared" si="29"/>
        <v>0.0664100096246391</v>
      </c>
      <c r="K309" s="687">
        <f t="shared" si="30"/>
        <v>5.78144927536232</v>
      </c>
      <c r="L309" s="41">
        <v>383.95</v>
      </c>
      <c r="M309" s="686">
        <v>0</v>
      </c>
      <c r="N309" s="527">
        <v>0</v>
      </c>
      <c r="O309" s="543">
        <f t="shared" si="32"/>
        <v>285.916666666667</v>
      </c>
      <c r="P309" s="528">
        <f t="shared" si="33"/>
        <v>132.973333333333</v>
      </c>
      <c r="Q309" s="687" t="e">
        <f t="shared" si="34"/>
        <v>#DIV/0!</v>
      </c>
    </row>
    <row r="310" spans="1:17">
      <c r="A310" s="684">
        <f t="shared" si="31"/>
        <v>44505</v>
      </c>
      <c r="B310" s="670">
        <v>398.83</v>
      </c>
      <c r="C310" s="37">
        <v>1228</v>
      </c>
      <c r="D310" s="37">
        <v>42</v>
      </c>
      <c r="E310" s="37">
        <v>0</v>
      </c>
      <c r="F310" s="670">
        <v>0</v>
      </c>
      <c r="G310" s="37">
        <v>0</v>
      </c>
      <c r="H310" s="37">
        <v>0</v>
      </c>
      <c r="I310" s="37">
        <v>0</v>
      </c>
      <c r="J310" s="527">
        <f t="shared" si="29"/>
        <v>0.0342019543973941</v>
      </c>
      <c r="K310" s="687">
        <f t="shared" si="30"/>
        <v>9.49595238095238</v>
      </c>
      <c r="L310" s="41">
        <v>398.83</v>
      </c>
      <c r="M310" s="686">
        <v>0</v>
      </c>
      <c r="N310" s="527">
        <v>0</v>
      </c>
      <c r="O310" s="543" t="e">
        <f t="shared" si="32"/>
        <v>#DIV/0!</v>
      </c>
      <c r="P310" s="528" t="e">
        <f t="shared" si="33"/>
        <v>#DIV/0!</v>
      </c>
      <c r="Q310" s="687" t="e">
        <f t="shared" si="34"/>
        <v>#DIV/0!</v>
      </c>
    </row>
    <row r="311" spans="1:17">
      <c r="A311" s="684">
        <f t="shared" si="31"/>
        <v>44506</v>
      </c>
      <c r="B311" s="670">
        <v>399.17</v>
      </c>
      <c r="C311" s="37">
        <v>1323</v>
      </c>
      <c r="D311" s="37">
        <v>26</v>
      </c>
      <c r="E311" s="37">
        <v>0</v>
      </c>
      <c r="F311" s="670">
        <v>0</v>
      </c>
      <c r="G311" s="37">
        <v>0</v>
      </c>
      <c r="H311" s="37">
        <v>0</v>
      </c>
      <c r="I311" s="37">
        <v>0</v>
      </c>
      <c r="J311" s="527">
        <f t="shared" si="29"/>
        <v>0.0196523053665911</v>
      </c>
      <c r="K311" s="687">
        <f t="shared" si="30"/>
        <v>15.3526923076923</v>
      </c>
      <c r="L311" s="41">
        <v>301.72</v>
      </c>
      <c r="M311" s="686">
        <v>0</v>
      </c>
      <c r="N311" s="527">
        <v>0</v>
      </c>
      <c r="O311" s="543" t="e">
        <f t="shared" si="32"/>
        <v>#DIV/0!</v>
      </c>
      <c r="P311" s="528" t="e">
        <f t="shared" si="33"/>
        <v>#DIV/0!</v>
      </c>
      <c r="Q311" s="687" t="e">
        <f t="shared" si="34"/>
        <v>#DIV/0!</v>
      </c>
    </row>
    <row r="312" spans="1:17">
      <c r="A312" s="684">
        <f t="shared" si="31"/>
        <v>44507</v>
      </c>
      <c r="B312" s="670">
        <v>462.66</v>
      </c>
      <c r="C312" s="37">
        <v>1452</v>
      </c>
      <c r="D312" s="37">
        <v>36</v>
      </c>
      <c r="E312" s="37">
        <v>0</v>
      </c>
      <c r="F312" s="670">
        <v>0</v>
      </c>
      <c r="G312" s="37">
        <v>0</v>
      </c>
      <c r="H312" s="37">
        <v>0</v>
      </c>
      <c r="I312" s="37">
        <v>0</v>
      </c>
      <c r="J312" s="527">
        <f t="shared" si="29"/>
        <v>0.0247933884297521</v>
      </c>
      <c r="K312" s="687">
        <f t="shared" si="30"/>
        <v>12.8516666666667</v>
      </c>
      <c r="L312" s="41">
        <v>318.64</v>
      </c>
      <c r="M312" s="686">
        <v>0</v>
      </c>
      <c r="N312" s="527">
        <v>0</v>
      </c>
      <c r="O312" s="543" t="e">
        <f t="shared" si="32"/>
        <v>#DIV/0!</v>
      </c>
      <c r="P312" s="528" t="e">
        <f t="shared" si="33"/>
        <v>#DIV/0!</v>
      </c>
      <c r="Q312" s="687" t="e">
        <f t="shared" si="34"/>
        <v>#DIV/0!</v>
      </c>
    </row>
    <row r="313" spans="1:17">
      <c r="A313" s="684">
        <f t="shared" si="31"/>
        <v>44508</v>
      </c>
      <c r="B313" s="670">
        <v>498.57</v>
      </c>
      <c r="C313" s="37">
        <v>1554</v>
      </c>
      <c r="D313" s="37">
        <v>42</v>
      </c>
      <c r="E313" s="37">
        <v>1</v>
      </c>
      <c r="F313" s="670">
        <v>11</v>
      </c>
      <c r="G313" s="37">
        <v>0</v>
      </c>
      <c r="H313" s="37">
        <v>2</v>
      </c>
      <c r="I313" s="37">
        <v>1</v>
      </c>
      <c r="J313" s="527">
        <f t="shared" si="29"/>
        <v>0.027027027027027</v>
      </c>
      <c r="K313" s="687">
        <f t="shared" si="30"/>
        <v>11.8707142857143</v>
      </c>
      <c r="L313" s="41">
        <v>320.83</v>
      </c>
      <c r="M313" s="686">
        <v>0</v>
      </c>
      <c r="N313" s="527">
        <v>0</v>
      </c>
      <c r="O313" s="543">
        <f t="shared" si="32"/>
        <v>11</v>
      </c>
      <c r="P313" s="528">
        <f t="shared" si="33"/>
        <v>498.57</v>
      </c>
      <c r="Q313" s="687" t="e">
        <f t="shared" si="34"/>
        <v>#DIV/0!</v>
      </c>
    </row>
    <row r="314" spans="1:17">
      <c r="A314" s="684">
        <f t="shared" si="31"/>
        <v>44509</v>
      </c>
      <c r="B314" s="670">
        <v>620.12</v>
      </c>
      <c r="C314" s="37">
        <v>1654</v>
      </c>
      <c r="D314" s="37">
        <v>63</v>
      </c>
      <c r="E314" s="37">
        <v>8</v>
      </c>
      <c r="F314" s="670">
        <v>3669.52</v>
      </c>
      <c r="G314" s="37">
        <v>6</v>
      </c>
      <c r="H314" s="37">
        <v>3</v>
      </c>
      <c r="I314" s="37">
        <v>3</v>
      </c>
      <c r="J314" s="527">
        <f t="shared" si="29"/>
        <v>0.0380894800483676</v>
      </c>
      <c r="K314" s="687">
        <f t="shared" si="30"/>
        <v>9.8431746031746</v>
      </c>
      <c r="L314" s="41">
        <v>374.92</v>
      </c>
      <c r="M314" s="686">
        <v>0</v>
      </c>
      <c r="N314" s="527">
        <v>0</v>
      </c>
      <c r="O314" s="543">
        <f t="shared" si="32"/>
        <v>458.69</v>
      </c>
      <c r="P314" s="528">
        <f t="shared" si="33"/>
        <v>77.515</v>
      </c>
      <c r="Q314" s="687">
        <f t="shared" si="34"/>
        <v>103.353333333333</v>
      </c>
    </row>
    <row r="315" spans="1:17">
      <c r="A315" s="684">
        <f t="shared" si="31"/>
        <v>44510</v>
      </c>
      <c r="B315" s="670">
        <v>597.7</v>
      </c>
      <c r="C315" s="37">
        <v>1885</v>
      </c>
      <c r="D315" s="37">
        <v>60</v>
      </c>
      <c r="E315" s="37">
        <v>3</v>
      </c>
      <c r="F315" s="670">
        <v>1053</v>
      </c>
      <c r="G315" s="37">
        <v>2</v>
      </c>
      <c r="H315" s="37">
        <v>0</v>
      </c>
      <c r="I315" s="37">
        <v>1</v>
      </c>
      <c r="J315" s="527">
        <f t="shared" si="29"/>
        <v>0.0318302387267905</v>
      </c>
      <c r="K315" s="687">
        <f t="shared" si="30"/>
        <v>9.96166666666667</v>
      </c>
      <c r="L315" s="41">
        <v>317.08</v>
      </c>
      <c r="M315" s="686">
        <v>0</v>
      </c>
      <c r="N315" s="527">
        <v>0</v>
      </c>
      <c r="O315" s="543">
        <f t="shared" si="32"/>
        <v>351</v>
      </c>
      <c r="P315" s="528">
        <f t="shared" si="33"/>
        <v>199.233333333333</v>
      </c>
      <c r="Q315" s="687">
        <f t="shared" si="34"/>
        <v>298.85</v>
      </c>
    </row>
    <row r="316" spans="1:17">
      <c r="A316" s="684">
        <f t="shared" si="31"/>
        <v>44511</v>
      </c>
      <c r="B316" s="670">
        <v>790.04</v>
      </c>
      <c r="C316" s="37">
        <v>2306</v>
      </c>
      <c r="D316" s="37">
        <v>98</v>
      </c>
      <c r="E316" s="37">
        <v>8</v>
      </c>
      <c r="F316" s="670">
        <v>7509.46</v>
      </c>
      <c r="G316" s="37">
        <v>4</v>
      </c>
      <c r="H316" s="37">
        <v>0</v>
      </c>
      <c r="I316" s="37">
        <v>2</v>
      </c>
      <c r="J316" s="527">
        <f t="shared" si="29"/>
        <v>0.0424978317432784</v>
      </c>
      <c r="K316" s="687">
        <f t="shared" si="30"/>
        <v>8.06163265306122</v>
      </c>
      <c r="L316" s="41">
        <v>342.6</v>
      </c>
      <c r="M316" s="686">
        <v>0</v>
      </c>
      <c r="N316" s="527">
        <v>0</v>
      </c>
      <c r="O316" s="543">
        <f t="shared" si="32"/>
        <v>938.6825</v>
      </c>
      <c r="P316" s="528">
        <f t="shared" si="33"/>
        <v>98.755</v>
      </c>
      <c r="Q316" s="687">
        <f t="shared" si="34"/>
        <v>197.51</v>
      </c>
    </row>
    <row r="317" spans="1:17">
      <c r="A317" s="684">
        <f t="shared" si="31"/>
        <v>44512</v>
      </c>
      <c r="B317" s="670">
        <v>499.85</v>
      </c>
      <c r="C317" s="37">
        <v>1493</v>
      </c>
      <c r="D317" s="37">
        <v>49</v>
      </c>
      <c r="E317" s="37">
        <v>3</v>
      </c>
      <c r="F317" s="670">
        <v>1133</v>
      </c>
      <c r="G317" s="37">
        <v>0</v>
      </c>
      <c r="H317" s="37">
        <v>0</v>
      </c>
      <c r="I317" s="37">
        <v>0</v>
      </c>
      <c r="J317" s="527">
        <f t="shared" si="29"/>
        <v>0.0328198258539853</v>
      </c>
      <c r="K317" s="687">
        <f t="shared" si="30"/>
        <v>10.2010204081633</v>
      </c>
      <c r="L317" s="41">
        <v>334.8</v>
      </c>
      <c r="M317" s="686">
        <v>0</v>
      </c>
      <c r="N317" s="527">
        <v>0</v>
      </c>
      <c r="O317" s="543">
        <f t="shared" si="32"/>
        <v>377.666666666667</v>
      </c>
      <c r="P317" s="528">
        <f t="shared" si="33"/>
        <v>166.616666666667</v>
      </c>
      <c r="Q317" s="687" t="e">
        <f t="shared" si="34"/>
        <v>#DIV/0!</v>
      </c>
    </row>
    <row r="318" spans="1:17">
      <c r="A318" s="684">
        <f t="shared" si="31"/>
        <v>44513</v>
      </c>
      <c r="B318" s="670">
        <v>383.43</v>
      </c>
      <c r="C318" s="37">
        <v>1580</v>
      </c>
      <c r="D318" s="37">
        <v>37</v>
      </c>
      <c r="E318" s="37">
        <v>0</v>
      </c>
      <c r="F318" s="670">
        <v>0</v>
      </c>
      <c r="G318" s="37">
        <v>0</v>
      </c>
      <c r="H318" s="37">
        <v>0</v>
      </c>
      <c r="I318" s="37">
        <v>2</v>
      </c>
      <c r="J318" s="527">
        <f t="shared" si="29"/>
        <v>0.0234177215189873</v>
      </c>
      <c r="K318" s="687">
        <f t="shared" si="30"/>
        <v>10.362972972973</v>
      </c>
      <c r="L318" s="41">
        <v>242.68</v>
      </c>
      <c r="M318" s="686">
        <v>0</v>
      </c>
      <c r="N318" s="527">
        <v>0</v>
      </c>
      <c r="O318" s="543" t="e">
        <f t="shared" si="32"/>
        <v>#DIV/0!</v>
      </c>
      <c r="P318" s="528" t="e">
        <f t="shared" si="33"/>
        <v>#DIV/0!</v>
      </c>
      <c r="Q318" s="687" t="e">
        <f t="shared" si="34"/>
        <v>#DIV/0!</v>
      </c>
    </row>
    <row r="319" spans="1:17">
      <c r="A319" s="684">
        <f t="shared" si="31"/>
        <v>44514</v>
      </c>
      <c r="B319" s="670">
        <v>344.38</v>
      </c>
      <c r="C319" s="37">
        <v>1455</v>
      </c>
      <c r="D319" s="37">
        <v>36</v>
      </c>
      <c r="E319" s="37">
        <v>0</v>
      </c>
      <c r="F319" s="670">
        <v>0</v>
      </c>
      <c r="G319" s="37">
        <v>1</v>
      </c>
      <c r="H319" s="37">
        <v>0</v>
      </c>
      <c r="I319" s="37">
        <v>1</v>
      </c>
      <c r="J319" s="527">
        <f t="shared" si="29"/>
        <v>0.0247422680412371</v>
      </c>
      <c r="K319" s="687">
        <f t="shared" si="30"/>
        <v>9.56611111111111</v>
      </c>
      <c r="L319" s="41">
        <v>236.69</v>
      </c>
      <c r="M319" s="686">
        <v>0</v>
      </c>
      <c r="N319" s="527">
        <v>0</v>
      </c>
      <c r="O319" s="543" t="e">
        <f t="shared" si="32"/>
        <v>#DIV/0!</v>
      </c>
      <c r="P319" s="528" t="e">
        <f t="shared" si="33"/>
        <v>#DIV/0!</v>
      </c>
      <c r="Q319" s="687">
        <f t="shared" si="34"/>
        <v>344.38</v>
      </c>
    </row>
    <row r="320" spans="1:17">
      <c r="A320" s="684">
        <f t="shared" si="31"/>
        <v>44515</v>
      </c>
      <c r="B320" s="670">
        <v>298.84</v>
      </c>
      <c r="C320" s="37">
        <v>1229</v>
      </c>
      <c r="D320" s="37">
        <v>31</v>
      </c>
      <c r="E320" s="37">
        <v>2</v>
      </c>
      <c r="F320" s="670">
        <v>1122</v>
      </c>
      <c r="G320" s="37">
        <v>0</v>
      </c>
      <c r="H320" s="37">
        <v>0</v>
      </c>
      <c r="I320" s="37">
        <v>2</v>
      </c>
      <c r="J320" s="527">
        <f t="shared" si="29"/>
        <v>0.0252237591537836</v>
      </c>
      <c r="K320" s="687">
        <f t="shared" si="30"/>
        <v>9.64</v>
      </c>
      <c r="L320" s="41">
        <v>243.16</v>
      </c>
      <c r="M320" s="686">
        <v>0</v>
      </c>
      <c r="N320" s="527">
        <v>0</v>
      </c>
      <c r="O320" s="543">
        <f t="shared" si="32"/>
        <v>561</v>
      </c>
      <c r="P320" s="528">
        <f t="shared" si="33"/>
        <v>149.42</v>
      </c>
      <c r="Q320" s="687" t="e">
        <f t="shared" si="34"/>
        <v>#DIV/0!</v>
      </c>
    </row>
    <row r="321" spans="1:17">
      <c r="A321" s="684">
        <f t="shared" si="31"/>
        <v>44516</v>
      </c>
      <c r="B321" s="670">
        <v>298.98</v>
      </c>
      <c r="C321" s="37">
        <v>1097</v>
      </c>
      <c r="D321" s="37">
        <v>21</v>
      </c>
      <c r="E321" s="37">
        <v>0</v>
      </c>
      <c r="F321" s="670">
        <v>0</v>
      </c>
      <c r="G321" s="37">
        <v>0</v>
      </c>
      <c r="H321" s="37">
        <v>0</v>
      </c>
      <c r="I321" s="37">
        <v>3</v>
      </c>
      <c r="J321" s="527">
        <f t="shared" si="29"/>
        <v>0.0191431175934366</v>
      </c>
      <c r="K321" s="687">
        <f t="shared" si="30"/>
        <v>14.2371428571429</v>
      </c>
      <c r="L321" s="41">
        <v>298.98</v>
      </c>
      <c r="M321" s="686">
        <v>0</v>
      </c>
      <c r="N321" s="527">
        <v>0</v>
      </c>
      <c r="O321" s="543" t="e">
        <f t="shared" si="32"/>
        <v>#DIV/0!</v>
      </c>
      <c r="P321" s="528" t="e">
        <f t="shared" si="33"/>
        <v>#DIV/0!</v>
      </c>
      <c r="Q321" s="687" t="e">
        <f t="shared" si="34"/>
        <v>#DIV/0!</v>
      </c>
    </row>
    <row r="322" spans="1:17">
      <c r="A322" s="684">
        <f t="shared" si="31"/>
        <v>44517</v>
      </c>
      <c r="B322" s="670">
        <v>398.24</v>
      </c>
      <c r="C322" s="37">
        <v>1366</v>
      </c>
      <c r="D322" s="37">
        <v>64</v>
      </c>
      <c r="E322" s="37">
        <v>0</v>
      </c>
      <c r="F322" s="670">
        <v>0</v>
      </c>
      <c r="G322" s="37">
        <v>0</v>
      </c>
      <c r="H322" s="37">
        <v>0</v>
      </c>
      <c r="I322" s="37">
        <v>7</v>
      </c>
      <c r="J322" s="527">
        <f t="shared" ref="J322:J385" si="35">D322/C322</f>
        <v>0.0468521229868228</v>
      </c>
      <c r="K322" s="687">
        <f t="shared" ref="K322:K385" si="36">B322/D322</f>
        <v>6.2225</v>
      </c>
      <c r="L322" s="41">
        <v>291.54</v>
      </c>
      <c r="M322" s="686">
        <v>0</v>
      </c>
      <c r="N322" s="527">
        <v>0</v>
      </c>
      <c r="O322" s="543" t="e">
        <f t="shared" si="32"/>
        <v>#DIV/0!</v>
      </c>
      <c r="P322" s="528" t="e">
        <f t="shared" si="33"/>
        <v>#DIV/0!</v>
      </c>
      <c r="Q322" s="687" t="e">
        <f t="shared" si="34"/>
        <v>#DIV/0!</v>
      </c>
    </row>
    <row r="323" spans="1:17">
      <c r="A323" s="684">
        <f t="shared" si="31"/>
        <v>44518</v>
      </c>
      <c r="B323" s="670">
        <v>368.54</v>
      </c>
      <c r="C323" s="37">
        <v>1434</v>
      </c>
      <c r="D323" s="37">
        <v>24</v>
      </c>
      <c r="E323" s="37">
        <v>0</v>
      </c>
      <c r="F323" s="670">
        <v>0</v>
      </c>
      <c r="G323" s="37">
        <v>0</v>
      </c>
      <c r="H323" s="37">
        <v>0</v>
      </c>
      <c r="I323" s="37">
        <v>2</v>
      </c>
      <c r="J323" s="527">
        <f t="shared" si="35"/>
        <v>0.0167364016736402</v>
      </c>
      <c r="K323" s="687">
        <f t="shared" si="36"/>
        <v>15.3558333333333</v>
      </c>
      <c r="L323" s="41">
        <v>257</v>
      </c>
      <c r="M323" s="686">
        <v>0</v>
      </c>
      <c r="N323" s="527">
        <v>0</v>
      </c>
      <c r="O323" s="543" t="e">
        <f t="shared" si="32"/>
        <v>#DIV/0!</v>
      </c>
      <c r="P323" s="528" t="e">
        <f t="shared" si="33"/>
        <v>#DIV/0!</v>
      </c>
      <c r="Q323" s="687" t="e">
        <f t="shared" si="34"/>
        <v>#DIV/0!</v>
      </c>
    </row>
    <row r="324" spans="1:17">
      <c r="A324" s="684">
        <f t="shared" si="31"/>
        <v>44519</v>
      </c>
      <c r="B324" s="670">
        <v>298.36</v>
      </c>
      <c r="C324" s="37">
        <v>1090</v>
      </c>
      <c r="D324" s="37">
        <v>43</v>
      </c>
      <c r="E324" s="37">
        <v>1</v>
      </c>
      <c r="F324" s="670">
        <v>999</v>
      </c>
      <c r="G324" s="37">
        <v>1</v>
      </c>
      <c r="H324" s="37">
        <v>0</v>
      </c>
      <c r="I324" s="37">
        <v>3</v>
      </c>
      <c r="J324" s="527">
        <f t="shared" si="35"/>
        <v>0.0394495412844037</v>
      </c>
      <c r="K324" s="687">
        <f t="shared" si="36"/>
        <v>6.93860465116279</v>
      </c>
      <c r="L324" s="41">
        <v>273.72</v>
      </c>
      <c r="M324" s="686">
        <v>0</v>
      </c>
      <c r="N324" s="527">
        <v>0</v>
      </c>
      <c r="O324" s="543">
        <f t="shared" si="32"/>
        <v>999</v>
      </c>
      <c r="P324" s="528">
        <f t="shared" si="33"/>
        <v>298.36</v>
      </c>
      <c r="Q324" s="687">
        <f t="shared" si="34"/>
        <v>298.36</v>
      </c>
    </row>
    <row r="325" spans="1:17">
      <c r="A325" s="684">
        <f t="shared" si="31"/>
        <v>44520</v>
      </c>
      <c r="B325" s="670" t="s">
        <v>18</v>
      </c>
      <c r="C325" s="41" t="s">
        <v>18</v>
      </c>
      <c r="D325" s="41" t="s">
        <v>18</v>
      </c>
      <c r="E325" s="41" t="s">
        <v>18</v>
      </c>
      <c r="F325" s="670">
        <v>0</v>
      </c>
      <c r="G325" s="37">
        <v>0</v>
      </c>
      <c r="H325" s="37">
        <v>0</v>
      </c>
      <c r="I325" s="37">
        <v>0</v>
      </c>
      <c r="J325" s="527" t="e">
        <f t="shared" si="35"/>
        <v>#VALUE!</v>
      </c>
      <c r="K325" s="687" t="e">
        <f t="shared" si="36"/>
        <v>#VALUE!</v>
      </c>
      <c r="L325" s="41">
        <v>0</v>
      </c>
      <c r="M325" s="686">
        <v>0</v>
      </c>
      <c r="N325" s="527">
        <v>0</v>
      </c>
      <c r="O325" s="543" t="e">
        <f t="shared" si="32"/>
        <v>#VALUE!</v>
      </c>
      <c r="P325" s="528" t="e">
        <f t="shared" si="33"/>
        <v>#VALUE!</v>
      </c>
      <c r="Q325" s="687" t="e">
        <f t="shared" si="34"/>
        <v>#VALUE!</v>
      </c>
    </row>
    <row r="326" spans="1:17">
      <c r="A326" s="684">
        <f t="shared" si="31"/>
        <v>44521</v>
      </c>
      <c r="B326" s="670">
        <v>179.6</v>
      </c>
      <c r="C326" s="37">
        <v>777</v>
      </c>
      <c r="D326" s="37">
        <v>24</v>
      </c>
      <c r="E326" s="37">
        <v>0</v>
      </c>
      <c r="F326" s="670">
        <v>0</v>
      </c>
      <c r="G326" s="37">
        <v>0</v>
      </c>
      <c r="H326" s="37">
        <v>0</v>
      </c>
      <c r="I326" s="37">
        <v>0</v>
      </c>
      <c r="J326" s="527">
        <f t="shared" si="35"/>
        <v>0.0308880308880309</v>
      </c>
      <c r="K326" s="687">
        <f t="shared" si="36"/>
        <v>7.48333333333333</v>
      </c>
      <c r="L326" s="41">
        <v>231.15</v>
      </c>
      <c r="M326" s="686">
        <v>0</v>
      </c>
      <c r="N326" s="527">
        <v>0</v>
      </c>
      <c r="O326" s="543" t="e">
        <f t="shared" si="32"/>
        <v>#DIV/0!</v>
      </c>
      <c r="P326" s="528" t="e">
        <f t="shared" si="33"/>
        <v>#DIV/0!</v>
      </c>
      <c r="Q326" s="687" t="e">
        <f t="shared" si="34"/>
        <v>#DIV/0!</v>
      </c>
    </row>
    <row r="327" spans="1:17">
      <c r="A327" s="684">
        <f t="shared" si="31"/>
        <v>44522</v>
      </c>
      <c r="B327" s="670">
        <v>272.06</v>
      </c>
      <c r="C327" s="37">
        <v>1095</v>
      </c>
      <c r="D327" s="37">
        <v>45</v>
      </c>
      <c r="E327" s="37">
        <v>0</v>
      </c>
      <c r="F327" s="670">
        <v>0</v>
      </c>
      <c r="G327" s="37">
        <v>0</v>
      </c>
      <c r="H327" s="37">
        <v>1</v>
      </c>
      <c r="I327" s="37">
        <v>3</v>
      </c>
      <c r="J327" s="527">
        <f t="shared" si="35"/>
        <v>0.0410958904109589</v>
      </c>
      <c r="K327" s="687">
        <f t="shared" si="36"/>
        <v>6.04577777777778</v>
      </c>
      <c r="L327" s="41">
        <v>272.06</v>
      </c>
      <c r="M327" s="686">
        <v>0</v>
      </c>
      <c r="N327" s="527">
        <v>0</v>
      </c>
      <c r="O327" s="543" t="e">
        <f t="shared" si="32"/>
        <v>#DIV/0!</v>
      </c>
      <c r="P327" s="528" t="e">
        <f t="shared" si="33"/>
        <v>#DIV/0!</v>
      </c>
      <c r="Q327" s="687" t="e">
        <f t="shared" si="34"/>
        <v>#DIV/0!</v>
      </c>
    </row>
    <row r="328" spans="1:17">
      <c r="A328" s="684">
        <f t="shared" si="31"/>
        <v>44523</v>
      </c>
      <c r="B328" s="670" t="s">
        <v>18</v>
      </c>
      <c r="C328" s="41" t="s">
        <v>18</v>
      </c>
      <c r="D328" s="41" t="s">
        <v>18</v>
      </c>
      <c r="E328" s="41" t="s">
        <v>18</v>
      </c>
      <c r="F328" s="670" t="s">
        <v>18</v>
      </c>
      <c r="G328" s="41" t="s">
        <v>18</v>
      </c>
      <c r="H328" s="41" t="s">
        <v>18</v>
      </c>
      <c r="I328" s="41" t="s">
        <v>18</v>
      </c>
      <c r="J328" s="527" t="e">
        <f t="shared" si="35"/>
        <v>#VALUE!</v>
      </c>
      <c r="K328" s="687" t="e">
        <f t="shared" si="36"/>
        <v>#VALUE!</v>
      </c>
      <c r="M328" s="686">
        <v>0</v>
      </c>
      <c r="N328" s="527">
        <v>0</v>
      </c>
      <c r="O328" s="543" t="e">
        <f t="shared" si="32"/>
        <v>#VALUE!</v>
      </c>
      <c r="P328" s="528" t="e">
        <f t="shared" si="33"/>
        <v>#VALUE!</v>
      </c>
      <c r="Q328" s="687" t="e">
        <f t="shared" si="34"/>
        <v>#VALUE!</v>
      </c>
    </row>
    <row r="329" spans="1:17">
      <c r="A329" s="684">
        <f t="shared" si="31"/>
        <v>44524</v>
      </c>
      <c r="B329" s="670">
        <v>278.64</v>
      </c>
      <c r="C329" s="37">
        <v>1080</v>
      </c>
      <c r="D329" s="37">
        <v>49</v>
      </c>
      <c r="E329" s="37">
        <v>0</v>
      </c>
      <c r="F329" s="670">
        <v>0</v>
      </c>
      <c r="G329" s="37">
        <v>1</v>
      </c>
      <c r="H329" s="37">
        <v>1</v>
      </c>
      <c r="I329" s="37">
        <v>5</v>
      </c>
      <c r="J329" s="527">
        <f t="shared" si="35"/>
        <v>0.0453703703703704</v>
      </c>
      <c r="K329" s="687">
        <f t="shared" si="36"/>
        <v>5.6865306122449</v>
      </c>
      <c r="L329" s="41">
        <v>258</v>
      </c>
      <c r="M329" s="686">
        <v>0</v>
      </c>
      <c r="N329" s="527">
        <v>0</v>
      </c>
      <c r="O329" s="543" t="e">
        <f t="shared" si="32"/>
        <v>#DIV/0!</v>
      </c>
      <c r="P329" s="528" t="e">
        <f t="shared" si="33"/>
        <v>#DIV/0!</v>
      </c>
      <c r="Q329" s="687">
        <f t="shared" si="34"/>
        <v>278.64</v>
      </c>
    </row>
    <row r="330" spans="1:17">
      <c r="A330" s="684">
        <f t="shared" ref="A330:A368" si="37">A329+1</f>
        <v>44525</v>
      </c>
      <c r="B330" s="670">
        <v>273.19</v>
      </c>
      <c r="C330" s="37">
        <v>1102</v>
      </c>
      <c r="D330" s="37">
        <v>29</v>
      </c>
      <c r="E330" s="37">
        <v>0</v>
      </c>
      <c r="F330" s="670">
        <v>0</v>
      </c>
      <c r="G330" s="37">
        <v>0</v>
      </c>
      <c r="H330" s="37">
        <v>0</v>
      </c>
      <c r="I330" s="37">
        <v>1</v>
      </c>
      <c r="J330" s="527">
        <f t="shared" si="35"/>
        <v>0.0263157894736842</v>
      </c>
      <c r="K330" s="687">
        <f t="shared" si="36"/>
        <v>9.42034482758621</v>
      </c>
      <c r="L330" s="41">
        <v>247.9</v>
      </c>
      <c r="M330" s="686">
        <v>0</v>
      </c>
      <c r="N330" s="527">
        <v>0</v>
      </c>
      <c r="O330" s="543" t="e">
        <f t="shared" si="32"/>
        <v>#DIV/0!</v>
      </c>
      <c r="P330" s="528" t="e">
        <f t="shared" si="33"/>
        <v>#DIV/0!</v>
      </c>
      <c r="Q330" s="687" t="e">
        <f t="shared" si="34"/>
        <v>#DIV/0!</v>
      </c>
    </row>
    <row r="331" spans="1:17">
      <c r="A331" s="684">
        <f t="shared" si="37"/>
        <v>44526</v>
      </c>
      <c r="B331" s="670">
        <v>256.03</v>
      </c>
      <c r="C331" s="37">
        <v>573</v>
      </c>
      <c r="D331" s="37">
        <v>16</v>
      </c>
      <c r="E331" s="37">
        <v>0</v>
      </c>
      <c r="F331" s="670">
        <v>0</v>
      </c>
      <c r="G331" s="37">
        <v>0</v>
      </c>
      <c r="H331" s="37">
        <v>0</v>
      </c>
      <c r="I331" s="37">
        <v>0</v>
      </c>
      <c r="J331" s="527">
        <f t="shared" si="35"/>
        <v>0.0279232111692845</v>
      </c>
      <c r="K331" s="687">
        <f t="shared" si="36"/>
        <v>16.001875</v>
      </c>
      <c r="L331" s="41">
        <v>272.3</v>
      </c>
      <c r="M331" s="686">
        <v>0</v>
      </c>
      <c r="N331" s="527">
        <v>0</v>
      </c>
      <c r="O331" s="543" t="e">
        <f t="shared" si="32"/>
        <v>#DIV/0!</v>
      </c>
      <c r="P331" s="528" t="e">
        <f t="shared" si="33"/>
        <v>#DIV/0!</v>
      </c>
      <c r="Q331" s="687" t="e">
        <f t="shared" si="34"/>
        <v>#DIV/0!</v>
      </c>
    </row>
    <row r="332" spans="1:17">
      <c r="A332" s="684">
        <f t="shared" si="37"/>
        <v>44527</v>
      </c>
      <c r="B332" s="670" t="s">
        <v>18</v>
      </c>
      <c r="C332" s="37" t="s">
        <v>18</v>
      </c>
      <c r="D332" s="37" t="s">
        <v>18</v>
      </c>
      <c r="E332" s="37" t="s">
        <v>18</v>
      </c>
      <c r="F332" s="670" t="s">
        <v>18</v>
      </c>
      <c r="G332" s="37" t="s">
        <v>18</v>
      </c>
      <c r="H332" s="37" t="s">
        <v>18</v>
      </c>
      <c r="I332" s="37" t="s">
        <v>18</v>
      </c>
      <c r="J332" s="527" t="e">
        <f t="shared" si="35"/>
        <v>#VALUE!</v>
      </c>
      <c r="K332" s="687" t="e">
        <f t="shared" si="36"/>
        <v>#VALUE!</v>
      </c>
      <c r="L332" s="41" t="s">
        <v>18</v>
      </c>
      <c r="M332" s="686">
        <v>0</v>
      </c>
      <c r="N332" s="527">
        <v>0</v>
      </c>
      <c r="O332" s="543" t="e">
        <f t="shared" si="32"/>
        <v>#VALUE!</v>
      </c>
      <c r="P332" s="528" t="e">
        <f t="shared" si="33"/>
        <v>#VALUE!</v>
      </c>
      <c r="Q332" s="687" t="e">
        <f t="shared" si="34"/>
        <v>#VALUE!</v>
      </c>
    </row>
    <row r="333" spans="1:17">
      <c r="A333" s="684">
        <f t="shared" si="37"/>
        <v>44528</v>
      </c>
      <c r="B333" s="670" t="s">
        <v>18</v>
      </c>
      <c r="C333" s="37" t="s">
        <v>18</v>
      </c>
      <c r="D333" s="37" t="s">
        <v>18</v>
      </c>
      <c r="E333" s="37" t="s">
        <v>18</v>
      </c>
      <c r="F333" s="670" t="s">
        <v>18</v>
      </c>
      <c r="G333" s="37" t="s">
        <v>18</v>
      </c>
      <c r="H333" s="37" t="s">
        <v>18</v>
      </c>
      <c r="I333" s="37" t="s">
        <v>18</v>
      </c>
      <c r="J333" s="527" t="e">
        <f t="shared" si="35"/>
        <v>#VALUE!</v>
      </c>
      <c r="K333" s="687" t="e">
        <f t="shared" si="36"/>
        <v>#VALUE!</v>
      </c>
      <c r="L333" s="41" t="s">
        <v>18</v>
      </c>
      <c r="M333" s="686">
        <v>0</v>
      </c>
      <c r="N333" s="527">
        <v>0</v>
      </c>
      <c r="O333" s="543" t="e">
        <f t="shared" si="32"/>
        <v>#VALUE!</v>
      </c>
      <c r="P333" s="528" t="e">
        <f t="shared" si="33"/>
        <v>#VALUE!</v>
      </c>
      <c r="Q333" s="687" t="e">
        <f t="shared" si="34"/>
        <v>#VALUE!</v>
      </c>
    </row>
    <row r="334" spans="1:17">
      <c r="A334" s="684">
        <f t="shared" si="37"/>
        <v>44529</v>
      </c>
      <c r="B334" s="670">
        <v>77.26</v>
      </c>
      <c r="C334" s="37">
        <v>181</v>
      </c>
      <c r="D334" s="37">
        <v>10</v>
      </c>
      <c r="E334" s="37">
        <v>2</v>
      </c>
      <c r="F334" s="670">
        <v>1998</v>
      </c>
      <c r="G334" s="37">
        <v>1</v>
      </c>
      <c r="H334" s="37">
        <v>0</v>
      </c>
      <c r="I334" s="37">
        <v>2</v>
      </c>
      <c r="J334" s="527">
        <f t="shared" si="35"/>
        <v>0.0552486187845304</v>
      </c>
      <c r="K334" s="687">
        <f t="shared" si="36"/>
        <v>7.726</v>
      </c>
      <c r="L334" s="41">
        <v>426.85</v>
      </c>
      <c r="M334" s="686">
        <v>0</v>
      </c>
      <c r="N334" s="527">
        <v>0</v>
      </c>
      <c r="O334" s="543">
        <f t="shared" ref="O334:O401" si="38">F334/E334</f>
        <v>999</v>
      </c>
      <c r="P334" s="528">
        <f t="shared" ref="P334:P401" si="39">B334/E334</f>
        <v>38.63</v>
      </c>
      <c r="Q334" s="687">
        <f t="shared" ref="Q334:Q401" si="40">B334/G334</f>
        <v>77.26</v>
      </c>
    </row>
    <row r="335" spans="1:17">
      <c r="A335" s="684">
        <f t="shared" si="37"/>
        <v>44530</v>
      </c>
      <c r="B335" s="670" t="s">
        <v>18</v>
      </c>
      <c r="C335" s="41" t="s">
        <v>18</v>
      </c>
      <c r="D335" s="41" t="s">
        <v>18</v>
      </c>
      <c r="E335" s="41" t="s">
        <v>18</v>
      </c>
      <c r="F335" s="670" t="s">
        <v>18</v>
      </c>
      <c r="G335" s="41" t="s">
        <v>18</v>
      </c>
      <c r="H335" s="41" t="s">
        <v>18</v>
      </c>
      <c r="I335" s="41" t="s">
        <v>18</v>
      </c>
      <c r="J335" s="527" t="e">
        <f t="shared" si="35"/>
        <v>#VALUE!</v>
      </c>
      <c r="K335" s="687" t="e">
        <f t="shared" si="36"/>
        <v>#VALUE!</v>
      </c>
      <c r="L335" s="41" t="s">
        <v>18</v>
      </c>
      <c r="M335" s="686">
        <v>0</v>
      </c>
      <c r="N335" s="527">
        <v>0</v>
      </c>
      <c r="O335" s="543" t="e">
        <f t="shared" si="38"/>
        <v>#VALUE!</v>
      </c>
      <c r="P335" s="528" t="e">
        <f t="shared" si="39"/>
        <v>#VALUE!</v>
      </c>
      <c r="Q335" s="687" t="e">
        <f t="shared" si="40"/>
        <v>#VALUE!</v>
      </c>
    </row>
    <row r="336" spans="1:17">
      <c r="A336" s="684">
        <f t="shared" si="37"/>
        <v>44531</v>
      </c>
      <c r="B336" s="670">
        <v>117.29</v>
      </c>
      <c r="C336" s="37">
        <v>252</v>
      </c>
      <c r="D336" s="37">
        <v>27</v>
      </c>
      <c r="E336" s="37">
        <v>0</v>
      </c>
      <c r="F336" s="670">
        <v>0</v>
      </c>
      <c r="G336" s="37">
        <v>1</v>
      </c>
      <c r="H336" s="37">
        <v>0</v>
      </c>
      <c r="I336" s="37">
        <v>1</v>
      </c>
      <c r="J336" s="527">
        <f t="shared" si="35"/>
        <v>0.107142857142857</v>
      </c>
      <c r="K336" s="687">
        <f t="shared" si="36"/>
        <v>4.34407407407407</v>
      </c>
      <c r="L336" s="41">
        <v>465.44</v>
      </c>
      <c r="M336" s="686">
        <v>0</v>
      </c>
      <c r="N336" s="527">
        <v>0</v>
      </c>
      <c r="O336" s="543" t="e">
        <f t="shared" si="38"/>
        <v>#DIV/0!</v>
      </c>
      <c r="P336" s="528" t="e">
        <f t="shared" si="39"/>
        <v>#DIV/0!</v>
      </c>
      <c r="Q336" s="687">
        <f t="shared" si="40"/>
        <v>117.29</v>
      </c>
    </row>
    <row r="337" spans="1:17">
      <c r="A337" s="684">
        <f t="shared" si="37"/>
        <v>44532</v>
      </c>
      <c r="B337" s="670">
        <v>140.19</v>
      </c>
      <c r="C337" s="37">
        <v>315</v>
      </c>
      <c r="D337" s="37">
        <v>20</v>
      </c>
      <c r="E337" s="37">
        <v>0</v>
      </c>
      <c r="F337" s="670">
        <v>0</v>
      </c>
      <c r="G337" s="37">
        <v>0</v>
      </c>
      <c r="H337" s="37">
        <v>0</v>
      </c>
      <c r="I337" s="37">
        <v>0</v>
      </c>
      <c r="J337" s="527">
        <f t="shared" si="35"/>
        <v>0.0634920634920635</v>
      </c>
      <c r="K337" s="687">
        <f t="shared" si="36"/>
        <v>7.0095</v>
      </c>
      <c r="L337" s="41">
        <v>445.05</v>
      </c>
      <c r="M337" s="686">
        <v>0</v>
      </c>
      <c r="N337" s="527">
        <v>0</v>
      </c>
      <c r="O337" s="543" t="e">
        <f t="shared" si="38"/>
        <v>#DIV/0!</v>
      </c>
      <c r="P337" s="528" t="e">
        <f t="shared" si="39"/>
        <v>#DIV/0!</v>
      </c>
      <c r="Q337" s="687" t="e">
        <f t="shared" si="40"/>
        <v>#DIV/0!</v>
      </c>
    </row>
    <row r="338" spans="1:17">
      <c r="A338" s="684">
        <f t="shared" si="37"/>
        <v>44533</v>
      </c>
      <c r="B338" s="670">
        <v>122.77</v>
      </c>
      <c r="C338" s="37">
        <v>287</v>
      </c>
      <c r="D338" s="37">
        <v>23</v>
      </c>
      <c r="E338" s="37">
        <v>0</v>
      </c>
      <c r="F338" s="670">
        <v>0</v>
      </c>
      <c r="G338" s="37">
        <v>0</v>
      </c>
      <c r="H338" s="37">
        <v>0</v>
      </c>
      <c r="I338" s="37">
        <v>1</v>
      </c>
      <c r="J338" s="527">
        <f t="shared" si="35"/>
        <v>0.0801393728222996</v>
      </c>
      <c r="K338" s="687">
        <f t="shared" si="36"/>
        <v>5.33782608695652</v>
      </c>
      <c r="L338" s="41">
        <v>427.77</v>
      </c>
      <c r="M338" s="686">
        <v>0</v>
      </c>
      <c r="N338" s="527">
        <v>0</v>
      </c>
      <c r="O338" s="543" t="e">
        <f t="shared" si="38"/>
        <v>#DIV/0!</v>
      </c>
      <c r="P338" s="528" t="e">
        <f t="shared" si="39"/>
        <v>#DIV/0!</v>
      </c>
      <c r="Q338" s="687" t="e">
        <f t="shared" si="40"/>
        <v>#DIV/0!</v>
      </c>
    </row>
    <row r="339" spans="1:17">
      <c r="A339" s="684">
        <f t="shared" si="37"/>
        <v>44534</v>
      </c>
      <c r="B339" s="670">
        <v>128.53</v>
      </c>
      <c r="C339" s="37">
        <v>386</v>
      </c>
      <c r="D339" s="37">
        <v>10</v>
      </c>
      <c r="E339" s="37">
        <v>0</v>
      </c>
      <c r="F339" s="670">
        <v>0</v>
      </c>
      <c r="G339" s="37">
        <v>0</v>
      </c>
      <c r="H339" s="37">
        <v>0</v>
      </c>
      <c r="I339" s="37">
        <v>0</v>
      </c>
      <c r="J339" s="527">
        <f t="shared" si="35"/>
        <v>0.0259067357512953</v>
      </c>
      <c r="K339" s="687">
        <f t="shared" si="36"/>
        <v>12.853</v>
      </c>
      <c r="L339" s="41">
        <v>332.98</v>
      </c>
      <c r="M339" s="686">
        <v>0</v>
      </c>
      <c r="N339" s="527">
        <v>0</v>
      </c>
      <c r="O339" s="543" t="e">
        <f t="shared" si="38"/>
        <v>#DIV/0!</v>
      </c>
      <c r="P339" s="528" t="e">
        <f t="shared" si="39"/>
        <v>#DIV/0!</v>
      </c>
      <c r="Q339" s="687" t="e">
        <f t="shared" si="40"/>
        <v>#DIV/0!</v>
      </c>
    </row>
    <row r="340" spans="1:17">
      <c r="A340" s="684">
        <f t="shared" si="37"/>
        <v>44535</v>
      </c>
      <c r="B340" s="670">
        <v>134.85</v>
      </c>
      <c r="C340" s="37">
        <v>469</v>
      </c>
      <c r="D340" s="37">
        <v>16</v>
      </c>
      <c r="E340" s="37">
        <v>0</v>
      </c>
      <c r="F340" s="670">
        <v>0</v>
      </c>
      <c r="G340" s="37">
        <v>0</v>
      </c>
      <c r="H340" s="37">
        <v>0</v>
      </c>
      <c r="I340" s="37">
        <v>0</v>
      </c>
      <c r="J340" s="527">
        <f t="shared" si="35"/>
        <v>0.0341151385927505</v>
      </c>
      <c r="K340" s="687">
        <f t="shared" si="36"/>
        <v>8.428125</v>
      </c>
      <c r="L340" s="41">
        <v>287.53</v>
      </c>
      <c r="M340" s="686">
        <v>0</v>
      </c>
      <c r="N340" s="527">
        <v>0</v>
      </c>
      <c r="O340" s="543" t="e">
        <f t="shared" si="38"/>
        <v>#DIV/0!</v>
      </c>
      <c r="P340" s="528" t="e">
        <f t="shared" si="39"/>
        <v>#DIV/0!</v>
      </c>
      <c r="Q340" s="687" t="e">
        <f t="shared" si="40"/>
        <v>#DIV/0!</v>
      </c>
    </row>
    <row r="341" spans="1:17">
      <c r="A341" s="684">
        <f t="shared" si="37"/>
        <v>44536</v>
      </c>
      <c r="B341" s="670">
        <v>123.29</v>
      </c>
      <c r="C341" s="37">
        <v>391</v>
      </c>
      <c r="D341" s="37">
        <v>28</v>
      </c>
      <c r="E341" s="37">
        <v>0</v>
      </c>
      <c r="F341" s="670">
        <v>0</v>
      </c>
      <c r="G341" s="37">
        <v>0</v>
      </c>
      <c r="H341" s="37">
        <v>0</v>
      </c>
      <c r="I341" s="37">
        <v>1</v>
      </c>
      <c r="J341" s="527">
        <f t="shared" si="35"/>
        <v>0.0716112531969309</v>
      </c>
      <c r="K341" s="687">
        <f t="shared" si="36"/>
        <v>4.40321428571429</v>
      </c>
      <c r="L341" s="41">
        <v>315.32</v>
      </c>
      <c r="M341" s="686">
        <v>0</v>
      </c>
      <c r="N341" s="527">
        <v>0</v>
      </c>
      <c r="O341" s="543" t="e">
        <f t="shared" si="38"/>
        <v>#DIV/0!</v>
      </c>
      <c r="P341" s="528" t="e">
        <f t="shared" si="39"/>
        <v>#DIV/0!</v>
      </c>
      <c r="Q341" s="687" t="e">
        <f t="shared" si="40"/>
        <v>#DIV/0!</v>
      </c>
    </row>
    <row r="342" spans="1:17">
      <c r="A342" s="684">
        <f t="shared" si="37"/>
        <v>44537</v>
      </c>
      <c r="B342" s="670" t="s">
        <v>18</v>
      </c>
      <c r="C342" s="41" t="s">
        <v>18</v>
      </c>
      <c r="D342" s="41" t="s">
        <v>18</v>
      </c>
      <c r="E342" s="41" t="s">
        <v>18</v>
      </c>
      <c r="F342" s="670" t="s">
        <v>18</v>
      </c>
      <c r="G342" s="41" t="s">
        <v>18</v>
      </c>
      <c r="H342" s="41" t="s">
        <v>18</v>
      </c>
      <c r="I342" s="41" t="s">
        <v>18</v>
      </c>
      <c r="J342" s="527" t="e">
        <f t="shared" si="35"/>
        <v>#VALUE!</v>
      </c>
      <c r="K342" s="687" t="e">
        <f t="shared" si="36"/>
        <v>#VALUE!</v>
      </c>
      <c r="L342" s="41" t="s">
        <v>18</v>
      </c>
      <c r="M342" s="686">
        <v>0</v>
      </c>
      <c r="N342" s="527">
        <v>0</v>
      </c>
      <c r="O342" s="543" t="e">
        <f t="shared" si="38"/>
        <v>#VALUE!</v>
      </c>
      <c r="P342" s="528" t="e">
        <f t="shared" si="39"/>
        <v>#VALUE!</v>
      </c>
      <c r="Q342" s="687" t="e">
        <f t="shared" si="40"/>
        <v>#VALUE!</v>
      </c>
    </row>
    <row r="343" spans="1:17">
      <c r="A343" s="684">
        <f t="shared" si="37"/>
        <v>44538</v>
      </c>
      <c r="B343" s="670">
        <v>138.62</v>
      </c>
      <c r="C343" s="37">
        <v>339</v>
      </c>
      <c r="D343" s="37">
        <v>27</v>
      </c>
      <c r="E343" s="37">
        <v>0</v>
      </c>
      <c r="F343" s="670">
        <v>0</v>
      </c>
      <c r="G343" s="37">
        <v>0</v>
      </c>
      <c r="H343" s="37">
        <v>0</v>
      </c>
      <c r="I343" s="37">
        <v>1</v>
      </c>
      <c r="J343" s="527">
        <f t="shared" si="35"/>
        <v>0.079646017699115</v>
      </c>
      <c r="K343" s="687">
        <f t="shared" si="36"/>
        <v>5.13407407407407</v>
      </c>
      <c r="L343" s="41">
        <v>408.91</v>
      </c>
      <c r="M343" s="686">
        <v>0</v>
      </c>
      <c r="N343" s="527">
        <v>0</v>
      </c>
      <c r="O343" s="543" t="e">
        <f t="shared" si="38"/>
        <v>#DIV/0!</v>
      </c>
      <c r="P343" s="528" t="e">
        <f t="shared" si="39"/>
        <v>#DIV/0!</v>
      </c>
      <c r="Q343" s="687" t="e">
        <f t="shared" si="40"/>
        <v>#DIV/0!</v>
      </c>
    </row>
    <row r="344" spans="1:17">
      <c r="A344" s="684">
        <f t="shared" si="37"/>
        <v>44539</v>
      </c>
      <c r="B344" s="670">
        <v>136.89</v>
      </c>
      <c r="C344" s="37">
        <v>288</v>
      </c>
      <c r="D344" s="37">
        <v>16</v>
      </c>
      <c r="E344" s="37">
        <v>0</v>
      </c>
      <c r="F344" s="670">
        <v>0</v>
      </c>
      <c r="G344" s="37">
        <v>0</v>
      </c>
      <c r="H344" s="37">
        <v>0</v>
      </c>
      <c r="I344" s="37">
        <v>1</v>
      </c>
      <c r="J344" s="527">
        <f t="shared" si="35"/>
        <v>0.0555555555555556</v>
      </c>
      <c r="K344" s="687">
        <f t="shared" si="36"/>
        <v>8.555625</v>
      </c>
      <c r="L344" s="41">
        <v>473.51</v>
      </c>
      <c r="M344" s="686">
        <v>0</v>
      </c>
      <c r="N344" s="527">
        <v>0</v>
      </c>
      <c r="O344" s="543" t="e">
        <f t="shared" si="38"/>
        <v>#DIV/0!</v>
      </c>
      <c r="P344" s="528" t="e">
        <f t="shared" si="39"/>
        <v>#DIV/0!</v>
      </c>
      <c r="Q344" s="687" t="e">
        <f t="shared" si="40"/>
        <v>#DIV/0!</v>
      </c>
    </row>
    <row r="345" spans="1:17">
      <c r="A345" s="684">
        <f t="shared" si="37"/>
        <v>44540</v>
      </c>
      <c r="B345" s="670">
        <v>128.91</v>
      </c>
      <c r="C345" s="37">
        <v>276</v>
      </c>
      <c r="D345" s="37">
        <v>21</v>
      </c>
      <c r="E345" s="37">
        <v>0</v>
      </c>
      <c r="F345" s="670">
        <v>0</v>
      </c>
      <c r="G345" s="37">
        <v>0</v>
      </c>
      <c r="H345" s="37">
        <v>0</v>
      </c>
      <c r="I345" s="37">
        <v>0</v>
      </c>
      <c r="J345" s="527">
        <f t="shared" si="35"/>
        <v>0.0760869565217391</v>
      </c>
      <c r="K345" s="687">
        <f t="shared" si="36"/>
        <v>6.13857142857143</v>
      </c>
      <c r="L345" s="41">
        <v>467.07</v>
      </c>
      <c r="M345" s="686">
        <v>0</v>
      </c>
      <c r="N345" s="527">
        <v>0</v>
      </c>
      <c r="O345" s="543" t="e">
        <f t="shared" si="38"/>
        <v>#DIV/0!</v>
      </c>
      <c r="P345" s="528" t="e">
        <f t="shared" si="39"/>
        <v>#DIV/0!</v>
      </c>
      <c r="Q345" s="687" t="e">
        <f t="shared" si="40"/>
        <v>#DIV/0!</v>
      </c>
    </row>
    <row r="346" spans="1:17">
      <c r="A346" s="684">
        <f t="shared" si="37"/>
        <v>44541</v>
      </c>
      <c r="B346" s="670">
        <v>0</v>
      </c>
      <c r="C346" s="37" t="s">
        <v>18</v>
      </c>
      <c r="D346" s="37" t="s">
        <v>18</v>
      </c>
      <c r="E346" s="37" t="s">
        <v>18</v>
      </c>
      <c r="F346" s="911" t="s">
        <v>18</v>
      </c>
      <c r="G346" s="37" t="s">
        <v>18</v>
      </c>
      <c r="H346" s="37" t="s">
        <v>18</v>
      </c>
      <c r="I346" s="37" t="s">
        <v>18</v>
      </c>
      <c r="J346" s="527" t="e">
        <f t="shared" si="35"/>
        <v>#VALUE!</v>
      </c>
      <c r="K346" s="687" t="e">
        <f t="shared" si="36"/>
        <v>#VALUE!</v>
      </c>
      <c r="L346" s="37" t="s">
        <v>18</v>
      </c>
      <c r="M346" s="686">
        <v>0</v>
      </c>
      <c r="N346" s="527">
        <v>0</v>
      </c>
      <c r="O346" s="543" t="e">
        <f t="shared" si="38"/>
        <v>#VALUE!</v>
      </c>
      <c r="P346" s="528" t="e">
        <f t="shared" si="39"/>
        <v>#VALUE!</v>
      </c>
      <c r="Q346" s="687" t="e">
        <f t="shared" si="40"/>
        <v>#VALUE!</v>
      </c>
    </row>
    <row r="347" spans="1:17">
      <c r="A347" s="684">
        <f t="shared" si="37"/>
        <v>44542</v>
      </c>
      <c r="B347" s="670">
        <v>0</v>
      </c>
      <c r="C347" s="37" t="s">
        <v>18</v>
      </c>
      <c r="D347" s="37" t="s">
        <v>18</v>
      </c>
      <c r="E347" s="37" t="s">
        <v>18</v>
      </c>
      <c r="F347" s="911" t="s">
        <v>18</v>
      </c>
      <c r="G347" s="37" t="s">
        <v>18</v>
      </c>
      <c r="H347" s="37" t="s">
        <v>18</v>
      </c>
      <c r="I347" s="37" t="s">
        <v>18</v>
      </c>
      <c r="J347" s="527" t="e">
        <f t="shared" si="35"/>
        <v>#VALUE!</v>
      </c>
      <c r="K347" s="687" t="e">
        <f t="shared" si="36"/>
        <v>#VALUE!</v>
      </c>
      <c r="L347" s="37" t="s">
        <v>18</v>
      </c>
      <c r="M347" s="686">
        <v>0</v>
      </c>
      <c r="N347" s="527">
        <v>0</v>
      </c>
      <c r="O347" s="543" t="e">
        <f t="shared" si="38"/>
        <v>#VALUE!</v>
      </c>
      <c r="P347" s="528" t="e">
        <f t="shared" si="39"/>
        <v>#VALUE!</v>
      </c>
      <c r="Q347" s="687" t="e">
        <f t="shared" si="40"/>
        <v>#VALUE!</v>
      </c>
    </row>
    <row r="348" spans="1:17">
      <c r="A348" s="684">
        <f t="shared" si="37"/>
        <v>44543</v>
      </c>
      <c r="B348" s="670">
        <v>101.08</v>
      </c>
      <c r="C348" s="37">
        <v>198</v>
      </c>
      <c r="D348" s="37">
        <v>13</v>
      </c>
      <c r="E348" s="37">
        <v>0</v>
      </c>
      <c r="F348" s="670">
        <v>0</v>
      </c>
      <c r="G348" s="37">
        <v>0</v>
      </c>
      <c r="H348" s="37">
        <v>0</v>
      </c>
      <c r="I348" s="37">
        <v>1</v>
      </c>
      <c r="J348" s="527">
        <f t="shared" si="35"/>
        <v>0.0656565656565657</v>
      </c>
      <c r="K348" s="687">
        <f t="shared" si="36"/>
        <v>7.77538461538462</v>
      </c>
      <c r="L348" s="41">
        <v>511.01</v>
      </c>
      <c r="M348" s="686">
        <v>0</v>
      </c>
      <c r="N348" s="527">
        <v>0</v>
      </c>
      <c r="O348" s="543" t="e">
        <f t="shared" si="38"/>
        <v>#DIV/0!</v>
      </c>
      <c r="P348" s="528" t="e">
        <f t="shared" si="39"/>
        <v>#DIV/0!</v>
      </c>
      <c r="Q348" s="687" t="e">
        <f t="shared" si="40"/>
        <v>#DIV/0!</v>
      </c>
    </row>
    <row r="349" spans="1:17">
      <c r="A349" s="684">
        <f t="shared" si="37"/>
        <v>44544</v>
      </c>
      <c r="B349" s="670">
        <v>41.24</v>
      </c>
      <c r="C349" s="37">
        <v>111</v>
      </c>
      <c r="D349" s="37">
        <v>6</v>
      </c>
      <c r="E349" s="37">
        <v>0</v>
      </c>
      <c r="F349" s="670">
        <v>0</v>
      </c>
      <c r="G349" s="37">
        <v>0</v>
      </c>
      <c r="H349" s="37">
        <v>0</v>
      </c>
      <c r="I349" s="37">
        <v>0</v>
      </c>
      <c r="J349" s="527">
        <f t="shared" si="35"/>
        <v>0.0540540540540541</v>
      </c>
      <c r="K349" s="687">
        <f t="shared" si="36"/>
        <v>6.87333333333333</v>
      </c>
      <c r="L349" s="41">
        <v>371.53</v>
      </c>
      <c r="M349" s="686">
        <v>0</v>
      </c>
      <c r="N349" s="527">
        <v>0</v>
      </c>
      <c r="O349" s="543" t="e">
        <f t="shared" si="38"/>
        <v>#DIV/0!</v>
      </c>
      <c r="P349" s="528" t="e">
        <f t="shared" si="39"/>
        <v>#DIV/0!</v>
      </c>
      <c r="Q349" s="687" t="e">
        <f t="shared" si="40"/>
        <v>#DIV/0!</v>
      </c>
    </row>
    <row r="350" spans="1:17">
      <c r="A350" s="684">
        <f t="shared" si="37"/>
        <v>44545</v>
      </c>
      <c r="B350" s="670">
        <v>82.83</v>
      </c>
      <c r="C350" s="37">
        <v>193</v>
      </c>
      <c r="D350" s="37">
        <v>10.35</v>
      </c>
      <c r="E350" s="37">
        <v>0</v>
      </c>
      <c r="F350" s="670">
        <v>0</v>
      </c>
      <c r="G350" s="37">
        <v>1</v>
      </c>
      <c r="H350" s="37">
        <v>0</v>
      </c>
      <c r="I350" s="37">
        <v>0</v>
      </c>
      <c r="J350" s="527">
        <f t="shared" si="35"/>
        <v>0.0536269430051813</v>
      </c>
      <c r="K350" s="687">
        <f t="shared" si="36"/>
        <v>8.00289855072464</v>
      </c>
      <c r="L350" s="41">
        <v>429.17</v>
      </c>
      <c r="M350" s="686">
        <v>0</v>
      </c>
      <c r="N350" s="527">
        <v>0</v>
      </c>
      <c r="O350" s="543" t="e">
        <f t="shared" si="38"/>
        <v>#DIV/0!</v>
      </c>
      <c r="P350" s="528" t="e">
        <f t="shared" si="39"/>
        <v>#DIV/0!</v>
      </c>
      <c r="Q350" s="687">
        <f t="shared" si="40"/>
        <v>82.83</v>
      </c>
    </row>
    <row r="351" spans="1:17">
      <c r="A351" s="684">
        <f t="shared" si="37"/>
        <v>44546</v>
      </c>
      <c r="B351" s="670">
        <v>113.74</v>
      </c>
      <c r="C351" s="37">
        <v>254</v>
      </c>
      <c r="D351" s="37">
        <v>14</v>
      </c>
      <c r="E351" s="37">
        <v>0</v>
      </c>
      <c r="F351" s="670">
        <v>0</v>
      </c>
      <c r="G351" s="37">
        <v>1</v>
      </c>
      <c r="H351" s="37">
        <v>0</v>
      </c>
      <c r="I351" s="37">
        <v>0</v>
      </c>
      <c r="J351" s="527">
        <f t="shared" si="35"/>
        <v>0.0551181102362205</v>
      </c>
      <c r="K351" s="687">
        <f t="shared" si="36"/>
        <v>8.12428571428571</v>
      </c>
      <c r="L351" s="41">
        <v>447.8</v>
      </c>
      <c r="M351" s="686">
        <v>0</v>
      </c>
      <c r="N351" s="527">
        <v>0</v>
      </c>
      <c r="O351" s="543" t="e">
        <f t="shared" si="38"/>
        <v>#DIV/0!</v>
      </c>
      <c r="P351" s="528" t="e">
        <f t="shared" si="39"/>
        <v>#DIV/0!</v>
      </c>
      <c r="Q351" s="687">
        <f t="shared" si="40"/>
        <v>113.74</v>
      </c>
    </row>
    <row r="352" spans="1:17">
      <c r="A352" s="684">
        <f t="shared" si="37"/>
        <v>44547</v>
      </c>
      <c r="B352" s="670">
        <v>92.11</v>
      </c>
      <c r="C352" s="37">
        <v>245</v>
      </c>
      <c r="D352" s="37">
        <v>7</v>
      </c>
      <c r="E352" s="37">
        <v>0</v>
      </c>
      <c r="F352" s="670">
        <v>0</v>
      </c>
      <c r="G352" s="37">
        <v>0</v>
      </c>
      <c r="H352" s="37">
        <v>0</v>
      </c>
      <c r="I352" s="37">
        <v>0</v>
      </c>
      <c r="J352" s="527">
        <f t="shared" si="35"/>
        <v>0.0285714285714286</v>
      </c>
      <c r="K352" s="687">
        <f t="shared" si="36"/>
        <v>13.1585714285714</v>
      </c>
      <c r="L352" s="41">
        <v>375.96</v>
      </c>
      <c r="M352" s="686">
        <v>0</v>
      </c>
      <c r="N352" s="527">
        <v>0</v>
      </c>
      <c r="O352" s="543" t="e">
        <f t="shared" si="38"/>
        <v>#DIV/0!</v>
      </c>
      <c r="P352" s="528" t="e">
        <f t="shared" si="39"/>
        <v>#DIV/0!</v>
      </c>
      <c r="Q352" s="687" t="e">
        <f t="shared" si="40"/>
        <v>#DIV/0!</v>
      </c>
    </row>
    <row r="353" spans="1:17">
      <c r="A353" s="684">
        <f t="shared" si="37"/>
        <v>44548</v>
      </c>
      <c r="B353" s="670">
        <v>125.34</v>
      </c>
      <c r="C353" s="37">
        <v>264</v>
      </c>
      <c r="D353" s="37">
        <v>20</v>
      </c>
      <c r="E353" s="37">
        <v>0</v>
      </c>
      <c r="F353" s="670">
        <v>0</v>
      </c>
      <c r="G353" s="37">
        <v>1</v>
      </c>
      <c r="H353" s="37">
        <v>0</v>
      </c>
      <c r="I353" s="37">
        <v>1</v>
      </c>
      <c r="J353" s="527">
        <f t="shared" si="35"/>
        <v>0.0757575757575758</v>
      </c>
      <c r="K353" s="687">
        <f t="shared" si="36"/>
        <v>6.267</v>
      </c>
      <c r="L353" s="41">
        <v>474.77</v>
      </c>
      <c r="M353" s="686">
        <v>0</v>
      </c>
      <c r="N353" s="527">
        <v>0</v>
      </c>
      <c r="O353" s="543" t="e">
        <f t="shared" si="38"/>
        <v>#DIV/0!</v>
      </c>
      <c r="P353" s="528" t="e">
        <f t="shared" si="39"/>
        <v>#DIV/0!</v>
      </c>
      <c r="Q353" s="687">
        <f t="shared" si="40"/>
        <v>125.34</v>
      </c>
    </row>
    <row r="354" spans="1:17">
      <c r="A354" s="684">
        <f t="shared" si="37"/>
        <v>44549</v>
      </c>
      <c r="B354" s="670">
        <v>138.46</v>
      </c>
      <c r="C354" s="37">
        <v>286</v>
      </c>
      <c r="D354" s="37">
        <v>11</v>
      </c>
      <c r="E354" s="37">
        <v>0</v>
      </c>
      <c r="F354" s="670">
        <v>0</v>
      </c>
      <c r="G354" s="37">
        <v>0</v>
      </c>
      <c r="H354" s="37">
        <v>0</v>
      </c>
      <c r="I354" s="37">
        <v>0</v>
      </c>
      <c r="J354" s="527">
        <f t="shared" si="35"/>
        <v>0.0384615384615385</v>
      </c>
      <c r="K354" s="687">
        <f t="shared" si="36"/>
        <v>12.5872727272727</v>
      </c>
      <c r="L354" s="41">
        <v>483.17</v>
      </c>
      <c r="M354" s="686">
        <v>0</v>
      </c>
      <c r="N354" s="527">
        <v>0</v>
      </c>
      <c r="O354" s="543" t="e">
        <f t="shared" si="38"/>
        <v>#DIV/0!</v>
      </c>
      <c r="P354" s="528" t="e">
        <f t="shared" si="39"/>
        <v>#DIV/0!</v>
      </c>
      <c r="Q354" s="687" t="e">
        <f t="shared" si="40"/>
        <v>#DIV/0!</v>
      </c>
    </row>
    <row r="355" spans="1:17">
      <c r="A355" s="684">
        <f t="shared" si="37"/>
        <v>44550</v>
      </c>
      <c r="B355" s="685">
        <v>142.15</v>
      </c>
      <c r="C355" s="686">
        <v>281</v>
      </c>
      <c r="D355" s="686">
        <v>15</v>
      </c>
      <c r="E355" s="686">
        <v>0</v>
      </c>
      <c r="F355" s="685">
        <v>0</v>
      </c>
      <c r="G355" s="686">
        <v>0</v>
      </c>
      <c r="H355" s="686">
        <v>1</v>
      </c>
      <c r="I355" s="686">
        <v>1</v>
      </c>
      <c r="J355" s="527">
        <f t="shared" si="35"/>
        <v>0.0533807829181495</v>
      </c>
      <c r="K355" s="687">
        <f t="shared" si="36"/>
        <v>9.47666666666667</v>
      </c>
      <c r="L355" s="687">
        <v>505.87</v>
      </c>
      <c r="M355" s="686">
        <v>0</v>
      </c>
      <c r="N355" s="527">
        <v>0</v>
      </c>
      <c r="O355" s="543" t="e">
        <f t="shared" si="38"/>
        <v>#DIV/0!</v>
      </c>
      <c r="P355" s="528" t="e">
        <f t="shared" si="39"/>
        <v>#DIV/0!</v>
      </c>
      <c r="Q355" s="687" t="e">
        <f t="shared" si="40"/>
        <v>#DIV/0!</v>
      </c>
    </row>
    <row r="356" spans="1:17">
      <c r="A356" s="684">
        <f t="shared" si="37"/>
        <v>44551</v>
      </c>
      <c r="B356" s="685">
        <v>38.07</v>
      </c>
      <c r="C356" s="686">
        <v>99</v>
      </c>
      <c r="D356" s="686">
        <v>6</v>
      </c>
      <c r="E356" s="686">
        <v>0</v>
      </c>
      <c r="F356" s="685">
        <v>0</v>
      </c>
      <c r="G356" s="686">
        <v>0</v>
      </c>
      <c r="H356" s="686">
        <v>0</v>
      </c>
      <c r="I356" s="686">
        <v>0</v>
      </c>
      <c r="J356" s="527">
        <f t="shared" si="35"/>
        <v>0.0606060606060606</v>
      </c>
      <c r="K356" s="687">
        <f t="shared" si="36"/>
        <v>6.345</v>
      </c>
      <c r="L356" s="687">
        <v>384.55</v>
      </c>
      <c r="M356" s="686">
        <v>0</v>
      </c>
      <c r="N356" s="527">
        <v>0</v>
      </c>
      <c r="O356" s="543" t="e">
        <f t="shared" si="38"/>
        <v>#DIV/0!</v>
      </c>
      <c r="P356" s="528" t="e">
        <f t="shared" si="39"/>
        <v>#DIV/0!</v>
      </c>
      <c r="Q356" s="687" t="e">
        <f t="shared" si="40"/>
        <v>#DIV/0!</v>
      </c>
    </row>
    <row r="357" spans="1:17">
      <c r="A357" s="684">
        <f t="shared" si="37"/>
        <v>44552</v>
      </c>
      <c r="B357" s="685">
        <v>114.87</v>
      </c>
      <c r="C357" s="686">
        <v>222</v>
      </c>
      <c r="D357" s="686">
        <v>15</v>
      </c>
      <c r="E357" s="686">
        <v>0</v>
      </c>
      <c r="F357" s="685">
        <v>0</v>
      </c>
      <c r="G357" s="686">
        <v>0</v>
      </c>
      <c r="H357" s="686">
        <v>0</v>
      </c>
      <c r="I357" s="686">
        <v>0</v>
      </c>
      <c r="J357" s="527">
        <f t="shared" si="35"/>
        <v>0.0675675675675676</v>
      </c>
      <c r="K357" s="687">
        <f t="shared" si="36"/>
        <v>7.658</v>
      </c>
      <c r="L357" s="687">
        <v>517.43</v>
      </c>
      <c r="M357" s="686">
        <v>0</v>
      </c>
      <c r="N357" s="527">
        <v>0</v>
      </c>
      <c r="O357" s="543" t="e">
        <f t="shared" si="38"/>
        <v>#DIV/0!</v>
      </c>
      <c r="P357" s="528" t="e">
        <f t="shared" si="39"/>
        <v>#DIV/0!</v>
      </c>
      <c r="Q357" s="687" t="e">
        <f t="shared" si="40"/>
        <v>#DIV/0!</v>
      </c>
    </row>
    <row r="358" spans="1:17">
      <c r="A358" s="684">
        <f t="shared" si="37"/>
        <v>44553</v>
      </c>
      <c r="B358" s="685">
        <v>143.21</v>
      </c>
      <c r="C358" s="686">
        <v>287</v>
      </c>
      <c r="D358" s="686">
        <v>15</v>
      </c>
      <c r="E358" s="686">
        <v>0</v>
      </c>
      <c r="F358" s="685">
        <v>0</v>
      </c>
      <c r="G358" s="686">
        <v>1</v>
      </c>
      <c r="H358" s="686">
        <v>0</v>
      </c>
      <c r="I358" s="686">
        <v>0</v>
      </c>
      <c r="J358" s="527">
        <f t="shared" si="35"/>
        <v>0.0522648083623693</v>
      </c>
      <c r="K358" s="687">
        <f t="shared" si="36"/>
        <v>9.54733333333333</v>
      </c>
      <c r="L358" s="687">
        <v>498.99</v>
      </c>
      <c r="M358" s="686">
        <v>0</v>
      </c>
      <c r="N358" s="527">
        <v>0</v>
      </c>
      <c r="O358" s="543" t="e">
        <f t="shared" si="38"/>
        <v>#DIV/0!</v>
      </c>
      <c r="P358" s="528" t="e">
        <f t="shared" si="39"/>
        <v>#DIV/0!</v>
      </c>
      <c r="Q358" s="687">
        <f t="shared" si="40"/>
        <v>143.21</v>
      </c>
    </row>
    <row r="359" spans="1:17">
      <c r="A359" s="684">
        <f t="shared" si="37"/>
        <v>44554</v>
      </c>
      <c r="B359" s="685">
        <v>141.09</v>
      </c>
      <c r="C359" s="686">
        <v>293</v>
      </c>
      <c r="D359" s="686">
        <v>17</v>
      </c>
      <c r="E359" s="686">
        <v>0</v>
      </c>
      <c r="F359" s="685">
        <v>0</v>
      </c>
      <c r="G359" s="686">
        <v>0</v>
      </c>
      <c r="H359" s="686">
        <v>0</v>
      </c>
      <c r="I359" s="686">
        <v>1</v>
      </c>
      <c r="J359" s="527">
        <f t="shared" si="35"/>
        <v>0.0580204778156997</v>
      </c>
      <c r="K359" s="687">
        <f t="shared" si="36"/>
        <v>8.29941176470588</v>
      </c>
      <c r="L359" s="687">
        <v>481.54</v>
      </c>
      <c r="M359" s="686">
        <v>0</v>
      </c>
      <c r="N359" s="527">
        <v>0</v>
      </c>
      <c r="O359" s="543" t="e">
        <f t="shared" si="38"/>
        <v>#DIV/0!</v>
      </c>
      <c r="P359" s="528" t="e">
        <f t="shared" si="39"/>
        <v>#DIV/0!</v>
      </c>
      <c r="Q359" s="687" t="e">
        <f t="shared" si="40"/>
        <v>#DIV/0!</v>
      </c>
    </row>
    <row r="360" spans="1:17">
      <c r="A360" s="684">
        <f t="shared" si="37"/>
        <v>44555</v>
      </c>
      <c r="B360" s="685">
        <v>135.12</v>
      </c>
      <c r="C360" s="686">
        <v>278</v>
      </c>
      <c r="D360" s="686">
        <v>9</v>
      </c>
      <c r="E360" s="686">
        <v>0</v>
      </c>
      <c r="F360" s="685">
        <v>0</v>
      </c>
      <c r="G360" s="686">
        <v>0</v>
      </c>
      <c r="H360" s="686">
        <v>0</v>
      </c>
      <c r="I360" s="686">
        <v>0</v>
      </c>
      <c r="J360" s="527">
        <f t="shared" si="35"/>
        <v>0.0323741007194245</v>
      </c>
      <c r="K360" s="687">
        <f t="shared" si="36"/>
        <v>15.0133333333333</v>
      </c>
      <c r="L360" s="687">
        <v>486.04</v>
      </c>
      <c r="M360" s="686">
        <v>0</v>
      </c>
      <c r="N360" s="527">
        <v>0</v>
      </c>
      <c r="O360" s="543" t="e">
        <f t="shared" si="38"/>
        <v>#DIV/0!</v>
      </c>
      <c r="P360" s="528" t="e">
        <f t="shared" si="39"/>
        <v>#DIV/0!</v>
      </c>
      <c r="Q360" s="687" t="e">
        <f t="shared" si="40"/>
        <v>#DIV/0!</v>
      </c>
    </row>
    <row r="361" spans="1:17">
      <c r="A361" s="684">
        <f t="shared" si="37"/>
        <v>44556</v>
      </c>
      <c r="B361" s="685">
        <v>120.04</v>
      </c>
      <c r="C361" s="686">
        <v>269</v>
      </c>
      <c r="D361" s="686">
        <v>7</v>
      </c>
      <c r="E361" s="686">
        <v>0</v>
      </c>
      <c r="F361" s="685">
        <v>0</v>
      </c>
      <c r="G361" s="686">
        <v>0</v>
      </c>
      <c r="H361" s="686">
        <v>0</v>
      </c>
      <c r="I361" s="686">
        <v>1</v>
      </c>
      <c r="J361" s="527">
        <f t="shared" si="35"/>
        <v>0.0260223048327138</v>
      </c>
      <c r="K361" s="687">
        <f t="shared" si="36"/>
        <v>17.1485714285714</v>
      </c>
      <c r="L361" s="687">
        <v>446.25</v>
      </c>
      <c r="M361" s="686">
        <v>0</v>
      </c>
      <c r="N361" s="527">
        <v>0</v>
      </c>
      <c r="O361" s="543" t="e">
        <f t="shared" si="38"/>
        <v>#DIV/0!</v>
      </c>
      <c r="P361" s="528" t="e">
        <f t="shared" si="39"/>
        <v>#DIV/0!</v>
      </c>
      <c r="Q361" s="687" t="e">
        <f t="shared" si="40"/>
        <v>#DIV/0!</v>
      </c>
    </row>
    <row r="362" spans="1:17">
      <c r="A362" s="684">
        <f t="shared" si="37"/>
        <v>44557</v>
      </c>
      <c r="B362" s="685">
        <v>133.22</v>
      </c>
      <c r="C362" s="686">
        <v>294</v>
      </c>
      <c r="D362" s="686">
        <v>10</v>
      </c>
      <c r="E362" s="686">
        <v>0</v>
      </c>
      <c r="F362" s="685">
        <v>0</v>
      </c>
      <c r="G362" s="686">
        <v>0</v>
      </c>
      <c r="H362" s="686">
        <v>0</v>
      </c>
      <c r="I362" s="686">
        <v>0</v>
      </c>
      <c r="J362" s="527">
        <f t="shared" si="35"/>
        <v>0.0340136054421769</v>
      </c>
      <c r="K362" s="687">
        <f t="shared" si="36"/>
        <v>13.322</v>
      </c>
      <c r="L362" s="687">
        <v>453.13</v>
      </c>
      <c r="M362" s="686">
        <v>0</v>
      </c>
      <c r="N362" s="527">
        <v>0</v>
      </c>
      <c r="O362" s="543" t="e">
        <f t="shared" si="38"/>
        <v>#DIV/0!</v>
      </c>
      <c r="P362" s="528" t="e">
        <f t="shared" si="39"/>
        <v>#DIV/0!</v>
      </c>
      <c r="Q362" s="687" t="e">
        <f t="shared" si="40"/>
        <v>#DIV/0!</v>
      </c>
    </row>
    <row r="363" spans="1:17">
      <c r="A363" s="684">
        <f t="shared" si="37"/>
        <v>44558</v>
      </c>
      <c r="B363" s="685">
        <v>35.09</v>
      </c>
      <c r="C363" s="686">
        <v>104</v>
      </c>
      <c r="D363" s="686">
        <v>1</v>
      </c>
      <c r="E363" s="686">
        <v>0</v>
      </c>
      <c r="F363" s="685">
        <v>0</v>
      </c>
      <c r="G363" s="686">
        <v>0</v>
      </c>
      <c r="H363" s="686">
        <v>0</v>
      </c>
      <c r="I363" s="686">
        <v>0</v>
      </c>
      <c r="J363" s="527">
        <f t="shared" si="35"/>
        <v>0.00961538461538462</v>
      </c>
      <c r="K363" s="687">
        <f t="shared" si="36"/>
        <v>35.09</v>
      </c>
      <c r="L363" s="687">
        <v>337.4</v>
      </c>
      <c r="M363" s="686">
        <v>0</v>
      </c>
      <c r="N363" s="527">
        <v>0</v>
      </c>
      <c r="O363" s="543" t="e">
        <f t="shared" si="38"/>
        <v>#DIV/0!</v>
      </c>
      <c r="P363" s="528" t="e">
        <f t="shared" si="39"/>
        <v>#DIV/0!</v>
      </c>
      <c r="Q363" s="687" t="e">
        <f t="shared" si="40"/>
        <v>#DIV/0!</v>
      </c>
    </row>
    <row r="364" spans="1:17">
      <c r="A364" s="684">
        <f t="shared" si="37"/>
        <v>44559</v>
      </c>
      <c r="B364" s="685">
        <v>109.22</v>
      </c>
      <c r="C364" s="686">
        <v>240</v>
      </c>
      <c r="D364" s="686">
        <v>12</v>
      </c>
      <c r="E364" s="686">
        <v>0</v>
      </c>
      <c r="F364" s="685">
        <v>0</v>
      </c>
      <c r="G364" s="686">
        <v>0</v>
      </c>
      <c r="H364" s="686">
        <v>0</v>
      </c>
      <c r="I364" s="686">
        <v>0</v>
      </c>
      <c r="J364" s="527">
        <f t="shared" si="35"/>
        <v>0.05</v>
      </c>
      <c r="K364" s="687">
        <f t="shared" si="36"/>
        <v>9.10166666666667</v>
      </c>
      <c r="L364" s="687">
        <v>455.08</v>
      </c>
      <c r="M364" s="686">
        <v>0</v>
      </c>
      <c r="N364" s="527">
        <v>0</v>
      </c>
      <c r="O364" s="543" t="e">
        <f t="shared" si="38"/>
        <v>#DIV/0!</v>
      </c>
      <c r="P364" s="528" t="e">
        <f t="shared" si="39"/>
        <v>#DIV/0!</v>
      </c>
      <c r="Q364" s="687" t="e">
        <f t="shared" si="40"/>
        <v>#DIV/0!</v>
      </c>
    </row>
    <row r="365" spans="1:17">
      <c r="A365" s="684">
        <f t="shared" si="37"/>
        <v>44560</v>
      </c>
      <c r="B365" s="685">
        <v>83.79</v>
      </c>
      <c r="C365" s="686">
        <v>190</v>
      </c>
      <c r="D365" s="686">
        <v>13</v>
      </c>
      <c r="E365" s="686">
        <v>0</v>
      </c>
      <c r="F365" s="685">
        <v>0</v>
      </c>
      <c r="G365" s="686">
        <v>0</v>
      </c>
      <c r="H365" s="686">
        <v>0</v>
      </c>
      <c r="I365" s="686">
        <v>2</v>
      </c>
      <c r="J365" s="527">
        <f t="shared" si="35"/>
        <v>0.068421052631579</v>
      </c>
      <c r="K365" s="687">
        <f t="shared" si="36"/>
        <v>6.44538461538462</v>
      </c>
      <c r="L365" s="687">
        <v>441</v>
      </c>
      <c r="M365" s="686">
        <v>0</v>
      </c>
      <c r="N365" s="527">
        <v>0</v>
      </c>
      <c r="O365" s="543" t="e">
        <f t="shared" si="38"/>
        <v>#DIV/0!</v>
      </c>
      <c r="P365" s="528" t="e">
        <f t="shared" si="39"/>
        <v>#DIV/0!</v>
      </c>
      <c r="Q365" s="687" t="e">
        <f t="shared" si="40"/>
        <v>#DIV/0!</v>
      </c>
    </row>
    <row r="366" spans="1:17">
      <c r="A366" s="684">
        <f t="shared" si="37"/>
        <v>44561</v>
      </c>
      <c r="B366" s="685">
        <v>50.11</v>
      </c>
      <c r="C366" s="686">
        <v>182</v>
      </c>
      <c r="D366" s="686">
        <v>4</v>
      </c>
      <c r="E366" s="686">
        <v>0</v>
      </c>
      <c r="F366" s="685">
        <v>0</v>
      </c>
      <c r="G366" s="686">
        <v>0</v>
      </c>
      <c r="H366" s="686">
        <v>0</v>
      </c>
      <c r="I366" s="686">
        <v>0</v>
      </c>
      <c r="J366" s="527">
        <f t="shared" si="35"/>
        <v>0.021978021978022</v>
      </c>
      <c r="K366" s="687">
        <f t="shared" si="36"/>
        <v>12.5275</v>
      </c>
      <c r="L366" s="687">
        <v>275.33</v>
      </c>
      <c r="M366" s="686">
        <v>0</v>
      </c>
      <c r="N366" s="527">
        <v>0</v>
      </c>
      <c r="O366" s="543" t="e">
        <f t="shared" si="38"/>
        <v>#DIV/0!</v>
      </c>
      <c r="P366" s="528" t="e">
        <f t="shared" si="39"/>
        <v>#DIV/0!</v>
      </c>
      <c r="Q366" s="687" t="e">
        <f t="shared" si="40"/>
        <v>#DIV/0!</v>
      </c>
    </row>
    <row r="367" spans="1:17">
      <c r="A367" s="684">
        <f t="shared" si="37"/>
        <v>44562</v>
      </c>
      <c r="B367" s="670">
        <v>0</v>
      </c>
      <c r="C367" s="37">
        <v>0</v>
      </c>
      <c r="D367" s="37">
        <v>0</v>
      </c>
      <c r="E367" s="37">
        <v>0</v>
      </c>
      <c r="F367" s="685">
        <v>0</v>
      </c>
      <c r="G367" s="37">
        <v>0</v>
      </c>
      <c r="H367" s="37">
        <v>0</v>
      </c>
      <c r="I367" s="37">
        <v>0</v>
      </c>
      <c r="J367" s="527" t="e">
        <f t="shared" si="35"/>
        <v>#DIV/0!</v>
      </c>
      <c r="K367" s="687" t="e">
        <f t="shared" si="36"/>
        <v>#DIV/0!</v>
      </c>
      <c r="L367" s="37"/>
      <c r="M367" s="686"/>
      <c r="N367" s="527"/>
      <c r="O367" s="543"/>
      <c r="P367" s="528"/>
      <c r="Q367" s="687"/>
    </row>
    <row r="368" spans="1:17">
      <c r="A368" s="684">
        <f t="shared" si="37"/>
        <v>44563</v>
      </c>
      <c r="B368" s="1027">
        <v>141.11</v>
      </c>
      <c r="C368" s="1028">
        <v>280</v>
      </c>
      <c r="D368" s="1028">
        <v>18</v>
      </c>
      <c r="E368" s="1028">
        <v>0</v>
      </c>
      <c r="F368" s="685">
        <v>0</v>
      </c>
      <c r="G368" s="1028">
        <v>0</v>
      </c>
      <c r="H368" s="1028">
        <v>0</v>
      </c>
      <c r="I368" s="1028">
        <v>1</v>
      </c>
      <c r="J368" s="527">
        <f t="shared" si="35"/>
        <v>0.0642857142857143</v>
      </c>
      <c r="K368" s="687">
        <f t="shared" si="36"/>
        <v>7.83944444444445</v>
      </c>
      <c r="L368" s="1029">
        <v>503.963999999999</v>
      </c>
      <c r="M368" s="686">
        <v>0</v>
      </c>
      <c r="N368" s="527">
        <v>0</v>
      </c>
      <c r="O368" s="543" t="e">
        <f t="shared" si="38"/>
        <v>#DIV/0!</v>
      </c>
      <c r="P368" s="528" t="e">
        <f t="shared" si="39"/>
        <v>#DIV/0!</v>
      </c>
      <c r="Q368" s="687" t="e">
        <f t="shared" si="40"/>
        <v>#DIV/0!</v>
      </c>
    </row>
    <row r="369" spans="1:17">
      <c r="A369" s="684">
        <f t="shared" ref="A369:A400" si="41">A368+1</f>
        <v>44564</v>
      </c>
      <c r="B369" s="1027">
        <v>118.68</v>
      </c>
      <c r="C369" s="1028">
        <v>270</v>
      </c>
      <c r="D369" s="1028">
        <v>21</v>
      </c>
      <c r="E369" s="1028">
        <v>0</v>
      </c>
      <c r="F369" s="685">
        <v>0</v>
      </c>
      <c r="G369" s="1028">
        <v>0</v>
      </c>
      <c r="H369" s="1028">
        <v>0</v>
      </c>
      <c r="I369" s="1028">
        <v>1</v>
      </c>
      <c r="J369" s="527">
        <f t="shared" si="35"/>
        <v>0.0777777777777778</v>
      </c>
      <c r="K369" s="687">
        <f t="shared" si="36"/>
        <v>5.65142857142857</v>
      </c>
      <c r="L369" s="1029">
        <v>439.554999999999</v>
      </c>
      <c r="M369" s="686">
        <v>0</v>
      </c>
      <c r="N369" s="527">
        <v>0</v>
      </c>
      <c r="O369" s="543" t="e">
        <f t="shared" si="38"/>
        <v>#DIV/0!</v>
      </c>
      <c r="P369" s="528" t="e">
        <f t="shared" si="39"/>
        <v>#DIV/0!</v>
      </c>
      <c r="Q369" s="687" t="e">
        <f t="shared" si="40"/>
        <v>#DIV/0!</v>
      </c>
    </row>
    <row r="370" spans="1:17">
      <c r="A370" s="684">
        <f t="shared" si="41"/>
        <v>44565</v>
      </c>
      <c r="B370" s="670">
        <v>0</v>
      </c>
      <c r="C370" s="1028" t="s">
        <v>70</v>
      </c>
      <c r="D370" s="1028" t="s">
        <v>70</v>
      </c>
      <c r="E370" s="1028" t="s">
        <v>70</v>
      </c>
      <c r="F370" s="685">
        <v>0</v>
      </c>
      <c r="G370" s="1028" t="s">
        <v>70</v>
      </c>
      <c r="H370" s="1028" t="s">
        <v>70</v>
      </c>
      <c r="I370" s="1028" t="s">
        <v>70</v>
      </c>
      <c r="J370" s="527" t="e">
        <f t="shared" si="35"/>
        <v>#VALUE!</v>
      </c>
      <c r="K370" s="687" t="e">
        <f t="shared" si="36"/>
        <v>#VALUE!</v>
      </c>
      <c r="L370" s="1029"/>
      <c r="M370" s="686"/>
      <c r="N370" s="527"/>
      <c r="O370" s="543"/>
      <c r="P370" s="528"/>
      <c r="Q370" s="687"/>
    </row>
    <row r="371" spans="1:17">
      <c r="A371" s="684">
        <f t="shared" si="41"/>
        <v>44566</v>
      </c>
      <c r="B371" s="1027">
        <v>113.75</v>
      </c>
      <c r="C371" s="1028">
        <v>208</v>
      </c>
      <c r="D371" s="1028">
        <v>17</v>
      </c>
      <c r="E371" s="1028">
        <v>0</v>
      </c>
      <c r="F371" s="685">
        <v>0</v>
      </c>
      <c r="G371" s="1028">
        <v>0</v>
      </c>
      <c r="H371" s="1028">
        <v>0</v>
      </c>
      <c r="I371" s="1028">
        <v>1</v>
      </c>
      <c r="J371" s="527">
        <f t="shared" si="35"/>
        <v>0.0817307692307692</v>
      </c>
      <c r="K371" s="687">
        <f t="shared" si="36"/>
        <v>6.69117647058824</v>
      </c>
      <c r="L371" s="1029">
        <v>546.875</v>
      </c>
      <c r="M371" s="686">
        <v>0</v>
      </c>
      <c r="N371" s="527">
        <v>0</v>
      </c>
      <c r="O371" s="543" t="e">
        <f t="shared" si="38"/>
        <v>#DIV/0!</v>
      </c>
      <c r="P371" s="528" t="e">
        <f t="shared" si="39"/>
        <v>#DIV/0!</v>
      </c>
      <c r="Q371" s="687" t="e">
        <f t="shared" si="40"/>
        <v>#DIV/0!</v>
      </c>
    </row>
    <row r="372" spans="1:17">
      <c r="A372" s="684">
        <f t="shared" si="41"/>
        <v>44567</v>
      </c>
      <c r="B372" s="1027">
        <v>113.06</v>
      </c>
      <c r="C372" s="1028">
        <v>270</v>
      </c>
      <c r="D372" s="1028">
        <v>9</v>
      </c>
      <c r="E372" s="1028">
        <v>0</v>
      </c>
      <c r="F372" s="685">
        <v>0</v>
      </c>
      <c r="G372" s="1028">
        <v>0</v>
      </c>
      <c r="H372" s="1028">
        <v>0</v>
      </c>
      <c r="I372" s="1028">
        <v>0</v>
      </c>
      <c r="J372" s="527">
        <f t="shared" si="35"/>
        <v>0.0333333333333333</v>
      </c>
      <c r="K372" s="687">
        <f t="shared" si="36"/>
        <v>12.5622222222222</v>
      </c>
      <c r="L372" s="1029">
        <v>418.74</v>
      </c>
      <c r="M372" s="686">
        <v>0</v>
      </c>
      <c r="N372" s="527">
        <v>0</v>
      </c>
      <c r="O372" s="543" t="e">
        <f t="shared" si="38"/>
        <v>#DIV/0!</v>
      </c>
      <c r="P372" s="528" t="e">
        <f t="shared" si="39"/>
        <v>#DIV/0!</v>
      </c>
      <c r="Q372" s="687" t="e">
        <f t="shared" si="40"/>
        <v>#DIV/0!</v>
      </c>
    </row>
    <row r="373" spans="1:17">
      <c r="A373" s="684">
        <f t="shared" si="41"/>
        <v>44568</v>
      </c>
      <c r="B373" s="1027">
        <v>120.42</v>
      </c>
      <c r="C373" s="1028">
        <v>269</v>
      </c>
      <c r="D373" s="1028">
        <v>8</v>
      </c>
      <c r="E373" s="1028">
        <v>0</v>
      </c>
      <c r="F373" s="685">
        <v>0</v>
      </c>
      <c r="G373" s="1028">
        <v>1</v>
      </c>
      <c r="H373" s="1028">
        <v>0</v>
      </c>
      <c r="I373" s="1028">
        <v>0</v>
      </c>
      <c r="J373" s="527">
        <f t="shared" si="35"/>
        <v>0.0297397769516729</v>
      </c>
      <c r="K373" s="687">
        <f t="shared" si="36"/>
        <v>15.0525</v>
      </c>
      <c r="L373" s="1029">
        <v>447.657</v>
      </c>
      <c r="M373" s="686">
        <v>0</v>
      </c>
      <c r="N373" s="527">
        <v>0</v>
      </c>
      <c r="O373" s="543" t="e">
        <f t="shared" si="38"/>
        <v>#DIV/0!</v>
      </c>
      <c r="P373" s="528" t="e">
        <f t="shared" si="39"/>
        <v>#DIV/0!</v>
      </c>
      <c r="Q373" s="687">
        <f t="shared" si="40"/>
        <v>120.42</v>
      </c>
    </row>
    <row r="374" spans="1:17">
      <c r="A374" s="684">
        <f t="shared" si="41"/>
        <v>44569</v>
      </c>
      <c r="B374" s="670">
        <v>0</v>
      </c>
      <c r="C374" s="1028" t="s">
        <v>70</v>
      </c>
      <c r="D374" s="1028" t="s">
        <v>70</v>
      </c>
      <c r="E374" s="1028" t="s">
        <v>70</v>
      </c>
      <c r="F374" s="685">
        <v>0</v>
      </c>
      <c r="G374" s="1028" t="s">
        <v>70</v>
      </c>
      <c r="H374" s="1028" t="s">
        <v>70</v>
      </c>
      <c r="I374" s="1028" t="s">
        <v>70</v>
      </c>
      <c r="J374" s="527" t="e">
        <f t="shared" si="35"/>
        <v>#VALUE!</v>
      </c>
      <c r="K374" s="687" t="e">
        <f t="shared" si="36"/>
        <v>#VALUE!</v>
      </c>
      <c r="L374" s="1029"/>
      <c r="M374" s="686"/>
      <c r="N374" s="527"/>
      <c r="O374" s="543"/>
      <c r="P374" s="528"/>
      <c r="Q374" s="687"/>
    </row>
    <row r="375" spans="1:17">
      <c r="A375" s="684">
        <f t="shared" si="41"/>
        <v>44570</v>
      </c>
      <c r="B375" s="670">
        <v>0</v>
      </c>
      <c r="C375" s="1028" t="s">
        <v>70</v>
      </c>
      <c r="D375" s="1028" t="s">
        <v>70</v>
      </c>
      <c r="E375" s="1028" t="s">
        <v>70</v>
      </c>
      <c r="F375" s="685">
        <v>0</v>
      </c>
      <c r="G375" s="1028" t="s">
        <v>70</v>
      </c>
      <c r="H375" s="1028" t="s">
        <v>70</v>
      </c>
      <c r="I375" s="1028" t="s">
        <v>70</v>
      </c>
      <c r="J375" s="527" t="e">
        <f t="shared" si="35"/>
        <v>#VALUE!</v>
      </c>
      <c r="K375" s="687" t="e">
        <f t="shared" si="36"/>
        <v>#VALUE!</v>
      </c>
      <c r="L375" s="1029"/>
      <c r="M375" s="686"/>
      <c r="N375" s="527"/>
      <c r="O375" s="543"/>
      <c r="P375" s="528"/>
      <c r="Q375" s="687"/>
    </row>
    <row r="376" spans="1:17">
      <c r="A376" s="684">
        <f t="shared" si="41"/>
        <v>44571</v>
      </c>
      <c r="B376" s="1027">
        <v>124.15</v>
      </c>
      <c r="C376" s="1028">
        <v>309</v>
      </c>
      <c r="D376" s="1028">
        <v>14</v>
      </c>
      <c r="E376" s="1028">
        <v>0</v>
      </c>
      <c r="F376" s="685">
        <v>0</v>
      </c>
      <c r="G376" s="1028">
        <v>0</v>
      </c>
      <c r="H376" s="1028">
        <v>0</v>
      </c>
      <c r="I376" s="1028">
        <v>0</v>
      </c>
      <c r="J376" s="527">
        <f t="shared" si="35"/>
        <v>0.0453074433656958</v>
      </c>
      <c r="K376" s="687">
        <f t="shared" si="36"/>
        <v>8.86785714285714</v>
      </c>
      <c r="L376" s="1029">
        <v>401.779</v>
      </c>
      <c r="M376" s="686">
        <v>0</v>
      </c>
      <c r="N376" s="527">
        <v>0</v>
      </c>
      <c r="O376" s="543" t="e">
        <f t="shared" si="38"/>
        <v>#DIV/0!</v>
      </c>
      <c r="P376" s="528" t="e">
        <f t="shared" si="39"/>
        <v>#DIV/0!</v>
      </c>
      <c r="Q376" s="687" t="e">
        <f t="shared" si="40"/>
        <v>#DIV/0!</v>
      </c>
    </row>
    <row r="377" spans="1:17">
      <c r="A377" s="684">
        <f t="shared" si="41"/>
        <v>44572</v>
      </c>
      <c r="B377" s="1027">
        <v>154.37</v>
      </c>
      <c r="C377" s="1028">
        <v>344</v>
      </c>
      <c r="D377" s="1028">
        <v>21</v>
      </c>
      <c r="E377" s="1028" t="s">
        <v>70</v>
      </c>
      <c r="F377" s="685">
        <v>0</v>
      </c>
      <c r="G377" s="1028" t="s">
        <v>70</v>
      </c>
      <c r="H377" s="1028" t="s">
        <v>70</v>
      </c>
      <c r="I377" s="1028" t="s">
        <v>70</v>
      </c>
      <c r="J377" s="527">
        <f t="shared" si="35"/>
        <v>0.061046511627907</v>
      </c>
      <c r="K377" s="687">
        <f t="shared" si="36"/>
        <v>7.35095238095238</v>
      </c>
      <c r="L377" s="1029">
        <v>448.75</v>
      </c>
      <c r="M377" s="686">
        <v>0</v>
      </c>
      <c r="N377" s="527">
        <v>0</v>
      </c>
      <c r="O377" s="543" t="e">
        <f t="shared" si="38"/>
        <v>#VALUE!</v>
      </c>
      <c r="P377" s="528" t="e">
        <f t="shared" si="39"/>
        <v>#VALUE!</v>
      </c>
      <c r="Q377" s="687" t="e">
        <f t="shared" si="40"/>
        <v>#VALUE!</v>
      </c>
    </row>
    <row r="378" spans="1:17">
      <c r="A378" s="684">
        <f t="shared" si="41"/>
        <v>44573</v>
      </c>
      <c r="B378" s="1027">
        <v>136.44</v>
      </c>
      <c r="C378" s="1028">
        <v>309</v>
      </c>
      <c r="D378" s="1028">
        <v>14</v>
      </c>
      <c r="E378" s="1028">
        <v>0</v>
      </c>
      <c r="F378" s="685">
        <v>0</v>
      </c>
      <c r="G378" s="1028">
        <v>0</v>
      </c>
      <c r="H378" s="1028">
        <v>0</v>
      </c>
      <c r="I378" s="1028">
        <v>0</v>
      </c>
      <c r="J378" s="527">
        <f t="shared" si="35"/>
        <v>0.0453074433656958</v>
      </c>
      <c r="K378" s="687">
        <f t="shared" si="36"/>
        <v>9.74571428571429</v>
      </c>
      <c r="L378" s="1029">
        <v>441.553</v>
      </c>
      <c r="M378" s="686">
        <v>0</v>
      </c>
      <c r="N378" s="527">
        <v>0</v>
      </c>
      <c r="O378" s="543" t="e">
        <f t="shared" si="38"/>
        <v>#DIV/0!</v>
      </c>
      <c r="P378" s="528" t="e">
        <f t="shared" si="39"/>
        <v>#DIV/0!</v>
      </c>
      <c r="Q378" s="687" t="e">
        <f t="shared" si="40"/>
        <v>#DIV/0!</v>
      </c>
    </row>
    <row r="379" spans="1:17">
      <c r="A379" s="684">
        <f t="shared" si="41"/>
        <v>44574</v>
      </c>
      <c r="B379" s="1027">
        <v>117.46</v>
      </c>
      <c r="C379" s="1028">
        <v>288</v>
      </c>
      <c r="D379" s="1028">
        <v>8</v>
      </c>
      <c r="E379" s="1028">
        <v>0</v>
      </c>
      <c r="F379" s="685">
        <v>0</v>
      </c>
      <c r="G379" s="1028">
        <v>0</v>
      </c>
      <c r="H379" s="1028">
        <v>0</v>
      </c>
      <c r="I379" s="1028">
        <v>0</v>
      </c>
      <c r="J379" s="527">
        <f t="shared" si="35"/>
        <v>0.0277777777777778</v>
      </c>
      <c r="K379" s="687">
        <f t="shared" si="36"/>
        <v>14.6825</v>
      </c>
      <c r="L379" s="1029">
        <v>407.847</v>
      </c>
      <c r="M379" s="686">
        <v>0</v>
      </c>
      <c r="N379" s="527">
        <v>0</v>
      </c>
      <c r="O379" s="543" t="e">
        <f t="shared" si="38"/>
        <v>#DIV/0!</v>
      </c>
      <c r="P379" s="528" t="e">
        <f t="shared" si="39"/>
        <v>#DIV/0!</v>
      </c>
      <c r="Q379" s="687" t="e">
        <f t="shared" si="40"/>
        <v>#DIV/0!</v>
      </c>
    </row>
    <row r="380" spans="1:17">
      <c r="A380" s="684">
        <f t="shared" si="41"/>
        <v>44575</v>
      </c>
      <c r="B380" s="1027">
        <v>110.84</v>
      </c>
      <c r="C380" s="1028">
        <v>267</v>
      </c>
      <c r="D380" s="1028">
        <v>15</v>
      </c>
      <c r="E380" s="1028">
        <v>0</v>
      </c>
      <c r="F380" s="685">
        <v>0</v>
      </c>
      <c r="G380" s="1028">
        <v>0</v>
      </c>
      <c r="H380" s="1028">
        <v>0</v>
      </c>
      <c r="I380" s="1028">
        <v>1</v>
      </c>
      <c r="J380" s="527">
        <f t="shared" si="35"/>
        <v>0.0561797752808989</v>
      </c>
      <c r="K380" s="687">
        <f t="shared" si="36"/>
        <v>7.38933333333333</v>
      </c>
      <c r="L380" s="1029">
        <v>415.131</v>
      </c>
      <c r="M380" s="686">
        <v>0</v>
      </c>
      <c r="N380" s="527">
        <v>0</v>
      </c>
      <c r="O380" s="543" t="e">
        <f t="shared" si="38"/>
        <v>#DIV/0!</v>
      </c>
      <c r="P380" s="528" t="e">
        <f t="shared" si="39"/>
        <v>#DIV/0!</v>
      </c>
      <c r="Q380" s="687" t="e">
        <f t="shared" si="40"/>
        <v>#DIV/0!</v>
      </c>
    </row>
    <row r="381" spans="1:17">
      <c r="A381" s="684">
        <f t="shared" si="41"/>
        <v>44576</v>
      </c>
      <c r="B381" s="670">
        <v>0</v>
      </c>
      <c r="C381" s="1028" t="s">
        <v>70</v>
      </c>
      <c r="D381" s="1028" t="s">
        <v>70</v>
      </c>
      <c r="E381" s="1028"/>
      <c r="F381" s="685"/>
      <c r="G381" s="1028"/>
      <c r="H381" s="1028"/>
      <c r="I381" s="1028"/>
      <c r="J381" s="527" t="e">
        <f t="shared" si="35"/>
        <v>#VALUE!</v>
      </c>
      <c r="K381" s="687" t="e">
        <f t="shared" si="36"/>
        <v>#VALUE!</v>
      </c>
      <c r="L381" s="1029"/>
      <c r="M381" s="686"/>
      <c r="N381" s="527"/>
      <c r="O381" s="543"/>
      <c r="P381" s="528"/>
      <c r="Q381" s="687"/>
    </row>
    <row r="382" spans="1:17">
      <c r="A382" s="684">
        <f t="shared" si="41"/>
        <v>44577</v>
      </c>
      <c r="B382" s="670">
        <v>0</v>
      </c>
      <c r="C382" s="1028" t="s">
        <v>70</v>
      </c>
      <c r="D382" s="1028" t="s">
        <v>70</v>
      </c>
      <c r="E382" s="1028"/>
      <c r="F382" s="685"/>
      <c r="G382" s="1028"/>
      <c r="H382" s="1028"/>
      <c r="I382" s="1028"/>
      <c r="J382" s="527" t="e">
        <f t="shared" si="35"/>
        <v>#VALUE!</v>
      </c>
      <c r="K382" s="687" t="e">
        <f t="shared" si="36"/>
        <v>#VALUE!</v>
      </c>
      <c r="L382" s="1029"/>
      <c r="M382" s="686"/>
      <c r="N382" s="527"/>
      <c r="O382" s="543"/>
      <c r="P382" s="528"/>
      <c r="Q382" s="687"/>
    </row>
    <row r="383" spans="1:17">
      <c r="A383" s="684">
        <f t="shared" si="41"/>
        <v>44578</v>
      </c>
      <c r="B383" s="1027">
        <v>158.32</v>
      </c>
      <c r="C383" s="1028">
        <v>440</v>
      </c>
      <c r="D383" s="1028">
        <v>20</v>
      </c>
      <c r="E383" s="1028">
        <v>0</v>
      </c>
      <c r="F383" s="685">
        <v>0</v>
      </c>
      <c r="G383" s="1028">
        <v>0</v>
      </c>
      <c r="H383" s="1028">
        <v>0</v>
      </c>
      <c r="I383" s="1028">
        <v>1</v>
      </c>
      <c r="J383" s="527">
        <f t="shared" si="35"/>
        <v>0.0454545454545455</v>
      </c>
      <c r="K383" s="687">
        <f t="shared" si="36"/>
        <v>7.916</v>
      </c>
      <c r="L383" s="1029">
        <v>359.818</v>
      </c>
      <c r="M383" s="686">
        <v>0</v>
      </c>
      <c r="N383" s="527">
        <v>0</v>
      </c>
      <c r="O383" s="543" t="e">
        <f t="shared" si="38"/>
        <v>#DIV/0!</v>
      </c>
      <c r="P383" s="528" t="e">
        <f t="shared" si="39"/>
        <v>#DIV/0!</v>
      </c>
      <c r="Q383" s="687" t="e">
        <f t="shared" si="40"/>
        <v>#DIV/0!</v>
      </c>
    </row>
    <row r="384" spans="1:17">
      <c r="A384" s="684">
        <f t="shared" si="41"/>
        <v>44579</v>
      </c>
      <c r="B384" s="1027">
        <v>109.48</v>
      </c>
      <c r="C384" s="1028">
        <v>268</v>
      </c>
      <c r="D384" s="1028">
        <v>11</v>
      </c>
      <c r="E384" s="1028">
        <v>0</v>
      </c>
      <c r="F384" s="685">
        <v>0</v>
      </c>
      <c r="G384" s="1028">
        <v>0</v>
      </c>
      <c r="H384" s="1028">
        <v>0</v>
      </c>
      <c r="I384" s="1028">
        <v>0</v>
      </c>
      <c r="J384" s="527">
        <f t="shared" si="35"/>
        <v>0.041044776119403</v>
      </c>
      <c r="K384" s="687">
        <f t="shared" si="36"/>
        <v>9.95272727272727</v>
      </c>
      <c r="L384" s="1029">
        <v>408.507</v>
      </c>
      <c r="M384" s="686">
        <v>0</v>
      </c>
      <c r="N384" s="527">
        <v>0</v>
      </c>
      <c r="O384" s="543" t="e">
        <f t="shared" si="38"/>
        <v>#DIV/0!</v>
      </c>
      <c r="P384" s="528" t="e">
        <f t="shared" si="39"/>
        <v>#DIV/0!</v>
      </c>
      <c r="Q384" s="687" t="e">
        <f t="shared" si="40"/>
        <v>#DIV/0!</v>
      </c>
    </row>
    <row r="385" spans="1:17">
      <c r="A385" s="684">
        <f t="shared" si="41"/>
        <v>44580</v>
      </c>
      <c r="B385" s="1027">
        <v>101.52</v>
      </c>
      <c r="C385" s="1028">
        <v>239</v>
      </c>
      <c r="D385" s="1028">
        <v>14</v>
      </c>
      <c r="E385" s="1028">
        <v>0</v>
      </c>
      <c r="F385" s="685">
        <v>0</v>
      </c>
      <c r="G385" s="1028">
        <v>0</v>
      </c>
      <c r="H385" s="1028">
        <v>0</v>
      </c>
      <c r="I385" s="1028">
        <v>1</v>
      </c>
      <c r="J385" s="527">
        <f t="shared" si="35"/>
        <v>0.0585774058577406</v>
      </c>
      <c r="K385" s="687">
        <f t="shared" si="36"/>
        <v>7.25142857142857</v>
      </c>
      <c r="L385" s="1029">
        <v>424.769</v>
      </c>
      <c r="M385" s="686">
        <v>0</v>
      </c>
      <c r="N385" s="527">
        <v>0</v>
      </c>
      <c r="O385" s="543" t="e">
        <f t="shared" si="38"/>
        <v>#DIV/0!</v>
      </c>
      <c r="P385" s="528" t="e">
        <f t="shared" si="39"/>
        <v>#DIV/0!</v>
      </c>
      <c r="Q385" s="687" t="e">
        <f t="shared" si="40"/>
        <v>#DIV/0!</v>
      </c>
    </row>
    <row r="386" spans="1:17">
      <c r="A386" s="684">
        <f t="shared" si="41"/>
        <v>44581</v>
      </c>
      <c r="B386" s="1027">
        <v>105.69</v>
      </c>
      <c r="C386" s="1028">
        <v>239</v>
      </c>
      <c r="D386" s="1028">
        <v>11</v>
      </c>
      <c r="E386" s="1028">
        <v>0</v>
      </c>
      <c r="F386" s="685">
        <v>0</v>
      </c>
      <c r="G386" s="1028">
        <v>0</v>
      </c>
      <c r="H386" s="1028">
        <v>0</v>
      </c>
      <c r="I386" s="1028">
        <v>1</v>
      </c>
      <c r="J386" s="527">
        <f t="shared" ref="J386:J449" si="42">D386/C386</f>
        <v>0.0460251046025105</v>
      </c>
      <c r="K386" s="687">
        <f t="shared" ref="K386:K449" si="43">B386/D386</f>
        <v>9.60818181818182</v>
      </c>
      <c r="L386" s="1029">
        <v>442.217</v>
      </c>
      <c r="M386" s="686">
        <v>0</v>
      </c>
      <c r="N386" s="527">
        <v>0</v>
      </c>
      <c r="O386" s="543" t="e">
        <f t="shared" si="38"/>
        <v>#DIV/0!</v>
      </c>
      <c r="P386" s="528" t="e">
        <f t="shared" si="39"/>
        <v>#DIV/0!</v>
      </c>
      <c r="Q386" s="687" t="e">
        <f t="shared" si="40"/>
        <v>#DIV/0!</v>
      </c>
    </row>
    <row r="387" spans="1:17">
      <c r="A387" s="684">
        <f t="shared" si="41"/>
        <v>44582</v>
      </c>
      <c r="B387" s="1027">
        <v>74.17</v>
      </c>
      <c r="C387" s="1028">
        <v>222</v>
      </c>
      <c r="D387" s="1028">
        <v>12</v>
      </c>
      <c r="E387" s="1028" t="s">
        <v>70</v>
      </c>
      <c r="F387" s="685">
        <v>0</v>
      </c>
      <c r="G387" s="1028" t="s">
        <v>70</v>
      </c>
      <c r="H387" s="1028" t="s">
        <v>70</v>
      </c>
      <c r="I387" s="1028" t="s">
        <v>70</v>
      </c>
      <c r="J387" s="527">
        <f t="shared" si="42"/>
        <v>0.0540540540540541</v>
      </c>
      <c r="K387" s="687">
        <f t="shared" si="43"/>
        <v>6.18083333333333</v>
      </c>
      <c r="L387" s="1029">
        <v>334.099</v>
      </c>
      <c r="M387" s="686">
        <v>0</v>
      </c>
      <c r="N387" s="527">
        <v>0</v>
      </c>
      <c r="O387" s="543" t="e">
        <f t="shared" si="38"/>
        <v>#VALUE!</v>
      </c>
      <c r="P387" s="528" t="e">
        <f t="shared" si="39"/>
        <v>#VALUE!</v>
      </c>
      <c r="Q387" s="687" t="e">
        <f t="shared" si="40"/>
        <v>#VALUE!</v>
      </c>
    </row>
    <row r="388" spans="1:17">
      <c r="A388" s="684">
        <f t="shared" si="41"/>
        <v>44583</v>
      </c>
      <c r="B388" s="1027">
        <v>54.33</v>
      </c>
      <c r="C388" s="1028">
        <v>160</v>
      </c>
      <c r="D388" s="1028">
        <v>9</v>
      </c>
      <c r="E388" s="1028">
        <v>0</v>
      </c>
      <c r="F388" s="685">
        <v>0</v>
      </c>
      <c r="G388" s="1028">
        <v>0</v>
      </c>
      <c r="H388" s="1028">
        <v>0</v>
      </c>
      <c r="I388" s="1028">
        <v>1</v>
      </c>
      <c r="J388" s="527">
        <f t="shared" si="42"/>
        <v>0.05625</v>
      </c>
      <c r="K388" s="687">
        <f t="shared" si="43"/>
        <v>6.03666666666667</v>
      </c>
      <c r="L388" s="1029">
        <v>339.561999999999</v>
      </c>
      <c r="M388" s="686">
        <v>0</v>
      </c>
      <c r="N388" s="527">
        <v>0</v>
      </c>
      <c r="O388" s="543" t="e">
        <f t="shared" si="38"/>
        <v>#DIV/0!</v>
      </c>
      <c r="P388" s="528" t="e">
        <f t="shared" si="39"/>
        <v>#DIV/0!</v>
      </c>
      <c r="Q388" s="687" t="e">
        <f t="shared" si="40"/>
        <v>#DIV/0!</v>
      </c>
    </row>
    <row r="389" spans="1:17">
      <c r="A389" s="684">
        <f t="shared" si="41"/>
        <v>44584</v>
      </c>
      <c r="B389" s="1027">
        <v>42.23</v>
      </c>
      <c r="C389" s="1028">
        <v>131</v>
      </c>
      <c r="D389" s="1028">
        <v>8</v>
      </c>
      <c r="E389" s="1028">
        <v>0</v>
      </c>
      <c r="F389" s="685">
        <v>0</v>
      </c>
      <c r="G389" s="1028">
        <v>0</v>
      </c>
      <c r="H389" s="1028">
        <v>0</v>
      </c>
      <c r="I389" s="1028">
        <v>0</v>
      </c>
      <c r="J389" s="527">
        <f t="shared" si="42"/>
        <v>0.0610687022900763</v>
      </c>
      <c r="K389" s="687">
        <f t="shared" si="43"/>
        <v>5.27875</v>
      </c>
      <c r="L389" s="1029">
        <v>322.366</v>
      </c>
      <c r="M389" s="686">
        <v>0</v>
      </c>
      <c r="N389" s="527">
        <v>0</v>
      </c>
      <c r="O389" s="543" t="e">
        <f t="shared" si="38"/>
        <v>#DIV/0!</v>
      </c>
      <c r="P389" s="528" t="e">
        <f t="shared" si="39"/>
        <v>#DIV/0!</v>
      </c>
      <c r="Q389" s="687" t="e">
        <f t="shared" si="40"/>
        <v>#DIV/0!</v>
      </c>
    </row>
    <row r="390" spans="1:17">
      <c r="A390" s="684">
        <f t="shared" si="41"/>
        <v>44585</v>
      </c>
      <c r="B390" s="1027">
        <v>64.93</v>
      </c>
      <c r="C390" s="1028">
        <v>183</v>
      </c>
      <c r="D390" s="1028">
        <v>4</v>
      </c>
      <c r="E390" s="1028">
        <v>0</v>
      </c>
      <c r="F390" s="685">
        <v>0</v>
      </c>
      <c r="G390" s="1028">
        <v>0</v>
      </c>
      <c r="H390" s="1028">
        <v>0</v>
      </c>
      <c r="I390" s="1028">
        <v>0</v>
      </c>
      <c r="J390" s="527">
        <f t="shared" si="42"/>
        <v>0.0218579234972678</v>
      </c>
      <c r="K390" s="687">
        <f t="shared" si="43"/>
        <v>16.2325</v>
      </c>
      <c r="L390" s="1029">
        <v>354.808</v>
      </c>
      <c r="M390" s="686">
        <v>0</v>
      </c>
      <c r="N390" s="527">
        <v>0</v>
      </c>
      <c r="O390" s="543" t="e">
        <f t="shared" si="38"/>
        <v>#DIV/0!</v>
      </c>
      <c r="P390" s="528" t="e">
        <f t="shared" si="39"/>
        <v>#DIV/0!</v>
      </c>
      <c r="Q390" s="687" t="e">
        <f t="shared" si="40"/>
        <v>#DIV/0!</v>
      </c>
    </row>
    <row r="391" spans="1:17">
      <c r="A391" s="684">
        <f t="shared" si="41"/>
        <v>44586</v>
      </c>
      <c r="B391" s="1027">
        <v>104.34</v>
      </c>
      <c r="C391" s="1028">
        <v>246</v>
      </c>
      <c r="D391" s="1028">
        <v>23</v>
      </c>
      <c r="E391" s="1028">
        <v>0</v>
      </c>
      <c r="F391" s="685">
        <v>0</v>
      </c>
      <c r="G391" s="1028">
        <v>0</v>
      </c>
      <c r="H391" s="1028">
        <v>1</v>
      </c>
      <c r="I391" s="1028">
        <v>0</v>
      </c>
      <c r="J391" s="527">
        <f t="shared" si="42"/>
        <v>0.0934959349593496</v>
      </c>
      <c r="K391" s="687">
        <f t="shared" si="43"/>
        <v>4.53652173913043</v>
      </c>
      <c r="L391" s="1029">
        <v>424.146</v>
      </c>
      <c r="M391" s="686">
        <v>0</v>
      </c>
      <c r="N391" s="527">
        <v>0</v>
      </c>
      <c r="O391" s="543" t="e">
        <f t="shared" si="38"/>
        <v>#DIV/0!</v>
      </c>
      <c r="P391" s="528" t="e">
        <f t="shared" si="39"/>
        <v>#DIV/0!</v>
      </c>
      <c r="Q391" s="687" t="e">
        <f t="shared" si="40"/>
        <v>#DIV/0!</v>
      </c>
    </row>
    <row r="392" spans="1:17">
      <c r="A392" s="684">
        <f t="shared" si="41"/>
        <v>44587</v>
      </c>
      <c r="B392" s="1027">
        <v>61.8</v>
      </c>
      <c r="C392" s="1028">
        <v>200</v>
      </c>
      <c r="D392" s="1028">
        <v>14</v>
      </c>
      <c r="E392" s="1028">
        <v>0</v>
      </c>
      <c r="F392" s="685">
        <v>0</v>
      </c>
      <c r="G392" s="1028">
        <v>0</v>
      </c>
      <c r="H392" s="1028">
        <v>1</v>
      </c>
      <c r="I392" s="1028">
        <v>1</v>
      </c>
      <c r="J392" s="527">
        <f t="shared" si="42"/>
        <v>0.07</v>
      </c>
      <c r="K392" s="687">
        <f t="shared" si="43"/>
        <v>4.41428571428571</v>
      </c>
      <c r="L392" s="1029">
        <v>309</v>
      </c>
      <c r="M392" s="686">
        <v>0</v>
      </c>
      <c r="N392" s="527">
        <v>0</v>
      </c>
      <c r="O392" s="543" t="e">
        <f t="shared" si="38"/>
        <v>#DIV/0!</v>
      </c>
      <c r="P392" s="528" t="e">
        <f t="shared" si="39"/>
        <v>#DIV/0!</v>
      </c>
      <c r="Q392" s="687" t="e">
        <f t="shared" si="40"/>
        <v>#DIV/0!</v>
      </c>
    </row>
    <row r="393" spans="1:17">
      <c r="A393" s="684">
        <f t="shared" si="41"/>
        <v>44588</v>
      </c>
      <c r="B393" s="1027">
        <v>152.97</v>
      </c>
      <c r="C393" s="1028">
        <v>591</v>
      </c>
      <c r="D393" s="1028">
        <v>21</v>
      </c>
      <c r="E393" s="1028">
        <v>0</v>
      </c>
      <c r="F393" s="685">
        <v>0</v>
      </c>
      <c r="G393" s="1028">
        <v>1</v>
      </c>
      <c r="H393" s="1028">
        <v>0</v>
      </c>
      <c r="I393" s="1028">
        <v>2</v>
      </c>
      <c r="J393" s="527">
        <f t="shared" si="42"/>
        <v>0.0355329949238579</v>
      </c>
      <c r="K393" s="687">
        <f t="shared" si="43"/>
        <v>7.28428571428571</v>
      </c>
      <c r="L393" s="1029">
        <v>258.832</v>
      </c>
      <c r="M393" s="686">
        <v>0</v>
      </c>
      <c r="N393" s="527">
        <v>0</v>
      </c>
      <c r="O393" s="543" t="e">
        <f t="shared" si="38"/>
        <v>#DIV/0!</v>
      </c>
      <c r="P393" s="528" t="e">
        <f t="shared" si="39"/>
        <v>#DIV/0!</v>
      </c>
      <c r="Q393" s="687">
        <f t="shared" si="40"/>
        <v>152.97</v>
      </c>
    </row>
    <row r="394" spans="1:17">
      <c r="A394" s="684">
        <f t="shared" si="41"/>
        <v>44589</v>
      </c>
      <c r="B394" s="1027">
        <v>111.56</v>
      </c>
      <c r="C394" s="1028">
        <v>433</v>
      </c>
      <c r="D394" s="1028">
        <v>13</v>
      </c>
      <c r="E394" s="1028">
        <v>0</v>
      </c>
      <c r="F394" s="685">
        <v>0</v>
      </c>
      <c r="G394" s="1028">
        <v>0</v>
      </c>
      <c r="H394" s="1028">
        <v>0</v>
      </c>
      <c r="I394" s="1028">
        <v>0</v>
      </c>
      <c r="J394" s="527">
        <f t="shared" si="42"/>
        <v>0.0300230946882217</v>
      </c>
      <c r="K394" s="687">
        <f t="shared" si="43"/>
        <v>8.58153846153846</v>
      </c>
      <c r="L394" s="1029">
        <v>257.644</v>
      </c>
      <c r="M394" s="686">
        <v>0</v>
      </c>
      <c r="N394" s="527">
        <v>0</v>
      </c>
      <c r="O394" s="543" t="e">
        <f t="shared" si="38"/>
        <v>#DIV/0!</v>
      </c>
      <c r="P394" s="528" t="e">
        <f t="shared" si="39"/>
        <v>#DIV/0!</v>
      </c>
      <c r="Q394" s="687" t="e">
        <f t="shared" si="40"/>
        <v>#DIV/0!</v>
      </c>
    </row>
    <row r="395" spans="1:17">
      <c r="A395" s="684">
        <f t="shared" si="41"/>
        <v>44590</v>
      </c>
      <c r="B395" s="1027">
        <v>80.81</v>
      </c>
      <c r="C395" s="1028">
        <v>308</v>
      </c>
      <c r="D395" s="1028">
        <v>12</v>
      </c>
      <c r="E395" s="1028">
        <v>0</v>
      </c>
      <c r="F395" s="685">
        <v>0</v>
      </c>
      <c r="G395" s="1028">
        <v>0</v>
      </c>
      <c r="H395" s="1028">
        <v>0</v>
      </c>
      <c r="I395" s="1028">
        <v>0</v>
      </c>
      <c r="J395" s="527">
        <f t="shared" si="42"/>
        <v>0.038961038961039</v>
      </c>
      <c r="K395" s="687">
        <f t="shared" si="43"/>
        <v>6.73416666666667</v>
      </c>
      <c r="L395" s="1029">
        <v>262.37</v>
      </c>
      <c r="M395" s="686">
        <v>0</v>
      </c>
      <c r="N395" s="527">
        <v>0</v>
      </c>
      <c r="O395" s="543" t="e">
        <f t="shared" si="38"/>
        <v>#DIV/0!</v>
      </c>
      <c r="P395" s="528" t="e">
        <f t="shared" si="39"/>
        <v>#DIV/0!</v>
      </c>
      <c r="Q395" s="687" t="e">
        <f t="shared" si="40"/>
        <v>#DIV/0!</v>
      </c>
    </row>
    <row r="396" spans="1:17">
      <c r="A396" s="684">
        <f t="shared" si="41"/>
        <v>44591</v>
      </c>
      <c r="B396" s="1027">
        <v>84.87</v>
      </c>
      <c r="C396" s="1028">
        <v>396</v>
      </c>
      <c r="D396" s="1028">
        <v>6</v>
      </c>
      <c r="E396" s="1028" t="s">
        <v>70</v>
      </c>
      <c r="F396" s="685">
        <v>0</v>
      </c>
      <c r="G396" s="1028" t="s">
        <v>70</v>
      </c>
      <c r="H396" s="1028" t="s">
        <v>70</v>
      </c>
      <c r="I396" s="1028" t="s">
        <v>70</v>
      </c>
      <c r="J396" s="527">
        <f t="shared" si="42"/>
        <v>0.0151515151515152</v>
      </c>
      <c r="K396" s="687">
        <f t="shared" si="43"/>
        <v>14.145</v>
      </c>
      <c r="L396" s="1029">
        <v>214.318</v>
      </c>
      <c r="M396" s="686">
        <v>0</v>
      </c>
      <c r="N396" s="527">
        <v>0</v>
      </c>
      <c r="O396" s="543" t="e">
        <f t="shared" si="38"/>
        <v>#VALUE!</v>
      </c>
      <c r="P396" s="528" t="e">
        <f t="shared" si="39"/>
        <v>#VALUE!</v>
      </c>
      <c r="Q396" s="687" t="e">
        <f t="shared" si="40"/>
        <v>#VALUE!</v>
      </c>
    </row>
    <row r="397" spans="1:17">
      <c r="A397" s="684">
        <f t="shared" si="41"/>
        <v>44592</v>
      </c>
      <c r="B397" s="1027">
        <v>174.15</v>
      </c>
      <c r="C397" s="1028">
        <v>821</v>
      </c>
      <c r="D397" s="1028">
        <v>26</v>
      </c>
      <c r="E397" s="1028">
        <v>0</v>
      </c>
      <c r="F397" s="685">
        <v>0</v>
      </c>
      <c r="G397" s="1028">
        <v>0</v>
      </c>
      <c r="H397" s="1028">
        <v>0</v>
      </c>
      <c r="I397" s="1028">
        <v>0</v>
      </c>
      <c r="J397" s="527">
        <f t="shared" si="42"/>
        <v>0.0316686967113276</v>
      </c>
      <c r="K397" s="687">
        <f t="shared" si="43"/>
        <v>6.69807692307692</v>
      </c>
      <c r="L397" s="1029">
        <v>212.119</v>
      </c>
      <c r="M397" s="686">
        <v>0</v>
      </c>
      <c r="N397" s="527">
        <v>0</v>
      </c>
      <c r="O397" s="543" t="e">
        <f t="shared" si="38"/>
        <v>#DIV/0!</v>
      </c>
      <c r="P397" s="528" t="e">
        <f t="shared" si="39"/>
        <v>#DIV/0!</v>
      </c>
      <c r="Q397" s="687" t="e">
        <f t="shared" si="40"/>
        <v>#DIV/0!</v>
      </c>
    </row>
    <row r="398" spans="1:17">
      <c r="A398" s="684">
        <f t="shared" si="41"/>
        <v>44593</v>
      </c>
      <c r="B398" s="1027">
        <v>202.51</v>
      </c>
      <c r="C398" s="1028">
        <v>936</v>
      </c>
      <c r="D398" s="1028">
        <v>34</v>
      </c>
      <c r="E398" s="1028">
        <v>0</v>
      </c>
      <c r="F398" s="685">
        <v>0</v>
      </c>
      <c r="G398" s="1028">
        <v>0</v>
      </c>
      <c r="H398" s="1028">
        <v>0</v>
      </c>
      <c r="I398" s="1028">
        <v>0</v>
      </c>
      <c r="J398" s="527">
        <f t="shared" si="42"/>
        <v>0.0363247863247863</v>
      </c>
      <c r="K398" s="687">
        <f t="shared" si="43"/>
        <v>5.95617647058824</v>
      </c>
      <c r="L398" s="1029">
        <v>216.356</v>
      </c>
      <c r="M398" s="686">
        <v>0</v>
      </c>
      <c r="N398" s="527">
        <v>0</v>
      </c>
      <c r="O398" s="543" t="e">
        <f t="shared" si="38"/>
        <v>#DIV/0!</v>
      </c>
      <c r="P398" s="528" t="e">
        <f t="shared" si="39"/>
        <v>#DIV/0!</v>
      </c>
      <c r="Q398" s="687" t="e">
        <f t="shared" si="40"/>
        <v>#DIV/0!</v>
      </c>
    </row>
    <row r="399" spans="1:17">
      <c r="A399" s="684">
        <f t="shared" si="41"/>
        <v>44594</v>
      </c>
      <c r="B399" s="1027">
        <v>199.83</v>
      </c>
      <c r="C399" s="1028">
        <v>960</v>
      </c>
      <c r="D399" s="1028">
        <v>30</v>
      </c>
      <c r="E399" s="1028">
        <v>0</v>
      </c>
      <c r="F399" s="685">
        <v>0</v>
      </c>
      <c r="G399" s="1028">
        <v>0</v>
      </c>
      <c r="H399" s="1028">
        <v>0</v>
      </c>
      <c r="I399" s="1028">
        <v>1</v>
      </c>
      <c r="J399" s="527">
        <f t="shared" si="42"/>
        <v>0.03125</v>
      </c>
      <c r="K399" s="687">
        <f t="shared" si="43"/>
        <v>6.661</v>
      </c>
      <c r="L399" s="1029">
        <v>208.156</v>
      </c>
      <c r="M399" s="686">
        <v>0</v>
      </c>
      <c r="N399" s="527">
        <v>0</v>
      </c>
      <c r="O399" s="543" t="e">
        <f t="shared" si="38"/>
        <v>#DIV/0!</v>
      </c>
      <c r="P399" s="528" t="e">
        <f t="shared" si="39"/>
        <v>#DIV/0!</v>
      </c>
      <c r="Q399" s="687" t="e">
        <f t="shared" si="40"/>
        <v>#DIV/0!</v>
      </c>
    </row>
    <row r="400" spans="1:17">
      <c r="A400" s="684">
        <f t="shared" si="41"/>
        <v>44595</v>
      </c>
      <c r="B400" s="1027">
        <v>211.02</v>
      </c>
      <c r="C400" s="1028">
        <v>1070</v>
      </c>
      <c r="D400" s="1028">
        <v>34</v>
      </c>
      <c r="E400" s="1028">
        <v>0</v>
      </c>
      <c r="F400" s="685">
        <v>0</v>
      </c>
      <c r="G400" s="1028">
        <v>0</v>
      </c>
      <c r="H400" s="1028">
        <v>0</v>
      </c>
      <c r="I400" s="1028">
        <v>2</v>
      </c>
      <c r="J400" s="527">
        <f t="shared" si="42"/>
        <v>0.0317757009345794</v>
      </c>
      <c r="K400" s="687">
        <f t="shared" si="43"/>
        <v>6.20647058823529</v>
      </c>
      <c r="L400" s="1029">
        <v>197.214</v>
      </c>
      <c r="M400" s="686">
        <v>0</v>
      </c>
      <c r="N400" s="527">
        <v>0</v>
      </c>
      <c r="O400" s="543" t="e">
        <f t="shared" si="38"/>
        <v>#DIV/0!</v>
      </c>
      <c r="P400" s="528" t="e">
        <f t="shared" si="39"/>
        <v>#DIV/0!</v>
      </c>
      <c r="Q400" s="687" t="e">
        <f t="shared" si="40"/>
        <v>#DIV/0!</v>
      </c>
    </row>
    <row r="401" spans="1:20">
      <c r="A401" s="684">
        <f t="shared" ref="A401:A429" si="44">A400+1</f>
        <v>44596</v>
      </c>
      <c r="B401" s="1027">
        <v>226.88</v>
      </c>
      <c r="C401" s="1028">
        <v>1080</v>
      </c>
      <c r="D401" s="1028">
        <v>43</v>
      </c>
      <c r="E401" s="1028">
        <v>0</v>
      </c>
      <c r="F401" s="685">
        <v>0</v>
      </c>
      <c r="G401" s="1028">
        <v>0</v>
      </c>
      <c r="H401" s="1028">
        <v>0</v>
      </c>
      <c r="I401" s="1028">
        <v>0</v>
      </c>
      <c r="J401" s="527">
        <f t="shared" si="42"/>
        <v>0.0398148148148148</v>
      </c>
      <c r="K401" s="687">
        <f t="shared" si="43"/>
        <v>5.27627906976744</v>
      </c>
      <c r="L401" s="1029">
        <v>210.074</v>
      </c>
      <c r="M401" s="686">
        <v>0</v>
      </c>
      <c r="N401" s="527">
        <v>0</v>
      </c>
      <c r="O401" s="543" t="e">
        <f t="shared" si="38"/>
        <v>#DIV/0!</v>
      </c>
      <c r="P401" s="528" t="e">
        <f t="shared" si="39"/>
        <v>#DIV/0!</v>
      </c>
      <c r="Q401" s="687" t="e">
        <f t="shared" si="40"/>
        <v>#DIV/0!</v>
      </c>
    </row>
    <row r="402" spans="1:20">
      <c r="A402" s="684">
        <f t="shared" si="44"/>
        <v>44597</v>
      </c>
      <c r="B402" s="670">
        <v>0</v>
      </c>
      <c r="C402" s="1028" t="s">
        <v>70</v>
      </c>
      <c r="D402" s="1028"/>
      <c r="E402" s="1028"/>
      <c r="F402" s="685"/>
      <c r="G402" s="1028" t="s">
        <v>70</v>
      </c>
      <c r="H402" s="1028" t="s">
        <v>70</v>
      </c>
      <c r="I402" s="1028" t="s">
        <v>70</v>
      </c>
      <c r="J402" s="527" t="e">
        <f t="shared" si="42"/>
        <v>#VALUE!</v>
      </c>
      <c r="K402" s="687" t="e">
        <f t="shared" si="43"/>
        <v>#DIV/0!</v>
      </c>
      <c r="L402" s="1029"/>
      <c r="M402" s="1029"/>
      <c r="N402" s="1029"/>
      <c r="O402" s="1030"/>
      <c r="P402" s="1031"/>
      <c r="Q402" s="1029"/>
      <c r="S402" s="1029"/>
      <c r="T402" s="1029"/>
    </row>
    <row r="403" spans="1:20">
      <c r="A403" s="1032">
        <f t="shared" si="44"/>
        <v>44598</v>
      </c>
      <c r="B403" s="670">
        <v>0</v>
      </c>
      <c r="C403" s="1028" t="s">
        <v>70</v>
      </c>
      <c r="D403" s="1028"/>
      <c r="E403" s="1028"/>
      <c r="F403" s="1033"/>
      <c r="G403" s="1028" t="s">
        <v>70</v>
      </c>
      <c r="H403" s="1028" t="s">
        <v>70</v>
      </c>
      <c r="I403" s="1028" t="s">
        <v>70</v>
      </c>
      <c r="J403" s="527" t="e">
        <f t="shared" si="42"/>
        <v>#VALUE!</v>
      </c>
      <c r="K403" s="687" t="e">
        <f t="shared" si="43"/>
        <v>#DIV/0!</v>
      </c>
      <c r="L403" s="1029"/>
      <c r="M403" s="1029"/>
      <c r="N403" s="1029"/>
      <c r="O403" s="1030"/>
      <c r="P403" s="1031"/>
      <c r="Q403" s="1029"/>
      <c r="S403" s="1029"/>
      <c r="T403" s="1029"/>
    </row>
    <row r="404" spans="1:20">
      <c r="A404" s="684">
        <f t="shared" si="44"/>
        <v>44599</v>
      </c>
      <c r="B404" s="1034">
        <v>252.6</v>
      </c>
      <c r="C404" s="1035">
        <v>1187</v>
      </c>
      <c r="D404" s="1035">
        <v>51</v>
      </c>
      <c r="E404" s="1035">
        <v>0</v>
      </c>
      <c r="F404" s="685">
        <v>0</v>
      </c>
      <c r="G404" s="1035">
        <v>0</v>
      </c>
      <c r="H404" s="1035">
        <v>0</v>
      </c>
      <c r="I404" s="1035">
        <v>1</v>
      </c>
      <c r="J404" s="527">
        <f t="shared" si="42"/>
        <v>0.0429654591406908</v>
      </c>
      <c r="K404" s="687">
        <f t="shared" si="43"/>
        <v>4.95294117647059</v>
      </c>
      <c r="L404" s="1036">
        <v>212.805</v>
      </c>
      <c r="M404" s="686">
        <v>0</v>
      </c>
      <c r="N404" s="527">
        <v>0</v>
      </c>
      <c r="O404" s="543" t="e">
        <f t="shared" ref="O404:O421" si="45">F404/E404</f>
        <v>#DIV/0!</v>
      </c>
      <c r="P404" s="528" t="e">
        <f t="shared" ref="P404:P422" si="46">B404/E404</f>
        <v>#DIV/0!</v>
      </c>
      <c r="Q404" s="687" t="e">
        <f t="shared" ref="Q404:Q422" si="47">B404/G404</f>
        <v>#DIV/0!</v>
      </c>
    </row>
    <row r="405" spans="1:20">
      <c r="A405" s="684">
        <f t="shared" si="44"/>
        <v>44600</v>
      </c>
      <c r="B405" s="1034">
        <v>223.1</v>
      </c>
      <c r="C405" s="1035">
        <v>1125</v>
      </c>
      <c r="D405" s="1035">
        <v>35</v>
      </c>
      <c r="E405" s="1035">
        <v>0</v>
      </c>
      <c r="F405" s="685">
        <v>0</v>
      </c>
      <c r="G405" s="1035">
        <v>0</v>
      </c>
      <c r="H405" s="1035">
        <v>0</v>
      </c>
      <c r="I405" s="1035">
        <v>1</v>
      </c>
      <c r="J405" s="527">
        <f t="shared" si="42"/>
        <v>0.0311111111111111</v>
      </c>
      <c r="K405" s="687">
        <f t="shared" si="43"/>
        <v>6.37428571428571</v>
      </c>
      <c r="L405" s="1036">
        <v>198.310999999999</v>
      </c>
      <c r="M405" s="686">
        <v>0</v>
      </c>
      <c r="N405" s="527">
        <v>0</v>
      </c>
      <c r="O405" s="543" t="e">
        <f t="shared" si="45"/>
        <v>#DIV/0!</v>
      </c>
      <c r="P405" s="528" t="e">
        <f t="shared" si="46"/>
        <v>#DIV/0!</v>
      </c>
      <c r="Q405" s="687" t="e">
        <f t="shared" si="47"/>
        <v>#DIV/0!</v>
      </c>
    </row>
    <row r="406" spans="1:20">
      <c r="A406" s="684">
        <f t="shared" si="44"/>
        <v>44601</v>
      </c>
      <c r="B406" s="1034">
        <v>239.78</v>
      </c>
      <c r="C406" s="1035">
        <v>1119</v>
      </c>
      <c r="D406" s="1035">
        <v>37</v>
      </c>
      <c r="E406" s="1035">
        <v>0</v>
      </c>
      <c r="F406" s="685">
        <v>0</v>
      </c>
      <c r="G406" s="1035">
        <v>0</v>
      </c>
      <c r="H406" s="1035">
        <v>0</v>
      </c>
      <c r="I406" s="1035">
        <v>0</v>
      </c>
      <c r="J406" s="527">
        <f t="shared" si="42"/>
        <v>0.033065236818588</v>
      </c>
      <c r="K406" s="687">
        <f t="shared" si="43"/>
        <v>6.48054054054054</v>
      </c>
      <c r="L406" s="1036">
        <v>214.28</v>
      </c>
      <c r="M406" s="686">
        <v>0</v>
      </c>
      <c r="N406" s="527">
        <v>0</v>
      </c>
      <c r="O406" s="543" t="e">
        <f t="shared" si="45"/>
        <v>#DIV/0!</v>
      </c>
      <c r="P406" s="528" t="e">
        <f t="shared" si="46"/>
        <v>#DIV/0!</v>
      </c>
      <c r="Q406" s="687" t="e">
        <f t="shared" si="47"/>
        <v>#DIV/0!</v>
      </c>
    </row>
    <row r="407" spans="1:20">
      <c r="A407" s="684">
        <f t="shared" si="44"/>
        <v>44602</v>
      </c>
      <c r="B407" s="1034">
        <v>254.88</v>
      </c>
      <c r="C407" s="1035">
        <v>1095</v>
      </c>
      <c r="D407" s="1035">
        <v>47</v>
      </c>
      <c r="E407" s="1035">
        <v>0</v>
      </c>
      <c r="F407" s="685">
        <v>0</v>
      </c>
      <c r="G407" s="1035">
        <v>0</v>
      </c>
      <c r="H407" s="1035">
        <v>1</v>
      </c>
      <c r="I407" s="1035">
        <v>2</v>
      </c>
      <c r="J407" s="527">
        <f t="shared" si="42"/>
        <v>0.0429223744292237</v>
      </c>
      <c r="K407" s="687">
        <f t="shared" si="43"/>
        <v>5.42297872340426</v>
      </c>
      <c r="L407" s="1036">
        <v>232.767</v>
      </c>
      <c r="M407" s="686">
        <v>0</v>
      </c>
      <c r="N407" s="527">
        <v>0</v>
      </c>
      <c r="O407" s="543" t="e">
        <f t="shared" si="45"/>
        <v>#DIV/0!</v>
      </c>
      <c r="P407" s="528" t="e">
        <f t="shared" si="46"/>
        <v>#DIV/0!</v>
      </c>
      <c r="Q407" s="687" t="e">
        <f t="shared" si="47"/>
        <v>#DIV/0!</v>
      </c>
    </row>
    <row r="408" spans="1:20">
      <c r="A408" s="684">
        <f t="shared" si="44"/>
        <v>44603</v>
      </c>
      <c r="B408" s="1034">
        <v>254.23</v>
      </c>
      <c r="C408" s="1035">
        <v>1119</v>
      </c>
      <c r="D408" s="1035">
        <v>54</v>
      </c>
      <c r="E408" s="1035">
        <v>0</v>
      </c>
      <c r="F408" s="685">
        <v>0</v>
      </c>
      <c r="G408" s="1035">
        <v>0</v>
      </c>
      <c r="H408" s="1035">
        <v>0</v>
      </c>
      <c r="I408" s="1035">
        <v>1</v>
      </c>
      <c r="J408" s="527">
        <f t="shared" si="42"/>
        <v>0.0482573726541555</v>
      </c>
      <c r="K408" s="687">
        <f t="shared" si="43"/>
        <v>4.70796296296296</v>
      </c>
      <c r="L408" s="1036">
        <v>227.193</v>
      </c>
      <c r="M408" s="686">
        <v>0</v>
      </c>
      <c r="N408" s="527">
        <v>0</v>
      </c>
      <c r="O408" s="543" t="e">
        <f t="shared" si="45"/>
        <v>#DIV/0!</v>
      </c>
      <c r="P408" s="528" t="e">
        <f t="shared" si="46"/>
        <v>#DIV/0!</v>
      </c>
      <c r="Q408" s="687" t="e">
        <f t="shared" si="47"/>
        <v>#DIV/0!</v>
      </c>
    </row>
    <row r="409" spans="1:20">
      <c r="A409" s="684">
        <f t="shared" si="44"/>
        <v>44604</v>
      </c>
      <c r="B409" s="1034">
        <v>112.15</v>
      </c>
      <c r="C409" s="1035">
        <v>535</v>
      </c>
      <c r="D409" s="1035">
        <v>22</v>
      </c>
      <c r="E409" s="1035">
        <v>0</v>
      </c>
      <c r="F409" s="685">
        <v>0</v>
      </c>
      <c r="G409" s="1035">
        <v>0</v>
      </c>
      <c r="H409" s="1035">
        <v>0</v>
      </c>
      <c r="I409" s="1035">
        <v>1</v>
      </c>
      <c r="J409" s="527">
        <f t="shared" si="42"/>
        <v>0.0411214953271028</v>
      </c>
      <c r="K409" s="687">
        <f t="shared" si="43"/>
        <v>5.09772727272727</v>
      </c>
      <c r="L409" s="1036">
        <v>209.626</v>
      </c>
      <c r="M409" s="686">
        <v>0</v>
      </c>
      <c r="N409" s="527">
        <v>0</v>
      </c>
      <c r="O409" s="543" t="e">
        <f t="shared" si="45"/>
        <v>#DIV/0!</v>
      </c>
      <c r="P409" s="528" t="e">
        <f t="shared" si="46"/>
        <v>#DIV/0!</v>
      </c>
      <c r="Q409" s="687" t="e">
        <f t="shared" si="47"/>
        <v>#DIV/0!</v>
      </c>
    </row>
    <row r="410" spans="1:20">
      <c r="A410" s="684">
        <f t="shared" si="44"/>
        <v>44605</v>
      </c>
      <c r="B410" s="1034">
        <v>141.26</v>
      </c>
      <c r="C410" s="1035">
        <v>614</v>
      </c>
      <c r="D410" s="1035">
        <v>26</v>
      </c>
      <c r="E410" s="1035">
        <v>0</v>
      </c>
      <c r="F410" s="685">
        <v>0</v>
      </c>
      <c r="G410" s="1035">
        <v>0</v>
      </c>
      <c r="H410" s="1035">
        <v>0</v>
      </c>
      <c r="I410" s="1035">
        <v>0</v>
      </c>
      <c r="J410" s="527">
        <f t="shared" si="42"/>
        <v>0.0423452768729642</v>
      </c>
      <c r="K410" s="687">
        <f t="shared" si="43"/>
        <v>5.43307692307692</v>
      </c>
      <c r="L410" s="1036">
        <v>230.065</v>
      </c>
      <c r="M410" s="686">
        <v>0</v>
      </c>
      <c r="N410" s="527">
        <v>0</v>
      </c>
      <c r="O410" s="543" t="e">
        <f t="shared" si="45"/>
        <v>#DIV/0!</v>
      </c>
      <c r="P410" s="528" t="e">
        <f t="shared" si="46"/>
        <v>#DIV/0!</v>
      </c>
      <c r="Q410" s="687" t="e">
        <f t="shared" si="47"/>
        <v>#DIV/0!</v>
      </c>
    </row>
    <row r="411" spans="1:20">
      <c r="A411" s="684">
        <f t="shared" si="44"/>
        <v>44606</v>
      </c>
      <c r="B411" s="1034">
        <v>225.74</v>
      </c>
      <c r="C411" s="1035">
        <v>1145</v>
      </c>
      <c r="D411" s="1035">
        <v>43</v>
      </c>
      <c r="E411" s="1035">
        <v>0</v>
      </c>
      <c r="F411" s="685">
        <v>0</v>
      </c>
      <c r="G411" s="1035">
        <v>0</v>
      </c>
      <c r="H411" s="1035">
        <v>0</v>
      </c>
      <c r="I411" s="1035">
        <v>0</v>
      </c>
      <c r="J411" s="527">
        <f t="shared" si="42"/>
        <v>0.0375545851528384</v>
      </c>
      <c r="K411" s="687">
        <f t="shared" si="43"/>
        <v>5.24976744186046</v>
      </c>
      <c r="L411" s="1036">
        <v>197.152</v>
      </c>
      <c r="M411" s="686">
        <v>0</v>
      </c>
      <c r="N411" s="527">
        <v>0</v>
      </c>
      <c r="O411" s="543" t="e">
        <f t="shared" si="45"/>
        <v>#DIV/0!</v>
      </c>
      <c r="P411" s="528" t="e">
        <f t="shared" si="46"/>
        <v>#DIV/0!</v>
      </c>
      <c r="Q411" s="687" t="e">
        <f t="shared" si="47"/>
        <v>#DIV/0!</v>
      </c>
    </row>
    <row r="412" spans="1:20">
      <c r="A412" s="684">
        <f t="shared" si="44"/>
        <v>44607</v>
      </c>
      <c r="B412" s="1034">
        <v>256.6</v>
      </c>
      <c r="C412" s="1035">
        <v>1158</v>
      </c>
      <c r="D412" s="1035">
        <v>49</v>
      </c>
      <c r="E412" s="1035">
        <v>0</v>
      </c>
      <c r="F412" s="685">
        <v>0</v>
      </c>
      <c r="G412" s="1035">
        <v>0</v>
      </c>
      <c r="H412" s="1035">
        <v>1</v>
      </c>
      <c r="I412" s="1035">
        <v>2</v>
      </c>
      <c r="J412" s="527">
        <f t="shared" si="42"/>
        <v>0.0423143350604491</v>
      </c>
      <c r="K412" s="687">
        <f t="shared" si="43"/>
        <v>5.23673469387755</v>
      </c>
      <c r="L412" s="1036">
        <v>221.588</v>
      </c>
      <c r="M412" s="686">
        <v>0</v>
      </c>
      <c r="N412" s="527">
        <v>0</v>
      </c>
      <c r="O412" s="543" t="e">
        <f t="shared" si="45"/>
        <v>#DIV/0!</v>
      </c>
      <c r="P412" s="528" t="e">
        <f t="shared" si="46"/>
        <v>#DIV/0!</v>
      </c>
      <c r="Q412" s="687" t="e">
        <f t="shared" si="47"/>
        <v>#DIV/0!</v>
      </c>
    </row>
    <row r="413" spans="1:20">
      <c r="A413" s="684">
        <f t="shared" si="44"/>
        <v>44608</v>
      </c>
      <c r="B413" s="1034">
        <v>250.08</v>
      </c>
      <c r="C413" s="1035">
        <v>1146</v>
      </c>
      <c r="D413" s="1035">
        <v>43</v>
      </c>
      <c r="E413" s="1035">
        <v>0</v>
      </c>
      <c r="F413" s="685">
        <v>0</v>
      </c>
      <c r="G413" s="1035">
        <v>0</v>
      </c>
      <c r="H413" s="1035">
        <v>0</v>
      </c>
      <c r="I413" s="1035">
        <v>0</v>
      </c>
      <c r="J413" s="527">
        <f t="shared" si="42"/>
        <v>0.037521815008726</v>
      </c>
      <c r="K413" s="687">
        <f t="shared" si="43"/>
        <v>5.81581395348837</v>
      </c>
      <c r="L413" s="1036">
        <v>218.219</v>
      </c>
      <c r="M413" s="686">
        <v>0</v>
      </c>
      <c r="N413" s="527">
        <v>0</v>
      </c>
      <c r="O413" s="543" t="e">
        <f t="shared" si="45"/>
        <v>#DIV/0!</v>
      </c>
      <c r="P413" s="528" t="e">
        <f t="shared" si="46"/>
        <v>#DIV/0!</v>
      </c>
      <c r="Q413" s="687" t="e">
        <f t="shared" si="47"/>
        <v>#DIV/0!</v>
      </c>
    </row>
    <row r="414" spans="1:20">
      <c r="A414" s="684">
        <f t="shared" si="44"/>
        <v>44609</v>
      </c>
      <c r="B414" s="1034">
        <v>219.72</v>
      </c>
      <c r="C414" s="1035">
        <v>950</v>
      </c>
      <c r="D414" s="1035">
        <v>43</v>
      </c>
      <c r="E414" s="1035">
        <v>0</v>
      </c>
      <c r="F414" s="685">
        <v>0</v>
      </c>
      <c r="G414" s="1035">
        <v>0</v>
      </c>
      <c r="H414" s="1035">
        <v>0</v>
      </c>
      <c r="I414" s="1035">
        <v>0</v>
      </c>
      <c r="J414" s="527">
        <f t="shared" si="42"/>
        <v>0.0452631578947368</v>
      </c>
      <c r="K414" s="687">
        <f t="shared" si="43"/>
        <v>5.10976744186047</v>
      </c>
      <c r="L414" s="1036">
        <v>231.284</v>
      </c>
      <c r="M414" s="686">
        <v>0</v>
      </c>
      <c r="N414" s="527">
        <v>0</v>
      </c>
      <c r="O414" s="543" t="e">
        <f t="shared" si="45"/>
        <v>#DIV/0!</v>
      </c>
      <c r="P414" s="528" t="e">
        <f t="shared" si="46"/>
        <v>#DIV/0!</v>
      </c>
      <c r="Q414" s="687" t="e">
        <f t="shared" si="47"/>
        <v>#DIV/0!</v>
      </c>
    </row>
    <row r="415" spans="1:20">
      <c r="A415" s="684">
        <f t="shared" si="44"/>
        <v>44610</v>
      </c>
      <c r="B415" s="1034">
        <v>185.81</v>
      </c>
      <c r="C415" s="1035">
        <v>883</v>
      </c>
      <c r="D415" s="1035">
        <v>48</v>
      </c>
      <c r="E415" s="1035">
        <v>0</v>
      </c>
      <c r="F415" s="685">
        <v>0</v>
      </c>
      <c r="G415" s="1035">
        <v>4</v>
      </c>
      <c r="H415" s="1035">
        <v>0</v>
      </c>
      <c r="I415" s="1035">
        <v>1</v>
      </c>
      <c r="J415" s="527">
        <f t="shared" si="42"/>
        <v>0.0543601359003398</v>
      </c>
      <c r="K415" s="687">
        <f t="shared" si="43"/>
        <v>3.87104166666667</v>
      </c>
      <c r="L415" s="1036">
        <v>210.43</v>
      </c>
      <c r="M415" s="686">
        <v>0</v>
      </c>
      <c r="N415" s="527">
        <v>0</v>
      </c>
      <c r="O415" s="543" t="e">
        <f t="shared" si="45"/>
        <v>#DIV/0!</v>
      </c>
      <c r="P415" s="528" t="e">
        <f t="shared" si="46"/>
        <v>#DIV/0!</v>
      </c>
      <c r="Q415" s="687">
        <f t="shared" si="47"/>
        <v>46.4525</v>
      </c>
    </row>
    <row r="416" spans="1:20">
      <c r="A416" s="684">
        <f t="shared" si="44"/>
        <v>44611</v>
      </c>
      <c r="B416" s="1034">
        <v>195.14</v>
      </c>
      <c r="C416" s="1035">
        <v>880</v>
      </c>
      <c r="D416" s="1035">
        <v>37</v>
      </c>
      <c r="E416" s="1035">
        <v>1</v>
      </c>
      <c r="F416" s="685">
        <v>99</v>
      </c>
      <c r="G416" s="1035">
        <v>2</v>
      </c>
      <c r="H416" s="1035">
        <v>0</v>
      </c>
      <c r="I416" s="1035">
        <v>1</v>
      </c>
      <c r="J416" s="527">
        <f t="shared" si="42"/>
        <v>0.0420454545454545</v>
      </c>
      <c r="K416" s="687">
        <f t="shared" si="43"/>
        <v>5.27405405405405</v>
      </c>
      <c r="L416" s="1036">
        <v>221.75</v>
      </c>
      <c r="M416" s="686">
        <v>0</v>
      </c>
      <c r="N416" s="527">
        <v>0</v>
      </c>
      <c r="O416" s="543">
        <f t="shared" si="45"/>
        <v>99</v>
      </c>
      <c r="P416" s="528">
        <f t="shared" si="46"/>
        <v>195.14</v>
      </c>
      <c r="Q416" s="687">
        <f t="shared" si="47"/>
        <v>97.57</v>
      </c>
    </row>
    <row r="417" spans="1:17">
      <c r="A417" s="684">
        <f t="shared" si="44"/>
        <v>44612</v>
      </c>
      <c r="B417" s="1034">
        <v>194.54</v>
      </c>
      <c r="C417" s="1035">
        <v>893</v>
      </c>
      <c r="D417" s="1035">
        <v>41</v>
      </c>
      <c r="E417" s="1035">
        <v>0</v>
      </c>
      <c r="F417" s="685">
        <v>0</v>
      </c>
      <c r="G417" s="1035">
        <v>6</v>
      </c>
      <c r="H417" s="1035">
        <v>0</v>
      </c>
      <c r="I417" s="1035">
        <v>0</v>
      </c>
      <c r="J417" s="527">
        <f t="shared" si="42"/>
        <v>0.0459126539753639</v>
      </c>
      <c r="K417" s="687">
        <f t="shared" si="43"/>
        <v>4.74487804878049</v>
      </c>
      <c r="L417" s="1036">
        <v>217.849</v>
      </c>
      <c r="M417" s="686">
        <v>0</v>
      </c>
      <c r="N417" s="527">
        <v>0</v>
      </c>
      <c r="O417" s="543" t="e">
        <f t="shared" si="45"/>
        <v>#DIV/0!</v>
      </c>
      <c r="P417" s="528" t="e">
        <f t="shared" si="46"/>
        <v>#DIV/0!</v>
      </c>
      <c r="Q417" s="687">
        <f t="shared" si="47"/>
        <v>32.4233333333333</v>
      </c>
    </row>
    <row r="418" spans="1:17">
      <c r="A418" s="684">
        <f t="shared" si="44"/>
        <v>44613</v>
      </c>
      <c r="B418" s="1034">
        <v>197.75</v>
      </c>
      <c r="C418" s="1035">
        <v>852</v>
      </c>
      <c r="D418" s="1035">
        <v>40</v>
      </c>
      <c r="E418" s="1035">
        <v>0</v>
      </c>
      <c r="F418" s="685">
        <v>0</v>
      </c>
      <c r="G418" s="1035">
        <v>0</v>
      </c>
      <c r="H418" s="1035">
        <v>0</v>
      </c>
      <c r="I418" s="1035">
        <v>1</v>
      </c>
      <c r="J418" s="527">
        <f t="shared" si="42"/>
        <v>0.0469483568075117</v>
      </c>
      <c r="K418" s="687">
        <f t="shared" si="43"/>
        <v>4.94375</v>
      </c>
      <c r="L418" s="1036">
        <v>232.1</v>
      </c>
      <c r="M418" s="686">
        <v>0</v>
      </c>
      <c r="N418" s="527">
        <v>0</v>
      </c>
      <c r="O418" s="543" t="e">
        <f t="shared" si="45"/>
        <v>#DIV/0!</v>
      </c>
      <c r="P418" s="528" t="e">
        <f t="shared" si="46"/>
        <v>#DIV/0!</v>
      </c>
      <c r="Q418" s="687" t="e">
        <f t="shared" si="47"/>
        <v>#DIV/0!</v>
      </c>
    </row>
    <row r="419" spans="1:17">
      <c r="A419" s="684">
        <f t="shared" si="44"/>
        <v>44614</v>
      </c>
      <c r="B419" s="1034">
        <v>194.41</v>
      </c>
      <c r="C419" s="1035">
        <v>835</v>
      </c>
      <c r="D419" s="1035">
        <v>47</v>
      </c>
      <c r="E419" s="1035">
        <v>0</v>
      </c>
      <c r="F419" s="685">
        <v>0</v>
      </c>
      <c r="G419" s="1035">
        <v>1</v>
      </c>
      <c r="H419" s="1035">
        <v>0</v>
      </c>
      <c r="I419" s="1035">
        <v>2</v>
      </c>
      <c r="J419" s="527">
        <f t="shared" si="42"/>
        <v>0.0562874251497006</v>
      </c>
      <c r="K419" s="687">
        <f t="shared" si="43"/>
        <v>4.1363829787234</v>
      </c>
      <c r="L419" s="1036">
        <v>232.826</v>
      </c>
      <c r="M419" s="686">
        <v>0</v>
      </c>
      <c r="N419" s="527">
        <v>0</v>
      </c>
      <c r="O419" s="543" t="e">
        <f t="shared" si="45"/>
        <v>#DIV/0!</v>
      </c>
      <c r="P419" s="528" t="e">
        <f t="shared" si="46"/>
        <v>#DIV/0!</v>
      </c>
      <c r="Q419" s="687">
        <f t="shared" si="47"/>
        <v>194.41</v>
      </c>
    </row>
    <row r="420" spans="1:17">
      <c r="A420" s="684">
        <f t="shared" si="44"/>
        <v>44615</v>
      </c>
      <c r="B420" s="1034">
        <v>194.9</v>
      </c>
      <c r="C420" s="1035">
        <v>876</v>
      </c>
      <c r="D420" s="1035">
        <v>40</v>
      </c>
      <c r="E420" s="1035">
        <v>0</v>
      </c>
      <c r="F420" s="685">
        <v>0</v>
      </c>
      <c r="G420" s="1035">
        <v>0</v>
      </c>
      <c r="H420" s="1035">
        <v>0</v>
      </c>
      <c r="I420" s="1035">
        <v>0</v>
      </c>
      <c r="J420" s="527">
        <f t="shared" si="42"/>
        <v>0.045662100456621</v>
      </c>
      <c r="K420" s="687">
        <f t="shared" si="43"/>
        <v>4.8725</v>
      </c>
      <c r="L420" s="1036">
        <v>222.488</v>
      </c>
      <c r="M420" s="686">
        <v>0</v>
      </c>
      <c r="N420" s="527">
        <v>0</v>
      </c>
      <c r="O420" s="543" t="e">
        <f t="shared" si="45"/>
        <v>#DIV/0!</v>
      </c>
      <c r="P420" s="528" t="e">
        <f t="shared" si="46"/>
        <v>#DIV/0!</v>
      </c>
      <c r="Q420" s="687" t="e">
        <f t="shared" si="47"/>
        <v>#DIV/0!</v>
      </c>
    </row>
    <row r="421" spans="1:17">
      <c r="A421" s="684">
        <f t="shared" si="44"/>
        <v>44616</v>
      </c>
      <c r="B421" s="1034">
        <v>213.94</v>
      </c>
      <c r="C421" s="1035">
        <v>828</v>
      </c>
      <c r="D421" s="1035">
        <v>70</v>
      </c>
      <c r="E421" s="1035">
        <v>0</v>
      </c>
      <c r="F421" s="685">
        <v>0</v>
      </c>
      <c r="G421" s="1035">
        <v>0</v>
      </c>
      <c r="H421" s="1035">
        <v>0</v>
      </c>
      <c r="I421" s="1035">
        <v>1</v>
      </c>
      <c r="J421" s="527">
        <f t="shared" si="42"/>
        <v>0.0845410628019324</v>
      </c>
      <c r="K421" s="687">
        <f t="shared" si="43"/>
        <v>3.05628571428571</v>
      </c>
      <c r="L421" s="1036">
        <v>258.381</v>
      </c>
      <c r="M421" s="686">
        <v>0</v>
      </c>
      <c r="N421" s="527">
        <v>0</v>
      </c>
      <c r="O421" s="543" t="e">
        <f t="shared" si="45"/>
        <v>#DIV/0!</v>
      </c>
      <c r="P421" s="528" t="e">
        <f t="shared" si="46"/>
        <v>#DIV/0!</v>
      </c>
      <c r="Q421" s="687" t="e">
        <f t="shared" si="47"/>
        <v>#DIV/0!</v>
      </c>
    </row>
    <row r="422" spans="1:17">
      <c r="A422" s="684">
        <f t="shared" si="44"/>
        <v>44617</v>
      </c>
      <c r="B422" s="685">
        <v>175.78</v>
      </c>
      <c r="C422" s="686">
        <v>748</v>
      </c>
      <c r="D422" s="686">
        <v>23</v>
      </c>
      <c r="E422" s="686">
        <v>0</v>
      </c>
      <c r="F422" s="685">
        <v>0</v>
      </c>
      <c r="G422" s="1035">
        <v>0</v>
      </c>
      <c r="H422" s="1035">
        <v>0</v>
      </c>
      <c r="I422" s="1035">
        <v>1</v>
      </c>
      <c r="J422" s="527">
        <f t="shared" si="42"/>
        <v>0.0307486631016043</v>
      </c>
      <c r="K422" s="687">
        <f t="shared" si="43"/>
        <v>7.64260869565217</v>
      </c>
      <c r="L422" s="687">
        <v>235</v>
      </c>
      <c r="M422" s="686">
        <v>0</v>
      </c>
      <c r="N422" s="527">
        <v>0</v>
      </c>
      <c r="O422" s="543" t="e">
        <f t="shared" ref="O422:O433" si="48">F422/E422</f>
        <v>#DIV/0!</v>
      </c>
      <c r="P422" s="528" t="e">
        <f t="shared" si="46"/>
        <v>#DIV/0!</v>
      </c>
      <c r="Q422" s="687" t="e">
        <f t="shared" si="47"/>
        <v>#DIV/0!</v>
      </c>
    </row>
    <row r="423" spans="1:17">
      <c r="A423" s="684">
        <f t="shared" si="44"/>
        <v>44618</v>
      </c>
      <c r="B423" s="685">
        <v>177.1</v>
      </c>
      <c r="C423" s="686">
        <v>868</v>
      </c>
      <c r="D423" s="686">
        <v>31</v>
      </c>
      <c r="E423" s="686">
        <v>0</v>
      </c>
      <c r="F423" s="685">
        <v>0</v>
      </c>
      <c r="G423" s="686">
        <v>0</v>
      </c>
      <c r="H423" s="686">
        <v>0</v>
      </c>
      <c r="I423" s="686">
        <v>2</v>
      </c>
      <c r="J423" s="527">
        <f t="shared" si="42"/>
        <v>0.0357142857142857</v>
      </c>
      <c r="K423" s="687">
        <f t="shared" si="43"/>
        <v>5.71290322580645</v>
      </c>
      <c r="L423" s="687">
        <v>204.03</v>
      </c>
      <c r="M423" s="686">
        <v>0</v>
      </c>
      <c r="N423" s="527">
        <v>0</v>
      </c>
      <c r="O423" s="543" t="e">
        <f t="shared" si="48"/>
        <v>#DIV/0!</v>
      </c>
      <c r="P423" s="528" t="e">
        <f t="shared" ref="P423:P433" si="49">B423/E423</f>
        <v>#DIV/0!</v>
      </c>
      <c r="Q423" s="687" t="e">
        <f t="shared" ref="Q423:Q433" si="50">B423/G423</f>
        <v>#DIV/0!</v>
      </c>
    </row>
    <row r="424" spans="1:17">
      <c r="A424" s="684">
        <f t="shared" si="44"/>
        <v>44619</v>
      </c>
      <c r="B424" s="685">
        <v>202.55</v>
      </c>
      <c r="C424" s="686">
        <v>913</v>
      </c>
      <c r="D424" s="686">
        <v>33</v>
      </c>
      <c r="E424" s="686">
        <v>0</v>
      </c>
      <c r="F424" s="685">
        <v>0</v>
      </c>
      <c r="G424" s="686">
        <v>0</v>
      </c>
      <c r="H424" s="686">
        <v>0</v>
      </c>
      <c r="I424" s="686">
        <v>0</v>
      </c>
      <c r="J424" s="527">
        <f t="shared" si="42"/>
        <v>0.036144578313253</v>
      </c>
      <c r="K424" s="687">
        <f t="shared" si="43"/>
        <v>6.13787878787879</v>
      </c>
      <c r="L424" s="687">
        <v>221.85</v>
      </c>
      <c r="M424" s="686">
        <v>0</v>
      </c>
      <c r="N424" s="527">
        <v>0</v>
      </c>
      <c r="O424" s="543" t="e">
        <f t="shared" si="48"/>
        <v>#DIV/0!</v>
      </c>
      <c r="P424" s="528" t="e">
        <f t="shared" si="49"/>
        <v>#DIV/0!</v>
      </c>
      <c r="Q424" s="687" t="e">
        <f t="shared" si="50"/>
        <v>#DIV/0!</v>
      </c>
    </row>
    <row r="425" spans="1:17">
      <c r="A425" s="684">
        <f t="shared" si="44"/>
        <v>44620</v>
      </c>
      <c r="B425" s="685">
        <v>224.99</v>
      </c>
      <c r="C425" s="686">
        <v>904</v>
      </c>
      <c r="D425" s="686">
        <v>46</v>
      </c>
      <c r="E425" s="686">
        <v>0</v>
      </c>
      <c r="F425" s="685">
        <v>0</v>
      </c>
      <c r="G425" s="686">
        <v>0</v>
      </c>
      <c r="H425" s="686">
        <v>1</v>
      </c>
      <c r="I425" s="686">
        <v>0</v>
      </c>
      <c r="J425" s="527">
        <f t="shared" si="42"/>
        <v>0.0508849557522124</v>
      </c>
      <c r="K425" s="687">
        <f t="shared" si="43"/>
        <v>4.89108695652174</v>
      </c>
      <c r="L425" s="687">
        <v>248.88</v>
      </c>
      <c r="M425" s="686">
        <v>0</v>
      </c>
      <c r="N425" s="527">
        <v>0</v>
      </c>
      <c r="O425" s="543" t="e">
        <f t="shared" si="48"/>
        <v>#DIV/0!</v>
      </c>
      <c r="P425" s="528" t="e">
        <f t="shared" si="49"/>
        <v>#DIV/0!</v>
      </c>
      <c r="Q425" s="687" t="e">
        <f t="shared" si="50"/>
        <v>#DIV/0!</v>
      </c>
    </row>
    <row r="426" spans="1:17">
      <c r="A426" s="684">
        <f t="shared" si="44"/>
        <v>44621</v>
      </c>
      <c r="B426" s="685">
        <v>217.38</v>
      </c>
      <c r="C426" s="686">
        <v>929</v>
      </c>
      <c r="D426" s="686">
        <v>28</v>
      </c>
      <c r="E426" s="686">
        <v>0</v>
      </c>
      <c r="F426" s="685">
        <v>0</v>
      </c>
      <c r="G426" s="686">
        <v>0</v>
      </c>
      <c r="H426" s="686">
        <v>0</v>
      </c>
      <c r="I426" s="686">
        <v>0</v>
      </c>
      <c r="J426" s="527">
        <f t="shared" si="42"/>
        <v>0.0301399354144241</v>
      </c>
      <c r="K426" s="687">
        <f t="shared" si="43"/>
        <v>7.76357142857143</v>
      </c>
      <c r="L426" s="687">
        <v>233.99</v>
      </c>
      <c r="M426" s="686">
        <v>0</v>
      </c>
      <c r="N426" s="527">
        <v>0</v>
      </c>
      <c r="O426" s="543" t="e">
        <f t="shared" si="48"/>
        <v>#DIV/0!</v>
      </c>
      <c r="P426" s="528" t="e">
        <f t="shared" si="49"/>
        <v>#DIV/0!</v>
      </c>
      <c r="Q426" s="687" t="e">
        <f t="shared" si="50"/>
        <v>#DIV/0!</v>
      </c>
    </row>
    <row r="427" spans="1:17">
      <c r="A427" s="684">
        <f t="shared" si="44"/>
        <v>44622</v>
      </c>
      <c r="B427" s="685">
        <v>285.47</v>
      </c>
      <c r="C427" s="686">
        <v>1187</v>
      </c>
      <c r="D427" s="686">
        <v>61</v>
      </c>
      <c r="E427" s="686">
        <v>0</v>
      </c>
      <c r="F427" s="685">
        <v>0</v>
      </c>
      <c r="G427" s="686">
        <v>0</v>
      </c>
      <c r="H427" s="686">
        <v>0</v>
      </c>
      <c r="I427" s="686">
        <v>1</v>
      </c>
      <c r="J427" s="527">
        <f t="shared" si="42"/>
        <v>0.0513900589721988</v>
      </c>
      <c r="K427" s="687">
        <f t="shared" si="43"/>
        <v>4.67983606557377</v>
      </c>
      <c r="L427" s="687">
        <v>239.55</v>
      </c>
      <c r="M427" s="686">
        <v>0</v>
      </c>
      <c r="N427" s="527">
        <v>0</v>
      </c>
      <c r="O427" s="543" t="e">
        <f t="shared" si="48"/>
        <v>#DIV/0!</v>
      </c>
      <c r="P427" s="528" t="e">
        <f t="shared" si="49"/>
        <v>#DIV/0!</v>
      </c>
      <c r="Q427" s="687" t="e">
        <f t="shared" si="50"/>
        <v>#DIV/0!</v>
      </c>
    </row>
    <row r="428" spans="1:17">
      <c r="A428" s="684">
        <f t="shared" si="44"/>
        <v>44623</v>
      </c>
      <c r="B428" s="685">
        <v>230.1</v>
      </c>
      <c r="C428" s="686">
        <v>1033</v>
      </c>
      <c r="D428" s="686">
        <v>27</v>
      </c>
      <c r="E428" s="686">
        <v>0</v>
      </c>
      <c r="F428" s="685">
        <v>0</v>
      </c>
      <c r="G428" s="686">
        <v>0</v>
      </c>
      <c r="H428" s="686">
        <v>0</v>
      </c>
      <c r="I428" s="686">
        <v>1</v>
      </c>
      <c r="J428" s="527">
        <f t="shared" si="42"/>
        <v>0.0261374636979671</v>
      </c>
      <c r="K428" s="687">
        <f t="shared" si="43"/>
        <v>8.52222222222222</v>
      </c>
      <c r="L428" s="687">
        <v>222.75</v>
      </c>
      <c r="M428" s="686">
        <v>0</v>
      </c>
      <c r="N428" s="527">
        <v>0</v>
      </c>
      <c r="O428" s="543" t="e">
        <f t="shared" si="48"/>
        <v>#DIV/0!</v>
      </c>
      <c r="P428" s="528" t="e">
        <f t="shared" si="49"/>
        <v>#DIV/0!</v>
      </c>
      <c r="Q428" s="687" t="e">
        <f t="shared" si="50"/>
        <v>#DIV/0!</v>
      </c>
    </row>
    <row r="429" spans="1:17">
      <c r="A429" s="684">
        <f t="shared" si="44"/>
        <v>44624</v>
      </c>
      <c r="B429" s="685">
        <v>234.65</v>
      </c>
      <c r="C429" s="686">
        <v>1083</v>
      </c>
      <c r="D429" s="686">
        <v>35</v>
      </c>
      <c r="E429" s="686">
        <v>0</v>
      </c>
      <c r="F429" s="685">
        <v>0</v>
      </c>
      <c r="G429" s="686">
        <v>0</v>
      </c>
      <c r="H429" s="686">
        <v>0</v>
      </c>
      <c r="I429" s="686">
        <v>1</v>
      </c>
      <c r="J429" s="527">
        <f t="shared" si="42"/>
        <v>0.0323176361957525</v>
      </c>
      <c r="K429" s="687">
        <f t="shared" si="43"/>
        <v>6.70428571428571</v>
      </c>
      <c r="L429" s="687">
        <v>216.67</v>
      </c>
      <c r="M429" s="686">
        <v>0</v>
      </c>
      <c r="N429" s="527">
        <v>0</v>
      </c>
      <c r="O429" s="543" t="e">
        <f t="shared" si="48"/>
        <v>#DIV/0!</v>
      </c>
      <c r="P429" s="528" t="e">
        <f t="shared" si="49"/>
        <v>#DIV/0!</v>
      </c>
      <c r="Q429" s="687" t="e">
        <f t="shared" si="50"/>
        <v>#DIV/0!</v>
      </c>
    </row>
    <row r="430" spans="1:17">
      <c r="A430" s="684">
        <f t="shared" ref="A430:A443" si="51">A429+1</f>
        <v>44625</v>
      </c>
      <c r="B430" s="1034">
        <v>255.28</v>
      </c>
      <c r="C430" s="1035">
        <v>1150</v>
      </c>
      <c r="D430" s="1035">
        <v>35</v>
      </c>
      <c r="E430" s="1035">
        <v>0</v>
      </c>
      <c r="F430" s="685">
        <v>0</v>
      </c>
      <c r="G430" s="686">
        <v>0</v>
      </c>
      <c r="H430" s="686">
        <v>0</v>
      </c>
      <c r="I430" s="686">
        <v>0</v>
      </c>
      <c r="J430" s="527">
        <f t="shared" si="42"/>
        <v>0.0304347826086957</v>
      </c>
      <c r="K430" s="687">
        <f t="shared" si="43"/>
        <v>7.29371428571429</v>
      </c>
      <c r="L430" s="886">
        <f>(B430/C430)*1000</f>
        <v>221.982608695652</v>
      </c>
      <c r="M430" s="1035">
        <v>0</v>
      </c>
      <c r="N430" s="527">
        <v>0</v>
      </c>
      <c r="O430" s="543" t="e">
        <f t="shared" si="48"/>
        <v>#DIV/0!</v>
      </c>
      <c r="P430" s="528" t="e">
        <f t="shared" si="49"/>
        <v>#DIV/0!</v>
      </c>
      <c r="Q430" s="687" t="e">
        <f t="shared" si="50"/>
        <v>#DIV/0!</v>
      </c>
    </row>
    <row r="431" spans="1:17">
      <c r="A431" s="684">
        <f t="shared" si="51"/>
        <v>44626</v>
      </c>
      <c r="B431" s="1034">
        <v>248.76</v>
      </c>
      <c r="C431" s="1035">
        <v>1114</v>
      </c>
      <c r="D431" s="1035">
        <v>35</v>
      </c>
      <c r="E431" s="1035">
        <v>0</v>
      </c>
      <c r="F431" s="685">
        <v>0</v>
      </c>
      <c r="G431" s="1035">
        <v>1</v>
      </c>
      <c r="H431" s="1035">
        <v>0</v>
      </c>
      <c r="I431" s="1035">
        <v>1</v>
      </c>
      <c r="J431" s="527">
        <f t="shared" si="42"/>
        <v>0.0314183123877917</v>
      </c>
      <c r="K431" s="687">
        <f t="shared" si="43"/>
        <v>7.10742857142857</v>
      </c>
      <c r="L431" s="886">
        <f t="shared" ref="L431:L436" si="52">(B431/C431)*1000</f>
        <v>223.303411131059</v>
      </c>
      <c r="M431" s="1035">
        <v>0</v>
      </c>
      <c r="N431" s="527">
        <v>0</v>
      </c>
      <c r="O431" s="543" t="e">
        <f t="shared" si="48"/>
        <v>#DIV/0!</v>
      </c>
      <c r="P431" s="528" t="e">
        <f t="shared" si="49"/>
        <v>#DIV/0!</v>
      </c>
      <c r="Q431" s="687">
        <f t="shared" si="50"/>
        <v>248.76</v>
      </c>
    </row>
    <row r="432" spans="1:17">
      <c r="A432" s="684">
        <f t="shared" si="51"/>
        <v>44627</v>
      </c>
      <c r="B432" s="1034">
        <v>258.42</v>
      </c>
      <c r="C432" s="1035">
        <v>1218</v>
      </c>
      <c r="D432" s="1035">
        <v>31</v>
      </c>
      <c r="E432" s="1035">
        <v>3</v>
      </c>
      <c r="F432" s="685">
        <v>600</v>
      </c>
      <c r="G432" s="1035">
        <v>1</v>
      </c>
      <c r="H432" s="1035">
        <v>0</v>
      </c>
      <c r="I432" s="1035">
        <v>3</v>
      </c>
      <c r="J432" s="527">
        <f t="shared" si="42"/>
        <v>0.0254515599343186</v>
      </c>
      <c r="K432" s="687">
        <f t="shared" si="43"/>
        <v>8.33612903225806</v>
      </c>
      <c r="L432" s="886">
        <f t="shared" si="52"/>
        <v>212.167487684729</v>
      </c>
      <c r="M432" s="1035">
        <v>2.32</v>
      </c>
      <c r="N432" s="527">
        <v>0.0025</v>
      </c>
      <c r="O432" s="543">
        <f t="shared" si="48"/>
        <v>200</v>
      </c>
      <c r="P432" s="528">
        <f t="shared" si="49"/>
        <v>86.14</v>
      </c>
      <c r="Q432" s="687">
        <f t="shared" si="50"/>
        <v>258.42</v>
      </c>
    </row>
    <row r="433" spans="1:17">
      <c r="A433" s="684">
        <f t="shared" si="51"/>
        <v>44628</v>
      </c>
      <c r="B433" s="1034">
        <v>227.65</v>
      </c>
      <c r="C433" s="1035">
        <v>1128</v>
      </c>
      <c r="D433" s="1035">
        <v>23</v>
      </c>
      <c r="E433" s="1035">
        <v>0</v>
      </c>
      <c r="F433" s="685">
        <v>0</v>
      </c>
      <c r="G433" s="686">
        <v>0</v>
      </c>
      <c r="H433" s="686">
        <v>0</v>
      </c>
      <c r="I433" s="686">
        <v>0</v>
      </c>
      <c r="J433" s="527">
        <f t="shared" si="42"/>
        <v>0.0203900709219858</v>
      </c>
      <c r="K433" s="687">
        <f t="shared" si="43"/>
        <v>9.89782608695652</v>
      </c>
      <c r="L433" s="886">
        <f t="shared" si="52"/>
        <v>201.817375886525</v>
      </c>
      <c r="M433" s="1035">
        <v>0</v>
      </c>
      <c r="N433" s="527">
        <v>0</v>
      </c>
      <c r="O433" s="543" t="e">
        <f t="shared" si="48"/>
        <v>#DIV/0!</v>
      </c>
      <c r="P433" s="528" t="e">
        <f t="shared" si="49"/>
        <v>#DIV/0!</v>
      </c>
      <c r="Q433" s="687" t="e">
        <f t="shared" si="50"/>
        <v>#DIV/0!</v>
      </c>
    </row>
    <row r="434" spans="1:17">
      <c r="A434" s="684">
        <f t="shared" si="51"/>
        <v>44629</v>
      </c>
      <c r="B434" s="1034">
        <v>183.98</v>
      </c>
      <c r="C434" s="1035">
        <v>820</v>
      </c>
      <c r="D434" s="1035">
        <v>31</v>
      </c>
      <c r="E434" s="1035">
        <v>0</v>
      </c>
      <c r="F434" s="685">
        <v>0</v>
      </c>
      <c r="G434" s="1035">
        <v>0</v>
      </c>
      <c r="H434" s="1035">
        <v>0</v>
      </c>
      <c r="I434" s="1035">
        <v>2</v>
      </c>
      <c r="J434" s="527">
        <f t="shared" si="42"/>
        <v>0.0378048780487805</v>
      </c>
      <c r="K434" s="687">
        <f t="shared" si="43"/>
        <v>5.93483870967742</v>
      </c>
      <c r="L434" s="886">
        <f t="shared" si="52"/>
        <v>224.365853658537</v>
      </c>
      <c r="M434" s="1035">
        <v>0</v>
      </c>
      <c r="N434" s="527">
        <v>0</v>
      </c>
      <c r="O434" s="543" t="e">
        <f t="shared" ref="O434:O443" si="53">F434/E434</f>
        <v>#DIV/0!</v>
      </c>
      <c r="P434" s="528" t="e">
        <f t="shared" ref="P434:P443" si="54">B434/E434</f>
        <v>#DIV/0!</v>
      </c>
      <c r="Q434" s="687" t="e">
        <f t="shared" ref="Q434:Q443" si="55">B434/G434</f>
        <v>#DIV/0!</v>
      </c>
    </row>
    <row r="435" spans="1:17">
      <c r="A435" s="684">
        <f t="shared" si="51"/>
        <v>44630</v>
      </c>
      <c r="B435" s="1034">
        <v>196.4</v>
      </c>
      <c r="C435" s="1035">
        <v>779</v>
      </c>
      <c r="D435" s="1035">
        <v>28</v>
      </c>
      <c r="E435" s="1035">
        <v>0</v>
      </c>
      <c r="F435" s="685">
        <v>0</v>
      </c>
      <c r="G435" s="1035">
        <v>0</v>
      </c>
      <c r="H435" s="1035">
        <v>0</v>
      </c>
      <c r="I435" s="1035">
        <v>0</v>
      </c>
      <c r="J435" s="527">
        <f t="shared" si="42"/>
        <v>0.0359435173299101</v>
      </c>
      <c r="K435" s="687">
        <f t="shared" si="43"/>
        <v>7.01428571428571</v>
      </c>
      <c r="L435" s="886">
        <f t="shared" si="52"/>
        <v>252.11810012837</v>
      </c>
      <c r="M435" s="1035">
        <v>0</v>
      </c>
      <c r="N435" s="527">
        <v>0</v>
      </c>
      <c r="O435" s="543" t="e">
        <f t="shared" si="53"/>
        <v>#DIV/0!</v>
      </c>
      <c r="P435" s="528" t="e">
        <f t="shared" si="54"/>
        <v>#DIV/0!</v>
      </c>
      <c r="Q435" s="687" t="e">
        <f t="shared" si="55"/>
        <v>#DIV/0!</v>
      </c>
    </row>
    <row r="436" spans="1:17">
      <c r="A436" s="684">
        <f t="shared" si="51"/>
        <v>44631</v>
      </c>
      <c r="B436" s="1034">
        <v>152.46</v>
      </c>
      <c r="C436" s="1035">
        <v>607</v>
      </c>
      <c r="D436" s="1035">
        <v>22</v>
      </c>
      <c r="E436" s="1035">
        <v>0</v>
      </c>
      <c r="F436" s="685">
        <v>0</v>
      </c>
      <c r="G436" s="1035">
        <v>0</v>
      </c>
      <c r="H436" s="1035">
        <v>1</v>
      </c>
      <c r="I436" s="1035">
        <v>1</v>
      </c>
      <c r="J436" s="527">
        <f t="shared" si="42"/>
        <v>0.0362438220757825</v>
      </c>
      <c r="K436" s="687">
        <f t="shared" si="43"/>
        <v>6.93</v>
      </c>
      <c r="L436" s="886">
        <f t="shared" si="52"/>
        <v>251.169686985173</v>
      </c>
      <c r="M436" s="1035">
        <v>0</v>
      </c>
      <c r="N436" s="527">
        <v>0</v>
      </c>
      <c r="O436" s="543" t="e">
        <f t="shared" si="53"/>
        <v>#DIV/0!</v>
      </c>
      <c r="P436" s="528" t="e">
        <f t="shared" si="54"/>
        <v>#DIV/0!</v>
      </c>
      <c r="Q436" s="687" t="e">
        <f t="shared" si="55"/>
        <v>#DIV/0!</v>
      </c>
    </row>
    <row r="437" spans="1:17">
      <c r="A437" s="684">
        <f t="shared" si="51"/>
        <v>44632</v>
      </c>
      <c r="B437" s="820">
        <v>102.83</v>
      </c>
      <c r="C437" s="1035">
        <v>446</v>
      </c>
      <c r="D437" s="1035">
        <v>7</v>
      </c>
      <c r="E437" s="1035">
        <v>0</v>
      </c>
      <c r="F437" s="685">
        <v>0</v>
      </c>
      <c r="G437" s="1035">
        <v>0</v>
      </c>
      <c r="H437" s="1035">
        <v>0</v>
      </c>
      <c r="I437" s="1035">
        <v>0</v>
      </c>
      <c r="J437" s="527">
        <f t="shared" si="42"/>
        <v>0.015695067264574</v>
      </c>
      <c r="K437" s="687">
        <f t="shared" si="43"/>
        <v>14.69</v>
      </c>
      <c r="L437" s="886">
        <f t="shared" ref="L437:L443" si="56">(B437/C437)*1000</f>
        <v>230.560538116592</v>
      </c>
      <c r="M437" s="1035">
        <v>0</v>
      </c>
      <c r="N437" s="527">
        <v>0</v>
      </c>
      <c r="O437" s="543" t="e">
        <f t="shared" si="53"/>
        <v>#DIV/0!</v>
      </c>
      <c r="P437" s="528" t="e">
        <f t="shared" si="54"/>
        <v>#DIV/0!</v>
      </c>
      <c r="Q437" s="687" t="e">
        <f t="shared" si="55"/>
        <v>#DIV/0!</v>
      </c>
    </row>
    <row r="438" spans="1:17">
      <c r="A438" s="684">
        <f t="shared" si="51"/>
        <v>44633</v>
      </c>
      <c r="B438" s="820">
        <v>109.06</v>
      </c>
      <c r="C438" s="1035">
        <v>497</v>
      </c>
      <c r="D438" s="1035">
        <v>17</v>
      </c>
      <c r="E438" s="1035">
        <v>0</v>
      </c>
      <c r="F438" s="685">
        <v>0</v>
      </c>
      <c r="G438" s="1035">
        <v>0</v>
      </c>
      <c r="H438" s="1035">
        <v>0</v>
      </c>
      <c r="I438" s="1035">
        <v>1</v>
      </c>
      <c r="J438" s="527">
        <f t="shared" si="42"/>
        <v>0.03420523138833</v>
      </c>
      <c r="K438" s="687">
        <f t="shared" si="43"/>
        <v>6.41529411764706</v>
      </c>
      <c r="L438" s="886">
        <f t="shared" si="56"/>
        <v>219.43661971831</v>
      </c>
      <c r="M438" s="1035">
        <v>0</v>
      </c>
      <c r="N438" s="527">
        <v>0</v>
      </c>
      <c r="O438" s="543" t="e">
        <f t="shared" si="53"/>
        <v>#DIV/0!</v>
      </c>
      <c r="P438" s="528" t="e">
        <f t="shared" si="54"/>
        <v>#DIV/0!</v>
      </c>
      <c r="Q438" s="687" t="e">
        <f t="shared" si="55"/>
        <v>#DIV/0!</v>
      </c>
    </row>
    <row r="439" spans="1:17">
      <c r="A439" s="684">
        <f t="shared" si="51"/>
        <v>44634</v>
      </c>
      <c r="B439" s="820">
        <v>77.66</v>
      </c>
      <c r="C439" s="1035">
        <v>361</v>
      </c>
      <c r="D439" s="1035">
        <v>8</v>
      </c>
      <c r="E439" s="1035">
        <v>0</v>
      </c>
      <c r="F439" s="685">
        <v>0</v>
      </c>
      <c r="G439" s="1035">
        <v>0</v>
      </c>
      <c r="H439" s="1035">
        <v>0</v>
      </c>
      <c r="I439" s="1035">
        <v>1</v>
      </c>
      <c r="J439" s="527">
        <f t="shared" si="42"/>
        <v>0.0221606648199446</v>
      </c>
      <c r="K439" s="687">
        <f t="shared" si="43"/>
        <v>9.7075</v>
      </c>
      <c r="L439" s="886">
        <f t="shared" si="56"/>
        <v>215.124653739612</v>
      </c>
      <c r="M439" s="1035">
        <v>0</v>
      </c>
      <c r="N439" s="527">
        <v>0</v>
      </c>
      <c r="O439" s="543" t="e">
        <f t="shared" si="53"/>
        <v>#DIV/0!</v>
      </c>
      <c r="P439" s="528" t="e">
        <f t="shared" si="54"/>
        <v>#DIV/0!</v>
      </c>
      <c r="Q439" s="687" t="e">
        <f t="shared" si="55"/>
        <v>#DIV/0!</v>
      </c>
    </row>
    <row r="440" spans="1:17">
      <c r="A440" s="684">
        <f t="shared" si="51"/>
        <v>44635</v>
      </c>
      <c r="B440" s="820">
        <v>85.41</v>
      </c>
      <c r="C440" s="1035">
        <v>318</v>
      </c>
      <c r="D440" s="1035">
        <v>16</v>
      </c>
      <c r="E440" s="1035">
        <v>0</v>
      </c>
      <c r="F440" s="685">
        <v>0</v>
      </c>
      <c r="G440" s="1035">
        <v>0</v>
      </c>
      <c r="H440" s="1035">
        <v>0</v>
      </c>
      <c r="I440" s="1035">
        <v>0</v>
      </c>
      <c r="J440" s="527">
        <f t="shared" si="42"/>
        <v>0.050314465408805</v>
      </c>
      <c r="K440" s="687">
        <f t="shared" si="43"/>
        <v>5.338125</v>
      </c>
      <c r="L440" s="886">
        <f t="shared" si="56"/>
        <v>268.584905660377</v>
      </c>
      <c r="M440" s="1035">
        <v>0</v>
      </c>
      <c r="N440" s="527">
        <v>0</v>
      </c>
      <c r="O440" s="543" t="e">
        <f t="shared" si="53"/>
        <v>#DIV/0!</v>
      </c>
      <c r="P440" s="528" t="e">
        <f t="shared" si="54"/>
        <v>#DIV/0!</v>
      </c>
      <c r="Q440" s="687" t="e">
        <f t="shared" si="55"/>
        <v>#DIV/0!</v>
      </c>
    </row>
    <row r="441" spans="1:17">
      <c r="A441" s="684">
        <f t="shared" si="51"/>
        <v>44636</v>
      </c>
      <c r="B441" s="820">
        <v>0.78</v>
      </c>
      <c r="C441" s="1035">
        <v>0</v>
      </c>
      <c r="D441" s="1035">
        <v>0</v>
      </c>
      <c r="E441" s="1035">
        <v>0</v>
      </c>
      <c r="F441" s="685">
        <v>0</v>
      </c>
      <c r="G441" s="1035">
        <v>0</v>
      </c>
      <c r="H441" s="1035">
        <v>0</v>
      </c>
      <c r="I441" s="1035">
        <v>0</v>
      </c>
      <c r="J441" s="527" t="e">
        <f t="shared" si="42"/>
        <v>#DIV/0!</v>
      </c>
      <c r="K441" s="687" t="e">
        <f t="shared" si="43"/>
        <v>#DIV/0!</v>
      </c>
      <c r="L441" s="886" t="e">
        <f t="shared" si="56"/>
        <v>#DIV/0!</v>
      </c>
      <c r="M441" s="1035">
        <v>0</v>
      </c>
      <c r="N441" s="527">
        <v>0</v>
      </c>
      <c r="O441" s="543" t="e">
        <f t="shared" si="53"/>
        <v>#DIV/0!</v>
      </c>
      <c r="P441" s="528" t="e">
        <f t="shared" si="54"/>
        <v>#DIV/0!</v>
      </c>
      <c r="Q441" s="687" t="e">
        <f t="shared" si="55"/>
        <v>#DIV/0!</v>
      </c>
    </row>
    <row r="442" spans="1:17">
      <c r="A442" s="684">
        <f t="shared" si="51"/>
        <v>44637</v>
      </c>
      <c r="B442" s="820">
        <v>0</v>
      </c>
      <c r="C442" s="1035">
        <v>0</v>
      </c>
      <c r="D442" s="1035">
        <v>0</v>
      </c>
      <c r="E442" s="1035">
        <v>0</v>
      </c>
      <c r="F442" s="685">
        <v>0</v>
      </c>
      <c r="G442" s="1035">
        <v>0</v>
      </c>
      <c r="H442" s="1035">
        <v>0</v>
      </c>
      <c r="I442" s="1035">
        <v>0</v>
      </c>
      <c r="J442" s="527" t="e">
        <f t="shared" si="42"/>
        <v>#DIV/0!</v>
      </c>
      <c r="K442" s="687" t="e">
        <f t="shared" si="43"/>
        <v>#DIV/0!</v>
      </c>
      <c r="L442" s="886" t="e">
        <f t="shared" si="56"/>
        <v>#DIV/0!</v>
      </c>
      <c r="M442" s="1035">
        <v>0</v>
      </c>
      <c r="N442" s="527">
        <v>0</v>
      </c>
      <c r="O442" s="543" t="e">
        <f t="shared" si="53"/>
        <v>#DIV/0!</v>
      </c>
      <c r="P442" s="528" t="e">
        <f t="shared" si="54"/>
        <v>#DIV/0!</v>
      </c>
      <c r="Q442" s="687" t="e">
        <f t="shared" si="55"/>
        <v>#DIV/0!</v>
      </c>
    </row>
    <row r="443" spans="1:17">
      <c r="A443" s="684">
        <f t="shared" si="51"/>
        <v>44638</v>
      </c>
      <c r="B443" s="820">
        <v>0</v>
      </c>
      <c r="C443" s="1035">
        <v>0</v>
      </c>
      <c r="D443" s="1035">
        <v>0</v>
      </c>
      <c r="E443" s="1035">
        <v>0</v>
      </c>
      <c r="F443" s="685">
        <v>0</v>
      </c>
      <c r="G443" s="1035">
        <v>0</v>
      </c>
      <c r="H443" s="1035">
        <v>0</v>
      </c>
      <c r="I443" s="1035">
        <v>0</v>
      </c>
      <c r="J443" s="527" t="e">
        <f t="shared" si="42"/>
        <v>#DIV/0!</v>
      </c>
      <c r="K443" s="687" t="e">
        <f t="shared" si="43"/>
        <v>#DIV/0!</v>
      </c>
      <c r="L443" s="886" t="e">
        <f t="shared" si="56"/>
        <v>#DIV/0!</v>
      </c>
      <c r="M443" s="1035">
        <v>0</v>
      </c>
      <c r="N443" s="527">
        <v>0</v>
      </c>
      <c r="O443" s="543" t="e">
        <f t="shared" si="53"/>
        <v>#DIV/0!</v>
      </c>
      <c r="P443" s="528" t="e">
        <f t="shared" si="54"/>
        <v>#DIV/0!</v>
      </c>
      <c r="Q443" s="687" t="e">
        <f t="shared" si="55"/>
        <v>#DIV/0!</v>
      </c>
    </row>
    <row r="444" spans="1:17">
      <c r="A444" s="684">
        <f t="shared" ref="A444:A450" si="57">A443+1</f>
        <v>44639</v>
      </c>
      <c r="B444" s="820">
        <v>0</v>
      </c>
      <c r="C444" s="1035">
        <v>0</v>
      </c>
      <c r="D444" s="1035">
        <v>0</v>
      </c>
      <c r="E444" s="1035">
        <v>0</v>
      </c>
      <c r="F444" s="1034">
        <v>0</v>
      </c>
      <c r="G444" s="1035">
        <v>0</v>
      </c>
      <c r="H444" s="1035">
        <v>0</v>
      </c>
      <c r="I444" s="1035">
        <v>0</v>
      </c>
      <c r="J444" s="527" t="e">
        <f t="shared" si="42"/>
        <v>#DIV/0!</v>
      </c>
      <c r="K444" s="687" t="e">
        <f t="shared" si="43"/>
        <v>#DIV/0!</v>
      </c>
      <c r="L444" s="1035">
        <v>0</v>
      </c>
      <c r="M444" s="1035">
        <v>0</v>
      </c>
      <c r="N444" s="1035">
        <v>0</v>
      </c>
      <c r="O444" s="1037">
        <v>0</v>
      </c>
      <c r="P444" s="1038">
        <v>0</v>
      </c>
      <c r="Q444" s="1035">
        <v>0</v>
      </c>
    </row>
    <row r="445" spans="1:17">
      <c r="A445" s="684">
        <f t="shared" si="57"/>
        <v>44640</v>
      </c>
      <c r="B445" s="820">
        <v>0</v>
      </c>
      <c r="C445" s="1035">
        <v>0</v>
      </c>
      <c r="D445" s="1035">
        <v>0</v>
      </c>
      <c r="E445" s="1035">
        <v>0</v>
      </c>
      <c r="F445" s="1034">
        <v>0</v>
      </c>
      <c r="G445" s="1035">
        <v>0</v>
      </c>
      <c r="H445" s="1035">
        <v>0</v>
      </c>
      <c r="I445" s="1035">
        <v>0</v>
      </c>
      <c r="J445" s="527" t="e">
        <f t="shared" si="42"/>
        <v>#DIV/0!</v>
      </c>
      <c r="K445" s="687" t="e">
        <f t="shared" si="43"/>
        <v>#DIV/0!</v>
      </c>
      <c r="L445" s="1035">
        <v>0</v>
      </c>
      <c r="M445" s="1035">
        <v>0</v>
      </c>
      <c r="N445" s="1035">
        <v>0</v>
      </c>
      <c r="O445" s="1037">
        <v>0</v>
      </c>
      <c r="P445" s="1038">
        <v>0</v>
      </c>
      <c r="Q445" s="1035">
        <v>0</v>
      </c>
    </row>
    <row r="446" spans="1:17">
      <c r="A446" s="684">
        <f t="shared" si="57"/>
        <v>44641</v>
      </c>
      <c r="B446" s="820">
        <v>0</v>
      </c>
      <c r="C446" s="1035">
        <v>0</v>
      </c>
      <c r="D446" s="1035">
        <v>0</v>
      </c>
      <c r="E446" s="1035">
        <v>0</v>
      </c>
      <c r="F446" s="1034">
        <v>0</v>
      </c>
      <c r="G446" s="1035">
        <v>0</v>
      </c>
      <c r="H446" s="1035">
        <v>0</v>
      </c>
      <c r="I446" s="1035">
        <v>0</v>
      </c>
      <c r="J446" s="527" t="e">
        <f t="shared" si="42"/>
        <v>#DIV/0!</v>
      </c>
      <c r="K446" s="687" t="e">
        <f t="shared" si="43"/>
        <v>#DIV/0!</v>
      </c>
      <c r="L446" s="1035">
        <v>0</v>
      </c>
      <c r="M446" s="1035">
        <v>0</v>
      </c>
      <c r="N446" s="1035">
        <v>0</v>
      </c>
      <c r="O446" s="1037">
        <v>0</v>
      </c>
      <c r="P446" s="1038">
        <v>0</v>
      </c>
      <c r="Q446" s="1035">
        <v>0</v>
      </c>
    </row>
    <row r="447" spans="1:17">
      <c r="A447" s="684">
        <f t="shared" si="57"/>
        <v>44642</v>
      </c>
      <c r="B447" s="820">
        <v>0</v>
      </c>
      <c r="C447" s="1035">
        <v>0</v>
      </c>
      <c r="D447" s="1035">
        <v>0</v>
      </c>
      <c r="E447" s="1035">
        <v>0</v>
      </c>
      <c r="F447" s="1034">
        <v>0</v>
      </c>
      <c r="G447" s="1035">
        <v>0</v>
      </c>
      <c r="H447" s="1035">
        <v>0</v>
      </c>
      <c r="I447" s="1035">
        <v>0</v>
      </c>
      <c r="J447" s="527" t="e">
        <f t="shared" si="42"/>
        <v>#DIV/0!</v>
      </c>
      <c r="K447" s="687" t="e">
        <f t="shared" si="43"/>
        <v>#DIV/0!</v>
      </c>
      <c r="L447" s="1035">
        <v>0</v>
      </c>
      <c r="M447" s="1035">
        <v>0</v>
      </c>
      <c r="N447" s="1035">
        <v>0</v>
      </c>
      <c r="O447" s="1037">
        <v>0</v>
      </c>
      <c r="P447" s="1038">
        <v>0</v>
      </c>
      <c r="Q447" s="1035">
        <v>0</v>
      </c>
    </row>
    <row r="448" spans="1:17">
      <c r="A448" s="684">
        <f t="shared" si="57"/>
        <v>44643</v>
      </c>
      <c r="B448" s="820">
        <v>0</v>
      </c>
      <c r="C448" s="1035">
        <v>0</v>
      </c>
      <c r="D448" s="1035">
        <v>0</v>
      </c>
      <c r="E448" s="1035">
        <v>0</v>
      </c>
      <c r="F448" s="1034">
        <v>0</v>
      </c>
      <c r="G448" s="1035">
        <v>0</v>
      </c>
      <c r="H448" s="1035">
        <v>0</v>
      </c>
      <c r="I448" s="1035">
        <v>0</v>
      </c>
      <c r="J448" s="527" t="e">
        <f t="shared" si="42"/>
        <v>#DIV/0!</v>
      </c>
      <c r="K448" s="687" t="e">
        <f t="shared" si="43"/>
        <v>#DIV/0!</v>
      </c>
      <c r="L448" s="1035">
        <v>0</v>
      </c>
      <c r="M448" s="1035">
        <v>0</v>
      </c>
      <c r="N448" s="1035">
        <v>0</v>
      </c>
      <c r="O448" s="1037">
        <v>0</v>
      </c>
      <c r="P448" s="1038">
        <v>0</v>
      </c>
      <c r="Q448" s="1035">
        <v>0</v>
      </c>
    </row>
    <row r="449" spans="1:17">
      <c r="A449" s="684">
        <f t="shared" si="57"/>
        <v>44644</v>
      </c>
      <c r="B449" s="820">
        <v>0</v>
      </c>
      <c r="C449" s="1035">
        <v>0</v>
      </c>
      <c r="D449" s="1035">
        <v>0</v>
      </c>
      <c r="E449" s="1035">
        <v>0</v>
      </c>
      <c r="F449" s="1034">
        <v>0</v>
      </c>
      <c r="G449" s="1035">
        <v>0</v>
      </c>
      <c r="H449" s="1035">
        <v>0</v>
      </c>
      <c r="I449" s="1035">
        <v>0</v>
      </c>
      <c r="J449" s="527" t="e">
        <f t="shared" si="42"/>
        <v>#DIV/0!</v>
      </c>
      <c r="K449" s="687" t="e">
        <f t="shared" si="43"/>
        <v>#DIV/0!</v>
      </c>
      <c r="L449" s="1035">
        <v>0</v>
      </c>
      <c r="M449" s="1035">
        <v>0</v>
      </c>
      <c r="N449" s="1035">
        <v>0</v>
      </c>
      <c r="O449" s="1037">
        <v>0</v>
      </c>
      <c r="P449" s="1038">
        <v>0</v>
      </c>
      <c r="Q449" s="1035">
        <v>0</v>
      </c>
    </row>
    <row r="450" spans="1:17">
      <c r="A450" s="684">
        <f t="shared" si="57"/>
        <v>44645</v>
      </c>
      <c r="B450" s="820">
        <v>0</v>
      </c>
      <c r="C450" s="1035">
        <v>0</v>
      </c>
      <c r="D450" s="1035">
        <v>0</v>
      </c>
      <c r="E450" s="1035">
        <v>0</v>
      </c>
      <c r="F450" s="1034">
        <v>0</v>
      </c>
      <c r="G450" s="1035">
        <v>0</v>
      </c>
      <c r="H450" s="1035">
        <v>0</v>
      </c>
      <c r="I450" s="1035">
        <v>0</v>
      </c>
      <c r="J450" s="527" t="e">
        <f t="shared" ref="J450:J513" si="58">D450/C450</f>
        <v>#DIV/0!</v>
      </c>
      <c r="K450" s="687" t="e">
        <f t="shared" ref="K450:K513" si="59">B450/D450</f>
        <v>#DIV/0!</v>
      </c>
      <c r="L450" s="1035">
        <v>0</v>
      </c>
      <c r="M450" s="1035">
        <v>0</v>
      </c>
      <c r="N450" s="1035">
        <v>0</v>
      </c>
      <c r="O450" s="1037">
        <v>0</v>
      </c>
      <c r="P450" s="1038">
        <v>0</v>
      </c>
      <c r="Q450" s="1035">
        <v>0</v>
      </c>
    </row>
    <row r="451" spans="1:17">
      <c r="A451" s="684">
        <f t="shared" ref="A451:A457" si="60">A450+1</f>
        <v>44646</v>
      </c>
      <c r="B451" s="820">
        <v>0</v>
      </c>
      <c r="C451" s="1035">
        <v>0</v>
      </c>
      <c r="D451" s="1035">
        <v>0</v>
      </c>
      <c r="E451" s="1035">
        <v>0</v>
      </c>
      <c r="F451" s="1034">
        <v>0</v>
      </c>
      <c r="G451" s="1035">
        <v>0</v>
      </c>
      <c r="H451" s="1035">
        <v>0</v>
      </c>
      <c r="I451" s="1035">
        <v>0</v>
      </c>
      <c r="J451" s="527" t="e">
        <f t="shared" si="58"/>
        <v>#DIV/0!</v>
      </c>
      <c r="K451" s="687" t="e">
        <f t="shared" si="59"/>
        <v>#DIV/0!</v>
      </c>
      <c r="L451" s="1035">
        <v>0</v>
      </c>
      <c r="M451" s="1035">
        <v>0</v>
      </c>
      <c r="N451" s="1035">
        <v>0</v>
      </c>
      <c r="O451" s="1037">
        <v>0</v>
      </c>
      <c r="P451" s="1038">
        <v>0</v>
      </c>
      <c r="Q451" s="1035">
        <v>0</v>
      </c>
    </row>
    <row r="452" spans="1:17">
      <c r="A452" s="684">
        <f t="shared" si="60"/>
        <v>44647</v>
      </c>
      <c r="B452" s="820">
        <v>0</v>
      </c>
      <c r="C452" s="1035">
        <v>0</v>
      </c>
      <c r="D452" s="1035">
        <v>0</v>
      </c>
      <c r="E452" s="1035">
        <v>0</v>
      </c>
      <c r="F452" s="1034">
        <v>0</v>
      </c>
      <c r="G452" s="1035">
        <v>0</v>
      </c>
      <c r="H452" s="1035">
        <v>0</v>
      </c>
      <c r="I452" s="1035">
        <v>0</v>
      </c>
      <c r="J452" s="527" t="e">
        <f t="shared" si="58"/>
        <v>#DIV/0!</v>
      </c>
      <c r="K452" s="687" t="e">
        <f t="shared" si="59"/>
        <v>#DIV/0!</v>
      </c>
      <c r="L452" s="1035">
        <v>0</v>
      </c>
      <c r="M452" s="1035">
        <v>0</v>
      </c>
      <c r="N452" s="1035">
        <v>0</v>
      </c>
      <c r="O452" s="1037">
        <v>0</v>
      </c>
      <c r="P452" s="1038">
        <v>0</v>
      </c>
      <c r="Q452" s="1035">
        <v>0</v>
      </c>
    </row>
    <row r="453" spans="1:17">
      <c r="A453" s="684">
        <f t="shared" si="60"/>
        <v>44648</v>
      </c>
      <c r="B453" s="820">
        <v>0</v>
      </c>
      <c r="C453" s="1035">
        <v>0</v>
      </c>
      <c r="D453" s="1035">
        <v>0</v>
      </c>
      <c r="E453" s="1035">
        <v>0</v>
      </c>
      <c r="F453" s="1034">
        <v>0</v>
      </c>
      <c r="G453" s="1035">
        <v>0</v>
      </c>
      <c r="H453" s="1035">
        <v>0</v>
      </c>
      <c r="I453" s="1035">
        <v>0</v>
      </c>
      <c r="J453" s="527" t="e">
        <f t="shared" si="58"/>
        <v>#DIV/0!</v>
      </c>
      <c r="K453" s="687" t="e">
        <f t="shared" si="59"/>
        <v>#DIV/0!</v>
      </c>
      <c r="L453" s="1035">
        <v>0</v>
      </c>
      <c r="M453" s="1035">
        <v>0</v>
      </c>
      <c r="N453" s="1035">
        <v>0</v>
      </c>
      <c r="O453" s="1037">
        <v>0</v>
      </c>
      <c r="P453" s="1038">
        <v>0</v>
      </c>
      <c r="Q453" s="1035">
        <v>0</v>
      </c>
    </row>
    <row r="454" spans="1:17">
      <c r="A454" s="684">
        <f t="shared" si="60"/>
        <v>44649</v>
      </c>
      <c r="B454" s="820">
        <v>0</v>
      </c>
      <c r="C454" s="1035">
        <v>0</v>
      </c>
      <c r="D454" s="1035">
        <v>0</v>
      </c>
      <c r="E454" s="1035">
        <v>0</v>
      </c>
      <c r="F454" s="1034">
        <v>0</v>
      </c>
      <c r="G454" s="1035">
        <v>0</v>
      </c>
      <c r="H454" s="1035">
        <v>0</v>
      </c>
      <c r="I454" s="1035">
        <v>0</v>
      </c>
      <c r="J454" s="527" t="e">
        <f t="shared" si="58"/>
        <v>#DIV/0!</v>
      </c>
      <c r="K454" s="687" t="e">
        <f t="shared" si="59"/>
        <v>#DIV/0!</v>
      </c>
      <c r="L454" s="1035">
        <v>0</v>
      </c>
      <c r="M454" s="1035">
        <v>0</v>
      </c>
      <c r="N454" s="1035">
        <v>0</v>
      </c>
      <c r="O454" s="1037">
        <v>0</v>
      </c>
      <c r="P454" s="1038">
        <v>0</v>
      </c>
      <c r="Q454" s="1035">
        <v>0</v>
      </c>
    </row>
    <row r="455" spans="1:17">
      <c r="A455" s="684">
        <f t="shared" si="60"/>
        <v>44650</v>
      </c>
      <c r="B455" s="820">
        <v>0</v>
      </c>
      <c r="C455" s="1035">
        <v>0</v>
      </c>
      <c r="D455" s="1035">
        <v>0</v>
      </c>
      <c r="E455" s="1035">
        <v>0</v>
      </c>
      <c r="F455" s="1034">
        <v>0</v>
      </c>
      <c r="G455" s="1035">
        <v>0</v>
      </c>
      <c r="H455" s="1035">
        <v>0</v>
      </c>
      <c r="I455" s="1035">
        <v>0</v>
      </c>
      <c r="J455" s="527" t="e">
        <f t="shared" si="58"/>
        <v>#DIV/0!</v>
      </c>
      <c r="K455" s="687" t="e">
        <f t="shared" si="59"/>
        <v>#DIV/0!</v>
      </c>
      <c r="L455" s="1035">
        <v>0</v>
      </c>
      <c r="M455" s="1035">
        <v>0</v>
      </c>
      <c r="N455" s="1035">
        <v>0</v>
      </c>
      <c r="O455" s="1037">
        <v>0</v>
      </c>
      <c r="P455" s="1038">
        <v>0</v>
      </c>
      <c r="Q455" s="1035">
        <v>0</v>
      </c>
    </row>
    <row r="456" spans="1:17">
      <c r="A456" s="684">
        <f t="shared" si="60"/>
        <v>44651</v>
      </c>
      <c r="B456" s="820">
        <v>0</v>
      </c>
      <c r="C456" s="1035">
        <v>0</v>
      </c>
      <c r="D456" s="1035">
        <v>0</v>
      </c>
      <c r="E456" s="1035">
        <v>0</v>
      </c>
      <c r="F456" s="1034">
        <v>0</v>
      </c>
      <c r="G456" s="1035">
        <v>0</v>
      </c>
      <c r="H456" s="1035">
        <v>0</v>
      </c>
      <c r="I456" s="1035">
        <v>0</v>
      </c>
      <c r="J456" s="527" t="e">
        <f t="shared" si="58"/>
        <v>#DIV/0!</v>
      </c>
      <c r="K456" s="687" t="e">
        <f t="shared" si="59"/>
        <v>#DIV/0!</v>
      </c>
      <c r="L456" s="1035">
        <v>0</v>
      </c>
      <c r="M456" s="1035">
        <v>0</v>
      </c>
      <c r="N456" s="1035">
        <v>0</v>
      </c>
      <c r="O456" s="1037">
        <v>0</v>
      </c>
      <c r="P456" s="1038">
        <v>0</v>
      </c>
      <c r="Q456" s="1035">
        <v>0</v>
      </c>
    </row>
    <row r="457" spans="1:17">
      <c r="A457" s="684">
        <f t="shared" si="60"/>
        <v>44652</v>
      </c>
      <c r="B457" s="820">
        <v>0</v>
      </c>
      <c r="C457" s="1035">
        <v>0</v>
      </c>
      <c r="D457" s="1035">
        <v>0</v>
      </c>
      <c r="E457" s="1035">
        <v>0</v>
      </c>
      <c r="F457" s="1034">
        <v>0</v>
      </c>
      <c r="G457" s="1035">
        <v>0</v>
      </c>
      <c r="H457" s="1035">
        <v>0</v>
      </c>
      <c r="I457" s="1035">
        <v>0</v>
      </c>
      <c r="J457" s="527" t="e">
        <f t="shared" si="58"/>
        <v>#DIV/0!</v>
      </c>
      <c r="K457" s="687" t="e">
        <f t="shared" si="59"/>
        <v>#DIV/0!</v>
      </c>
      <c r="L457" s="1035">
        <v>0</v>
      </c>
      <c r="M457" s="1035">
        <v>0</v>
      </c>
      <c r="N457" s="1035">
        <v>0</v>
      </c>
      <c r="O457" s="1037">
        <v>0</v>
      </c>
      <c r="P457" s="1038">
        <v>0</v>
      </c>
      <c r="Q457" s="1035">
        <v>0</v>
      </c>
    </row>
    <row r="458" spans="1:17">
      <c r="A458" s="684">
        <f t="shared" ref="A458:A464" si="61">A457+1</f>
        <v>44653</v>
      </c>
      <c r="B458" s="820">
        <v>0</v>
      </c>
      <c r="C458" s="1035">
        <v>0</v>
      </c>
      <c r="D458" s="1035">
        <v>0</v>
      </c>
      <c r="E458" s="1035">
        <v>0</v>
      </c>
      <c r="F458" s="1034">
        <v>0</v>
      </c>
      <c r="G458" s="1035">
        <v>0</v>
      </c>
      <c r="H458" s="1035">
        <v>0</v>
      </c>
      <c r="I458" s="1035">
        <v>0</v>
      </c>
      <c r="J458" s="527" t="e">
        <f t="shared" si="58"/>
        <v>#DIV/0!</v>
      </c>
      <c r="K458" s="687" t="e">
        <f t="shared" si="59"/>
        <v>#DIV/0!</v>
      </c>
      <c r="L458" s="1035">
        <v>0</v>
      </c>
      <c r="M458" s="1035">
        <v>0</v>
      </c>
      <c r="N458" s="1035">
        <v>0</v>
      </c>
      <c r="O458" s="1037">
        <v>0</v>
      </c>
      <c r="P458" s="1038">
        <v>0</v>
      </c>
      <c r="Q458" s="1035">
        <v>0</v>
      </c>
    </row>
    <row r="459" spans="1:17">
      <c r="A459" s="684">
        <f t="shared" si="61"/>
        <v>44654</v>
      </c>
      <c r="B459" s="820">
        <v>0</v>
      </c>
      <c r="C459" s="1035">
        <v>0</v>
      </c>
      <c r="D459" s="1035">
        <v>0</v>
      </c>
      <c r="E459" s="1035">
        <v>0</v>
      </c>
      <c r="F459" s="1034">
        <v>0</v>
      </c>
      <c r="G459" s="1035">
        <v>0</v>
      </c>
      <c r="H459" s="1035">
        <v>0</v>
      </c>
      <c r="I459" s="1035">
        <v>0</v>
      </c>
      <c r="J459" s="527" t="e">
        <f t="shared" si="58"/>
        <v>#DIV/0!</v>
      </c>
      <c r="K459" s="687" t="e">
        <f t="shared" si="59"/>
        <v>#DIV/0!</v>
      </c>
      <c r="L459" s="1035">
        <v>0</v>
      </c>
      <c r="M459" s="1035">
        <v>0</v>
      </c>
      <c r="N459" s="1035">
        <v>0</v>
      </c>
      <c r="O459" s="1037">
        <v>0</v>
      </c>
      <c r="P459" s="1038">
        <v>0</v>
      </c>
      <c r="Q459" s="1035">
        <v>0</v>
      </c>
    </row>
    <row r="460" spans="1:17">
      <c r="A460" s="684">
        <f t="shared" si="61"/>
        <v>44655</v>
      </c>
      <c r="B460" s="820">
        <v>0</v>
      </c>
      <c r="C460" s="1035">
        <v>0</v>
      </c>
      <c r="D460" s="1035">
        <v>0</v>
      </c>
      <c r="E460" s="1035">
        <v>0</v>
      </c>
      <c r="F460" s="1034">
        <v>0</v>
      </c>
      <c r="G460" s="1035">
        <v>0</v>
      </c>
      <c r="H460" s="1035">
        <v>0</v>
      </c>
      <c r="I460" s="1035">
        <v>0</v>
      </c>
      <c r="J460" s="527" t="e">
        <f t="shared" si="58"/>
        <v>#DIV/0!</v>
      </c>
      <c r="K460" s="687" t="e">
        <f t="shared" si="59"/>
        <v>#DIV/0!</v>
      </c>
      <c r="L460" s="1035">
        <v>0</v>
      </c>
      <c r="M460" s="1035">
        <v>0</v>
      </c>
      <c r="N460" s="1035">
        <v>0</v>
      </c>
      <c r="O460" s="1037">
        <v>0</v>
      </c>
      <c r="P460" s="1038">
        <v>0</v>
      </c>
      <c r="Q460" s="1035">
        <v>0</v>
      </c>
    </row>
    <row r="461" spans="1:17">
      <c r="A461" s="684">
        <f t="shared" si="61"/>
        <v>44656</v>
      </c>
      <c r="B461" s="820">
        <v>0</v>
      </c>
      <c r="C461" s="1035">
        <v>0</v>
      </c>
      <c r="D461" s="1035">
        <v>0</v>
      </c>
      <c r="E461" s="1035">
        <v>0</v>
      </c>
      <c r="F461" s="1034">
        <v>0</v>
      </c>
      <c r="G461" s="1035">
        <v>0</v>
      </c>
      <c r="H461" s="1035">
        <v>0</v>
      </c>
      <c r="I461" s="1035">
        <v>0</v>
      </c>
      <c r="J461" s="527" t="e">
        <f t="shared" si="58"/>
        <v>#DIV/0!</v>
      </c>
      <c r="K461" s="687" t="e">
        <f t="shared" si="59"/>
        <v>#DIV/0!</v>
      </c>
      <c r="L461" s="1035">
        <v>0</v>
      </c>
      <c r="M461" s="1035">
        <v>0</v>
      </c>
      <c r="N461" s="1035">
        <v>0</v>
      </c>
      <c r="O461" s="1037">
        <v>0</v>
      </c>
      <c r="P461" s="1038">
        <v>0</v>
      </c>
      <c r="Q461" s="1035">
        <v>0</v>
      </c>
    </row>
    <row r="462" spans="1:17">
      <c r="A462" s="684">
        <f t="shared" si="61"/>
        <v>44657</v>
      </c>
      <c r="B462" s="820">
        <v>0</v>
      </c>
      <c r="C462" s="1035">
        <v>0</v>
      </c>
      <c r="D462" s="1035">
        <v>0</v>
      </c>
      <c r="E462" s="1035">
        <v>0</v>
      </c>
      <c r="F462" s="1034">
        <v>0</v>
      </c>
      <c r="G462" s="1035">
        <v>0</v>
      </c>
      <c r="H462" s="1035">
        <v>0</v>
      </c>
      <c r="I462" s="1035">
        <v>0</v>
      </c>
      <c r="J462" s="527" t="e">
        <f t="shared" si="58"/>
        <v>#DIV/0!</v>
      </c>
      <c r="K462" s="687" t="e">
        <f t="shared" si="59"/>
        <v>#DIV/0!</v>
      </c>
      <c r="L462" s="1035">
        <v>0</v>
      </c>
      <c r="M462" s="1035">
        <v>0</v>
      </c>
      <c r="N462" s="1035">
        <v>0</v>
      </c>
      <c r="O462" s="1037">
        <v>0</v>
      </c>
      <c r="P462" s="1038">
        <v>0</v>
      </c>
      <c r="Q462" s="1035">
        <v>0</v>
      </c>
    </row>
    <row r="463" spans="1:17">
      <c r="A463" s="684">
        <f t="shared" si="61"/>
        <v>44658</v>
      </c>
      <c r="B463" s="820">
        <v>0</v>
      </c>
      <c r="C463" s="1035">
        <v>0</v>
      </c>
      <c r="D463" s="1035">
        <v>0</v>
      </c>
      <c r="E463" s="1035">
        <v>0</v>
      </c>
      <c r="F463" s="1034">
        <v>0</v>
      </c>
      <c r="G463" s="1035">
        <v>0</v>
      </c>
      <c r="H463" s="1035">
        <v>0</v>
      </c>
      <c r="I463" s="1035">
        <v>0</v>
      </c>
      <c r="J463" s="527" t="e">
        <f t="shared" si="58"/>
        <v>#DIV/0!</v>
      </c>
      <c r="K463" s="687" t="e">
        <f t="shared" si="59"/>
        <v>#DIV/0!</v>
      </c>
      <c r="L463" s="1035">
        <v>0</v>
      </c>
      <c r="M463" s="1035">
        <v>0</v>
      </c>
      <c r="N463" s="1035">
        <v>0</v>
      </c>
      <c r="O463" s="1037">
        <v>0</v>
      </c>
      <c r="P463" s="1038">
        <v>0</v>
      </c>
      <c r="Q463" s="1035">
        <v>0</v>
      </c>
    </row>
    <row r="464" spans="1:17">
      <c r="A464" s="684">
        <f t="shared" si="61"/>
        <v>44659</v>
      </c>
      <c r="B464" s="820">
        <v>0</v>
      </c>
      <c r="C464" s="1035">
        <v>0</v>
      </c>
      <c r="D464" s="1035">
        <v>0</v>
      </c>
      <c r="E464" s="1035">
        <v>0</v>
      </c>
      <c r="F464" s="1034">
        <v>0</v>
      </c>
      <c r="G464" s="1035">
        <v>0</v>
      </c>
      <c r="H464" s="1035">
        <v>0</v>
      </c>
      <c r="I464" s="1035">
        <v>0</v>
      </c>
      <c r="J464" s="527" t="e">
        <f t="shared" si="58"/>
        <v>#DIV/0!</v>
      </c>
      <c r="K464" s="687" t="e">
        <f t="shared" si="59"/>
        <v>#DIV/0!</v>
      </c>
      <c r="L464" s="1035">
        <v>0</v>
      </c>
      <c r="M464" s="1035">
        <v>0</v>
      </c>
      <c r="N464" s="1035">
        <v>0</v>
      </c>
      <c r="O464" s="1037">
        <v>0</v>
      </c>
      <c r="P464" s="1038">
        <v>0</v>
      </c>
      <c r="Q464" s="1035">
        <v>0</v>
      </c>
    </row>
    <row r="465" spans="1:17">
      <c r="A465" s="684">
        <f t="shared" ref="A465:A478" si="62">A464+1</f>
        <v>44660</v>
      </c>
      <c r="B465" s="820">
        <v>0</v>
      </c>
      <c r="C465" s="1035">
        <v>0</v>
      </c>
      <c r="D465" s="1035">
        <v>0</v>
      </c>
      <c r="E465" s="1035">
        <v>0</v>
      </c>
      <c r="F465" s="1034">
        <v>0</v>
      </c>
      <c r="G465" s="1035">
        <v>0</v>
      </c>
      <c r="H465" s="1035">
        <v>0</v>
      </c>
      <c r="I465" s="1035">
        <v>0</v>
      </c>
      <c r="J465" s="527" t="e">
        <f t="shared" si="58"/>
        <v>#DIV/0!</v>
      </c>
      <c r="K465" s="687" t="e">
        <f t="shared" si="59"/>
        <v>#DIV/0!</v>
      </c>
      <c r="L465" s="1035">
        <v>0</v>
      </c>
      <c r="M465" s="1035">
        <v>0</v>
      </c>
      <c r="N465" s="1035">
        <v>0</v>
      </c>
      <c r="O465" s="1037">
        <v>0</v>
      </c>
      <c r="P465" s="1038">
        <v>0</v>
      </c>
      <c r="Q465" s="1035">
        <v>0</v>
      </c>
    </row>
    <row r="466" spans="1:17">
      <c r="A466" s="684">
        <f t="shared" si="62"/>
        <v>44661</v>
      </c>
      <c r="B466" s="820">
        <v>0</v>
      </c>
      <c r="C466" s="1035">
        <v>0</v>
      </c>
      <c r="D466" s="1035">
        <v>0</v>
      </c>
      <c r="E466" s="1035">
        <v>0</v>
      </c>
      <c r="F466" s="1034">
        <v>0</v>
      </c>
      <c r="G466" s="1035">
        <v>0</v>
      </c>
      <c r="H466" s="1035">
        <v>0</v>
      </c>
      <c r="I466" s="1035">
        <v>0</v>
      </c>
      <c r="J466" s="527" t="e">
        <f t="shared" si="58"/>
        <v>#DIV/0!</v>
      </c>
      <c r="K466" s="687" t="e">
        <f t="shared" si="59"/>
        <v>#DIV/0!</v>
      </c>
      <c r="L466" s="1035">
        <v>0</v>
      </c>
      <c r="M466" s="1035">
        <v>0</v>
      </c>
      <c r="N466" s="1035">
        <v>0</v>
      </c>
      <c r="O466" s="1037">
        <v>0</v>
      </c>
      <c r="P466" s="1038">
        <v>0</v>
      </c>
      <c r="Q466" s="1035">
        <v>0</v>
      </c>
    </row>
    <row r="467" spans="1:17">
      <c r="A467" s="684">
        <f t="shared" si="62"/>
        <v>44662</v>
      </c>
      <c r="B467" s="820">
        <v>0</v>
      </c>
      <c r="C467" s="1035">
        <v>0</v>
      </c>
      <c r="D467" s="1035">
        <v>0</v>
      </c>
      <c r="E467" s="1035">
        <v>0</v>
      </c>
      <c r="F467" s="1034">
        <v>0</v>
      </c>
      <c r="G467" s="1035">
        <v>0</v>
      </c>
      <c r="H467" s="1035">
        <v>0</v>
      </c>
      <c r="I467" s="1035">
        <v>0</v>
      </c>
      <c r="J467" s="527" t="e">
        <f t="shared" si="58"/>
        <v>#DIV/0!</v>
      </c>
      <c r="K467" s="687" t="e">
        <f t="shared" si="59"/>
        <v>#DIV/0!</v>
      </c>
      <c r="L467" s="1035">
        <v>0</v>
      </c>
      <c r="M467" s="1035">
        <v>0</v>
      </c>
      <c r="N467" s="1035">
        <v>0</v>
      </c>
      <c r="O467" s="1037">
        <v>0</v>
      </c>
      <c r="P467" s="1038">
        <v>0</v>
      </c>
      <c r="Q467" s="1035">
        <v>0</v>
      </c>
    </row>
    <row r="468" spans="1:17">
      <c r="A468" s="684">
        <f t="shared" si="62"/>
        <v>44663</v>
      </c>
      <c r="B468" s="820">
        <v>0</v>
      </c>
      <c r="C468" s="1035">
        <v>0</v>
      </c>
      <c r="D468" s="1035">
        <v>0</v>
      </c>
      <c r="E468" s="1035">
        <v>0</v>
      </c>
      <c r="F468" s="1034">
        <v>0</v>
      </c>
      <c r="G468" s="1035">
        <v>0</v>
      </c>
      <c r="H468" s="1035">
        <v>0</v>
      </c>
      <c r="I468" s="1035">
        <v>0</v>
      </c>
      <c r="J468" s="527" t="e">
        <f t="shared" si="58"/>
        <v>#DIV/0!</v>
      </c>
      <c r="K468" s="687" t="e">
        <f t="shared" si="59"/>
        <v>#DIV/0!</v>
      </c>
      <c r="L468" s="1035">
        <v>0</v>
      </c>
      <c r="M468" s="1035">
        <v>0</v>
      </c>
      <c r="N468" s="1035">
        <v>0</v>
      </c>
      <c r="O468" s="1037">
        <v>0</v>
      </c>
      <c r="P468" s="1038">
        <v>0</v>
      </c>
      <c r="Q468" s="1035">
        <v>0</v>
      </c>
    </row>
    <row r="469" spans="1:17">
      <c r="A469" s="684">
        <f t="shared" si="62"/>
        <v>44664</v>
      </c>
      <c r="B469" s="820">
        <v>0</v>
      </c>
      <c r="C469" s="1035">
        <v>0</v>
      </c>
      <c r="D469" s="1035">
        <v>0</v>
      </c>
      <c r="E469" s="1035">
        <v>0</v>
      </c>
      <c r="F469" s="1034">
        <v>0</v>
      </c>
      <c r="G469" s="1035">
        <v>0</v>
      </c>
      <c r="H469" s="1035">
        <v>0</v>
      </c>
      <c r="I469" s="1035">
        <v>0</v>
      </c>
      <c r="J469" s="527" t="e">
        <f t="shared" si="58"/>
        <v>#DIV/0!</v>
      </c>
      <c r="K469" s="687" t="e">
        <f t="shared" si="59"/>
        <v>#DIV/0!</v>
      </c>
      <c r="L469" s="1035">
        <v>0</v>
      </c>
      <c r="M469" s="1035">
        <v>0</v>
      </c>
      <c r="N469" s="1035">
        <v>0</v>
      </c>
      <c r="O469" s="1037">
        <v>0</v>
      </c>
      <c r="P469" s="1038">
        <v>0</v>
      </c>
      <c r="Q469" s="1035">
        <v>0</v>
      </c>
    </row>
    <row r="470" spans="1:17">
      <c r="A470" s="684">
        <f t="shared" si="62"/>
        <v>44665</v>
      </c>
      <c r="B470" s="820">
        <v>0</v>
      </c>
      <c r="C470" s="1035">
        <v>0</v>
      </c>
      <c r="D470" s="1035">
        <v>0</v>
      </c>
      <c r="E470" s="1035">
        <v>0</v>
      </c>
      <c r="F470" s="1034">
        <v>0</v>
      </c>
      <c r="G470" s="1035">
        <v>0</v>
      </c>
      <c r="H470" s="1035">
        <v>0</v>
      </c>
      <c r="I470" s="1035">
        <v>0</v>
      </c>
      <c r="J470" s="527" t="e">
        <f t="shared" si="58"/>
        <v>#DIV/0!</v>
      </c>
      <c r="K470" s="687" t="e">
        <f t="shared" si="59"/>
        <v>#DIV/0!</v>
      </c>
      <c r="L470" s="1035">
        <v>0</v>
      </c>
      <c r="M470" s="1035">
        <v>0</v>
      </c>
      <c r="N470" s="1035">
        <v>0</v>
      </c>
      <c r="O470" s="1037">
        <v>0</v>
      </c>
      <c r="P470" s="1038">
        <v>0</v>
      </c>
      <c r="Q470" s="1035">
        <v>0</v>
      </c>
    </row>
    <row r="471" spans="1:17">
      <c r="A471" s="684">
        <f t="shared" si="62"/>
        <v>44666</v>
      </c>
      <c r="B471" s="820">
        <v>0</v>
      </c>
      <c r="C471" s="1035">
        <v>0</v>
      </c>
      <c r="D471" s="1035">
        <v>0</v>
      </c>
      <c r="E471" s="1035">
        <v>0</v>
      </c>
      <c r="F471" s="1034">
        <v>0</v>
      </c>
      <c r="G471" s="1035">
        <v>0</v>
      </c>
      <c r="H471" s="1035">
        <v>0</v>
      </c>
      <c r="I471" s="1035">
        <v>0</v>
      </c>
      <c r="J471" s="527" t="e">
        <f t="shared" si="58"/>
        <v>#DIV/0!</v>
      </c>
      <c r="K471" s="687" t="e">
        <f t="shared" si="59"/>
        <v>#DIV/0!</v>
      </c>
      <c r="L471" s="1035">
        <v>0</v>
      </c>
      <c r="M471" s="1035">
        <v>0</v>
      </c>
      <c r="N471" s="1035">
        <v>0</v>
      </c>
      <c r="O471" s="1037">
        <v>0</v>
      </c>
      <c r="P471" s="1038">
        <v>0</v>
      </c>
      <c r="Q471" s="1035">
        <v>0</v>
      </c>
    </row>
    <row r="472" spans="1:17">
      <c r="A472" s="684">
        <f t="shared" si="62"/>
        <v>44667</v>
      </c>
      <c r="B472" s="820">
        <v>0</v>
      </c>
      <c r="C472" s="1035">
        <v>0</v>
      </c>
      <c r="D472" s="1035">
        <v>0</v>
      </c>
      <c r="E472" s="1035">
        <v>0</v>
      </c>
      <c r="F472" s="1034">
        <v>0</v>
      </c>
      <c r="G472" s="1035">
        <v>0</v>
      </c>
      <c r="H472" s="1035">
        <v>0</v>
      </c>
      <c r="I472" s="1035">
        <v>0</v>
      </c>
      <c r="J472" s="527" t="e">
        <f t="shared" si="58"/>
        <v>#DIV/0!</v>
      </c>
      <c r="K472" s="687" t="e">
        <f t="shared" si="59"/>
        <v>#DIV/0!</v>
      </c>
      <c r="L472" s="1035">
        <v>0</v>
      </c>
      <c r="M472" s="1035">
        <v>0</v>
      </c>
      <c r="N472" s="1035">
        <v>0</v>
      </c>
      <c r="O472" s="1037">
        <v>0</v>
      </c>
      <c r="P472" s="1038">
        <v>0</v>
      </c>
      <c r="Q472" s="1035">
        <v>0</v>
      </c>
    </row>
    <row r="473" spans="1:17">
      <c r="A473" s="684">
        <f t="shared" si="62"/>
        <v>44668</v>
      </c>
      <c r="B473" s="820">
        <v>0</v>
      </c>
      <c r="C473" s="1035">
        <v>0</v>
      </c>
      <c r="D473" s="1035">
        <v>0</v>
      </c>
      <c r="E473" s="1035">
        <v>0</v>
      </c>
      <c r="F473" s="1034">
        <v>0</v>
      </c>
      <c r="G473" s="1035">
        <v>0</v>
      </c>
      <c r="H473" s="1035">
        <v>0</v>
      </c>
      <c r="I473" s="1035">
        <v>0</v>
      </c>
      <c r="J473" s="527" t="e">
        <f t="shared" si="58"/>
        <v>#DIV/0!</v>
      </c>
      <c r="K473" s="687" t="e">
        <f t="shared" si="59"/>
        <v>#DIV/0!</v>
      </c>
      <c r="L473" s="1035">
        <v>0</v>
      </c>
      <c r="M473" s="1035">
        <v>0</v>
      </c>
      <c r="N473" s="1035">
        <v>0</v>
      </c>
      <c r="O473" s="1037">
        <v>0</v>
      </c>
      <c r="P473" s="1038">
        <v>0</v>
      </c>
      <c r="Q473" s="1035">
        <v>0</v>
      </c>
    </row>
    <row r="474" spans="1:17">
      <c r="A474" s="684">
        <f t="shared" si="62"/>
        <v>44669</v>
      </c>
      <c r="B474" s="820">
        <v>0</v>
      </c>
      <c r="C474" s="1035">
        <v>0</v>
      </c>
      <c r="D474" s="1035">
        <v>0</v>
      </c>
      <c r="E474" s="1035">
        <v>0</v>
      </c>
      <c r="F474" s="1034">
        <v>0</v>
      </c>
      <c r="G474" s="1035">
        <v>0</v>
      </c>
      <c r="H474" s="1035">
        <v>0</v>
      </c>
      <c r="I474" s="1035">
        <v>0</v>
      </c>
      <c r="J474" s="527" t="e">
        <f t="shared" si="58"/>
        <v>#DIV/0!</v>
      </c>
      <c r="K474" s="687" t="e">
        <f t="shared" si="59"/>
        <v>#DIV/0!</v>
      </c>
      <c r="L474" s="1035">
        <v>0</v>
      </c>
      <c r="M474" s="1035">
        <v>0</v>
      </c>
      <c r="N474" s="1035">
        <v>0</v>
      </c>
      <c r="O474" s="1037">
        <v>0</v>
      </c>
      <c r="P474" s="1038">
        <v>0</v>
      </c>
      <c r="Q474" s="1035">
        <v>0</v>
      </c>
    </row>
    <row r="475" spans="1:17">
      <c r="A475" s="684">
        <f t="shared" si="62"/>
        <v>44670</v>
      </c>
      <c r="B475" s="820">
        <v>0</v>
      </c>
      <c r="C475" s="1035">
        <v>0</v>
      </c>
      <c r="D475" s="1035">
        <v>0</v>
      </c>
      <c r="E475" s="1035">
        <v>0</v>
      </c>
      <c r="F475" s="1034">
        <v>0</v>
      </c>
      <c r="G475" s="1035">
        <v>0</v>
      </c>
      <c r="H475" s="1035">
        <v>0</v>
      </c>
      <c r="I475" s="1035">
        <v>0</v>
      </c>
      <c r="J475" s="527" t="e">
        <f t="shared" si="58"/>
        <v>#DIV/0!</v>
      </c>
      <c r="K475" s="687" t="e">
        <f t="shared" si="59"/>
        <v>#DIV/0!</v>
      </c>
      <c r="L475" s="1035">
        <v>0</v>
      </c>
      <c r="M475" s="1035">
        <v>0</v>
      </c>
      <c r="N475" s="1035">
        <v>0</v>
      </c>
      <c r="O475" s="1037">
        <v>0</v>
      </c>
      <c r="P475" s="1038">
        <v>0</v>
      </c>
      <c r="Q475" s="1035">
        <v>0</v>
      </c>
    </row>
    <row r="476" spans="1:17">
      <c r="A476" s="684">
        <f t="shared" si="62"/>
        <v>44671</v>
      </c>
      <c r="B476" s="820">
        <v>0</v>
      </c>
      <c r="C476" s="1035">
        <v>0</v>
      </c>
      <c r="D476" s="1035">
        <v>0</v>
      </c>
      <c r="E476" s="1035">
        <v>0</v>
      </c>
      <c r="F476" s="1034">
        <v>0</v>
      </c>
      <c r="G476" s="1035">
        <v>0</v>
      </c>
      <c r="H476" s="1035">
        <v>0</v>
      </c>
      <c r="I476" s="1035">
        <v>0</v>
      </c>
      <c r="J476" s="527" t="e">
        <f t="shared" si="58"/>
        <v>#DIV/0!</v>
      </c>
      <c r="K476" s="687" t="e">
        <f t="shared" si="59"/>
        <v>#DIV/0!</v>
      </c>
      <c r="L476" s="1035">
        <v>0</v>
      </c>
      <c r="M476" s="1035">
        <v>0</v>
      </c>
      <c r="N476" s="1035">
        <v>0</v>
      </c>
      <c r="O476" s="1037">
        <v>0</v>
      </c>
      <c r="P476" s="1038">
        <v>0</v>
      </c>
      <c r="Q476" s="1035">
        <v>0</v>
      </c>
    </row>
    <row r="477" spans="1:17">
      <c r="A477" s="684">
        <f t="shared" si="62"/>
        <v>44672</v>
      </c>
      <c r="B477" s="820">
        <v>0</v>
      </c>
      <c r="C477" s="1035">
        <v>0</v>
      </c>
      <c r="D477" s="1035">
        <v>0</v>
      </c>
      <c r="E477" s="1035">
        <v>0</v>
      </c>
      <c r="F477" s="1034">
        <v>0</v>
      </c>
      <c r="G477" s="1035">
        <v>0</v>
      </c>
      <c r="H477" s="1035">
        <v>0</v>
      </c>
      <c r="I477" s="1035">
        <v>0</v>
      </c>
      <c r="J477" s="527" t="e">
        <f t="shared" si="58"/>
        <v>#DIV/0!</v>
      </c>
      <c r="K477" s="687" t="e">
        <f t="shared" si="59"/>
        <v>#DIV/0!</v>
      </c>
      <c r="L477" s="1035">
        <v>0</v>
      </c>
      <c r="M477" s="1035">
        <v>0</v>
      </c>
      <c r="N477" s="1035">
        <v>0</v>
      </c>
      <c r="O477" s="1037">
        <v>0</v>
      </c>
      <c r="P477" s="1038">
        <v>0</v>
      </c>
      <c r="Q477" s="1035">
        <v>0</v>
      </c>
    </row>
    <row r="478" spans="1:17">
      <c r="A478" s="684">
        <f t="shared" si="62"/>
        <v>44673</v>
      </c>
      <c r="B478" s="820">
        <v>0</v>
      </c>
      <c r="C478" s="1035">
        <v>0</v>
      </c>
      <c r="D478" s="1035">
        <v>0</v>
      </c>
      <c r="E478" s="1035">
        <v>0</v>
      </c>
      <c r="F478" s="1034">
        <v>0</v>
      </c>
      <c r="G478" s="1035">
        <v>0</v>
      </c>
      <c r="H478" s="1035">
        <v>0</v>
      </c>
      <c r="I478" s="1035">
        <v>0</v>
      </c>
      <c r="J478" s="527" t="e">
        <f t="shared" si="58"/>
        <v>#DIV/0!</v>
      </c>
      <c r="K478" s="687" t="e">
        <f t="shared" si="59"/>
        <v>#DIV/0!</v>
      </c>
      <c r="L478" s="1035">
        <v>0</v>
      </c>
      <c r="M478" s="1035">
        <v>0</v>
      </c>
      <c r="N478" s="1035">
        <v>0</v>
      </c>
      <c r="O478" s="1037">
        <v>0</v>
      </c>
      <c r="P478" s="1038">
        <v>0</v>
      </c>
      <c r="Q478" s="1035">
        <v>0</v>
      </c>
    </row>
    <row r="479" spans="1:17">
      <c r="A479" s="684">
        <f t="shared" ref="A479:A492" si="63">A478+1</f>
        <v>44674</v>
      </c>
      <c r="B479" s="820">
        <v>0</v>
      </c>
      <c r="C479" s="1035">
        <v>0</v>
      </c>
      <c r="D479" s="1035">
        <v>0</v>
      </c>
      <c r="E479" s="1035">
        <v>0</v>
      </c>
      <c r="F479" s="1034">
        <v>0</v>
      </c>
      <c r="G479" s="1035">
        <v>0</v>
      </c>
      <c r="H479" s="1035">
        <v>0</v>
      </c>
      <c r="I479" s="1035">
        <v>0</v>
      </c>
      <c r="J479" s="527" t="e">
        <f t="shared" si="58"/>
        <v>#DIV/0!</v>
      </c>
      <c r="K479" s="687" t="e">
        <f t="shared" si="59"/>
        <v>#DIV/0!</v>
      </c>
      <c r="L479" s="1035">
        <v>0</v>
      </c>
      <c r="M479" s="1035">
        <v>0</v>
      </c>
      <c r="N479" s="1035">
        <v>0</v>
      </c>
      <c r="O479" s="1037">
        <v>0</v>
      </c>
      <c r="P479" s="1038">
        <v>0</v>
      </c>
      <c r="Q479" s="1035">
        <v>0</v>
      </c>
    </row>
    <row r="480" spans="1:17">
      <c r="A480" s="684">
        <f t="shared" si="63"/>
        <v>44675</v>
      </c>
      <c r="B480" s="820">
        <v>0</v>
      </c>
      <c r="C480" s="1035">
        <v>0</v>
      </c>
      <c r="D480" s="1035">
        <v>0</v>
      </c>
      <c r="E480" s="1035">
        <v>0</v>
      </c>
      <c r="F480" s="1034">
        <v>0</v>
      </c>
      <c r="G480" s="1035">
        <v>0</v>
      </c>
      <c r="H480" s="1035">
        <v>0</v>
      </c>
      <c r="I480" s="1035">
        <v>0</v>
      </c>
      <c r="J480" s="527" t="e">
        <f t="shared" si="58"/>
        <v>#DIV/0!</v>
      </c>
      <c r="K480" s="687" t="e">
        <f t="shared" si="59"/>
        <v>#DIV/0!</v>
      </c>
      <c r="L480" s="1035">
        <v>0</v>
      </c>
      <c r="M480" s="1035">
        <v>0</v>
      </c>
      <c r="N480" s="1035">
        <v>0</v>
      </c>
      <c r="O480" s="1037">
        <v>0</v>
      </c>
      <c r="P480" s="1038">
        <v>0</v>
      </c>
      <c r="Q480" s="1035">
        <v>0</v>
      </c>
    </row>
    <row r="481" spans="1:17">
      <c r="A481" s="684">
        <f t="shared" si="63"/>
        <v>44676</v>
      </c>
      <c r="B481" s="820">
        <v>0</v>
      </c>
      <c r="C481" s="1035">
        <v>0</v>
      </c>
      <c r="D481" s="1035">
        <v>0</v>
      </c>
      <c r="E481" s="1035">
        <v>0</v>
      </c>
      <c r="F481" s="1034">
        <v>0</v>
      </c>
      <c r="G481" s="1035">
        <v>0</v>
      </c>
      <c r="H481" s="1035">
        <v>0</v>
      </c>
      <c r="I481" s="1035">
        <v>0</v>
      </c>
      <c r="J481" s="527" t="e">
        <f t="shared" si="58"/>
        <v>#DIV/0!</v>
      </c>
      <c r="K481" s="687" t="e">
        <f t="shared" si="59"/>
        <v>#DIV/0!</v>
      </c>
      <c r="L481" s="1035">
        <v>0</v>
      </c>
      <c r="M481" s="1035">
        <v>0</v>
      </c>
      <c r="N481" s="1035">
        <v>0</v>
      </c>
      <c r="O481" s="1037">
        <v>0</v>
      </c>
      <c r="P481" s="1038">
        <v>0</v>
      </c>
      <c r="Q481" s="1035">
        <v>0</v>
      </c>
    </row>
    <row r="482" spans="1:17">
      <c r="A482" s="684">
        <f t="shared" si="63"/>
        <v>44677</v>
      </c>
      <c r="B482" s="820">
        <v>0</v>
      </c>
      <c r="C482" s="1035">
        <v>0</v>
      </c>
      <c r="D482" s="1035">
        <v>0</v>
      </c>
      <c r="E482" s="1035">
        <v>0</v>
      </c>
      <c r="F482" s="1034">
        <v>0</v>
      </c>
      <c r="G482" s="1035">
        <v>0</v>
      </c>
      <c r="H482" s="1035">
        <v>0</v>
      </c>
      <c r="I482" s="1035">
        <v>0</v>
      </c>
      <c r="J482" s="527" t="e">
        <f t="shared" si="58"/>
        <v>#DIV/0!</v>
      </c>
      <c r="K482" s="687" t="e">
        <f t="shared" si="59"/>
        <v>#DIV/0!</v>
      </c>
      <c r="L482" s="1035">
        <v>0</v>
      </c>
      <c r="M482" s="1035">
        <v>0</v>
      </c>
      <c r="N482" s="1035">
        <v>0</v>
      </c>
      <c r="O482" s="1037">
        <v>0</v>
      </c>
      <c r="P482" s="1038">
        <v>0</v>
      </c>
      <c r="Q482" s="1035">
        <v>0</v>
      </c>
    </row>
    <row r="483" spans="1:17">
      <c r="A483" s="684">
        <f t="shared" si="63"/>
        <v>44678</v>
      </c>
      <c r="B483" s="820">
        <v>0</v>
      </c>
      <c r="C483" s="1035">
        <v>0</v>
      </c>
      <c r="D483" s="1035">
        <v>0</v>
      </c>
      <c r="E483" s="1035">
        <v>0</v>
      </c>
      <c r="F483" s="1034">
        <v>0</v>
      </c>
      <c r="G483" s="1035">
        <v>0</v>
      </c>
      <c r="H483" s="1035">
        <v>0</v>
      </c>
      <c r="I483" s="1035">
        <v>0</v>
      </c>
      <c r="J483" s="527" t="e">
        <f t="shared" si="58"/>
        <v>#DIV/0!</v>
      </c>
      <c r="K483" s="687" t="e">
        <f t="shared" si="59"/>
        <v>#DIV/0!</v>
      </c>
      <c r="L483" s="1035">
        <v>0</v>
      </c>
      <c r="M483" s="1035">
        <v>0</v>
      </c>
      <c r="N483" s="1035">
        <v>0</v>
      </c>
      <c r="O483" s="1037">
        <v>0</v>
      </c>
      <c r="P483" s="1038">
        <v>0</v>
      </c>
      <c r="Q483" s="1035">
        <v>0</v>
      </c>
    </row>
    <row r="484" spans="1:17">
      <c r="A484" s="684">
        <f t="shared" si="63"/>
        <v>44679</v>
      </c>
      <c r="B484" s="820">
        <v>0</v>
      </c>
      <c r="C484" s="1035">
        <v>0</v>
      </c>
      <c r="D484" s="1035">
        <v>0</v>
      </c>
      <c r="E484" s="1035">
        <v>0</v>
      </c>
      <c r="F484" s="1034">
        <v>0</v>
      </c>
      <c r="G484" s="1035">
        <v>0</v>
      </c>
      <c r="H484" s="1035">
        <v>0</v>
      </c>
      <c r="I484" s="1035">
        <v>0</v>
      </c>
      <c r="J484" s="527" t="e">
        <f t="shared" si="58"/>
        <v>#DIV/0!</v>
      </c>
      <c r="K484" s="687" t="e">
        <f t="shared" si="59"/>
        <v>#DIV/0!</v>
      </c>
      <c r="L484" s="1035">
        <v>0</v>
      </c>
      <c r="M484" s="1035">
        <v>0</v>
      </c>
      <c r="N484" s="1035">
        <v>0</v>
      </c>
      <c r="O484" s="1037">
        <v>0</v>
      </c>
      <c r="P484" s="1038">
        <v>0</v>
      </c>
      <c r="Q484" s="1035">
        <v>0</v>
      </c>
    </row>
    <row r="485" spans="1:17">
      <c r="A485" s="684">
        <f t="shared" si="63"/>
        <v>44680</v>
      </c>
      <c r="B485" s="820">
        <v>0</v>
      </c>
      <c r="C485" s="1035">
        <v>0</v>
      </c>
      <c r="D485" s="1035">
        <v>0</v>
      </c>
      <c r="E485" s="1035">
        <v>0</v>
      </c>
      <c r="F485" s="1034">
        <v>0</v>
      </c>
      <c r="G485" s="1035">
        <v>0</v>
      </c>
      <c r="H485" s="1035">
        <v>0</v>
      </c>
      <c r="I485" s="1035">
        <v>0</v>
      </c>
      <c r="J485" s="527" t="e">
        <f t="shared" si="58"/>
        <v>#DIV/0!</v>
      </c>
      <c r="K485" s="687" t="e">
        <f t="shared" si="59"/>
        <v>#DIV/0!</v>
      </c>
      <c r="L485" s="1035">
        <v>0</v>
      </c>
      <c r="M485" s="1035">
        <v>0</v>
      </c>
      <c r="N485" s="1035">
        <v>0</v>
      </c>
      <c r="O485" s="1037">
        <v>0</v>
      </c>
      <c r="P485" s="1038">
        <v>0</v>
      </c>
      <c r="Q485" s="1035">
        <v>0</v>
      </c>
    </row>
    <row r="486" spans="1:17">
      <c r="A486" s="684">
        <f t="shared" si="63"/>
        <v>44681</v>
      </c>
      <c r="B486" s="820">
        <v>0</v>
      </c>
      <c r="C486" s="1035">
        <v>0</v>
      </c>
      <c r="D486" s="1035">
        <v>0</v>
      </c>
      <c r="E486" s="1035">
        <v>0</v>
      </c>
      <c r="F486" s="1034">
        <v>0</v>
      </c>
      <c r="G486" s="1035">
        <v>0</v>
      </c>
      <c r="H486" s="1035">
        <v>0</v>
      </c>
      <c r="I486" s="1035">
        <v>0</v>
      </c>
      <c r="J486" s="527" t="e">
        <f t="shared" si="58"/>
        <v>#DIV/0!</v>
      </c>
      <c r="K486" s="687" t="e">
        <f t="shared" si="59"/>
        <v>#DIV/0!</v>
      </c>
      <c r="L486" s="1035">
        <v>0</v>
      </c>
      <c r="M486" s="1035">
        <v>0</v>
      </c>
      <c r="N486" s="1035">
        <v>0</v>
      </c>
      <c r="O486" s="1037">
        <v>0</v>
      </c>
      <c r="P486" s="1038">
        <v>0</v>
      </c>
      <c r="Q486" s="1035">
        <v>0</v>
      </c>
    </row>
    <row r="487" spans="1:17">
      <c r="A487" s="684">
        <f t="shared" si="63"/>
        <v>44682</v>
      </c>
      <c r="B487" s="820">
        <v>0</v>
      </c>
      <c r="C487" s="1035">
        <v>0</v>
      </c>
      <c r="D487" s="1035">
        <v>0</v>
      </c>
      <c r="E487" s="1035">
        <v>0</v>
      </c>
      <c r="F487" s="1034">
        <v>0</v>
      </c>
      <c r="G487" s="1035">
        <v>0</v>
      </c>
      <c r="H487" s="1035">
        <v>0</v>
      </c>
      <c r="I487" s="1035">
        <v>0</v>
      </c>
      <c r="J487" s="527" t="e">
        <f t="shared" si="58"/>
        <v>#DIV/0!</v>
      </c>
      <c r="K487" s="687" t="e">
        <f t="shared" si="59"/>
        <v>#DIV/0!</v>
      </c>
      <c r="L487" s="1035">
        <v>0</v>
      </c>
      <c r="M487" s="1035">
        <v>0</v>
      </c>
      <c r="N487" s="1035">
        <v>0</v>
      </c>
      <c r="O487" s="1037">
        <v>0</v>
      </c>
      <c r="P487" s="1038">
        <v>0</v>
      </c>
      <c r="Q487" s="1035">
        <v>0</v>
      </c>
    </row>
    <row r="488" spans="1:17">
      <c r="A488" s="684">
        <f t="shared" si="63"/>
        <v>44683</v>
      </c>
      <c r="B488" s="820">
        <v>0</v>
      </c>
      <c r="C488" s="1035">
        <v>0</v>
      </c>
      <c r="D488" s="1035">
        <v>0</v>
      </c>
      <c r="E488" s="1035">
        <v>0</v>
      </c>
      <c r="F488" s="1034">
        <v>0</v>
      </c>
      <c r="G488" s="1035">
        <v>0</v>
      </c>
      <c r="H488" s="1035">
        <v>0</v>
      </c>
      <c r="I488" s="1035">
        <v>0</v>
      </c>
      <c r="J488" s="527" t="e">
        <f t="shared" si="58"/>
        <v>#DIV/0!</v>
      </c>
      <c r="K488" s="687" t="e">
        <f t="shared" si="59"/>
        <v>#DIV/0!</v>
      </c>
      <c r="L488" s="1035">
        <v>0</v>
      </c>
      <c r="M488" s="1035">
        <v>0</v>
      </c>
      <c r="N488" s="1035">
        <v>0</v>
      </c>
      <c r="O488" s="1037">
        <v>0</v>
      </c>
      <c r="P488" s="1038">
        <v>0</v>
      </c>
      <c r="Q488" s="1035">
        <v>0</v>
      </c>
    </row>
    <row r="489" spans="1:17">
      <c r="A489" s="684">
        <f t="shared" si="63"/>
        <v>44684</v>
      </c>
      <c r="B489" s="820">
        <v>0</v>
      </c>
      <c r="C489" s="1035">
        <v>0</v>
      </c>
      <c r="D489" s="1035">
        <v>0</v>
      </c>
      <c r="E489" s="1035">
        <v>0</v>
      </c>
      <c r="F489" s="1034">
        <v>0</v>
      </c>
      <c r="G489" s="1035">
        <v>0</v>
      </c>
      <c r="H489" s="1035">
        <v>0</v>
      </c>
      <c r="I489" s="1035">
        <v>0</v>
      </c>
      <c r="J489" s="527" t="e">
        <f t="shared" si="58"/>
        <v>#DIV/0!</v>
      </c>
      <c r="K489" s="687" t="e">
        <f t="shared" si="59"/>
        <v>#DIV/0!</v>
      </c>
      <c r="L489" s="1035">
        <v>0</v>
      </c>
      <c r="M489" s="1035">
        <v>0</v>
      </c>
      <c r="N489" s="1035">
        <v>0</v>
      </c>
      <c r="O489" s="1037">
        <v>0</v>
      </c>
      <c r="P489" s="1038">
        <v>0</v>
      </c>
      <c r="Q489" s="1035">
        <v>0</v>
      </c>
    </row>
    <row r="490" spans="1:17">
      <c r="A490" s="684">
        <f t="shared" si="63"/>
        <v>44685</v>
      </c>
      <c r="B490" s="820">
        <v>0</v>
      </c>
      <c r="C490" s="1035">
        <v>0</v>
      </c>
      <c r="D490" s="1035">
        <v>0</v>
      </c>
      <c r="E490" s="1035">
        <v>0</v>
      </c>
      <c r="F490" s="1034">
        <v>0</v>
      </c>
      <c r="G490" s="1035">
        <v>0</v>
      </c>
      <c r="H490" s="1035">
        <v>0</v>
      </c>
      <c r="I490" s="1035">
        <v>0</v>
      </c>
      <c r="J490" s="527" t="e">
        <f t="shared" si="58"/>
        <v>#DIV/0!</v>
      </c>
      <c r="K490" s="687" t="e">
        <f t="shared" si="59"/>
        <v>#DIV/0!</v>
      </c>
      <c r="L490" s="1035">
        <v>0</v>
      </c>
      <c r="M490" s="1035">
        <v>0</v>
      </c>
      <c r="N490" s="1035">
        <v>0</v>
      </c>
      <c r="O490" s="1037">
        <v>0</v>
      </c>
      <c r="P490" s="1038">
        <v>0</v>
      </c>
      <c r="Q490" s="1035">
        <v>0</v>
      </c>
    </row>
    <row r="491" spans="1:17">
      <c r="A491" s="684">
        <f t="shared" si="63"/>
        <v>44686</v>
      </c>
      <c r="B491" s="820">
        <v>0</v>
      </c>
      <c r="C491" s="1035">
        <v>0</v>
      </c>
      <c r="D491" s="1035">
        <v>0</v>
      </c>
      <c r="E491" s="1035">
        <v>0</v>
      </c>
      <c r="F491" s="1034">
        <v>0</v>
      </c>
      <c r="G491" s="1035">
        <v>0</v>
      </c>
      <c r="H491" s="1035">
        <v>0</v>
      </c>
      <c r="I491" s="1035">
        <v>0</v>
      </c>
      <c r="J491" s="527" t="e">
        <f t="shared" si="58"/>
        <v>#DIV/0!</v>
      </c>
      <c r="K491" s="687" t="e">
        <f t="shared" si="59"/>
        <v>#DIV/0!</v>
      </c>
      <c r="L491" s="1035">
        <v>0</v>
      </c>
      <c r="M491" s="1035">
        <v>0</v>
      </c>
      <c r="N491" s="1035">
        <v>0</v>
      </c>
      <c r="O491" s="1037">
        <v>0</v>
      </c>
      <c r="P491" s="1038">
        <v>0</v>
      </c>
      <c r="Q491" s="1035">
        <v>0</v>
      </c>
    </row>
    <row r="492" spans="1:17">
      <c r="A492" s="684">
        <f t="shared" si="63"/>
        <v>44687</v>
      </c>
      <c r="B492" s="820">
        <v>0</v>
      </c>
      <c r="C492" s="1035">
        <v>0</v>
      </c>
      <c r="D492" s="1035">
        <v>0</v>
      </c>
      <c r="E492" s="1035">
        <v>0</v>
      </c>
      <c r="F492" s="1034">
        <v>0</v>
      </c>
      <c r="G492" s="1035">
        <v>0</v>
      </c>
      <c r="H492" s="1035">
        <v>0</v>
      </c>
      <c r="I492" s="1035">
        <v>0</v>
      </c>
      <c r="J492" s="527" t="e">
        <f t="shared" si="58"/>
        <v>#DIV/0!</v>
      </c>
      <c r="K492" s="687" t="e">
        <f t="shared" si="59"/>
        <v>#DIV/0!</v>
      </c>
      <c r="L492" s="1035">
        <v>0</v>
      </c>
      <c r="M492" s="1035">
        <v>0</v>
      </c>
      <c r="N492" s="1035">
        <v>0</v>
      </c>
      <c r="O492" s="1037">
        <v>0</v>
      </c>
      <c r="P492" s="1038">
        <v>0</v>
      </c>
      <c r="Q492" s="1035">
        <v>0</v>
      </c>
    </row>
    <row r="493" spans="1:17">
      <c r="A493" s="684">
        <f t="shared" ref="A493:A499" si="64">A492+1</f>
        <v>44688</v>
      </c>
      <c r="B493" s="820">
        <v>0</v>
      </c>
      <c r="C493" s="1035">
        <v>0</v>
      </c>
      <c r="D493" s="1035">
        <v>0</v>
      </c>
      <c r="E493" s="1035">
        <v>0</v>
      </c>
      <c r="F493" s="1034">
        <v>0</v>
      </c>
      <c r="G493" s="1035">
        <v>0</v>
      </c>
      <c r="H493" s="1035">
        <v>0</v>
      </c>
      <c r="I493" s="1035">
        <v>0</v>
      </c>
      <c r="J493" s="527" t="e">
        <f t="shared" si="58"/>
        <v>#DIV/0!</v>
      </c>
      <c r="K493" s="687" t="e">
        <f t="shared" si="59"/>
        <v>#DIV/0!</v>
      </c>
      <c r="L493" s="1035">
        <v>0</v>
      </c>
      <c r="M493" s="1035">
        <v>0</v>
      </c>
      <c r="N493" s="1035">
        <v>0</v>
      </c>
      <c r="O493" s="1037">
        <v>0</v>
      </c>
      <c r="P493" s="1038">
        <v>0</v>
      </c>
      <c r="Q493" s="1035">
        <v>0</v>
      </c>
    </row>
    <row r="494" spans="1:17">
      <c r="A494" s="684">
        <f t="shared" si="64"/>
        <v>44689</v>
      </c>
      <c r="B494" s="820">
        <v>0</v>
      </c>
      <c r="C494" s="1035">
        <v>0</v>
      </c>
      <c r="D494" s="1035">
        <v>0</v>
      </c>
      <c r="E494" s="1035">
        <v>0</v>
      </c>
      <c r="F494" s="1034">
        <v>0</v>
      </c>
      <c r="G494" s="1035">
        <v>0</v>
      </c>
      <c r="H494" s="1035">
        <v>0</v>
      </c>
      <c r="I494" s="1035">
        <v>0</v>
      </c>
      <c r="J494" s="527" t="e">
        <f t="shared" si="58"/>
        <v>#DIV/0!</v>
      </c>
      <c r="K494" s="687" t="e">
        <f t="shared" si="59"/>
        <v>#DIV/0!</v>
      </c>
      <c r="L494" s="1035">
        <v>0</v>
      </c>
      <c r="M494" s="1035">
        <v>0</v>
      </c>
      <c r="N494" s="1035">
        <v>0</v>
      </c>
      <c r="O494" s="1037">
        <v>0</v>
      </c>
      <c r="P494" s="1038">
        <v>0</v>
      </c>
      <c r="Q494" s="1035">
        <v>0</v>
      </c>
    </row>
    <row r="495" spans="1:17">
      <c r="A495" s="684">
        <f t="shared" si="64"/>
        <v>44690</v>
      </c>
      <c r="B495" s="820">
        <v>0</v>
      </c>
      <c r="C495" s="1035">
        <v>0</v>
      </c>
      <c r="D495" s="1035">
        <v>0</v>
      </c>
      <c r="E495" s="1035">
        <v>0</v>
      </c>
      <c r="F495" s="1034">
        <v>0</v>
      </c>
      <c r="G495" s="1035">
        <v>0</v>
      </c>
      <c r="H495" s="1035">
        <v>0</v>
      </c>
      <c r="I495" s="1035">
        <v>0</v>
      </c>
      <c r="J495" s="527" t="e">
        <f t="shared" si="58"/>
        <v>#DIV/0!</v>
      </c>
      <c r="K495" s="687" t="e">
        <f t="shared" si="59"/>
        <v>#DIV/0!</v>
      </c>
      <c r="L495" s="1035">
        <v>0</v>
      </c>
      <c r="M495" s="1035">
        <v>0</v>
      </c>
      <c r="N495" s="1035">
        <v>0</v>
      </c>
      <c r="O495" s="1037">
        <v>0</v>
      </c>
      <c r="P495" s="1038">
        <v>0</v>
      </c>
      <c r="Q495" s="1035">
        <v>0</v>
      </c>
    </row>
    <row r="496" spans="1:17">
      <c r="A496" s="684">
        <f t="shared" si="64"/>
        <v>44691</v>
      </c>
      <c r="B496" s="820">
        <v>0</v>
      </c>
      <c r="C496" s="1035">
        <v>0</v>
      </c>
      <c r="D496" s="1035">
        <v>0</v>
      </c>
      <c r="E496" s="1035">
        <v>0</v>
      </c>
      <c r="F496" s="1034">
        <v>0</v>
      </c>
      <c r="G496" s="1035">
        <v>0</v>
      </c>
      <c r="H496" s="1035">
        <v>0</v>
      </c>
      <c r="I496" s="1035">
        <v>0</v>
      </c>
      <c r="J496" s="527" t="e">
        <f t="shared" si="58"/>
        <v>#DIV/0!</v>
      </c>
      <c r="K496" s="687" t="e">
        <f t="shared" si="59"/>
        <v>#DIV/0!</v>
      </c>
      <c r="L496" s="1035">
        <v>0</v>
      </c>
      <c r="M496" s="1035">
        <v>0</v>
      </c>
      <c r="N496" s="1035">
        <v>0</v>
      </c>
      <c r="O496" s="1037">
        <v>0</v>
      </c>
      <c r="P496" s="1038">
        <v>0</v>
      </c>
      <c r="Q496" s="1035">
        <v>0</v>
      </c>
    </row>
    <row r="497" spans="1:17">
      <c r="A497" s="684">
        <f t="shared" si="64"/>
        <v>44692</v>
      </c>
      <c r="B497" s="820">
        <v>0</v>
      </c>
      <c r="C497" s="1035">
        <v>0</v>
      </c>
      <c r="D497" s="1035">
        <v>0</v>
      </c>
      <c r="E497" s="1035">
        <v>0</v>
      </c>
      <c r="F497" s="1034">
        <v>0</v>
      </c>
      <c r="G497" s="1035">
        <v>0</v>
      </c>
      <c r="H497" s="1035">
        <v>0</v>
      </c>
      <c r="I497" s="1035">
        <v>0</v>
      </c>
      <c r="J497" s="527" t="e">
        <f t="shared" si="58"/>
        <v>#DIV/0!</v>
      </c>
      <c r="K497" s="687" t="e">
        <f t="shared" si="59"/>
        <v>#DIV/0!</v>
      </c>
      <c r="L497" s="1035">
        <v>0</v>
      </c>
      <c r="M497" s="1035">
        <v>0</v>
      </c>
      <c r="N497" s="1035">
        <v>0</v>
      </c>
      <c r="O497" s="1037">
        <v>0</v>
      </c>
      <c r="P497" s="1038">
        <v>0</v>
      </c>
      <c r="Q497" s="1035">
        <v>0</v>
      </c>
    </row>
    <row r="498" spans="1:17">
      <c r="A498" s="684">
        <f t="shared" si="64"/>
        <v>44693</v>
      </c>
      <c r="B498" s="820">
        <v>0</v>
      </c>
      <c r="C498" s="1035">
        <v>0</v>
      </c>
      <c r="D498" s="1035">
        <v>0</v>
      </c>
      <c r="E498" s="1035">
        <v>0</v>
      </c>
      <c r="F498" s="1034">
        <v>0</v>
      </c>
      <c r="G498" s="1035">
        <v>0</v>
      </c>
      <c r="H498" s="1035">
        <v>0</v>
      </c>
      <c r="I498" s="1035">
        <v>0</v>
      </c>
      <c r="J498" s="527" t="e">
        <f t="shared" si="58"/>
        <v>#DIV/0!</v>
      </c>
      <c r="K498" s="687" t="e">
        <f t="shared" si="59"/>
        <v>#DIV/0!</v>
      </c>
      <c r="L498" s="1035">
        <v>0</v>
      </c>
      <c r="M498" s="1035">
        <v>0</v>
      </c>
      <c r="N498" s="1035">
        <v>0</v>
      </c>
      <c r="O498" s="1037">
        <v>0</v>
      </c>
      <c r="P498" s="1038">
        <v>0</v>
      </c>
      <c r="Q498" s="1035">
        <v>0</v>
      </c>
    </row>
    <row r="499" spans="1:17">
      <c r="A499" s="684">
        <f t="shared" si="64"/>
        <v>44694</v>
      </c>
      <c r="B499" s="820">
        <v>0</v>
      </c>
      <c r="C499" s="1035">
        <v>0</v>
      </c>
      <c r="D499" s="1035">
        <v>0</v>
      </c>
      <c r="E499" s="1035">
        <v>0</v>
      </c>
      <c r="F499" s="1034">
        <v>0</v>
      </c>
      <c r="G499" s="1035">
        <v>0</v>
      </c>
      <c r="H499" s="1035">
        <v>0</v>
      </c>
      <c r="I499" s="1035">
        <v>0</v>
      </c>
      <c r="J499" s="527" t="e">
        <f t="shared" si="58"/>
        <v>#DIV/0!</v>
      </c>
      <c r="K499" s="687" t="e">
        <f t="shared" si="59"/>
        <v>#DIV/0!</v>
      </c>
      <c r="L499" s="1035">
        <v>0</v>
      </c>
      <c r="M499" s="1035">
        <v>0</v>
      </c>
      <c r="N499" s="1035">
        <v>0</v>
      </c>
      <c r="O499" s="1037">
        <v>0</v>
      </c>
      <c r="P499" s="1038">
        <v>0</v>
      </c>
      <c r="Q499" s="1035">
        <v>0</v>
      </c>
    </row>
    <row r="500" spans="1:17">
      <c r="A500" s="684">
        <f t="shared" ref="A500:A506" si="65">A499+1</f>
        <v>44695</v>
      </c>
      <c r="B500" s="820">
        <v>0</v>
      </c>
      <c r="C500" s="1035">
        <v>0</v>
      </c>
      <c r="D500" s="1035">
        <v>0</v>
      </c>
      <c r="E500" s="1035">
        <v>0</v>
      </c>
      <c r="F500" s="1034">
        <v>0</v>
      </c>
      <c r="G500" s="1035">
        <v>0</v>
      </c>
      <c r="H500" s="1035">
        <v>0</v>
      </c>
      <c r="I500" s="1035">
        <v>0</v>
      </c>
      <c r="J500" s="527" t="e">
        <f t="shared" si="58"/>
        <v>#DIV/0!</v>
      </c>
      <c r="K500" s="687" t="e">
        <f t="shared" si="59"/>
        <v>#DIV/0!</v>
      </c>
      <c r="L500" s="1035">
        <v>0</v>
      </c>
      <c r="M500" s="1035">
        <v>0</v>
      </c>
      <c r="N500" s="1035">
        <v>0</v>
      </c>
      <c r="O500" s="1037">
        <v>0</v>
      </c>
      <c r="P500" s="1038">
        <v>0</v>
      </c>
      <c r="Q500" s="1035">
        <v>0</v>
      </c>
    </row>
    <row r="501" spans="1:17">
      <c r="A501" s="684">
        <f t="shared" si="65"/>
        <v>44696</v>
      </c>
      <c r="B501" s="820">
        <v>0</v>
      </c>
      <c r="C501" s="1035">
        <v>0</v>
      </c>
      <c r="D501" s="1035">
        <v>0</v>
      </c>
      <c r="E501" s="1035">
        <v>0</v>
      </c>
      <c r="F501" s="1034">
        <v>0</v>
      </c>
      <c r="G501" s="1035">
        <v>0</v>
      </c>
      <c r="H501" s="1035">
        <v>0</v>
      </c>
      <c r="I501" s="1035">
        <v>0</v>
      </c>
      <c r="J501" s="527" t="e">
        <f t="shared" si="58"/>
        <v>#DIV/0!</v>
      </c>
      <c r="K501" s="687" t="e">
        <f t="shared" si="59"/>
        <v>#DIV/0!</v>
      </c>
      <c r="L501" s="1035">
        <v>0</v>
      </c>
      <c r="M501" s="1035">
        <v>0</v>
      </c>
      <c r="N501" s="1035">
        <v>0</v>
      </c>
      <c r="O501" s="1037">
        <v>0</v>
      </c>
      <c r="P501" s="1038">
        <v>0</v>
      </c>
      <c r="Q501" s="1035">
        <v>0</v>
      </c>
    </row>
    <row r="502" spans="1:17">
      <c r="A502" s="684">
        <f t="shared" si="65"/>
        <v>44697</v>
      </c>
      <c r="B502" s="820">
        <v>0</v>
      </c>
      <c r="C502" s="1035">
        <v>0</v>
      </c>
      <c r="D502" s="1035">
        <v>0</v>
      </c>
      <c r="E502" s="1035">
        <v>0</v>
      </c>
      <c r="F502" s="1034">
        <v>0</v>
      </c>
      <c r="G502" s="1035">
        <v>0</v>
      </c>
      <c r="H502" s="1035">
        <v>0</v>
      </c>
      <c r="I502" s="1035">
        <v>0</v>
      </c>
      <c r="J502" s="527" t="e">
        <f t="shared" si="58"/>
        <v>#DIV/0!</v>
      </c>
      <c r="K502" s="687" t="e">
        <f t="shared" si="59"/>
        <v>#DIV/0!</v>
      </c>
      <c r="L502" s="1035">
        <v>0</v>
      </c>
      <c r="M502" s="1035">
        <v>0</v>
      </c>
      <c r="N502" s="1035">
        <v>0</v>
      </c>
      <c r="O502" s="1037">
        <v>0</v>
      </c>
      <c r="P502" s="1038">
        <v>0</v>
      </c>
      <c r="Q502" s="1035">
        <v>0</v>
      </c>
    </row>
    <row r="503" spans="1:17">
      <c r="A503" s="684">
        <f t="shared" si="65"/>
        <v>44698</v>
      </c>
      <c r="B503" s="820">
        <v>0</v>
      </c>
      <c r="C503" s="1035">
        <v>0</v>
      </c>
      <c r="D503" s="1035">
        <v>0</v>
      </c>
      <c r="E503" s="1035">
        <v>0</v>
      </c>
      <c r="F503" s="1034">
        <v>0</v>
      </c>
      <c r="G503" s="1035">
        <v>0</v>
      </c>
      <c r="H503" s="1035">
        <v>0</v>
      </c>
      <c r="I503" s="1035">
        <v>0</v>
      </c>
      <c r="J503" s="527" t="e">
        <f t="shared" si="58"/>
        <v>#DIV/0!</v>
      </c>
      <c r="K503" s="687" t="e">
        <f t="shared" si="59"/>
        <v>#DIV/0!</v>
      </c>
      <c r="L503" s="1035">
        <v>0</v>
      </c>
      <c r="M503" s="1035">
        <v>0</v>
      </c>
      <c r="N503" s="1035">
        <v>0</v>
      </c>
      <c r="O503" s="1037">
        <v>0</v>
      </c>
      <c r="P503" s="1038">
        <v>0</v>
      </c>
      <c r="Q503" s="1035">
        <v>0</v>
      </c>
    </row>
    <row r="504" spans="1:17">
      <c r="A504" s="684">
        <f t="shared" si="65"/>
        <v>44699</v>
      </c>
      <c r="B504" s="820">
        <v>0</v>
      </c>
      <c r="C504" s="1035">
        <v>0</v>
      </c>
      <c r="D504" s="1035">
        <v>0</v>
      </c>
      <c r="E504" s="1035">
        <v>0</v>
      </c>
      <c r="F504" s="1034">
        <v>0</v>
      </c>
      <c r="G504" s="1035">
        <v>0</v>
      </c>
      <c r="H504" s="1035">
        <v>0</v>
      </c>
      <c r="I504" s="1035">
        <v>0</v>
      </c>
      <c r="J504" s="527" t="e">
        <f t="shared" si="58"/>
        <v>#DIV/0!</v>
      </c>
      <c r="K504" s="687" t="e">
        <f t="shared" si="59"/>
        <v>#DIV/0!</v>
      </c>
      <c r="L504" s="1035">
        <v>0</v>
      </c>
      <c r="M504" s="1035">
        <v>0</v>
      </c>
      <c r="N504" s="1035">
        <v>0</v>
      </c>
      <c r="O504" s="1037">
        <v>0</v>
      </c>
      <c r="P504" s="1038">
        <v>0</v>
      </c>
      <c r="Q504" s="1035">
        <v>0</v>
      </c>
    </row>
    <row r="505" spans="1:17">
      <c r="A505" s="684">
        <f t="shared" si="65"/>
        <v>44700</v>
      </c>
      <c r="B505" s="820">
        <v>0</v>
      </c>
      <c r="C505" s="1035">
        <v>0</v>
      </c>
      <c r="D505" s="1035">
        <v>0</v>
      </c>
      <c r="E505" s="1035">
        <v>0</v>
      </c>
      <c r="F505" s="1034">
        <v>0</v>
      </c>
      <c r="G505" s="1035">
        <v>0</v>
      </c>
      <c r="H505" s="1035">
        <v>0</v>
      </c>
      <c r="I505" s="1035">
        <v>0</v>
      </c>
      <c r="J505" s="527" t="e">
        <f t="shared" si="58"/>
        <v>#DIV/0!</v>
      </c>
      <c r="K505" s="687" t="e">
        <f t="shared" si="59"/>
        <v>#DIV/0!</v>
      </c>
      <c r="L505" s="1035">
        <v>0</v>
      </c>
      <c r="M505" s="1035">
        <v>0</v>
      </c>
      <c r="N505" s="1035">
        <v>0</v>
      </c>
      <c r="O505" s="1037">
        <v>0</v>
      </c>
      <c r="P505" s="1038">
        <v>0</v>
      </c>
      <c r="Q505" s="1035">
        <v>0</v>
      </c>
    </row>
    <row r="506" spans="1:17">
      <c r="A506" s="684">
        <f t="shared" si="65"/>
        <v>44701</v>
      </c>
      <c r="B506" s="820">
        <v>0</v>
      </c>
      <c r="C506" s="1035">
        <v>0</v>
      </c>
      <c r="D506" s="1035">
        <v>0</v>
      </c>
      <c r="E506" s="1035">
        <v>0</v>
      </c>
      <c r="F506" s="1034">
        <v>0</v>
      </c>
      <c r="G506" s="1035">
        <v>0</v>
      </c>
      <c r="H506" s="1035">
        <v>0</v>
      </c>
      <c r="I506" s="1035">
        <v>0</v>
      </c>
      <c r="J506" s="527" t="e">
        <f t="shared" si="58"/>
        <v>#DIV/0!</v>
      </c>
      <c r="K506" s="687" t="e">
        <f t="shared" si="59"/>
        <v>#DIV/0!</v>
      </c>
      <c r="L506" s="1035">
        <v>0</v>
      </c>
      <c r="M506" s="1035">
        <v>0</v>
      </c>
      <c r="N506" s="1035">
        <v>0</v>
      </c>
      <c r="O506" s="1037">
        <v>0</v>
      </c>
      <c r="P506" s="1038">
        <v>0</v>
      </c>
      <c r="Q506" s="1035">
        <v>0</v>
      </c>
    </row>
    <row r="507" spans="1:17">
      <c r="A507" s="684">
        <f t="shared" ref="A507:A513" si="66">A506+1</f>
        <v>44702</v>
      </c>
      <c r="B507" s="820">
        <v>0</v>
      </c>
      <c r="C507" s="1035">
        <v>0</v>
      </c>
      <c r="D507" s="1035">
        <v>0</v>
      </c>
      <c r="E507" s="1035">
        <v>0</v>
      </c>
      <c r="F507" s="1034">
        <v>0</v>
      </c>
      <c r="G507" s="1035">
        <v>0</v>
      </c>
      <c r="H507" s="1035">
        <v>0</v>
      </c>
      <c r="I507" s="1035">
        <v>0</v>
      </c>
      <c r="J507" s="527" t="e">
        <f t="shared" si="58"/>
        <v>#DIV/0!</v>
      </c>
      <c r="K507" s="687" t="e">
        <f t="shared" si="59"/>
        <v>#DIV/0!</v>
      </c>
      <c r="L507" s="1035">
        <v>0</v>
      </c>
      <c r="M507" s="1035">
        <v>0</v>
      </c>
      <c r="N507" s="1035">
        <v>0</v>
      </c>
      <c r="O507" s="1037">
        <v>0</v>
      </c>
      <c r="P507" s="1038">
        <v>0</v>
      </c>
      <c r="Q507" s="1035">
        <v>0</v>
      </c>
    </row>
    <row r="508" spans="1:17">
      <c r="A508" s="684">
        <f t="shared" si="66"/>
        <v>44703</v>
      </c>
      <c r="B508" s="820">
        <v>0</v>
      </c>
      <c r="C508" s="1035">
        <v>0</v>
      </c>
      <c r="D508" s="1035">
        <v>0</v>
      </c>
      <c r="E508" s="1035">
        <v>0</v>
      </c>
      <c r="F508" s="1034">
        <v>0</v>
      </c>
      <c r="G508" s="1035">
        <v>0</v>
      </c>
      <c r="H508" s="1035">
        <v>0</v>
      </c>
      <c r="I508" s="1035">
        <v>0</v>
      </c>
      <c r="J508" s="527" t="e">
        <f t="shared" si="58"/>
        <v>#DIV/0!</v>
      </c>
      <c r="K508" s="687" t="e">
        <f t="shared" si="59"/>
        <v>#DIV/0!</v>
      </c>
      <c r="L508" s="1035">
        <v>0</v>
      </c>
      <c r="M508" s="1035">
        <v>0</v>
      </c>
      <c r="N508" s="1035">
        <v>0</v>
      </c>
      <c r="O508" s="1037">
        <v>0</v>
      </c>
      <c r="P508" s="1038">
        <v>0</v>
      </c>
      <c r="Q508" s="1035">
        <v>0</v>
      </c>
    </row>
    <row r="509" spans="1:17">
      <c r="A509" s="684">
        <f t="shared" si="66"/>
        <v>44704</v>
      </c>
      <c r="B509" s="820">
        <v>0</v>
      </c>
      <c r="C509" s="1035">
        <v>0</v>
      </c>
      <c r="D509" s="1035">
        <v>0</v>
      </c>
      <c r="E509" s="1035">
        <v>0</v>
      </c>
      <c r="F509" s="1034">
        <v>0</v>
      </c>
      <c r="G509" s="1035">
        <v>0</v>
      </c>
      <c r="H509" s="1035">
        <v>0</v>
      </c>
      <c r="I509" s="1035">
        <v>0</v>
      </c>
      <c r="J509" s="527" t="e">
        <f t="shared" si="58"/>
        <v>#DIV/0!</v>
      </c>
      <c r="K509" s="687" t="e">
        <f t="shared" si="59"/>
        <v>#DIV/0!</v>
      </c>
      <c r="L509" s="1035">
        <v>0</v>
      </c>
      <c r="M509" s="1035">
        <v>0</v>
      </c>
      <c r="N509" s="1035">
        <v>0</v>
      </c>
      <c r="O509" s="1037">
        <v>0</v>
      </c>
      <c r="P509" s="1038">
        <v>0</v>
      </c>
      <c r="Q509" s="1035">
        <v>0</v>
      </c>
    </row>
    <row r="510" spans="1:17">
      <c r="A510" s="684">
        <f t="shared" si="66"/>
        <v>44705</v>
      </c>
      <c r="B510" s="820">
        <v>0</v>
      </c>
      <c r="C510" s="1035">
        <v>0</v>
      </c>
      <c r="D510" s="1035">
        <v>0</v>
      </c>
      <c r="E510" s="1035">
        <v>0</v>
      </c>
      <c r="F510" s="1034">
        <v>0</v>
      </c>
      <c r="G510" s="1035">
        <v>0</v>
      </c>
      <c r="H510" s="1035">
        <v>0</v>
      </c>
      <c r="I510" s="1035">
        <v>0</v>
      </c>
      <c r="J510" s="527" t="e">
        <f t="shared" si="58"/>
        <v>#DIV/0!</v>
      </c>
      <c r="K510" s="687" t="e">
        <f t="shared" si="59"/>
        <v>#DIV/0!</v>
      </c>
      <c r="L510" s="1035">
        <v>0</v>
      </c>
      <c r="M510" s="1035">
        <v>0</v>
      </c>
      <c r="N510" s="1035">
        <v>0</v>
      </c>
      <c r="O510" s="1037">
        <v>0</v>
      </c>
      <c r="P510" s="1038">
        <v>0</v>
      </c>
      <c r="Q510" s="1035">
        <v>0</v>
      </c>
    </row>
    <row r="511" spans="1:17">
      <c r="A511" s="684">
        <f t="shared" si="66"/>
        <v>44706</v>
      </c>
      <c r="B511" s="820">
        <v>0</v>
      </c>
      <c r="C511" s="1035">
        <v>0</v>
      </c>
      <c r="D511" s="1035">
        <v>0</v>
      </c>
      <c r="E511" s="1035">
        <v>0</v>
      </c>
      <c r="F511" s="1034">
        <v>0</v>
      </c>
      <c r="G511" s="1035">
        <v>0</v>
      </c>
      <c r="H511" s="1035">
        <v>0</v>
      </c>
      <c r="I511" s="1035">
        <v>0</v>
      </c>
      <c r="J511" s="527" t="e">
        <f t="shared" si="58"/>
        <v>#DIV/0!</v>
      </c>
      <c r="K511" s="687" t="e">
        <f t="shared" si="59"/>
        <v>#DIV/0!</v>
      </c>
      <c r="L511" s="1035">
        <v>0</v>
      </c>
      <c r="M511" s="1035">
        <v>0</v>
      </c>
      <c r="N511" s="1035">
        <v>0</v>
      </c>
      <c r="O511" s="1037">
        <v>0</v>
      </c>
      <c r="P511" s="1038">
        <v>0</v>
      </c>
      <c r="Q511" s="1035">
        <v>0</v>
      </c>
    </row>
    <row r="512" spans="1:17">
      <c r="A512" s="684">
        <f t="shared" si="66"/>
        <v>44707</v>
      </c>
      <c r="B512" s="820">
        <v>0</v>
      </c>
      <c r="C512" s="1035">
        <v>0</v>
      </c>
      <c r="D512" s="1035">
        <v>0</v>
      </c>
      <c r="E512" s="1035">
        <v>0</v>
      </c>
      <c r="F512" s="1034">
        <v>0</v>
      </c>
      <c r="G512" s="1035">
        <v>0</v>
      </c>
      <c r="H512" s="1035">
        <v>0</v>
      </c>
      <c r="I512" s="1035">
        <v>0</v>
      </c>
      <c r="J512" s="527" t="e">
        <f t="shared" si="58"/>
        <v>#DIV/0!</v>
      </c>
      <c r="K512" s="687" t="e">
        <f t="shared" si="59"/>
        <v>#DIV/0!</v>
      </c>
      <c r="L512" s="1035">
        <v>0</v>
      </c>
      <c r="M512" s="1035">
        <v>0</v>
      </c>
      <c r="N512" s="1035">
        <v>0</v>
      </c>
      <c r="O512" s="1037">
        <v>0</v>
      </c>
      <c r="P512" s="1038">
        <v>0</v>
      </c>
      <c r="Q512" s="1035">
        <v>0</v>
      </c>
    </row>
    <row r="513" spans="1:18">
      <c r="A513" s="684">
        <f t="shared" si="66"/>
        <v>44708</v>
      </c>
      <c r="B513" s="820">
        <v>0</v>
      </c>
      <c r="C513" s="1035">
        <v>0</v>
      </c>
      <c r="D513" s="1035">
        <v>0</v>
      </c>
      <c r="E513" s="1035">
        <v>0</v>
      </c>
      <c r="F513" s="1034">
        <v>0</v>
      </c>
      <c r="G513" s="1035">
        <v>0</v>
      </c>
      <c r="H513" s="1035">
        <v>0</v>
      </c>
      <c r="I513" s="1035">
        <v>0</v>
      </c>
      <c r="J513" s="527" t="e">
        <f t="shared" si="58"/>
        <v>#DIV/0!</v>
      </c>
      <c r="K513" s="687" t="e">
        <f t="shared" si="59"/>
        <v>#DIV/0!</v>
      </c>
      <c r="L513" s="1035">
        <v>0</v>
      </c>
      <c r="M513" s="1035">
        <v>0</v>
      </c>
      <c r="N513" s="1035">
        <v>0</v>
      </c>
      <c r="O513" s="1037">
        <v>0</v>
      </c>
      <c r="P513" s="1038">
        <v>0</v>
      </c>
      <c r="Q513" s="1035">
        <v>0</v>
      </c>
    </row>
    <row r="514" s="589" customFormat="1" spans="1:18">
      <c r="A514" s="695">
        <v>45161</v>
      </c>
      <c r="B514" s="739">
        <v>41.5</v>
      </c>
      <c r="C514" s="1039">
        <v>55</v>
      </c>
      <c r="D514" s="1039">
        <v>11</v>
      </c>
      <c r="E514" s="1039">
        <v>0</v>
      </c>
      <c r="F514" s="1040">
        <v>0</v>
      </c>
      <c r="G514" s="1039">
        <v>0</v>
      </c>
      <c r="H514" s="1039">
        <v>0</v>
      </c>
      <c r="I514" s="1039">
        <v>0</v>
      </c>
      <c r="J514" s="527">
        <f t="shared" ref="J514:J577" si="67">D514/C514</f>
        <v>0.2</v>
      </c>
      <c r="K514" s="687">
        <f t="shared" ref="K514:K577" si="68">B514/D514</f>
        <v>3.77272727272727</v>
      </c>
      <c r="L514" s="1040">
        <v>754.73</v>
      </c>
      <c r="M514" s="1039">
        <v>0</v>
      </c>
      <c r="N514" s="1041">
        <v>0</v>
      </c>
      <c r="O514" s="617">
        <f t="shared" ref="O514:O552" si="69">IF(E514=0,0,F514/E514)</f>
        <v>0</v>
      </c>
      <c r="P514" s="617">
        <f>IF(E514=0,0,B514/E514)</f>
        <v>0</v>
      </c>
      <c r="Q514" s="1039">
        <v>0</v>
      </c>
      <c r="R514" s="1021"/>
    </row>
    <row r="515" s="589" customFormat="1" spans="1:18">
      <c r="A515" s="695">
        <v>45162</v>
      </c>
      <c r="B515" s="696">
        <v>88.95</v>
      </c>
      <c r="C515" s="698">
        <v>121</v>
      </c>
      <c r="D515" s="698">
        <v>23</v>
      </c>
      <c r="E515" s="698">
        <v>0</v>
      </c>
      <c r="F515" s="696">
        <v>0</v>
      </c>
      <c r="G515" s="698">
        <v>6</v>
      </c>
      <c r="H515" s="698">
        <v>1</v>
      </c>
      <c r="I515" s="698">
        <v>0</v>
      </c>
      <c r="J515" s="527">
        <f t="shared" si="67"/>
        <v>0.190082644628099</v>
      </c>
      <c r="K515" s="687">
        <f t="shared" si="68"/>
        <v>3.86739130434783</v>
      </c>
      <c r="L515" s="696">
        <v>735.12</v>
      </c>
      <c r="M515" s="698">
        <v>0</v>
      </c>
      <c r="N515" s="703">
        <v>0</v>
      </c>
      <c r="O515" s="617">
        <f t="shared" si="69"/>
        <v>0</v>
      </c>
      <c r="P515" s="617">
        <f t="shared" ref="P515:P546" si="70">IF(E515=0,0,B515/E515)</f>
        <v>0</v>
      </c>
      <c r="Q515" s="724">
        <f t="shared" ref="Q515:Q548" si="71">B515/G515</f>
        <v>14.825</v>
      </c>
      <c r="R515" s="1021"/>
    </row>
    <row r="516" s="589" customFormat="1" spans="1:18">
      <c r="A516" s="695">
        <v>45163</v>
      </c>
      <c r="B516" s="696">
        <v>51.71</v>
      </c>
      <c r="C516" s="698">
        <v>71</v>
      </c>
      <c r="D516" s="698">
        <v>20</v>
      </c>
      <c r="E516" s="1039">
        <v>0</v>
      </c>
      <c r="F516" s="1040">
        <v>0</v>
      </c>
      <c r="G516" s="698">
        <v>4</v>
      </c>
      <c r="H516" s="698">
        <v>2</v>
      </c>
      <c r="I516" s="698">
        <v>0</v>
      </c>
      <c r="J516" s="527">
        <f t="shared" si="67"/>
        <v>0.28169014084507</v>
      </c>
      <c r="K516" s="687">
        <f t="shared" si="68"/>
        <v>2.5855</v>
      </c>
      <c r="L516" s="696">
        <v>812.82</v>
      </c>
      <c r="M516" s="698">
        <v>0</v>
      </c>
      <c r="N516" s="1041">
        <v>0</v>
      </c>
      <c r="O516" s="617">
        <f t="shared" si="69"/>
        <v>0</v>
      </c>
      <c r="P516" s="617">
        <f t="shared" si="70"/>
        <v>0</v>
      </c>
      <c r="Q516" s="724">
        <f t="shared" si="71"/>
        <v>12.9275</v>
      </c>
      <c r="R516" s="1021"/>
    </row>
    <row r="517" s="589" customFormat="1" spans="1:18">
      <c r="A517" s="695">
        <v>45164</v>
      </c>
      <c r="B517" s="696">
        <v>52.67</v>
      </c>
      <c r="C517" s="698">
        <v>66</v>
      </c>
      <c r="D517" s="698">
        <v>25</v>
      </c>
      <c r="E517" s="698">
        <v>0</v>
      </c>
      <c r="F517" s="696">
        <v>0</v>
      </c>
      <c r="G517" s="698">
        <v>7</v>
      </c>
      <c r="H517" s="698">
        <v>0</v>
      </c>
      <c r="I517" s="698">
        <v>0</v>
      </c>
      <c r="J517" s="527">
        <f t="shared" si="67"/>
        <v>0.378787878787879</v>
      </c>
      <c r="K517" s="687">
        <f t="shared" si="68"/>
        <v>2.1068</v>
      </c>
      <c r="L517" s="696">
        <v>798.03</v>
      </c>
      <c r="M517" s="698">
        <v>0</v>
      </c>
      <c r="N517" s="703">
        <v>0</v>
      </c>
      <c r="O517" s="617">
        <f t="shared" si="69"/>
        <v>0</v>
      </c>
      <c r="P517" s="617">
        <f t="shared" si="70"/>
        <v>0</v>
      </c>
      <c r="Q517" s="724">
        <f t="shared" si="71"/>
        <v>7.52428571428571</v>
      </c>
      <c r="R517" s="1021"/>
    </row>
    <row r="518" s="589" customFormat="1" spans="1:18">
      <c r="A518" s="695">
        <v>45165</v>
      </c>
      <c r="B518" s="696">
        <v>60.94</v>
      </c>
      <c r="C518" s="698">
        <v>74</v>
      </c>
      <c r="D518" s="698">
        <v>33</v>
      </c>
      <c r="E518" s="698">
        <v>1</v>
      </c>
      <c r="F518" s="696">
        <v>1</v>
      </c>
      <c r="G518" s="698">
        <v>4</v>
      </c>
      <c r="H518" s="698">
        <v>0</v>
      </c>
      <c r="I518" s="698">
        <v>0</v>
      </c>
      <c r="J518" s="527">
        <f t="shared" si="67"/>
        <v>0.445945945945946</v>
      </c>
      <c r="K518" s="687">
        <f t="shared" si="68"/>
        <v>1.84666666666667</v>
      </c>
      <c r="L518" s="696">
        <v>823.51</v>
      </c>
      <c r="M518" s="698">
        <v>0.02</v>
      </c>
      <c r="N518" s="703">
        <v>0.0135</v>
      </c>
      <c r="O518" s="617">
        <f t="shared" si="69"/>
        <v>1</v>
      </c>
      <c r="P518" s="617">
        <f t="shared" si="70"/>
        <v>60.94</v>
      </c>
      <c r="Q518" s="724">
        <f t="shared" si="71"/>
        <v>15.235</v>
      </c>
      <c r="R518" s="1021"/>
    </row>
    <row r="519" s="589" customFormat="1" spans="1:18">
      <c r="A519" s="695">
        <v>45166</v>
      </c>
      <c r="B519" s="696">
        <v>46.2</v>
      </c>
      <c r="C519" s="698">
        <v>63</v>
      </c>
      <c r="D519" s="698">
        <v>14</v>
      </c>
      <c r="E519" s="698">
        <v>0</v>
      </c>
      <c r="F519" s="696">
        <v>0</v>
      </c>
      <c r="G519" s="698">
        <v>2</v>
      </c>
      <c r="H519" s="698">
        <v>0</v>
      </c>
      <c r="I519" s="698">
        <v>0</v>
      </c>
      <c r="J519" s="527">
        <f t="shared" si="67"/>
        <v>0.222222222222222</v>
      </c>
      <c r="K519" s="687">
        <f t="shared" si="68"/>
        <v>3.3</v>
      </c>
      <c r="L519" s="696">
        <v>733.33</v>
      </c>
      <c r="M519" s="698">
        <v>0</v>
      </c>
      <c r="N519" s="703">
        <v>0</v>
      </c>
      <c r="O519" s="617">
        <f t="shared" si="69"/>
        <v>0</v>
      </c>
      <c r="P519" s="617">
        <f t="shared" si="70"/>
        <v>0</v>
      </c>
      <c r="Q519" s="724">
        <f t="shared" si="71"/>
        <v>23.1</v>
      </c>
      <c r="R519" s="1021"/>
    </row>
    <row r="520" s="589" customFormat="1" spans="1:18">
      <c r="A520" s="695">
        <v>45167</v>
      </c>
      <c r="B520" s="696">
        <v>39.78</v>
      </c>
      <c r="C520" s="698">
        <v>66</v>
      </c>
      <c r="D520" s="698">
        <v>19</v>
      </c>
      <c r="E520" s="698">
        <v>1</v>
      </c>
      <c r="F520" s="696">
        <v>1</v>
      </c>
      <c r="G520" s="698">
        <v>6</v>
      </c>
      <c r="H520" s="698">
        <v>2</v>
      </c>
      <c r="I520" s="698">
        <v>3</v>
      </c>
      <c r="J520" s="527">
        <f t="shared" si="67"/>
        <v>0.287878787878788</v>
      </c>
      <c r="K520" s="687">
        <f t="shared" si="68"/>
        <v>2.09368421052632</v>
      </c>
      <c r="L520" s="696">
        <v>602.73</v>
      </c>
      <c r="M520" s="698">
        <v>0.03</v>
      </c>
      <c r="N520" s="703">
        <v>0.0152</v>
      </c>
      <c r="O520" s="617">
        <f t="shared" si="69"/>
        <v>1</v>
      </c>
      <c r="P520" s="617">
        <f t="shared" si="70"/>
        <v>39.78</v>
      </c>
      <c r="Q520" s="724">
        <f t="shared" si="71"/>
        <v>6.63</v>
      </c>
      <c r="R520" s="1021"/>
    </row>
    <row r="521" s="589" customFormat="1" spans="1:18">
      <c r="A521" s="695">
        <v>45168</v>
      </c>
      <c r="B521" s="696">
        <v>59.82</v>
      </c>
      <c r="C521" s="698">
        <v>79</v>
      </c>
      <c r="D521" s="698">
        <v>19</v>
      </c>
      <c r="E521" s="1042">
        <v>0</v>
      </c>
      <c r="F521" s="696">
        <v>0</v>
      </c>
      <c r="G521" s="698">
        <v>5</v>
      </c>
      <c r="H521" s="698">
        <v>0</v>
      </c>
      <c r="I521" s="698">
        <v>2</v>
      </c>
      <c r="J521" s="527">
        <f t="shared" si="67"/>
        <v>0.240506329113924</v>
      </c>
      <c r="K521" s="687">
        <f t="shared" si="68"/>
        <v>3.14842105263158</v>
      </c>
      <c r="L521" s="696">
        <v>757.22</v>
      </c>
      <c r="M521" s="698">
        <v>0</v>
      </c>
      <c r="N521" s="703">
        <v>0</v>
      </c>
      <c r="O521" s="617">
        <f t="shared" si="69"/>
        <v>0</v>
      </c>
      <c r="P521" s="617">
        <f t="shared" si="70"/>
        <v>0</v>
      </c>
      <c r="Q521" s="724">
        <f t="shared" si="71"/>
        <v>11.964</v>
      </c>
      <c r="R521" s="1021"/>
    </row>
    <row r="522" s="589" customFormat="1" spans="1:18">
      <c r="A522" s="695">
        <v>45169</v>
      </c>
      <c r="B522" s="696">
        <v>54.85</v>
      </c>
      <c r="C522" s="698">
        <v>75</v>
      </c>
      <c r="D522" s="698">
        <v>16</v>
      </c>
      <c r="E522" s="698">
        <v>1</v>
      </c>
      <c r="F522" s="696">
        <v>1</v>
      </c>
      <c r="G522" s="698">
        <v>4</v>
      </c>
      <c r="H522" s="698">
        <v>3</v>
      </c>
      <c r="I522" s="698">
        <v>1</v>
      </c>
      <c r="J522" s="527">
        <f t="shared" si="67"/>
        <v>0.213333333333333</v>
      </c>
      <c r="K522" s="687">
        <f t="shared" si="68"/>
        <v>3.428125</v>
      </c>
      <c r="L522" s="696">
        <v>731.33</v>
      </c>
      <c r="M522" s="698">
        <v>0.02</v>
      </c>
      <c r="N522" s="703">
        <v>0.0133</v>
      </c>
      <c r="O522" s="617">
        <f t="shared" si="69"/>
        <v>1</v>
      </c>
      <c r="P522" s="617">
        <f t="shared" si="70"/>
        <v>54.85</v>
      </c>
      <c r="Q522" s="724">
        <f t="shared" si="71"/>
        <v>13.7125</v>
      </c>
      <c r="R522" s="1021"/>
    </row>
    <row r="523" s="589" customFormat="1" spans="1:18">
      <c r="A523" s="695">
        <v>45170</v>
      </c>
      <c r="B523" s="739">
        <v>43.29</v>
      </c>
      <c r="C523" s="707">
        <v>57</v>
      </c>
      <c r="D523" s="707">
        <v>14</v>
      </c>
      <c r="E523" s="698">
        <v>0</v>
      </c>
      <c r="F523" s="696">
        <v>0</v>
      </c>
      <c r="G523" s="698">
        <v>0</v>
      </c>
      <c r="H523" s="698">
        <v>0</v>
      </c>
      <c r="I523" s="698">
        <v>0</v>
      </c>
      <c r="J523" s="527">
        <f t="shared" si="67"/>
        <v>0.245614035087719</v>
      </c>
      <c r="K523" s="687">
        <f t="shared" si="68"/>
        <v>3.09214285714286</v>
      </c>
      <c r="L523" s="696">
        <v>759.47</v>
      </c>
      <c r="M523" s="698">
        <v>0</v>
      </c>
      <c r="N523" s="703">
        <v>0</v>
      </c>
      <c r="O523" s="617">
        <f t="shared" si="69"/>
        <v>0</v>
      </c>
      <c r="P523" s="617">
        <f t="shared" si="70"/>
        <v>0</v>
      </c>
      <c r="Q523" s="724" t="e">
        <f t="shared" si="71"/>
        <v>#DIV/0!</v>
      </c>
      <c r="R523" s="1021"/>
    </row>
    <row r="524" s="589" customFormat="1" spans="1:18">
      <c r="A524" s="695">
        <v>45171</v>
      </c>
      <c r="B524" s="739">
        <v>35.08</v>
      </c>
      <c r="C524" s="707">
        <v>47</v>
      </c>
      <c r="D524" s="707">
        <v>10</v>
      </c>
      <c r="E524" s="698">
        <v>0</v>
      </c>
      <c r="F524" s="696">
        <v>0</v>
      </c>
      <c r="G524" s="698">
        <v>1</v>
      </c>
      <c r="H524" s="698">
        <v>0</v>
      </c>
      <c r="I524" s="698">
        <v>0</v>
      </c>
      <c r="J524" s="527">
        <f t="shared" si="67"/>
        <v>0.212765957446809</v>
      </c>
      <c r="K524" s="687">
        <f t="shared" si="68"/>
        <v>3.508</v>
      </c>
      <c r="L524" s="696">
        <v>746.38</v>
      </c>
      <c r="M524" s="698">
        <v>0</v>
      </c>
      <c r="N524" s="703">
        <v>0</v>
      </c>
      <c r="O524" s="617">
        <f t="shared" si="69"/>
        <v>0</v>
      </c>
      <c r="P524" s="617">
        <f t="shared" si="70"/>
        <v>0</v>
      </c>
      <c r="Q524" s="724">
        <f t="shared" si="71"/>
        <v>35.08</v>
      </c>
      <c r="R524" s="1021"/>
    </row>
    <row r="525" s="589" customFormat="1" spans="1:18">
      <c r="A525" s="695">
        <v>45172</v>
      </c>
      <c r="B525" s="739">
        <v>32.48</v>
      </c>
      <c r="C525" s="707">
        <v>46</v>
      </c>
      <c r="D525" s="707">
        <v>13</v>
      </c>
      <c r="E525" s="698">
        <v>0</v>
      </c>
      <c r="F525" s="696">
        <v>0</v>
      </c>
      <c r="G525" s="698">
        <v>2</v>
      </c>
      <c r="H525" s="698">
        <v>1</v>
      </c>
      <c r="I525" s="698">
        <v>1</v>
      </c>
      <c r="J525" s="527">
        <f t="shared" si="67"/>
        <v>0.282608695652174</v>
      </c>
      <c r="K525" s="687">
        <f t="shared" si="68"/>
        <v>2.49846153846154</v>
      </c>
      <c r="L525" s="696">
        <v>706.69</v>
      </c>
      <c r="M525" s="698">
        <v>0</v>
      </c>
      <c r="N525" s="703">
        <v>0</v>
      </c>
      <c r="O525" s="617">
        <f t="shared" si="69"/>
        <v>0</v>
      </c>
      <c r="P525" s="617">
        <f t="shared" si="70"/>
        <v>0</v>
      </c>
      <c r="Q525" s="724">
        <f t="shared" si="71"/>
        <v>16.24</v>
      </c>
      <c r="R525" s="1021"/>
    </row>
    <row r="526" s="589" customFormat="1" spans="1:18">
      <c r="A526" s="695">
        <v>45173</v>
      </c>
      <c r="B526" s="739">
        <v>59.41</v>
      </c>
      <c r="C526" s="707">
        <v>78</v>
      </c>
      <c r="D526" s="707">
        <v>14</v>
      </c>
      <c r="E526" s="698">
        <v>0</v>
      </c>
      <c r="F526" s="696">
        <v>0</v>
      </c>
      <c r="G526" s="698">
        <v>10</v>
      </c>
      <c r="H526" s="698">
        <v>0</v>
      </c>
      <c r="I526" s="698">
        <v>0</v>
      </c>
      <c r="J526" s="527">
        <f t="shared" si="67"/>
        <v>0.179487179487179</v>
      </c>
      <c r="K526" s="687">
        <f t="shared" si="68"/>
        <v>4.24357142857143</v>
      </c>
      <c r="L526" s="696">
        <v>761.67</v>
      </c>
      <c r="M526" s="698">
        <v>0</v>
      </c>
      <c r="N526" s="703">
        <v>0</v>
      </c>
      <c r="O526" s="617">
        <f t="shared" si="69"/>
        <v>0</v>
      </c>
      <c r="P526" s="617">
        <f t="shared" si="70"/>
        <v>0</v>
      </c>
      <c r="Q526" s="724">
        <f t="shared" si="71"/>
        <v>5.941</v>
      </c>
      <c r="R526" s="1021"/>
    </row>
    <row r="527" s="589" customFormat="1" spans="1:18">
      <c r="A527" s="695">
        <v>45174</v>
      </c>
      <c r="B527" s="696">
        <v>54</v>
      </c>
      <c r="C527" s="707">
        <v>80</v>
      </c>
      <c r="D527" s="707">
        <v>24</v>
      </c>
      <c r="E527" s="698">
        <v>0</v>
      </c>
      <c r="F527" s="696">
        <v>0</v>
      </c>
      <c r="G527" s="698">
        <v>6</v>
      </c>
      <c r="H527" s="698">
        <v>1</v>
      </c>
      <c r="I527" s="698">
        <v>1</v>
      </c>
      <c r="J527" s="527">
        <f t="shared" si="67"/>
        <v>0.3</v>
      </c>
      <c r="K527" s="687">
        <f t="shared" si="68"/>
        <v>2.25</v>
      </c>
      <c r="L527" s="696">
        <v>673</v>
      </c>
      <c r="M527" s="698">
        <v>0</v>
      </c>
      <c r="N527" s="703">
        <v>0</v>
      </c>
      <c r="O527" s="617">
        <f t="shared" si="69"/>
        <v>0</v>
      </c>
      <c r="P527" s="617">
        <f t="shared" si="70"/>
        <v>0</v>
      </c>
      <c r="Q527" s="724">
        <f t="shared" si="71"/>
        <v>9</v>
      </c>
      <c r="R527" s="1021"/>
    </row>
    <row r="528" s="589" customFormat="1" spans="1:18">
      <c r="A528" s="695">
        <v>45175</v>
      </c>
      <c r="B528" s="696">
        <v>42</v>
      </c>
      <c r="C528" s="707">
        <v>56</v>
      </c>
      <c r="D528" s="707">
        <v>18</v>
      </c>
      <c r="E528" s="698">
        <v>0</v>
      </c>
      <c r="F528" s="696">
        <v>0</v>
      </c>
      <c r="G528" s="698">
        <v>1</v>
      </c>
      <c r="H528" s="698">
        <v>2</v>
      </c>
      <c r="I528" s="698">
        <v>0</v>
      </c>
      <c r="J528" s="527">
        <f t="shared" si="67"/>
        <v>0.321428571428571</v>
      </c>
      <c r="K528" s="687">
        <f t="shared" si="68"/>
        <v>2.33333333333333</v>
      </c>
      <c r="L528" s="696">
        <v>758.04</v>
      </c>
      <c r="M528" s="698">
        <v>0</v>
      </c>
      <c r="N528" s="703">
        <v>0</v>
      </c>
      <c r="O528" s="617">
        <f t="shared" si="69"/>
        <v>0</v>
      </c>
      <c r="P528" s="617">
        <f t="shared" si="70"/>
        <v>0</v>
      </c>
      <c r="Q528" s="724">
        <f t="shared" si="71"/>
        <v>42</v>
      </c>
      <c r="R528" s="1021"/>
    </row>
    <row r="529" s="589" customFormat="1" spans="1:18">
      <c r="A529" s="695">
        <v>45176</v>
      </c>
      <c r="B529" s="739">
        <v>33.75</v>
      </c>
      <c r="C529" s="707">
        <v>43</v>
      </c>
      <c r="D529" s="707">
        <v>15</v>
      </c>
      <c r="E529" s="1042">
        <v>0</v>
      </c>
      <c r="F529" s="715">
        <v>0</v>
      </c>
      <c r="G529" s="698">
        <v>2</v>
      </c>
      <c r="H529" s="698">
        <v>0</v>
      </c>
      <c r="I529" s="698">
        <v>1</v>
      </c>
      <c r="J529" s="527">
        <f t="shared" si="67"/>
        <v>0.348837209302326</v>
      </c>
      <c r="K529" s="687">
        <f t="shared" si="68"/>
        <v>2.25</v>
      </c>
      <c r="L529" s="696">
        <v>784.88</v>
      </c>
      <c r="M529" s="698">
        <v>0</v>
      </c>
      <c r="N529" s="703">
        <v>0</v>
      </c>
      <c r="O529" s="617">
        <f t="shared" si="69"/>
        <v>0</v>
      </c>
      <c r="P529" s="617">
        <f t="shared" si="70"/>
        <v>0</v>
      </c>
      <c r="Q529" s="724">
        <f t="shared" si="71"/>
        <v>16.875</v>
      </c>
      <c r="R529" s="1021"/>
    </row>
    <row r="530" s="589" customFormat="1" spans="1:18">
      <c r="A530" s="695">
        <v>45177</v>
      </c>
      <c r="B530" s="704">
        <v>55</v>
      </c>
      <c r="C530" s="707">
        <v>77</v>
      </c>
      <c r="D530" s="707">
        <v>22</v>
      </c>
      <c r="E530" s="698">
        <v>0</v>
      </c>
      <c r="F530" s="715">
        <v>0</v>
      </c>
      <c r="G530" s="698">
        <v>4</v>
      </c>
      <c r="H530" s="698">
        <v>3</v>
      </c>
      <c r="I530" s="698">
        <v>2</v>
      </c>
      <c r="J530" s="527">
        <f t="shared" si="67"/>
        <v>0.285714285714286</v>
      </c>
      <c r="K530" s="687">
        <f t="shared" si="68"/>
        <v>2.5</v>
      </c>
      <c r="L530" s="696">
        <v>717.4</v>
      </c>
      <c r="M530" s="698">
        <v>0</v>
      </c>
      <c r="N530" s="703">
        <v>0</v>
      </c>
      <c r="O530" s="617">
        <f t="shared" si="69"/>
        <v>0</v>
      </c>
      <c r="P530" s="617">
        <f t="shared" si="70"/>
        <v>0</v>
      </c>
      <c r="Q530" s="724">
        <f t="shared" si="71"/>
        <v>13.75</v>
      </c>
      <c r="R530" s="1021"/>
    </row>
    <row r="531" s="589" customFormat="1" spans="1:18">
      <c r="A531" s="695">
        <v>45178</v>
      </c>
      <c r="B531" s="704">
        <v>31</v>
      </c>
      <c r="C531" s="707">
        <v>43</v>
      </c>
      <c r="D531" s="707">
        <v>11</v>
      </c>
      <c r="E531" s="698">
        <v>0</v>
      </c>
      <c r="F531" s="715">
        <v>0</v>
      </c>
      <c r="G531" s="698">
        <v>3</v>
      </c>
      <c r="H531" s="698">
        <v>1</v>
      </c>
      <c r="I531" s="698">
        <v>1</v>
      </c>
      <c r="J531" s="527">
        <f t="shared" si="67"/>
        <v>0.255813953488372</v>
      </c>
      <c r="K531" s="687">
        <f t="shared" si="68"/>
        <v>2.81818181818182</v>
      </c>
      <c r="L531" s="696">
        <v>713.26</v>
      </c>
      <c r="M531" s="698">
        <v>0</v>
      </c>
      <c r="N531" s="703">
        <v>0</v>
      </c>
      <c r="O531" s="617">
        <f t="shared" si="69"/>
        <v>0</v>
      </c>
      <c r="P531" s="617">
        <f t="shared" si="70"/>
        <v>0</v>
      </c>
      <c r="Q531" s="724">
        <f t="shared" si="71"/>
        <v>10.3333333333333</v>
      </c>
      <c r="R531" s="1021"/>
    </row>
    <row r="532" s="589" customFormat="1" spans="1:18">
      <c r="A532" s="695">
        <v>45179</v>
      </c>
      <c r="B532" s="704">
        <v>39</v>
      </c>
      <c r="C532" s="707">
        <v>50</v>
      </c>
      <c r="D532" s="707">
        <v>23</v>
      </c>
      <c r="E532" s="698">
        <v>0</v>
      </c>
      <c r="F532" s="715">
        <v>0</v>
      </c>
      <c r="G532" s="698">
        <v>1</v>
      </c>
      <c r="H532" s="698">
        <v>1</v>
      </c>
      <c r="I532" s="698">
        <v>1</v>
      </c>
      <c r="J532" s="527">
        <f t="shared" si="67"/>
        <v>0.46</v>
      </c>
      <c r="K532" s="687">
        <f t="shared" si="68"/>
        <v>1.69565217391304</v>
      </c>
      <c r="L532" s="696">
        <v>772.6</v>
      </c>
      <c r="M532" s="698">
        <v>0</v>
      </c>
      <c r="N532" s="703">
        <v>0</v>
      </c>
      <c r="O532" s="617">
        <f t="shared" si="69"/>
        <v>0</v>
      </c>
      <c r="P532" s="617">
        <f t="shared" si="70"/>
        <v>0</v>
      </c>
      <c r="Q532" s="724">
        <f t="shared" si="71"/>
        <v>39</v>
      </c>
      <c r="R532" s="1021"/>
    </row>
    <row r="533" s="589" customFormat="1" spans="1:18">
      <c r="A533" s="695">
        <v>45180</v>
      </c>
      <c r="B533" s="704">
        <v>42</v>
      </c>
      <c r="C533" s="707">
        <v>60</v>
      </c>
      <c r="D533" s="706">
        <v>17</v>
      </c>
      <c r="E533" s="698">
        <v>0</v>
      </c>
      <c r="F533" s="696">
        <v>0</v>
      </c>
      <c r="G533" s="698">
        <v>6</v>
      </c>
      <c r="H533" s="698">
        <v>0</v>
      </c>
      <c r="I533" s="698">
        <v>0</v>
      </c>
      <c r="J533" s="527">
        <f t="shared" si="67"/>
        <v>0.283333333333333</v>
      </c>
      <c r="K533" s="687">
        <f t="shared" si="68"/>
        <v>2.47058823529412</v>
      </c>
      <c r="L533" s="696">
        <v>695.33</v>
      </c>
      <c r="M533" s="698">
        <v>0</v>
      </c>
      <c r="N533" s="703">
        <v>0</v>
      </c>
      <c r="O533" s="617">
        <f t="shared" si="69"/>
        <v>0</v>
      </c>
      <c r="P533" s="617">
        <f t="shared" si="70"/>
        <v>0</v>
      </c>
      <c r="Q533" s="724">
        <f t="shared" si="71"/>
        <v>7</v>
      </c>
      <c r="R533" s="1021"/>
    </row>
    <row r="534" s="589" customFormat="1" spans="1:18">
      <c r="A534" s="695">
        <v>45181</v>
      </c>
      <c r="B534" s="704">
        <v>42</v>
      </c>
      <c r="C534" s="707">
        <v>64</v>
      </c>
      <c r="D534" s="707">
        <v>41</v>
      </c>
      <c r="E534" s="698">
        <v>1</v>
      </c>
      <c r="F534" s="696">
        <v>2</v>
      </c>
      <c r="G534" s="698">
        <v>5</v>
      </c>
      <c r="H534" s="698">
        <v>2</v>
      </c>
      <c r="I534" s="698">
        <v>3</v>
      </c>
      <c r="J534" s="527">
        <f t="shared" si="67"/>
        <v>0.640625</v>
      </c>
      <c r="K534" s="687">
        <f t="shared" si="68"/>
        <v>1.02439024390244</v>
      </c>
      <c r="L534" s="696">
        <v>663.75</v>
      </c>
      <c r="M534" s="698">
        <v>0.05</v>
      </c>
      <c r="N534" s="703">
        <f>E534/D534</f>
        <v>0.024390243902439</v>
      </c>
      <c r="O534" s="617">
        <f t="shared" si="69"/>
        <v>2</v>
      </c>
      <c r="P534" s="617">
        <f t="shared" si="70"/>
        <v>42</v>
      </c>
      <c r="Q534" s="724">
        <f t="shared" si="71"/>
        <v>8.4</v>
      </c>
      <c r="R534" s="1021"/>
    </row>
    <row r="535" s="589" customFormat="1" spans="1:18">
      <c r="A535" s="695">
        <v>45182</v>
      </c>
      <c r="B535" s="715">
        <v>62</v>
      </c>
      <c r="C535" s="707">
        <v>79</v>
      </c>
      <c r="D535" s="707">
        <v>35</v>
      </c>
      <c r="E535" s="698">
        <v>0</v>
      </c>
      <c r="F535" s="696">
        <v>0</v>
      </c>
      <c r="G535" s="698">
        <v>2</v>
      </c>
      <c r="H535" s="698">
        <v>1</v>
      </c>
      <c r="I535" s="698">
        <v>2</v>
      </c>
      <c r="J535" s="527">
        <f t="shared" si="67"/>
        <v>0.443037974683544</v>
      </c>
      <c r="K535" s="687">
        <f t="shared" si="68"/>
        <v>1.77142857142857</v>
      </c>
      <c r="L535" s="696">
        <v>779.62</v>
      </c>
      <c r="M535" s="698">
        <v>0</v>
      </c>
      <c r="N535" s="703">
        <f>E535/D535</f>
        <v>0</v>
      </c>
      <c r="O535" s="617">
        <f t="shared" si="69"/>
        <v>0</v>
      </c>
      <c r="P535" s="617">
        <f t="shared" si="70"/>
        <v>0</v>
      </c>
      <c r="Q535" s="724">
        <f t="shared" si="71"/>
        <v>31</v>
      </c>
      <c r="R535" s="1021"/>
    </row>
    <row r="536" s="589" customFormat="1" spans="1:18">
      <c r="A536" s="695">
        <v>45183</v>
      </c>
      <c r="B536" s="715">
        <v>67</v>
      </c>
      <c r="C536" s="707">
        <v>97</v>
      </c>
      <c r="D536" s="707">
        <v>37</v>
      </c>
      <c r="E536" s="698">
        <v>0</v>
      </c>
      <c r="F536" s="1043">
        <v>0</v>
      </c>
      <c r="G536" s="698">
        <v>11</v>
      </c>
      <c r="H536" s="698">
        <v>0</v>
      </c>
      <c r="I536" s="698">
        <v>3</v>
      </c>
      <c r="J536" s="527">
        <f t="shared" si="67"/>
        <v>0.381443298969072</v>
      </c>
      <c r="K536" s="687">
        <f t="shared" si="68"/>
        <v>1.81081081081081</v>
      </c>
      <c r="L536" s="696">
        <v>688.04</v>
      </c>
      <c r="M536" s="698">
        <v>0</v>
      </c>
      <c r="N536" s="703">
        <v>0</v>
      </c>
      <c r="O536" s="617">
        <f t="shared" si="69"/>
        <v>0</v>
      </c>
      <c r="P536" s="617">
        <f t="shared" si="70"/>
        <v>0</v>
      </c>
      <c r="Q536" s="724">
        <f t="shared" si="71"/>
        <v>6.09090909090909</v>
      </c>
      <c r="R536" s="1021"/>
    </row>
    <row r="537" s="589" customFormat="1" spans="1:18">
      <c r="A537" s="695">
        <v>45184</v>
      </c>
      <c r="B537" s="696">
        <v>34</v>
      </c>
      <c r="C537" s="707">
        <v>48</v>
      </c>
      <c r="D537" s="707">
        <v>17</v>
      </c>
      <c r="E537" s="698">
        <v>0</v>
      </c>
      <c r="F537" s="696">
        <v>0</v>
      </c>
      <c r="G537" s="698">
        <v>2</v>
      </c>
      <c r="H537" s="698">
        <v>0</v>
      </c>
      <c r="I537" s="698">
        <v>1</v>
      </c>
      <c r="J537" s="527">
        <f t="shared" si="67"/>
        <v>0.354166666666667</v>
      </c>
      <c r="K537" s="687">
        <f t="shared" si="68"/>
        <v>2</v>
      </c>
      <c r="L537" s="696">
        <v>712.71</v>
      </c>
      <c r="M537" s="698">
        <v>0</v>
      </c>
      <c r="N537" s="703">
        <v>0</v>
      </c>
      <c r="O537" s="617">
        <f t="shared" si="69"/>
        <v>0</v>
      </c>
      <c r="P537" s="617">
        <f t="shared" si="70"/>
        <v>0</v>
      </c>
      <c r="Q537" s="724">
        <f t="shared" si="71"/>
        <v>17</v>
      </c>
      <c r="R537" s="1021"/>
    </row>
    <row r="538" s="589" customFormat="1" spans="1:18">
      <c r="A538" s="710">
        <v>45185</v>
      </c>
      <c r="B538" s="713">
        <v>39</v>
      </c>
      <c r="C538" s="712">
        <v>62</v>
      </c>
      <c r="D538" s="712">
        <v>23</v>
      </c>
      <c r="E538" s="714">
        <v>0</v>
      </c>
      <c r="F538" s="1044">
        <v>0</v>
      </c>
      <c r="G538" s="714">
        <v>1</v>
      </c>
      <c r="H538" s="714">
        <v>3</v>
      </c>
      <c r="I538" s="714">
        <v>1</v>
      </c>
      <c r="J538" s="527">
        <f t="shared" si="67"/>
        <v>0.370967741935484</v>
      </c>
      <c r="K538" s="687">
        <f t="shared" si="68"/>
        <v>1.69565217391304</v>
      </c>
      <c r="L538" s="713">
        <v>624.84</v>
      </c>
      <c r="M538" s="714">
        <v>0</v>
      </c>
      <c r="N538" s="768">
        <v>0</v>
      </c>
      <c r="O538" s="617">
        <f t="shared" si="69"/>
        <v>0</v>
      </c>
      <c r="P538" s="617">
        <f t="shared" si="70"/>
        <v>0</v>
      </c>
      <c r="Q538" s="1045">
        <f t="shared" si="71"/>
        <v>39</v>
      </c>
      <c r="R538" s="1021"/>
    </row>
    <row r="539" s="589" customFormat="1" spans="1:18">
      <c r="A539" s="751">
        <v>45186</v>
      </c>
      <c r="B539" s="752">
        <v>25</v>
      </c>
      <c r="C539" s="782">
        <v>34</v>
      </c>
      <c r="D539" s="782">
        <v>7</v>
      </c>
      <c r="E539" s="755">
        <v>0</v>
      </c>
      <c r="F539" s="752">
        <v>0</v>
      </c>
      <c r="G539" s="755">
        <v>2</v>
      </c>
      <c r="H539" s="755">
        <v>0</v>
      </c>
      <c r="I539" s="755">
        <v>0</v>
      </c>
      <c r="J539" s="527">
        <f t="shared" si="67"/>
        <v>0.205882352941176</v>
      </c>
      <c r="K539" s="687">
        <f t="shared" si="68"/>
        <v>3.57142857142857</v>
      </c>
      <c r="L539" s="752">
        <v>721.76</v>
      </c>
      <c r="M539" s="755">
        <v>0</v>
      </c>
      <c r="N539" s="773">
        <v>0</v>
      </c>
      <c r="O539" s="617">
        <f t="shared" si="69"/>
        <v>0</v>
      </c>
      <c r="P539" s="617">
        <f t="shared" si="70"/>
        <v>0</v>
      </c>
      <c r="Q539" s="1046">
        <f t="shared" si="71"/>
        <v>12.5</v>
      </c>
      <c r="R539" s="1021"/>
    </row>
    <row r="540" s="589" customFormat="1" spans="1:18">
      <c r="A540" s="751">
        <v>45187</v>
      </c>
      <c r="B540" s="785">
        <v>45.44</v>
      </c>
      <c r="C540" s="782">
        <v>58</v>
      </c>
      <c r="D540" s="782">
        <v>25</v>
      </c>
      <c r="E540" s="755">
        <v>0</v>
      </c>
      <c r="F540" s="1047">
        <v>0</v>
      </c>
      <c r="G540" s="755">
        <v>7</v>
      </c>
      <c r="H540" s="755">
        <v>0</v>
      </c>
      <c r="I540" s="755">
        <v>2</v>
      </c>
      <c r="J540" s="527">
        <f t="shared" si="67"/>
        <v>0.431034482758621</v>
      </c>
      <c r="K540" s="687">
        <f t="shared" si="68"/>
        <v>1.8176</v>
      </c>
      <c r="L540" s="756">
        <v>783.45</v>
      </c>
      <c r="M540" s="755">
        <v>0</v>
      </c>
      <c r="N540" s="773">
        <v>0</v>
      </c>
      <c r="O540" s="617">
        <f t="shared" si="69"/>
        <v>0</v>
      </c>
      <c r="P540" s="617">
        <f t="shared" si="70"/>
        <v>0</v>
      </c>
      <c r="Q540" s="1046">
        <f t="shared" si="71"/>
        <v>6.49142857142857</v>
      </c>
      <c r="R540" s="1021"/>
    </row>
    <row r="541" s="589" customFormat="1" spans="1:18">
      <c r="A541" s="751">
        <v>45188</v>
      </c>
      <c r="B541" s="1048">
        <v>53.95</v>
      </c>
      <c r="C541" s="799">
        <v>70</v>
      </c>
      <c r="D541" s="799">
        <v>26</v>
      </c>
      <c r="E541" s="779">
        <v>0</v>
      </c>
      <c r="F541" s="1049">
        <v>0</v>
      </c>
      <c r="G541" s="779">
        <v>1</v>
      </c>
      <c r="H541" s="779">
        <v>0</v>
      </c>
      <c r="I541" s="779">
        <v>0</v>
      </c>
      <c r="J541" s="527">
        <f t="shared" si="67"/>
        <v>0.371428571428571</v>
      </c>
      <c r="K541" s="687">
        <f t="shared" si="68"/>
        <v>2.075</v>
      </c>
      <c r="L541" s="780">
        <v>770.71</v>
      </c>
      <c r="M541" s="779">
        <v>0</v>
      </c>
      <c r="N541" s="1050">
        <v>0</v>
      </c>
      <c r="O541" s="617">
        <f t="shared" si="69"/>
        <v>0</v>
      </c>
      <c r="P541" s="617">
        <f t="shared" si="70"/>
        <v>0</v>
      </c>
      <c r="Q541" s="1046">
        <f t="shared" si="71"/>
        <v>53.95</v>
      </c>
      <c r="R541" s="1021"/>
    </row>
    <row r="542" s="589" customFormat="1" spans="1:18">
      <c r="A542" s="751">
        <v>45189</v>
      </c>
      <c r="B542" s="783">
        <v>48.63</v>
      </c>
      <c r="C542" s="782">
        <v>64</v>
      </c>
      <c r="D542" s="782">
        <v>37</v>
      </c>
      <c r="E542" s="755">
        <v>0</v>
      </c>
      <c r="F542" s="1047">
        <v>0</v>
      </c>
      <c r="G542" s="755">
        <v>2</v>
      </c>
      <c r="H542" s="755">
        <v>1</v>
      </c>
      <c r="I542" s="755">
        <v>1</v>
      </c>
      <c r="J542" s="527">
        <f t="shared" si="67"/>
        <v>0.578125</v>
      </c>
      <c r="K542" s="687">
        <f t="shared" si="68"/>
        <v>1.31432432432432</v>
      </c>
      <c r="L542" s="756">
        <v>759.84</v>
      </c>
      <c r="M542" s="755">
        <v>0</v>
      </c>
      <c r="N542" s="773">
        <v>0</v>
      </c>
      <c r="O542" s="617">
        <f t="shared" si="69"/>
        <v>0</v>
      </c>
      <c r="P542" s="617">
        <f t="shared" si="70"/>
        <v>0</v>
      </c>
      <c r="Q542" s="1046">
        <f t="shared" si="71"/>
        <v>24.315</v>
      </c>
      <c r="R542" s="1021"/>
    </row>
    <row r="543" s="589" customFormat="1" spans="1:18">
      <c r="A543" s="751">
        <v>45190</v>
      </c>
      <c r="B543" s="785">
        <v>62.29</v>
      </c>
      <c r="C543" s="782">
        <v>79</v>
      </c>
      <c r="D543" s="719">
        <v>55</v>
      </c>
      <c r="E543" s="720">
        <v>1</v>
      </c>
      <c r="F543" s="721">
        <v>1</v>
      </c>
      <c r="G543" s="720">
        <v>1</v>
      </c>
      <c r="H543" s="720">
        <v>0</v>
      </c>
      <c r="I543" s="720">
        <v>4</v>
      </c>
      <c r="J543" s="527">
        <f t="shared" si="67"/>
        <v>0.69620253164557</v>
      </c>
      <c r="K543" s="687">
        <f t="shared" si="68"/>
        <v>1.13254545454545</v>
      </c>
      <c r="L543" s="763">
        <v>788.48</v>
      </c>
      <c r="M543" s="720">
        <v>0</v>
      </c>
      <c r="N543" s="792">
        <v>0</v>
      </c>
      <c r="O543" s="617">
        <f t="shared" si="69"/>
        <v>1</v>
      </c>
      <c r="P543" s="617">
        <f t="shared" si="70"/>
        <v>62.29</v>
      </c>
      <c r="Q543" s="1051">
        <f t="shared" si="71"/>
        <v>62.29</v>
      </c>
      <c r="R543" s="1021"/>
    </row>
    <row r="544" s="589" customFormat="1" spans="1:18">
      <c r="A544" s="751">
        <v>45191</v>
      </c>
      <c r="B544" s="740">
        <v>23.37</v>
      </c>
      <c r="C544" s="741">
        <v>25</v>
      </c>
      <c r="D544" s="741">
        <v>17</v>
      </c>
      <c r="E544" s="698">
        <v>0</v>
      </c>
      <c r="F544" s="696">
        <v>0</v>
      </c>
      <c r="G544" s="698">
        <v>2</v>
      </c>
      <c r="H544" s="698">
        <v>0</v>
      </c>
      <c r="I544" s="698">
        <v>0</v>
      </c>
      <c r="J544" s="527">
        <f t="shared" si="67"/>
        <v>0.68</v>
      </c>
      <c r="K544" s="687">
        <f t="shared" si="68"/>
        <v>1.37470588235294</v>
      </c>
      <c r="L544" s="1025">
        <v>934.8</v>
      </c>
      <c r="M544" s="698">
        <v>0</v>
      </c>
      <c r="N544" s="703">
        <v>0</v>
      </c>
      <c r="O544" s="617">
        <f t="shared" si="69"/>
        <v>0</v>
      </c>
      <c r="P544" s="617">
        <f t="shared" si="70"/>
        <v>0</v>
      </c>
      <c r="Q544" s="724">
        <f t="shared" si="71"/>
        <v>11.685</v>
      </c>
      <c r="R544" s="1021"/>
    </row>
    <row r="545" s="589" customFormat="1" spans="1:18">
      <c r="A545" s="751">
        <v>45192</v>
      </c>
      <c r="B545" s="740">
        <v>15.43</v>
      </c>
      <c r="C545" s="741">
        <v>15</v>
      </c>
      <c r="D545" s="741">
        <v>8</v>
      </c>
      <c r="E545" s="698">
        <v>0</v>
      </c>
      <c r="F545" s="696">
        <v>0</v>
      </c>
      <c r="G545" s="698">
        <v>1</v>
      </c>
      <c r="H545" s="698">
        <v>0</v>
      </c>
      <c r="I545" s="698">
        <v>0</v>
      </c>
      <c r="J545" s="527">
        <f t="shared" si="67"/>
        <v>0.533333333333333</v>
      </c>
      <c r="K545" s="687">
        <f t="shared" si="68"/>
        <v>1.92875</v>
      </c>
      <c r="L545" s="1025">
        <v>1028.67</v>
      </c>
      <c r="M545" s="698">
        <v>0</v>
      </c>
      <c r="N545" s="703">
        <v>0</v>
      </c>
      <c r="O545" s="617">
        <f t="shared" si="69"/>
        <v>0</v>
      </c>
      <c r="P545" s="617">
        <f t="shared" si="70"/>
        <v>0</v>
      </c>
      <c r="Q545" s="724">
        <f t="shared" si="71"/>
        <v>15.43</v>
      </c>
      <c r="R545" s="1021"/>
    </row>
    <row r="546" s="589" customFormat="1" spans="1:18">
      <c r="A546" s="761">
        <v>45193</v>
      </c>
      <c r="B546" s="1052">
        <v>22.53</v>
      </c>
      <c r="C546" s="1053">
        <v>27</v>
      </c>
      <c r="D546" s="1053">
        <v>12</v>
      </c>
      <c r="E546" s="714">
        <v>0</v>
      </c>
      <c r="F546" s="713">
        <v>0</v>
      </c>
      <c r="G546" s="714">
        <v>4</v>
      </c>
      <c r="H546" s="714">
        <v>0</v>
      </c>
      <c r="I546" s="714">
        <v>1</v>
      </c>
      <c r="J546" s="527">
        <f t="shared" si="67"/>
        <v>0.444444444444444</v>
      </c>
      <c r="K546" s="687">
        <f t="shared" si="68"/>
        <v>1.8775</v>
      </c>
      <c r="L546" s="1054">
        <v>834.44</v>
      </c>
      <c r="M546" s="714">
        <v>0</v>
      </c>
      <c r="N546" s="768">
        <v>0</v>
      </c>
      <c r="O546" s="617">
        <f t="shared" si="69"/>
        <v>0</v>
      </c>
      <c r="P546" s="617">
        <f t="shared" si="70"/>
        <v>0</v>
      </c>
      <c r="Q546" s="1045">
        <f t="shared" si="71"/>
        <v>5.6325</v>
      </c>
      <c r="R546" s="1021"/>
    </row>
    <row r="547" s="589" customFormat="1" spans="1:18">
      <c r="A547" s="751">
        <v>45194</v>
      </c>
      <c r="B547" s="788">
        <v>28.01</v>
      </c>
      <c r="C547" s="719">
        <v>39</v>
      </c>
      <c r="D547" s="719">
        <v>21</v>
      </c>
      <c r="E547" s="720">
        <v>0</v>
      </c>
      <c r="F547" s="721">
        <v>0</v>
      </c>
      <c r="G547" s="720">
        <v>2</v>
      </c>
      <c r="H547" s="720">
        <v>0</v>
      </c>
      <c r="I547" s="720">
        <v>1</v>
      </c>
      <c r="J547" s="527">
        <f t="shared" si="67"/>
        <v>0.538461538461538</v>
      </c>
      <c r="K547" s="687">
        <f t="shared" si="68"/>
        <v>1.33380952380952</v>
      </c>
      <c r="L547" s="763">
        <v>718.21</v>
      </c>
      <c r="M547" s="720">
        <v>0</v>
      </c>
      <c r="N547" s="792">
        <v>0</v>
      </c>
      <c r="O547" s="617">
        <f t="shared" si="69"/>
        <v>0</v>
      </c>
      <c r="P547" s="617">
        <f t="shared" ref="P547:P578" si="72">IF(E547=0,0,B547/E547)</f>
        <v>0</v>
      </c>
      <c r="Q547" s="1046">
        <f t="shared" si="71"/>
        <v>14.005</v>
      </c>
      <c r="R547" s="1021"/>
    </row>
    <row r="548" s="589" customFormat="1" spans="1:18">
      <c r="A548" s="761">
        <v>45195</v>
      </c>
      <c r="B548" s="1052">
        <v>8.9</v>
      </c>
      <c r="C548" s="1053">
        <v>14</v>
      </c>
      <c r="D548" s="1053">
        <v>6</v>
      </c>
      <c r="E548" s="714">
        <v>0</v>
      </c>
      <c r="F548" s="713">
        <v>0</v>
      </c>
      <c r="G548" s="1055">
        <v>0</v>
      </c>
      <c r="H548" s="714">
        <v>0</v>
      </c>
      <c r="I548" s="714">
        <v>0</v>
      </c>
      <c r="J548" s="527">
        <f t="shared" si="67"/>
        <v>0.428571428571429</v>
      </c>
      <c r="K548" s="687">
        <f t="shared" si="68"/>
        <v>1.48333333333333</v>
      </c>
      <c r="L548" s="1054">
        <v>635.71</v>
      </c>
      <c r="M548" s="714">
        <v>0</v>
      </c>
      <c r="N548" s="768">
        <v>0</v>
      </c>
      <c r="O548" s="617">
        <f t="shared" si="69"/>
        <v>0</v>
      </c>
      <c r="P548" s="617">
        <f t="shared" si="72"/>
        <v>0</v>
      </c>
      <c r="Q548" s="1056" t="e">
        <f t="shared" si="71"/>
        <v>#DIV/0!</v>
      </c>
      <c r="R548" s="1021"/>
    </row>
    <row r="549" s="589" customFormat="1" spans="1:18">
      <c r="A549" s="761">
        <v>45196</v>
      </c>
      <c r="B549" s="744">
        <v>20.3</v>
      </c>
      <c r="C549" s="730">
        <v>26</v>
      </c>
      <c r="D549" s="730">
        <v>5</v>
      </c>
      <c r="E549" s="714">
        <v>1</v>
      </c>
      <c r="F549" s="713">
        <v>9.9</v>
      </c>
      <c r="G549" s="1055">
        <v>1</v>
      </c>
      <c r="H549" s="714">
        <v>0</v>
      </c>
      <c r="I549" s="714">
        <v>0</v>
      </c>
      <c r="J549" s="527">
        <f t="shared" si="67"/>
        <v>0.192307692307692</v>
      </c>
      <c r="K549" s="687">
        <f t="shared" si="68"/>
        <v>4.06</v>
      </c>
      <c r="L549" s="1054">
        <f>B550/C550*1000</f>
        <v>963.636363636364</v>
      </c>
      <c r="M549" s="1057">
        <f>F549/B549</f>
        <v>0.487684729064039</v>
      </c>
      <c r="N549" s="768">
        <f>E549/D549</f>
        <v>0.2</v>
      </c>
      <c r="O549" s="617">
        <f t="shared" si="69"/>
        <v>9.9</v>
      </c>
      <c r="P549" s="617">
        <f t="shared" si="72"/>
        <v>20.3</v>
      </c>
      <c r="Q549" s="1056">
        <f t="shared" ref="Q549:Q562" si="73">B549/G549</f>
        <v>20.3</v>
      </c>
      <c r="R549" s="1021"/>
    </row>
    <row r="550" s="589" customFormat="1" spans="1:18">
      <c r="A550" s="761">
        <v>45197</v>
      </c>
      <c r="B550" s="744">
        <v>42.4</v>
      </c>
      <c r="C550" s="730">
        <v>44</v>
      </c>
      <c r="D550" s="730">
        <v>24</v>
      </c>
      <c r="E550" s="714">
        <v>1</v>
      </c>
      <c r="F550" s="713">
        <v>7260</v>
      </c>
      <c r="G550" s="1055">
        <v>1</v>
      </c>
      <c r="H550" s="714">
        <v>0</v>
      </c>
      <c r="I550" s="714">
        <v>0</v>
      </c>
      <c r="J550" s="527">
        <f t="shared" si="67"/>
        <v>0.545454545454545</v>
      </c>
      <c r="K550" s="687">
        <f t="shared" si="68"/>
        <v>1.76666666666667</v>
      </c>
      <c r="L550" s="1054">
        <f t="shared" ref="L550:L560" si="74">B551/C551*1000</f>
        <v>968.75</v>
      </c>
      <c r="M550" s="1057">
        <f>F550/B550</f>
        <v>171.22641509434</v>
      </c>
      <c r="N550" s="768">
        <f t="shared" ref="N550:N576" si="75">E550/D550</f>
        <v>0.0416666666666667</v>
      </c>
      <c r="O550" s="617">
        <f t="shared" si="69"/>
        <v>7260</v>
      </c>
      <c r="P550" s="617">
        <f t="shared" si="72"/>
        <v>42.4</v>
      </c>
      <c r="Q550" s="1056">
        <f t="shared" si="73"/>
        <v>42.4</v>
      </c>
      <c r="R550" s="1021"/>
    </row>
    <row r="551" s="589" customFormat="1" spans="1:18">
      <c r="A551" s="761">
        <v>45198</v>
      </c>
      <c r="B551" s="1043">
        <v>15.5</v>
      </c>
      <c r="C551" s="698">
        <v>16</v>
      </c>
      <c r="D551" s="729">
        <v>5</v>
      </c>
      <c r="E551" s="714">
        <v>1</v>
      </c>
      <c r="F551" s="713">
        <v>9.9</v>
      </c>
      <c r="G551" s="1055">
        <v>1</v>
      </c>
      <c r="H551" s="714">
        <v>1</v>
      </c>
      <c r="I551" s="714">
        <v>0</v>
      </c>
      <c r="J551" s="527">
        <f t="shared" si="67"/>
        <v>0.3125</v>
      </c>
      <c r="K551" s="687">
        <f t="shared" si="68"/>
        <v>3.1</v>
      </c>
      <c r="L551" s="1054">
        <f t="shared" si="74"/>
        <v>773.333333333333</v>
      </c>
      <c r="M551" s="1057">
        <f t="shared" ref="M551:M576" si="76">F551/B551</f>
        <v>0.638709677419355</v>
      </c>
      <c r="N551" s="768">
        <f t="shared" si="75"/>
        <v>0.2</v>
      </c>
      <c r="O551" s="617">
        <f t="shared" si="69"/>
        <v>9.9</v>
      </c>
      <c r="P551" s="617">
        <f t="shared" si="72"/>
        <v>15.5</v>
      </c>
      <c r="Q551" s="1056">
        <f t="shared" si="73"/>
        <v>15.5</v>
      </c>
      <c r="R551" s="1021"/>
    </row>
    <row r="552" s="589" customFormat="1" spans="1:18">
      <c r="A552" s="761">
        <v>45199</v>
      </c>
      <c r="B552" s="744">
        <v>6.96</v>
      </c>
      <c r="C552" s="730">
        <v>9</v>
      </c>
      <c r="D552" s="730">
        <v>4</v>
      </c>
      <c r="E552" s="714">
        <v>0</v>
      </c>
      <c r="F552" s="713">
        <v>0</v>
      </c>
      <c r="G552" s="1055">
        <v>2</v>
      </c>
      <c r="H552" s="714">
        <v>0</v>
      </c>
      <c r="I552" s="714">
        <v>0</v>
      </c>
      <c r="J552" s="527">
        <f t="shared" si="67"/>
        <v>0.444444444444444</v>
      </c>
      <c r="K552" s="687">
        <f t="shared" si="68"/>
        <v>1.74</v>
      </c>
      <c r="L552" s="1054">
        <f t="shared" si="74"/>
        <v>709.787234042553</v>
      </c>
      <c r="M552" s="1057">
        <f t="shared" si="76"/>
        <v>0</v>
      </c>
      <c r="N552" s="768">
        <f t="shared" si="75"/>
        <v>0</v>
      </c>
      <c r="O552" s="617">
        <f t="shared" si="69"/>
        <v>0</v>
      </c>
      <c r="P552" s="617">
        <f t="shared" si="72"/>
        <v>0</v>
      </c>
      <c r="Q552" s="1056">
        <f t="shared" si="73"/>
        <v>3.48</v>
      </c>
      <c r="R552" s="1021"/>
    </row>
    <row r="553" s="589" customFormat="1" spans="1:18">
      <c r="A553" s="761">
        <v>45200</v>
      </c>
      <c r="B553" s="1043">
        <v>33.36</v>
      </c>
      <c r="C553" s="698">
        <v>47</v>
      </c>
      <c r="D553" s="729">
        <v>13</v>
      </c>
      <c r="E553" s="714">
        <v>1</v>
      </c>
      <c r="F553" s="713">
        <v>9.9</v>
      </c>
      <c r="G553" s="1055">
        <v>5</v>
      </c>
      <c r="H553" s="714">
        <v>0</v>
      </c>
      <c r="I553" s="714">
        <v>1</v>
      </c>
      <c r="J553" s="527">
        <f t="shared" si="67"/>
        <v>0.276595744680851</v>
      </c>
      <c r="K553" s="687">
        <f t="shared" si="68"/>
        <v>2.56615384615385</v>
      </c>
      <c r="L553" s="1054">
        <f t="shared" si="74"/>
        <v>936.301369863014</v>
      </c>
      <c r="M553" s="1057">
        <f t="shared" si="76"/>
        <v>0.296762589928058</v>
      </c>
      <c r="N553" s="768">
        <f t="shared" si="75"/>
        <v>0.0769230769230769</v>
      </c>
      <c r="O553" s="617">
        <f t="shared" ref="O553:O559" si="77">IF(E553=0,0,F553/E553)</f>
        <v>9.9</v>
      </c>
      <c r="P553" s="617">
        <f t="shared" si="72"/>
        <v>33.36</v>
      </c>
      <c r="Q553" s="1056">
        <f t="shared" si="73"/>
        <v>6.672</v>
      </c>
      <c r="R553" s="1021"/>
    </row>
    <row r="554" s="589" customFormat="1" spans="1:18">
      <c r="A554" s="761">
        <v>45201</v>
      </c>
      <c r="B554" s="744">
        <v>68.35</v>
      </c>
      <c r="C554" s="730">
        <v>73</v>
      </c>
      <c r="D554" s="730">
        <v>26</v>
      </c>
      <c r="E554" s="714">
        <v>1</v>
      </c>
      <c r="F554" s="713">
        <v>9.9</v>
      </c>
      <c r="G554" s="1055">
        <v>5</v>
      </c>
      <c r="H554" s="714">
        <v>1</v>
      </c>
      <c r="I554" s="714">
        <v>3</v>
      </c>
      <c r="J554" s="527">
        <f t="shared" si="67"/>
        <v>0.356164383561644</v>
      </c>
      <c r="K554" s="687">
        <f t="shared" si="68"/>
        <v>2.62884615384615</v>
      </c>
      <c r="L554" s="1054">
        <f t="shared" si="74"/>
        <v>863.783783783784</v>
      </c>
      <c r="M554" s="1057">
        <f t="shared" si="76"/>
        <v>0.144842721287491</v>
      </c>
      <c r="N554" s="768">
        <f t="shared" si="75"/>
        <v>0.0384615384615385</v>
      </c>
      <c r="O554" s="617">
        <f t="shared" si="77"/>
        <v>9.9</v>
      </c>
      <c r="P554" s="617">
        <f t="shared" si="72"/>
        <v>68.35</v>
      </c>
      <c r="Q554" s="1056">
        <f t="shared" si="73"/>
        <v>13.67</v>
      </c>
      <c r="R554" s="1021"/>
    </row>
    <row r="555" s="589" customFormat="1" spans="1:18">
      <c r="A555" s="761">
        <v>45202</v>
      </c>
      <c r="B555" s="744">
        <v>63.92</v>
      </c>
      <c r="C555" s="730">
        <v>74</v>
      </c>
      <c r="D555" s="731">
        <v>25</v>
      </c>
      <c r="E555" s="714">
        <v>0</v>
      </c>
      <c r="F555" s="713">
        <v>0</v>
      </c>
      <c r="G555" s="1055">
        <v>7</v>
      </c>
      <c r="H555" s="714">
        <v>4</v>
      </c>
      <c r="I555" s="714">
        <v>2</v>
      </c>
      <c r="J555" s="527">
        <f t="shared" si="67"/>
        <v>0.337837837837838</v>
      </c>
      <c r="K555" s="687">
        <f t="shared" si="68"/>
        <v>2.5568</v>
      </c>
      <c r="L555" s="1054">
        <f t="shared" si="74"/>
        <v>848</v>
      </c>
      <c r="M555" s="1057">
        <f t="shared" si="76"/>
        <v>0</v>
      </c>
      <c r="N555" s="768">
        <f t="shared" si="75"/>
        <v>0</v>
      </c>
      <c r="O555" s="617">
        <f t="shared" si="77"/>
        <v>0</v>
      </c>
      <c r="P555" s="617">
        <f t="shared" si="72"/>
        <v>0</v>
      </c>
      <c r="Q555" s="1056">
        <f t="shared" si="73"/>
        <v>9.13142857142857</v>
      </c>
      <c r="R555" s="1021"/>
    </row>
    <row r="556" s="589" customFormat="1" spans="1:18">
      <c r="A556" s="761">
        <v>45203</v>
      </c>
      <c r="B556" s="744">
        <v>80.56</v>
      </c>
      <c r="C556" s="730">
        <v>95</v>
      </c>
      <c r="D556" s="730">
        <v>43</v>
      </c>
      <c r="E556" s="714">
        <v>0</v>
      </c>
      <c r="F556" s="713">
        <v>0</v>
      </c>
      <c r="G556" s="1055">
        <v>13</v>
      </c>
      <c r="H556" s="714">
        <v>4</v>
      </c>
      <c r="I556" s="714">
        <v>0</v>
      </c>
      <c r="J556" s="527">
        <f t="shared" si="67"/>
        <v>0.452631578947368</v>
      </c>
      <c r="K556" s="687">
        <f t="shared" si="68"/>
        <v>1.87348837209302</v>
      </c>
      <c r="L556" s="1054">
        <f t="shared" si="74"/>
        <v>840.752688172043</v>
      </c>
      <c r="M556" s="1057">
        <f t="shared" si="76"/>
        <v>0</v>
      </c>
      <c r="N556" s="768">
        <f t="shared" si="75"/>
        <v>0</v>
      </c>
      <c r="O556" s="617">
        <f t="shared" si="77"/>
        <v>0</v>
      </c>
      <c r="P556" s="617">
        <f t="shared" si="72"/>
        <v>0</v>
      </c>
      <c r="Q556" s="1056">
        <f t="shared" si="73"/>
        <v>6.19692307692308</v>
      </c>
      <c r="R556" s="1021"/>
    </row>
    <row r="557" s="589" customFormat="1" spans="1:18">
      <c r="A557" s="761">
        <v>45204</v>
      </c>
      <c r="B557" s="744">
        <v>78.19</v>
      </c>
      <c r="C557" s="730">
        <v>93</v>
      </c>
      <c r="D557" s="730">
        <v>35</v>
      </c>
      <c r="E557" s="714">
        <v>0</v>
      </c>
      <c r="F557" s="713">
        <v>0</v>
      </c>
      <c r="G557" s="1055">
        <v>8</v>
      </c>
      <c r="H557" s="714">
        <v>0</v>
      </c>
      <c r="I557" s="714">
        <v>5</v>
      </c>
      <c r="J557" s="527">
        <f t="shared" si="67"/>
        <v>0.376344086021505</v>
      </c>
      <c r="K557" s="687">
        <f t="shared" si="68"/>
        <v>2.234</v>
      </c>
      <c r="L557" s="1054">
        <f t="shared" si="74"/>
        <v>783.230769230769</v>
      </c>
      <c r="M557" s="1057">
        <f t="shared" si="76"/>
        <v>0</v>
      </c>
      <c r="N557" s="768">
        <f t="shared" si="75"/>
        <v>0</v>
      </c>
      <c r="O557" s="617">
        <f t="shared" si="77"/>
        <v>0</v>
      </c>
      <c r="P557" s="617">
        <f t="shared" si="72"/>
        <v>0</v>
      </c>
      <c r="Q557" s="1056">
        <f t="shared" si="73"/>
        <v>9.77375</v>
      </c>
      <c r="R557" s="1021"/>
    </row>
    <row r="558" s="589" customFormat="1" spans="1:18">
      <c r="A558" s="761">
        <v>45205</v>
      </c>
      <c r="B558" s="744">
        <v>101.82</v>
      </c>
      <c r="C558" s="730">
        <v>130</v>
      </c>
      <c r="D558" s="731">
        <v>47</v>
      </c>
      <c r="E558" s="714">
        <v>0</v>
      </c>
      <c r="F558" s="713">
        <v>0</v>
      </c>
      <c r="G558" s="1055">
        <v>10</v>
      </c>
      <c r="H558" s="714">
        <v>2</v>
      </c>
      <c r="I558" s="714">
        <v>2</v>
      </c>
      <c r="J558" s="527">
        <f t="shared" si="67"/>
        <v>0.361538461538462</v>
      </c>
      <c r="K558" s="687">
        <f t="shared" si="68"/>
        <v>2.1663829787234</v>
      </c>
      <c r="L558" s="1054">
        <f t="shared" si="74"/>
        <v>870.967741935484</v>
      </c>
      <c r="M558" s="1057">
        <f t="shared" si="76"/>
        <v>0</v>
      </c>
      <c r="N558" s="768">
        <f t="shared" si="75"/>
        <v>0</v>
      </c>
      <c r="O558" s="617">
        <f t="shared" si="77"/>
        <v>0</v>
      </c>
      <c r="P558" s="617">
        <f t="shared" si="72"/>
        <v>0</v>
      </c>
      <c r="Q558" s="1056">
        <f t="shared" si="73"/>
        <v>10.182</v>
      </c>
      <c r="R558" s="1021"/>
    </row>
    <row r="559" s="589" customFormat="1" spans="1:18">
      <c r="A559" s="761">
        <v>45206</v>
      </c>
      <c r="B559" s="746">
        <v>135</v>
      </c>
      <c r="C559" s="733">
        <v>155</v>
      </c>
      <c r="D559" s="734">
        <v>65</v>
      </c>
      <c r="E559" s="714">
        <v>1</v>
      </c>
      <c r="F559" s="713">
        <v>9.9</v>
      </c>
      <c r="G559" s="1055">
        <v>15</v>
      </c>
      <c r="H559" s="714">
        <v>2</v>
      </c>
      <c r="I559" s="714">
        <v>7</v>
      </c>
      <c r="J559" s="527">
        <f t="shared" si="67"/>
        <v>0.419354838709677</v>
      </c>
      <c r="K559" s="687">
        <f t="shared" si="68"/>
        <v>2.07692307692308</v>
      </c>
      <c r="L559" s="1054">
        <f t="shared" si="74"/>
        <v>788.588235294118</v>
      </c>
      <c r="M559" s="1057">
        <f t="shared" si="76"/>
        <v>0.0733333333333333</v>
      </c>
      <c r="N559" s="768">
        <f t="shared" si="75"/>
        <v>0.0153846153846154</v>
      </c>
      <c r="O559" s="617">
        <f t="shared" si="77"/>
        <v>9.9</v>
      </c>
      <c r="P559" s="617">
        <f t="shared" si="72"/>
        <v>135</v>
      </c>
      <c r="Q559" s="1056">
        <f t="shared" si="73"/>
        <v>9</v>
      </c>
      <c r="R559" s="1021"/>
    </row>
    <row r="560" s="589" customFormat="1" spans="1:18">
      <c r="A560" s="761">
        <v>45207</v>
      </c>
      <c r="B560" s="744">
        <v>134.06</v>
      </c>
      <c r="C560" s="730">
        <v>170</v>
      </c>
      <c r="D560" s="731">
        <v>64</v>
      </c>
      <c r="E560" s="714">
        <v>0</v>
      </c>
      <c r="F560" s="713">
        <v>0</v>
      </c>
      <c r="G560" s="1055">
        <v>17</v>
      </c>
      <c r="H560" s="714">
        <v>2</v>
      </c>
      <c r="I560" s="714">
        <v>4</v>
      </c>
      <c r="J560" s="527">
        <f t="shared" si="67"/>
        <v>0.376470588235294</v>
      </c>
      <c r="K560" s="687">
        <f t="shared" si="68"/>
        <v>2.0946875</v>
      </c>
      <c r="L560" s="1054">
        <f t="shared" si="74"/>
        <v>765.590551181102</v>
      </c>
      <c r="M560" s="1057">
        <f t="shared" si="76"/>
        <v>0</v>
      </c>
      <c r="N560" s="768">
        <f t="shared" si="75"/>
        <v>0</v>
      </c>
      <c r="O560" s="617">
        <f t="shared" ref="O560:O591" si="78">IF(E560=0,0,F560/E560)</f>
        <v>0</v>
      </c>
      <c r="P560" s="617">
        <f t="shared" si="72"/>
        <v>0</v>
      </c>
      <c r="Q560" s="1056">
        <f t="shared" si="73"/>
        <v>7.88588235294118</v>
      </c>
      <c r="R560" s="1021"/>
    </row>
    <row r="561" s="589" customFormat="1" spans="1:18">
      <c r="A561" s="761">
        <v>45208</v>
      </c>
      <c r="B561" s="744">
        <v>97.23</v>
      </c>
      <c r="C561" s="730">
        <v>127</v>
      </c>
      <c r="D561" s="731">
        <v>51</v>
      </c>
      <c r="E561" s="714">
        <v>0</v>
      </c>
      <c r="F561" s="713">
        <v>0</v>
      </c>
      <c r="G561" s="1055">
        <v>14</v>
      </c>
      <c r="H561" s="714">
        <v>7</v>
      </c>
      <c r="I561" s="714">
        <v>1</v>
      </c>
      <c r="J561" s="527">
        <f t="shared" si="67"/>
        <v>0.401574803149606</v>
      </c>
      <c r="K561" s="687">
        <f t="shared" si="68"/>
        <v>1.90647058823529</v>
      </c>
      <c r="L561" s="1054">
        <f t="shared" ref="L561:L574" si="79">B562/C562*1000</f>
        <v>734.065934065934</v>
      </c>
      <c r="M561" s="1057">
        <f t="shared" si="76"/>
        <v>0</v>
      </c>
      <c r="N561" s="768">
        <f t="shared" si="75"/>
        <v>0</v>
      </c>
      <c r="O561" s="617">
        <f t="shared" si="78"/>
        <v>0</v>
      </c>
      <c r="P561" s="617">
        <f t="shared" si="72"/>
        <v>0</v>
      </c>
      <c r="Q561" s="1056">
        <f t="shared" si="73"/>
        <v>6.945</v>
      </c>
      <c r="R561" s="1021"/>
    </row>
    <row r="562" s="589" customFormat="1" spans="1:18">
      <c r="A562" s="751">
        <v>45209</v>
      </c>
      <c r="B562" s="785">
        <v>133.6</v>
      </c>
      <c r="C562" s="782">
        <v>182</v>
      </c>
      <c r="D562" s="782">
        <v>75</v>
      </c>
      <c r="E562" s="755">
        <v>4</v>
      </c>
      <c r="F562" s="752">
        <v>4819.8</v>
      </c>
      <c r="G562" s="755">
        <v>12</v>
      </c>
      <c r="H562" s="755">
        <v>10</v>
      </c>
      <c r="I562" s="755">
        <v>6</v>
      </c>
      <c r="J562" s="527">
        <f t="shared" si="67"/>
        <v>0.412087912087912</v>
      </c>
      <c r="K562" s="687">
        <f t="shared" si="68"/>
        <v>1.78133333333333</v>
      </c>
      <c r="L562" s="1054">
        <f t="shared" si="79"/>
        <v>832.608695652174</v>
      </c>
      <c r="M562" s="1057">
        <f t="shared" si="76"/>
        <v>36.0763473053892</v>
      </c>
      <c r="N562" s="768">
        <f t="shared" si="75"/>
        <v>0.0533333333333333</v>
      </c>
      <c r="O562" s="617">
        <f t="shared" si="78"/>
        <v>1204.95</v>
      </c>
      <c r="P562" s="617">
        <f t="shared" si="72"/>
        <v>33.4</v>
      </c>
      <c r="Q562" s="1056">
        <f t="shared" si="73"/>
        <v>11.1333333333333</v>
      </c>
      <c r="R562" s="1021"/>
    </row>
    <row r="563" s="589" customFormat="1" spans="1:18">
      <c r="A563" s="751">
        <v>45210</v>
      </c>
      <c r="B563" s="785">
        <v>114.9</v>
      </c>
      <c r="C563" s="782">
        <v>138</v>
      </c>
      <c r="D563" s="782">
        <v>44</v>
      </c>
      <c r="E563" s="755">
        <v>2</v>
      </c>
      <c r="F563" s="752">
        <v>19.8</v>
      </c>
      <c r="G563" s="755">
        <v>9</v>
      </c>
      <c r="H563" s="755">
        <v>7</v>
      </c>
      <c r="I563" s="755">
        <v>7</v>
      </c>
      <c r="J563" s="527">
        <f t="shared" si="67"/>
        <v>0.318840579710145</v>
      </c>
      <c r="K563" s="687">
        <f t="shared" si="68"/>
        <v>2.61136363636364</v>
      </c>
      <c r="L563" s="1054">
        <f t="shared" si="79"/>
        <v>830.044247787611</v>
      </c>
      <c r="M563" s="1057">
        <f t="shared" si="76"/>
        <v>0.172323759791123</v>
      </c>
      <c r="N563" s="768">
        <f t="shared" si="75"/>
        <v>0.0454545454545455</v>
      </c>
      <c r="O563" s="617">
        <f t="shared" si="78"/>
        <v>9.9</v>
      </c>
      <c r="P563" s="617">
        <f t="shared" si="72"/>
        <v>57.45</v>
      </c>
      <c r="Q563" s="1046">
        <f t="shared" ref="Q563:Q576" si="80">B563/G563</f>
        <v>12.7666666666667</v>
      </c>
      <c r="R563" s="1021"/>
    </row>
    <row r="564" s="589" customFormat="1" spans="1:18">
      <c r="A564" s="751">
        <v>45211</v>
      </c>
      <c r="B564" s="785">
        <v>187.59</v>
      </c>
      <c r="C564" s="782">
        <v>226</v>
      </c>
      <c r="D564" s="782">
        <v>91</v>
      </c>
      <c r="E564" s="755">
        <v>3</v>
      </c>
      <c r="F564" s="752">
        <v>34.9</v>
      </c>
      <c r="G564" s="755">
        <v>29</v>
      </c>
      <c r="H564" s="755">
        <v>7</v>
      </c>
      <c r="I564" s="755">
        <v>7</v>
      </c>
      <c r="J564" s="527">
        <f t="shared" si="67"/>
        <v>0.402654867256637</v>
      </c>
      <c r="K564" s="687">
        <f t="shared" si="68"/>
        <v>2.06142857142857</v>
      </c>
      <c r="L564" s="1054">
        <f t="shared" si="79"/>
        <v>802.721088435374</v>
      </c>
      <c r="M564" s="1057">
        <f t="shared" si="76"/>
        <v>0.186044032197878</v>
      </c>
      <c r="N564" s="768">
        <f t="shared" si="75"/>
        <v>0.032967032967033</v>
      </c>
      <c r="O564" s="617">
        <f t="shared" si="78"/>
        <v>11.6333333333333</v>
      </c>
      <c r="P564" s="617">
        <f t="shared" si="72"/>
        <v>62.53</v>
      </c>
      <c r="Q564" s="1046">
        <f t="shared" si="80"/>
        <v>6.46862068965517</v>
      </c>
      <c r="R564" s="1021"/>
    </row>
    <row r="565" s="589" customFormat="1" spans="1:18">
      <c r="A565" s="751">
        <v>45212</v>
      </c>
      <c r="B565" s="752">
        <v>118</v>
      </c>
      <c r="C565" s="782">
        <v>147</v>
      </c>
      <c r="D565" s="782">
        <v>55</v>
      </c>
      <c r="E565" s="755">
        <v>6</v>
      </c>
      <c r="F565" s="752">
        <v>125</v>
      </c>
      <c r="G565" s="755">
        <v>11</v>
      </c>
      <c r="H565" s="755">
        <v>4</v>
      </c>
      <c r="I565" s="755">
        <v>2</v>
      </c>
      <c r="J565" s="527">
        <f t="shared" si="67"/>
        <v>0.374149659863946</v>
      </c>
      <c r="K565" s="687">
        <f t="shared" si="68"/>
        <v>2.14545454545455</v>
      </c>
      <c r="L565" s="1054">
        <f t="shared" si="79"/>
        <v>928.571428571429</v>
      </c>
      <c r="M565" s="1057">
        <f t="shared" si="76"/>
        <v>1.05932203389831</v>
      </c>
      <c r="N565" s="768">
        <f t="shared" si="75"/>
        <v>0.109090909090909</v>
      </c>
      <c r="O565" s="617">
        <f t="shared" si="78"/>
        <v>20.8333333333333</v>
      </c>
      <c r="P565" s="617">
        <f t="shared" si="72"/>
        <v>19.6666666666667</v>
      </c>
      <c r="Q565" s="1046">
        <f t="shared" si="80"/>
        <v>10.7272727272727</v>
      </c>
      <c r="R565" s="1021"/>
    </row>
    <row r="566" s="589" customFormat="1" spans="1:18">
      <c r="A566" s="751">
        <v>45213</v>
      </c>
      <c r="B566" s="752">
        <v>130</v>
      </c>
      <c r="C566" s="782">
        <v>140</v>
      </c>
      <c r="D566" s="782">
        <v>63</v>
      </c>
      <c r="E566" s="755">
        <v>1</v>
      </c>
      <c r="F566" s="752">
        <v>25614</v>
      </c>
      <c r="G566" s="755">
        <v>8</v>
      </c>
      <c r="H566" s="755">
        <v>1</v>
      </c>
      <c r="I566" s="755">
        <v>6</v>
      </c>
      <c r="J566" s="527">
        <f t="shared" si="67"/>
        <v>0.45</v>
      </c>
      <c r="K566" s="687">
        <f t="shared" si="68"/>
        <v>2.06349206349206</v>
      </c>
      <c r="L566" s="1054">
        <f t="shared" si="79"/>
        <v>892.215568862276</v>
      </c>
      <c r="M566" s="1057">
        <f t="shared" si="76"/>
        <v>197.030769230769</v>
      </c>
      <c r="N566" s="768">
        <f t="shared" si="75"/>
        <v>0.0158730158730159</v>
      </c>
      <c r="O566" s="617">
        <f t="shared" si="78"/>
        <v>25614</v>
      </c>
      <c r="P566" s="617">
        <f t="shared" si="72"/>
        <v>130</v>
      </c>
      <c r="Q566" s="1046">
        <f t="shared" si="80"/>
        <v>16.25</v>
      </c>
      <c r="R566" s="1021"/>
    </row>
    <row r="567" s="589" customFormat="1" spans="1:18">
      <c r="A567" s="751">
        <v>45214</v>
      </c>
      <c r="B567" s="752">
        <v>149</v>
      </c>
      <c r="C567" s="782">
        <v>167</v>
      </c>
      <c r="D567" s="782">
        <v>83</v>
      </c>
      <c r="E567" s="755">
        <v>0</v>
      </c>
      <c r="F567" s="752">
        <v>0</v>
      </c>
      <c r="G567" s="755">
        <v>12</v>
      </c>
      <c r="H567" s="755">
        <v>1</v>
      </c>
      <c r="I567" s="755">
        <v>10</v>
      </c>
      <c r="J567" s="527">
        <f t="shared" si="67"/>
        <v>0.497005988023952</v>
      </c>
      <c r="K567" s="687">
        <f t="shared" si="68"/>
        <v>1.79518072289157</v>
      </c>
      <c r="L567" s="1054">
        <f t="shared" si="79"/>
        <v>849.673202614379</v>
      </c>
      <c r="M567" s="1057">
        <f t="shared" si="76"/>
        <v>0</v>
      </c>
      <c r="N567" s="768">
        <f t="shared" si="75"/>
        <v>0</v>
      </c>
      <c r="O567" s="617">
        <f t="shared" si="78"/>
        <v>0</v>
      </c>
      <c r="P567" s="617">
        <f t="shared" si="72"/>
        <v>0</v>
      </c>
      <c r="Q567" s="1046">
        <f t="shared" si="80"/>
        <v>12.4166666666667</v>
      </c>
      <c r="R567" s="1021"/>
    </row>
    <row r="568" s="589" customFormat="1" spans="1:18">
      <c r="A568" s="751">
        <v>45215</v>
      </c>
      <c r="B568" s="752">
        <v>260</v>
      </c>
      <c r="C568" s="782">
        <v>306</v>
      </c>
      <c r="D568" s="782">
        <v>142</v>
      </c>
      <c r="E568" s="755">
        <v>0</v>
      </c>
      <c r="F568" s="721">
        <v>0</v>
      </c>
      <c r="G568" s="720">
        <v>21</v>
      </c>
      <c r="H568" s="720">
        <v>13</v>
      </c>
      <c r="I568" s="720">
        <v>7</v>
      </c>
      <c r="J568" s="527">
        <f t="shared" si="67"/>
        <v>0.464052287581699</v>
      </c>
      <c r="K568" s="687">
        <f t="shared" si="68"/>
        <v>1.83098591549296</v>
      </c>
      <c r="L568" s="1054">
        <f t="shared" si="79"/>
        <v>742.158808933002</v>
      </c>
      <c r="M568" s="1057">
        <f t="shared" si="76"/>
        <v>0</v>
      </c>
      <c r="N568" s="768">
        <f t="shared" si="75"/>
        <v>0</v>
      </c>
      <c r="O568" s="617">
        <f t="shared" si="78"/>
        <v>0</v>
      </c>
      <c r="P568" s="617">
        <f t="shared" si="72"/>
        <v>0</v>
      </c>
      <c r="Q568" s="1051">
        <f t="shared" si="80"/>
        <v>12.3809523809524</v>
      </c>
      <c r="R568" s="1021"/>
    </row>
    <row r="569" s="589" customFormat="1" spans="1:18">
      <c r="A569" s="761">
        <v>45216</v>
      </c>
      <c r="B569" s="1052">
        <v>299.09</v>
      </c>
      <c r="C569" s="1053">
        <v>403</v>
      </c>
      <c r="D569" s="1053">
        <v>174</v>
      </c>
      <c r="E569" s="1053">
        <v>0</v>
      </c>
      <c r="F569" s="721">
        <v>0</v>
      </c>
      <c r="G569" s="714">
        <v>30</v>
      </c>
      <c r="H569" s="714">
        <v>6</v>
      </c>
      <c r="I569" s="714">
        <v>10</v>
      </c>
      <c r="J569" s="527">
        <f t="shared" si="67"/>
        <v>0.431761786600496</v>
      </c>
      <c r="K569" s="687">
        <f t="shared" si="68"/>
        <v>1.71890804597701</v>
      </c>
      <c r="L569" s="1054">
        <f t="shared" si="79"/>
        <v>724.281767955801</v>
      </c>
      <c r="M569" s="1057">
        <f t="shared" si="76"/>
        <v>0</v>
      </c>
      <c r="N569" s="768">
        <f t="shared" si="75"/>
        <v>0</v>
      </c>
      <c r="O569" s="617">
        <f t="shared" si="78"/>
        <v>0</v>
      </c>
      <c r="P569" s="617">
        <f t="shared" si="72"/>
        <v>0</v>
      </c>
      <c r="Q569" s="724">
        <f t="shared" si="80"/>
        <v>9.96966666666667</v>
      </c>
      <c r="R569" s="1021"/>
    </row>
    <row r="570" s="589" customFormat="1" spans="1:18">
      <c r="A570" s="761">
        <v>45217</v>
      </c>
      <c r="B570" s="788">
        <v>524.38</v>
      </c>
      <c r="C570" s="719">
        <v>724</v>
      </c>
      <c r="D570" s="719">
        <v>273</v>
      </c>
      <c r="E570" s="720">
        <v>0</v>
      </c>
      <c r="F570" s="721">
        <v>0</v>
      </c>
      <c r="G570" s="720">
        <v>54</v>
      </c>
      <c r="H570" s="720">
        <v>10</v>
      </c>
      <c r="I570" s="720">
        <v>22</v>
      </c>
      <c r="J570" s="527">
        <f t="shared" si="67"/>
        <v>0.37707182320442</v>
      </c>
      <c r="K570" s="687">
        <f t="shared" si="68"/>
        <v>1.92080586080586</v>
      </c>
      <c r="L570" s="1054">
        <f t="shared" si="79"/>
        <v>776.079136690647</v>
      </c>
      <c r="M570" s="1057">
        <f t="shared" si="76"/>
        <v>0</v>
      </c>
      <c r="N570" s="768">
        <f t="shared" si="75"/>
        <v>0</v>
      </c>
      <c r="O570" s="617">
        <f t="shared" si="78"/>
        <v>0</v>
      </c>
      <c r="P570" s="617">
        <f t="shared" si="72"/>
        <v>0</v>
      </c>
      <c r="Q570" s="1045">
        <f t="shared" si="80"/>
        <v>9.71074074074074</v>
      </c>
      <c r="R570" s="1021"/>
    </row>
    <row r="571" s="589" customFormat="1" spans="1:18">
      <c r="A571" s="751">
        <v>45218</v>
      </c>
      <c r="B571" s="785">
        <v>431.5</v>
      </c>
      <c r="C571" s="782">
        <v>556</v>
      </c>
      <c r="D571" s="782">
        <v>189</v>
      </c>
      <c r="E571" s="755">
        <v>0</v>
      </c>
      <c r="F571" s="752">
        <v>0</v>
      </c>
      <c r="G571" s="755">
        <v>41</v>
      </c>
      <c r="H571" s="755">
        <v>8</v>
      </c>
      <c r="I571" s="755">
        <v>14</v>
      </c>
      <c r="J571" s="527">
        <f t="shared" si="67"/>
        <v>0.339928057553957</v>
      </c>
      <c r="K571" s="687">
        <f t="shared" si="68"/>
        <v>2.28306878306878</v>
      </c>
      <c r="L571" s="1054">
        <f t="shared" si="79"/>
        <v>811.388888888889</v>
      </c>
      <c r="M571" s="1057">
        <f t="shared" si="76"/>
        <v>0</v>
      </c>
      <c r="N571" s="768">
        <f t="shared" si="75"/>
        <v>0</v>
      </c>
      <c r="O571" s="617">
        <f t="shared" si="78"/>
        <v>0</v>
      </c>
      <c r="P571" s="617">
        <f t="shared" si="72"/>
        <v>0</v>
      </c>
      <c r="Q571" s="1046">
        <f t="shared" si="80"/>
        <v>10.5243902439024</v>
      </c>
      <c r="R571" s="1021"/>
    </row>
    <row r="572" s="589" customFormat="1" spans="1:18">
      <c r="A572" s="751">
        <v>45219</v>
      </c>
      <c r="B572" s="785">
        <v>262.89</v>
      </c>
      <c r="C572" s="782">
        <v>324</v>
      </c>
      <c r="D572" s="782">
        <v>117</v>
      </c>
      <c r="E572" s="755">
        <v>0</v>
      </c>
      <c r="F572" s="752">
        <v>0</v>
      </c>
      <c r="G572" s="755">
        <v>32</v>
      </c>
      <c r="H572" s="755">
        <v>8</v>
      </c>
      <c r="I572" s="755">
        <v>6</v>
      </c>
      <c r="J572" s="527">
        <f t="shared" si="67"/>
        <v>0.361111111111111</v>
      </c>
      <c r="K572" s="687">
        <f t="shared" si="68"/>
        <v>2.24692307692308</v>
      </c>
      <c r="L572" s="1054">
        <f t="shared" si="79"/>
        <v>673.838383838384</v>
      </c>
      <c r="M572" s="1057">
        <f t="shared" si="76"/>
        <v>0</v>
      </c>
      <c r="N572" s="768">
        <f t="shared" si="75"/>
        <v>0</v>
      </c>
      <c r="O572" s="617">
        <f t="shared" si="78"/>
        <v>0</v>
      </c>
      <c r="P572" s="617">
        <f t="shared" si="72"/>
        <v>0</v>
      </c>
      <c r="Q572" s="1046">
        <f t="shared" si="80"/>
        <v>8.2153125</v>
      </c>
      <c r="R572" s="1021"/>
    </row>
    <row r="573" s="589" customFormat="1" spans="1:18">
      <c r="A573" s="751">
        <v>45220</v>
      </c>
      <c r="B573" s="785">
        <v>266.84</v>
      </c>
      <c r="C573" s="782">
        <v>396</v>
      </c>
      <c r="D573" s="782">
        <v>165</v>
      </c>
      <c r="E573" s="755">
        <v>0</v>
      </c>
      <c r="F573" s="752">
        <v>0</v>
      </c>
      <c r="G573" s="755">
        <v>32</v>
      </c>
      <c r="H573" s="755">
        <v>6</v>
      </c>
      <c r="I573" s="720">
        <v>15</v>
      </c>
      <c r="J573" s="527">
        <f t="shared" si="67"/>
        <v>0.416666666666667</v>
      </c>
      <c r="K573" s="687">
        <f t="shared" si="68"/>
        <v>1.61721212121212</v>
      </c>
      <c r="L573" s="1054">
        <f t="shared" si="79"/>
        <v>868.269720101781</v>
      </c>
      <c r="M573" s="1057">
        <f t="shared" si="76"/>
        <v>0</v>
      </c>
      <c r="N573" s="768">
        <f t="shared" si="75"/>
        <v>0</v>
      </c>
      <c r="O573" s="617">
        <f t="shared" si="78"/>
        <v>0</v>
      </c>
      <c r="P573" s="617">
        <f t="shared" si="72"/>
        <v>0</v>
      </c>
      <c r="Q573" s="1046">
        <f t="shared" si="80"/>
        <v>8.33875</v>
      </c>
      <c r="R573" s="1021"/>
    </row>
    <row r="574" s="589" customFormat="1" spans="1:18">
      <c r="A574" s="761">
        <v>45221</v>
      </c>
      <c r="B574" s="788">
        <v>341.23</v>
      </c>
      <c r="C574" s="719">
        <v>393</v>
      </c>
      <c r="D574" s="719">
        <v>184</v>
      </c>
      <c r="E574" s="720">
        <v>0</v>
      </c>
      <c r="F574" s="721">
        <v>0</v>
      </c>
      <c r="G574" s="720">
        <v>36</v>
      </c>
      <c r="H574" s="720">
        <v>5</v>
      </c>
      <c r="I574" s="720">
        <v>14</v>
      </c>
      <c r="J574" s="527">
        <f t="shared" si="67"/>
        <v>0.468193384223919</v>
      </c>
      <c r="K574" s="687">
        <f t="shared" si="68"/>
        <v>1.85451086956522</v>
      </c>
      <c r="L574" s="763">
        <f t="shared" si="79"/>
        <v>951.021126760563</v>
      </c>
      <c r="M574" s="1057">
        <f t="shared" si="76"/>
        <v>0</v>
      </c>
      <c r="N574" s="768">
        <f t="shared" si="75"/>
        <v>0</v>
      </c>
      <c r="O574" s="617">
        <f t="shared" si="78"/>
        <v>0</v>
      </c>
      <c r="P574" s="617">
        <f t="shared" si="72"/>
        <v>0</v>
      </c>
      <c r="Q574" s="1051">
        <f t="shared" si="80"/>
        <v>9.47861111111111</v>
      </c>
      <c r="R574" s="1021"/>
    </row>
    <row r="575" s="589" customFormat="1" spans="1:18">
      <c r="A575" s="751">
        <v>45222</v>
      </c>
      <c r="B575" s="785">
        <v>270.09</v>
      </c>
      <c r="C575" s="782">
        <v>284</v>
      </c>
      <c r="D575" s="782">
        <v>127</v>
      </c>
      <c r="E575" s="755">
        <v>1</v>
      </c>
      <c r="F575" s="752">
        <v>25962</v>
      </c>
      <c r="G575" s="755">
        <v>23</v>
      </c>
      <c r="H575" s="755">
        <v>4</v>
      </c>
      <c r="I575" s="755">
        <v>5</v>
      </c>
      <c r="J575" s="527">
        <f t="shared" si="67"/>
        <v>0.447183098591549</v>
      </c>
      <c r="K575" s="687">
        <f t="shared" si="68"/>
        <v>2.12669291338583</v>
      </c>
      <c r="L575" s="756">
        <v>951.02</v>
      </c>
      <c r="M575" s="772">
        <f t="shared" si="76"/>
        <v>96.1235143840942</v>
      </c>
      <c r="N575" s="773">
        <f t="shared" si="75"/>
        <v>0.0078740157480315</v>
      </c>
      <c r="O575" s="617">
        <f t="shared" si="78"/>
        <v>25962</v>
      </c>
      <c r="P575" s="617">
        <f t="shared" si="72"/>
        <v>270.09</v>
      </c>
      <c r="Q575" s="1046">
        <f t="shared" si="80"/>
        <v>11.7430434782609</v>
      </c>
      <c r="R575" s="1021"/>
    </row>
    <row r="576" s="589" customFormat="1" spans="1:18">
      <c r="A576" s="751">
        <v>45223</v>
      </c>
      <c r="B576" s="752">
        <v>533.46</v>
      </c>
      <c r="C576" s="771">
        <v>565</v>
      </c>
      <c r="D576" s="755">
        <v>257</v>
      </c>
      <c r="E576" s="755">
        <v>9</v>
      </c>
      <c r="F576" s="752">
        <f>62085+31192</f>
        <v>93277</v>
      </c>
      <c r="G576" s="755">
        <v>38</v>
      </c>
      <c r="H576" s="755">
        <v>19</v>
      </c>
      <c r="I576" s="755">
        <v>33</v>
      </c>
      <c r="J576" s="527">
        <f t="shared" si="67"/>
        <v>0.454867256637168</v>
      </c>
      <c r="K576" s="687">
        <f t="shared" si="68"/>
        <v>2.07571984435798</v>
      </c>
      <c r="L576" s="756">
        <f>B576/C576*1000</f>
        <v>944.176991150443</v>
      </c>
      <c r="M576" s="772">
        <f t="shared" si="76"/>
        <v>174.852847448731</v>
      </c>
      <c r="N576" s="773">
        <f t="shared" si="75"/>
        <v>0.0350194552529183</v>
      </c>
      <c r="O576" s="617">
        <f t="shared" si="78"/>
        <v>10364.1111111111</v>
      </c>
      <c r="P576" s="617">
        <f t="shared" si="72"/>
        <v>59.2733333333333</v>
      </c>
      <c r="Q576" s="1046">
        <f t="shared" si="80"/>
        <v>14.0384210526316</v>
      </c>
      <c r="R576" s="1021"/>
    </row>
    <row r="577" s="589" customFormat="1" spans="1:18">
      <c r="A577" s="751">
        <v>45224</v>
      </c>
      <c r="B577" s="752">
        <v>581.49</v>
      </c>
      <c r="C577" s="771">
        <v>616</v>
      </c>
      <c r="D577" s="755">
        <v>339</v>
      </c>
      <c r="E577" s="755">
        <f>17+14</f>
        <v>31</v>
      </c>
      <c r="F577" s="752">
        <f>179171+154259</f>
        <v>333430</v>
      </c>
      <c r="G577" s="755">
        <v>49</v>
      </c>
      <c r="H577" s="755">
        <v>16</v>
      </c>
      <c r="I577" s="755">
        <v>59</v>
      </c>
      <c r="J577" s="527">
        <f t="shared" si="67"/>
        <v>0.550324675324675</v>
      </c>
      <c r="K577" s="687">
        <f t="shared" si="68"/>
        <v>1.71530973451327</v>
      </c>
      <c r="L577" s="756">
        <f t="shared" ref="L577:L613" si="81">B577/C577*1000</f>
        <v>943.977272727273</v>
      </c>
      <c r="M577" s="772">
        <f t="shared" ref="M577:M613" si="82">F577/B577</f>
        <v>573.406249462587</v>
      </c>
      <c r="N577" s="773">
        <f t="shared" ref="N577:N613" si="83">E577/D577</f>
        <v>0.0914454277286136</v>
      </c>
      <c r="O577" s="617">
        <f t="shared" si="78"/>
        <v>10755.8064516129</v>
      </c>
      <c r="P577" s="617">
        <f t="shared" si="72"/>
        <v>18.7577419354839</v>
      </c>
      <c r="Q577" s="1046">
        <f t="shared" ref="Q577:Q613" si="84">B577/G577</f>
        <v>11.8671428571429</v>
      </c>
      <c r="R577" s="1021"/>
    </row>
    <row r="578" s="589" customFormat="1" spans="1:18">
      <c r="A578" s="751">
        <v>45225</v>
      </c>
      <c r="B578" s="752">
        <v>442.8</v>
      </c>
      <c r="C578" s="771">
        <v>502</v>
      </c>
      <c r="D578" s="755">
        <v>213</v>
      </c>
      <c r="E578" s="755">
        <f>7+7</f>
        <v>14</v>
      </c>
      <c r="F578" s="752">
        <f>110774+111147</f>
        <v>221921</v>
      </c>
      <c r="G578" s="755">
        <v>20</v>
      </c>
      <c r="H578" s="755">
        <v>19</v>
      </c>
      <c r="I578" s="755">
        <v>37</v>
      </c>
      <c r="J578" s="527">
        <f t="shared" ref="J578:J641" si="85">D578/C578</f>
        <v>0.424302788844622</v>
      </c>
      <c r="K578" s="687">
        <f t="shared" ref="K578:K641" si="86">B578/D578</f>
        <v>2.07887323943662</v>
      </c>
      <c r="L578" s="756">
        <f t="shared" si="81"/>
        <v>882.07171314741</v>
      </c>
      <c r="M578" s="772">
        <f t="shared" si="82"/>
        <v>501.176603432701</v>
      </c>
      <c r="N578" s="773">
        <f t="shared" si="83"/>
        <v>0.0657276995305164</v>
      </c>
      <c r="O578" s="617">
        <f t="shared" si="78"/>
        <v>15851.5</v>
      </c>
      <c r="P578" s="617">
        <f t="shared" si="72"/>
        <v>31.6285714285714</v>
      </c>
      <c r="Q578" s="1046">
        <f t="shared" si="84"/>
        <v>22.14</v>
      </c>
      <c r="R578" s="1021"/>
    </row>
    <row r="579" s="589" customFormat="1" spans="1:18">
      <c r="A579" s="751">
        <v>45226</v>
      </c>
      <c r="B579" s="752">
        <v>464.24</v>
      </c>
      <c r="C579" s="771">
        <v>549</v>
      </c>
      <c r="D579" s="755">
        <v>198</v>
      </c>
      <c r="E579" s="755">
        <v>3</v>
      </c>
      <c r="F579" s="752">
        <f>33891+11097</f>
        <v>44988</v>
      </c>
      <c r="G579" s="755">
        <v>44</v>
      </c>
      <c r="H579" s="755">
        <v>22</v>
      </c>
      <c r="I579" s="755">
        <v>39</v>
      </c>
      <c r="J579" s="527">
        <f t="shared" si="85"/>
        <v>0.360655737704918</v>
      </c>
      <c r="K579" s="687">
        <f t="shared" si="86"/>
        <v>2.34464646464646</v>
      </c>
      <c r="L579" s="756">
        <f t="shared" si="81"/>
        <v>845.610200364299</v>
      </c>
      <c r="M579" s="772">
        <f t="shared" si="82"/>
        <v>96.9067723591246</v>
      </c>
      <c r="N579" s="773">
        <f t="shared" si="83"/>
        <v>0.0151515151515152</v>
      </c>
      <c r="O579" s="617">
        <f t="shared" si="78"/>
        <v>14996</v>
      </c>
      <c r="P579" s="617">
        <f t="shared" ref="P579:P610" si="87">IF(E579=0,0,B579/E579)</f>
        <v>154.746666666667</v>
      </c>
      <c r="Q579" s="1046">
        <f t="shared" si="84"/>
        <v>10.5509090909091</v>
      </c>
      <c r="R579" s="1021"/>
    </row>
    <row r="580" s="589" customFormat="1" spans="1:18">
      <c r="A580" s="751">
        <v>45227</v>
      </c>
      <c r="B580" s="752">
        <v>397.79</v>
      </c>
      <c r="C580" s="771">
        <v>479</v>
      </c>
      <c r="D580" s="755">
        <v>192</v>
      </c>
      <c r="E580" s="755">
        <v>4</v>
      </c>
      <c r="F580" s="752">
        <f>31093+31093</f>
        <v>62186</v>
      </c>
      <c r="G580" s="755">
        <v>30</v>
      </c>
      <c r="H580" s="755">
        <v>11</v>
      </c>
      <c r="I580" s="755">
        <v>38</v>
      </c>
      <c r="J580" s="527">
        <f t="shared" si="85"/>
        <v>0.400835073068894</v>
      </c>
      <c r="K580" s="687">
        <f t="shared" si="86"/>
        <v>2.07182291666667</v>
      </c>
      <c r="L580" s="756">
        <f t="shared" si="81"/>
        <v>830.459290187891</v>
      </c>
      <c r="M580" s="772">
        <f t="shared" si="82"/>
        <v>156.328716156766</v>
      </c>
      <c r="N580" s="773">
        <f t="shared" si="83"/>
        <v>0.0208333333333333</v>
      </c>
      <c r="O580" s="617">
        <f t="shared" si="78"/>
        <v>15546.5</v>
      </c>
      <c r="P580" s="617">
        <f t="shared" si="87"/>
        <v>99.4475</v>
      </c>
      <c r="Q580" s="1046">
        <f t="shared" si="84"/>
        <v>13.2596666666667</v>
      </c>
      <c r="R580" s="1021"/>
    </row>
    <row r="581" s="589" customFormat="1" spans="1:18">
      <c r="A581" s="751">
        <v>45228</v>
      </c>
      <c r="B581" s="752">
        <v>498.83</v>
      </c>
      <c r="C581" s="770">
        <v>464</v>
      </c>
      <c r="D581" s="755">
        <v>213</v>
      </c>
      <c r="E581" s="755">
        <v>20</v>
      </c>
      <c r="F581" s="752">
        <f>161645+110376</f>
        <v>272021</v>
      </c>
      <c r="G581" s="755">
        <v>67</v>
      </c>
      <c r="H581" s="755">
        <v>18</v>
      </c>
      <c r="I581" s="755">
        <v>39</v>
      </c>
      <c r="J581" s="527">
        <f t="shared" si="85"/>
        <v>0.459051724137931</v>
      </c>
      <c r="K581" s="687">
        <f t="shared" si="86"/>
        <v>2.34192488262911</v>
      </c>
      <c r="L581" s="756">
        <f t="shared" si="81"/>
        <v>1075.06465517241</v>
      </c>
      <c r="M581" s="772">
        <f t="shared" si="82"/>
        <v>545.318044223483</v>
      </c>
      <c r="N581" s="773">
        <f t="shared" si="83"/>
        <v>0.0938967136150235</v>
      </c>
      <c r="O581" s="617">
        <f t="shared" si="78"/>
        <v>13601.05</v>
      </c>
      <c r="P581" s="617">
        <f t="shared" si="87"/>
        <v>24.9415</v>
      </c>
      <c r="Q581" s="1046">
        <f t="shared" si="84"/>
        <v>7.44522388059701</v>
      </c>
      <c r="R581" s="1021"/>
    </row>
    <row r="582" s="589" customFormat="1" spans="1:18">
      <c r="A582" s="751">
        <v>45229</v>
      </c>
      <c r="B582" s="752">
        <v>359.4</v>
      </c>
      <c r="C582" s="770">
        <v>332</v>
      </c>
      <c r="D582" s="755">
        <v>133</v>
      </c>
      <c r="E582" s="755">
        <v>4</v>
      </c>
      <c r="F582" s="752">
        <f>19769+19869</f>
        <v>39638</v>
      </c>
      <c r="G582" s="755">
        <v>13</v>
      </c>
      <c r="H582" s="755">
        <v>3</v>
      </c>
      <c r="I582" s="755">
        <v>16</v>
      </c>
      <c r="J582" s="527">
        <f t="shared" si="85"/>
        <v>0.400602409638554</v>
      </c>
      <c r="K582" s="687">
        <f t="shared" si="86"/>
        <v>2.70225563909774</v>
      </c>
      <c r="L582" s="756">
        <f t="shared" si="81"/>
        <v>1082.53012048193</v>
      </c>
      <c r="M582" s="772">
        <f t="shared" si="82"/>
        <v>110.289371174179</v>
      </c>
      <c r="N582" s="773">
        <f t="shared" si="83"/>
        <v>0.0300751879699248</v>
      </c>
      <c r="O582" s="617">
        <f t="shared" si="78"/>
        <v>9909.5</v>
      </c>
      <c r="P582" s="617">
        <f t="shared" si="87"/>
        <v>89.85</v>
      </c>
      <c r="Q582" s="1046">
        <f t="shared" si="84"/>
        <v>27.6461538461538</v>
      </c>
      <c r="R582" s="1021"/>
    </row>
    <row r="583" s="589" customFormat="1" spans="1:18">
      <c r="A583" s="751">
        <v>45230</v>
      </c>
      <c r="B583" s="752">
        <v>445.63</v>
      </c>
      <c r="C583" s="770">
        <v>391</v>
      </c>
      <c r="D583" s="755">
        <v>160</v>
      </c>
      <c r="E583" s="755">
        <f>16+8</f>
        <v>24</v>
      </c>
      <c r="F583" s="752">
        <f>191243+86178</f>
        <v>277421</v>
      </c>
      <c r="G583" s="755">
        <v>42</v>
      </c>
      <c r="H583" s="755">
        <v>12</v>
      </c>
      <c r="I583" s="755">
        <v>25</v>
      </c>
      <c r="J583" s="527">
        <f t="shared" si="85"/>
        <v>0.40920716112532</v>
      </c>
      <c r="K583" s="687">
        <f t="shared" si="86"/>
        <v>2.7851875</v>
      </c>
      <c r="L583" s="756">
        <f t="shared" si="81"/>
        <v>1139.71867007673</v>
      </c>
      <c r="M583" s="772">
        <f t="shared" si="82"/>
        <v>622.536633530059</v>
      </c>
      <c r="N583" s="773">
        <f t="shared" si="83"/>
        <v>0.15</v>
      </c>
      <c r="O583" s="617">
        <f t="shared" si="78"/>
        <v>11559.2083333333</v>
      </c>
      <c r="P583" s="617">
        <f t="shared" si="87"/>
        <v>18.5679166666667</v>
      </c>
      <c r="Q583" s="1046">
        <f t="shared" si="84"/>
        <v>10.6102380952381</v>
      </c>
      <c r="R583" s="1021"/>
    </row>
    <row r="584" s="589" customFormat="1" spans="1:18">
      <c r="A584" s="751">
        <v>45231</v>
      </c>
      <c r="B584" s="752">
        <v>446.27</v>
      </c>
      <c r="C584" s="770">
        <v>407</v>
      </c>
      <c r="D584" s="755">
        <v>192</v>
      </c>
      <c r="E584" s="755">
        <v>5</v>
      </c>
      <c r="F584" s="752">
        <v>54509</v>
      </c>
      <c r="G584" s="755">
        <v>74</v>
      </c>
      <c r="H584" s="755">
        <v>8</v>
      </c>
      <c r="I584" s="755">
        <v>22</v>
      </c>
      <c r="J584" s="527">
        <f t="shared" si="85"/>
        <v>0.471744471744472</v>
      </c>
      <c r="K584" s="687">
        <f t="shared" si="86"/>
        <v>2.32432291666667</v>
      </c>
      <c r="L584" s="756">
        <f t="shared" si="81"/>
        <v>1096.48648648649</v>
      </c>
      <c r="M584" s="772">
        <f t="shared" si="82"/>
        <v>122.143545387322</v>
      </c>
      <c r="N584" s="773">
        <f t="shared" si="83"/>
        <v>0.0260416666666667</v>
      </c>
      <c r="O584" s="617">
        <f t="shared" si="78"/>
        <v>10901.8</v>
      </c>
      <c r="P584" s="617">
        <f t="shared" si="87"/>
        <v>89.254</v>
      </c>
      <c r="Q584" s="1046">
        <f t="shared" si="84"/>
        <v>6.03067567567568</v>
      </c>
      <c r="R584" s="1021"/>
    </row>
    <row r="585" s="589" customFormat="1" spans="1:18">
      <c r="A585" s="751">
        <v>45232</v>
      </c>
      <c r="B585" s="752">
        <v>412.61</v>
      </c>
      <c r="C585" s="770">
        <v>352</v>
      </c>
      <c r="D585" s="755">
        <v>157</v>
      </c>
      <c r="E585" s="755">
        <v>1</v>
      </c>
      <c r="F585" s="752">
        <v>11097</v>
      </c>
      <c r="G585" s="755">
        <v>62</v>
      </c>
      <c r="H585" s="755">
        <v>14</v>
      </c>
      <c r="I585" s="755">
        <v>34</v>
      </c>
      <c r="J585" s="527">
        <f t="shared" si="85"/>
        <v>0.446022727272727</v>
      </c>
      <c r="K585" s="687">
        <f t="shared" si="86"/>
        <v>2.62808917197452</v>
      </c>
      <c r="L585" s="756">
        <f t="shared" si="81"/>
        <v>1172.1875</v>
      </c>
      <c r="M585" s="772">
        <f t="shared" si="82"/>
        <v>26.8946462761445</v>
      </c>
      <c r="N585" s="773">
        <f t="shared" si="83"/>
        <v>0.00636942675159236</v>
      </c>
      <c r="O585" s="617">
        <f t="shared" si="78"/>
        <v>11097</v>
      </c>
      <c r="P585" s="617">
        <f t="shared" si="87"/>
        <v>412.61</v>
      </c>
      <c r="Q585" s="1046">
        <f t="shared" si="84"/>
        <v>6.655</v>
      </c>
      <c r="R585" s="1021"/>
    </row>
    <row r="586" s="589" customFormat="1" spans="1:18">
      <c r="A586" s="751">
        <v>45233</v>
      </c>
      <c r="B586" s="752">
        <v>364.25</v>
      </c>
      <c r="C586" s="770">
        <v>353</v>
      </c>
      <c r="D586" s="755">
        <v>128</v>
      </c>
      <c r="E586" s="755">
        <v>2</v>
      </c>
      <c r="F586" s="752">
        <v>19360</v>
      </c>
      <c r="G586" s="755">
        <v>52</v>
      </c>
      <c r="H586" s="755">
        <v>8</v>
      </c>
      <c r="I586" s="755">
        <v>18</v>
      </c>
      <c r="J586" s="527">
        <f t="shared" si="85"/>
        <v>0.362606232294618</v>
      </c>
      <c r="K586" s="687">
        <f t="shared" si="86"/>
        <v>2.845703125</v>
      </c>
      <c r="L586" s="756">
        <f t="shared" si="81"/>
        <v>1031.86968838527</v>
      </c>
      <c r="M586" s="772">
        <f t="shared" si="82"/>
        <v>53.1503088538092</v>
      </c>
      <c r="N586" s="773">
        <f t="shared" si="83"/>
        <v>0.015625</v>
      </c>
      <c r="O586" s="617">
        <f t="shared" si="78"/>
        <v>9680</v>
      </c>
      <c r="P586" s="617">
        <f t="shared" si="87"/>
        <v>182.125</v>
      </c>
      <c r="Q586" s="1046">
        <f t="shared" si="84"/>
        <v>7.00480769230769</v>
      </c>
      <c r="R586" s="1021"/>
    </row>
    <row r="587" s="589" customFormat="1" spans="1:18">
      <c r="A587" s="751">
        <v>45234</v>
      </c>
      <c r="B587" s="752">
        <v>306.63</v>
      </c>
      <c r="C587" s="770">
        <v>287</v>
      </c>
      <c r="D587" s="755">
        <v>129</v>
      </c>
      <c r="E587" s="755">
        <v>4</v>
      </c>
      <c r="F587" s="752">
        <v>48783</v>
      </c>
      <c r="G587" s="755">
        <v>51</v>
      </c>
      <c r="H587" s="755">
        <v>2</v>
      </c>
      <c r="I587" s="755">
        <v>20</v>
      </c>
      <c r="J587" s="527">
        <f t="shared" si="85"/>
        <v>0.449477351916376</v>
      </c>
      <c r="K587" s="687">
        <f t="shared" si="86"/>
        <v>2.37697674418605</v>
      </c>
      <c r="L587" s="756">
        <f t="shared" si="81"/>
        <v>1068.39721254355</v>
      </c>
      <c r="M587" s="772">
        <f t="shared" si="82"/>
        <v>159.094022111339</v>
      </c>
      <c r="N587" s="773">
        <f t="shared" si="83"/>
        <v>0.0310077519379845</v>
      </c>
      <c r="O587" s="617">
        <f t="shared" si="78"/>
        <v>12195.75</v>
      </c>
      <c r="P587" s="617">
        <f t="shared" si="87"/>
        <v>76.6575</v>
      </c>
      <c r="Q587" s="1046">
        <f t="shared" si="84"/>
        <v>6.01235294117647</v>
      </c>
      <c r="R587" s="1021"/>
    </row>
    <row r="588" s="589" customFormat="1" spans="1:18">
      <c r="A588" s="751">
        <v>45235</v>
      </c>
      <c r="B588" s="752">
        <v>383.78</v>
      </c>
      <c r="C588" s="770">
        <v>426</v>
      </c>
      <c r="D588" s="755">
        <v>219</v>
      </c>
      <c r="E588" s="755">
        <v>13</v>
      </c>
      <c r="F588" s="752">
        <v>170627</v>
      </c>
      <c r="G588" s="755">
        <v>81</v>
      </c>
      <c r="H588" s="755">
        <v>8</v>
      </c>
      <c r="I588" s="755">
        <v>28</v>
      </c>
      <c r="J588" s="527">
        <f t="shared" si="85"/>
        <v>0.514084507042254</v>
      </c>
      <c r="K588" s="687">
        <f t="shared" si="86"/>
        <v>1.7524200913242</v>
      </c>
      <c r="L588" s="756">
        <f t="shared" si="81"/>
        <v>900.892018779343</v>
      </c>
      <c r="M588" s="772">
        <f t="shared" si="82"/>
        <v>444.595862212726</v>
      </c>
      <c r="N588" s="773">
        <f t="shared" si="83"/>
        <v>0.0593607305936073</v>
      </c>
      <c r="O588" s="617">
        <f t="shared" si="78"/>
        <v>13125.1538461538</v>
      </c>
      <c r="P588" s="617">
        <f t="shared" si="87"/>
        <v>29.5215384615385</v>
      </c>
      <c r="Q588" s="1046">
        <f t="shared" si="84"/>
        <v>4.73802469135802</v>
      </c>
      <c r="R588" s="1021"/>
    </row>
    <row r="589" s="589" customFormat="1" spans="1:18">
      <c r="A589" s="751">
        <v>45236</v>
      </c>
      <c r="B589" s="752">
        <v>350.08</v>
      </c>
      <c r="C589" s="1058">
        <v>381</v>
      </c>
      <c r="D589" s="755">
        <v>169</v>
      </c>
      <c r="E589" s="755">
        <v>1</v>
      </c>
      <c r="F589" s="752">
        <v>7898</v>
      </c>
      <c r="G589" s="755">
        <v>44</v>
      </c>
      <c r="H589" s="755">
        <v>8</v>
      </c>
      <c r="I589" s="755">
        <v>21</v>
      </c>
      <c r="J589" s="527">
        <f t="shared" si="85"/>
        <v>0.443569553805774</v>
      </c>
      <c r="K589" s="687">
        <f t="shared" si="86"/>
        <v>2.07147928994083</v>
      </c>
      <c r="L589" s="756">
        <f t="shared" si="81"/>
        <v>918.845144356955</v>
      </c>
      <c r="M589" s="772">
        <f t="shared" si="82"/>
        <v>22.5605575868373</v>
      </c>
      <c r="N589" s="773">
        <f t="shared" si="83"/>
        <v>0.00591715976331361</v>
      </c>
      <c r="O589" s="617">
        <f t="shared" si="78"/>
        <v>7898</v>
      </c>
      <c r="P589" s="617">
        <f t="shared" si="87"/>
        <v>350.08</v>
      </c>
      <c r="Q589" s="1046">
        <f t="shared" si="84"/>
        <v>7.95636363636364</v>
      </c>
      <c r="R589" s="1021"/>
    </row>
    <row r="590" s="589" customFormat="1" spans="1:18">
      <c r="A590" s="751">
        <v>45237</v>
      </c>
      <c r="B590" s="1047">
        <v>287.43</v>
      </c>
      <c r="C590" s="1058">
        <v>308</v>
      </c>
      <c r="D590" s="1058">
        <v>149</v>
      </c>
      <c r="E590" s="755">
        <v>4</v>
      </c>
      <c r="F590" s="1047">
        <v>35793.01</v>
      </c>
      <c r="G590" s="771">
        <v>29</v>
      </c>
      <c r="H590" s="771">
        <v>7</v>
      </c>
      <c r="I590" s="771">
        <v>19</v>
      </c>
      <c r="J590" s="527">
        <f t="shared" si="85"/>
        <v>0.483766233766234</v>
      </c>
      <c r="K590" s="687">
        <f t="shared" si="86"/>
        <v>1.92906040268456</v>
      </c>
      <c r="L590" s="756">
        <f t="shared" si="81"/>
        <v>933.214285714286</v>
      </c>
      <c r="M590" s="772">
        <f t="shared" si="82"/>
        <v>124.527745885955</v>
      </c>
      <c r="N590" s="773">
        <f t="shared" si="83"/>
        <v>0.0268456375838926</v>
      </c>
      <c r="O590" s="617">
        <f t="shared" si="78"/>
        <v>8948.2525</v>
      </c>
      <c r="P590" s="617">
        <f t="shared" si="87"/>
        <v>71.8575</v>
      </c>
      <c r="Q590" s="1046">
        <f t="shared" si="84"/>
        <v>9.91137931034483</v>
      </c>
      <c r="R590" s="1021"/>
    </row>
    <row r="591" s="589" customFormat="1" spans="1:18">
      <c r="A591" s="751">
        <v>45238</v>
      </c>
      <c r="B591" s="752">
        <v>308.15</v>
      </c>
      <c r="C591" s="755">
        <v>303</v>
      </c>
      <c r="D591" s="755">
        <v>138</v>
      </c>
      <c r="E591" s="755">
        <v>8</v>
      </c>
      <c r="F591" s="752">
        <v>24696.06</v>
      </c>
      <c r="G591" s="755">
        <v>32</v>
      </c>
      <c r="H591" s="755">
        <v>7</v>
      </c>
      <c r="I591" s="755">
        <v>16</v>
      </c>
      <c r="J591" s="527">
        <f t="shared" si="85"/>
        <v>0.455445544554455</v>
      </c>
      <c r="K591" s="687">
        <f t="shared" si="86"/>
        <v>2.23297101449275</v>
      </c>
      <c r="L591" s="756">
        <f t="shared" si="81"/>
        <v>1016.99669966997</v>
      </c>
      <c r="M591" s="772">
        <f t="shared" si="82"/>
        <v>80.1429823138082</v>
      </c>
      <c r="N591" s="773">
        <f t="shared" si="83"/>
        <v>0.0579710144927536</v>
      </c>
      <c r="O591" s="617">
        <f t="shared" si="78"/>
        <v>3087.0075</v>
      </c>
      <c r="P591" s="617">
        <f t="shared" si="87"/>
        <v>38.51875</v>
      </c>
      <c r="Q591" s="1046">
        <f t="shared" si="84"/>
        <v>9.6296875</v>
      </c>
      <c r="R591" s="1021"/>
    </row>
    <row r="592" s="589" customFormat="1" spans="1:18">
      <c r="A592" s="751">
        <v>45239</v>
      </c>
      <c r="B592" s="752">
        <v>335.75</v>
      </c>
      <c r="C592" s="755">
        <v>302</v>
      </c>
      <c r="D592" s="755">
        <v>133</v>
      </c>
      <c r="E592" s="755">
        <v>8</v>
      </c>
      <c r="F592" s="752">
        <v>13549.07</v>
      </c>
      <c r="G592" s="755">
        <v>26</v>
      </c>
      <c r="H592" s="755">
        <v>9</v>
      </c>
      <c r="I592" s="755">
        <v>17</v>
      </c>
      <c r="J592" s="527">
        <f t="shared" si="85"/>
        <v>0.440397350993377</v>
      </c>
      <c r="K592" s="687">
        <f t="shared" si="86"/>
        <v>2.52443609022556</v>
      </c>
      <c r="L592" s="756">
        <f t="shared" si="81"/>
        <v>1111.75496688742</v>
      </c>
      <c r="M592" s="772">
        <f t="shared" si="82"/>
        <v>40.3546388682055</v>
      </c>
      <c r="N592" s="773">
        <f t="shared" si="83"/>
        <v>0.0601503759398496</v>
      </c>
      <c r="O592" s="617">
        <f t="shared" ref="O592:O623" si="88">IF(E592=0,0,F592/E592)</f>
        <v>1693.63375</v>
      </c>
      <c r="P592" s="617">
        <f t="shared" si="87"/>
        <v>41.96875</v>
      </c>
      <c r="Q592" s="1046">
        <f t="shared" si="84"/>
        <v>12.9134615384615</v>
      </c>
      <c r="R592" s="1021"/>
    </row>
    <row r="593" s="589" customFormat="1" spans="1:18">
      <c r="A593" s="751">
        <v>45240</v>
      </c>
      <c r="B593" s="1047">
        <v>183.99</v>
      </c>
      <c r="C593" s="755">
        <v>162</v>
      </c>
      <c r="D593" s="1058">
        <v>62</v>
      </c>
      <c r="E593" s="755">
        <v>8</v>
      </c>
      <c r="F593" s="752">
        <v>33414.05</v>
      </c>
      <c r="G593" s="755">
        <v>33</v>
      </c>
      <c r="H593" s="755">
        <v>3</v>
      </c>
      <c r="I593" s="755">
        <v>6</v>
      </c>
      <c r="J593" s="527">
        <f t="shared" si="85"/>
        <v>0.382716049382716</v>
      </c>
      <c r="K593" s="687">
        <f t="shared" si="86"/>
        <v>2.96758064516129</v>
      </c>
      <c r="L593" s="756">
        <f t="shared" si="81"/>
        <v>1135.74074074074</v>
      </c>
      <c r="M593" s="772">
        <f t="shared" si="82"/>
        <v>181.607967824338</v>
      </c>
      <c r="N593" s="773">
        <f t="shared" si="83"/>
        <v>0.129032258064516</v>
      </c>
      <c r="O593" s="617">
        <f t="shared" si="88"/>
        <v>4176.75625</v>
      </c>
      <c r="P593" s="617">
        <f t="shared" si="87"/>
        <v>22.99875</v>
      </c>
      <c r="Q593" s="1046">
        <f t="shared" si="84"/>
        <v>5.57545454545455</v>
      </c>
      <c r="R593" s="1021"/>
    </row>
    <row r="594" s="589" customFormat="1" spans="1:18">
      <c r="A594" s="751">
        <v>45241</v>
      </c>
      <c r="B594" s="769">
        <v>115.77</v>
      </c>
      <c r="C594" s="771">
        <v>96</v>
      </c>
      <c r="D594" s="770">
        <v>30</v>
      </c>
      <c r="E594" s="771">
        <v>2</v>
      </c>
      <c r="F594" s="1059">
        <v>13096.01</v>
      </c>
      <c r="G594" s="755">
        <v>6</v>
      </c>
      <c r="H594" s="755">
        <v>0</v>
      </c>
      <c r="I594" s="755">
        <v>3</v>
      </c>
      <c r="J594" s="527">
        <f t="shared" si="85"/>
        <v>0.3125</v>
      </c>
      <c r="K594" s="687">
        <f t="shared" si="86"/>
        <v>3.859</v>
      </c>
      <c r="L594" s="756">
        <f t="shared" si="81"/>
        <v>1205.9375</v>
      </c>
      <c r="M594" s="772">
        <f t="shared" si="82"/>
        <v>113.12092942904</v>
      </c>
      <c r="N594" s="773">
        <f t="shared" si="83"/>
        <v>0.0666666666666667</v>
      </c>
      <c r="O594" s="617">
        <f t="shared" si="88"/>
        <v>6548.005</v>
      </c>
      <c r="P594" s="617">
        <f t="shared" si="87"/>
        <v>57.885</v>
      </c>
      <c r="Q594" s="1046">
        <f t="shared" si="84"/>
        <v>19.295</v>
      </c>
      <c r="R594" s="1021"/>
    </row>
    <row r="595" s="589" customFormat="1" spans="1:18">
      <c r="A595" s="751">
        <v>45242</v>
      </c>
      <c r="B595" s="769">
        <v>300.85</v>
      </c>
      <c r="C595" s="771">
        <v>266</v>
      </c>
      <c r="D595" s="770">
        <v>115</v>
      </c>
      <c r="E595" s="771">
        <v>3</v>
      </c>
      <c r="F595" s="1059">
        <v>14231.02</v>
      </c>
      <c r="G595" s="755">
        <v>20</v>
      </c>
      <c r="H595" s="755">
        <v>4</v>
      </c>
      <c r="I595" s="755">
        <v>9</v>
      </c>
      <c r="J595" s="527">
        <f t="shared" si="85"/>
        <v>0.432330827067669</v>
      </c>
      <c r="K595" s="687">
        <f t="shared" si="86"/>
        <v>2.61608695652174</v>
      </c>
      <c r="L595" s="756">
        <f t="shared" si="81"/>
        <v>1131.01503759399</v>
      </c>
      <c r="M595" s="772">
        <f t="shared" si="82"/>
        <v>47.3027089911916</v>
      </c>
      <c r="N595" s="773">
        <f t="shared" si="83"/>
        <v>0.0260869565217391</v>
      </c>
      <c r="O595" s="617">
        <f t="shared" si="88"/>
        <v>4743.67333333333</v>
      </c>
      <c r="P595" s="617">
        <f t="shared" si="87"/>
        <v>100.283333333333</v>
      </c>
      <c r="Q595" s="1046">
        <f t="shared" si="84"/>
        <v>15.0425</v>
      </c>
      <c r="R595" s="1021"/>
    </row>
    <row r="596" s="589" customFormat="1" spans="1:18">
      <c r="A596" s="751">
        <v>45243</v>
      </c>
      <c r="B596" s="800">
        <v>206.85</v>
      </c>
      <c r="C596" s="755">
        <v>219</v>
      </c>
      <c r="D596" s="755">
        <v>93</v>
      </c>
      <c r="E596" s="755">
        <v>3</v>
      </c>
      <c r="F596" s="752">
        <v>12014</v>
      </c>
      <c r="G596" s="755">
        <v>23</v>
      </c>
      <c r="H596" s="755">
        <v>3</v>
      </c>
      <c r="I596" s="755">
        <v>5</v>
      </c>
      <c r="J596" s="527">
        <f t="shared" si="85"/>
        <v>0.424657534246575</v>
      </c>
      <c r="K596" s="687">
        <f t="shared" si="86"/>
        <v>2.2241935483871</v>
      </c>
      <c r="L596" s="756">
        <f t="shared" si="81"/>
        <v>944.520547945205</v>
      </c>
      <c r="M596" s="772">
        <f t="shared" si="82"/>
        <v>58.0807348320039</v>
      </c>
      <c r="N596" s="773">
        <f t="shared" si="83"/>
        <v>0.032258064516129</v>
      </c>
      <c r="O596" s="617">
        <f t="shared" si="88"/>
        <v>4004.66666666667</v>
      </c>
      <c r="P596" s="617">
        <f t="shared" si="87"/>
        <v>68.95</v>
      </c>
      <c r="Q596" s="1046">
        <f t="shared" si="84"/>
        <v>8.99347826086957</v>
      </c>
      <c r="R596" s="1021"/>
    </row>
    <row r="597" s="589" customFormat="1" spans="1:18">
      <c r="A597" s="751">
        <v>45244</v>
      </c>
      <c r="B597" s="752">
        <v>191.78</v>
      </c>
      <c r="C597" s="782">
        <v>219</v>
      </c>
      <c r="D597" s="782">
        <v>73</v>
      </c>
      <c r="E597" s="755">
        <v>0</v>
      </c>
      <c r="F597" s="752">
        <v>0</v>
      </c>
      <c r="G597" s="755">
        <v>1</v>
      </c>
      <c r="H597" s="755">
        <v>4</v>
      </c>
      <c r="I597" s="755">
        <v>5</v>
      </c>
      <c r="J597" s="527">
        <f t="shared" si="85"/>
        <v>0.333333333333333</v>
      </c>
      <c r="K597" s="687">
        <f t="shared" si="86"/>
        <v>2.62712328767123</v>
      </c>
      <c r="L597" s="756">
        <f t="shared" si="81"/>
        <v>875.707762557078</v>
      </c>
      <c r="M597" s="772">
        <f t="shared" si="82"/>
        <v>0</v>
      </c>
      <c r="N597" s="773">
        <f t="shared" si="83"/>
        <v>0</v>
      </c>
      <c r="O597" s="617">
        <f t="shared" si="88"/>
        <v>0</v>
      </c>
      <c r="P597" s="617">
        <f t="shared" si="87"/>
        <v>0</v>
      </c>
      <c r="Q597" s="1046">
        <f t="shared" si="84"/>
        <v>191.78</v>
      </c>
      <c r="R597" s="1021"/>
    </row>
    <row r="598" s="589" customFormat="1" spans="1:18">
      <c r="A598" s="751">
        <v>45245</v>
      </c>
      <c r="B598" s="785">
        <v>142.03</v>
      </c>
      <c r="C598" s="782">
        <v>160</v>
      </c>
      <c r="D598" s="782">
        <v>57</v>
      </c>
      <c r="E598" s="755">
        <v>0</v>
      </c>
      <c r="F598" s="752">
        <v>0</v>
      </c>
      <c r="G598" s="755">
        <v>11</v>
      </c>
      <c r="H598" s="755">
        <v>0</v>
      </c>
      <c r="I598" s="755">
        <v>5</v>
      </c>
      <c r="J598" s="527">
        <f t="shared" si="85"/>
        <v>0.35625</v>
      </c>
      <c r="K598" s="687">
        <f t="shared" si="86"/>
        <v>2.49175438596491</v>
      </c>
      <c r="L598" s="756">
        <f t="shared" si="81"/>
        <v>887.6875</v>
      </c>
      <c r="M598" s="772">
        <f t="shared" si="82"/>
        <v>0</v>
      </c>
      <c r="N598" s="773">
        <f t="shared" si="83"/>
        <v>0</v>
      </c>
      <c r="O598" s="617">
        <f t="shared" si="88"/>
        <v>0</v>
      </c>
      <c r="P598" s="617">
        <f t="shared" si="87"/>
        <v>0</v>
      </c>
      <c r="Q598" s="1046">
        <f t="shared" si="84"/>
        <v>12.9118181818182</v>
      </c>
      <c r="R598" s="1021"/>
    </row>
    <row r="599" s="589" customFormat="1" spans="1:18">
      <c r="A599" s="751">
        <v>45246</v>
      </c>
      <c r="B599" s="785">
        <v>155.54</v>
      </c>
      <c r="C599" s="1060">
        <v>169</v>
      </c>
      <c r="D599" s="1060">
        <v>67</v>
      </c>
      <c r="E599" s="755">
        <v>0</v>
      </c>
      <c r="F599" s="752">
        <v>0</v>
      </c>
      <c r="G599" s="755">
        <v>14</v>
      </c>
      <c r="H599" s="755">
        <v>2</v>
      </c>
      <c r="I599" s="755">
        <v>7</v>
      </c>
      <c r="J599" s="527">
        <f t="shared" si="85"/>
        <v>0.396449704142012</v>
      </c>
      <c r="K599" s="687">
        <f t="shared" si="86"/>
        <v>2.32149253731343</v>
      </c>
      <c r="L599" s="756">
        <f t="shared" si="81"/>
        <v>920.355029585799</v>
      </c>
      <c r="M599" s="772">
        <f t="shared" si="82"/>
        <v>0</v>
      </c>
      <c r="N599" s="773">
        <f t="shared" si="83"/>
        <v>0</v>
      </c>
      <c r="O599" s="617">
        <f t="shared" si="88"/>
        <v>0</v>
      </c>
      <c r="P599" s="617">
        <f t="shared" si="87"/>
        <v>0</v>
      </c>
      <c r="Q599" s="1046">
        <f t="shared" si="84"/>
        <v>11.11</v>
      </c>
      <c r="R599" s="1021"/>
    </row>
    <row r="600" s="589" customFormat="1" spans="1:18">
      <c r="A600" s="751">
        <v>45247</v>
      </c>
      <c r="B600" s="785">
        <v>153.19</v>
      </c>
      <c r="C600" s="782">
        <v>180</v>
      </c>
      <c r="D600" s="782">
        <v>58</v>
      </c>
      <c r="E600" s="755">
        <v>0</v>
      </c>
      <c r="F600" s="752">
        <v>0</v>
      </c>
      <c r="G600" s="755">
        <v>7</v>
      </c>
      <c r="H600" s="755">
        <v>2</v>
      </c>
      <c r="I600" s="755">
        <v>4</v>
      </c>
      <c r="J600" s="527">
        <f t="shared" si="85"/>
        <v>0.322222222222222</v>
      </c>
      <c r="K600" s="687">
        <f t="shared" si="86"/>
        <v>2.64120689655172</v>
      </c>
      <c r="L600" s="756">
        <f t="shared" si="81"/>
        <v>851.055555555556</v>
      </c>
      <c r="M600" s="772">
        <f t="shared" si="82"/>
        <v>0</v>
      </c>
      <c r="N600" s="773">
        <f t="shared" si="83"/>
        <v>0</v>
      </c>
      <c r="O600" s="617">
        <f t="shared" si="88"/>
        <v>0</v>
      </c>
      <c r="P600" s="617">
        <f t="shared" si="87"/>
        <v>0</v>
      </c>
      <c r="Q600" s="1046">
        <f t="shared" si="84"/>
        <v>21.8842857142857</v>
      </c>
      <c r="R600" s="1021"/>
    </row>
    <row r="601" s="589" customFormat="1" spans="1:18">
      <c r="A601" s="751">
        <v>45248</v>
      </c>
      <c r="B601" s="785">
        <v>118.25</v>
      </c>
      <c r="C601" s="782">
        <v>135</v>
      </c>
      <c r="D601" s="782">
        <v>61</v>
      </c>
      <c r="E601" s="755">
        <v>0</v>
      </c>
      <c r="F601" s="752">
        <v>0</v>
      </c>
      <c r="G601" s="755">
        <v>5</v>
      </c>
      <c r="H601" s="755">
        <v>4</v>
      </c>
      <c r="I601" s="755">
        <v>4</v>
      </c>
      <c r="J601" s="527">
        <f t="shared" si="85"/>
        <v>0.451851851851852</v>
      </c>
      <c r="K601" s="687">
        <f t="shared" si="86"/>
        <v>1.93852459016393</v>
      </c>
      <c r="L601" s="756">
        <f t="shared" si="81"/>
        <v>875.925925925926</v>
      </c>
      <c r="M601" s="772">
        <f t="shared" si="82"/>
        <v>0</v>
      </c>
      <c r="N601" s="773">
        <f t="shared" si="83"/>
        <v>0</v>
      </c>
      <c r="O601" s="617">
        <f t="shared" si="88"/>
        <v>0</v>
      </c>
      <c r="P601" s="617">
        <f t="shared" si="87"/>
        <v>0</v>
      </c>
      <c r="Q601" s="1046">
        <f t="shared" si="84"/>
        <v>23.65</v>
      </c>
      <c r="R601" s="1021"/>
    </row>
    <row r="602" s="589" customFormat="1" spans="1:18">
      <c r="A602" s="751">
        <v>45249</v>
      </c>
      <c r="B602" s="785">
        <v>119.68</v>
      </c>
      <c r="C602" s="782">
        <v>141</v>
      </c>
      <c r="D602" s="782">
        <v>31</v>
      </c>
      <c r="E602" s="755">
        <v>0</v>
      </c>
      <c r="F602" s="752">
        <v>0</v>
      </c>
      <c r="G602" s="755">
        <v>4</v>
      </c>
      <c r="H602" s="755">
        <v>0</v>
      </c>
      <c r="I602" s="755">
        <v>4</v>
      </c>
      <c r="J602" s="527">
        <f t="shared" si="85"/>
        <v>0.219858156028369</v>
      </c>
      <c r="K602" s="687">
        <f t="shared" si="86"/>
        <v>3.86064516129032</v>
      </c>
      <c r="L602" s="756">
        <f t="shared" si="81"/>
        <v>848.794326241135</v>
      </c>
      <c r="M602" s="772">
        <f t="shared" si="82"/>
        <v>0</v>
      </c>
      <c r="N602" s="773">
        <f t="shared" si="83"/>
        <v>0</v>
      </c>
      <c r="O602" s="617">
        <f t="shared" si="88"/>
        <v>0</v>
      </c>
      <c r="P602" s="617">
        <f t="shared" si="87"/>
        <v>0</v>
      </c>
      <c r="Q602" s="1046">
        <f t="shared" si="84"/>
        <v>29.92</v>
      </c>
      <c r="R602" s="1021"/>
    </row>
    <row r="603" s="589" customFormat="1" spans="1:18">
      <c r="A603" s="751">
        <v>45250</v>
      </c>
      <c r="B603" s="785">
        <v>131.84</v>
      </c>
      <c r="C603" s="782">
        <v>148</v>
      </c>
      <c r="D603" s="782">
        <v>62</v>
      </c>
      <c r="E603" s="755">
        <v>0</v>
      </c>
      <c r="F603" s="752">
        <v>0</v>
      </c>
      <c r="G603" s="755">
        <v>10</v>
      </c>
      <c r="H603" s="755">
        <v>4</v>
      </c>
      <c r="I603" s="755">
        <v>1</v>
      </c>
      <c r="J603" s="527">
        <f t="shared" si="85"/>
        <v>0.418918918918919</v>
      </c>
      <c r="K603" s="687">
        <f t="shared" si="86"/>
        <v>2.12645161290323</v>
      </c>
      <c r="L603" s="756">
        <f t="shared" si="81"/>
        <v>890.810810810811</v>
      </c>
      <c r="M603" s="772">
        <f t="shared" si="82"/>
        <v>0</v>
      </c>
      <c r="N603" s="773">
        <f t="shared" si="83"/>
        <v>0</v>
      </c>
      <c r="O603" s="617">
        <f t="shared" si="88"/>
        <v>0</v>
      </c>
      <c r="P603" s="617">
        <f t="shared" si="87"/>
        <v>0</v>
      </c>
      <c r="Q603" s="1046">
        <f t="shared" si="84"/>
        <v>13.184</v>
      </c>
      <c r="R603" s="1021"/>
    </row>
    <row r="604" s="589" customFormat="1" spans="1:18">
      <c r="A604" s="751">
        <v>45251</v>
      </c>
      <c r="B604" s="752">
        <v>177.2</v>
      </c>
      <c r="C604" s="755">
        <v>209</v>
      </c>
      <c r="D604" s="755">
        <v>70</v>
      </c>
      <c r="E604" s="755">
        <v>0</v>
      </c>
      <c r="F604" s="752">
        <v>0</v>
      </c>
      <c r="G604" s="755">
        <v>10</v>
      </c>
      <c r="H604" s="755">
        <v>4</v>
      </c>
      <c r="I604" s="755">
        <v>3</v>
      </c>
      <c r="J604" s="527">
        <f t="shared" si="85"/>
        <v>0.334928229665072</v>
      </c>
      <c r="K604" s="687">
        <f t="shared" si="86"/>
        <v>2.53142857142857</v>
      </c>
      <c r="L604" s="756">
        <f t="shared" si="81"/>
        <v>847.846889952153</v>
      </c>
      <c r="M604" s="772">
        <f t="shared" si="82"/>
        <v>0</v>
      </c>
      <c r="N604" s="773">
        <f t="shared" si="83"/>
        <v>0</v>
      </c>
      <c r="O604" s="617">
        <f t="shared" si="88"/>
        <v>0</v>
      </c>
      <c r="P604" s="617">
        <f t="shared" si="87"/>
        <v>0</v>
      </c>
      <c r="Q604" s="1046">
        <f t="shared" si="84"/>
        <v>17.72</v>
      </c>
      <c r="R604" s="1021"/>
    </row>
    <row r="605" s="589" customFormat="1" spans="1:18">
      <c r="A605" s="751">
        <v>45252</v>
      </c>
      <c r="B605" s="785">
        <v>172.16</v>
      </c>
      <c r="C605" s="782">
        <v>177</v>
      </c>
      <c r="D605" s="782">
        <v>57</v>
      </c>
      <c r="E605" s="755">
        <v>0</v>
      </c>
      <c r="F605" s="752">
        <v>0</v>
      </c>
      <c r="G605" s="755">
        <v>12</v>
      </c>
      <c r="H605" s="755">
        <v>2</v>
      </c>
      <c r="I605" s="755">
        <v>2</v>
      </c>
      <c r="J605" s="527">
        <f t="shared" si="85"/>
        <v>0.322033898305085</v>
      </c>
      <c r="K605" s="687">
        <f t="shared" si="86"/>
        <v>3.02035087719298</v>
      </c>
      <c r="L605" s="756">
        <f t="shared" si="81"/>
        <v>972.655367231638</v>
      </c>
      <c r="M605" s="772">
        <f t="shared" si="82"/>
        <v>0</v>
      </c>
      <c r="N605" s="773">
        <f t="shared" si="83"/>
        <v>0</v>
      </c>
      <c r="O605" s="617">
        <f t="shared" si="88"/>
        <v>0</v>
      </c>
      <c r="P605" s="617">
        <f t="shared" si="87"/>
        <v>0</v>
      </c>
      <c r="Q605" s="1046">
        <f t="shared" si="84"/>
        <v>14.3466666666667</v>
      </c>
      <c r="R605" s="1021"/>
    </row>
    <row r="606" s="589" customFormat="1" spans="1:18">
      <c r="A606" s="751">
        <v>45253</v>
      </c>
      <c r="B606" s="785">
        <v>127.15</v>
      </c>
      <c r="C606" s="782">
        <v>138</v>
      </c>
      <c r="D606" s="782">
        <v>50</v>
      </c>
      <c r="E606" s="755">
        <v>0</v>
      </c>
      <c r="F606" s="752">
        <v>0</v>
      </c>
      <c r="G606" s="755">
        <v>12</v>
      </c>
      <c r="H606" s="755">
        <v>5</v>
      </c>
      <c r="I606" s="755">
        <v>5</v>
      </c>
      <c r="J606" s="527">
        <f t="shared" si="85"/>
        <v>0.36231884057971</v>
      </c>
      <c r="K606" s="687">
        <f t="shared" si="86"/>
        <v>2.543</v>
      </c>
      <c r="L606" s="756">
        <f t="shared" si="81"/>
        <v>921.376811594203</v>
      </c>
      <c r="M606" s="772">
        <f t="shared" si="82"/>
        <v>0</v>
      </c>
      <c r="N606" s="773">
        <f t="shared" si="83"/>
        <v>0</v>
      </c>
      <c r="O606" s="617">
        <f t="shared" si="88"/>
        <v>0</v>
      </c>
      <c r="P606" s="617">
        <f t="shared" si="87"/>
        <v>0</v>
      </c>
      <c r="Q606" s="1046">
        <f t="shared" si="84"/>
        <v>10.5958333333333</v>
      </c>
      <c r="R606" s="1021"/>
    </row>
    <row r="607" s="589" customFormat="1" spans="1:18">
      <c r="A607" s="751">
        <v>45254</v>
      </c>
      <c r="B607" s="798">
        <v>123.9</v>
      </c>
      <c r="C607" s="799">
        <v>141</v>
      </c>
      <c r="D607" s="799">
        <v>33</v>
      </c>
      <c r="E607" s="779">
        <v>0</v>
      </c>
      <c r="F607" s="1061">
        <v>0</v>
      </c>
      <c r="G607" s="779">
        <v>5</v>
      </c>
      <c r="H607" s="779">
        <v>3</v>
      </c>
      <c r="I607" s="796">
        <v>3</v>
      </c>
      <c r="J607" s="527">
        <f t="shared" si="85"/>
        <v>0.234042553191489</v>
      </c>
      <c r="K607" s="687">
        <f t="shared" si="86"/>
        <v>3.75454545454545</v>
      </c>
      <c r="L607" s="756">
        <f t="shared" si="81"/>
        <v>878.723404255319</v>
      </c>
      <c r="M607" s="772">
        <f t="shared" si="82"/>
        <v>0</v>
      </c>
      <c r="N607" s="773">
        <f t="shared" si="83"/>
        <v>0</v>
      </c>
      <c r="O607" s="617">
        <f t="shared" si="88"/>
        <v>0</v>
      </c>
      <c r="P607" s="617">
        <f t="shared" si="87"/>
        <v>0</v>
      </c>
      <c r="Q607" s="1046">
        <f t="shared" si="84"/>
        <v>24.78</v>
      </c>
      <c r="R607" s="1021"/>
    </row>
    <row r="608" s="589" customFormat="1" spans="1:18">
      <c r="A608" s="751">
        <v>45255</v>
      </c>
      <c r="B608" s="1062">
        <v>121.4</v>
      </c>
      <c r="C608" s="782">
        <v>143</v>
      </c>
      <c r="D608" s="782">
        <v>41</v>
      </c>
      <c r="E608" s="755">
        <v>0</v>
      </c>
      <c r="F608" s="752">
        <v>0</v>
      </c>
      <c r="G608" s="755">
        <v>7</v>
      </c>
      <c r="H608" s="755">
        <v>2</v>
      </c>
      <c r="I608" s="1063">
        <v>3</v>
      </c>
      <c r="J608" s="527">
        <f t="shared" si="85"/>
        <v>0.286713286713287</v>
      </c>
      <c r="K608" s="687">
        <f t="shared" si="86"/>
        <v>2.9609756097561</v>
      </c>
      <c r="L608" s="756">
        <f t="shared" si="81"/>
        <v>848.951048951049</v>
      </c>
      <c r="M608" s="772">
        <f t="shared" si="82"/>
        <v>0</v>
      </c>
      <c r="N608" s="773">
        <f t="shared" si="83"/>
        <v>0</v>
      </c>
      <c r="O608" s="617">
        <f t="shared" si="88"/>
        <v>0</v>
      </c>
      <c r="P608" s="617">
        <f t="shared" si="87"/>
        <v>0</v>
      </c>
      <c r="Q608" s="1046">
        <f t="shared" si="84"/>
        <v>17.3428571428571</v>
      </c>
      <c r="R608" s="1021"/>
    </row>
    <row r="609" s="589" customFormat="1" spans="1:18">
      <c r="A609" s="751">
        <v>45256</v>
      </c>
      <c r="B609" s="1062">
        <v>155.02</v>
      </c>
      <c r="C609" s="782">
        <v>161</v>
      </c>
      <c r="D609" s="782">
        <v>54</v>
      </c>
      <c r="E609" s="755">
        <v>0</v>
      </c>
      <c r="F609" s="752">
        <v>0</v>
      </c>
      <c r="G609" s="755">
        <v>7</v>
      </c>
      <c r="H609" s="755">
        <v>2</v>
      </c>
      <c r="I609" s="1063">
        <v>3</v>
      </c>
      <c r="J609" s="527">
        <f t="shared" si="85"/>
        <v>0.335403726708075</v>
      </c>
      <c r="K609" s="687">
        <f t="shared" si="86"/>
        <v>2.87074074074074</v>
      </c>
      <c r="L609" s="756">
        <f t="shared" si="81"/>
        <v>962.857142857143</v>
      </c>
      <c r="M609" s="772">
        <f t="shared" si="82"/>
        <v>0</v>
      </c>
      <c r="N609" s="773">
        <f t="shared" si="83"/>
        <v>0</v>
      </c>
      <c r="O609" s="617">
        <f t="shared" si="88"/>
        <v>0</v>
      </c>
      <c r="P609" s="617">
        <f t="shared" si="87"/>
        <v>0</v>
      </c>
      <c r="Q609" s="1046">
        <f t="shared" si="84"/>
        <v>22.1457142857143</v>
      </c>
      <c r="R609" s="1021"/>
    </row>
    <row r="610" s="589" customFormat="1" spans="1:18">
      <c r="A610" s="751">
        <v>45257</v>
      </c>
      <c r="B610" s="752">
        <v>128.73</v>
      </c>
      <c r="C610" s="755">
        <v>153</v>
      </c>
      <c r="D610" s="755">
        <v>52</v>
      </c>
      <c r="E610" s="755">
        <v>0</v>
      </c>
      <c r="F610" s="752">
        <v>0</v>
      </c>
      <c r="G610" s="755">
        <v>0</v>
      </c>
      <c r="H610" s="755">
        <v>1</v>
      </c>
      <c r="I610" s="755">
        <v>4</v>
      </c>
      <c r="J610" s="527">
        <f t="shared" si="85"/>
        <v>0.339869281045752</v>
      </c>
      <c r="K610" s="687">
        <f t="shared" si="86"/>
        <v>2.47557692307692</v>
      </c>
      <c r="L610" s="756">
        <f t="shared" si="81"/>
        <v>841.372549019608</v>
      </c>
      <c r="M610" s="772">
        <f t="shared" si="82"/>
        <v>0</v>
      </c>
      <c r="N610" s="773">
        <f t="shared" si="83"/>
        <v>0</v>
      </c>
      <c r="O610" s="617">
        <f t="shared" si="88"/>
        <v>0</v>
      </c>
      <c r="P610" s="617">
        <f t="shared" si="87"/>
        <v>0</v>
      </c>
      <c r="Q610" s="1046" t="e">
        <f t="shared" si="84"/>
        <v>#DIV/0!</v>
      </c>
      <c r="R610" s="1021"/>
    </row>
    <row r="611" s="589" customFormat="1" spans="1:18">
      <c r="A611" s="751">
        <v>45258</v>
      </c>
      <c r="B611" s="752">
        <v>122.79</v>
      </c>
      <c r="C611" s="755">
        <v>144</v>
      </c>
      <c r="D611" s="755">
        <v>57</v>
      </c>
      <c r="E611" s="755">
        <v>0</v>
      </c>
      <c r="F611" s="752">
        <v>0</v>
      </c>
      <c r="G611" s="755">
        <v>7</v>
      </c>
      <c r="H611" s="755">
        <v>0</v>
      </c>
      <c r="I611" s="755">
        <v>2</v>
      </c>
      <c r="J611" s="527">
        <f t="shared" si="85"/>
        <v>0.395833333333333</v>
      </c>
      <c r="K611" s="687">
        <f t="shared" si="86"/>
        <v>2.15421052631579</v>
      </c>
      <c r="L611" s="756">
        <f t="shared" si="81"/>
        <v>852.708333333333</v>
      </c>
      <c r="M611" s="772">
        <f t="shared" si="82"/>
        <v>0</v>
      </c>
      <c r="N611" s="773">
        <f t="shared" si="83"/>
        <v>0</v>
      </c>
      <c r="O611" s="617">
        <f t="shared" si="88"/>
        <v>0</v>
      </c>
      <c r="P611" s="617">
        <f t="shared" ref="P611:P642" si="89">IF(E611=0,0,B611/E611)</f>
        <v>0</v>
      </c>
      <c r="Q611" s="1046">
        <f t="shared" si="84"/>
        <v>17.5414285714286</v>
      </c>
      <c r="R611" s="1021"/>
    </row>
    <row r="612" s="589" customFormat="1" spans="1:18">
      <c r="A612" s="751">
        <v>45259</v>
      </c>
      <c r="B612" s="785">
        <v>134.5</v>
      </c>
      <c r="C612" s="782">
        <v>180</v>
      </c>
      <c r="D612" s="782">
        <v>66</v>
      </c>
      <c r="E612" s="755">
        <v>0</v>
      </c>
      <c r="F612" s="752">
        <v>0</v>
      </c>
      <c r="G612" s="755">
        <v>8</v>
      </c>
      <c r="H612" s="755">
        <v>1</v>
      </c>
      <c r="I612" s="755">
        <v>1</v>
      </c>
      <c r="J612" s="527">
        <f t="shared" si="85"/>
        <v>0.366666666666667</v>
      </c>
      <c r="K612" s="687">
        <f t="shared" si="86"/>
        <v>2.03787878787879</v>
      </c>
      <c r="L612" s="756">
        <f t="shared" si="81"/>
        <v>747.222222222222</v>
      </c>
      <c r="M612" s="772">
        <f t="shared" si="82"/>
        <v>0</v>
      </c>
      <c r="N612" s="773">
        <f t="shared" si="83"/>
        <v>0</v>
      </c>
      <c r="O612" s="617">
        <f t="shared" si="88"/>
        <v>0</v>
      </c>
      <c r="P612" s="617">
        <f t="shared" si="89"/>
        <v>0</v>
      </c>
      <c r="Q612" s="1046">
        <f t="shared" si="84"/>
        <v>16.8125</v>
      </c>
      <c r="R612" s="1021"/>
    </row>
    <row r="613" s="589" customFormat="1" spans="1:18">
      <c r="A613" s="751">
        <v>45260</v>
      </c>
      <c r="B613" s="752">
        <v>108.49</v>
      </c>
      <c r="C613" s="755">
        <v>136</v>
      </c>
      <c r="D613" s="755">
        <v>47</v>
      </c>
      <c r="E613" s="755">
        <v>1</v>
      </c>
      <c r="F613" s="752">
        <v>18210</v>
      </c>
      <c r="G613" s="755">
        <v>8</v>
      </c>
      <c r="H613" s="755">
        <v>4</v>
      </c>
      <c r="I613" s="755">
        <v>6</v>
      </c>
      <c r="J613" s="527">
        <f t="shared" si="85"/>
        <v>0.345588235294118</v>
      </c>
      <c r="K613" s="687">
        <f t="shared" si="86"/>
        <v>2.30829787234043</v>
      </c>
      <c r="L613" s="756">
        <f t="shared" si="81"/>
        <v>797.720588235294</v>
      </c>
      <c r="M613" s="772">
        <f t="shared" si="82"/>
        <v>167.849571389068</v>
      </c>
      <c r="N613" s="773">
        <f t="shared" si="83"/>
        <v>0.0212765957446809</v>
      </c>
      <c r="O613" s="617">
        <f t="shared" si="88"/>
        <v>18210</v>
      </c>
      <c r="P613" s="617">
        <f t="shared" si="89"/>
        <v>108.49</v>
      </c>
      <c r="Q613" s="1046">
        <f t="shared" si="84"/>
        <v>13.56125</v>
      </c>
      <c r="R613" s="1021"/>
    </row>
    <row r="614" spans="1:18">
      <c r="A614" s="801">
        <v>45261</v>
      </c>
      <c r="B614" s="802">
        <v>112.26</v>
      </c>
      <c r="C614" s="804">
        <v>127</v>
      </c>
      <c r="D614" s="804">
        <v>40</v>
      </c>
      <c r="E614" s="804">
        <v>0</v>
      </c>
      <c r="F614" s="1064">
        <v>0</v>
      </c>
      <c r="G614" s="804">
        <v>9</v>
      </c>
      <c r="H614" s="804">
        <v>0</v>
      </c>
      <c r="I614" s="806">
        <v>2</v>
      </c>
      <c r="J614" s="527">
        <f t="shared" si="85"/>
        <v>0.31496062992126</v>
      </c>
      <c r="K614" s="687">
        <f t="shared" si="86"/>
        <v>2.8065</v>
      </c>
      <c r="L614" s="756">
        <f t="shared" ref="L614:L669" si="90">B614/C614*1000</f>
        <v>883.937007874016</v>
      </c>
      <c r="M614" s="810">
        <f t="shared" ref="M614:M669" si="91">F614/B614</f>
        <v>0</v>
      </c>
      <c r="N614" s="811">
        <f t="shared" ref="N614:N669" si="92">E614/D614</f>
        <v>0</v>
      </c>
      <c r="O614" s="617">
        <f t="shared" si="88"/>
        <v>0</v>
      </c>
      <c r="P614" s="617">
        <f t="shared" si="89"/>
        <v>0</v>
      </c>
      <c r="Q614" s="1046">
        <f t="shared" ref="Q614:Q669" si="93">B614/G614</f>
        <v>12.4733333333333</v>
      </c>
    </row>
    <row r="615" spans="1:18">
      <c r="A615" s="801">
        <v>45262</v>
      </c>
      <c r="B615" s="812">
        <v>79.17</v>
      </c>
      <c r="C615" s="814">
        <v>101</v>
      </c>
      <c r="D615" s="814">
        <v>39</v>
      </c>
      <c r="E615" s="814">
        <v>1</v>
      </c>
      <c r="F615" s="817">
        <v>14092</v>
      </c>
      <c r="G615" s="814">
        <v>4</v>
      </c>
      <c r="H615" s="814">
        <v>3</v>
      </c>
      <c r="I615" s="816">
        <v>3</v>
      </c>
      <c r="J615" s="527">
        <f t="shared" si="85"/>
        <v>0.386138613861386</v>
      </c>
      <c r="K615" s="687">
        <f t="shared" si="86"/>
        <v>2.03</v>
      </c>
      <c r="L615" s="756">
        <f t="shared" si="90"/>
        <v>783.861386138614</v>
      </c>
      <c r="M615" s="810">
        <f t="shared" si="91"/>
        <v>177.99671592775</v>
      </c>
      <c r="N615" s="811">
        <f t="shared" si="92"/>
        <v>0.0256410256410256</v>
      </c>
      <c r="O615" s="617">
        <f t="shared" si="88"/>
        <v>14092</v>
      </c>
      <c r="P615" s="617">
        <f t="shared" si="89"/>
        <v>79.17</v>
      </c>
      <c r="Q615" s="1046">
        <f t="shared" si="93"/>
        <v>19.7925</v>
      </c>
    </row>
    <row r="616" spans="1:18">
      <c r="A616" s="801">
        <v>45263</v>
      </c>
      <c r="B616" s="812">
        <v>103.21</v>
      </c>
      <c r="C616" s="814">
        <v>116</v>
      </c>
      <c r="D616" s="814">
        <v>53</v>
      </c>
      <c r="E616" s="814">
        <v>2</v>
      </c>
      <c r="F616" s="817">
        <v>33596</v>
      </c>
      <c r="G616" s="814">
        <v>7</v>
      </c>
      <c r="H616" s="814">
        <v>4</v>
      </c>
      <c r="I616" s="816">
        <v>9</v>
      </c>
      <c r="J616" s="527">
        <f t="shared" si="85"/>
        <v>0.456896551724138</v>
      </c>
      <c r="K616" s="687">
        <f t="shared" si="86"/>
        <v>1.94735849056604</v>
      </c>
      <c r="L616" s="756">
        <f t="shared" si="90"/>
        <v>889.741379310345</v>
      </c>
      <c r="M616" s="810">
        <f t="shared" si="91"/>
        <v>325.511093886251</v>
      </c>
      <c r="N616" s="811">
        <f t="shared" si="92"/>
        <v>0.0377358490566038</v>
      </c>
      <c r="O616" s="617">
        <f t="shared" si="88"/>
        <v>16798</v>
      </c>
      <c r="P616" s="617">
        <f t="shared" si="89"/>
        <v>51.605</v>
      </c>
      <c r="Q616" s="1046">
        <f t="shared" si="93"/>
        <v>14.7442857142857</v>
      </c>
    </row>
    <row r="617" spans="1:18">
      <c r="A617" s="801">
        <v>45264</v>
      </c>
      <c r="B617" s="812">
        <v>128.94</v>
      </c>
      <c r="C617" s="814">
        <v>137</v>
      </c>
      <c r="D617" s="814">
        <v>63</v>
      </c>
      <c r="E617" s="814">
        <v>0</v>
      </c>
      <c r="F617" s="817">
        <v>0</v>
      </c>
      <c r="G617" s="814">
        <v>10</v>
      </c>
      <c r="H617" s="814">
        <v>2</v>
      </c>
      <c r="I617" s="816">
        <v>2</v>
      </c>
      <c r="J617" s="527">
        <f t="shared" si="85"/>
        <v>0.45985401459854</v>
      </c>
      <c r="K617" s="687">
        <f t="shared" si="86"/>
        <v>2.04666666666667</v>
      </c>
      <c r="L617" s="756">
        <f t="shared" si="90"/>
        <v>941.167883211679</v>
      </c>
      <c r="M617" s="810">
        <f t="shared" si="91"/>
        <v>0</v>
      </c>
      <c r="N617" s="811">
        <f t="shared" si="92"/>
        <v>0</v>
      </c>
      <c r="O617" s="617">
        <f t="shared" si="88"/>
        <v>0</v>
      </c>
      <c r="P617" s="617">
        <f t="shared" si="89"/>
        <v>0</v>
      </c>
      <c r="Q617" s="1046">
        <f t="shared" si="93"/>
        <v>12.894</v>
      </c>
    </row>
    <row r="618" spans="1:18">
      <c r="A618" s="801">
        <v>45265</v>
      </c>
      <c r="B618" s="812">
        <v>132</v>
      </c>
      <c r="C618" s="814">
        <v>142</v>
      </c>
      <c r="D618" s="814">
        <v>60</v>
      </c>
      <c r="E618" s="814">
        <v>1</v>
      </c>
      <c r="F618" s="817">
        <v>30155</v>
      </c>
      <c r="G618" s="814">
        <v>20</v>
      </c>
      <c r="H618" s="814">
        <v>3</v>
      </c>
      <c r="I618" s="816">
        <v>5</v>
      </c>
      <c r="J618" s="527">
        <f t="shared" si="85"/>
        <v>0.422535211267606</v>
      </c>
      <c r="K618" s="687">
        <f t="shared" si="86"/>
        <v>2.2</v>
      </c>
      <c r="L618" s="756">
        <f t="shared" si="90"/>
        <v>929.577464788732</v>
      </c>
      <c r="M618" s="810">
        <f t="shared" si="91"/>
        <v>228.44696969697</v>
      </c>
      <c r="N618" s="811">
        <f t="shared" si="92"/>
        <v>0.0166666666666667</v>
      </c>
      <c r="O618" s="617">
        <f t="shared" si="88"/>
        <v>30155</v>
      </c>
      <c r="P618" s="617">
        <f t="shared" si="89"/>
        <v>132</v>
      </c>
      <c r="Q618" s="1046">
        <f t="shared" si="93"/>
        <v>6.6</v>
      </c>
    </row>
    <row r="619" spans="1:18">
      <c r="A619" s="801">
        <v>45266</v>
      </c>
      <c r="B619" s="812">
        <v>125.49</v>
      </c>
      <c r="C619" s="814">
        <v>147</v>
      </c>
      <c r="D619" s="814">
        <v>50</v>
      </c>
      <c r="E619" s="814">
        <v>0</v>
      </c>
      <c r="F619" s="817">
        <v>0</v>
      </c>
      <c r="G619" s="814">
        <v>10</v>
      </c>
      <c r="H619" s="814">
        <v>1</v>
      </c>
      <c r="I619" s="816">
        <v>4</v>
      </c>
      <c r="J619" s="527">
        <f t="shared" si="85"/>
        <v>0.340136054421769</v>
      </c>
      <c r="K619" s="687">
        <f t="shared" si="86"/>
        <v>2.5098</v>
      </c>
      <c r="L619" s="756">
        <f t="shared" si="90"/>
        <v>853.673469387755</v>
      </c>
      <c r="M619" s="810">
        <f t="shared" si="91"/>
        <v>0</v>
      </c>
      <c r="N619" s="811">
        <f t="shared" si="92"/>
        <v>0</v>
      </c>
      <c r="O619" s="617">
        <f t="shared" si="88"/>
        <v>0</v>
      </c>
      <c r="P619" s="617">
        <f t="shared" si="89"/>
        <v>0</v>
      </c>
      <c r="Q619" s="1046">
        <f t="shared" si="93"/>
        <v>12.549</v>
      </c>
    </row>
    <row r="620" spans="1:18">
      <c r="A620" s="801">
        <v>45267</v>
      </c>
      <c r="B620" s="812">
        <v>131.58</v>
      </c>
      <c r="C620" s="814">
        <v>146</v>
      </c>
      <c r="D620" s="814">
        <v>66</v>
      </c>
      <c r="E620" s="814">
        <v>0</v>
      </c>
      <c r="F620" s="817">
        <v>0</v>
      </c>
      <c r="G620" s="814">
        <v>7</v>
      </c>
      <c r="H620" s="814">
        <v>4</v>
      </c>
      <c r="I620" s="816">
        <v>6</v>
      </c>
      <c r="J620" s="527">
        <f t="shared" si="85"/>
        <v>0.452054794520548</v>
      </c>
      <c r="K620" s="687">
        <f t="shared" si="86"/>
        <v>1.99363636363636</v>
      </c>
      <c r="L620" s="756">
        <f t="shared" si="90"/>
        <v>901.232876712329</v>
      </c>
      <c r="M620" s="810">
        <f t="shared" si="91"/>
        <v>0</v>
      </c>
      <c r="N620" s="811">
        <f t="shared" si="92"/>
        <v>0</v>
      </c>
      <c r="O620" s="617">
        <f t="shared" si="88"/>
        <v>0</v>
      </c>
      <c r="P620" s="617">
        <f t="shared" si="89"/>
        <v>0</v>
      </c>
      <c r="Q620" s="1046">
        <f t="shared" si="93"/>
        <v>18.7971428571429</v>
      </c>
    </row>
    <row r="621" spans="1:18">
      <c r="A621" s="801">
        <v>45268</v>
      </c>
      <c r="B621" s="812">
        <v>131.9</v>
      </c>
      <c r="C621" s="814">
        <v>143</v>
      </c>
      <c r="D621" s="814">
        <v>60</v>
      </c>
      <c r="E621" s="814">
        <v>0</v>
      </c>
      <c r="F621" s="817">
        <v>0</v>
      </c>
      <c r="G621" s="814">
        <v>12</v>
      </c>
      <c r="H621" s="814">
        <v>6</v>
      </c>
      <c r="I621" s="816">
        <v>0</v>
      </c>
      <c r="J621" s="527">
        <f t="shared" si="85"/>
        <v>0.41958041958042</v>
      </c>
      <c r="K621" s="687">
        <f t="shared" si="86"/>
        <v>2.19833333333333</v>
      </c>
      <c r="L621" s="756">
        <f t="shared" si="90"/>
        <v>922.377622377622</v>
      </c>
      <c r="M621" s="810">
        <f t="shared" si="91"/>
        <v>0</v>
      </c>
      <c r="N621" s="811">
        <f t="shared" si="92"/>
        <v>0</v>
      </c>
      <c r="O621" s="617">
        <f t="shared" si="88"/>
        <v>0</v>
      </c>
      <c r="P621" s="617">
        <f t="shared" si="89"/>
        <v>0</v>
      </c>
      <c r="Q621" s="1046">
        <f t="shared" si="93"/>
        <v>10.9916666666667</v>
      </c>
    </row>
    <row r="622" spans="1:18">
      <c r="A622" s="801">
        <v>45269</v>
      </c>
      <c r="B622" s="812">
        <v>141.79</v>
      </c>
      <c r="C622" s="814">
        <v>190</v>
      </c>
      <c r="D622" s="814">
        <v>75</v>
      </c>
      <c r="E622" s="814">
        <v>0</v>
      </c>
      <c r="F622" s="817">
        <v>0</v>
      </c>
      <c r="G622" s="814">
        <v>18</v>
      </c>
      <c r="H622" s="814">
        <v>2</v>
      </c>
      <c r="I622" s="816">
        <v>10</v>
      </c>
      <c r="J622" s="527">
        <f t="shared" si="85"/>
        <v>0.394736842105263</v>
      </c>
      <c r="K622" s="687">
        <f t="shared" si="86"/>
        <v>1.89053333333333</v>
      </c>
      <c r="L622" s="756">
        <f t="shared" si="90"/>
        <v>746.263157894737</v>
      </c>
      <c r="M622" s="810">
        <f t="shared" si="91"/>
        <v>0</v>
      </c>
      <c r="N622" s="811">
        <f t="shared" si="92"/>
        <v>0</v>
      </c>
      <c r="O622" s="617">
        <f t="shared" si="88"/>
        <v>0</v>
      </c>
      <c r="P622" s="617">
        <f t="shared" si="89"/>
        <v>0</v>
      </c>
      <c r="Q622" s="1046">
        <f t="shared" si="93"/>
        <v>7.87722222222222</v>
      </c>
    </row>
    <row r="623" spans="1:18">
      <c r="A623" s="801">
        <v>45270</v>
      </c>
      <c r="B623" s="812">
        <v>177.22</v>
      </c>
      <c r="C623" s="814">
        <v>216</v>
      </c>
      <c r="D623" s="814">
        <v>64</v>
      </c>
      <c r="E623" s="814">
        <v>0</v>
      </c>
      <c r="F623" s="817">
        <v>0</v>
      </c>
      <c r="G623" s="814">
        <v>25</v>
      </c>
      <c r="H623" s="814">
        <v>4</v>
      </c>
      <c r="I623" s="816">
        <v>6</v>
      </c>
      <c r="J623" s="527">
        <f t="shared" si="85"/>
        <v>0.296296296296296</v>
      </c>
      <c r="K623" s="687">
        <f t="shared" si="86"/>
        <v>2.7690625</v>
      </c>
      <c r="L623" s="756">
        <f t="shared" si="90"/>
        <v>820.462962962963</v>
      </c>
      <c r="M623" s="810">
        <f t="shared" si="91"/>
        <v>0</v>
      </c>
      <c r="N623" s="811">
        <f t="shared" si="92"/>
        <v>0</v>
      </c>
      <c r="O623" s="617">
        <f t="shared" si="88"/>
        <v>0</v>
      </c>
      <c r="P623" s="617">
        <f t="shared" si="89"/>
        <v>0</v>
      </c>
      <c r="Q623" s="1046">
        <f t="shared" si="93"/>
        <v>7.0888</v>
      </c>
    </row>
    <row r="624" spans="1:18">
      <c r="A624" s="801">
        <v>45271</v>
      </c>
      <c r="B624" s="812">
        <v>40.61</v>
      </c>
      <c r="C624" s="814">
        <v>41</v>
      </c>
      <c r="D624" s="814">
        <v>18</v>
      </c>
      <c r="E624" s="814">
        <v>0</v>
      </c>
      <c r="F624" s="817">
        <v>0</v>
      </c>
      <c r="G624" s="814">
        <v>3</v>
      </c>
      <c r="H624" s="814">
        <v>0</v>
      </c>
      <c r="I624" s="816">
        <v>2</v>
      </c>
      <c r="J624" s="527">
        <f t="shared" si="85"/>
        <v>0.439024390243902</v>
      </c>
      <c r="K624" s="687">
        <f t="shared" si="86"/>
        <v>2.25611111111111</v>
      </c>
      <c r="L624" s="756">
        <f t="shared" si="90"/>
        <v>990.487804878049</v>
      </c>
      <c r="M624" s="810">
        <f t="shared" si="91"/>
        <v>0</v>
      </c>
      <c r="N624" s="811">
        <f t="shared" si="92"/>
        <v>0</v>
      </c>
      <c r="O624" s="617">
        <f t="shared" ref="O624:O655" si="94">IF(E624=0,0,F624/E624)</f>
        <v>0</v>
      </c>
      <c r="P624" s="617">
        <f t="shared" si="89"/>
        <v>0</v>
      </c>
      <c r="Q624" s="1046">
        <f t="shared" si="93"/>
        <v>13.5366666666667</v>
      </c>
    </row>
    <row r="625" spans="1:17">
      <c r="A625" s="801">
        <v>45272</v>
      </c>
      <c r="B625" s="812">
        <v>158.54</v>
      </c>
      <c r="C625" s="814">
        <v>173</v>
      </c>
      <c r="D625" s="814">
        <v>64</v>
      </c>
      <c r="E625" s="814">
        <v>2</v>
      </c>
      <c r="F625" s="817">
        <v>26716</v>
      </c>
      <c r="G625" s="814">
        <v>19</v>
      </c>
      <c r="H625" s="814">
        <v>7</v>
      </c>
      <c r="I625" s="816">
        <v>10</v>
      </c>
      <c r="J625" s="527">
        <f t="shared" si="85"/>
        <v>0.369942196531792</v>
      </c>
      <c r="K625" s="687">
        <f t="shared" si="86"/>
        <v>2.4771875</v>
      </c>
      <c r="L625" s="756">
        <f t="shared" si="90"/>
        <v>916.416184971098</v>
      </c>
      <c r="M625" s="810">
        <f t="shared" si="91"/>
        <v>168.51267818847</v>
      </c>
      <c r="N625" s="811">
        <f t="shared" si="92"/>
        <v>0.03125</v>
      </c>
      <c r="O625" s="617">
        <f t="shared" si="94"/>
        <v>13358</v>
      </c>
      <c r="P625" s="617">
        <f t="shared" si="89"/>
        <v>79.27</v>
      </c>
      <c r="Q625" s="1046">
        <f t="shared" si="93"/>
        <v>8.34421052631579</v>
      </c>
    </row>
    <row r="626" spans="1:17">
      <c r="A626" s="801">
        <v>45273</v>
      </c>
      <c r="B626" s="812">
        <v>146.99</v>
      </c>
      <c r="C626" s="814">
        <v>152</v>
      </c>
      <c r="D626" s="814">
        <v>40</v>
      </c>
      <c r="E626" s="814">
        <v>1</v>
      </c>
      <c r="F626" s="817">
        <v>15891</v>
      </c>
      <c r="G626" s="814">
        <v>9</v>
      </c>
      <c r="H626" s="814">
        <v>4</v>
      </c>
      <c r="I626" s="816">
        <v>4</v>
      </c>
      <c r="J626" s="527">
        <f t="shared" si="85"/>
        <v>0.263157894736842</v>
      </c>
      <c r="K626" s="687">
        <f t="shared" si="86"/>
        <v>3.67475</v>
      </c>
      <c r="L626" s="756">
        <f t="shared" si="90"/>
        <v>967.039473684211</v>
      </c>
      <c r="M626" s="810">
        <f t="shared" si="91"/>
        <v>108.109395196952</v>
      </c>
      <c r="N626" s="811">
        <f t="shared" si="92"/>
        <v>0.025</v>
      </c>
      <c r="O626" s="617">
        <f t="shared" si="94"/>
        <v>15891</v>
      </c>
      <c r="P626" s="617">
        <f t="shared" si="89"/>
        <v>146.99</v>
      </c>
      <c r="Q626" s="1046">
        <f t="shared" si="93"/>
        <v>16.3322222222222</v>
      </c>
    </row>
    <row r="627" spans="1:17">
      <c r="A627" s="801">
        <v>45274</v>
      </c>
      <c r="B627" s="1065">
        <v>122.55</v>
      </c>
      <c r="C627" s="1066">
        <v>131</v>
      </c>
      <c r="D627" s="1067">
        <v>41</v>
      </c>
      <c r="E627" s="818">
        <v>0</v>
      </c>
      <c r="F627" s="1068">
        <v>0</v>
      </c>
      <c r="G627" s="818">
        <v>5</v>
      </c>
      <c r="H627" s="818">
        <v>0</v>
      </c>
      <c r="I627" s="818">
        <v>2</v>
      </c>
      <c r="J627" s="527">
        <f t="shared" si="85"/>
        <v>0.312977099236641</v>
      </c>
      <c r="K627" s="687">
        <f t="shared" si="86"/>
        <v>2.9890243902439</v>
      </c>
      <c r="L627" s="756">
        <f t="shared" si="90"/>
        <v>935.496183206107</v>
      </c>
      <c r="M627" s="810">
        <f t="shared" si="91"/>
        <v>0</v>
      </c>
      <c r="N627" s="811">
        <f t="shared" si="92"/>
        <v>0</v>
      </c>
      <c r="O627" s="617">
        <f t="shared" si="94"/>
        <v>0</v>
      </c>
      <c r="P627" s="617">
        <f t="shared" si="89"/>
        <v>0</v>
      </c>
      <c r="Q627" s="1046">
        <f t="shared" si="93"/>
        <v>24.51</v>
      </c>
    </row>
    <row r="628" spans="1:17">
      <c r="A628" s="801">
        <v>45275</v>
      </c>
      <c r="B628" s="1069">
        <v>89.38</v>
      </c>
      <c r="C628" s="821">
        <v>106</v>
      </c>
      <c r="D628" s="821">
        <v>34</v>
      </c>
      <c r="E628" s="686">
        <v>0</v>
      </c>
      <c r="F628" s="685">
        <v>0</v>
      </c>
      <c r="G628" s="686">
        <v>4</v>
      </c>
      <c r="H628" s="686">
        <v>5</v>
      </c>
      <c r="I628" s="686">
        <v>0</v>
      </c>
      <c r="J628" s="527">
        <f t="shared" si="85"/>
        <v>0.320754716981132</v>
      </c>
      <c r="K628" s="687">
        <f t="shared" si="86"/>
        <v>2.62882352941176</v>
      </c>
      <c r="L628" s="756">
        <f t="shared" si="90"/>
        <v>843.207547169811</v>
      </c>
      <c r="M628" s="810">
        <f t="shared" si="91"/>
        <v>0</v>
      </c>
      <c r="N628" s="811">
        <f t="shared" si="92"/>
        <v>0</v>
      </c>
      <c r="O628" s="617">
        <f t="shared" si="94"/>
        <v>0</v>
      </c>
      <c r="P628" s="617">
        <f t="shared" si="89"/>
        <v>0</v>
      </c>
      <c r="Q628" s="1046">
        <f t="shared" si="93"/>
        <v>22.345</v>
      </c>
    </row>
    <row r="629" spans="1:17">
      <c r="A629" s="801">
        <v>45276</v>
      </c>
      <c r="B629" s="1070">
        <v>78.2</v>
      </c>
      <c r="C629" s="824">
        <v>84</v>
      </c>
      <c r="D629" s="821">
        <v>44</v>
      </c>
      <c r="E629" s="686">
        <v>0</v>
      </c>
      <c r="F629" s="685">
        <v>0</v>
      </c>
      <c r="G629" s="686">
        <v>10</v>
      </c>
      <c r="H629" s="686">
        <v>1</v>
      </c>
      <c r="I629" s="686">
        <v>4</v>
      </c>
      <c r="J629" s="527">
        <f t="shared" si="85"/>
        <v>0.523809523809524</v>
      </c>
      <c r="K629" s="687">
        <f t="shared" si="86"/>
        <v>1.77727272727273</v>
      </c>
      <c r="L629" s="756">
        <f t="shared" si="90"/>
        <v>930.952380952381</v>
      </c>
      <c r="M629" s="810">
        <f t="shared" si="91"/>
        <v>0</v>
      </c>
      <c r="N629" s="811">
        <f t="shared" si="92"/>
        <v>0</v>
      </c>
      <c r="O629" s="617">
        <f t="shared" si="94"/>
        <v>0</v>
      </c>
      <c r="P629" s="617">
        <f t="shared" si="89"/>
        <v>0</v>
      </c>
      <c r="Q629" s="1046">
        <f t="shared" si="93"/>
        <v>7.82</v>
      </c>
    </row>
    <row r="630" spans="1:17">
      <c r="A630" s="1071">
        <v>45277</v>
      </c>
      <c r="B630" s="823">
        <v>88.08</v>
      </c>
      <c r="C630" s="824">
        <v>104</v>
      </c>
      <c r="D630" s="824">
        <v>46</v>
      </c>
      <c r="E630" s="826">
        <v>0</v>
      </c>
      <c r="F630" s="1033">
        <v>0</v>
      </c>
      <c r="G630" s="826">
        <v>8</v>
      </c>
      <c r="H630" s="826">
        <v>1</v>
      </c>
      <c r="I630" s="826">
        <v>4</v>
      </c>
      <c r="J630" s="527">
        <f t="shared" si="85"/>
        <v>0.442307692307692</v>
      </c>
      <c r="K630" s="687">
        <f t="shared" si="86"/>
        <v>1.91478260869565</v>
      </c>
      <c r="L630" s="763">
        <f t="shared" si="90"/>
        <v>846.923076923077</v>
      </c>
      <c r="M630" s="839">
        <f t="shared" si="91"/>
        <v>0</v>
      </c>
      <c r="N630" s="840">
        <f t="shared" si="92"/>
        <v>0</v>
      </c>
      <c r="O630" s="617">
        <f t="shared" si="94"/>
        <v>0</v>
      </c>
      <c r="P630" s="617">
        <f t="shared" si="89"/>
        <v>0</v>
      </c>
      <c r="Q630" s="1046">
        <f t="shared" si="93"/>
        <v>11.01</v>
      </c>
    </row>
    <row r="631" spans="1:17">
      <c r="A631" s="801">
        <v>45278</v>
      </c>
      <c r="B631" s="817">
        <v>116.59</v>
      </c>
      <c r="C631" s="814">
        <v>125</v>
      </c>
      <c r="D631" s="814">
        <v>50</v>
      </c>
      <c r="E631" s="814">
        <v>0</v>
      </c>
      <c r="F631" s="817">
        <v>0</v>
      </c>
      <c r="G631" s="814">
        <v>9</v>
      </c>
      <c r="H631" s="814">
        <v>5</v>
      </c>
      <c r="I631" s="814">
        <v>3</v>
      </c>
      <c r="J631" s="527">
        <f t="shared" si="85"/>
        <v>0.4</v>
      </c>
      <c r="K631" s="687">
        <f t="shared" si="86"/>
        <v>2.3318</v>
      </c>
      <c r="L631" s="756">
        <f t="shared" si="90"/>
        <v>932.72</v>
      </c>
      <c r="M631" s="810">
        <f t="shared" si="91"/>
        <v>0</v>
      </c>
      <c r="N631" s="811">
        <f t="shared" si="92"/>
        <v>0</v>
      </c>
      <c r="O631" s="617">
        <f t="shared" si="94"/>
        <v>0</v>
      </c>
      <c r="P631" s="617">
        <f t="shared" si="89"/>
        <v>0</v>
      </c>
      <c r="Q631" s="1046">
        <f t="shared" si="93"/>
        <v>12.9544444444444</v>
      </c>
    </row>
    <row r="632" spans="1:17">
      <c r="A632" s="801">
        <v>45279</v>
      </c>
      <c r="B632" s="812">
        <v>115.13</v>
      </c>
      <c r="C632" s="1066">
        <v>110</v>
      </c>
      <c r="D632" s="1066">
        <v>44</v>
      </c>
      <c r="E632" s="814">
        <v>0</v>
      </c>
      <c r="F632" s="817">
        <v>0</v>
      </c>
      <c r="G632" s="814">
        <v>11</v>
      </c>
      <c r="H632" s="814">
        <v>0</v>
      </c>
      <c r="I632" s="814">
        <v>2</v>
      </c>
      <c r="J632" s="527">
        <f t="shared" si="85"/>
        <v>0.4</v>
      </c>
      <c r="K632" s="687">
        <f t="shared" si="86"/>
        <v>2.61659090909091</v>
      </c>
      <c r="L632" s="756">
        <f t="shared" si="90"/>
        <v>1046.63636363636</v>
      </c>
      <c r="M632" s="810">
        <f t="shared" si="91"/>
        <v>0</v>
      </c>
      <c r="N632" s="811">
        <f t="shared" si="92"/>
        <v>0</v>
      </c>
      <c r="O632" s="617">
        <f t="shared" si="94"/>
        <v>0</v>
      </c>
      <c r="P632" s="617">
        <f t="shared" si="89"/>
        <v>0</v>
      </c>
      <c r="Q632" s="1046">
        <f t="shared" si="93"/>
        <v>10.4663636363636</v>
      </c>
    </row>
    <row r="633" spans="1:17">
      <c r="A633" s="801">
        <v>45280</v>
      </c>
      <c r="B633" s="812">
        <v>109.62</v>
      </c>
      <c r="C633" s="814">
        <v>116</v>
      </c>
      <c r="D633" s="814">
        <v>42</v>
      </c>
      <c r="E633" s="814">
        <v>0</v>
      </c>
      <c r="F633" s="817">
        <v>0</v>
      </c>
      <c r="G633" s="814">
        <v>6</v>
      </c>
      <c r="H633" s="814">
        <v>0</v>
      </c>
      <c r="I633" s="814">
        <v>4</v>
      </c>
      <c r="J633" s="527">
        <f t="shared" si="85"/>
        <v>0.362068965517241</v>
      </c>
      <c r="K633" s="687">
        <f t="shared" si="86"/>
        <v>2.61</v>
      </c>
      <c r="L633" s="756">
        <f t="shared" si="90"/>
        <v>945</v>
      </c>
      <c r="M633" s="810">
        <f t="shared" si="91"/>
        <v>0</v>
      </c>
      <c r="N633" s="811">
        <f t="shared" si="92"/>
        <v>0</v>
      </c>
      <c r="O633" s="617">
        <f t="shared" si="94"/>
        <v>0</v>
      </c>
      <c r="P633" s="617">
        <f t="shared" si="89"/>
        <v>0</v>
      </c>
      <c r="Q633" s="1046">
        <f t="shared" si="93"/>
        <v>18.27</v>
      </c>
    </row>
    <row r="634" spans="1:17">
      <c r="A634" s="801">
        <v>45281</v>
      </c>
      <c r="B634" s="812">
        <v>150.81</v>
      </c>
      <c r="C634" s="814">
        <v>159</v>
      </c>
      <c r="D634" s="814">
        <v>43</v>
      </c>
      <c r="E634" s="814">
        <v>0</v>
      </c>
      <c r="F634" s="817">
        <v>0</v>
      </c>
      <c r="G634" s="814">
        <v>21</v>
      </c>
      <c r="H634" s="814">
        <v>3</v>
      </c>
      <c r="I634" s="814">
        <v>1</v>
      </c>
      <c r="J634" s="527">
        <f t="shared" si="85"/>
        <v>0.270440251572327</v>
      </c>
      <c r="K634" s="687">
        <f t="shared" si="86"/>
        <v>3.50720930232558</v>
      </c>
      <c r="L634" s="756">
        <f t="shared" si="90"/>
        <v>948.490566037736</v>
      </c>
      <c r="M634" s="810">
        <f t="shared" si="91"/>
        <v>0</v>
      </c>
      <c r="N634" s="811">
        <f t="shared" si="92"/>
        <v>0</v>
      </c>
      <c r="O634" s="617">
        <f t="shared" si="94"/>
        <v>0</v>
      </c>
      <c r="P634" s="617">
        <f t="shared" si="89"/>
        <v>0</v>
      </c>
      <c r="Q634" s="1046">
        <f t="shared" si="93"/>
        <v>7.18142857142857</v>
      </c>
    </row>
    <row r="635" spans="1:17">
      <c r="A635" s="801">
        <v>45282</v>
      </c>
      <c r="B635" s="812">
        <v>137.58</v>
      </c>
      <c r="C635" s="814">
        <v>153</v>
      </c>
      <c r="D635" s="814">
        <v>41</v>
      </c>
      <c r="E635" s="814">
        <v>0</v>
      </c>
      <c r="F635" s="817">
        <v>0</v>
      </c>
      <c r="G635" s="814">
        <v>9</v>
      </c>
      <c r="H635" s="814">
        <v>0</v>
      </c>
      <c r="I635" s="814">
        <v>3</v>
      </c>
      <c r="J635" s="527">
        <f t="shared" si="85"/>
        <v>0.26797385620915</v>
      </c>
      <c r="K635" s="687">
        <f t="shared" si="86"/>
        <v>3.35560975609756</v>
      </c>
      <c r="L635" s="756">
        <f t="shared" si="90"/>
        <v>899.21568627451</v>
      </c>
      <c r="M635" s="810">
        <f t="shared" si="91"/>
        <v>0</v>
      </c>
      <c r="N635" s="811">
        <f t="shared" si="92"/>
        <v>0</v>
      </c>
      <c r="O635" s="617">
        <f t="shared" si="94"/>
        <v>0</v>
      </c>
      <c r="P635" s="617">
        <f t="shared" si="89"/>
        <v>0</v>
      </c>
      <c r="Q635" s="1046">
        <f t="shared" si="93"/>
        <v>15.2866666666667</v>
      </c>
    </row>
    <row r="636" spans="1:17">
      <c r="A636" s="801">
        <v>45283</v>
      </c>
      <c r="B636" s="812">
        <v>93.45</v>
      </c>
      <c r="C636" s="814">
        <v>100</v>
      </c>
      <c r="D636" s="814">
        <v>41</v>
      </c>
      <c r="E636" s="814">
        <v>0</v>
      </c>
      <c r="F636" s="817">
        <v>0</v>
      </c>
      <c r="G636" s="814">
        <v>7</v>
      </c>
      <c r="H636" s="814">
        <v>1</v>
      </c>
      <c r="I636" s="814">
        <v>2</v>
      </c>
      <c r="J636" s="527">
        <f t="shared" si="85"/>
        <v>0.41</v>
      </c>
      <c r="K636" s="687">
        <f t="shared" si="86"/>
        <v>2.27926829268293</v>
      </c>
      <c r="L636" s="756">
        <f t="shared" si="90"/>
        <v>934.5</v>
      </c>
      <c r="M636" s="810">
        <f t="shared" si="91"/>
        <v>0</v>
      </c>
      <c r="N636" s="811">
        <f t="shared" si="92"/>
        <v>0</v>
      </c>
      <c r="O636" s="617">
        <f t="shared" si="94"/>
        <v>0</v>
      </c>
      <c r="P636" s="617">
        <f t="shared" si="89"/>
        <v>0</v>
      </c>
      <c r="Q636" s="1046">
        <f t="shared" si="93"/>
        <v>13.35</v>
      </c>
    </row>
    <row r="637" spans="1:17">
      <c r="A637" s="801">
        <v>45284</v>
      </c>
      <c r="B637" s="812">
        <v>107.48</v>
      </c>
      <c r="C637" s="814">
        <v>111</v>
      </c>
      <c r="D637" s="814">
        <v>38</v>
      </c>
      <c r="E637" s="814">
        <v>0</v>
      </c>
      <c r="F637" s="817">
        <v>0</v>
      </c>
      <c r="G637" s="814">
        <v>12</v>
      </c>
      <c r="H637" s="814">
        <v>1</v>
      </c>
      <c r="I637" s="814">
        <v>4</v>
      </c>
      <c r="J637" s="527">
        <f t="shared" si="85"/>
        <v>0.342342342342342</v>
      </c>
      <c r="K637" s="687">
        <f t="shared" si="86"/>
        <v>2.82842105263158</v>
      </c>
      <c r="L637" s="756">
        <f t="shared" si="90"/>
        <v>968.288288288288</v>
      </c>
      <c r="M637" s="810">
        <f t="shared" si="91"/>
        <v>0</v>
      </c>
      <c r="N637" s="811">
        <f t="shared" si="92"/>
        <v>0</v>
      </c>
      <c r="O637" s="617">
        <f t="shared" si="94"/>
        <v>0</v>
      </c>
      <c r="P637" s="617">
        <f t="shared" si="89"/>
        <v>0</v>
      </c>
      <c r="Q637" s="1046">
        <f t="shared" si="93"/>
        <v>8.95666666666667</v>
      </c>
    </row>
    <row r="638" spans="1:17">
      <c r="A638" s="801">
        <v>45285</v>
      </c>
      <c r="B638" s="812">
        <v>159.62</v>
      </c>
      <c r="C638" s="814">
        <v>182</v>
      </c>
      <c r="D638" s="814">
        <v>42</v>
      </c>
      <c r="E638" s="818">
        <v>1</v>
      </c>
      <c r="F638" s="1068">
        <v>14478</v>
      </c>
      <c r="G638" s="818">
        <v>12</v>
      </c>
      <c r="H638" s="818">
        <v>0</v>
      </c>
      <c r="I638" s="818">
        <v>5</v>
      </c>
      <c r="J638" s="527">
        <f t="shared" si="85"/>
        <v>0.230769230769231</v>
      </c>
      <c r="K638" s="687">
        <f t="shared" si="86"/>
        <v>3.80047619047619</v>
      </c>
      <c r="L638" s="756">
        <f t="shared" si="90"/>
        <v>877.032967032967</v>
      </c>
      <c r="M638" s="810">
        <f t="shared" si="91"/>
        <v>90.7029194336549</v>
      </c>
      <c r="N638" s="811">
        <f t="shared" si="92"/>
        <v>0.0238095238095238</v>
      </c>
      <c r="O638" s="617">
        <f t="shared" si="94"/>
        <v>14478</v>
      </c>
      <c r="P638" s="617">
        <f t="shared" si="89"/>
        <v>159.62</v>
      </c>
      <c r="Q638" s="1046">
        <f t="shared" si="93"/>
        <v>13.3016666666667</v>
      </c>
    </row>
    <row r="639" spans="1:17">
      <c r="A639" s="801">
        <v>45286</v>
      </c>
      <c r="B639" s="1072">
        <v>127.95</v>
      </c>
      <c r="C639" s="1073">
        <v>139</v>
      </c>
      <c r="D639" s="1073">
        <v>45</v>
      </c>
      <c r="E639" s="1074">
        <v>0</v>
      </c>
      <c r="F639" s="685">
        <v>0</v>
      </c>
      <c r="G639" s="686">
        <v>5</v>
      </c>
      <c r="H639" s="686">
        <v>1</v>
      </c>
      <c r="I639" s="686">
        <v>0</v>
      </c>
      <c r="J639" s="527">
        <f t="shared" si="85"/>
        <v>0.323741007194245</v>
      </c>
      <c r="K639" s="687">
        <f t="shared" si="86"/>
        <v>2.84333333333333</v>
      </c>
      <c r="L639" s="756">
        <f t="shared" si="90"/>
        <v>920.503597122302</v>
      </c>
      <c r="M639" s="810">
        <f t="shared" si="91"/>
        <v>0</v>
      </c>
      <c r="N639" s="811">
        <f t="shared" si="92"/>
        <v>0</v>
      </c>
      <c r="O639" s="617">
        <f t="shared" si="94"/>
        <v>0</v>
      </c>
      <c r="P639" s="617">
        <f t="shared" si="89"/>
        <v>0</v>
      </c>
      <c r="Q639" s="1046">
        <f t="shared" si="93"/>
        <v>25.59</v>
      </c>
    </row>
    <row r="640" spans="1:17">
      <c r="A640" s="801">
        <v>45287</v>
      </c>
      <c r="B640" s="1075">
        <v>130.27</v>
      </c>
      <c r="C640" s="1076">
        <v>132</v>
      </c>
      <c r="D640" s="1076">
        <v>41</v>
      </c>
      <c r="E640" s="1077">
        <v>0</v>
      </c>
      <c r="F640" s="1033">
        <v>0</v>
      </c>
      <c r="G640" s="826">
        <v>14</v>
      </c>
      <c r="H640" s="826">
        <v>0</v>
      </c>
      <c r="I640" s="826">
        <v>0</v>
      </c>
      <c r="J640" s="527">
        <f t="shared" si="85"/>
        <v>0.310606060606061</v>
      </c>
      <c r="K640" s="687">
        <f t="shared" si="86"/>
        <v>3.17731707317073</v>
      </c>
      <c r="L640" s="756">
        <f t="shared" si="90"/>
        <v>986.893939393939</v>
      </c>
      <c r="M640" s="810">
        <f t="shared" si="91"/>
        <v>0</v>
      </c>
      <c r="N640" s="811">
        <f t="shared" si="92"/>
        <v>0</v>
      </c>
      <c r="O640" s="617">
        <f t="shared" si="94"/>
        <v>0</v>
      </c>
      <c r="P640" s="617">
        <f t="shared" si="89"/>
        <v>0</v>
      </c>
      <c r="Q640" s="1046">
        <f t="shared" si="93"/>
        <v>9.305</v>
      </c>
    </row>
    <row r="641" spans="1:17">
      <c r="A641" s="801">
        <v>45288</v>
      </c>
      <c r="B641" s="812">
        <v>126.21</v>
      </c>
      <c r="C641" s="814">
        <v>133</v>
      </c>
      <c r="D641" s="814">
        <v>45</v>
      </c>
      <c r="E641" s="814">
        <v>0</v>
      </c>
      <c r="F641" s="817">
        <v>0</v>
      </c>
      <c r="G641" s="814">
        <v>5</v>
      </c>
      <c r="H641" s="814">
        <v>2</v>
      </c>
      <c r="I641" s="814">
        <v>4</v>
      </c>
      <c r="J641" s="527">
        <f t="shared" si="85"/>
        <v>0.338345864661654</v>
      </c>
      <c r="K641" s="687">
        <f t="shared" si="86"/>
        <v>2.80466666666667</v>
      </c>
      <c r="L641" s="756">
        <f t="shared" si="90"/>
        <v>948.947368421052</v>
      </c>
      <c r="M641" s="810">
        <f t="shared" si="91"/>
        <v>0</v>
      </c>
      <c r="N641" s="811">
        <f t="shared" si="92"/>
        <v>0</v>
      </c>
      <c r="O641" s="617">
        <f t="shared" si="94"/>
        <v>0</v>
      </c>
      <c r="P641" s="617">
        <f t="shared" si="89"/>
        <v>0</v>
      </c>
      <c r="Q641" s="1046">
        <f t="shared" si="93"/>
        <v>25.242</v>
      </c>
    </row>
    <row r="642" spans="1:17">
      <c r="A642" s="801">
        <v>45289</v>
      </c>
      <c r="B642" s="817">
        <v>130.87</v>
      </c>
      <c r="C642" s="814">
        <v>164</v>
      </c>
      <c r="D642" s="814">
        <v>54</v>
      </c>
      <c r="E642" s="814">
        <v>0</v>
      </c>
      <c r="F642" s="817">
        <v>0</v>
      </c>
      <c r="G642" s="814">
        <v>15</v>
      </c>
      <c r="H642" s="814">
        <v>3</v>
      </c>
      <c r="I642" s="814">
        <v>3</v>
      </c>
      <c r="J642" s="527">
        <f t="shared" ref="J642:J705" si="95">D642/C642</f>
        <v>0.329268292682927</v>
      </c>
      <c r="K642" s="687">
        <f t="shared" ref="K642:K705" si="96">B642/D642</f>
        <v>2.42351851851852</v>
      </c>
      <c r="L642" s="756">
        <f t="shared" si="90"/>
        <v>797.987804878049</v>
      </c>
      <c r="M642" s="810">
        <f t="shared" si="91"/>
        <v>0</v>
      </c>
      <c r="N642" s="811">
        <f t="shared" si="92"/>
        <v>0</v>
      </c>
      <c r="O642" s="617">
        <f t="shared" si="94"/>
        <v>0</v>
      </c>
      <c r="P642" s="617">
        <f t="shared" si="89"/>
        <v>0</v>
      </c>
      <c r="Q642" s="1046">
        <f t="shared" si="93"/>
        <v>8.72466666666667</v>
      </c>
    </row>
    <row r="643" spans="1:17">
      <c r="A643" s="801">
        <v>45290</v>
      </c>
      <c r="B643" s="817">
        <v>188.73</v>
      </c>
      <c r="C643" s="814">
        <v>243</v>
      </c>
      <c r="D643" s="814">
        <v>82</v>
      </c>
      <c r="E643" s="814">
        <v>0</v>
      </c>
      <c r="F643" s="817">
        <v>0</v>
      </c>
      <c r="G643" s="814">
        <v>18</v>
      </c>
      <c r="H643" s="814">
        <v>3</v>
      </c>
      <c r="I643" s="814">
        <v>5</v>
      </c>
      <c r="J643" s="527">
        <f t="shared" si="95"/>
        <v>0.337448559670782</v>
      </c>
      <c r="K643" s="687">
        <f t="shared" si="96"/>
        <v>2.30158536585366</v>
      </c>
      <c r="L643" s="756">
        <f t="shared" si="90"/>
        <v>776.666666666667</v>
      </c>
      <c r="M643" s="810">
        <f t="shared" si="91"/>
        <v>0</v>
      </c>
      <c r="N643" s="811">
        <f t="shared" si="92"/>
        <v>0</v>
      </c>
      <c r="O643" s="617">
        <f t="shared" si="94"/>
        <v>0</v>
      </c>
      <c r="P643" s="617">
        <f t="shared" ref="P643:P674" si="97">IF(E643=0,0,B643/E643)</f>
        <v>0</v>
      </c>
      <c r="Q643" s="1046">
        <f t="shared" si="93"/>
        <v>10.485</v>
      </c>
    </row>
    <row r="644" spans="1:17">
      <c r="A644" s="801">
        <v>45291</v>
      </c>
      <c r="B644" s="817">
        <v>159.16</v>
      </c>
      <c r="C644" s="814">
        <v>205</v>
      </c>
      <c r="D644" s="814">
        <v>59</v>
      </c>
      <c r="E644" s="814">
        <v>0</v>
      </c>
      <c r="F644" s="817">
        <v>0</v>
      </c>
      <c r="G644" s="814">
        <v>16</v>
      </c>
      <c r="H644" s="814">
        <v>1</v>
      </c>
      <c r="I644" s="814">
        <v>4</v>
      </c>
      <c r="J644" s="527">
        <f t="shared" si="95"/>
        <v>0.28780487804878</v>
      </c>
      <c r="K644" s="687">
        <f t="shared" si="96"/>
        <v>2.69762711864407</v>
      </c>
      <c r="L644" s="756">
        <f t="shared" si="90"/>
        <v>776.390243902439</v>
      </c>
      <c r="M644" s="810">
        <f t="shared" si="91"/>
        <v>0</v>
      </c>
      <c r="N644" s="811">
        <f t="shared" si="92"/>
        <v>0</v>
      </c>
      <c r="O644" s="617">
        <f t="shared" si="94"/>
        <v>0</v>
      </c>
      <c r="P644" s="617">
        <f t="shared" si="97"/>
        <v>0</v>
      </c>
      <c r="Q644" s="1046">
        <f t="shared" si="93"/>
        <v>9.9475</v>
      </c>
    </row>
    <row r="645" spans="1:17">
      <c r="A645" s="801">
        <v>45292</v>
      </c>
      <c r="B645" s="817">
        <v>132.83</v>
      </c>
      <c r="C645" s="814">
        <v>141</v>
      </c>
      <c r="D645" s="814">
        <v>33</v>
      </c>
      <c r="E645" s="814">
        <v>3</v>
      </c>
      <c r="F645" s="817">
        <v>50251</v>
      </c>
      <c r="G645" s="814">
        <v>11</v>
      </c>
      <c r="H645" s="814">
        <v>1</v>
      </c>
      <c r="I645" s="814">
        <v>3</v>
      </c>
      <c r="J645" s="527">
        <f t="shared" si="95"/>
        <v>0.234042553191489</v>
      </c>
      <c r="K645" s="687">
        <f t="shared" si="96"/>
        <v>4.02515151515152</v>
      </c>
      <c r="L645" s="756">
        <f t="shared" si="90"/>
        <v>942.056737588653</v>
      </c>
      <c r="M645" s="810">
        <f t="shared" si="91"/>
        <v>378.310622600316</v>
      </c>
      <c r="N645" s="811">
        <f t="shared" si="92"/>
        <v>0.0909090909090909</v>
      </c>
      <c r="O645" s="617">
        <f t="shared" si="94"/>
        <v>16750.3333333333</v>
      </c>
      <c r="P645" s="617">
        <f t="shared" si="97"/>
        <v>44.2766666666667</v>
      </c>
      <c r="Q645" s="1046">
        <f t="shared" si="93"/>
        <v>12.0754545454545</v>
      </c>
    </row>
    <row r="646" spans="1:17">
      <c r="A646" s="801">
        <v>45293</v>
      </c>
      <c r="B646" s="802">
        <v>222.18</v>
      </c>
      <c r="C646" s="804">
        <v>261</v>
      </c>
      <c r="D646" s="804">
        <v>111</v>
      </c>
      <c r="E646" s="804">
        <v>0</v>
      </c>
      <c r="F646" s="1064">
        <v>0</v>
      </c>
      <c r="G646" s="804">
        <v>21</v>
      </c>
      <c r="H646" s="804">
        <v>4</v>
      </c>
      <c r="I646" s="806">
        <v>10</v>
      </c>
      <c r="J646" s="527">
        <f t="shared" si="95"/>
        <v>0.425287356321839</v>
      </c>
      <c r="K646" s="687">
        <f t="shared" si="96"/>
        <v>2.00162162162162</v>
      </c>
      <c r="L646" s="756">
        <f t="shared" si="90"/>
        <v>851.264367816092</v>
      </c>
      <c r="M646" s="810">
        <f t="shared" si="91"/>
        <v>0</v>
      </c>
      <c r="N646" s="811">
        <f t="shared" si="92"/>
        <v>0</v>
      </c>
      <c r="O646" s="617">
        <f t="shared" si="94"/>
        <v>0</v>
      </c>
      <c r="P646" s="617">
        <f t="shared" si="97"/>
        <v>0</v>
      </c>
      <c r="Q646" s="1046">
        <f t="shared" si="93"/>
        <v>10.58</v>
      </c>
    </row>
    <row r="647" spans="1:17">
      <c r="A647" s="801">
        <v>45294</v>
      </c>
      <c r="B647" s="817">
        <v>273.52</v>
      </c>
      <c r="C647" s="814">
        <v>287</v>
      </c>
      <c r="D647" s="814">
        <v>112</v>
      </c>
      <c r="E647" s="814">
        <v>0</v>
      </c>
      <c r="F647" s="817">
        <v>0</v>
      </c>
      <c r="G647" s="814">
        <v>38</v>
      </c>
      <c r="H647" s="814">
        <v>3</v>
      </c>
      <c r="I647" s="814">
        <v>16</v>
      </c>
      <c r="J647" s="527">
        <f t="shared" si="95"/>
        <v>0.390243902439024</v>
      </c>
      <c r="K647" s="687">
        <f t="shared" si="96"/>
        <v>2.44214285714286</v>
      </c>
      <c r="L647" s="756">
        <f t="shared" si="90"/>
        <v>953.031358885017</v>
      </c>
      <c r="M647" s="810">
        <f t="shared" si="91"/>
        <v>0</v>
      </c>
      <c r="N647" s="811">
        <f t="shared" si="92"/>
        <v>0</v>
      </c>
      <c r="O647" s="617">
        <f t="shared" si="94"/>
        <v>0</v>
      </c>
      <c r="P647" s="617">
        <f t="shared" si="97"/>
        <v>0</v>
      </c>
      <c r="Q647" s="1046">
        <f t="shared" si="93"/>
        <v>7.1978947368421</v>
      </c>
    </row>
    <row r="648" spans="1:17">
      <c r="A648" s="801">
        <v>45295</v>
      </c>
      <c r="B648" s="812">
        <v>210.89</v>
      </c>
      <c r="C648" s="814">
        <v>211</v>
      </c>
      <c r="D648" s="814">
        <v>76</v>
      </c>
      <c r="E648" s="814">
        <v>0</v>
      </c>
      <c r="F648" s="817">
        <v>0</v>
      </c>
      <c r="G648" s="814">
        <v>19</v>
      </c>
      <c r="H648" s="814">
        <v>0</v>
      </c>
      <c r="I648" s="814">
        <v>9</v>
      </c>
      <c r="J648" s="527">
        <f t="shared" si="95"/>
        <v>0.360189573459716</v>
      </c>
      <c r="K648" s="687">
        <f t="shared" si="96"/>
        <v>2.77486842105263</v>
      </c>
      <c r="L648" s="756">
        <f t="shared" si="90"/>
        <v>999.478672985782</v>
      </c>
      <c r="M648" s="810">
        <f t="shared" si="91"/>
        <v>0</v>
      </c>
      <c r="N648" s="811">
        <f t="shared" si="92"/>
        <v>0</v>
      </c>
      <c r="O648" s="617">
        <f t="shared" si="94"/>
        <v>0</v>
      </c>
      <c r="P648" s="617">
        <f t="shared" si="97"/>
        <v>0</v>
      </c>
      <c r="Q648" s="1046">
        <f t="shared" si="93"/>
        <v>11.0994736842105</v>
      </c>
    </row>
    <row r="649" spans="1:17">
      <c r="A649" s="801">
        <v>45296</v>
      </c>
      <c r="B649" s="812">
        <v>158.59</v>
      </c>
      <c r="C649" s="814">
        <v>175</v>
      </c>
      <c r="D649" s="814">
        <v>60</v>
      </c>
      <c r="E649" s="814">
        <v>0</v>
      </c>
      <c r="F649" s="817">
        <v>0</v>
      </c>
      <c r="G649" s="814">
        <v>20</v>
      </c>
      <c r="H649" s="814">
        <v>4</v>
      </c>
      <c r="I649" s="814">
        <v>5</v>
      </c>
      <c r="J649" s="527">
        <f t="shared" si="95"/>
        <v>0.342857142857143</v>
      </c>
      <c r="K649" s="687">
        <f t="shared" si="96"/>
        <v>2.64316666666667</v>
      </c>
      <c r="L649" s="756">
        <f t="shared" si="90"/>
        <v>906.228571428572</v>
      </c>
      <c r="M649" s="810">
        <f t="shared" si="91"/>
        <v>0</v>
      </c>
      <c r="N649" s="811">
        <f t="shared" si="92"/>
        <v>0</v>
      </c>
      <c r="O649" s="617">
        <f t="shared" si="94"/>
        <v>0</v>
      </c>
      <c r="P649" s="617">
        <f t="shared" si="97"/>
        <v>0</v>
      </c>
      <c r="Q649" s="1046">
        <f t="shared" si="93"/>
        <v>7.9295</v>
      </c>
    </row>
    <row r="650" spans="1:17">
      <c r="A650" s="801">
        <v>45297</v>
      </c>
      <c r="B650" s="812">
        <v>156.88</v>
      </c>
      <c r="C650" s="814">
        <v>162</v>
      </c>
      <c r="D650" s="814">
        <v>48</v>
      </c>
      <c r="E650" s="814">
        <v>0</v>
      </c>
      <c r="F650" s="817">
        <v>0</v>
      </c>
      <c r="G650" s="814">
        <v>8</v>
      </c>
      <c r="H650" s="814">
        <v>1</v>
      </c>
      <c r="I650" s="814">
        <v>1</v>
      </c>
      <c r="J650" s="527">
        <f t="shared" si="95"/>
        <v>0.296296296296296</v>
      </c>
      <c r="K650" s="687">
        <f t="shared" si="96"/>
        <v>3.26833333333333</v>
      </c>
      <c r="L650" s="756">
        <f t="shared" si="90"/>
        <v>968.395061728395</v>
      </c>
      <c r="M650" s="810">
        <f t="shared" si="91"/>
        <v>0</v>
      </c>
      <c r="N650" s="811">
        <f t="shared" si="92"/>
        <v>0</v>
      </c>
      <c r="O650" s="617">
        <f t="shared" si="94"/>
        <v>0</v>
      </c>
      <c r="P650" s="617">
        <f t="shared" si="97"/>
        <v>0</v>
      </c>
      <c r="Q650" s="1046">
        <f t="shared" si="93"/>
        <v>19.61</v>
      </c>
    </row>
    <row r="651" spans="1:17">
      <c r="A651" s="801">
        <v>45298</v>
      </c>
      <c r="B651" s="812">
        <v>176.11</v>
      </c>
      <c r="C651" s="814">
        <v>191</v>
      </c>
      <c r="D651" s="814">
        <v>52</v>
      </c>
      <c r="E651" s="814">
        <v>0</v>
      </c>
      <c r="F651" s="817">
        <v>0</v>
      </c>
      <c r="G651" s="814">
        <v>20</v>
      </c>
      <c r="H651" s="814">
        <v>2</v>
      </c>
      <c r="I651" s="814">
        <v>4</v>
      </c>
      <c r="J651" s="527">
        <f t="shared" si="95"/>
        <v>0.272251308900524</v>
      </c>
      <c r="K651" s="687">
        <f t="shared" si="96"/>
        <v>3.38673076923077</v>
      </c>
      <c r="L651" s="756">
        <f t="shared" si="90"/>
        <v>922.041884816754</v>
      </c>
      <c r="M651" s="810">
        <f t="shared" si="91"/>
        <v>0</v>
      </c>
      <c r="N651" s="811">
        <f t="shared" si="92"/>
        <v>0</v>
      </c>
      <c r="O651" s="617">
        <f t="shared" si="94"/>
        <v>0</v>
      </c>
      <c r="P651" s="617">
        <f t="shared" si="97"/>
        <v>0</v>
      </c>
      <c r="Q651" s="1046">
        <f t="shared" si="93"/>
        <v>8.8055</v>
      </c>
    </row>
    <row r="652" spans="1:17">
      <c r="A652" s="801">
        <v>45299</v>
      </c>
      <c r="B652" s="817">
        <v>219.91</v>
      </c>
      <c r="C652" s="814">
        <v>235</v>
      </c>
      <c r="D652" s="814">
        <v>71</v>
      </c>
      <c r="E652" s="814">
        <v>0</v>
      </c>
      <c r="F652" s="817">
        <v>0</v>
      </c>
      <c r="G652" s="814">
        <v>17</v>
      </c>
      <c r="H652" s="814">
        <v>1</v>
      </c>
      <c r="I652" s="814">
        <v>2</v>
      </c>
      <c r="J652" s="527">
        <f t="shared" si="95"/>
        <v>0.302127659574468</v>
      </c>
      <c r="K652" s="687">
        <f t="shared" si="96"/>
        <v>3.09732394366197</v>
      </c>
      <c r="L652" s="756">
        <f t="shared" si="90"/>
        <v>935.787234042553</v>
      </c>
      <c r="M652" s="810">
        <f t="shared" si="91"/>
        <v>0</v>
      </c>
      <c r="N652" s="811">
        <f t="shared" si="92"/>
        <v>0</v>
      </c>
      <c r="O652" s="617">
        <f t="shared" si="94"/>
        <v>0</v>
      </c>
      <c r="P652" s="617">
        <f t="shared" si="97"/>
        <v>0</v>
      </c>
      <c r="Q652" s="1046">
        <f t="shared" si="93"/>
        <v>12.9358823529412</v>
      </c>
    </row>
    <row r="653" spans="1:17">
      <c r="A653" s="801">
        <v>45300</v>
      </c>
      <c r="B653" s="812">
        <v>117.54</v>
      </c>
      <c r="C653" s="814">
        <v>135</v>
      </c>
      <c r="D653" s="814">
        <v>30</v>
      </c>
      <c r="E653" s="814">
        <v>0</v>
      </c>
      <c r="F653" s="817">
        <v>0</v>
      </c>
      <c r="G653" s="814">
        <v>14</v>
      </c>
      <c r="H653" s="814">
        <v>1</v>
      </c>
      <c r="I653" s="814">
        <v>3</v>
      </c>
      <c r="J653" s="527">
        <f t="shared" si="95"/>
        <v>0.222222222222222</v>
      </c>
      <c r="K653" s="687">
        <f t="shared" si="96"/>
        <v>3.918</v>
      </c>
      <c r="L653" s="756">
        <f t="shared" si="90"/>
        <v>870.666666666667</v>
      </c>
      <c r="M653" s="772">
        <f t="shared" si="91"/>
        <v>0</v>
      </c>
      <c r="N653" s="773">
        <f t="shared" si="92"/>
        <v>0</v>
      </c>
      <c r="O653" s="617">
        <f t="shared" si="94"/>
        <v>0</v>
      </c>
      <c r="P653" s="617">
        <f t="shared" si="97"/>
        <v>0</v>
      </c>
      <c r="Q653" s="1046">
        <f t="shared" si="93"/>
        <v>8.39571428571429</v>
      </c>
    </row>
    <row r="654" spans="1:17">
      <c r="A654" s="801">
        <v>45301</v>
      </c>
      <c r="B654" s="812">
        <v>156.85</v>
      </c>
      <c r="C654" s="814">
        <v>155</v>
      </c>
      <c r="D654" s="814">
        <v>39</v>
      </c>
      <c r="E654" s="814">
        <v>2</v>
      </c>
      <c r="F654" s="817">
        <v>28288</v>
      </c>
      <c r="G654" s="814">
        <v>21</v>
      </c>
      <c r="H654" s="814">
        <v>1</v>
      </c>
      <c r="I654" s="814">
        <v>4</v>
      </c>
      <c r="J654" s="527">
        <f t="shared" si="95"/>
        <v>0.251612903225806</v>
      </c>
      <c r="K654" s="687">
        <f t="shared" si="96"/>
        <v>4.02179487179487</v>
      </c>
      <c r="L654" s="756">
        <f t="shared" si="90"/>
        <v>1011.93548387097</v>
      </c>
      <c r="M654" s="772">
        <f t="shared" si="91"/>
        <v>180.350653490596</v>
      </c>
      <c r="N654" s="773">
        <f t="shared" si="92"/>
        <v>0.0512820512820513</v>
      </c>
      <c r="O654" s="617">
        <f t="shared" si="94"/>
        <v>14144</v>
      </c>
      <c r="P654" s="617">
        <f t="shared" si="97"/>
        <v>78.425</v>
      </c>
      <c r="Q654" s="1046">
        <f t="shared" si="93"/>
        <v>7.46904761904762</v>
      </c>
    </row>
    <row r="655" spans="1:17">
      <c r="A655" s="801">
        <v>45302</v>
      </c>
      <c r="B655" s="812">
        <v>120.46</v>
      </c>
      <c r="C655" s="814">
        <v>132</v>
      </c>
      <c r="D655" s="814">
        <v>47</v>
      </c>
      <c r="E655" s="814">
        <v>0</v>
      </c>
      <c r="F655" s="817">
        <v>0</v>
      </c>
      <c r="G655" s="814">
        <v>6</v>
      </c>
      <c r="H655" s="814">
        <v>0</v>
      </c>
      <c r="I655" s="814">
        <v>3</v>
      </c>
      <c r="J655" s="527">
        <f t="shared" si="95"/>
        <v>0.356060606060606</v>
      </c>
      <c r="K655" s="687">
        <f t="shared" si="96"/>
        <v>2.56297872340426</v>
      </c>
      <c r="L655" s="756">
        <f t="shared" si="90"/>
        <v>912.575757575758</v>
      </c>
      <c r="M655" s="772">
        <f t="shared" si="91"/>
        <v>0</v>
      </c>
      <c r="N655" s="773">
        <f t="shared" si="92"/>
        <v>0</v>
      </c>
      <c r="O655" s="617">
        <f t="shared" si="94"/>
        <v>0</v>
      </c>
      <c r="P655" s="617">
        <f t="shared" si="97"/>
        <v>0</v>
      </c>
      <c r="Q655" s="1046">
        <f t="shared" si="93"/>
        <v>20.0766666666667</v>
      </c>
    </row>
    <row r="656" spans="1:17">
      <c r="A656" s="801">
        <v>45303</v>
      </c>
      <c r="B656" s="802">
        <v>157.43</v>
      </c>
      <c r="C656" s="804">
        <v>181</v>
      </c>
      <c r="D656" s="804">
        <v>40</v>
      </c>
      <c r="E656" s="804">
        <v>0</v>
      </c>
      <c r="F656" s="1064">
        <v>0</v>
      </c>
      <c r="G656" s="804">
        <v>11</v>
      </c>
      <c r="H656" s="804">
        <v>1</v>
      </c>
      <c r="I656" s="806">
        <v>5</v>
      </c>
      <c r="J656" s="527">
        <f t="shared" si="95"/>
        <v>0.220994475138122</v>
      </c>
      <c r="K656" s="687">
        <f t="shared" si="96"/>
        <v>3.93575</v>
      </c>
      <c r="L656" s="756">
        <f t="shared" si="90"/>
        <v>869.779005524862</v>
      </c>
      <c r="M656" s="772">
        <f t="shared" si="91"/>
        <v>0</v>
      </c>
      <c r="N656" s="773">
        <f t="shared" si="92"/>
        <v>0</v>
      </c>
      <c r="O656" s="617">
        <f t="shared" ref="O656:O687" si="98">IF(E656=0,0,F656/E656)</f>
        <v>0</v>
      </c>
      <c r="P656" s="617">
        <f t="shared" si="97"/>
        <v>0</v>
      </c>
      <c r="Q656" s="1046">
        <f t="shared" si="93"/>
        <v>14.3118181818182</v>
      </c>
    </row>
    <row r="657" spans="1:17">
      <c r="A657" s="801">
        <v>45304</v>
      </c>
      <c r="B657" s="812">
        <v>100.59</v>
      </c>
      <c r="C657" s="814">
        <v>128</v>
      </c>
      <c r="D657" s="814">
        <v>44</v>
      </c>
      <c r="E657" s="814">
        <v>0</v>
      </c>
      <c r="F657" s="817">
        <v>0</v>
      </c>
      <c r="G657" s="814">
        <v>10</v>
      </c>
      <c r="H657" s="814">
        <v>1</v>
      </c>
      <c r="I657" s="816">
        <v>4</v>
      </c>
      <c r="J657" s="527">
        <f t="shared" si="95"/>
        <v>0.34375</v>
      </c>
      <c r="K657" s="687">
        <f t="shared" si="96"/>
        <v>2.28613636363636</v>
      </c>
      <c r="L657" s="756">
        <f t="shared" si="90"/>
        <v>785.859375</v>
      </c>
      <c r="M657" s="772">
        <f t="shared" si="91"/>
        <v>0</v>
      </c>
      <c r="N657" s="773">
        <f t="shared" si="92"/>
        <v>0</v>
      </c>
      <c r="O657" s="617">
        <f t="shared" si="98"/>
        <v>0</v>
      </c>
      <c r="P657" s="617">
        <f t="shared" si="97"/>
        <v>0</v>
      </c>
      <c r="Q657" s="1046">
        <f t="shared" si="93"/>
        <v>10.059</v>
      </c>
    </row>
    <row r="658" spans="1:17">
      <c r="A658" s="801">
        <v>45305</v>
      </c>
      <c r="B658" s="812">
        <v>123.85</v>
      </c>
      <c r="C658" s="814">
        <v>183</v>
      </c>
      <c r="D658" s="814">
        <v>57</v>
      </c>
      <c r="E658" s="814">
        <v>0</v>
      </c>
      <c r="F658" s="817">
        <v>0</v>
      </c>
      <c r="G658" s="814">
        <v>10</v>
      </c>
      <c r="H658" s="814">
        <v>1</v>
      </c>
      <c r="I658" s="816">
        <v>3</v>
      </c>
      <c r="J658" s="527">
        <f t="shared" si="95"/>
        <v>0.311475409836066</v>
      </c>
      <c r="K658" s="687">
        <f t="shared" si="96"/>
        <v>2.17280701754386</v>
      </c>
      <c r="L658" s="756">
        <f t="shared" si="90"/>
        <v>676.775956284153</v>
      </c>
      <c r="M658" s="772">
        <f t="shared" si="91"/>
        <v>0</v>
      </c>
      <c r="N658" s="773">
        <f t="shared" si="92"/>
        <v>0</v>
      </c>
      <c r="O658" s="617">
        <f t="shared" si="98"/>
        <v>0</v>
      </c>
      <c r="P658" s="617">
        <f t="shared" si="97"/>
        <v>0</v>
      </c>
      <c r="Q658" s="1046">
        <f t="shared" si="93"/>
        <v>12.385</v>
      </c>
    </row>
    <row r="659" spans="1:17">
      <c r="A659" s="801">
        <v>45306</v>
      </c>
      <c r="B659" s="812">
        <v>113.45</v>
      </c>
      <c r="C659" s="814">
        <v>149</v>
      </c>
      <c r="D659" s="814">
        <v>55</v>
      </c>
      <c r="E659" s="814">
        <v>0</v>
      </c>
      <c r="F659" s="817">
        <v>0</v>
      </c>
      <c r="G659" s="814">
        <v>8</v>
      </c>
      <c r="H659" s="814">
        <v>1</v>
      </c>
      <c r="I659" s="814">
        <v>3</v>
      </c>
      <c r="J659" s="527">
        <f t="shared" si="95"/>
        <v>0.369127516778524</v>
      </c>
      <c r="K659" s="687">
        <f t="shared" si="96"/>
        <v>2.06272727272727</v>
      </c>
      <c r="L659" s="756">
        <f t="shared" si="90"/>
        <v>761.409395973154</v>
      </c>
      <c r="M659" s="772">
        <f t="shared" si="91"/>
        <v>0</v>
      </c>
      <c r="N659" s="773">
        <f t="shared" si="92"/>
        <v>0</v>
      </c>
      <c r="O659" s="617">
        <f t="shared" si="98"/>
        <v>0</v>
      </c>
      <c r="P659" s="617">
        <f t="shared" si="97"/>
        <v>0</v>
      </c>
      <c r="Q659" s="1046">
        <f t="shared" si="93"/>
        <v>14.18125</v>
      </c>
    </row>
    <row r="660" spans="1:17">
      <c r="A660" s="801">
        <v>45307</v>
      </c>
      <c r="B660" s="812">
        <v>152.18</v>
      </c>
      <c r="C660" s="814">
        <v>201</v>
      </c>
      <c r="D660" s="814">
        <v>75</v>
      </c>
      <c r="E660" s="814">
        <v>1</v>
      </c>
      <c r="F660" s="817">
        <v>3000</v>
      </c>
      <c r="G660" s="814">
        <v>17</v>
      </c>
      <c r="H660" s="814">
        <v>1</v>
      </c>
      <c r="I660" s="814">
        <v>2</v>
      </c>
      <c r="J660" s="527">
        <f t="shared" si="95"/>
        <v>0.373134328358209</v>
      </c>
      <c r="K660" s="687">
        <f t="shared" si="96"/>
        <v>2.02906666666667</v>
      </c>
      <c r="L660" s="756">
        <f t="shared" si="90"/>
        <v>757.114427860697</v>
      </c>
      <c r="M660" s="772">
        <f t="shared" si="91"/>
        <v>19.7134971743987</v>
      </c>
      <c r="N660" s="773">
        <f t="shared" si="92"/>
        <v>0.0133333333333333</v>
      </c>
      <c r="O660" s="617">
        <f t="shared" si="98"/>
        <v>3000</v>
      </c>
      <c r="P660" s="617">
        <f t="shared" si="97"/>
        <v>152.18</v>
      </c>
      <c r="Q660" s="1046">
        <f t="shared" si="93"/>
        <v>8.95176470588235</v>
      </c>
    </row>
    <row r="661" spans="1:17">
      <c r="A661" s="801">
        <v>45308</v>
      </c>
      <c r="B661" s="812">
        <v>134.51</v>
      </c>
      <c r="C661" s="814">
        <v>175</v>
      </c>
      <c r="D661" s="814">
        <v>64</v>
      </c>
      <c r="E661" s="814">
        <v>1</v>
      </c>
      <c r="F661" s="817">
        <v>19851</v>
      </c>
      <c r="G661" s="814">
        <v>17</v>
      </c>
      <c r="H661" s="814">
        <v>1</v>
      </c>
      <c r="I661" s="814">
        <v>2</v>
      </c>
      <c r="J661" s="527">
        <f t="shared" si="95"/>
        <v>0.365714285714286</v>
      </c>
      <c r="K661" s="687">
        <f t="shared" si="96"/>
        <v>2.10171875</v>
      </c>
      <c r="L661" s="756">
        <f t="shared" si="90"/>
        <v>768.628571428571</v>
      </c>
      <c r="M661" s="772">
        <f t="shared" si="91"/>
        <v>147.580105568359</v>
      </c>
      <c r="N661" s="773">
        <f t="shared" si="92"/>
        <v>0.015625</v>
      </c>
      <c r="O661" s="617">
        <f t="shared" si="98"/>
        <v>19851</v>
      </c>
      <c r="P661" s="617">
        <f t="shared" si="97"/>
        <v>134.51</v>
      </c>
      <c r="Q661" s="1046">
        <f t="shared" si="93"/>
        <v>7.91235294117647</v>
      </c>
    </row>
    <row r="662" spans="1:17">
      <c r="A662" s="801">
        <v>45309</v>
      </c>
      <c r="B662" s="812">
        <v>73.44</v>
      </c>
      <c r="C662" s="814">
        <v>90</v>
      </c>
      <c r="D662" s="814">
        <v>39</v>
      </c>
      <c r="E662" s="814">
        <v>0</v>
      </c>
      <c r="F662" s="817">
        <v>0</v>
      </c>
      <c r="G662" s="814">
        <v>8</v>
      </c>
      <c r="H662" s="814">
        <v>1</v>
      </c>
      <c r="I662" s="814">
        <v>3</v>
      </c>
      <c r="J662" s="527">
        <f t="shared" si="95"/>
        <v>0.433333333333333</v>
      </c>
      <c r="K662" s="687">
        <f t="shared" si="96"/>
        <v>1.88307692307692</v>
      </c>
      <c r="L662" s="756">
        <f t="shared" si="90"/>
        <v>816</v>
      </c>
      <c r="M662" s="772">
        <f t="shared" si="91"/>
        <v>0</v>
      </c>
      <c r="N662" s="773">
        <f t="shared" si="92"/>
        <v>0</v>
      </c>
      <c r="O662" s="617">
        <f t="shared" si="98"/>
        <v>0</v>
      </c>
      <c r="P662" s="617">
        <f t="shared" si="97"/>
        <v>0</v>
      </c>
      <c r="Q662" s="1046">
        <f t="shared" si="93"/>
        <v>9.18</v>
      </c>
    </row>
    <row r="663" spans="1:17">
      <c r="A663" s="801">
        <v>45310</v>
      </c>
      <c r="B663" s="812">
        <v>124.2</v>
      </c>
      <c r="C663" s="814">
        <v>152</v>
      </c>
      <c r="D663" s="814">
        <v>59</v>
      </c>
      <c r="E663" s="814">
        <v>0</v>
      </c>
      <c r="F663" s="817">
        <v>0</v>
      </c>
      <c r="G663" s="814">
        <v>13</v>
      </c>
      <c r="H663" s="814">
        <v>1</v>
      </c>
      <c r="I663" s="814">
        <v>1</v>
      </c>
      <c r="J663" s="527">
        <f t="shared" si="95"/>
        <v>0.388157894736842</v>
      </c>
      <c r="K663" s="687">
        <f t="shared" si="96"/>
        <v>2.10508474576271</v>
      </c>
      <c r="L663" s="756">
        <f t="shared" si="90"/>
        <v>817.105263157895</v>
      </c>
      <c r="M663" s="772">
        <f t="shared" si="91"/>
        <v>0</v>
      </c>
      <c r="N663" s="773">
        <f t="shared" si="92"/>
        <v>0</v>
      </c>
      <c r="O663" s="617">
        <f t="shared" si="98"/>
        <v>0</v>
      </c>
      <c r="P663" s="617">
        <f t="shared" si="97"/>
        <v>0</v>
      </c>
      <c r="Q663" s="1046">
        <f t="shared" si="93"/>
        <v>9.55384615384615</v>
      </c>
    </row>
    <row r="664" spans="1:17">
      <c r="A664" s="801">
        <v>45311</v>
      </c>
      <c r="B664" s="812">
        <v>105.27</v>
      </c>
      <c r="C664" s="814">
        <v>129</v>
      </c>
      <c r="D664" s="814">
        <v>62</v>
      </c>
      <c r="E664" s="814">
        <v>0</v>
      </c>
      <c r="F664" s="817">
        <v>0</v>
      </c>
      <c r="G664" s="814">
        <v>17</v>
      </c>
      <c r="H664" s="814">
        <v>2</v>
      </c>
      <c r="I664" s="814">
        <v>3</v>
      </c>
      <c r="J664" s="527">
        <f t="shared" si="95"/>
        <v>0.48062015503876</v>
      </c>
      <c r="K664" s="687">
        <f t="shared" si="96"/>
        <v>1.69790322580645</v>
      </c>
      <c r="L664" s="756">
        <f t="shared" si="90"/>
        <v>816.046511627907</v>
      </c>
      <c r="M664" s="772">
        <f t="shared" si="91"/>
        <v>0</v>
      </c>
      <c r="N664" s="773">
        <f t="shared" si="92"/>
        <v>0</v>
      </c>
      <c r="O664" s="617">
        <f t="shared" si="98"/>
        <v>0</v>
      </c>
      <c r="P664" s="617">
        <f t="shared" si="97"/>
        <v>0</v>
      </c>
      <c r="Q664" s="1046">
        <f t="shared" si="93"/>
        <v>6.19235294117647</v>
      </c>
    </row>
    <row r="665" spans="1:17">
      <c r="A665" s="801">
        <v>45312</v>
      </c>
      <c r="B665" s="812">
        <v>139.6</v>
      </c>
      <c r="C665" s="814">
        <v>169</v>
      </c>
      <c r="D665" s="814">
        <v>70</v>
      </c>
      <c r="E665" s="814">
        <v>0</v>
      </c>
      <c r="F665" s="817">
        <v>0</v>
      </c>
      <c r="G665" s="814">
        <v>17</v>
      </c>
      <c r="H665" s="814">
        <v>2</v>
      </c>
      <c r="I665" s="814">
        <v>4</v>
      </c>
      <c r="J665" s="527">
        <f t="shared" si="95"/>
        <v>0.414201183431953</v>
      </c>
      <c r="K665" s="687">
        <f t="shared" si="96"/>
        <v>1.99428571428571</v>
      </c>
      <c r="L665" s="756">
        <f t="shared" si="90"/>
        <v>826.03550295858</v>
      </c>
      <c r="M665" s="772">
        <f t="shared" si="91"/>
        <v>0</v>
      </c>
      <c r="N665" s="773">
        <f t="shared" si="92"/>
        <v>0</v>
      </c>
      <c r="O665" s="617">
        <f t="shared" si="98"/>
        <v>0</v>
      </c>
      <c r="P665" s="617">
        <f t="shared" si="97"/>
        <v>0</v>
      </c>
      <c r="Q665" s="1046">
        <f t="shared" si="93"/>
        <v>8.21176470588235</v>
      </c>
    </row>
    <row r="666" spans="1:17">
      <c r="A666" s="801">
        <v>45313</v>
      </c>
      <c r="B666" s="812">
        <v>121.86</v>
      </c>
      <c r="C666" s="814">
        <v>156</v>
      </c>
      <c r="D666" s="814">
        <v>54</v>
      </c>
      <c r="E666" s="814">
        <v>0</v>
      </c>
      <c r="F666" s="817">
        <v>0</v>
      </c>
      <c r="G666" s="814">
        <v>6</v>
      </c>
      <c r="H666" s="814">
        <v>3</v>
      </c>
      <c r="I666" s="814">
        <v>3</v>
      </c>
      <c r="J666" s="527">
        <f t="shared" si="95"/>
        <v>0.346153846153846</v>
      </c>
      <c r="K666" s="687">
        <f t="shared" si="96"/>
        <v>2.25666666666667</v>
      </c>
      <c r="L666" s="756">
        <f t="shared" si="90"/>
        <v>781.153846153846</v>
      </c>
      <c r="M666" s="772">
        <f t="shared" si="91"/>
        <v>0</v>
      </c>
      <c r="N666" s="773">
        <f t="shared" si="92"/>
        <v>0</v>
      </c>
      <c r="O666" s="617">
        <f t="shared" si="98"/>
        <v>0</v>
      </c>
      <c r="P666" s="617">
        <f t="shared" si="97"/>
        <v>0</v>
      </c>
      <c r="Q666" s="1046">
        <f t="shared" si="93"/>
        <v>20.31</v>
      </c>
    </row>
    <row r="667" spans="1:17">
      <c r="A667" s="801">
        <v>45314</v>
      </c>
      <c r="B667" s="812">
        <v>120.02</v>
      </c>
      <c r="C667" s="814">
        <v>156</v>
      </c>
      <c r="D667" s="814">
        <v>64</v>
      </c>
      <c r="E667" s="814">
        <v>1</v>
      </c>
      <c r="F667" s="817">
        <v>17414</v>
      </c>
      <c r="G667" s="814">
        <v>14</v>
      </c>
      <c r="H667" s="814">
        <v>0</v>
      </c>
      <c r="I667" s="814">
        <v>2</v>
      </c>
      <c r="J667" s="527">
        <f t="shared" si="95"/>
        <v>0.41025641025641</v>
      </c>
      <c r="K667" s="687">
        <f t="shared" si="96"/>
        <v>1.8753125</v>
      </c>
      <c r="L667" s="756">
        <f t="shared" si="90"/>
        <v>769.358974358974</v>
      </c>
      <c r="M667" s="772">
        <f t="shared" si="91"/>
        <v>145.092484585902</v>
      </c>
      <c r="N667" s="773">
        <f t="shared" si="92"/>
        <v>0.015625</v>
      </c>
      <c r="O667" s="617">
        <f t="shared" si="98"/>
        <v>17414</v>
      </c>
      <c r="P667" s="617">
        <f t="shared" si="97"/>
        <v>120.02</v>
      </c>
      <c r="Q667" s="1046">
        <f t="shared" si="93"/>
        <v>8.57285714285714</v>
      </c>
    </row>
    <row r="668" spans="1:17">
      <c r="A668" s="801">
        <v>45315</v>
      </c>
      <c r="B668" s="812">
        <v>143.67</v>
      </c>
      <c r="C668" s="814">
        <v>195</v>
      </c>
      <c r="D668" s="814">
        <v>69</v>
      </c>
      <c r="E668" s="814">
        <v>0</v>
      </c>
      <c r="F668" s="817">
        <v>0</v>
      </c>
      <c r="G668" s="814">
        <v>9</v>
      </c>
      <c r="H668" s="814">
        <v>0</v>
      </c>
      <c r="I668" s="814">
        <v>2</v>
      </c>
      <c r="J668" s="527">
        <f t="shared" si="95"/>
        <v>0.353846153846154</v>
      </c>
      <c r="K668" s="687">
        <f t="shared" si="96"/>
        <v>2.08217391304348</v>
      </c>
      <c r="L668" s="756">
        <f t="shared" si="90"/>
        <v>736.769230769231</v>
      </c>
      <c r="M668" s="772">
        <f t="shared" si="91"/>
        <v>0</v>
      </c>
      <c r="N668" s="773">
        <f t="shared" si="92"/>
        <v>0</v>
      </c>
      <c r="O668" s="617">
        <f t="shared" si="98"/>
        <v>0</v>
      </c>
      <c r="P668" s="617">
        <f t="shared" si="97"/>
        <v>0</v>
      </c>
      <c r="Q668" s="1046">
        <f t="shared" si="93"/>
        <v>15.9633333333333</v>
      </c>
    </row>
    <row r="669" spans="1:17">
      <c r="A669" s="801">
        <v>45316</v>
      </c>
      <c r="B669" s="812">
        <v>128.75</v>
      </c>
      <c r="C669" s="814">
        <v>151</v>
      </c>
      <c r="D669" s="814">
        <v>54</v>
      </c>
      <c r="E669" s="814">
        <v>0</v>
      </c>
      <c r="F669" s="817">
        <v>0</v>
      </c>
      <c r="G669" s="814">
        <v>18</v>
      </c>
      <c r="H669" s="814">
        <v>2</v>
      </c>
      <c r="I669" s="814">
        <v>1</v>
      </c>
      <c r="J669" s="527">
        <f t="shared" si="95"/>
        <v>0.357615894039735</v>
      </c>
      <c r="K669" s="687">
        <f t="shared" si="96"/>
        <v>2.38425925925926</v>
      </c>
      <c r="L669" s="756">
        <f t="shared" si="90"/>
        <v>852.649006622516</v>
      </c>
      <c r="M669" s="772">
        <f t="shared" si="91"/>
        <v>0</v>
      </c>
      <c r="N669" s="773">
        <f t="shared" si="92"/>
        <v>0</v>
      </c>
      <c r="O669" s="617">
        <f t="shared" si="98"/>
        <v>0</v>
      </c>
      <c r="P669" s="617">
        <f t="shared" si="97"/>
        <v>0</v>
      </c>
      <c r="Q669" s="1046">
        <f t="shared" si="93"/>
        <v>7.15277777777778</v>
      </c>
    </row>
    <row r="670" spans="1:17">
      <c r="A670" s="801">
        <v>45317</v>
      </c>
      <c r="B670" s="812">
        <v>94.77</v>
      </c>
      <c r="C670" s="814">
        <v>120</v>
      </c>
      <c r="D670" s="814">
        <v>48</v>
      </c>
      <c r="E670" s="814">
        <v>0</v>
      </c>
      <c r="F670" s="817">
        <v>0</v>
      </c>
      <c r="G670" s="814">
        <v>11</v>
      </c>
      <c r="H670" s="814">
        <v>2</v>
      </c>
      <c r="I670" s="814">
        <v>4</v>
      </c>
      <c r="J670" s="527">
        <f t="shared" si="95"/>
        <v>0.4</v>
      </c>
      <c r="K670" s="687">
        <f t="shared" si="96"/>
        <v>1.974375</v>
      </c>
      <c r="L670" s="756">
        <f t="shared" ref="L670:L684" si="99">B670/C670*1000</f>
        <v>789.75</v>
      </c>
      <c r="M670" s="772">
        <f t="shared" ref="M670:M684" si="100">F670/B670</f>
        <v>0</v>
      </c>
      <c r="N670" s="773">
        <f t="shared" ref="N670:N684" si="101">E670/D670</f>
        <v>0</v>
      </c>
      <c r="O670" s="617">
        <f t="shared" si="98"/>
        <v>0</v>
      </c>
      <c r="P670" s="617">
        <f t="shared" si="97"/>
        <v>0</v>
      </c>
      <c r="Q670" s="1046">
        <f t="shared" ref="Q670:Q684" si="102">B670/G670</f>
        <v>8.61545454545455</v>
      </c>
    </row>
    <row r="671" spans="1:17">
      <c r="A671" s="801">
        <v>45318</v>
      </c>
      <c r="B671" s="812">
        <v>94.77</v>
      </c>
      <c r="C671" s="814">
        <v>123</v>
      </c>
      <c r="D671" s="814">
        <v>37</v>
      </c>
      <c r="E671" s="814">
        <v>0</v>
      </c>
      <c r="F671" s="817">
        <v>0</v>
      </c>
      <c r="G671" s="814">
        <v>15</v>
      </c>
      <c r="H671" s="814">
        <v>0</v>
      </c>
      <c r="I671" s="814">
        <v>2</v>
      </c>
      <c r="J671" s="527">
        <f t="shared" si="95"/>
        <v>0.300813008130081</v>
      </c>
      <c r="K671" s="687">
        <f t="shared" si="96"/>
        <v>2.56135135135135</v>
      </c>
      <c r="L671" s="756">
        <f t="shared" si="99"/>
        <v>770.487804878049</v>
      </c>
      <c r="M671" s="772">
        <f t="shared" si="100"/>
        <v>0</v>
      </c>
      <c r="N671" s="773">
        <f t="shared" si="101"/>
        <v>0</v>
      </c>
      <c r="O671" s="617">
        <f t="shared" si="98"/>
        <v>0</v>
      </c>
      <c r="P671" s="617">
        <f t="shared" si="97"/>
        <v>0</v>
      </c>
      <c r="Q671" s="1046">
        <f t="shared" si="102"/>
        <v>6.318</v>
      </c>
    </row>
    <row r="672" spans="1:17">
      <c r="A672" s="801">
        <v>45319</v>
      </c>
      <c r="B672" s="812">
        <v>104.71</v>
      </c>
      <c r="C672" s="814">
        <v>141</v>
      </c>
      <c r="D672" s="814">
        <v>62</v>
      </c>
      <c r="E672" s="814">
        <v>0</v>
      </c>
      <c r="F672" s="817">
        <v>0</v>
      </c>
      <c r="G672" s="814">
        <v>10</v>
      </c>
      <c r="H672" s="814">
        <v>3</v>
      </c>
      <c r="I672" s="814">
        <v>2</v>
      </c>
      <c r="J672" s="527">
        <f t="shared" si="95"/>
        <v>0.439716312056738</v>
      </c>
      <c r="K672" s="687">
        <f t="shared" si="96"/>
        <v>1.68887096774194</v>
      </c>
      <c r="L672" s="756">
        <f t="shared" si="99"/>
        <v>742.624113475177</v>
      </c>
      <c r="M672" s="772">
        <f t="shared" si="100"/>
        <v>0</v>
      </c>
      <c r="N672" s="773">
        <f t="shared" si="101"/>
        <v>0</v>
      </c>
      <c r="O672" s="617">
        <f t="shared" si="98"/>
        <v>0</v>
      </c>
      <c r="P672" s="617">
        <f t="shared" si="97"/>
        <v>0</v>
      </c>
      <c r="Q672" s="1046">
        <f t="shared" si="102"/>
        <v>10.471</v>
      </c>
    </row>
    <row r="673" spans="1:17">
      <c r="A673" s="801">
        <v>45320</v>
      </c>
      <c r="B673" s="812">
        <v>116.78</v>
      </c>
      <c r="C673" s="814">
        <v>140</v>
      </c>
      <c r="D673" s="814">
        <v>57</v>
      </c>
      <c r="E673" s="814">
        <v>0</v>
      </c>
      <c r="F673" s="817">
        <v>0</v>
      </c>
      <c r="G673" s="814">
        <v>9</v>
      </c>
      <c r="H673" s="814">
        <v>2</v>
      </c>
      <c r="I673" s="814">
        <v>5</v>
      </c>
      <c r="J673" s="527">
        <f t="shared" si="95"/>
        <v>0.407142857142857</v>
      </c>
      <c r="K673" s="687">
        <f t="shared" si="96"/>
        <v>2.04877192982456</v>
      </c>
      <c r="L673" s="756">
        <f t="shared" si="99"/>
        <v>834.142857142857</v>
      </c>
      <c r="M673" s="772">
        <f t="shared" si="100"/>
        <v>0</v>
      </c>
      <c r="N673" s="773">
        <f t="shared" si="101"/>
        <v>0</v>
      </c>
      <c r="O673" s="617">
        <f t="shared" si="98"/>
        <v>0</v>
      </c>
      <c r="P673" s="617">
        <f t="shared" si="97"/>
        <v>0</v>
      </c>
      <c r="Q673" s="1046">
        <f t="shared" si="102"/>
        <v>12.9755555555556</v>
      </c>
    </row>
    <row r="674" spans="1:17">
      <c r="A674" s="801">
        <v>45321</v>
      </c>
      <c r="B674" s="812">
        <v>158.85</v>
      </c>
      <c r="C674" s="814">
        <v>188</v>
      </c>
      <c r="D674" s="814">
        <v>65</v>
      </c>
      <c r="E674" s="814">
        <v>0</v>
      </c>
      <c r="F674" s="817">
        <v>0</v>
      </c>
      <c r="G674" s="814">
        <v>11</v>
      </c>
      <c r="H674" s="814">
        <v>0</v>
      </c>
      <c r="I674" s="814">
        <v>2</v>
      </c>
      <c r="J674" s="527">
        <f t="shared" si="95"/>
        <v>0.345744680851064</v>
      </c>
      <c r="K674" s="687">
        <f t="shared" si="96"/>
        <v>2.44384615384615</v>
      </c>
      <c r="L674" s="756">
        <f t="shared" si="99"/>
        <v>844.946808510638</v>
      </c>
      <c r="M674" s="772">
        <f t="shared" si="100"/>
        <v>0</v>
      </c>
      <c r="N674" s="773">
        <f t="shared" si="101"/>
        <v>0</v>
      </c>
      <c r="O674" s="617">
        <f t="shared" si="98"/>
        <v>0</v>
      </c>
      <c r="P674" s="617">
        <f t="shared" si="97"/>
        <v>0</v>
      </c>
      <c r="Q674" s="1046">
        <f t="shared" si="102"/>
        <v>14.4409090909091</v>
      </c>
    </row>
    <row r="675" spans="1:17">
      <c r="A675" s="801">
        <v>45322</v>
      </c>
      <c r="B675" s="812">
        <v>159.16</v>
      </c>
      <c r="C675" s="814">
        <v>205</v>
      </c>
      <c r="D675" s="814">
        <v>59</v>
      </c>
      <c r="E675" s="814">
        <v>0</v>
      </c>
      <c r="F675" s="817">
        <v>0</v>
      </c>
      <c r="G675" s="814">
        <v>16</v>
      </c>
      <c r="H675" s="814">
        <v>1</v>
      </c>
      <c r="I675" s="814">
        <v>4</v>
      </c>
      <c r="J675" s="527">
        <f t="shared" si="95"/>
        <v>0.28780487804878</v>
      </c>
      <c r="K675" s="687">
        <f t="shared" si="96"/>
        <v>2.69762711864407</v>
      </c>
      <c r="L675" s="756">
        <f t="shared" si="99"/>
        <v>776.390243902439</v>
      </c>
      <c r="M675" s="772">
        <f t="shared" si="100"/>
        <v>0</v>
      </c>
      <c r="N675" s="773">
        <f t="shared" si="101"/>
        <v>0</v>
      </c>
      <c r="O675" s="617">
        <f t="shared" si="98"/>
        <v>0</v>
      </c>
      <c r="P675" s="617">
        <f t="shared" ref="P675:P737" si="103">IF(E675=0,0,B675/E675)</f>
        <v>0</v>
      </c>
      <c r="Q675" s="1046">
        <f t="shared" si="102"/>
        <v>9.9475</v>
      </c>
    </row>
    <row r="676" spans="1:17">
      <c r="A676" s="801">
        <v>45323</v>
      </c>
      <c r="B676" s="812">
        <v>115.94</v>
      </c>
      <c r="C676" s="814">
        <v>125</v>
      </c>
      <c r="D676" s="814">
        <v>49</v>
      </c>
      <c r="E676" s="814">
        <v>0</v>
      </c>
      <c r="F676" s="817">
        <v>0</v>
      </c>
      <c r="G676" s="814">
        <v>11</v>
      </c>
      <c r="H676" s="814">
        <v>0</v>
      </c>
      <c r="I676" s="814">
        <v>8</v>
      </c>
      <c r="J676" s="527">
        <f t="shared" si="95"/>
        <v>0.392</v>
      </c>
      <c r="K676" s="687">
        <f t="shared" si="96"/>
        <v>2.36612244897959</v>
      </c>
      <c r="L676" s="756">
        <f t="shared" si="99"/>
        <v>927.52</v>
      </c>
      <c r="M676" s="772">
        <f t="shared" si="100"/>
        <v>0</v>
      </c>
      <c r="N676" s="773">
        <f t="shared" si="101"/>
        <v>0</v>
      </c>
      <c r="O676" s="617">
        <f t="shared" si="98"/>
        <v>0</v>
      </c>
      <c r="P676" s="617">
        <f t="shared" si="103"/>
        <v>0</v>
      </c>
      <c r="Q676" s="1046">
        <f t="shared" si="102"/>
        <v>10.54</v>
      </c>
    </row>
    <row r="677" spans="1:17">
      <c r="A677" s="801">
        <v>45324</v>
      </c>
      <c r="B677" s="1078">
        <v>81.82</v>
      </c>
      <c r="C677" s="835">
        <v>111</v>
      </c>
      <c r="D677" s="835">
        <v>53</v>
      </c>
      <c r="E677" s="835">
        <v>1</v>
      </c>
      <c r="F677" s="1079">
        <v>10442</v>
      </c>
      <c r="G677" s="835">
        <v>11</v>
      </c>
      <c r="H677" s="835">
        <v>2</v>
      </c>
      <c r="I677" s="1080">
        <v>9</v>
      </c>
      <c r="J677" s="527">
        <f t="shared" si="95"/>
        <v>0.477477477477477</v>
      </c>
      <c r="K677" s="687">
        <f t="shared" si="96"/>
        <v>1.54377358490566</v>
      </c>
      <c r="L677" s="756">
        <f t="shared" si="99"/>
        <v>737.117117117117</v>
      </c>
      <c r="M677" s="772">
        <f t="shared" si="100"/>
        <v>127.621608408702</v>
      </c>
      <c r="N677" s="773">
        <f t="shared" si="101"/>
        <v>0.0188679245283019</v>
      </c>
      <c r="O677" s="617">
        <f t="shared" si="98"/>
        <v>10442</v>
      </c>
      <c r="P677" s="617">
        <f t="shared" si="103"/>
        <v>81.82</v>
      </c>
      <c r="Q677" s="1046">
        <f t="shared" si="102"/>
        <v>7.43818181818182</v>
      </c>
    </row>
    <row r="678" spans="1:17">
      <c r="A678" s="801">
        <v>45325</v>
      </c>
      <c r="B678" s="812">
        <v>129.15</v>
      </c>
      <c r="C678" s="814">
        <v>140</v>
      </c>
      <c r="D678" s="814">
        <v>58</v>
      </c>
      <c r="E678" s="814">
        <v>0</v>
      </c>
      <c r="F678" s="817">
        <v>0</v>
      </c>
      <c r="G678" s="814">
        <v>12</v>
      </c>
      <c r="H678" s="814">
        <v>0</v>
      </c>
      <c r="I678" s="814">
        <v>4</v>
      </c>
      <c r="J678" s="527">
        <f t="shared" si="95"/>
        <v>0.414285714285714</v>
      </c>
      <c r="K678" s="687">
        <f t="shared" si="96"/>
        <v>2.22672413793103</v>
      </c>
      <c r="L678" s="756">
        <f t="shared" si="99"/>
        <v>922.5</v>
      </c>
      <c r="M678" s="772">
        <f t="shared" si="100"/>
        <v>0</v>
      </c>
      <c r="N678" s="773">
        <f t="shared" si="101"/>
        <v>0</v>
      </c>
      <c r="O678" s="617">
        <f t="shared" si="98"/>
        <v>0</v>
      </c>
      <c r="P678" s="617">
        <f t="shared" si="103"/>
        <v>0</v>
      </c>
      <c r="Q678" s="1046">
        <f t="shared" si="102"/>
        <v>10.7625</v>
      </c>
    </row>
    <row r="679" spans="1:17">
      <c r="A679" s="801">
        <v>45326</v>
      </c>
      <c r="B679" s="802">
        <v>117.11</v>
      </c>
      <c r="C679" s="804">
        <v>171</v>
      </c>
      <c r="D679" s="804">
        <v>66</v>
      </c>
      <c r="E679" s="804">
        <v>0</v>
      </c>
      <c r="F679" s="1064">
        <v>0</v>
      </c>
      <c r="G679" s="804">
        <v>28</v>
      </c>
      <c r="H679" s="804">
        <v>0</v>
      </c>
      <c r="I679" s="806">
        <v>8</v>
      </c>
      <c r="J679" s="527">
        <f t="shared" si="95"/>
        <v>0.385964912280702</v>
      </c>
      <c r="K679" s="687">
        <f t="shared" si="96"/>
        <v>1.77439393939394</v>
      </c>
      <c r="L679" s="756">
        <f t="shared" si="99"/>
        <v>684.853801169591</v>
      </c>
      <c r="M679" s="772">
        <f t="shared" si="100"/>
        <v>0</v>
      </c>
      <c r="N679" s="773">
        <f t="shared" si="101"/>
        <v>0</v>
      </c>
      <c r="O679" s="617">
        <f t="shared" si="98"/>
        <v>0</v>
      </c>
      <c r="P679" s="617">
        <f t="shared" si="103"/>
        <v>0</v>
      </c>
      <c r="Q679" s="1046">
        <f t="shared" si="102"/>
        <v>4.1825</v>
      </c>
    </row>
    <row r="680" spans="1:17">
      <c r="A680" s="801">
        <v>45327</v>
      </c>
      <c r="B680" s="812">
        <v>97.98</v>
      </c>
      <c r="C680" s="814">
        <v>116</v>
      </c>
      <c r="D680" s="814">
        <v>59</v>
      </c>
      <c r="E680" s="814">
        <v>1</v>
      </c>
      <c r="F680" s="817">
        <v>7854</v>
      </c>
      <c r="G680" s="814">
        <v>5</v>
      </c>
      <c r="H680" s="814">
        <v>1</v>
      </c>
      <c r="I680" s="816">
        <v>5</v>
      </c>
      <c r="J680" s="527">
        <f t="shared" si="95"/>
        <v>0.508620689655172</v>
      </c>
      <c r="K680" s="687">
        <f t="shared" si="96"/>
        <v>1.6606779661017</v>
      </c>
      <c r="L680" s="756">
        <f t="shared" si="99"/>
        <v>844.655172413793</v>
      </c>
      <c r="M680" s="772">
        <f t="shared" si="100"/>
        <v>80.1592161665646</v>
      </c>
      <c r="N680" s="773">
        <f t="shared" si="101"/>
        <v>0.0169491525423729</v>
      </c>
      <c r="O680" s="617">
        <f t="shared" si="98"/>
        <v>7854</v>
      </c>
      <c r="P680" s="617">
        <f t="shared" si="103"/>
        <v>97.98</v>
      </c>
      <c r="Q680" s="1046">
        <f t="shared" si="102"/>
        <v>19.596</v>
      </c>
    </row>
    <row r="681" spans="1:17">
      <c r="A681" s="801">
        <v>45328</v>
      </c>
      <c r="B681" s="802">
        <v>111.08</v>
      </c>
      <c r="C681" s="804">
        <v>150</v>
      </c>
      <c r="D681" s="804">
        <v>70</v>
      </c>
      <c r="E681" s="804">
        <v>5</v>
      </c>
      <c r="F681" s="1064">
        <v>43352</v>
      </c>
      <c r="G681" s="804">
        <v>13</v>
      </c>
      <c r="H681" s="804">
        <v>1</v>
      </c>
      <c r="I681" s="806">
        <v>4</v>
      </c>
      <c r="J681" s="527">
        <f t="shared" si="95"/>
        <v>0.466666666666667</v>
      </c>
      <c r="K681" s="687">
        <f t="shared" si="96"/>
        <v>1.58685714285714</v>
      </c>
      <c r="L681" s="756">
        <f t="shared" si="99"/>
        <v>740.533333333333</v>
      </c>
      <c r="M681" s="772">
        <f t="shared" si="100"/>
        <v>390.277277637739</v>
      </c>
      <c r="N681" s="773">
        <f t="shared" si="101"/>
        <v>0.0714285714285714</v>
      </c>
      <c r="O681" s="617">
        <f t="shared" si="98"/>
        <v>8670.4</v>
      </c>
      <c r="P681" s="617">
        <f t="shared" si="103"/>
        <v>22.216</v>
      </c>
      <c r="Q681" s="1046">
        <f t="shared" si="102"/>
        <v>8.54461538461539</v>
      </c>
    </row>
    <row r="682" spans="1:17">
      <c r="A682" s="801">
        <v>45329</v>
      </c>
      <c r="B682" s="802">
        <v>95.72</v>
      </c>
      <c r="C682" s="804">
        <v>141</v>
      </c>
      <c r="D682" s="804">
        <v>40</v>
      </c>
      <c r="E682" s="804">
        <v>0</v>
      </c>
      <c r="F682" s="1064">
        <v>0</v>
      </c>
      <c r="G682" s="804">
        <v>6</v>
      </c>
      <c r="H682" s="804">
        <v>1</v>
      </c>
      <c r="I682" s="806">
        <v>6</v>
      </c>
      <c r="J682" s="527">
        <f t="shared" si="95"/>
        <v>0.283687943262411</v>
      </c>
      <c r="K682" s="687">
        <f t="shared" si="96"/>
        <v>2.393</v>
      </c>
      <c r="L682" s="756">
        <f t="shared" si="99"/>
        <v>678.86524822695</v>
      </c>
      <c r="M682" s="772">
        <f t="shared" si="100"/>
        <v>0</v>
      </c>
      <c r="N682" s="773">
        <f t="shared" si="101"/>
        <v>0</v>
      </c>
      <c r="O682" s="617">
        <f t="shared" si="98"/>
        <v>0</v>
      </c>
      <c r="P682" s="617">
        <f t="shared" si="103"/>
        <v>0</v>
      </c>
      <c r="Q682" s="1046">
        <f t="shared" si="102"/>
        <v>15.9533333333333</v>
      </c>
    </row>
    <row r="683" spans="1:17">
      <c r="A683" s="801">
        <v>45330</v>
      </c>
      <c r="B683" s="802">
        <v>102.55</v>
      </c>
      <c r="C683" s="804">
        <v>130</v>
      </c>
      <c r="D683" s="804">
        <v>66</v>
      </c>
      <c r="E683" s="804">
        <v>3</v>
      </c>
      <c r="F683" s="1064">
        <v>28115</v>
      </c>
      <c r="G683" s="804">
        <v>23</v>
      </c>
      <c r="H683" s="804">
        <v>1</v>
      </c>
      <c r="I683" s="806">
        <v>23</v>
      </c>
      <c r="J683" s="527">
        <f t="shared" si="95"/>
        <v>0.507692307692308</v>
      </c>
      <c r="K683" s="687">
        <f t="shared" si="96"/>
        <v>1.55378787878788</v>
      </c>
      <c r="L683" s="756">
        <f t="shared" si="99"/>
        <v>788.846153846154</v>
      </c>
      <c r="M683" s="772">
        <f t="shared" si="100"/>
        <v>274.158946855193</v>
      </c>
      <c r="N683" s="773">
        <f t="shared" si="101"/>
        <v>0.0454545454545455</v>
      </c>
      <c r="O683" s="617">
        <f t="shared" si="98"/>
        <v>9371.66666666667</v>
      </c>
      <c r="P683" s="617">
        <f t="shared" si="103"/>
        <v>34.1833333333333</v>
      </c>
      <c r="Q683" s="1046">
        <f t="shared" si="102"/>
        <v>4.45869565217391</v>
      </c>
    </row>
    <row r="684" spans="1:17">
      <c r="A684" s="801">
        <v>45331</v>
      </c>
      <c r="B684" s="812">
        <v>63.91</v>
      </c>
      <c r="C684" s="814">
        <v>87</v>
      </c>
      <c r="D684" s="814">
        <v>40</v>
      </c>
      <c r="E684" s="814">
        <v>0</v>
      </c>
      <c r="F684" s="817">
        <v>0</v>
      </c>
      <c r="G684" s="814">
        <v>11</v>
      </c>
      <c r="H684" s="814">
        <v>0</v>
      </c>
      <c r="I684" s="816">
        <v>6</v>
      </c>
      <c r="J684" s="527">
        <f t="shared" si="95"/>
        <v>0.459770114942529</v>
      </c>
      <c r="K684" s="687">
        <f t="shared" si="96"/>
        <v>1.59775</v>
      </c>
      <c r="L684" s="756">
        <f t="shared" si="99"/>
        <v>734.597701149425</v>
      </c>
      <c r="M684" s="772">
        <f t="shared" si="100"/>
        <v>0</v>
      </c>
      <c r="N684" s="773">
        <f t="shared" si="101"/>
        <v>0</v>
      </c>
      <c r="O684" s="617">
        <f t="shared" si="98"/>
        <v>0</v>
      </c>
      <c r="P684" s="617">
        <f t="shared" si="103"/>
        <v>0</v>
      </c>
      <c r="Q684" s="1046">
        <f t="shared" si="102"/>
        <v>5.81</v>
      </c>
    </row>
    <row r="685" spans="1:17">
      <c r="A685" s="801">
        <v>45332</v>
      </c>
      <c r="B685" s="802">
        <v>86.42</v>
      </c>
      <c r="C685" s="804">
        <v>89</v>
      </c>
      <c r="D685" s="804">
        <v>41</v>
      </c>
      <c r="E685" s="804">
        <v>0</v>
      </c>
      <c r="F685" s="1064">
        <v>0</v>
      </c>
      <c r="G685" s="804">
        <v>12</v>
      </c>
      <c r="H685" s="804">
        <v>1</v>
      </c>
      <c r="I685" s="806">
        <v>1</v>
      </c>
      <c r="J685" s="527">
        <f t="shared" si="95"/>
        <v>0.460674157303371</v>
      </c>
      <c r="K685" s="687">
        <f t="shared" si="96"/>
        <v>2.10780487804878</v>
      </c>
      <c r="L685" s="756">
        <f t="shared" ref="L685:L737" si="104">B685/C685*1000</f>
        <v>971.011235955056</v>
      </c>
      <c r="M685" s="772">
        <f t="shared" ref="M685:M737" si="105">F685/B685</f>
        <v>0</v>
      </c>
      <c r="N685" s="773">
        <f t="shared" ref="N685:N737" si="106">E685/D685</f>
        <v>0</v>
      </c>
      <c r="O685" s="617">
        <f t="shared" si="98"/>
        <v>0</v>
      </c>
      <c r="P685" s="617">
        <f t="shared" si="103"/>
        <v>0</v>
      </c>
      <c r="Q685" s="1046">
        <f t="shared" ref="Q685:Q737" si="107">B685/G685</f>
        <v>7.20166666666667</v>
      </c>
    </row>
    <row r="686" spans="1:17">
      <c r="A686" s="801">
        <v>45333</v>
      </c>
      <c r="B686" s="812">
        <v>95.03</v>
      </c>
      <c r="C686" s="814">
        <v>119</v>
      </c>
      <c r="D686" s="814">
        <v>47</v>
      </c>
      <c r="E686" s="814">
        <v>0</v>
      </c>
      <c r="F686" s="817">
        <v>0</v>
      </c>
      <c r="G686" s="814">
        <v>9</v>
      </c>
      <c r="H686" s="814">
        <v>2</v>
      </c>
      <c r="I686" s="816">
        <v>3</v>
      </c>
      <c r="J686" s="527">
        <f t="shared" si="95"/>
        <v>0.394957983193277</v>
      </c>
      <c r="K686" s="687">
        <f t="shared" si="96"/>
        <v>2.02191489361702</v>
      </c>
      <c r="L686" s="756">
        <f t="shared" si="104"/>
        <v>798.571428571429</v>
      </c>
      <c r="M686" s="772">
        <f t="shared" si="105"/>
        <v>0</v>
      </c>
      <c r="N686" s="773">
        <f t="shared" si="106"/>
        <v>0</v>
      </c>
      <c r="O686" s="617">
        <f t="shared" si="98"/>
        <v>0</v>
      </c>
      <c r="P686" s="617">
        <f t="shared" si="103"/>
        <v>0</v>
      </c>
      <c r="Q686" s="1046">
        <f t="shared" si="107"/>
        <v>10.5588888888889</v>
      </c>
    </row>
    <row r="687" spans="1:17">
      <c r="A687" s="801">
        <v>45334</v>
      </c>
      <c r="B687" s="812">
        <v>128.92</v>
      </c>
      <c r="C687" s="814">
        <v>299</v>
      </c>
      <c r="D687" s="814">
        <v>89</v>
      </c>
      <c r="E687" s="814">
        <v>0</v>
      </c>
      <c r="F687" s="817">
        <v>0</v>
      </c>
      <c r="G687" s="814">
        <v>9</v>
      </c>
      <c r="H687" s="814">
        <v>2</v>
      </c>
      <c r="I687" s="816">
        <v>5</v>
      </c>
      <c r="J687" s="527">
        <f t="shared" si="95"/>
        <v>0.297658862876254</v>
      </c>
      <c r="K687" s="687">
        <f t="shared" si="96"/>
        <v>1.4485393258427</v>
      </c>
      <c r="L687" s="756">
        <f t="shared" si="104"/>
        <v>431.170568561873</v>
      </c>
      <c r="M687" s="772">
        <f t="shared" si="105"/>
        <v>0</v>
      </c>
      <c r="N687" s="773">
        <f t="shared" si="106"/>
        <v>0</v>
      </c>
      <c r="O687" s="617">
        <f t="shared" si="98"/>
        <v>0</v>
      </c>
      <c r="P687" s="617">
        <f t="shared" si="103"/>
        <v>0</v>
      </c>
      <c r="Q687" s="1046">
        <f t="shared" si="107"/>
        <v>14.3244444444444</v>
      </c>
    </row>
    <row r="688" spans="1:17">
      <c r="A688" s="801">
        <v>45335</v>
      </c>
      <c r="B688" s="812">
        <v>136.07</v>
      </c>
      <c r="C688" s="814">
        <v>323</v>
      </c>
      <c r="D688" s="814">
        <v>78</v>
      </c>
      <c r="E688" s="814">
        <v>0</v>
      </c>
      <c r="F688" s="817">
        <v>0</v>
      </c>
      <c r="G688" s="814">
        <v>22</v>
      </c>
      <c r="H688" s="814">
        <v>2</v>
      </c>
      <c r="I688" s="816">
        <v>8</v>
      </c>
      <c r="J688" s="527">
        <f t="shared" si="95"/>
        <v>0.241486068111455</v>
      </c>
      <c r="K688" s="687">
        <f t="shared" si="96"/>
        <v>1.74448717948718</v>
      </c>
      <c r="L688" s="756">
        <f t="shared" si="104"/>
        <v>421.269349845201</v>
      </c>
      <c r="M688" s="772">
        <f t="shared" si="105"/>
        <v>0</v>
      </c>
      <c r="N688" s="773">
        <f t="shared" si="106"/>
        <v>0</v>
      </c>
      <c r="O688" s="617">
        <f t="shared" ref="O688:O737" si="108">IF(E688=0,0,F688/E688)</f>
        <v>0</v>
      </c>
      <c r="P688" s="617">
        <f t="shared" si="103"/>
        <v>0</v>
      </c>
      <c r="Q688" s="1046">
        <f t="shared" si="107"/>
        <v>6.185</v>
      </c>
    </row>
    <row r="689" spans="1:17">
      <c r="A689" s="801">
        <v>45336</v>
      </c>
      <c r="B689" s="812">
        <v>175.93</v>
      </c>
      <c r="C689" s="814">
        <v>362</v>
      </c>
      <c r="D689" s="814">
        <v>102</v>
      </c>
      <c r="E689" s="814">
        <v>0</v>
      </c>
      <c r="F689" s="817">
        <v>0</v>
      </c>
      <c r="G689" s="814">
        <v>12</v>
      </c>
      <c r="H689" s="814">
        <v>1</v>
      </c>
      <c r="I689" s="816">
        <v>11</v>
      </c>
      <c r="J689" s="527">
        <f t="shared" si="95"/>
        <v>0.281767955801105</v>
      </c>
      <c r="K689" s="687">
        <f t="shared" si="96"/>
        <v>1.72480392156863</v>
      </c>
      <c r="L689" s="756">
        <f t="shared" si="104"/>
        <v>485.994475138122</v>
      </c>
      <c r="M689" s="772">
        <f t="shared" si="105"/>
        <v>0</v>
      </c>
      <c r="N689" s="773">
        <f t="shared" si="106"/>
        <v>0</v>
      </c>
      <c r="O689" s="617">
        <f t="shared" si="108"/>
        <v>0</v>
      </c>
      <c r="P689" s="617">
        <f t="shared" si="103"/>
        <v>0</v>
      </c>
      <c r="Q689" s="1046">
        <f t="shared" si="107"/>
        <v>14.6608333333333</v>
      </c>
    </row>
    <row r="690" spans="1:17">
      <c r="A690" s="801">
        <v>45337</v>
      </c>
      <c r="B690" s="812">
        <v>181.77</v>
      </c>
      <c r="C690" s="814">
        <v>286</v>
      </c>
      <c r="D690" s="814">
        <v>118</v>
      </c>
      <c r="E690" s="814">
        <v>0</v>
      </c>
      <c r="F690" s="817">
        <v>0</v>
      </c>
      <c r="G690" s="814">
        <v>26</v>
      </c>
      <c r="H690" s="814">
        <v>3</v>
      </c>
      <c r="I690" s="816">
        <v>12</v>
      </c>
      <c r="J690" s="527">
        <f t="shared" si="95"/>
        <v>0.412587412587413</v>
      </c>
      <c r="K690" s="687">
        <f t="shared" si="96"/>
        <v>1.54042372881356</v>
      </c>
      <c r="L690" s="756">
        <f t="shared" si="104"/>
        <v>635.559440559441</v>
      </c>
      <c r="M690" s="772">
        <f t="shared" si="105"/>
        <v>0</v>
      </c>
      <c r="N690" s="773">
        <f t="shared" si="106"/>
        <v>0</v>
      </c>
      <c r="O690" s="617">
        <f t="shared" si="108"/>
        <v>0</v>
      </c>
      <c r="P690" s="617">
        <f t="shared" si="103"/>
        <v>0</v>
      </c>
      <c r="Q690" s="1046">
        <f t="shared" si="107"/>
        <v>6.99115384615385</v>
      </c>
    </row>
    <row r="691" spans="1:17">
      <c r="A691" s="801">
        <v>45338</v>
      </c>
      <c r="B691" s="812">
        <v>160.34</v>
      </c>
      <c r="C691" s="814">
        <v>258</v>
      </c>
      <c r="D691" s="814">
        <v>86</v>
      </c>
      <c r="E691" s="814">
        <v>1</v>
      </c>
      <c r="F691" s="817">
        <v>12754</v>
      </c>
      <c r="G691" s="814">
        <v>21</v>
      </c>
      <c r="H691" s="814">
        <v>3</v>
      </c>
      <c r="I691" s="816">
        <v>9</v>
      </c>
      <c r="J691" s="527">
        <f t="shared" si="95"/>
        <v>0.333333333333333</v>
      </c>
      <c r="K691" s="687">
        <f t="shared" si="96"/>
        <v>1.86441860465116</v>
      </c>
      <c r="L691" s="756">
        <f t="shared" si="104"/>
        <v>621.472868217054</v>
      </c>
      <c r="M691" s="772">
        <f t="shared" si="105"/>
        <v>79.5434701259823</v>
      </c>
      <c r="N691" s="773">
        <f t="shared" si="106"/>
        <v>0.0116279069767442</v>
      </c>
      <c r="O691" s="617">
        <f t="shared" si="108"/>
        <v>12754</v>
      </c>
      <c r="P691" s="617">
        <f t="shared" si="103"/>
        <v>160.34</v>
      </c>
      <c r="Q691" s="1046">
        <f t="shared" si="107"/>
        <v>7.6352380952381</v>
      </c>
    </row>
    <row r="692" spans="1:17">
      <c r="A692" s="801">
        <v>45339</v>
      </c>
      <c r="B692" s="812">
        <v>210.85</v>
      </c>
      <c r="C692" s="814">
        <v>276</v>
      </c>
      <c r="D692" s="814">
        <v>131</v>
      </c>
      <c r="E692" s="814">
        <v>2</v>
      </c>
      <c r="F692" s="817">
        <v>39122</v>
      </c>
      <c r="G692" s="814">
        <v>60</v>
      </c>
      <c r="H692" s="814">
        <v>1</v>
      </c>
      <c r="I692" s="814">
        <v>9</v>
      </c>
      <c r="J692" s="527">
        <f t="shared" si="95"/>
        <v>0.47463768115942</v>
      </c>
      <c r="K692" s="687">
        <f t="shared" si="96"/>
        <v>1.60954198473282</v>
      </c>
      <c r="L692" s="756">
        <f t="shared" si="104"/>
        <v>763.949275362319</v>
      </c>
      <c r="M692" s="772">
        <f t="shared" si="105"/>
        <v>185.544225752905</v>
      </c>
      <c r="N692" s="773">
        <f t="shared" si="106"/>
        <v>0.0152671755725191</v>
      </c>
      <c r="O692" s="617">
        <f t="shared" si="108"/>
        <v>19561</v>
      </c>
      <c r="P692" s="617">
        <f t="shared" si="103"/>
        <v>105.425</v>
      </c>
      <c r="Q692" s="1046">
        <f t="shared" si="107"/>
        <v>3.51416666666667</v>
      </c>
    </row>
    <row r="693" spans="1:17">
      <c r="A693" s="801">
        <v>45340</v>
      </c>
      <c r="B693" s="812">
        <v>279.39</v>
      </c>
      <c r="C693" s="814">
        <v>391</v>
      </c>
      <c r="D693" s="814">
        <v>179</v>
      </c>
      <c r="E693" s="814">
        <v>0</v>
      </c>
      <c r="F693" s="817">
        <v>0</v>
      </c>
      <c r="G693" s="814">
        <v>24</v>
      </c>
      <c r="H693" s="814">
        <v>2</v>
      </c>
      <c r="I693" s="814">
        <v>12</v>
      </c>
      <c r="J693" s="527">
        <f t="shared" si="95"/>
        <v>0.457800511508951</v>
      </c>
      <c r="K693" s="687">
        <f t="shared" si="96"/>
        <v>1.56083798882682</v>
      </c>
      <c r="L693" s="756">
        <f t="shared" si="104"/>
        <v>714.552429667519</v>
      </c>
      <c r="M693" s="772">
        <f t="shared" si="105"/>
        <v>0</v>
      </c>
      <c r="N693" s="773">
        <f t="shared" si="106"/>
        <v>0</v>
      </c>
      <c r="O693" s="617">
        <f t="shared" si="108"/>
        <v>0</v>
      </c>
      <c r="P693" s="617">
        <f t="shared" si="103"/>
        <v>0</v>
      </c>
      <c r="Q693" s="1046">
        <f t="shared" si="107"/>
        <v>11.64125</v>
      </c>
    </row>
    <row r="694" spans="1:17">
      <c r="A694" s="801">
        <v>45341</v>
      </c>
      <c r="B694" s="812">
        <v>359.35</v>
      </c>
      <c r="C694" s="814">
        <v>461</v>
      </c>
      <c r="D694" s="814">
        <v>202</v>
      </c>
      <c r="E694" s="814">
        <v>2</v>
      </c>
      <c r="F694" s="817">
        <v>13520</v>
      </c>
      <c r="G694" s="814">
        <v>62</v>
      </c>
      <c r="H694" s="814">
        <v>3</v>
      </c>
      <c r="I694" s="814">
        <v>15</v>
      </c>
      <c r="J694" s="527">
        <f t="shared" si="95"/>
        <v>0.438177874186551</v>
      </c>
      <c r="K694" s="687">
        <f t="shared" si="96"/>
        <v>1.7789603960396</v>
      </c>
      <c r="L694" s="756">
        <f t="shared" si="104"/>
        <v>779.501084598699</v>
      </c>
      <c r="M694" s="772">
        <f t="shared" si="105"/>
        <v>37.6234868512592</v>
      </c>
      <c r="N694" s="773">
        <f t="shared" si="106"/>
        <v>0.0099009900990099</v>
      </c>
      <c r="O694" s="617">
        <f t="shared" si="108"/>
        <v>6760</v>
      </c>
      <c r="P694" s="617">
        <f t="shared" si="103"/>
        <v>179.675</v>
      </c>
      <c r="Q694" s="1046">
        <f t="shared" si="107"/>
        <v>5.79596774193548</v>
      </c>
    </row>
    <row r="695" spans="1:17">
      <c r="A695" s="801">
        <v>45342</v>
      </c>
      <c r="B695" s="812">
        <v>278.25</v>
      </c>
      <c r="C695" s="814">
        <v>361</v>
      </c>
      <c r="D695" s="814">
        <v>173</v>
      </c>
      <c r="E695" s="814">
        <v>0</v>
      </c>
      <c r="F695" s="817">
        <v>0</v>
      </c>
      <c r="G695" s="814">
        <v>54</v>
      </c>
      <c r="H695" s="814">
        <v>6</v>
      </c>
      <c r="I695" s="814">
        <v>8</v>
      </c>
      <c r="J695" s="527">
        <f t="shared" si="95"/>
        <v>0.479224376731302</v>
      </c>
      <c r="K695" s="687">
        <f t="shared" si="96"/>
        <v>1.60838150289017</v>
      </c>
      <c r="L695" s="756">
        <f t="shared" si="104"/>
        <v>770.775623268698</v>
      </c>
      <c r="M695" s="772">
        <f t="shared" si="105"/>
        <v>0</v>
      </c>
      <c r="N695" s="773">
        <f t="shared" si="106"/>
        <v>0</v>
      </c>
      <c r="O695" s="617">
        <f t="shared" si="108"/>
        <v>0</v>
      </c>
      <c r="P695" s="617">
        <f t="shared" si="103"/>
        <v>0</v>
      </c>
      <c r="Q695" s="1046">
        <f t="shared" si="107"/>
        <v>5.15277777777778</v>
      </c>
    </row>
    <row r="696" spans="1:17">
      <c r="A696" s="801">
        <v>45343</v>
      </c>
      <c r="B696" s="812">
        <v>311.83</v>
      </c>
      <c r="C696" s="814">
        <v>446</v>
      </c>
      <c r="D696" s="814">
        <v>196</v>
      </c>
      <c r="E696" s="814">
        <v>0</v>
      </c>
      <c r="F696" s="817">
        <v>0</v>
      </c>
      <c r="G696" s="814">
        <v>57</v>
      </c>
      <c r="H696" s="814">
        <v>3</v>
      </c>
      <c r="I696" s="814">
        <v>12</v>
      </c>
      <c r="J696" s="527">
        <f t="shared" si="95"/>
        <v>0.439461883408072</v>
      </c>
      <c r="K696" s="687">
        <f t="shared" si="96"/>
        <v>1.5909693877551</v>
      </c>
      <c r="L696" s="756">
        <f t="shared" si="104"/>
        <v>699.170403587444</v>
      </c>
      <c r="M696" s="772">
        <f t="shared" si="105"/>
        <v>0</v>
      </c>
      <c r="N696" s="773">
        <f t="shared" si="106"/>
        <v>0</v>
      </c>
      <c r="O696" s="617">
        <f t="shared" si="108"/>
        <v>0</v>
      </c>
      <c r="P696" s="617">
        <f t="shared" si="103"/>
        <v>0</v>
      </c>
      <c r="Q696" s="1046">
        <f t="shared" si="107"/>
        <v>5.47070175438596</v>
      </c>
    </row>
    <row r="697" spans="1:17">
      <c r="A697" s="801">
        <v>45344</v>
      </c>
      <c r="B697" s="812">
        <v>280.62</v>
      </c>
      <c r="C697" s="814">
        <v>447</v>
      </c>
      <c r="D697" s="814">
        <v>176</v>
      </c>
      <c r="E697" s="814">
        <v>0</v>
      </c>
      <c r="F697" s="817">
        <v>0</v>
      </c>
      <c r="G697" s="814">
        <v>41</v>
      </c>
      <c r="H697" s="814">
        <v>5</v>
      </c>
      <c r="I697" s="814">
        <v>11</v>
      </c>
      <c r="J697" s="527">
        <f t="shared" si="95"/>
        <v>0.393736017897092</v>
      </c>
      <c r="K697" s="687">
        <f t="shared" si="96"/>
        <v>1.59443181818182</v>
      </c>
      <c r="L697" s="756">
        <f t="shared" si="104"/>
        <v>627.785234899329</v>
      </c>
      <c r="M697" s="772">
        <f t="shared" si="105"/>
        <v>0</v>
      </c>
      <c r="N697" s="773">
        <f t="shared" si="106"/>
        <v>0</v>
      </c>
      <c r="O697" s="617">
        <f t="shared" si="108"/>
        <v>0</v>
      </c>
      <c r="P697" s="617">
        <f t="shared" si="103"/>
        <v>0</v>
      </c>
      <c r="Q697" s="1046">
        <f t="shared" si="107"/>
        <v>6.84439024390244</v>
      </c>
    </row>
    <row r="698" spans="1:17">
      <c r="A698" s="801">
        <v>45345</v>
      </c>
      <c r="B698" s="812">
        <v>280.37</v>
      </c>
      <c r="C698" s="814">
        <v>426</v>
      </c>
      <c r="D698" s="814">
        <v>162</v>
      </c>
      <c r="E698" s="814">
        <v>0</v>
      </c>
      <c r="F698" s="817">
        <v>0</v>
      </c>
      <c r="G698" s="814">
        <v>71</v>
      </c>
      <c r="H698" s="814">
        <v>4</v>
      </c>
      <c r="I698" s="814">
        <v>16</v>
      </c>
      <c r="J698" s="527">
        <f t="shared" si="95"/>
        <v>0.380281690140845</v>
      </c>
      <c r="K698" s="687">
        <f t="shared" si="96"/>
        <v>1.73067901234568</v>
      </c>
      <c r="L698" s="756">
        <f t="shared" si="104"/>
        <v>658.145539906103</v>
      </c>
      <c r="M698" s="772">
        <f t="shared" si="105"/>
        <v>0</v>
      </c>
      <c r="N698" s="773">
        <f t="shared" si="106"/>
        <v>0</v>
      </c>
      <c r="O698" s="617">
        <f t="shared" si="108"/>
        <v>0</v>
      </c>
      <c r="P698" s="617">
        <f t="shared" si="103"/>
        <v>0</v>
      </c>
      <c r="Q698" s="1046">
        <f t="shared" si="107"/>
        <v>3.94887323943662</v>
      </c>
    </row>
    <row r="699" spans="1:17">
      <c r="A699" s="1071">
        <v>45346</v>
      </c>
      <c r="B699" s="837">
        <v>237.47</v>
      </c>
      <c r="C699" s="818">
        <v>344</v>
      </c>
      <c r="D699" s="818">
        <v>157</v>
      </c>
      <c r="E699" s="818">
        <v>1</v>
      </c>
      <c r="F699" s="1068">
        <v>39694</v>
      </c>
      <c r="G699" s="818">
        <v>34</v>
      </c>
      <c r="H699" s="818">
        <v>2</v>
      </c>
      <c r="I699" s="818">
        <v>11</v>
      </c>
      <c r="J699" s="527">
        <f t="shared" si="95"/>
        <v>0.456395348837209</v>
      </c>
      <c r="K699" s="687">
        <f t="shared" si="96"/>
        <v>1.51254777070064</v>
      </c>
      <c r="L699" s="763">
        <f t="shared" si="104"/>
        <v>690.31976744186</v>
      </c>
      <c r="M699" s="791">
        <f t="shared" si="105"/>
        <v>167.153745736304</v>
      </c>
      <c r="N699" s="792">
        <f t="shared" si="106"/>
        <v>0.00636942675159236</v>
      </c>
      <c r="O699" s="617">
        <f t="shared" si="108"/>
        <v>39694</v>
      </c>
      <c r="P699" s="617">
        <f t="shared" si="103"/>
        <v>237.47</v>
      </c>
      <c r="Q699" s="1051">
        <f t="shared" si="107"/>
        <v>6.98441176470588</v>
      </c>
    </row>
    <row r="700" spans="1:17">
      <c r="A700" s="684">
        <v>45347</v>
      </c>
      <c r="B700" s="685">
        <v>259.28</v>
      </c>
      <c r="C700" s="686">
        <v>355</v>
      </c>
      <c r="D700" s="686">
        <v>160</v>
      </c>
      <c r="E700" s="686">
        <v>0</v>
      </c>
      <c r="F700" s="685">
        <v>0</v>
      </c>
      <c r="G700" s="686">
        <v>20</v>
      </c>
      <c r="H700" s="686">
        <v>1</v>
      </c>
      <c r="I700" s="686">
        <v>6</v>
      </c>
      <c r="J700" s="527">
        <f t="shared" si="95"/>
        <v>0.450704225352113</v>
      </c>
      <c r="K700" s="687">
        <f t="shared" si="96"/>
        <v>1.6205</v>
      </c>
      <c r="L700" s="1025">
        <f t="shared" si="104"/>
        <v>730.366197183099</v>
      </c>
      <c r="M700" s="702">
        <f t="shared" si="105"/>
        <v>0</v>
      </c>
      <c r="N700" s="703">
        <f t="shared" si="106"/>
        <v>0</v>
      </c>
      <c r="O700" s="617">
        <f t="shared" si="108"/>
        <v>0</v>
      </c>
      <c r="P700" s="617">
        <f t="shared" si="103"/>
        <v>0</v>
      </c>
      <c r="Q700" s="724">
        <f t="shared" si="107"/>
        <v>12.964</v>
      </c>
    </row>
    <row r="701" spans="1:17">
      <c r="A701" s="684">
        <v>45348</v>
      </c>
      <c r="B701" s="685">
        <v>214.58</v>
      </c>
      <c r="C701" s="686">
        <v>334</v>
      </c>
      <c r="D701" s="686">
        <v>145</v>
      </c>
      <c r="E701" s="686">
        <v>0</v>
      </c>
      <c r="F701" s="685">
        <v>0</v>
      </c>
      <c r="G701" s="686">
        <v>26</v>
      </c>
      <c r="H701" s="686">
        <v>1</v>
      </c>
      <c r="I701" s="686">
        <v>5</v>
      </c>
      <c r="J701" s="527">
        <f t="shared" si="95"/>
        <v>0.434131736526946</v>
      </c>
      <c r="K701" s="687">
        <f t="shared" si="96"/>
        <v>1.47986206896552</v>
      </c>
      <c r="L701" s="1025">
        <f t="shared" si="104"/>
        <v>642.455089820359</v>
      </c>
      <c r="M701" s="702">
        <f t="shared" si="105"/>
        <v>0</v>
      </c>
      <c r="N701" s="703">
        <f t="shared" si="106"/>
        <v>0</v>
      </c>
      <c r="O701" s="617">
        <f t="shared" si="108"/>
        <v>0</v>
      </c>
      <c r="P701" s="617">
        <f t="shared" si="103"/>
        <v>0</v>
      </c>
      <c r="Q701" s="724">
        <f t="shared" si="107"/>
        <v>8.25307692307692</v>
      </c>
    </row>
    <row r="702" spans="1:17">
      <c r="A702" s="684">
        <v>45349</v>
      </c>
      <c r="B702" s="685">
        <v>215.79</v>
      </c>
      <c r="C702" s="686">
        <v>303</v>
      </c>
      <c r="D702" s="686">
        <v>130</v>
      </c>
      <c r="E702" s="686">
        <v>0</v>
      </c>
      <c r="F702" s="685">
        <v>0</v>
      </c>
      <c r="G702" s="686">
        <v>35</v>
      </c>
      <c r="H702" s="686">
        <v>1</v>
      </c>
      <c r="I702" s="686">
        <v>5</v>
      </c>
      <c r="J702" s="527">
        <f t="shared" si="95"/>
        <v>0.429042904290429</v>
      </c>
      <c r="K702" s="687">
        <f t="shared" si="96"/>
        <v>1.65992307692308</v>
      </c>
      <c r="L702" s="1025">
        <f t="shared" si="104"/>
        <v>712.178217821782</v>
      </c>
      <c r="M702" s="702">
        <f t="shared" si="105"/>
        <v>0</v>
      </c>
      <c r="N702" s="703">
        <f t="shared" si="106"/>
        <v>0</v>
      </c>
      <c r="O702" s="617">
        <f t="shared" si="108"/>
        <v>0</v>
      </c>
      <c r="P702" s="617">
        <f t="shared" si="103"/>
        <v>0</v>
      </c>
      <c r="Q702" s="724">
        <f t="shared" si="107"/>
        <v>6.16542857142857</v>
      </c>
    </row>
    <row r="703" spans="1:17">
      <c r="A703" s="684">
        <v>45350</v>
      </c>
      <c r="B703" s="685">
        <v>273.83</v>
      </c>
      <c r="C703" s="686">
        <v>345</v>
      </c>
      <c r="D703" s="686">
        <v>137</v>
      </c>
      <c r="E703" s="686">
        <v>3</v>
      </c>
      <c r="F703" s="685">
        <v>99370</v>
      </c>
      <c r="G703" s="686">
        <v>53</v>
      </c>
      <c r="H703" s="686">
        <v>2</v>
      </c>
      <c r="I703" s="686">
        <v>9</v>
      </c>
      <c r="J703" s="527">
        <f t="shared" si="95"/>
        <v>0.397101449275362</v>
      </c>
      <c r="K703" s="687">
        <f t="shared" si="96"/>
        <v>1.99875912408759</v>
      </c>
      <c r="L703" s="1025">
        <f t="shared" si="104"/>
        <v>793.710144927536</v>
      </c>
      <c r="M703" s="702">
        <f t="shared" si="105"/>
        <v>362.889383924333</v>
      </c>
      <c r="N703" s="703">
        <f t="shared" si="106"/>
        <v>0.0218978102189781</v>
      </c>
      <c r="O703" s="617">
        <f t="shared" si="108"/>
        <v>33123.3333333333</v>
      </c>
      <c r="P703" s="617">
        <f t="shared" si="103"/>
        <v>91.2766666666667</v>
      </c>
      <c r="Q703" s="724">
        <f t="shared" si="107"/>
        <v>5.16660377358491</v>
      </c>
    </row>
    <row r="704" spans="1:17">
      <c r="A704" s="684">
        <v>45351</v>
      </c>
      <c r="B704" s="685">
        <v>260.44</v>
      </c>
      <c r="C704" s="686">
        <v>384</v>
      </c>
      <c r="D704" s="686">
        <v>150</v>
      </c>
      <c r="E704" s="686">
        <v>3</v>
      </c>
      <c r="F704" s="685">
        <v>41833</v>
      </c>
      <c r="G704" s="686">
        <v>44</v>
      </c>
      <c r="H704" s="686">
        <v>5</v>
      </c>
      <c r="I704" s="686">
        <v>11</v>
      </c>
      <c r="J704" s="527">
        <f t="shared" si="95"/>
        <v>0.390625</v>
      </c>
      <c r="K704" s="687">
        <f t="shared" si="96"/>
        <v>1.73626666666667</v>
      </c>
      <c r="L704" s="1025">
        <f t="shared" si="104"/>
        <v>678.229166666667</v>
      </c>
      <c r="M704" s="702">
        <f t="shared" si="105"/>
        <v>160.624328060206</v>
      </c>
      <c r="N704" s="703">
        <f t="shared" si="106"/>
        <v>0.02</v>
      </c>
      <c r="O704" s="617">
        <f t="shared" si="108"/>
        <v>13944.3333333333</v>
      </c>
      <c r="P704" s="617">
        <f t="shared" si="103"/>
        <v>86.8133333333333</v>
      </c>
      <c r="Q704" s="724">
        <f t="shared" si="107"/>
        <v>5.91909090909091</v>
      </c>
    </row>
    <row r="705" spans="1:17">
      <c r="A705" s="684">
        <v>45352</v>
      </c>
      <c r="B705" s="685">
        <v>243.11</v>
      </c>
      <c r="C705" s="686">
        <v>356</v>
      </c>
      <c r="D705" s="686">
        <v>142</v>
      </c>
      <c r="E705" s="686">
        <v>0</v>
      </c>
      <c r="F705" s="685">
        <v>0</v>
      </c>
      <c r="G705" s="686">
        <v>16</v>
      </c>
      <c r="H705" s="686">
        <v>1</v>
      </c>
      <c r="I705" s="686">
        <v>3</v>
      </c>
      <c r="J705" s="527">
        <f t="shared" si="95"/>
        <v>0.398876404494382</v>
      </c>
      <c r="K705" s="687">
        <f t="shared" si="96"/>
        <v>1.71204225352113</v>
      </c>
      <c r="L705" s="1025">
        <f t="shared" si="104"/>
        <v>682.893258426966</v>
      </c>
      <c r="M705" s="702">
        <f t="shared" si="105"/>
        <v>0</v>
      </c>
      <c r="N705" s="703">
        <f t="shared" si="106"/>
        <v>0</v>
      </c>
      <c r="O705" s="617">
        <f t="shared" si="108"/>
        <v>0</v>
      </c>
      <c r="P705" s="617">
        <f t="shared" si="103"/>
        <v>0</v>
      </c>
      <c r="Q705" s="724">
        <f t="shared" si="107"/>
        <v>15.194375</v>
      </c>
    </row>
    <row r="706" spans="1:17">
      <c r="A706" s="684">
        <v>45353</v>
      </c>
      <c r="B706" s="685">
        <v>244.84</v>
      </c>
      <c r="C706" s="686">
        <v>332</v>
      </c>
      <c r="D706" s="686">
        <v>143</v>
      </c>
      <c r="E706" s="686">
        <v>1</v>
      </c>
      <c r="F706" s="685">
        <v>10274</v>
      </c>
      <c r="G706" s="686">
        <v>59</v>
      </c>
      <c r="H706" s="686">
        <v>0</v>
      </c>
      <c r="I706" s="686">
        <v>8</v>
      </c>
      <c r="J706" s="527">
        <f t="shared" ref="J706:J769" si="109">D706/C706</f>
        <v>0.430722891566265</v>
      </c>
      <c r="K706" s="687">
        <f t="shared" ref="K706:K769" si="110">B706/D706</f>
        <v>1.71216783216783</v>
      </c>
      <c r="L706" s="1025">
        <f t="shared" si="104"/>
        <v>737.469879518072</v>
      </c>
      <c r="M706" s="702">
        <f t="shared" si="105"/>
        <v>41.9620976964548</v>
      </c>
      <c r="N706" s="703">
        <f t="shared" si="106"/>
        <v>0.00699300699300699</v>
      </c>
      <c r="O706" s="617">
        <f t="shared" si="108"/>
        <v>10274</v>
      </c>
      <c r="P706" s="617">
        <f t="shared" si="103"/>
        <v>244.84</v>
      </c>
      <c r="Q706" s="724">
        <f t="shared" si="107"/>
        <v>4.14983050847458</v>
      </c>
    </row>
    <row r="707" spans="1:17">
      <c r="A707" s="684">
        <v>45354</v>
      </c>
      <c r="B707" s="685">
        <v>215.83</v>
      </c>
      <c r="C707" s="686">
        <v>296</v>
      </c>
      <c r="D707" s="686">
        <v>148</v>
      </c>
      <c r="E707" s="686">
        <v>0</v>
      </c>
      <c r="F707" s="685">
        <v>0</v>
      </c>
      <c r="G707" s="686">
        <v>26</v>
      </c>
      <c r="H707" s="686">
        <v>5</v>
      </c>
      <c r="I707" s="686">
        <v>8</v>
      </c>
      <c r="J707" s="527">
        <f t="shared" si="109"/>
        <v>0.5</v>
      </c>
      <c r="K707" s="687">
        <f t="shared" si="110"/>
        <v>1.45831081081081</v>
      </c>
      <c r="L707" s="1025">
        <f t="shared" si="104"/>
        <v>729.155405405405</v>
      </c>
      <c r="M707" s="702">
        <f t="shared" si="105"/>
        <v>0</v>
      </c>
      <c r="N707" s="703">
        <f t="shared" si="106"/>
        <v>0</v>
      </c>
      <c r="O707" s="617">
        <f t="shared" si="108"/>
        <v>0</v>
      </c>
      <c r="P707" s="617">
        <f t="shared" si="103"/>
        <v>0</v>
      </c>
      <c r="Q707" s="724">
        <f t="shared" si="107"/>
        <v>8.30115384615385</v>
      </c>
    </row>
    <row r="708" spans="1:17">
      <c r="A708" s="684">
        <v>45355</v>
      </c>
      <c r="B708" s="685">
        <v>260.23</v>
      </c>
      <c r="C708" s="686">
        <v>321</v>
      </c>
      <c r="D708" s="686">
        <v>152</v>
      </c>
      <c r="E708" s="686">
        <v>2</v>
      </c>
      <c r="F708" s="685">
        <v>46071</v>
      </c>
      <c r="G708" s="686">
        <v>33</v>
      </c>
      <c r="H708" s="686">
        <v>1</v>
      </c>
      <c r="I708" s="686">
        <v>6</v>
      </c>
      <c r="J708" s="527">
        <f t="shared" si="109"/>
        <v>0.473520249221184</v>
      </c>
      <c r="K708" s="687">
        <f t="shared" si="110"/>
        <v>1.71203947368421</v>
      </c>
      <c r="L708" s="1025">
        <f t="shared" si="104"/>
        <v>810.685358255452</v>
      </c>
      <c r="M708" s="702">
        <f t="shared" si="105"/>
        <v>177.039541943665</v>
      </c>
      <c r="N708" s="703">
        <f t="shared" si="106"/>
        <v>0.0131578947368421</v>
      </c>
      <c r="O708" s="617">
        <f t="shared" si="108"/>
        <v>23035.5</v>
      </c>
      <c r="P708" s="617">
        <f t="shared" si="103"/>
        <v>130.115</v>
      </c>
      <c r="Q708" s="724">
        <f t="shared" si="107"/>
        <v>7.88575757575758</v>
      </c>
    </row>
    <row r="709" spans="1:17">
      <c r="A709" s="684">
        <v>45356</v>
      </c>
      <c r="B709" s="685">
        <v>210.66</v>
      </c>
      <c r="C709" s="686">
        <v>277</v>
      </c>
      <c r="D709" s="686">
        <v>129</v>
      </c>
      <c r="E709" s="686">
        <v>0</v>
      </c>
      <c r="F709" s="685">
        <v>0</v>
      </c>
      <c r="G709" s="686">
        <v>36</v>
      </c>
      <c r="H709" s="686">
        <v>2</v>
      </c>
      <c r="I709" s="686">
        <v>4</v>
      </c>
      <c r="J709" s="527">
        <f t="shared" si="109"/>
        <v>0.465703971119134</v>
      </c>
      <c r="K709" s="687">
        <f t="shared" si="110"/>
        <v>1.63302325581395</v>
      </c>
      <c r="L709" s="1025">
        <f t="shared" si="104"/>
        <v>760.505415162455</v>
      </c>
      <c r="M709" s="702">
        <f t="shared" si="105"/>
        <v>0</v>
      </c>
      <c r="N709" s="703">
        <f t="shared" si="106"/>
        <v>0</v>
      </c>
      <c r="O709" s="617">
        <f t="shared" si="108"/>
        <v>0</v>
      </c>
      <c r="P709" s="617">
        <f t="shared" si="103"/>
        <v>0</v>
      </c>
      <c r="Q709" s="724">
        <f t="shared" si="107"/>
        <v>5.85166666666667</v>
      </c>
    </row>
    <row r="710" spans="1:17">
      <c r="A710" s="684">
        <v>45357</v>
      </c>
      <c r="B710" s="685">
        <v>295.97</v>
      </c>
      <c r="C710" s="686">
        <v>334</v>
      </c>
      <c r="D710" s="686">
        <v>165</v>
      </c>
      <c r="E710" s="686">
        <v>4</v>
      </c>
      <c r="F710" s="685">
        <v>44134</v>
      </c>
      <c r="G710" s="686">
        <v>53</v>
      </c>
      <c r="H710" s="686">
        <v>3</v>
      </c>
      <c r="I710" s="686">
        <v>7</v>
      </c>
      <c r="J710" s="527">
        <f t="shared" si="109"/>
        <v>0.494011976047904</v>
      </c>
      <c r="K710" s="687">
        <f t="shared" si="110"/>
        <v>1.79375757575758</v>
      </c>
      <c r="L710" s="1025">
        <f t="shared" si="104"/>
        <v>886.137724550898</v>
      </c>
      <c r="M710" s="702">
        <f t="shared" si="105"/>
        <v>149.116464506538</v>
      </c>
      <c r="N710" s="703">
        <f t="shared" si="106"/>
        <v>0.0242424242424242</v>
      </c>
      <c r="O710" s="617">
        <f t="shared" si="108"/>
        <v>11033.5</v>
      </c>
      <c r="P710" s="617">
        <f t="shared" si="103"/>
        <v>73.9925</v>
      </c>
      <c r="Q710" s="724">
        <f t="shared" si="107"/>
        <v>5.58433962264151</v>
      </c>
    </row>
    <row r="711" spans="1:17">
      <c r="A711" s="684">
        <v>45358</v>
      </c>
      <c r="B711" s="685">
        <v>306.2</v>
      </c>
      <c r="C711" s="686">
        <v>356</v>
      </c>
      <c r="D711" s="686">
        <v>181</v>
      </c>
      <c r="E711" s="686">
        <v>7</v>
      </c>
      <c r="F711" s="685">
        <v>102081</v>
      </c>
      <c r="G711" s="686">
        <v>48</v>
      </c>
      <c r="H711" s="686">
        <v>2</v>
      </c>
      <c r="I711" s="686">
        <v>14</v>
      </c>
      <c r="J711" s="527">
        <f t="shared" si="109"/>
        <v>0.508426966292135</v>
      </c>
      <c r="K711" s="687">
        <f t="shared" si="110"/>
        <v>1.69171270718232</v>
      </c>
      <c r="L711" s="1025">
        <f t="shared" si="104"/>
        <v>860.112359550562</v>
      </c>
      <c r="M711" s="702">
        <f t="shared" si="105"/>
        <v>333.38014369693</v>
      </c>
      <c r="N711" s="703">
        <f t="shared" si="106"/>
        <v>0.0386740331491713</v>
      </c>
      <c r="O711" s="617">
        <f t="shared" si="108"/>
        <v>14583</v>
      </c>
      <c r="P711" s="617">
        <f t="shared" si="103"/>
        <v>43.7428571428571</v>
      </c>
      <c r="Q711" s="724">
        <f t="shared" si="107"/>
        <v>6.37916666666667</v>
      </c>
    </row>
    <row r="712" spans="1:17">
      <c r="A712" s="684">
        <v>45359</v>
      </c>
      <c r="B712" s="685">
        <v>214.06</v>
      </c>
      <c r="C712" s="686">
        <v>245</v>
      </c>
      <c r="D712" s="686">
        <v>121</v>
      </c>
      <c r="E712" s="686">
        <v>2</v>
      </c>
      <c r="F712" s="685">
        <v>20464</v>
      </c>
      <c r="G712" s="686">
        <v>28</v>
      </c>
      <c r="H712" s="686">
        <v>3</v>
      </c>
      <c r="I712" s="686">
        <v>11</v>
      </c>
      <c r="J712" s="527">
        <f t="shared" si="109"/>
        <v>0.493877551020408</v>
      </c>
      <c r="K712" s="687">
        <f t="shared" si="110"/>
        <v>1.76909090909091</v>
      </c>
      <c r="L712" s="1025">
        <f t="shared" si="104"/>
        <v>873.714285714286</v>
      </c>
      <c r="M712" s="702">
        <f t="shared" si="105"/>
        <v>95.5993646641129</v>
      </c>
      <c r="N712" s="703">
        <f t="shared" si="106"/>
        <v>0.0165289256198347</v>
      </c>
      <c r="O712" s="617">
        <f t="shared" si="108"/>
        <v>10232</v>
      </c>
      <c r="P712" s="617">
        <f t="shared" si="103"/>
        <v>107.03</v>
      </c>
      <c r="Q712" s="724">
        <f t="shared" si="107"/>
        <v>7.645</v>
      </c>
    </row>
    <row r="713" spans="1:17">
      <c r="A713" s="684">
        <v>45360</v>
      </c>
      <c r="B713" s="685">
        <v>247.58</v>
      </c>
      <c r="C713" s="686">
        <v>286</v>
      </c>
      <c r="D713" s="686">
        <v>132</v>
      </c>
      <c r="E713" s="686">
        <v>8</v>
      </c>
      <c r="F713" s="685">
        <v>156010</v>
      </c>
      <c r="G713" s="686">
        <v>29</v>
      </c>
      <c r="H713" s="686">
        <v>0</v>
      </c>
      <c r="I713" s="686">
        <v>12</v>
      </c>
      <c r="J713" s="527">
        <f t="shared" si="109"/>
        <v>0.461538461538462</v>
      </c>
      <c r="K713" s="687">
        <f t="shared" si="110"/>
        <v>1.87560606060606</v>
      </c>
      <c r="L713" s="1025">
        <f t="shared" si="104"/>
        <v>865.664335664336</v>
      </c>
      <c r="M713" s="702">
        <f t="shared" si="105"/>
        <v>630.139752807173</v>
      </c>
      <c r="N713" s="703">
        <f t="shared" si="106"/>
        <v>0.0606060606060606</v>
      </c>
      <c r="O713" s="617">
        <f t="shared" si="108"/>
        <v>19501.25</v>
      </c>
      <c r="P713" s="617">
        <f t="shared" si="103"/>
        <v>30.9475</v>
      </c>
      <c r="Q713" s="724">
        <f t="shared" si="107"/>
        <v>8.53724137931034</v>
      </c>
    </row>
    <row r="714" spans="1:17">
      <c r="A714" s="684">
        <v>45361</v>
      </c>
      <c r="B714" s="685">
        <v>202.75</v>
      </c>
      <c r="C714" s="686">
        <v>254</v>
      </c>
      <c r="D714" s="686">
        <v>119</v>
      </c>
      <c r="E714" s="686">
        <v>3</v>
      </c>
      <c r="F714" s="685">
        <v>57280</v>
      </c>
      <c r="G714" s="686">
        <v>47</v>
      </c>
      <c r="H714" s="686">
        <v>3</v>
      </c>
      <c r="I714" s="686">
        <v>9</v>
      </c>
      <c r="J714" s="527">
        <f t="shared" si="109"/>
        <v>0.468503937007874</v>
      </c>
      <c r="K714" s="687">
        <f t="shared" si="110"/>
        <v>1.70378151260504</v>
      </c>
      <c r="L714" s="1025">
        <f t="shared" si="104"/>
        <v>798.228346456693</v>
      </c>
      <c r="M714" s="702">
        <f t="shared" si="105"/>
        <v>282.515413070284</v>
      </c>
      <c r="N714" s="703">
        <f t="shared" si="106"/>
        <v>0.0252100840336134</v>
      </c>
      <c r="O714" s="617">
        <f t="shared" si="108"/>
        <v>19093.3333333333</v>
      </c>
      <c r="P714" s="617">
        <f t="shared" si="103"/>
        <v>67.5833333333333</v>
      </c>
      <c r="Q714" s="724">
        <f t="shared" si="107"/>
        <v>4.31382978723404</v>
      </c>
    </row>
    <row r="715" spans="1:17">
      <c r="A715" s="684">
        <v>45362</v>
      </c>
      <c r="B715" s="685">
        <v>271.89</v>
      </c>
      <c r="C715" s="686">
        <v>307</v>
      </c>
      <c r="D715" s="686">
        <v>140</v>
      </c>
      <c r="E715" s="686">
        <v>5</v>
      </c>
      <c r="F715" s="685">
        <v>59203</v>
      </c>
      <c r="G715" s="686">
        <v>27</v>
      </c>
      <c r="H715" s="686">
        <v>4</v>
      </c>
      <c r="I715" s="686">
        <v>8</v>
      </c>
      <c r="J715" s="527">
        <f t="shared" si="109"/>
        <v>0.456026058631922</v>
      </c>
      <c r="K715" s="687">
        <f t="shared" si="110"/>
        <v>1.94207142857143</v>
      </c>
      <c r="L715" s="1025">
        <f t="shared" si="104"/>
        <v>885.635179153094</v>
      </c>
      <c r="M715" s="702">
        <f t="shared" si="105"/>
        <v>217.746147338997</v>
      </c>
      <c r="N715" s="703">
        <f t="shared" si="106"/>
        <v>0.0357142857142857</v>
      </c>
      <c r="O715" s="617">
        <f t="shared" si="108"/>
        <v>11840.6</v>
      </c>
      <c r="P715" s="617">
        <f t="shared" si="103"/>
        <v>54.378</v>
      </c>
      <c r="Q715" s="724">
        <f t="shared" si="107"/>
        <v>10.07</v>
      </c>
    </row>
    <row r="716" spans="1:17">
      <c r="A716" s="684">
        <v>45363</v>
      </c>
      <c r="B716" s="685">
        <v>334.57</v>
      </c>
      <c r="C716" s="686">
        <v>367</v>
      </c>
      <c r="D716" s="686">
        <v>163</v>
      </c>
      <c r="E716" s="686">
        <v>3</v>
      </c>
      <c r="F716" s="685">
        <v>47671</v>
      </c>
      <c r="G716" s="686">
        <v>70</v>
      </c>
      <c r="H716" s="686">
        <v>3</v>
      </c>
      <c r="I716" s="686">
        <v>6</v>
      </c>
      <c r="J716" s="527">
        <f t="shared" si="109"/>
        <v>0.444141689373297</v>
      </c>
      <c r="K716" s="687">
        <f t="shared" si="110"/>
        <v>2.05257668711656</v>
      </c>
      <c r="L716" s="1025">
        <f t="shared" si="104"/>
        <v>911.634877384196</v>
      </c>
      <c r="M716" s="702">
        <f t="shared" si="105"/>
        <v>142.484382939295</v>
      </c>
      <c r="N716" s="703">
        <f t="shared" si="106"/>
        <v>0.0184049079754601</v>
      </c>
      <c r="O716" s="617">
        <f t="shared" si="108"/>
        <v>15890.3333333333</v>
      </c>
      <c r="P716" s="617">
        <f t="shared" si="103"/>
        <v>111.523333333333</v>
      </c>
      <c r="Q716" s="724">
        <f t="shared" si="107"/>
        <v>4.77957142857143</v>
      </c>
    </row>
    <row r="717" spans="1:17">
      <c r="A717" s="684">
        <v>45364</v>
      </c>
      <c r="B717" s="685">
        <v>298.41</v>
      </c>
      <c r="C717" s="686">
        <v>367</v>
      </c>
      <c r="D717" s="686">
        <v>156</v>
      </c>
      <c r="E717" s="686">
        <v>4</v>
      </c>
      <c r="F717" s="685">
        <v>51768</v>
      </c>
      <c r="G717" s="686">
        <v>53</v>
      </c>
      <c r="H717" s="686">
        <v>2</v>
      </c>
      <c r="I717" s="686">
        <v>9</v>
      </c>
      <c r="J717" s="527">
        <f t="shared" si="109"/>
        <v>0.425068119891008</v>
      </c>
      <c r="K717" s="687">
        <f t="shared" si="110"/>
        <v>1.91288461538462</v>
      </c>
      <c r="L717" s="1025">
        <f t="shared" si="104"/>
        <v>813.106267029973</v>
      </c>
      <c r="M717" s="702">
        <f t="shared" si="105"/>
        <v>173.479441037499</v>
      </c>
      <c r="N717" s="703">
        <f t="shared" si="106"/>
        <v>0.0256410256410256</v>
      </c>
      <c r="O717" s="617">
        <f t="shared" si="108"/>
        <v>12942</v>
      </c>
      <c r="P717" s="617">
        <f t="shared" si="103"/>
        <v>74.6025</v>
      </c>
      <c r="Q717" s="724">
        <f t="shared" si="107"/>
        <v>5.63037735849057</v>
      </c>
    </row>
    <row r="718" spans="1:17">
      <c r="A718" s="684">
        <v>45365</v>
      </c>
      <c r="B718" s="685">
        <v>311.14</v>
      </c>
      <c r="C718" s="686">
        <v>372</v>
      </c>
      <c r="D718" s="686">
        <v>145</v>
      </c>
      <c r="E718" s="686">
        <v>0</v>
      </c>
      <c r="F718" s="685">
        <v>0</v>
      </c>
      <c r="G718" s="686">
        <v>41</v>
      </c>
      <c r="H718" s="686">
        <v>5</v>
      </c>
      <c r="I718" s="686">
        <v>6</v>
      </c>
      <c r="J718" s="527">
        <f t="shared" si="109"/>
        <v>0.389784946236559</v>
      </c>
      <c r="K718" s="687">
        <f t="shared" si="110"/>
        <v>2.14579310344828</v>
      </c>
      <c r="L718" s="1025">
        <f t="shared" si="104"/>
        <v>836.397849462365</v>
      </c>
      <c r="M718" s="702">
        <f t="shared" si="105"/>
        <v>0</v>
      </c>
      <c r="N718" s="703">
        <f t="shared" si="106"/>
        <v>0</v>
      </c>
      <c r="O718" s="617">
        <f t="shared" si="108"/>
        <v>0</v>
      </c>
      <c r="P718" s="617">
        <f t="shared" si="103"/>
        <v>0</v>
      </c>
      <c r="Q718" s="724">
        <f t="shared" si="107"/>
        <v>7.58878048780488</v>
      </c>
    </row>
    <row r="719" spans="1:17">
      <c r="A719" s="684">
        <v>45366</v>
      </c>
      <c r="B719" s="685">
        <v>243.93</v>
      </c>
      <c r="C719" s="686">
        <v>295</v>
      </c>
      <c r="D719" s="686">
        <v>127</v>
      </c>
      <c r="E719" s="686">
        <v>2</v>
      </c>
      <c r="F719" s="685">
        <v>35206</v>
      </c>
      <c r="G719" s="686">
        <v>29</v>
      </c>
      <c r="H719" s="686">
        <v>3</v>
      </c>
      <c r="I719" s="686">
        <v>8</v>
      </c>
      <c r="J719" s="527">
        <f t="shared" si="109"/>
        <v>0.430508474576271</v>
      </c>
      <c r="K719" s="687">
        <f t="shared" si="110"/>
        <v>1.92070866141732</v>
      </c>
      <c r="L719" s="1025">
        <f t="shared" si="104"/>
        <v>826.881355932204</v>
      </c>
      <c r="M719" s="702">
        <f t="shared" si="105"/>
        <v>144.328290903128</v>
      </c>
      <c r="N719" s="703">
        <f t="shared" si="106"/>
        <v>0.015748031496063</v>
      </c>
      <c r="O719" s="617">
        <f t="shared" si="108"/>
        <v>17603</v>
      </c>
      <c r="P719" s="617">
        <f t="shared" si="103"/>
        <v>121.965</v>
      </c>
      <c r="Q719" s="724">
        <f t="shared" si="107"/>
        <v>8.41137931034483</v>
      </c>
    </row>
    <row r="720" spans="1:17">
      <c r="A720" s="684">
        <v>45367</v>
      </c>
      <c r="B720" s="685">
        <v>241.88</v>
      </c>
      <c r="C720" s="686">
        <v>287</v>
      </c>
      <c r="D720" s="686">
        <v>94</v>
      </c>
      <c r="E720" s="686">
        <v>1</v>
      </c>
      <c r="F720" s="685">
        <v>11968</v>
      </c>
      <c r="G720" s="686">
        <v>34</v>
      </c>
      <c r="H720" s="686">
        <v>11</v>
      </c>
      <c r="I720" s="686">
        <v>10</v>
      </c>
      <c r="J720" s="527">
        <f t="shared" si="109"/>
        <v>0.327526132404181</v>
      </c>
      <c r="K720" s="687">
        <f t="shared" si="110"/>
        <v>2.5731914893617</v>
      </c>
      <c r="L720" s="1025">
        <f t="shared" si="104"/>
        <v>842.787456445993</v>
      </c>
      <c r="M720" s="702">
        <f t="shared" si="105"/>
        <v>49.4790805358029</v>
      </c>
      <c r="N720" s="703">
        <f t="shared" si="106"/>
        <v>0.0106382978723404</v>
      </c>
      <c r="O720" s="617">
        <f t="shared" si="108"/>
        <v>11968</v>
      </c>
      <c r="P720" s="617">
        <f t="shared" si="103"/>
        <v>241.88</v>
      </c>
      <c r="Q720" s="724">
        <f t="shared" si="107"/>
        <v>7.11411764705882</v>
      </c>
    </row>
    <row r="721" spans="1:17">
      <c r="A721" s="684">
        <v>45368</v>
      </c>
      <c r="B721" s="685">
        <v>265.4</v>
      </c>
      <c r="C721" s="686">
        <v>329</v>
      </c>
      <c r="D721" s="686">
        <v>118</v>
      </c>
      <c r="E721" s="686">
        <v>0</v>
      </c>
      <c r="F721" s="685">
        <v>0</v>
      </c>
      <c r="G721" s="686">
        <v>36</v>
      </c>
      <c r="H721" s="686">
        <v>4</v>
      </c>
      <c r="I721" s="686">
        <v>5</v>
      </c>
      <c r="J721" s="527">
        <f t="shared" si="109"/>
        <v>0.358662613981763</v>
      </c>
      <c r="K721" s="687">
        <f t="shared" si="110"/>
        <v>2.24915254237288</v>
      </c>
      <c r="L721" s="1025">
        <f t="shared" si="104"/>
        <v>806.686930091185</v>
      </c>
      <c r="M721" s="702">
        <f t="shared" si="105"/>
        <v>0</v>
      </c>
      <c r="N721" s="703">
        <f t="shared" si="106"/>
        <v>0</v>
      </c>
      <c r="O721" s="617">
        <f t="shared" si="108"/>
        <v>0</v>
      </c>
      <c r="P721" s="617">
        <f t="shared" si="103"/>
        <v>0</v>
      </c>
      <c r="Q721" s="724">
        <f t="shared" si="107"/>
        <v>7.37222222222222</v>
      </c>
    </row>
    <row r="722" spans="1:17">
      <c r="A722" s="684">
        <v>45369</v>
      </c>
      <c r="B722" s="685">
        <v>300.44</v>
      </c>
      <c r="C722" s="686">
        <v>373</v>
      </c>
      <c r="D722" s="686">
        <v>143</v>
      </c>
      <c r="E722" s="686">
        <v>3</v>
      </c>
      <c r="F722" s="685">
        <v>56876</v>
      </c>
      <c r="G722" s="686">
        <v>35</v>
      </c>
      <c r="H722" s="686">
        <v>2</v>
      </c>
      <c r="I722" s="686">
        <v>14</v>
      </c>
      <c r="J722" s="527">
        <f t="shared" si="109"/>
        <v>0.383378016085791</v>
      </c>
      <c r="K722" s="687">
        <f t="shared" si="110"/>
        <v>2.10097902097902</v>
      </c>
      <c r="L722" s="1025">
        <f t="shared" si="104"/>
        <v>805.469168900804</v>
      </c>
      <c r="M722" s="702">
        <f t="shared" si="105"/>
        <v>189.309013446944</v>
      </c>
      <c r="N722" s="703">
        <f t="shared" si="106"/>
        <v>0.020979020979021</v>
      </c>
      <c r="O722" s="617">
        <f t="shared" si="108"/>
        <v>18958.6666666667</v>
      </c>
      <c r="P722" s="617">
        <f t="shared" si="103"/>
        <v>100.146666666667</v>
      </c>
      <c r="Q722" s="724">
        <f t="shared" si="107"/>
        <v>8.584</v>
      </c>
    </row>
    <row r="723" spans="1:17">
      <c r="A723" s="684">
        <v>45370</v>
      </c>
      <c r="B723" s="685">
        <v>321.75</v>
      </c>
      <c r="C723" s="686">
        <v>406</v>
      </c>
      <c r="D723" s="686">
        <v>173</v>
      </c>
      <c r="E723" s="686">
        <v>2</v>
      </c>
      <c r="F723" s="685">
        <v>22232</v>
      </c>
      <c r="G723" s="686">
        <v>26</v>
      </c>
      <c r="H723" s="686">
        <v>3</v>
      </c>
      <c r="I723" s="686">
        <v>10</v>
      </c>
      <c r="J723" s="527">
        <f t="shared" si="109"/>
        <v>0.426108374384236</v>
      </c>
      <c r="K723" s="687">
        <f t="shared" si="110"/>
        <v>1.85982658959538</v>
      </c>
      <c r="L723" s="1025">
        <f t="shared" si="104"/>
        <v>792.487684729064</v>
      </c>
      <c r="M723" s="702">
        <f t="shared" si="105"/>
        <v>69.0971250971251</v>
      </c>
      <c r="N723" s="703">
        <f t="shared" si="106"/>
        <v>0.0115606936416185</v>
      </c>
      <c r="O723" s="617">
        <f t="shared" si="108"/>
        <v>11116</v>
      </c>
      <c r="P723" s="617">
        <f t="shared" si="103"/>
        <v>160.875</v>
      </c>
      <c r="Q723" s="724">
        <f t="shared" si="107"/>
        <v>12.375</v>
      </c>
    </row>
    <row r="724" spans="1:17">
      <c r="A724" s="684">
        <v>45371</v>
      </c>
      <c r="B724" s="685">
        <v>293.05</v>
      </c>
      <c r="C724" s="686">
        <v>350</v>
      </c>
      <c r="D724" s="686">
        <v>138</v>
      </c>
      <c r="E724" s="686">
        <v>1</v>
      </c>
      <c r="F724" s="685">
        <v>25246</v>
      </c>
      <c r="G724" s="686">
        <v>31</v>
      </c>
      <c r="H724" s="686">
        <v>1</v>
      </c>
      <c r="I724" s="686">
        <v>10</v>
      </c>
      <c r="J724" s="527">
        <f t="shared" si="109"/>
        <v>0.394285714285714</v>
      </c>
      <c r="K724" s="687">
        <f t="shared" si="110"/>
        <v>2.12355072463768</v>
      </c>
      <c r="L724" s="1025">
        <f t="shared" si="104"/>
        <v>837.285714285714</v>
      </c>
      <c r="M724" s="702">
        <f t="shared" si="105"/>
        <v>86.1491213103566</v>
      </c>
      <c r="N724" s="703">
        <f t="shared" si="106"/>
        <v>0.0072463768115942</v>
      </c>
      <c r="O724" s="617">
        <f t="shared" si="108"/>
        <v>25246</v>
      </c>
      <c r="P724" s="617">
        <f t="shared" si="103"/>
        <v>293.05</v>
      </c>
      <c r="Q724" s="724">
        <f t="shared" si="107"/>
        <v>9.45322580645161</v>
      </c>
    </row>
    <row r="725" spans="1:17">
      <c r="A725" s="684">
        <v>45372</v>
      </c>
      <c r="B725" s="685">
        <v>210.62</v>
      </c>
      <c r="C725" s="686">
        <v>267</v>
      </c>
      <c r="D725" s="686">
        <v>92</v>
      </c>
      <c r="E725" s="686">
        <v>0</v>
      </c>
      <c r="F725" s="685">
        <v>0</v>
      </c>
      <c r="G725" s="686">
        <v>32</v>
      </c>
      <c r="H725" s="686">
        <v>2</v>
      </c>
      <c r="I725" s="686">
        <v>7</v>
      </c>
      <c r="J725" s="527">
        <f t="shared" si="109"/>
        <v>0.344569288389513</v>
      </c>
      <c r="K725" s="687">
        <f t="shared" si="110"/>
        <v>2.28934782608696</v>
      </c>
      <c r="L725" s="1025">
        <f t="shared" si="104"/>
        <v>788.838951310861</v>
      </c>
      <c r="M725" s="702">
        <f t="shared" si="105"/>
        <v>0</v>
      </c>
      <c r="N725" s="703">
        <f t="shared" si="106"/>
        <v>0</v>
      </c>
      <c r="O725" s="617">
        <f t="shared" si="108"/>
        <v>0</v>
      </c>
      <c r="P725" s="617">
        <f t="shared" si="103"/>
        <v>0</v>
      </c>
      <c r="Q725" s="724">
        <f t="shared" si="107"/>
        <v>6.581875</v>
      </c>
    </row>
    <row r="726" spans="1:17">
      <c r="A726" s="684">
        <v>45373</v>
      </c>
      <c r="B726" s="685">
        <v>181.58</v>
      </c>
      <c r="C726" s="686">
        <v>238</v>
      </c>
      <c r="D726" s="686">
        <v>70</v>
      </c>
      <c r="E726" s="686">
        <v>1</v>
      </c>
      <c r="F726" s="685">
        <v>17810</v>
      </c>
      <c r="G726" s="686">
        <v>33</v>
      </c>
      <c r="H726" s="686">
        <v>1</v>
      </c>
      <c r="I726" s="686">
        <v>8</v>
      </c>
      <c r="J726" s="527">
        <f t="shared" si="109"/>
        <v>0.294117647058824</v>
      </c>
      <c r="K726" s="687">
        <f t="shared" si="110"/>
        <v>2.594</v>
      </c>
      <c r="L726" s="1025">
        <f t="shared" si="104"/>
        <v>762.941176470588</v>
      </c>
      <c r="M726" s="702">
        <f t="shared" si="105"/>
        <v>98.0834893710761</v>
      </c>
      <c r="N726" s="703">
        <f t="shared" si="106"/>
        <v>0.0142857142857143</v>
      </c>
      <c r="O726" s="617">
        <f t="shared" si="108"/>
        <v>17810</v>
      </c>
      <c r="P726" s="617">
        <f t="shared" si="103"/>
        <v>181.58</v>
      </c>
      <c r="Q726" s="724">
        <f t="shared" si="107"/>
        <v>5.50242424242424</v>
      </c>
    </row>
    <row r="727" spans="1:17">
      <c r="A727" s="684">
        <v>45374</v>
      </c>
      <c r="B727" s="685">
        <v>218.07</v>
      </c>
      <c r="C727" s="686">
        <v>295</v>
      </c>
      <c r="D727" s="686">
        <v>93</v>
      </c>
      <c r="E727" s="686">
        <v>1</v>
      </c>
      <c r="F727" s="685">
        <v>17664</v>
      </c>
      <c r="G727" s="686">
        <v>24</v>
      </c>
      <c r="H727" s="686">
        <v>2</v>
      </c>
      <c r="I727" s="686">
        <v>7</v>
      </c>
      <c r="J727" s="527">
        <f t="shared" si="109"/>
        <v>0.315254237288136</v>
      </c>
      <c r="K727" s="687">
        <f t="shared" si="110"/>
        <v>2.34483870967742</v>
      </c>
      <c r="L727" s="1025">
        <f t="shared" si="104"/>
        <v>739.220338983051</v>
      </c>
      <c r="M727" s="702">
        <f t="shared" si="105"/>
        <v>81.0015132755537</v>
      </c>
      <c r="N727" s="703">
        <f t="shared" si="106"/>
        <v>0.010752688172043</v>
      </c>
      <c r="O727" s="617">
        <f t="shared" si="108"/>
        <v>17664</v>
      </c>
      <c r="P727" s="617">
        <f t="shared" si="103"/>
        <v>218.07</v>
      </c>
      <c r="Q727" s="724">
        <f t="shared" si="107"/>
        <v>9.08625</v>
      </c>
    </row>
    <row r="728" spans="1:17">
      <c r="A728" s="684">
        <v>45375</v>
      </c>
      <c r="B728" s="685">
        <v>207.74</v>
      </c>
      <c r="C728" s="686">
        <v>252</v>
      </c>
      <c r="D728" s="686">
        <v>109</v>
      </c>
      <c r="E728" s="686">
        <v>0</v>
      </c>
      <c r="F728" s="685">
        <v>0</v>
      </c>
      <c r="G728" s="686">
        <v>24</v>
      </c>
      <c r="H728" s="686">
        <v>1</v>
      </c>
      <c r="I728" s="686">
        <v>5</v>
      </c>
      <c r="J728" s="527">
        <f t="shared" si="109"/>
        <v>0.432539682539683</v>
      </c>
      <c r="K728" s="687">
        <f t="shared" si="110"/>
        <v>1.90587155963303</v>
      </c>
      <c r="L728" s="1025">
        <f t="shared" si="104"/>
        <v>824.365079365079</v>
      </c>
      <c r="M728" s="702">
        <f t="shared" si="105"/>
        <v>0</v>
      </c>
      <c r="N728" s="703">
        <f t="shared" si="106"/>
        <v>0</v>
      </c>
      <c r="O728" s="617">
        <f t="shared" si="108"/>
        <v>0</v>
      </c>
      <c r="P728" s="617">
        <f t="shared" si="103"/>
        <v>0</v>
      </c>
      <c r="Q728" s="724">
        <f t="shared" si="107"/>
        <v>8.65583333333333</v>
      </c>
    </row>
    <row r="729" spans="1:17">
      <c r="A729" s="684">
        <v>45376</v>
      </c>
      <c r="B729" s="685">
        <v>210.49</v>
      </c>
      <c r="C729" s="686">
        <v>290</v>
      </c>
      <c r="D729" s="686">
        <v>107</v>
      </c>
      <c r="E729" s="686">
        <v>1</v>
      </c>
      <c r="F729" s="685">
        <v>21952</v>
      </c>
      <c r="G729" s="686">
        <v>20</v>
      </c>
      <c r="H729" s="686">
        <v>3</v>
      </c>
      <c r="I729" s="686">
        <v>8</v>
      </c>
      <c r="J729" s="527">
        <f t="shared" si="109"/>
        <v>0.368965517241379</v>
      </c>
      <c r="K729" s="687">
        <f t="shared" si="110"/>
        <v>1.96719626168224</v>
      </c>
      <c r="L729" s="1025">
        <f t="shared" si="104"/>
        <v>725.827586206897</v>
      </c>
      <c r="M729" s="702">
        <f t="shared" si="105"/>
        <v>104.289990023279</v>
      </c>
      <c r="N729" s="703">
        <f t="shared" si="106"/>
        <v>0.00934579439252336</v>
      </c>
      <c r="O729" s="617">
        <f t="shared" si="108"/>
        <v>21952</v>
      </c>
      <c r="P729" s="617">
        <f t="shared" si="103"/>
        <v>210.49</v>
      </c>
      <c r="Q729" s="724">
        <f t="shared" si="107"/>
        <v>10.5245</v>
      </c>
    </row>
    <row r="730" spans="1:17">
      <c r="A730" s="684">
        <v>45377</v>
      </c>
      <c r="B730" s="685">
        <v>205.2</v>
      </c>
      <c r="C730" s="686">
        <v>282</v>
      </c>
      <c r="D730" s="686">
        <v>101</v>
      </c>
      <c r="E730" s="686">
        <v>2</v>
      </c>
      <c r="F730" s="685">
        <v>25708</v>
      </c>
      <c r="G730" s="686">
        <v>41</v>
      </c>
      <c r="H730" s="686">
        <v>1</v>
      </c>
      <c r="I730" s="686">
        <v>4</v>
      </c>
      <c r="J730" s="527">
        <f t="shared" si="109"/>
        <v>0.358156028368794</v>
      </c>
      <c r="K730" s="687">
        <f t="shared" si="110"/>
        <v>2.03168316831683</v>
      </c>
      <c r="L730" s="1025">
        <f t="shared" si="104"/>
        <v>727.659574468085</v>
      </c>
      <c r="M730" s="702">
        <f t="shared" si="105"/>
        <v>125.282651072125</v>
      </c>
      <c r="N730" s="703">
        <f t="shared" si="106"/>
        <v>0.0198019801980198</v>
      </c>
      <c r="O730" s="617">
        <f t="shared" si="108"/>
        <v>12854</v>
      </c>
      <c r="P730" s="617">
        <f t="shared" si="103"/>
        <v>102.6</v>
      </c>
      <c r="Q730" s="724">
        <f t="shared" si="107"/>
        <v>5.00487804878049</v>
      </c>
    </row>
    <row r="731" spans="1:17">
      <c r="A731" s="684">
        <v>45378</v>
      </c>
      <c r="B731" s="685">
        <v>253.41</v>
      </c>
      <c r="C731" s="686">
        <v>317</v>
      </c>
      <c r="D731" s="686">
        <v>91</v>
      </c>
      <c r="E731" s="686">
        <v>1</v>
      </c>
      <c r="F731" s="685">
        <v>13376</v>
      </c>
      <c r="G731" s="686">
        <v>18</v>
      </c>
      <c r="H731" s="686">
        <v>2</v>
      </c>
      <c r="I731" s="686">
        <v>4</v>
      </c>
      <c r="J731" s="527">
        <f t="shared" si="109"/>
        <v>0.287066246056782</v>
      </c>
      <c r="K731" s="687">
        <f t="shared" si="110"/>
        <v>2.78472527472527</v>
      </c>
      <c r="L731" s="1025">
        <f t="shared" si="104"/>
        <v>799.400630914826</v>
      </c>
      <c r="M731" s="702">
        <f t="shared" si="105"/>
        <v>52.7840258869026</v>
      </c>
      <c r="N731" s="703">
        <f t="shared" si="106"/>
        <v>0.010989010989011</v>
      </c>
      <c r="O731" s="617">
        <f t="shared" si="108"/>
        <v>13376</v>
      </c>
      <c r="P731" s="617">
        <f t="shared" si="103"/>
        <v>253.41</v>
      </c>
      <c r="Q731" s="724">
        <f t="shared" si="107"/>
        <v>14.0783333333333</v>
      </c>
    </row>
    <row r="732" spans="1:17">
      <c r="A732" s="684">
        <v>45379</v>
      </c>
      <c r="B732" s="685">
        <v>223.83</v>
      </c>
      <c r="C732" s="686">
        <v>293</v>
      </c>
      <c r="D732" s="686">
        <v>99</v>
      </c>
      <c r="E732" s="686">
        <v>3</v>
      </c>
      <c r="F732" s="685">
        <v>40288</v>
      </c>
      <c r="G732" s="686">
        <v>29</v>
      </c>
      <c r="H732" s="686">
        <v>0</v>
      </c>
      <c r="I732" s="686">
        <v>5</v>
      </c>
      <c r="J732" s="527">
        <f t="shared" si="109"/>
        <v>0.337883959044369</v>
      </c>
      <c r="K732" s="687">
        <f t="shared" si="110"/>
        <v>2.26090909090909</v>
      </c>
      <c r="L732" s="1025">
        <f t="shared" si="104"/>
        <v>763.924914675768</v>
      </c>
      <c r="M732" s="702">
        <f t="shared" si="105"/>
        <v>179.993745253094</v>
      </c>
      <c r="N732" s="703">
        <f t="shared" si="106"/>
        <v>0.0303030303030303</v>
      </c>
      <c r="O732" s="617">
        <f t="shared" si="108"/>
        <v>13429.3333333333</v>
      </c>
      <c r="P732" s="617">
        <f t="shared" si="103"/>
        <v>74.61</v>
      </c>
      <c r="Q732" s="724">
        <f t="shared" si="107"/>
        <v>7.71827586206897</v>
      </c>
    </row>
    <row r="733" spans="1:17">
      <c r="A733" s="684">
        <v>45380</v>
      </c>
      <c r="B733" s="685">
        <v>152.18</v>
      </c>
      <c r="C733" s="686">
        <v>212</v>
      </c>
      <c r="D733" s="686">
        <v>63</v>
      </c>
      <c r="E733" s="686">
        <v>1</v>
      </c>
      <c r="F733" s="685">
        <v>2600</v>
      </c>
      <c r="G733" s="686">
        <v>8</v>
      </c>
      <c r="H733" s="686">
        <v>1</v>
      </c>
      <c r="I733" s="686">
        <v>3</v>
      </c>
      <c r="J733" s="527">
        <f t="shared" si="109"/>
        <v>0.297169811320755</v>
      </c>
      <c r="K733" s="687">
        <f t="shared" si="110"/>
        <v>2.41555555555556</v>
      </c>
      <c r="L733" s="1025">
        <f t="shared" si="104"/>
        <v>717.830188679245</v>
      </c>
      <c r="M733" s="702">
        <f t="shared" si="105"/>
        <v>17.0850308844789</v>
      </c>
      <c r="N733" s="703">
        <f t="shared" si="106"/>
        <v>0.0158730158730159</v>
      </c>
      <c r="O733" s="617">
        <f t="shared" si="108"/>
        <v>2600</v>
      </c>
      <c r="P733" s="617">
        <f t="shared" si="103"/>
        <v>152.18</v>
      </c>
      <c r="Q733" s="724">
        <f t="shared" si="107"/>
        <v>19.0225</v>
      </c>
    </row>
    <row r="734" spans="1:17">
      <c r="A734" s="684">
        <v>45381</v>
      </c>
      <c r="B734" s="685">
        <v>148.43</v>
      </c>
      <c r="C734" s="686">
        <v>176</v>
      </c>
      <c r="D734" s="686">
        <v>65</v>
      </c>
      <c r="E734" s="686">
        <v>1</v>
      </c>
      <c r="F734" s="685">
        <v>15034</v>
      </c>
      <c r="G734" s="686">
        <v>29</v>
      </c>
      <c r="H734" s="686">
        <v>1</v>
      </c>
      <c r="I734" s="686">
        <v>9</v>
      </c>
      <c r="J734" s="527">
        <f t="shared" si="109"/>
        <v>0.369318181818182</v>
      </c>
      <c r="K734" s="687">
        <f t="shared" si="110"/>
        <v>2.28353846153846</v>
      </c>
      <c r="L734" s="1025">
        <f t="shared" si="104"/>
        <v>843.352272727273</v>
      </c>
      <c r="M734" s="702">
        <f t="shared" si="105"/>
        <v>101.286801859462</v>
      </c>
      <c r="N734" s="703">
        <f t="shared" si="106"/>
        <v>0.0153846153846154</v>
      </c>
      <c r="O734" s="617">
        <f t="shared" si="108"/>
        <v>15034</v>
      </c>
      <c r="P734" s="617">
        <f t="shared" si="103"/>
        <v>148.43</v>
      </c>
      <c r="Q734" s="724">
        <f t="shared" si="107"/>
        <v>5.11827586206897</v>
      </c>
    </row>
    <row r="735" spans="1:17">
      <c r="A735" s="684">
        <v>45382</v>
      </c>
      <c r="B735" s="685">
        <v>183.37</v>
      </c>
      <c r="C735" s="686">
        <v>240</v>
      </c>
      <c r="D735" s="686">
        <v>85</v>
      </c>
      <c r="E735" s="686">
        <v>1</v>
      </c>
      <c r="F735" s="685">
        <v>8954</v>
      </c>
      <c r="G735" s="686">
        <v>19</v>
      </c>
      <c r="H735" s="686">
        <v>2</v>
      </c>
      <c r="I735" s="686">
        <v>6</v>
      </c>
      <c r="J735" s="527">
        <f t="shared" si="109"/>
        <v>0.354166666666667</v>
      </c>
      <c r="K735" s="687">
        <f t="shared" si="110"/>
        <v>2.15729411764706</v>
      </c>
      <c r="L735" s="1025">
        <f t="shared" si="104"/>
        <v>764.041666666667</v>
      </c>
      <c r="M735" s="702">
        <f t="shared" si="105"/>
        <v>48.8302339532094</v>
      </c>
      <c r="N735" s="703">
        <f t="shared" si="106"/>
        <v>0.0117647058823529</v>
      </c>
      <c r="O735" s="617">
        <f t="shared" si="108"/>
        <v>8954</v>
      </c>
      <c r="P735" s="617">
        <f t="shared" si="103"/>
        <v>183.37</v>
      </c>
      <c r="Q735" s="724">
        <f t="shared" si="107"/>
        <v>9.65105263157895</v>
      </c>
    </row>
    <row r="736" spans="1:17">
      <c r="A736" s="684">
        <v>45383</v>
      </c>
      <c r="B736" s="685">
        <v>180.86</v>
      </c>
      <c r="C736" s="686">
        <v>232</v>
      </c>
      <c r="D736" s="686">
        <v>107</v>
      </c>
      <c r="E736" s="686">
        <v>0</v>
      </c>
      <c r="F736" s="685">
        <v>0</v>
      </c>
      <c r="G736" s="686">
        <v>29</v>
      </c>
      <c r="H736" s="686">
        <v>2</v>
      </c>
      <c r="I736" s="686">
        <v>1</v>
      </c>
      <c r="J736" s="527">
        <f t="shared" si="109"/>
        <v>0.461206896551724</v>
      </c>
      <c r="K736" s="687">
        <f t="shared" si="110"/>
        <v>1.69028037383178</v>
      </c>
      <c r="L736" s="1025">
        <f t="shared" si="104"/>
        <v>779.568965517241</v>
      </c>
      <c r="M736" s="702">
        <f t="shared" si="105"/>
        <v>0</v>
      </c>
      <c r="N736" s="703">
        <f t="shared" si="106"/>
        <v>0</v>
      </c>
      <c r="O736" s="617">
        <f t="shared" si="108"/>
        <v>0</v>
      </c>
      <c r="P736" s="617">
        <f t="shared" si="103"/>
        <v>0</v>
      </c>
      <c r="Q736" s="724">
        <f t="shared" si="107"/>
        <v>6.23655172413793</v>
      </c>
    </row>
    <row r="737" spans="1:17">
      <c r="A737" s="684">
        <v>45384</v>
      </c>
      <c r="B737" s="685">
        <v>182.63</v>
      </c>
      <c r="C737" s="686">
        <v>228</v>
      </c>
      <c r="D737" s="686">
        <v>80</v>
      </c>
      <c r="E737" s="686">
        <v>0</v>
      </c>
      <c r="F737" s="685">
        <v>0</v>
      </c>
      <c r="G737" s="686">
        <v>20</v>
      </c>
      <c r="H737" s="686">
        <v>2</v>
      </c>
      <c r="I737" s="686">
        <v>5</v>
      </c>
      <c r="J737" s="527">
        <f t="shared" si="109"/>
        <v>0.350877192982456</v>
      </c>
      <c r="K737" s="687">
        <f t="shared" si="110"/>
        <v>2.282875</v>
      </c>
      <c r="L737" s="1025">
        <f t="shared" si="104"/>
        <v>801.008771929825</v>
      </c>
      <c r="M737" s="702">
        <f t="shared" si="105"/>
        <v>0</v>
      </c>
      <c r="N737" s="703">
        <f t="shared" si="106"/>
        <v>0</v>
      </c>
      <c r="O737" s="617">
        <f t="shared" si="108"/>
        <v>0</v>
      </c>
      <c r="P737" s="617">
        <f t="shared" si="103"/>
        <v>0</v>
      </c>
      <c r="Q737" s="724">
        <f t="shared" si="107"/>
        <v>9.1315</v>
      </c>
    </row>
    <row r="738" spans="1:17">
      <c r="A738" s="684">
        <v>45385</v>
      </c>
      <c r="B738" s="685">
        <v>143.1</v>
      </c>
      <c r="C738" s="686">
        <v>157</v>
      </c>
      <c r="D738" s="686">
        <v>48</v>
      </c>
      <c r="E738" s="686">
        <v>0</v>
      </c>
      <c r="F738" s="685">
        <v>0</v>
      </c>
      <c r="G738" s="686">
        <v>10</v>
      </c>
      <c r="H738" s="686">
        <v>0</v>
      </c>
      <c r="I738" s="686">
        <v>4</v>
      </c>
      <c r="J738" s="527">
        <f t="shared" si="109"/>
        <v>0.305732484076433</v>
      </c>
      <c r="K738" s="687">
        <f t="shared" si="110"/>
        <v>2.98125</v>
      </c>
      <c r="L738" s="1025">
        <f t="shared" ref="L738:L791" si="111">B738/C738*1000</f>
        <v>911.464968152866</v>
      </c>
      <c r="M738" s="702">
        <f t="shared" ref="M738:M791" si="112">F738/B738</f>
        <v>0</v>
      </c>
      <c r="N738" s="703">
        <f t="shared" ref="N738:N791" si="113">E738/D738</f>
        <v>0</v>
      </c>
      <c r="O738" s="617">
        <f t="shared" ref="O738:O791" si="114">IF(E738=0,0,F738/E738)</f>
        <v>0</v>
      </c>
      <c r="P738" s="617">
        <f t="shared" ref="P738:P791" si="115">IF(E738=0,0,B738/E738)</f>
        <v>0</v>
      </c>
      <c r="Q738" s="724">
        <f t="shared" ref="Q738:Q791" si="116">B738/G738</f>
        <v>14.31</v>
      </c>
    </row>
    <row r="739" spans="1:17">
      <c r="A739" s="684">
        <v>45386</v>
      </c>
      <c r="B739" s="685">
        <v>144.02</v>
      </c>
      <c r="C739" s="686">
        <v>197</v>
      </c>
      <c r="D739" s="686">
        <v>68</v>
      </c>
      <c r="E739" s="686">
        <v>0</v>
      </c>
      <c r="F739" s="685">
        <v>0</v>
      </c>
      <c r="G739" s="686">
        <v>17</v>
      </c>
      <c r="H739" s="686">
        <v>6</v>
      </c>
      <c r="I739" s="686">
        <v>1</v>
      </c>
      <c r="J739" s="527">
        <f t="shared" si="109"/>
        <v>0.345177664974619</v>
      </c>
      <c r="K739" s="687">
        <f t="shared" si="110"/>
        <v>2.11794117647059</v>
      </c>
      <c r="L739" s="1025">
        <f t="shared" si="111"/>
        <v>731.065989847716</v>
      </c>
      <c r="M739" s="702">
        <f t="shared" si="112"/>
        <v>0</v>
      </c>
      <c r="N739" s="703">
        <f t="shared" si="113"/>
        <v>0</v>
      </c>
      <c r="O739" s="617">
        <f t="shared" si="114"/>
        <v>0</v>
      </c>
      <c r="P739" s="617">
        <f t="shared" si="115"/>
        <v>0</v>
      </c>
      <c r="Q739" s="724">
        <f t="shared" si="116"/>
        <v>8.47176470588235</v>
      </c>
    </row>
    <row r="740" spans="1:17">
      <c r="A740" s="684">
        <v>45387</v>
      </c>
      <c r="B740" s="685">
        <v>144.73</v>
      </c>
      <c r="C740" s="686">
        <v>194</v>
      </c>
      <c r="D740" s="686">
        <v>59</v>
      </c>
      <c r="E740" s="686">
        <v>0</v>
      </c>
      <c r="F740" s="685">
        <v>0</v>
      </c>
      <c r="G740" s="686">
        <v>14</v>
      </c>
      <c r="H740" s="686">
        <v>1</v>
      </c>
      <c r="I740" s="686">
        <v>4</v>
      </c>
      <c r="J740" s="527">
        <f t="shared" si="109"/>
        <v>0.304123711340206</v>
      </c>
      <c r="K740" s="687">
        <f t="shared" si="110"/>
        <v>2.45305084745763</v>
      </c>
      <c r="L740" s="1025">
        <f t="shared" si="111"/>
        <v>746.030927835052</v>
      </c>
      <c r="M740" s="702">
        <f t="shared" si="112"/>
        <v>0</v>
      </c>
      <c r="N740" s="703">
        <f t="shared" si="113"/>
        <v>0</v>
      </c>
      <c r="O740" s="617">
        <f t="shared" si="114"/>
        <v>0</v>
      </c>
      <c r="P740" s="617">
        <f t="shared" si="115"/>
        <v>0</v>
      </c>
      <c r="Q740" s="724">
        <f t="shared" si="116"/>
        <v>10.3378571428571</v>
      </c>
    </row>
    <row r="741" spans="1:17">
      <c r="A741" s="684">
        <v>45388</v>
      </c>
      <c r="B741" s="685">
        <v>189.94</v>
      </c>
      <c r="C741" s="686">
        <v>252</v>
      </c>
      <c r="D741" s="686">
        <v>82</v>
      </c>
      <c r="E741" s="686">
        <v>0</v>
      </c>
      <c r="F741" s="685">
        <v>0</v>
      </c>
      <c r="G741" s="686">
        <v>23</v>
      </c>
      <c r="H741" s="686">
        <v>4</v>
      </c>
      <c r="I741" s="686">
        <v>8</v>
      </c>
      <c r="J741" s="527">
        <f t="shared" si="109"/>
        <v>0.325396825396825</v>
      </c>
      <c r="K741" s="687">
        <f t="shared" si="110"/>
        <v>2.31634146341463</v>
      </c>
      <c r="L741" s="1025">
        <f t="shared" si="111"/>
        <v>753.730158730159</v>
      </c>
      <c r="M741" s="702">
        <f t="shared" si="112"/>
        <v>0</v>
      </c>
      <c r="N741" s="703">
        <f t="shared" si="113"/>
        <v>0</v>
      </c>
      <c r="O741" s="617">
        <f t="shared" si="114"/>
        <v>0</v>
      </c>
      <c r="P741" s="617">
        <f t="shared" si="115"/>
        <v>0</v>
      </c>
      <c r="Q741" s="724">
        <f t="shared" si="116"/>
        <v>8.25826086956522</v>
      </c>
    </row>
    <row r="742" spans="1:17">
      <c r="A742" s="684">
        <v>45389</v>
      </c>
      <c r="B742" s="685">
        <v>220.52</v>
      </c>
      <c r="C742" s="686">
        <v>271</v>
      </c>
      <c r="D742" s="686">
        <v>83</v>
      </c>
      <c r="E742" s="686">
        <v>0</v>
      </c>
      <c r="F742" s="685">
        <v>0</v>
      </c>
      <c r="G742" s="686">
        <v>27</v>
      </c>
      <c r="H742" s="686">
        <v>1</v>
      </c>
      <c r="I742" s="686">
        <v>3</v>
      </c>
      <c r="J742" s="527">
        <f t="shared" si="109"/>
        <v>0.306273062730627</v>
      </c>
      <c r="K742" s="687">
        <f t="shared" si="110"/>
        <v>2.65686746987952</v>
      </c>
      <c r="L742" s="1025">
        <f t="shared" si="111"/>
        <v>813.726937269373</v>
      </c>
      <c r="M742" s="702">
        <f t="shared" si="112"/>
        <v>0</v>
      </c>
      <c r="N742" s="703">
        <f t="shared" si="113"/>
        <v>0</v>
      </c>
      <c r="O742" s="617">
        <f t="shared" si="114"/>
        <v>0</v>
      </c>
      <c r="P742" s="617">
        <f t="shared" si="115"/>
        <v>0</v>
      </c>
      <c r="Q742" s="724">
        <f t="shared" si="116"/>
        <v>8.16740740740741</v>
      </c>
    </row>
    <row r="743" spans="1:17">
      <c r="A743" s="684">
        <v>45390</v>
      </c>
      <c r="B743" s="685">
        <v>250.39</v>
      </c>
      <c r="C743" s="686">
        <v>320</v>
      </c>
      <c r="D743" s="686">
        <v>97</v>
      </c>
      <c r="E743" s="686">
        <v>0</v>
      </c>
      <c r="F743" s="685">
        <v>0</v>
      </c>
      <c r="G743" s="686">
        <v>22</v>
      </c>
      <c r="H743" s="686">
        <v>4</v>
      </c>
      <c r="I743" s="686">
        <v>2</v>
      </c>
      <c r="J743" s="527">
        <f t="shared" si="109"/>
        <v>0.303125</v>
      </c>
      <c r="K743" s="687">
        <f t="shared" si="110"/>
        <v>2.58134020618557</v>
      </c>
      <c r="L743" s="1025">
        <f t="shared" si="111"/>
        <v>782.46875</v>
      </c>
      <c r="M743" s="702">
        <f t="shared" si="112"/>
        <v>0</v>
      </c>
      <c r="N743" s="703">
        <f t="shared" si="113"/>
        <v>0</v>
      </c>
      <c r="O743" s="617">
        <f t="shared" si="114"/>
        <v>0</v>
      </c>
      <c r="P743" s="617">
        <f t="shared" si="115"/>
        <v>0</v>
      </c>
      <c r="Q743" s="724">
        <f t="shared" si="116"/>
        <v>11.3813636363636</v>
      </c>
    </row>
    <row r="744" spans="1:17">
      <c r="A744" s="684">
        <v>45391</v>
      </c>
      <c r="B744" s="685">
        <v>219.89</v>
      </c>
      <c r="C744" s="686">
        <v>267</v>
      </c>
      <c r="D744" s="686">
        <v>103</v>
      </c>
      <c r="E744" s="686">
        <v>0</v>
      </c>
      <c r="F744" s="685">
        <v>0</v>
      </c>
      <c r="G744" s="686">
        <v>20</v>
      </c>
      <c r="H744" s="686">
        <v>4</v>
      </c>
      <c r="I744" s="686">
        <v>5</v>
      </c>
      <c r="J744" s="527">
        <f t="shared" si="109"/>
        <v>0.385767790262172</v>
      </c>
      <c r="K744" s="687">
        <f t="shared" si="110"/>
        <v>2.13485436893204</v>
      </c>
      <c r="L744" s="1025">
        <f t="shared" si="111"/>
        <v>823.558052434457</v>
      </c>
      <c r="M744" s="702">
        <f t="shared" si="112"/>
        <v>0</v>
      </c>
      <c r="N744" s="703">
        <f t="shared" si="113"/>
        <v>0</v>
      </c>
      <c r="O744" s="617">
        <f t="shared" si="114"/>
        <v>0</v>
      </c>
      <c r="P744" s="617">
        <f t="shared" si="115"/>
        <v>0</v>
      </c>
      <c r="Q744" s="724">
        <f t="shared" si="116"/>
        <v>10.9945</v>
      </c>
    </row>
    <row r="745" spans="1:17">
      <c r="A745" s="684">
        <v>45392</v>
      </c>
      <c r="B745" s="685">
        <v>199.47</v>
      </c>
      <c r="C745" s="686">
        <v>246</v>
      </c>
      <c r="D745" s="686">
        <v>100</v>
      </c>
      <c r="E745" s="686">
        <v>0</v>
      </c>
      <c r="F745" s="685">
        <v>0</v>
      </c>
      <c r="G745" s="686">
        <v>9</v>
      </c>
      <c r="H745" s="686">
        <v>2</v>
      </c>
      <c r="I745" s="686">
        <v>5</v>
      </c>
      <c r="J745" s="527">
        <f t="shared" si="109"/>
        <v>0.40650406504065</v>
      </c>
      <c r="K745" s="687">
        <f t="shared" si="110"/>
        <v>1.9947</v>
      </c>
      <c r="L745" s="1025">
        <f t="shared" si="111"/>
        <v>810.853658536585</v>
      </c>
      <c r="M745" s="702">
        <f t="shared" si="112"/>
        <v>0</v>
      </c>
      <c r="N745" s="703">
        <f t="shared" si="113"/>
        <v>0</v>
      </c>
      <c r="O745" s="617">
        <f t="shared" si="114"/>
        <v>0</v>
      </c>
      <c r="P745" s="617">
        <f t="shared" si="115"/>
        <v>0</v>
      </c>
      <c r="Q745" s="724">
        <f t="shared" si="116"/>
        <v>22.1633333333333</v>
      </c>
    </row>
    <row r="746" spans="1:17">
      <c r="A746" s="684">
        <v>45393</v>
      </c>
      <c r="B746" s="685">
        <v>222.67</v>
      </c>
      <c r="C746" s="686">
        <v>279</v>
      </c>
      <c r="D746" s="686">
        <v>107</v>
      </c>
      <c r="E746" s="686">
        <v>0</v>
      </c>
      <c r="F746" s="685">
        <v>0</v>
      </c>
      <c r="G746" s="686">
        <v>17</v>
      </c>
      <c r="H746" s="686">
        <v>0</v>
      </c>
      <c r="I746" s="686">
        <v>7</v>
      </c>
      <c r="J746" s="527">
        <f t="shared" si="109"/>
        <v>0.383512544802867</v>
      </c>
      <c r="K746" s="687">
        <f t="shared" si="110"/>
        <v>2.08102803738318</v>
      </c>
      <c r="L746" s="1025">
        <f t="shared" si="111"/>
        <v>798.100358422939</v>
      </c>
      <c r="M746" s="702">
        <f t="shared" si="112"/>
        <v>0</v>
      </c>
      <c r="N746" s="703">
        <f t="shared" si="113"/>
        <v>0</v>
      </c>
      <c r="O746" s="617">
        <f t="shared" si="114"/>
        <v>0</v>
      </c>
      <c r="P746" s="617">
        <f t="shared" si="115"/>
        <v>0</v>
      </c>
      <c r="Q746" s="724">
        <f t="shared" si="116"/>
        <v>13.0982352941176</v>
      </c>
    </row>
    <row r="747" spans="1:17">
      <c r="A747" s="684">
        <v>45394</v>
      </c>
      <c r="B747" s="685">
        <v>159.12</v>
      </c>
      <c r="C747" s="686">
        <v>193</v>
      </c>
      <c r="D747" s="686">
        <v>61</v>
      </c>
      <c r="E747" s="686">
        <v>0</v>
      </c>
      <c r="F747" s="685">
        <v>0</v>
      </c>
      <c r="G747" s="686">
        <v>19</v>
      </c>
      <c r="H747" s="686">
        <v>1</v>
      </c>
      <c r="I747" s="686">
        <v>4</v>
      </c>
      <c r="J747" s="527">
        <f t="shared" si="109"/>
        <v>0.316062176165803</v>
      </c>
      <c r="K747" s="687">
        <f t="shared" si="110"/>
        <v>2.60852459016393</v>
      </c>
      <c r="L747" s="1025">
        <f t="shared" si="111"/>
        <v>824.455958549223</v>
      </c>
      <c r="M747" s="702">
        <f t="shared" si="112"/>
        <v>0</v>
      </c>
      <c r="N747" s="703">
        <f t="shared" si="113"/>
        <v>0</v>
      </c>
      <c r="O747" s="617">
        <f t="shared" si="114"/>
        <v>0</v>
      </c>
      <c r="P747" s="617">
        <f t="shared" si="115"/>
        <v>0</v>
      </c>
      <c r="Q747" s="724">
        <f t="shared" si="116"/>
        <v>8.37473684210526</v>
      </c>
    </row>
    <row r="748" spans="1:17">
      <c r="A748" s="684">
        <v>45395</v>
      </c>
      <c r="B748" s="685">
        <v>179.81</v>
      </c>
      <c r="C748" s="686">
        <v>214</v>
      </c>
      <c r="D748" s="686">
        <v>62</v>
      </c>
      <c r="E748" s="686">
        <v>4</v>
      </c>
      <c r="F748" s="685">
        <v>106768</v>
      </c>
      <c r="G748" s="686">
        <v>15</v>
      </c>
      <c r="H748" s="686">
        <v>0</v>
      </c>
      <c r="I748" s="686">
        <v>4</v>
      </c>
      <c r="J748" s="527">
        <f t="shared" si="109"/>
        <v>0.289719626168224</v>
      </c>
      <c r="K748" s="687">
        <f t="shared" si="110"/>
        <v>2.90016129032258</v>
      </c>
      <c r="L748" s="1025">
        <f t="shared" si="111"/>
        <v>840.233644859813</v>
      </c>
      <c r="M748" s="702">
        <f t="shared" si="112"/>
        <v>593.782325788332</v>
      </c>
      <c r="N748" s="703">
        <f t="shared" si="113"/>
        <v>0.0645161290322581</v>
      </c>
      <c r="O748" s="617">
        <f t="shared" si="114"/>
        <v>26692</v>
      </c>
      <c r="P748" s="617">
        <f t="shared" si="115"/>
        <v>44.9525</v>
      </c>
      <c r="Q748" s="724">
        <f t="shared" si="116"/>
        <v>11.9873333333333</v>
      </c>
    </row>
    <row r="749" spans="1:17">
      <c r="A749" s="684">
        <v>45396</v>
      </c>
      <c r="B749" s="685">
        <v>178.28</v>
      </c>
      <c r="C749" s="686">
        <v>221</v>
      </c>
      <c r="D749" s="686">
        <v>61</v>
      </c>
      <c r="E749" s="686">
        <v>0</v>
      </c>
      <c r="F749" s="685">
        <v>0</v>
      </c>
      <c r="G749" s="686">
        <v>16</v>
      </c>
      <c r="H749" s="686">
        <v>0</v>
      </c>
      <c r="I749" s="686">
        <v>3</v>
      </c>
      <c r="J749" s="527">
        <f t="shared" si="109"/>
        <v>0.276018099547511</v>
      </c>
      <c r="K749" s="687">
        <f t="shared" si="110"/>
        <v>2.92262295081967</v>
      </c>
      <c r="L749" s="1025">
        <f t="shared" si="111"/>
        <v>806.696832579186</v>
      </c>
      <c r="M749" s="702">
        <f t="shared" si="112"/>
        <v>0</v>
      </c>
      <c r="N749" s="703">
        <f t="shared" si="113"/>
        <v>0</v>
      </c>
      <c r="O749" s="617">
        <f t="shared" si="114"/>
        <v>0</v>
      </c>
      <c r="P749" s="617">
        <f t="shared" si="115"/>
        <v>0</v>
      </c>
      <c r="Q749" s="724">
        <f t="shared" si="116"/>
        <v>11.1425</v>
      </c>
    </row>
    <row r="750" spans="1:17">
      <c r="A750" s="684">
        <v>45397</v>
      </c>
      <c r="B750" s="685">
        <v>225.3</v>
      </c>
      <c r="C750" s="686">
        <v>264</v>
      </c>
      <c r="D750" s="686">
        <v>105</v>
      </c>
      <c r="E750" s="686">
        <v>0</v>
      </c>
      <c r="F750" s="685">
        <v>0</v>
      </c>
      <c r="G750" s="686">
        <v>28</v>
      </c>
      <c r="H750" s="686">
        <v>0</v>
      </c>
      <c r="I750" s="686">
        <v>3</v>
      </c>
      <c r="J750" s="527">
        <f t="shared" si="109"/>
        <v>0.397727272727273</v>
      </c>
      <c r="K750" s="687">
        <f t="shared" si="110"/>
        <v>2.14571428571429</v>
      </c>
      <c r="L750" s="1025">
        <f t="shared" si="111"/>
        <v>853.409090909091</v>
      </c>
      <c r="M750" s="702">
        <f t="shared" si="112"/>
        <v>0</v>
      </c>
      <c r="N750" s="703">
        <f t="shared" si="113"/>
        <v>0</v>
      </c>
      <c r="O750" s="617">
        <f t="shared" si="114"/>
        <v>0</v>
      </c>
      <c r="P750" s="617">
        <f t="shared" si="115"/>
        <v>0</v>
      </c>
      <c r="Q750" s="724">
        <f t="shared" si="116"/>
        <v>8.04642857142857</v>
      </c>
    </row>
    <row r="751" spans="1:17">
      <c r="A751" s="684">
        <v>45398</v>
      </c>
      <c r="B751" s="685">
        <v>213.97</v>
      </c>
      <c r="C751" s="686">
        <v>247</v>
      </c>
      <c r="D751" s="686">
        <v>87</v>
      </c>
      <c r="E751" s="686">
        <v>0</v>
      </c>
      <c r="F751" s="685">
        <v>0</v>
      </c>
      <c r="G751" s="686">
        <v>25</v>
      </c>
      <c r="H751" s="686">
        <v>3</v>
      </c>
      <c r="I751" s="686">
        <v>0</v>
      </c>
      <c r="J751" s="527">
        <f t="shared" si="109"/>
        <v>0.352226720647773</v>
      </c>
      <c r="K751" s="687">
        <f t="shared" si="110"/>
        <v>2.45942528735632</v>
      </c>
      <c r="L751" s="1025">
        <f t="shared" si="111"/>
        <v>866.275303643725</v>
      </c>
      <c r="M751" s="702">
        <f t="shared" si="112"/>
        <v>0</v>
      </c>
      <c r="N751" s="703">
        <f t="shared" si="113"/>
        <v>0</v>
      </c>
      <c r="O751" s="617">
        <f t="shared" si="114"/>
        <v>0</v>
      </c>
      <c r="P751" s="617">
        <f t="shared" si="115"/>
        <v>0</v>
      </c>
      <c r="Q751" s="724">
        <f t="shared" si="116"/>
        <v>8.5588</v>
      </c>
    </row>
    <row r="752" spans="1:17">
      <c r="A752" s="684">
        <v>45399</v>
      </c>
      <c r="B752" s="685">
        <v>273.75</v>
      </c>
      <c r="C752" s="686">
        <v>316</v>
      </c>
      <c r="D752" s="686">
        <v>123</v>
      </c>
      <c r="E752" s="686">
        <v>1</v>
      </c>
      <c r="F752" s="685">
        <v>10074</v>
      </c>
      <c r="G752" s="686">
        <v>41</v>
      </c>
      <c r="H752" s="686">
        <v>4</v>
      </c>
      <c r="I752" s="686">
        <v>5</v>
      </c>
      <c r="J752" s="527">
        <f t="shared" si="109"/>
        <v>0.389240506329114</v>
      </c>
      <c r="K752" s="687">
        <f t="shared" si="110"/>
        <v>2.22560975609756</v>
      </c>
      <c r="L752" s="1025">
        <f t="shared" si="111"/>
        <v>866.29746835443</v>
      </c>
      <c r="M752" s="702">
        <f t="shared" si="112"/>
        <v>36.8</v>
      </c>
      <c r="N752" s="703">
        <f t="shared" si="113"/>
        <v>0.00813008130081301</v>
      </c>
      <c r="O752" s="617">
        <f t="shared" si="114"/>
        <v>10074</v>
      </c>
      <c r="P752" s="617">
        <f t="shared" si="115"/>
        <v>273.75</v>
      </c>
      <c r="Q752" s="724">
        <f t="shared" si="116"/>
        <v>6.67682926829268</v>
      </c>
    </row>
    <row r="753" spans="1:17">
      <c r="A753" s="684">
        <v>45400</v>
      </c>
      <c r="B753" s="685">
        <v>227.06</v>
      </c>
      <c r="C753" s="686">
        <v>270</v>
      </c>
      <c r="D753" s="686">
        <v>92</v>
      </c>
      <c r="E753" s="686">
        <v>0</v>
      </c>
      <c r="F753" s="685">
        <v>0</v>
      </c>
      <c r="G753" s="686">
        <v>22</v>
      </c>
      <c r="H753" s="686">
        <v>2</v>
      </c>
      <c r="I753" s="686">
        <v>7</v>
      </c>
      <c r="J753" s="527">
        <f t="shared" si="109"/>
        <v>0.340740740740741</v>
      </c>
      <c r="K753" s="687">
        <f t="shared" si="110"/>
        <v>2.46804347826087</v>
      </c>
      <c r="L753" s="1025">
        <f t="shared" si="111"/>
        <v>840.962962962963</v>
      </c>
      <c r="M753" s="702">
        <f t="shared" si="112"/>
        <v>0</v>
      </c>
      <c r="N753" s="703">
        <f t="shared" si="113"/>
        <v>0</v>
      </c>
      <c r="O753" s="617">
        <f t="shared" si="114"/>
        <v>0</v>
      </c>
      <c r="P753" s="617">
        <f t="shared" si="115"/>
        <v>0</v>
      </c>
      <c r="Q753" s="724">
        <f t="shared" si="116"/>
        <v>10.3209090909091</v>
      </c>
    </row>
    <row r="754" spans="1:17">
      <c r="A754" s="684">
        <v>45401</v>
      </c>
      <c r="B754" s="685">
        <v>187.17</v>
      </c>
      <c r="C754" s="686">
        <v>232</v>
      </c>
      <c r="D754" s="686">
        <v>96</v>
      </c>
      <c r="E754" s="686">
        <v>0</v>
      </c>
      <c r="F754" s="685">
        <v>0</v>
      </c>
      <c r="G754" s="686">
        <v>54</v>
      </c>
      <c r="H754" s="686">
        <v>0</v>
      </c>
      <c r="I754" s="686">
        <v>6</v>
      </c>
      <c r="J754" s="527">
        <f t="shared" si="109"/>
        <v>0.413793103448276</v>
      </c>
      <c r="K754" s="687">
        <f t="shared" si="110"/>
        <v>1.9496875</v>
      </c>
      <c r="L754" s="1025">
        <f t="shared" si="111"/>
        <v>806.76724137931</v>
      </c>
      <c r="M754" s="702">
        <f t="shared" si="112"/>
        <v>0</v>
      </c>
      <c r="N754" s="703">
        <f t="shared" si="113"/>
        <v>0</v>
      </c>
      <c r="O754" s="617">
        <f t="shared" si="114"/>
        <v>0</v>
      </c>
      <c r="P754" s="617">
        <f t="shared" si="115"/>
        <v>0</v>
      </c>
      <c r="Q754" s="724">
        <f t="shared" si="116"/>
        <v>3.46611111111111</v>
      </c>
    </row>
    <row r="755" spans="1:17">
      <c r="A755" s="684">
        <v>45402</v>
      </c>
      <c r="B755" s="685">
        <v>159.15</v>
      </c>
      <c r="C755" s="686">
        <v>204</v>
      </c>
      <c r="D755" s="686">
        <v>71</v>
      </c>
      <c r="E755" s="686">
        <v>0</v>
      </c>
      <c r="F755" s="685">
        <v>0</v>
      </c>
      <c r="G755" s="686">
        <v>21</v>
      </c>
      <c r="H755" s="686">
        <v>1</v>
      </c>
      <c r="I755" s="686">
        <v>2</v>
      </c>
      <c r="J755" s="527">
        <f t="shared" si="109"/>
        <v>0.348039215686274</v>
      </c>
      <c r="K755" s="687">
        <f t="shared" si="110"/>
        <v>2.24154929577465</v>
      </c>
      <c r="L755" s="1025">
        <f t="shared" si="111"/>
        <v>780.147058823529</v>
      </c>
      <c r="M755" s="702">
        <f t="shared" si="112"/>
        <v>0</v>
      </c>
      <c r="N755" s="703">
        <f t="shared" si="113"/>
        <v>0</v>
      </c>
      <c r="O755" s="617">
        <f t="shared" si="114"/>
        <v>0</v>
      </c>
      <c r="P755" s="617">
        <f t="shared" si="115"/>
        <v>0</v>
      </c>
      <c r="Q755" s="724">
        <f t="shared" si="116"/>
        <v>7.57857142857143</v>
      </c>
    </row>
    <row r="756" spans="1:17">
      <c r="A756" s="684">
        <v>45403</v>
      </c>
      <c r="B756" s="685">
        <v>172.22</v>
      </c>
      <c r="C756" s="686">
        <v>200</v>
      </c>
      <c r="D756" s="686">
        <v>69</v>
      </c>
      <c r="E756" s="686">
        <v>2</v>
      </c>
      <c r="F756" s="685">
        <v>46417</v>
      </c>
      <c r="G756" s="686">
        <v>14</v>
      </c>
      <c r="H756" s="686">
        <v>7</v>
      </c>
      <c r="I756" s="686">
        <v>2</v>
      </c>
      <c r="J756" s="527">
        <f t="shared" si="109"/>
        <v>0.345</v>
      </c>
      <c r="K756" s="687">
        <f t="shared" si="110"/>
        <v>2.49594202898551</v>
      </c>
      <c r="L756" s="1025">
        <f t="shared" si="111"/>
        <v>861.1</v>
      </c>
      <c r="M756" s="702">
        <f t="shared" si="112"/>
        <v>269.521542213448</v>
      </c>
      <c r="N756" s="703">
        <f t="shared" si="113"/>
        <v>0.0289855072463768</v>
      </c>
      <c r="O756" s="617">
        <f t="shared" si="114"/>
        <v>23208.5</v>
      </c>
      <c r="P756" s="617">
        <f t="shared" si="115"/>
        <v>86.11</v>
      </c>
      <c r="Q756" s="724">
        <f t="shared" si="116"/>
        <v>12.3014285714286</v>
      </c>
    </row>
    <row r="757" spans="1:17">
      <c r="A757" s="684">
        <v>45404</v>
      </c>
      <c r="B757" s="685">
        <v>249.7</v>
      </c>
      <c r="C757" s="686">
        <v>283</v>
      </c>
      <c r="D757" s="686">
        <v>104</v>
      </c>
      <c r="E757" s="686">
        <v>0</v>
      </c>
      <c r="F757" s="685">
        <v>0</v>
      </c>
      <c r="G757" s="686">
        <v>33</v>
      </c>
      <c r="H757" s="686">
        <v>1</v>
      </c>
      <c r="I757" s="686">
        <v>3</v>
      </c>
      <c r="J757" s="527">
        <f t="shared" si="109"/>
        <v>0.367491166077739</v>
      </c>
      <c r="K757" s="687">
        <f t="shared" si="110"/>
        <v>2.40096153846154</v>
      </c>
      <c r="L757" s="1025">
        <f t="shared" si="111"/>
        <v>882.332155477032</v>
      </c>
      <c r="M757" s="702">
        <f t="shared" si="112"/>
        <v>0</v>
      </c>
      <c r="N757" s="703">
        <f t="shared" si="113"/>
        <v>0</v>
      </c>
      <c r="O757" s="617">
        <f t="shared" si="114"/>
        <v>0</v>
      </c>
      <c r="P757" s="617">
        <f t="shared" si="115"/>
        <v>0</v>
      </c>
      <c r="Q757" s="724">
        <f t="shared" si="116"/>
        <v>7.56666666666667</v>
      </c>
    </row>
    <row r="758" spans="1:17">
      <c r="A758" s="684">
        <v>45405</v>
      </c>
      <c r="B758" s="685">
        <v>213.94</v>
      </c>
      <c r="C758" s="686">
        <v>245</v>
      </c>
      <c r="D758" s="686">
        <v>97</v>
      </c>
      <c r="E758" s="686">
        <v>1</v>
      </c>
      <c r="F758" s="685">
        <v>20928</v>
      </c>
      <c r="G758" s="686">
        <v>15</v>
      </c>
      <c r="H758" s="686">
        <v>3</v>
      </c>
      <c r="I758" s="686">
        <v>7</v>
      </c>
      <c r="J758" s="527">
        <f t="shared" si="109"/>
        <v>0.395918367346939</v>
      </c>
      <c r="K758" s="687">
        <f t="shared" si="110"/>
        <v>2.20556701030928</v>
      </c>
      <c r="L758" s="1025">
        <f t="shared" si="111"/>
        <v>873.224489795918</v>
      </c>
      <c r="M758" s="702">
        <f t="shared" si="112"/>
        <v>97.8218192016453</v>
      </c>
      <c r="N758" s="703">
        <f t="shared" si="113"/>
        <v>0.0103092783505155</v>
      </c>
      <c r="O758" s="617">
        <f t="shared" si="114"/>
        <v>20928</v>
      </c>
      <c r="P758" s="617">
        <f t="shared" si="115"/>
        <v>213.94</v>
      </c>
      <c r="Q758" s="724">
        <f t="shared" si="116"/>
        <v>14.2626666666667</v>
      </c>
    </row>
    <row r="759" spans="1:17">
      <c r="A759" s="684">
        <v>45406</v>
      </c>
      <c r="B759" s="685">
        <v>217.48</v>
      </c>
      <c r="C759" s="686">
        <v>260</v>
      </c>
      <c r="D759" s="686">
        <v>87</v>
      </c>
      <c r="E759" s="686">
        <v>0</v>
      </c>
      <c r="F759" s="685">
        <v>0</v>
      </c>
      <c r="G759" s="686">
        <v>18</v>
      </c>
      <c r="H759" s="686">
        <v>2</v>
      </c>
      <c r="I759" s="686">
        <v>7</v>
      </c>
      <c r="J759" s="527">
        <f t="shared" si="109"/>
        <v>0.334615384615385</v>
      </c>
      <c r="K759" s="687">
        <f t="shared" si="110"/>
        <v>2.49977011494253</v>
      </c>
      <c r="L759" s="1025">
        <f t="shared" si="111"/>
        <v>836.461538461538</v>
      </c>
      <c r="M759" s="702">
        <f t="shared" si="112"/>
        <v>0</v>
      </c>
      <c r="N759" s="703">
        <f t="shared" si="113"/>
        <v>0</v>
      </c>
      <c r="O759" s="617">
        <f t="shared" si="114"/>
        <v>0</v>
      </c>
      <c r="P759" s="617">
        <f t="shared" si="115"/>
        <v>0</v>
      </c>
      <c r="Q759" s="724">
        <f t="shared" si="116"/>
        <v>12.0822222222222</v>
      </c>
    </row>
    <row r="760" spans="1:17">
      <c r="A760" s="684">
        <v>45407</v>
      </c>
      <c r="B760" s="685">
        <v>216.36</v>
      </c>
      <c r="C760" s="686">
        <v>238</v>
      </c>
      <c r="D760" s="686">
        <v>86</v>
      </c>
      <c r="E760" s="686">
        <v>2</v>
      </c>
      <c r="F760" s="685">
        <v>23773</v>
      </c>
      <c r="G760" s="686">
        <v>21</v>
      </c>
      <c r="H760" s="686">
        <v>1</v>
      </c>
      <c r="I760" s="686">
        <v>4</v>
      </c>
      <c r="J760" s="527">
        <f t="shared" si="109"/>
        <v>0.361344537815126</v>
      </c>
      <c r="K760" s="687">
        <f t="shared" si="110"/>
        <v>2.51581395348837</v>
      </c>
      <c r="L760" s="1025">
        <f t="shared" si="111"/>
        <v>909.075630252101</v>
      </c>
      <c r="M760" s="702">
        <f t="shared" si="112"/>
        <v>109.877056757256</v>
      </c>
      <c r="N760" s="703">
        <f t="shared" si="113"/>
        <v>0.0232558139534884</v>
      </c>
      <c r="O760" s="617">
        <f t="shared" si="114"/>
        <v>11886.5</v>
      </c>
      <c r="P760" s="617">
        <f t="shared" si="115"/>
        <v>108.18</v>
      </c>
      <c r="Q760" s="724">
        <f t="shared" si="116"/>
        <v>10.3028571428571</v>
      </c>
    </row>
    <row r="761" spans="1:17">
      <c r="A761" s="684">
        <v>45408</v>
      </c>
      <c r="B761" s="685">
        <v>332.78</v>
      </c>
      <c r="C761" s="686">
        <v>409</v>
      </c>
      <c r="D761" s="686">
        <v>207</v>
      </c>
      <c r="E761" s="686">
        <v>3</v>
      </c>
      <c r="F761" s="685">
        <v>53094</v>
      </c>
      <c r="G761" s="686">
        <v>65</v>
      </c>
      <c r="H761" s="686">
        <v>4</v>
      </c>
      <c r="I761" s="686">
        <v>18</v>
      </c>
      <c r="J761" s="527">
        <f t="shared" si="109"/>
        <v>0.506112469437653</v>
      </c>
      <c r="K761" s="687">
        <f t="shared" si="110"/>
        <v>1.60763285024155</v>
      </c>
      <c r="L761" s="1025">
        <f t="shared" si="111"/>
        <v>813.643031784841</v>
      </c>
      <c r="M761" s="702">
        <f t="shared" si="112"/>
        <v>159.546847767294</v>
      </c>
      <c r="N761" s="703">
        <f t="shared" si="113"/>
        <v>0.0144927536231884</v>
      </c>
      <c r="O761" s="617">
        <f t="shared" si="114"/>
        <v>17698</v>
      </c>
      <c r="P761" s="617">
        <f t="shared" si="115"/>
        <v>110.926666666667</v>
      </c>
      <c r="Q761" s="724">
        <f t="shared" si="116"/>
        <v>5.11969230769231</v>
      </c>
    </row>
    <row r="762" spans="1:17">
      <c r="A762" s="684">
        <v>45409</v>
      </c>
      <c r="B762" s="685">
        <v>270.76</v>
      </c>
      <c r="C762" s="686">
        <v>314</v>
      </c>
      <c r="D762" s="686">
        <v>128</v>
      </c>
      <c r="E762" s="686">
        <v>0</v>
      </c>
      <c r="F762" s="685">
        <v>0</v>
      </c>
      <c r="G762" s="686">
        <v>39</v>
      </c>
      <c r="H762" s="686">
        <v>4</v>
      </c>
      <c r="I762" s="686">
        <v>7</v>
      </c>
      <c r="J762" s="527">
        <f t="shared" si="109"/>
        <v>0.407643312101911</v>
      </c>
      <c r="K762" s="687">
        <f t="shared" si="110"/>
        <v>2.1153125</v>
      </c>
      <c r="L762" s="1025">
        <f t="shared" si="111"/>
        <v>862.292993630573</v>
      </c>
      <c r="M762" s="702">
        <f t="shared" si="112"/>
        <v>0</v>
      </c>
      <c r="N762" s="703">
        <f t="shared" si="113"/>
        <v>0</v>
      </c>
      <c r="O762" s="617">
        <f t="shared" si="114"/>
        <v>0</v>
      </c>
      <c r="P762" s="617">
        <f t="shared" si="115"/>
        <v>0</v>
      </c>
      <c r="Q762" s="724">
        <f t="shared" si="116"/>
        <v>6.9425641025641</v>
      </c>
    </row>
    <row r="763" spans="1:17">
      <c r="A763" s="684">
        <v>45410</v>
      </c>
      <c r="B763" s="685">
        <v>328.68</v>
      </c>
      <c r="C763" s="686">
        <v>393</v>
      </c>
      <c r="D763" s="686">
        <v>175</v>
      </c>
      <c r="E763" s="686">
        <v>0</v>
      </c>
      <c r="F763" s="685">
        <v>0</v>
      </c>
      <c r="G763" s="686">
        <v>47</v>
      </c>
      <c r="H763" s="686">
        <v>3</v>
      </c>
      <c r="I763" s="686">
        <v>5</v>
      </c>
      <c r="J763" s="527">
        <f t="shared" si="109"/>
        <v>0.44529262086514</v>
      </c>
      <c r="K763" s="687">
        <f t="shared" si="110"/>
        <v>1.87817142857143</v>
      </c>
      <c r="L763" s="1025">
        <f t="shared" si="111"/>
        <v>836.335877862595</v>
      </c>
      <c r="M763" s="702">
        <f t="shared" si="112"/>
        <v>0</v>
      </c>
      <c r="N763" s="703">
        <f t="shared" si="113"/>
        <v>0</v>
      </c>
      <c r="O763" s="617">
        <f t="shared" si="114"/>
        <v>0</v>
      </c>
      <c r="P763" s="617">
        <f t="shared" si="115"/>
        <v>0</v>
      </c>
      <c r="Q763" s="724">
        <f t="shared" si="116"/>
        <v>6.9931914893617</v>
      </c>
    </row>
    <row r="764" spans="1:17">
      <c r="A764" s="684">
        <v>45411</v>
      </c>
      <c r="B764" s="685">
        <v>310.61</v>
      </c>
      <c r="C764" s="686">
        <v>377</v>
      </c>
      <c r="D764" s="686">
        <v>148</v>
      </c>
      <c r="E764" s="686">
        <v>0</v>
      </c>
      <c r="F764" s="685">
        <v>0</v>
      </c>
      <c r="G764" s="686">
        <v>52</v>
      </c>
      <c r="H764" s="686">
        <v>7</v>
      </c>
      <c r="I764" s="686">
        <v>5</v>
      </c>
      <c r="J764" s="527">
        <f t="shared" si="109"/>
        <v>0.392572944297082</v>
      </c>
      <c r="K764" s="687">
        <f t="shared" si="110"/>
        <v>2.09871621621622</v>
      </c>
      <c r="L764" s="1025">
        <f t="shared" si="111"/>
        <v>823.899204244032</v>
      </c>
      <c r="M764" s="702">
        <f t="shared" si="112"/>
        <v>0</v>
      </c>
      <c r="N764" s="703">
        <f t="shared" si="113"/>
        <v>0</v>
      </c>
      <c r="O764" s="617">
        <f t="shared" si="114"/>
        <v>0</v>
      </c>
      <c r="P764" s="617">
        <f t="shared" si="115"/>
        <v>0</v>
      </c>
      <c r="Q764" s="724">
        <f t="shared" si="116"/>
        <v>5.97326923076923</v>
      </c>
    </row>
    <row r="765" spans="1:17">
      <c r="A765" s="684">
        <v>45412</v>
      </c>
      <c r="B765" s="685">
        <v>273.82</v>
      </c>
      <c r="C765" s="686">
        <v>328</v>
      </c>
      <c r="D765" s="686">
        <v>162</v>
      </c>
      <c r="E765" s="686">
        <v>5</v>
      </c>
      <c r="F765" s="685">
        <v>14985</v>
      </c>
      <c r="G765" s="686">
        <v>30</v>
      </c>
      <c r="H765" s="686">
        <v>6</v>
      </c>
      <c r="I765" s="686">
        <v>8</v>
      </c>
      <c r="J765" s="527">
        <f t="shared" si="109"/>
        <v>0.49390243902439</v>
      </c>
      <c r="K765" s="687">
        <f t="shared" si="110"/>
        <v>1.69024691358025</v>
      </c>
      <c r="L765" s="1025">
        <f t="shared" si="111"/>
        <v>834.817073170732</v>
      </c>
      <c r="M765" s="702">
        <f t="shared" si="112"/>
        <v>54.7257322328537</v>
      </c>
      <c r="N765" s="703">
        <f t="shared" si="113"/>
        <v>0.0308641975308642</v>
      </c>
      <c r="O765" s="617">
        <f t="shared" si="114"/>
        <v>2997</v>
      </c>
      <c r="P765" s="617">
        <f t="shared" si="115"/>
        <v>54.764</v>
      </c>
      <c r="Q765" s="724">
        <f t="shared" si="116"/>
        <v>9.12733333333333</v>
      </c>
    </row>
    <row r="766" spans="1:17">
      <c r="A766" s="684">
        <v>45413</v>
      </c>
      <c r="B766" s="685">
        <v>321.15</v>
      </c>
      <c r="C766" s="686">
        <v>451</v>
      </c>
      <c r="D766" s="686">
        <v>210</v>
      </c>
      <c r="E766" s="686">
        <v>1</v>
      </c>
      <c r="F766" s="685">
        <v>15358</v>
      </c>
      <c r="G766" s="686">
        <v>55</v>
      </c>
      <c r="H766" s="686">
        <v>11</v>
      </c>
      <c r="I766" s="686">
        <v>24</v>
      </c>
      <c r="J766" s="527">
        <f t="shared" si="109"/>
        <v>0.465631929046563</v>
      </c>
      <c r="K766" s="687">
        <f t="shared" si="110"/>
        <v>1.52928571428571</v>
      </c>
      <c r="L766" s="1025">
        <f t="shared" si="111"/>
        <v>712.084257206208</v>
      </c>
      <c r="M766" s="702">
        <f t="shared" si="112"/>
        <v>47.821890082516</v>
      </c>
      <c r="N766" s="703">
        <f t="shared" si="113"/>
        <v>0.00476190476190476</v>
      </c>
      <c r="O766" s="617">
        <f t="shared" si="114"/>
        <v>15358</v>
      </c>
      <c r="P766" s="617">
        <f t="shared" si="115"/>
        <v>321.15</v>
      </c>
      <c r="Q766" s="724">
        <f t="shared" si="116"/>
        <v>5.83909090909091</v>
      </c>
    </row>
    <row r="767" spans="1:17">
      <c r="A767" s="684">
        <v>45414</v>
      </c>
      <c r="B767" s="685">
        <v>519.32</v>
      </c>
      <c r="C767" s="686">
        <v>783</v>
      </c>
      <c r="D767" s="686">
        <v>503</v>
      </c>
      <c r="E767" s="686">
        <v>0</v>
      </c>
      <c r="F767" s="685">
        <v>0</v>
      </c>
      <c r="G767" s="686">
        <v>106</v>
      </c>
      <c r="H767" s="686">
        <v>22</v>
      </c>
      <c r="I767" s="686">
        <v>51</v>
      </c>
      <c r="J767" s="527">
        <f t="shared" si="109"/>
        <v>0.642401021711367</v>
      </c>
      <c r="K767" s="687">
        <f t="shared" si="110"/>
        <v>1.03244532803181</v>
      </c>
      <c r="L767" s="1025">
        <f t="shared" si="111"/>
        <v>663.243933588761</v>
      </c>
      <c r="M767" s="702">
        <f t="shared" si="112"/>
        <v>0</v>
      </c>
      <c r="N767" s="703">
        <f t="shared" si="113"/>
        <v>0</v>
      </c>
      <c r="O767" s="617">
        <f t="shared" si="114"/>
        <v>0</v>
      </c>
      <c r="P767" s="617">
        <f t="shared" si="115"/>
        <v>0</v>
      </c>
      <c r="Q767" s="724">
        <f t="shared" si="116"/>
        <v>4.89924528301887</v>
      </c>
    </row>
    <row r="768" spans="1:17">
      <c r="A768" s="684">
        <v>45415</v>
      </c>
      <c r="B768" s="685">
        <v>370.08</v>
      </c>
      <c r="C768" s="686">
        <v>539</v>
      </c>
      <c r="D768" s="686">
        <v>318</v>
      </c>
      <c r="E768" s="686">
        <v>0</v>
      </c>
      <c r="F768" s="685">
        <v>0</v>
      </c>
      <c r="G768" s="686">
        <v>72</v>
      </c>
      <c r="H768" s="686">
        <v>9</v>
      </c>
      <c r="I768" s="686">
        <v>24</v>
      </c>
      <c r="J768" s="527">
        <f t="shared" si="109"/>
        <v>0.589981447124304</v>
      </c>
      <c r="K768" s="687">
        <f t="shared" si="110"/>
        <v>1.16377358490566</v>
      </c>
      <c r="L768" s="1025">
        <f t="shared" si="111"/>
        <v>686.604823747681</v>
      </c>
      <c r="M768" s="702">
        <f t="shared" si="112"/>
        <v>0</v>
      </c>
      <c r="N768" s="703">
        <f t="shared" si="113"/>
        <v>0</v>
      </c>
      <c r="O768" s="617">
        <f t="shared" si="114"/>
        <v>0</v>
      </c>
      <c r="P768" s="617">
        <f t="shared" si="115"/>
        <v>0</v>
      </c>
      <c r="Q768" s="724">
        <f t="shared" si="116"/>
        <v>5.14</v>
      </c>
    </row>
    <row r="769" spans="1:17">
      <c r="A769" s="684">
        <v>45416</v>
      </c>
      <c r="B769" s="685">
        <v>454.01</v>
      </c>
      <c r="C769" s="686">
        <v>626</v>
      </c>
      <c r="D769" s="686">
        <v>351</v>
      </c>
      <c r="E769" s="686">
        <v>0</v>
      </c>
      <c r="F769" s="685">
        <v>0</v>
      </c>
      <c r="G769" s="686">
        <v>67</v>
      </c>
      <c r="H769" s="686">
        <v>12</v>
      </c>
      <c r="I769" s="686">
        <v>21</v>
      </c>
      <c r="J769" s="527">
        <f t="shared" si="109"/>
        <v>0.560702875399361</v>
      </c>
      <c r="K769" s="687">
        <f t="shared" si="110"/>
        <v>1.29347578347578</v>
      </c>
      <c r="L769" s="1025">
        <f t="shared" si="111"/>
        <v>725.255591054313</v>
      </c>
      <c r="M769" s="702">
        <f t="shared" si="112"/>
        <v>0</v>
      </c>
      <c r="N769" s="703">
        <f t="shared" si="113"/>
        <v>0</v>
      </c>
      <c r="O769" s="617">
        <f t="shared" si="114"/>
        <v>0</v>
      </c>
      <c r="P769" s="617">
        <f t="shared" si="115"/>
        <v>0</v>
      </c>
      <c r="Q769" s="724">
        <f t="shared" si="116"/>
        <v>6.77626865671642</v>
      </c>
    </row>
    <row r="770" spans="1:17">
      <c r="A770" s="684">
        <v>45417</v>
      </c>
      <c r="B770" s="685">
        <v>462.82</v>
      </c>
      <c r="C770" s="686">
        <v>589</v>
      </c>
      <c r="D770" s="686">
        <v>301</v>
      </c>
      <c r="E770" s="686">
        <v>0</v>
      </c>
      <c r="F770" s="685">
        <v>0</v>
      </c>
      <c r="G770" s="686">
        <v>87</v>
      </c>
      <c r="H770" s="686">
        <v>14</v>
      </c>
      <c r="I770" s="686">
        <v>23</v>
      </c>
      <c r="J770" s="527">
        <f t="shared" ref="J770:J833" si="117">D770/C770</f>
        <v>0.511035653650255</v>
      </c>
      <c r="K770" s="687">
        <f t="shared" ref="K770:K833" si="118">B770/D770</f>
        <v>1.53760797342193</v>
      </c>
      <c r="L770" s="1025">
        <f t="shared" si="111"/>
        <v>785.772495755518</v>
      </c>
      <c r="M770" s="702">
        <f t="shared" si="112"/>
        <v>0</v>
      </c>
      <c r="N770" s="703">
        <f t="shared" si="113"/>
        <v>0</v>
      </c>
      <c r="O770" s="617">
        <f t="shared" si="114"/>
        <v>0</v>
      </c>
      <c r="P770" s="617">
        <f t="shared" si="115"/>
        <v>0</v>
      </c>
      <c r="Q770" s="724">
        <f t="shared" si="116"/>
        <v>5.31977011494253</v>
      </c>
    </row>
    <row r="771" spans="1:17">
      <c r="A771" s="684">
        <v>45418</v>
      </c>
      <c r="B771" s="685">
        <v>628.55</v>
      </c>
      <c r="C771" s="686">
        <v>766</v>
      </c>
      <c r="D771" s="686">
        <v>410</v>
      </c>
      <c r="E771" s="686">
        <v>0</v>
      </c>
      <c r="F771" s="685">
        <v>0</v>
      </c>
      <c r="G771" s="686">
        <v>106</v>
      </c>
      <c r="H771" s="686">
        <v>11</v>
      </c>
      <c r="I771" s="686">
        <v>31</v>
      </c>
      <c r="J771" s="527">
        <f t="shared" si="117"/>
        <v>0.535248041775457</v>
      </c>
      <c r="K771" s="687">
        <f t="shared" si="118"/>
        <v>1.5330487804878</v>
      </c>
      <c r="L771" s="1025">
        <f t="shared" si="111"/>
        <v>820.56135770235</v>
      </c>
      <c r="M771" s="702">
        <f t="shared" si="112"/>
        <v>0</v>
      </c>
      <c r="N771" s="703">
        <f t="shared" si="113"/>
        <v>0</v>
      </c>
      <c r="O771" s="617">
        <f t="shared" si="114"/>
        <v>0</v>
      </c>
      <c r="P771" s="617">
        <f t="shared" si="115"/>
        <v>0</v>
      </c>
      <c r="Q771" s="724">
        <f t="shared" si="116"/>
        <v>5.92971698113208</v>
      </c>
    </row>
    <row r="772" spans="1:17">
      <c r="A772" s="684">
        <v>45419</v>
      </c>
      <c r="B772" s="685">
        <v>500.83</v>
      </c>
      <c r="C772" s="686">
        <v>633</v>
      </c>
      <c r="D772" s="686">
        <v>359</v>
      </c>
      <c r="E772" s="686">
        <v>7</v>
      </c>
      <c r="F772" s="685">
        <v>58343.81</v>
      </c>
      <c r="G772" s="686">
        <v>89</v>
      </c>
      <c r="H772" s="686">
        <v>6</v>
      </c>
      <c r="I772" s="686">
        <v>31</v>
      </c>
      <c r="J772" s="527">
        <f t="shared" si="117"/>
        <v>0.567140600315956</v>
      </c>
      <c r="K772" s="687">
        <f t="shared" si="118"/>
        <v>1.39506963788301</v>
      </c>
      <c r="L772" s="1025">
        <f t="shared" si="111"/>
        <v>791.200631911532</v>
      </c>
      <c r="M772" s="702">
        <f t="shared" si="112"/>
        <v>116.494239562327</v>
      </c>
      <c r="N772" s="703">
        <f t="shared" si="113"/>
        <v>0.0194986072423398</v>
      </c>
      <c r="O772" s="617">
        <f t="shared" si="114"/>
        <v>8334.83</v>
      </c>
      <c r="P772" s="617">
        <f t="shared" si="115"/>
        <v>71.5471428571429</v>
      </c>
      <c r="Q772" s="724">
        <f t="shared" si="116"/>
        <v>5.62730337078652</v>
      </c>
    </row>
    <row r="773" spans="1:17">
      <c r="A773" s="684">
        <v>45420</v>
      </c>
      <c r="B773" s="685">
        <v>406.57</v>
      </c>
      <c r="C773" s="686">
        <v>519</v>
      </c>
      <c r="D773" s="686">
        <v>252</v>
      </c>
      <c r="E773" s="686">
        <v>5</v>
      </c>
      <c r="F773" s="685">
        <v>60738</v>
      </c>
      <c r="G773" s="686">
        <v>62</v>
      </c>
      <c r="H773" s="686">
        <v>10</v>
      </c>
      <c r="I773" s="686">
        <v>14</v>
      </c>
      <c r="J773" s="527">
        <f t="shared" si="117"/>
        <v>0.485549132947977</v>
      </c>
      <c r="K773" s="687">
        <f t="shared" si="118"/>
        <v>1.61337301587302</v>
      </c>
      <c r="L773" s="1025">
        <f t="shared" si="111"/>
        <v>783.371868978805</v>
      </c>
      <c r="M773" s="702">
        <f t="shared" si="112"/>
        <v>149.391248739454</v>
      </c>
      <c r="N773" s="703">
        <f t="shared" si="113"/>
        <v>0.0198412698412698</v>
      </c>
      <c r="O773" s="617">
        <f t="shared" si="114"/>
        <v>12147.6</v>
      </c>
      <c r="P773" s="617">
        <f t="shared" si="115"/>
        <v>81.314</v>
      </c>
      <c r="Q773" s="724">
        <f t="shared" si="116"/>
        <v>6.55758064516129</v>
      </c>
    </row>
    <row r="774" spans="1:17">
      <c r="A774" s="684">
        <v>45421</v>
      </c>
      <c r="B774" s="685">
        <v>378.71</v>
      </c>
      <c r="C774" s="686">
        <v>451</v>
      </c>
      <c r="D774" s="686">
        <v>181</v>
      </c>
      <c r="E774" s="686">
        <v>0</v>
      </c>
      <c r="F774" s="685">
        <v>0</v>
      </c>
      <c r="G774" s="686">
        <v>36</v>
      </c>
      <c r="H774" s="686">
        <v>5</v>
      </c>
      <c r="I774" s="686">
        <v>10</v>
      </c>
      <c r="J774" s="527">
        <f t="shared" si="117"/>
        <v>0.401330376940133</v>
      </c>
      <c r="K774" s="687">
        <f t="shared" si="118"/>
        <v>2.09232044198895</v>
      </c>
      <c r="L774" s="1025">
        <f t="shared" si="111"/>
        <v>839.711751662971</v>
      </c>
      <c r="M774" s="702">
        <f t="shared" si="112"/>
        <v>0</v>
      </c>
      <c r="N774" s="703">
        <f t="shared" si="113"/>
        <v>0</v>
      </c>
      <c r="O774" s="617">
        <f t="shared" si="114"/>
        <v>0</v>
      </c>
      <c r="P774" s="617">
        <f t="shared" si="115"/>
        <v>0</v>
      </c>
      <c r="Q774" s="724">
        <f t="shared" si="116"/>
        <v>10.5197222222222</v>
      </c>
    </row>
    <row r="775" spans="1:17">
      <c r="A775" s="684">
        <v>45422</v>
      </c>
      <c r="B775" s="685">
        <v>345.41</v>
      </c>
      <c r="C775" s="686">
        <v>391</v>
      </c>
      <c r="D775" s="686">
        <v>159</v>
      </c>
      <c r="E775" s="686">
        <v>5</v>
      </c>
      <c r="F775" s="685">
        <v>38794</v>
      </c>
      <c r="G775" s="686">
        <v>40</v>
      </c>
      <c r="H775" s="686">
        <v>6</v>
      </c>
      <c r="I775" s="686">
        <v>9</v>
      </c>
      <c r="J775" s="527">
        <f t="shared" si="117"/>
        <v>0.406649616368286</v>
      </c>
      <c r="K775" s="687">
        <f t="shared" si="118"/>
        <v>2.17238993710692</v>
      </c>
      <c r="L775" s="1025">
        <f t="shared" si="111"/>
        <v>883.401534526854</v>
      </c>
      <c r="M775" s="702">
        <f t="shared" si="112"/>
        <v>112.312903505978</v>
      </c>
      <c r="N775" s="703">
        <f t="shared" si="113"/>
        <v>0.0314465408805031</v>
      </c>
      <c r="O775" s="617">
        <f t="shared" si="114"/>
        <v>7758.8</v>
      </c>
      <c r="P775" s="617">
        <f t="shared" si="115"/>
        <v>69.082</v>
      </c>
      <c r="Q775" s="724">
        <f t="shared" si="116"/>
        <v>8.63525</v>
      </c>
    </row>
    <row r="776" spans="1:17">
      <c r="A776" s="684">
        <v>45423</v>
      </c>
      <c r="B776" s="685">
        <v>305.71</v>
      </c>
      <c r="C776" s="686">
        <v>342</v>
      </c>
      <c r="D776" s="686">
        <v>136</v>
      </c>
      <c r="E776" s="686">
        <v>5</v>
      </c>
      <c r="F776" s="685">
        <v>56778</v>
      </c>
      <c r="G776" s="686">
        <v>45</v>
      </c>
      <c r="H776" s="686">
        <v>6</v>
      </c>
      <c r="I776" s="686">
        <v>8</v>
      </c>
      <c r="J776" s="527">
        <f t="shared" si="117"/>
        <v>0.39766081871345</v>
      </c>
      <c r="K776" s="687">
        <f t="shared" si="118"/>
        <v>2.24786764705882</v>
      </c>
      <c r="L776" s="1025">
        <f t="shared" si="111"/>
        <v>893.888888888889</v>
      </c>
      <c r="M776" s="702">
        <f t="shared" si="112"/>
        <v>185.725033528507</v>
      </c>
      <c r="N776" s="703">
        <f t="shared" si="113"/>
        <v>0.0367647058823529</v>
      </c>
      <c r="O776" s="617">
        <f t="shared" si="114"/>
        <v>11355.6</v>
      </c>
      <c r="P776" s="617">
        <f t="shared" si="115"/>
        <v>61.142</v>
      </c>
      <c r="Q776" s="724">
        <f t="shared" si="116"/>
        <v>6.79355555555555</v>
      </c>
    </row>
    <row r="777" spans="1:17">
      <c r="A777" s="684">
        <v>45424</v>
      </c>
      <c r="B777" s="685">
        <v>307.95</v>
      </c>
      <c r="C777" s="686">
        <v>386</v>
      </c>
      <c r="D777" s="686">
        <v>164</v>
      </c>
      <c r="E777" s="686">
        <v>3</v>
      </c>
      <c r="F777" s="685">
        <v>46636</v>
      </c>
      <c r="G777" s="686">
        <v>48</v>
      </c>
      <c r="H777" s="686">
        <v>4</v>
      </c>
      <c r="I777" s="686">
        <v>5</v>
      </c>
      <c r="J777" s="527">
        <f t="shared" si="117"/>
        <v>0.424870466321244</v>
      </c>
      <c r="K777" s="687">
        <f t="shared" si="118"/>
        <v>1.87774390243902</v>
      </c>
      <c r="L777" s="1025">
        <f t="shared" si="111"/>
        <v>797.79792746114</v>
      </c>
      <c r="M777" s="702">
        <f t="shared" si="112"/>
        <v>151.440168858581</v>
      </c>
      <c r="N777" s="703">
        <f t="shared" si="113"/>
        <v>0.0182926829268293</v>
      </c>
      <c r="O777" s="617">
        <f t="shared" si="114"/>
        <v>15545.3333333333</v>
      </c>
      <c r="P777" s="617">
        <f t="shared" si="115"/>
        <v>102.65</v>
      </c>
      <c r="Q777" s="724">
        <f t="shared" si="116"/>
        <v>6.415625</v>
      </c>
    </row>
    <row r="778" spans="1:17">
      <c r="A778" s="684">
        <v>45425</v>
      </c>
      <c r="B778" s="685">
        <v>406.38</v>
      </c>
      <c r="C778" s="686">
        <v>489</v>
      </c>
      <c r="D778" s="686">
        <v>228</v>
      </c>
      <c r="E778" s="686">
        <v>2</v>
      </c>
      <c r="F778" s="685">
        <v>19596</v>
      </c>
      <c r="G778" s="686">
        <v>49</v>
      </c>
      <c r="H778" s="686">
        <v>11</v>
      </c>
      <c r="I778" s="686">
        <v>9</v>
      </c>
      <c r="J778" s="527">
        <f t="shared" si="117"/>
        <v>0.466257668711656</v>
      </c>
      <c r="K778" s="687">
        <f t="shared" si="118"/>
        <v>1.78236842105263</v>
      </c>
      <c r="L778" s="1025">
        <f t="shared" si="111"/>
        <v>831.042944785276</v>
      </c>
      <c r="M778" s="702">
        <f t="shared" si="112"/>
        <v>48.220877011664</v>
      </c>
      <c r="N778" s="703">
        <f t="shared" si="113"/>
        <v>0.0087719298245614</v>
      </c>
      <c r="O778" s="617">
        <f t="shared" si="114"/>
        <v>9798</v>
      </c>
      <c r="P778" s="617">
        <f t="shared" si="115"/>
        <v>203.19</v>
      </c>
      <c r="Q778" s="724">
        <f t="shared" si="116"/>
        <v>8.2934693877551</v>
      </c>
    </row>
    <row r="779" spans="1:17">
      <c r="A779" s="684">
        <v>45426</v>
      </c>
      <c r="B779" s="685">
        <v>511.9</v>
      </c>
      <c r="C779" s="686">
        <v>601</v>
      </c>
      <c r="D779" s="686">
        <v>243</v>
      </c>
      <c r="E779" s="686">
        <v>2</v>
      </c>
      <c r="F779" s="685">
        <v>16596</v>
      </c>
      <c r="G779" s="686">
        <v>53</v>
      </c>
      <c r="H779" s="686">
        <v>10</v>
      </c>
      <c r="I779" s="686">
        <v>7</v>
      </c>
      <c r="J779" s="527">
        <f t="shared" si="117"/>
        <v>0.40432612312812</v>
      </c>
      <c r="K779" s="687">
        <f t="shared" si="118"/>
        <v>2.10658436213992</v>
      </c>
      <c r="L779" s="1025">
        <f t="shared" si="111"/>
        <v>851.747088186356</v>
      </c>
      <c r="M779" s="702">
        <f t="shared" si="112"/>
        <v>32.4203946083219</v>
      </c>
      <c r="N779" s="703">
        <f t="shared" si="113"/>
        <v>0.00823045267489712</v>
      </c>
      <c r="O779" s="617">
        <f t="shared" si="114"/>
        <v>8298</v>
      </c>
      <c r="P779" s="617">
        <f t="shared" si="115"/>
        <v>255.95</v>
      </c>
      <c r="Q779" s="724">
        <f t="shared" si="116"/>
        <v>9.65849056603774</v>
      </c>
    </row>
    <row r="780" spans="1:17">
      <c r="A780" s="684">
        <v>45427</v>
      </c>
      <c r="B780" s="685">
        <v>439.63</v>
      </c>
      <c r="C780" s="686">
        <v>485</v>
      </c>
      <c r="D780" s="686">
        <v>231</v>
      </c>
      <c r="E780" s="686">
        <v>0</v>
      </c>
      <c r="F780" s="685">
        <v>0</v>
      </c>
      <c r="G780" s="686">
        <v>56</v>
      </c>
      <c r="H780" s="686">
        <v>10</v>
      </c>
      <c r="I780" s="686">
        <v>9</v>
      </c>
      <c r="J780" s="527">
        <f t="shared" si="117"/>
        <v>0.476288659793814</v>
      </c>
      <c r="K780" s="687">
        <f t="shared" si="118"/>
        <v>1.90316017316017</v>
      </c>
      <c r="L780" s="1025">
        <f t="shared" si="111"/>
        <v>906.453608247423</v>
      </c>
      <c r="M780" s="702">
        <f t="shared" si="112"/>
        <v>0</v>
      </c>
      <c r="N780" s="703">
        <f t="shared" si="113"/>
        <v>0</v>
      </c>
      <c r="O780" s="617">
        <f t="shared" si="114"/>
        <v>0</v>
      </c>
      <c r="P780" s="617">
        <f t="shared" si="115"/>
        <v>0</v>
      </c>
      <c r="Q780" s="724">
        <f t="shared" si="116"/>
        <v>7.85053571428571</v>
      </c>
    </row>
    <row r="781" spans="1:17">
      <c r="A781" s="684">
        <v>45428</v>
      </c>
      <c r="B781" s="685">
        <v>70.97</v>
      </c>
      <c r="C781" s="686">
        <v>82</v>
      </c>
      <c r="D781" s="686">
        <v>42</v>
      </c>
      <c r="E781" s="686">
        <v>0</v>
      </c>
      <c r="F781" s="685">
        <v>0</v>
      </c>
      <c r="G781" s="686">
        <v>12</v>
      </c>
      <c r="H781" s="686">
        <v>2</v>
      </c>
      <c r="I781" s="686">
        <v>1</v>
      </c>
      <c r="J781" s="527">
        <f t="shared" si="117"/>
        <v>0.51219512195122</v>
      </c>
      <c r="K781" s="687">
        <f t="shared" si="118"/>
        <v>1.6897619047619</v>
      </c>
      <c r="L781" s="1025">
        <f t="shared" si="111"/>
        <v>865.487804878049</v>
      </c>
      <c r="M781" s="702">
        <f t="shared" si="112"/>
        <v>0</v>
      </c>
      <c r="N781" s="703">
        <f t="shared" si="113"/>
        <v>0</v>
      </c>
      <c r="O781" s="617">
        <f t="shared" si="114"/>
        <v>0</v>
      </c>
      <c r="P781" s="617">
        <f t="shared" si="115"/>
        <v>0</v>
      </c>
      <c r="Q781" s="724">
        <f t="shared" si="116"/>
        <v>5.91416666666667</v>
      </c>
    </row>
    <row r="782" spans="1:17">
      <c r="A782" s="684">
        <v>45429</v>
      </c>
      <c r="B782" s="685">
        <v>72.64</v>
      </c>
      <c r="C782" s="686">
        <v>75</v>
      </c>
      <c r="D782" s="686">
        <v>30</v>
      </c>
      <c r="E782" s="686">
        <v>1</v>
      </c>
      <c r="F782" s="685">
        <v>9897</v>
      </c>
      <c r="G782" s="686">
        <v>11</v>
      </c>
      <c r="H782" s="686">
        <v>2</v>
      </c>
      <c r="I782" s="686">
        <v>4</v>
      </c>
      <c r="J782" s="527">
        <f t="shared" si="117"/>
        <v>0.4</v>
      </c>
      <c r="K782" s="687">
        <f t="shared" si="118"/>
        <v>2.42133333333333</v>
      </c>
      <c r="L782" s="1025">
        <f t="shared" si="111"/>
        <v>968.533333333333</v>
      </c>
      <c r="M782" s="702">
        <f t="shared" si="112"/>
        <v>136.247246696035</v>
      </c>
      <c r="N782" s="703">
        <f t="shared" si="113"/>
        <v>0.0333333333333333</v>
      </c>
      <c r="O782" s="617">
        <f t="shared" si="114"/>
        <v>9897</v>
      </c>
      <c r="P782" s="617">
        <f t="shared" si="115"/>
        <v>72.64</v>
      </c>
      <c r="Q782" s="724">
        <f t="shared" si="116"/>
        <v>6.60363636363636</v>
      </c>
    </row>
    <row r="783" spans="1:17">
      <c r="A783" s="684">
        <v>45430</v>
      </c>
      <c r="B783" s="685">
        <v>320.77</v>
      </c>
      <c r="C783" s="686">
        <v>389</v>
      </c>
      <c r="D783" s="686">
        <v>194</v>
      </c>
      <c r="E783" s="686">
        <v>5</v>
      </c>
      <c r="F783" s="685">
        <v>71177</v>
      </c>
      <c r="G783" s="686">
        <v>21</v>
      </c>
      <c r="H783" s="686">
        <v>5</v>
      </c>
      <c r="I783" s="686">
        <v>12</v>
      </c>
      <c r="J783" s="527">
        <f t="shared" si="117"/>
        <v>0.498714652956298</v>
      </c>
      <c r="K783" s="687">
        <f t="shared" si="118"/>
        <v>1.65345360824742</v>
      </c>
      <c r="L783" s="1025">
        <f t="shared" si="111"/>
        <v>824.601542416453</v>
      </c>
      <c r="M783" s="702">
        <f t="shared" si="112"/>
        <v>221.894192100259</v>
      </c>
      <c r="N783" s="703">
        <f t="shared" si="113"/>
        <v>0.0257731958762887</v>
      </c>
      <c r="O783" s="617">
        <f t="shared" si="114"/>
        <v>14235.4</v>
      </c>
      <c r="P783" s="617">
        <f t="shared" si="115"/>
        <v>64.154</v>
      </c>
      <c r="Q783" s="724">
        <f t="shared" si="116"/>
        <v>15.2747619047619</v>
      </c>
    </row>
    <row r="784" spans="1:17">
      <c r="A784" s="684">
        <v>45431</v>
      </c>
      <c r="B784" s="685">
        <v>436.12</v>
      </c>
      <c r="C784" s="686">
        <v>443</v>
      </c>
      <c r="D784" s="686">
        <v>245</v>
      </c>
      <c r="E784" s="686">
        <v>14</v>
      </c>
      <c r="F784" s="685">
        <v>163875</v>
      </c>
      <c r="G784" s="686">
        <v>94</v>
      </c>
      <c r="H784" s="686">
        <v>11</v>
      </c>
      <c r="I784" s="686">
        <v>20</v>
      </c>
      <c r="J784" s="527">
        <f t="shared" si="117"/>
        <v>0.553047404063205</v>
      </c>
      <c r="K784" s="687">
        <f t="shared" si="118"/>
        <v>1.78008163265306</v>
      </c>
      <c r="L784" s="1025">
        <f t="shared" si="111"/>
        <v>984.469525959368</v>
      </c>
      <c r="M784" s="702">
        <f t="shared" si="112"/>
        <v>375.756672475465</v>
      </c>
      <c r="N784" s="703">
        <f t="shared" si="113"/>
        <v>0.0571428571428571</v>
      </c>
      <c r="O784" s="617">
        <f t="shared" si="114"/>
        <v>11705.3571428571</v>
      </c>
      <c r="P784" s="617">
        <f t="shared" si="115"/>
        <v>31.1514285714286</v>
      </c>
      <c r="Q784" s="724">
        <f t="shared" si="116"/>
        <v>4.63957446808511</v>
      </c>
    </row>
    <row r="785" spans="1:17">
      <c r="A785" s="684">
        <v>45432</v>
      </c>
      <c r="B785" s="685">
        <v>390.33</v>
      </c>
      <c r="C785" s="686">
        <v>385</v>
      </c>
      <c r="D785" s="686">
        <v>177</v>
      </c>
      <c r="E785" s="686">
        <v>6</v>
      </c>
      <c r="F785" s="685">
        <v>57788</v>
      </c>
      <c r="G785" s="686">
        <v>41</v>
      </c>
      <c r="H785" s="686">
        <v>6</v>
      </c>
      <c r="I785" s="686">
        <v>15</v>
      </c>
      <c r="J785" s="527">
        <f t="shared" si="117"/>
        <v>0.45974025974026</v>
      </c>
      <c r="K785" s="687">
        <f t="shared" si="118"/>
        <v>2.20525423728814</v>
      </c>
      <c r="L785" s="1025">
        <f t="shared" si="111"/>
        <v>1013.84415584416</v>
      </c>
      <c r="M785" s="702">
        <f t="shared" si="112"/>
        <v>148.049086670253</v>
      </c>
      <c r="N785" s="703">
        <f t="shared" si="113"/>
        <v>0.0338983050847458</v>
      </c>
      <c r="O785" s="617">
        <f t="shared" si="114"/>
        <v>9631.33333333333</v>
      </c>
      <c r="P785" s="617">
        <f t="shared" si="115"/>
        <v>65.055</v>
      </c>
      <c r="Q785" s="724">
        <f t="shared" si="116"/>
        <v>9.52024390243902</v>
      </c>
    </row>
    <row r="786" spans="1:17">
      <c r="A786" s="684">
        <v>45433</v>
      </c>
      <c r="B786" s="685">
        <v>406.91</v>
      </c>
      <c r="C786" s="686">
        <v>380</v>
      </c>
      <c r="D786" s="686">
        <v>240</v>
      </c>
      <c r="E786" s="686">
        <v>13</v>
      </c>
      <c r="F786" s="685">
        <v>135369</v>
      </c>
      <c r="G786" s="686">
        <v>79</v>
      </c>
      <c r="H786" s="686">
        <v>8</v>
      </c>
      <c r="I786" s="686">
        <v>13</v>
      </c>
      <c r="J786" s="527">
        <f t="shared" si="117"/>
        <v>0.631578947368421</v>
      </c>
      <c r="K786" s="687">
        <f t="shared" si="118"/>
        <v>1.69545833333333</v>
      </c>
      <c r="L786" s="1025">
        <f t="shared" si="111"/>
        <v>1070.81578947368</v>
      </c>
      <c r="M786" s="702">
        <f t="shared" si="112"/>
        <v>332.675530215527</v>
      </c>
      <c r="N786" s="703">
        <f t="shared" si="113"/>
        <v>0.0541666666666667</v>
      </c>
      <c r="O786" s="617">
        <f t="shared" si="114"/>
        <v>10413</v>
      </c>
      <c r="P786" s="617">
        <f t="shared" si="115"/>
        <v>31.3007692307692</v>
      </c>
      <c r="Q786" s="724">
        <f t="shared" si="116"/>
        <v>5.15075949367089</v>
      </c>
    </row>
    <row r="787" spans="1:17">
      <c r="A787" s="684">
        <v>45434</v>
      </c>
      <c r="B787" s="685">
        <v>345.87</v>
      </c>
      <c r="C787" s="686">
        <v>333</v>
      </c>
      <c r="D787" s="686">
        <v>176</v>
      </c>
      <c r="E787" s="686">
        <v>5</v>
      </c>
      <c r="F787" s="685">
        <v>33188</v>
      </c>
      <c r="G787" s="686">
        <v>81</v>
      </c>
      <c r="H787" s="686">
        <v>8</v>
      </c>
      <c r="I787" s="686">
        <v>17</v>
      </c>
      <c r="J787" s="527">
        <f t="shared" si="117"/>
        <v>0.528528528528528</v>
      </c>
      <c r="K787" s="687">
        <f t="shared" si="118"/>
        <v>1.96517045454545</v>
      </c>
      <c r="L787" s="1025">
        <f t="shared" si="111"/>
        <v>1038.64864864865</v>
      </c>
      <c r="M787" s="702">
        <f t="shared" si="112"/>
        <v>95.9551276491167</v>
      </c>
      <c r="N787" s="703">
        <f t="shared" si="113"/>
        <v>0.0284090909090909</v>
      </c>
      <c r="O787" s="617">
        <f t="shared" si="114"/>
        <v>6637.6</v>
      </c>
      <c r="P787" s="617">
        <f t="shared" si="115"/>
        <v>69.174</v>
      </c>
      <c r="Q787" s="724">
        <f t="shared" si="116"/>
        <v>4.27</v>
      </c>
    </row>
    <row r="788" spans="1:17">
      <c r="A788" s="684">
        <v>45435</v>
      </c>
      <c r="B788" s="685">
        <v>27.56</v>
      </c>
      <c r="C788" s="686">
        <v>30</v>
      </c>
      <c r="D788" s="686">
        <v>15</v>
      </c>
      <c r="E788" s="686">
        <v>0</v>
      </c>
      <c r="F788" s="685">
        <v>0</v>
      </c>
      <c r="G788" s="686">
        <v>3</v>
      </c>
      <c r="H788" s="686">
        <v>1</v>
      </c>
      <c r="I788" s="686">
        <v>3</v>
      </c>
      <c r="J788" s="527">
        <f t="shared" si="117"/>
        <v>0.5</v>
      </c>
      <c r="K788" s="687">
        <f t="shared" si="118"/>
        <v>1.83733333333333</v>
      </c>
      <c r="L788" s="1025">
        <f t="shared" si="111"/>
        <v>918.666666666667</v>
      </c>
      <c r="M788" s="702">
        <f t="shared" si="112"/>
        <v>0</v>
      </c>
      <c r="N788" s="703">
        <f t="shared" si="113"/>
        <v>0</v>
      </c>
      <c r="O788" s="617">
        <f t="shared" si="114"/>
        <v>0</v>
      </c>
      <c r="P788" s="617">
        <f t="shared" si="115"/>
        <v>0</v>
      </c>
      <c r="Q788" s="724">
        <f t="shared" si="116"/>
        <v>9.18666666666667</v>
      </c>
    </row>
    <row r="789" spans="1:17">
      <c r="A789" s="684">
        <v>45436</v>
      </c>
      <c r="B789" s="685">
        <v>102.41</v>
      </c>
      <c r="C789" s="686">
        <v>93</v>
      </c>
      <c r="D789" s="686">
        <v>35</v>
      </c>
      <c r="E789" s="686">
        <v>0</v>
      </c>
      <c r="F789" s="685">
        <v>0</v>
      </c>
      <c r="G789" s="686">
        <v>8</v>
      </c>
      <c r="H789" s="686">
        <v>1</v>
      </c>
      <c r="I789" s="686">
        <v>4</v>
      </c>
      <c r="J789" s="527">
        <f t="shared" si="117"/>
        <v>0.376344086021505</v>
      </c>
      <c r="K789" s="687">
        <f t="shared" si="118"/>
        <v>2.926</v>
      </c>
      <c r="L789" s="1025">
        <f t="shared" si="111"/>
        <v>1101.18279569892</v>
      </c>
      <c r="M789" s="702">
        <f t="shared" si="112"/>
        <v>0</v>
      </c>
      <c r="N789" s="703">
        <f t="shared" si="113"/>
        <v>0</v>
      </c>
      <c r="O789" s="617">
        <f t="shared" si="114"/>
        <v>0</v>
      </c>
      <c r="P789" s="617">
        <f t="shared" si="115"/>
        <v>0</v>
      </c>
      <c r="Q789" s="724">
        <f t="shared" si="116"/>
        <v>12.80125</v>
      </c>
    </row>
    <row r="790" spans="1:17">
      <c r="A790" s="684">
        <v>45437</v>
      </c>
      <c r="B790" s="685">
        <v>360.29</v>
      </c>
      <c r="C790" s="686">
        <v>341</v>
      </c>
      <c r="D790" s="686">
        <v>141</v>
      </c>
      <c r="E790" s="686">
        <v>2</v>
      </c>
      <c r="F790" s="685">
        <v>41966</v>
      </c>
      <c r="G790" s="686">
        <v>37</v>
      </c>
      <c r="H790" s="686">
        <v>4</v>
      </c>
      <c r="I790" s="686">
        <v>15</v>
      </c>
      <c r="J790" s="527">
        <f t="shared" si="117"/>
        <v>0.413489736070381</v>
      </c>
      <c r="K790" s="687">
        <f t="shared" si="118"/>
        <v>2.55524822695035</v>
      </c>
      <c r="L790" s="1025">
        <f t="shared" si="111"/>
        <v>1056.56891495601</v>
      </c>
      <c r="M790" s="702">
        <f t="shared" si="112"/>
        <v>116.478392406117</v>
      </c>
      <c r="N790" s="703">
        <f t="shared" si="113"/>
        <v>0.0141843971631206</v>
      </c>
      <c r="O790" s="617">
        <f t="shared" si="114"/>
        <v>20983</v>
      </c>
      <c r="P790" s="617">
        <f t="shared" si="115"/>
        <v>180.145</v>
      </c>
      <c r="Q790" s="724">
        <f t="shared" si="116"/>
        <v>9.73756756756757</v>
      </c>
    </row>
    <row r="791" spans="1:17">
      <c r="A791" s="684">
        <v>45438</v>
      </c>
      <c r="B791" s="685">
        <v>346.5</v>
      </c>
      <c r="C791" s="686">
        <v>353</v>
      </c>
      <c r="D791" s="686">
        <v>168</v>
      </c>
      <c r="E791" s="686">
        <v>1</v>
      </c>
      <c r="F791" s="685">
        <v>9798</v>
      </c>
      <c r="G791" s="686">
        <v>45</v>
      </c>
      <c r="H791" s="686">
        <v>2</v>
      </c>
      <c r="I791" s="686">
        <v>19</v>
      </c>
      <c r="J791" s="527">
        <f t="shared" si="117"/>
        <v>0.475920679886686</v>
      </c>
      <c r="K791" s="687">
        <f t="shared" si="118"/>
        <v>2.0625</v>
      </c>
      <c r="L791" s="1025">
        <f t="shared" si="111"/>
        <v>981.586402266289</v>
      </c>
      <c r="M791" s="702">
        <f t="shared" si="112"/>
        <v>28.2770562770563</v>
      </c>
      <c r="N791" s="703">
        <f t="shared" si="113"/>
        <v>0.00595238095238095</v>
      </c>
      <c r="O791" s="617">
        <f t="shared" si="114"/>
        <v>9798</v>
      </c>
      <c r="P791" s="617">
        <f t="shared" si="115"/>
        <v>346.5</v>
      </c>
      <c r="Q791" s="724">
        <f t="shared" si="116"/>
        <v>7.7</v>
      </c>
    </row>
    <row r="792" spans="1:17">
      <c r="A792" s="684">
        <v>45439</v>
      </c>
      <c r="B792" s="685">
        <v>339.76</v>
      </c>
      <c r="C792" s="686">
        <v>346</v>
      </c>
      <c r="D792" s="686">
        <v>155</v>
      </c>
      <c r="E792" s="686">
        <v>0</v>
      </c>
      <c r="F792" s="685">
        <v>0</v>
      </c>
      <c r="G792" s="686">
        <v>40</v>
      </c>
      <c r="H792" s="686">
        <v>1</v>
      </c>
      <c r="I792" s="686">
        <v>22</v>
      </c>
      <c r="J792" s="527">
        <f t="shared" si="117"/>
        <v>0.447976878612717</v>
      </c>
      <c r="K792" s="687">
        <f t="shared" si="118"/>
        <v>2.192</v>
      </c>
      <c r="L792" s="1025">
        <f t="shared" ref="L792:L801" si="119">B792/C792*1000</f>
        <v>981.965317919075</v>
      </c>
      <c r="M792" s="702">
        <f t="shared" ref="M792:M801" si="120">F792/B792</f>
        <v>0</v>
      </c>
      <c r="N792" s="703">
        <f t="shared" ref="N792:N801" si="121">E792/D792</f>
        <v>0</v>
      </c>
      <c r="O792" s="617">
        <f t="shared" ref="O792:O801" si="122">IF(E792=0,0,F792/E792)</f>
        <v>0</v>
      </c>
      <c r="P792" s="617">
        <f t="shared" ref="P792:P801" si="123">IF(E792=0,0,B792/E792)</f>
        <v>0</v>
      </c>
      <c r="Q792" s="724">
        <f t="shared" ref="Q792:Q801" si="124">B792/G792</f>
        <v>8.494</v>
      </c>
    </row>
    <row r="793" spans="1:17">
      <c r="A793" s="684">
        <v>45440</v>
      </c>
      <c r="B793" s="685">
        <v>478.45</v>
      </c>
      <c r="C793" s="686">
        <v>417</v>
      </c>
      <c r="D793" s="686">
        <v>204</v>
      </c>
      <c r="E793" s="686">
        <v>2</v>
      </c>
      <c r="F793" s="685">
        <v>13596</v>
      </c>
      <c r="G793" s="686">
        <v>64</v>
      </c>
      <c r="H793" s="686">
        <v>3</v>
      </c>
      <c r="I793" s="686">
        <v>17</v>
      </c>
      <c r="J793" s="527">
        <f t="shared" si="117"/>
        <v>0.489208633093525</v>
      </c>
      <c r="K793" s="687">
        <f t="shared" si="118"/>
        <v>2.3453431372549</v>
      </c>
      <c r="L793" s="1025">
        <f t="shared" si="119"/>
        <v>1147.36211031175</v>
      </c>
      <c r="M793" s="702">
        <f t="shared" si="120"/>
        <v>28.4167624621173</v>
      </c>
      <c r="N793" s="703">
        <f t="shared" si="121"/>
        <v>0.00980392156862745</v>
      </c>
      <c r="O793" s="617">
        <f t="shared" si="122"/>
        <v>6798</v>
      </c>
      <c r="P793" s="617">
        <f t="shared" si="123"/>
        <v>239.225</v>
      </c>
      <c r="Q793" s="724">
        <f t="shared" si="124"/>
        <v>7.47578125</v>
      </c>
    </row>
    <row r="794" spans="1:17">
      <c r="A794" s="684">
        <v>45441</v>
      </c>
      <c r="B794" s="685">
        <v>357.39</v>
      </c>
      <c r="C794" s="686">
        <v>356</v>
      </c>
      <c r="D794" s="686">
        <v>166</v>
      </c>
      <c r="E794" s="686">
        <v>0</v>
      </c>
      <c r="F794" s="685">
        <v>0</v>
      </c>
      <c r="G794" s="686">
        <v>36</v>
      </c>
      <c r="H794" s="686">
        <v>5</v>
      </c>
      <c r="I794" s="686">
        <v>4</v>
      </c>
      <c r="J794" s="527">
        <f t="shared" si="117"/>
        <v>0.466292134831461</v>
      </c>
      <c r="K794" s="687">
        <f t="shared" si="118"/>
        <v>2.15295180722892</v>
      </c>
      <c r="L794" s="1025">
        <f t="shared" si="119"/>
        <v>1003.90449438202</v>
      </c>
      <c r="M794" s="702">
        <f t="shared" si="120"/>
        <v>0</v>
      </c>
      <c r="N794" s="703">
        <f t="shared" si="121"/>
        <v>0</v>
      </c>
      <c r="O794" s="617">
        <f t="shared" si="122"/>
        <v>0</v>
      </c>
      <c r="P794" s="617">
        <f t="shared" si="123"/>
        <v>0</v>
      </c>
      <c r="Q794" s="724">
        <f t="shared" si="124"/>
        <v>9.9275</v>
      </c>
    </row>
    <row r="795" spans="1:17">
      <c r="A795" s="684">
        <v>45442</v>
      </c>
      <c r="B795" s="685">
        <v>391.47</v>
      </c>
      <c r="C795" s="686">
        <v>355</v>
      </c>
      <c r="D795" s="686">
        <v>157</v>
      </c>
      <c r="E795" s="686">
        <v>1</v>
      </c>
      <c r="F795" s="685">
        <v>11997</v>
      </c>
      <c r="G795" s="686">
        <v>36</v>
      </c>
      <c r="H795" s="686">
        <v>5</v>
      </c>
      <c r="I795" s="686">
        <v>9</v>
      </c>
      <c r="J795" s="527">
        <f t="shared" si="117"/>
        <v>0.442253521126761</v>
      </c>
      <c r="K795" s="687">
        <f t="shared" si="118"/>
        <v>2.49343949044586</v>
      </c>
      <c r="L795" s="1025">
        <f t="shared" si="119"/>
        <v>1102.7323943662</v>
      </c>
      <c r="M795" s="702">
        <f t="shared" si="120"/>
        <v>30.6460265154418</v>
      </c>
      <c r="N795" s="703">
        <f t="shared" si="121"/>
        <v>0.00636942675159236</v>
      </c>
      <c r="O795" s="617">
        <f t="shared" si="122"/>
        <v>11997</v>
      </c>
      <c r="P795" s="617">
        <f t="shared" si="123"/>
        <v>391.47</v>
      </c>
      <c r="Q795" s="724">
        <f t="shared" si="124"/>
        <v>10.8741666666667</v>
      </c>
    </row>
    <row r="796" spans="1:17">
      <c r="A796" s="684">
        <v>45443</v>
      </c>
      <c r="B796" s="685">
        <v>349.84</v>
      </c>
      <c r="C796" s="686">
        <v>331</v>
      </c>
      <c r="D796" s="686">
        <v>129</v>
      </c>
      <c r="E796" s="686">
        <v>3</v>
      </c>
      <c r="F796" s="685">
        <v>29786</v>
      </c>
      <c r="G796" s="686">
        <v>64</v>
      </c>
      <c r="H796" s="686">
        <v>3</v>
      </c>
      <c r="I796" s="686">
        <v>8</v>
      </c>
      <c r="J796" s="527">
        <f t="shared" si="117"/>
        <v>0.389728096676737</v>
      </c>
      <c r="K796" s="687">
        <f t="shared" si="118"/>
        <v>2.71193798449612</v>
      </c>
      <c r="L796" s="1025">
        <f t="shared" si="119"/>
        <v>1056.91842900302</v>
      </c>
      <c r="M796" s="702">
        <f t="shared" si="120"/>
        <v>85.1417790990167</v>
      </c>
      <c r="N796" s="703">
        <f t="shared" si="121"/>
        <v>0.0232558139534884</v>
      </c>
      <c r="O796" s="617">
        <f t="shared" si="122"/>
        <v>9928.66666666667</v>
      </c>
      <c r="P796" s="617">
        <f t="shared" si="123"/>
        <v>116.613333333333</v>
      </c>
      <c r="Q796" s="724">
        <f t="shared" si="124"/>
        <v>5.46625</v>
      </c>
    </row>
    <row r="797" spans="1:17">
      <c r="A797" s="684">
        <v>45444</v>
      </c>
      <c r="B797" s="685">
        <v>371.33</v>
      </c>
      <c r="C797" s="686">
        <v>332</v>
      </c>
      <c r="D797" s="686">
        <v>155</v>
      </c>
      <c r="E797" s="686">
        <v>2</v>
      </c>
      <c r="F797" s="685">
        <v>21795</v>
      </c>
      <c r="G797" s="686">
        <v>48</v>
      </c>
      <c r="H797" s="686">
        <v>2</v>
      </c>
      <c r="I797" s="686">
        <v>13</v>
      </c>
      <c r="J797" s="527">
        <f t="shared" si="117"/>
        <v>0.466867469879518</v>
      </c>
      <c r="K797" s="687">
        <f t="shared" si="118"/>
        <v>2.39567741935484</v>
      </c>
      <c r="L797" s="1025">
        <f t="shared" si="119"/>
        <v>1118.46385542169</v>
      </c>
      <c r="M797" s="702">
        <f t="shared" si="120"/>
        <v>58.6944227506531</v>
      </c>
      <c r="N797" s="703">
        <f t="shared" si="121"/>
        <v>0.0129032258064516</v>
      </c>
      <c r="O797" s="617">
        <f t="shared" si="122"/>
        <v>10897.5</v>
      </c>
      <c r="P797" s="617">
        <f t="shared" si="123"/>
        <v>185.665</v>
      </c>
      <c r="Q797" s="724">
        <f t="shared" si="124"/>
        <v>7.73604166666667</v>
      </c>
    </row>
    <row r="798" spans="1:17">
      <c r="A798" s="684">
        <v>45445</v>
      </c>
      <c r="B798" s="685">
        <v>434.43</v>
      </c>
      <c r="C798" s="686">
        <v>432</v>
      </c>
      <c r="D798" s="686">
        <v>237</v>
      </c>
      <c r="E798" s="686">
        <v>4</v>
      </c>
      <c r="F798" s="685">
        <v>59913</v>
      </c>
      <c r="G798" s="686">
        <v>44</v>
      </c>
      <c r="H798" s="686">
        <v>8</v>
      </c>
      <c r="I798" s="686">
        <v>17</v>
      </c>
      <c r="J798" s="527">
        <f t="shared" si="117"/>
        <v>0.548611111111111</v>
      </c>
      <c r="K798" s="687">
        <f t="shared" si="118"/>
        <v>1.83303797468354</v>
      </c>
      <c r="L798" s="1025">
        <f t="shared" si="119"/>
        <v>1005.625</v>
      </c>
      <c r="M798" s="702">
        <f t="shared" si="120"/>
        <v>137.911746426352</v>
      </c>
      <c r="N798" s="703">
        <f t="shared" si="121"/>
        <v>0.0168776371308017</v>
      </c>
      <c r="O798" s="617">
        <f t="shared" si="122"/>
        <v>14978.25</v>
      </c>
      <c r="P798" s="617">
        <f t="shared" si="123"/>
        <v>108.6075</v>
      </c>
      <c r="Q798" s="724">
        <f t="shared" si="124"/>
        <v>9.87340909090909</v>
      </c>
    </row>
    <row r="799" spans="1:17">
      <c r="A799" s="684">
        <v>45446</v>
      </c>
      <c r="B799" s="685">
        <v>469</v>
      </c>
      <c r="C799" s="686">
        <v>414</v>
      </c>
      <c r="D799" s="686">
        <v>207</v>
      </c>
      <c r="E799" s="686">
        <v>8</v>
      </c>
      <c r="F799" s="685">
        <v>125760</v>
      </c>
      <c r="G799" s="686">
        <v>70</v>
      </c>
      <c r="H799" s="686">
        <v>8</v>
      </c>
      <c r="I799" s="686">
        <v>13</v>
      </c>
      <c r="J799" s="527">
        <f t="shared" si="117"/>
        <v>0.5</v>
      </c>
      <c r="K799" s="687">
        <f t="shared" si="118"/>
        <v>2.26570048309179</v>
      </c>
      <c r="L799" s="1025">
        <f t="shared" si="119"/>
        <v>1132.85024154589</v>
      </c>
      <c r="M799" s="702">
        <f t="shared" si="120"/>
        <v>268.144989339019</v>
      </c>
      <c r="N799" s="703">
        <f t="shared" si="121"/>
        <v>0.0386473429951691</v>
      </c>
      <c r="O799" s="617">
        <f t="shared" si="122"/>
        <v>15720</v>
      </c>
      <c r="P799" s="617">
        <f t="shared" si="123"/>
        <v>58.625</v>
      </c>
      <c r="Q799" s="724">
        <f t="shared" si="124"/>
        <v>6.7</v>
      </c>
    </row>
    <row r="800" spans="1:17">
      <c r="A800" s="684">
        <v>45447</v>
      </c>
      <c r="B800" s="685">
        <v>376.43</v>
      </c>
      <c r="C800" s="686">
        <v>335</v>
      </c>
      <c r="D800" s="686">
        <v>164</v>
      </c>
      <c r="E800" s="686">
        <v>7</v>
      </c>
      <c r="F800" s="685">
        <v>81473</v>
      </c>
      <c r="G800" s="686">
        <v>41</v>
      </c>
      <c r="H800" s="686">
        <v>2</v>
      </c>
      <c r="I800" s="686">
        <v>10</v>
      </c>
      <c r="J800" s="527">
        <f t="shared" si="117"/>
        <v>0.48955223880597</v>
      </c>
      <c r="K800" s="687">
        <f t="shared" si="118"/>
        <v>2.29530487804878</v>
      </c>
      <c r="L800" s="1025">
        <f t="shared" si="119"/>
        <v>1123.67164179104</v>
      </c>
      <c r="M800" s="702">
        <f t="shared" si="120"/>
        <v>216.435990755253</v>
      </c>
      <c r="N800" s="703">
        <f t="shared" si="121"/>
        <v>0.0426829268292683</v>
      </c>
      <c r="O800" s="617">
        <f t="shared" si="122"/>
        <v>11639</v>
      </c>
      <c r="P800" s="617">
        <f t="shared" si="123"/>
        <v>53.7757142857143</v>
      </c>
      <c r="Q800" s="724">
        <f t="shared" si="124"/>
        <v>9.18121951219512</v>
      </c>
    </row>
    <row r="801" spans="1:17">
      <c r="A801" s="684">
        <v>45448</v>
      </c>
      <c r="B801" s="685">
        <v>491.94</v>
      </c>
      <c r="C801" s="686">
        <v>447</v>
      </c>
      <c r="D801" s="686">
        <v>230</v>
      </c>
      <c r="E801" s="686">
        <v>3</v>
      </c>
      <c r="F801" s="685">
        <v>21117</v>
      </c>
      <c r="G801" s="686">
        <v>62</v>
      </c>
      <c r="H801" s="686">
        <v>6</v>
      </c>
      <c r="I801" s="686">
        <v>16</v>
      </c>
      <c r="J801" s="527">
        <f t="shared" si="117"/>
        <v>0.514541387024608</v>
      </c>
      <c r="K801" s="687">
        <f t="shared" si="118"/>
        <v>2.13886956521739</v>
      </c>
      <c r="L801" s="1025">
        <f t="shared" si="119"/>
        <v>1100.53691275168</v>
      </c>
      <c r="M801" s="702">
        <f t="shared" si="120"/>
        <v>42.9259665812904</v>
      </c>
      <c r="N801" s="703">
        <f t="shared" si="121"/>
        <v>0.0130434782608696</v>
      </c>
      <c r="O801" s="617">
        <f t="shared" si="122"/>
        <v>7039</v>
      </c>
      <c r="P801" s="617">
        <f t="shared" si="123"/>
        <v>163.98</v>
      </c>
      <c r="Q801" s="724">
        <f t="shared" si="124"/>
        <v>7.93451612903226</v>
      </c>
    </row>
    <row r="802" spans="1:17">
      <c r="A802" s="684">
        <v>45449</v>
      </c>
      <c r="B802" s="685">
        <v>345.45</v>
      </c>
      <c r="C802" s="686">
        <v>340</v>
      </c>
      <c r="D802" s="686">
        <v>197</v>
      </c>
      <c r="E802" s="686">
        <v>2</v>
      </c>
      <c r="F802" s="685">
        <v>18740</v>
      </c>
      <c r="G802" s="686">
        <v>48</v>
      </c>
      <c r="H802" s="686">
        <v>3</v>
      </c>
      <c r="I802" s="686">
        <v>11</v>
      </c>
      <c r="J802" s="527">
        <f t="shared" si="117"/>
        <v>0.579411764705882</v>
      </c>
      <c r="K802" s="687">
        <f t="shared" si="118"/>
        <v>1.75355329949239</v>
      </c>
      <c r="L802" s="1025">
        <f t="shared" ref="L802:L826" si="125">B802/C802*1000</f>
        <v>1016.02941176471</v>
      </c>
      <c r="M802" s="702">
        <f t="shared" ref="M802:M826" si="126">F802/B802</f>
        <v>54.2480822116081</v>
      </c>
      <c r="N802" s="703">
        <f t="shared" ref="N802:N826" si="127">E802/D802</f>
        <v>0.0101522842639594</v>
      </c>
      <c r="O802" s="617">
        <f t="shared" ref="O802:O826" si="128">IF(E802=0,0,F802/E802)</f>
        <v>9370</v>
      </c>
      <c r="P802" s="617">
        <f t="shared" ref="P802:P826" si="129">IF(E802=0,0,B802/E802)</f>
        <v>172.725</v>
      </c>
      <c r="Q802" s="724">
        <f t="shared" ref="Q802:Q826" si="130">B802/G802</f>
        <v>7.196875</v>
      </c>
    </row>
    <row r="803" spans="1:17">
      <c r="A803" s="684">
        <v>45450</v>
      </c>
      <c r="B803" s="685">
        <v>366.95</v>
      </c>
      <c r="C803" s="686">
        <v>334</v>
      </c>
      <c r="D803" s="686">
        <v>148</v>
      </c>
      <c r="E803" s="686">
        <v>3</v>
      </c>
      <c r="F803" s="685">
        <v>28593</v>
      </c>
      <c r="G803" s="686">
        <v>44</v>
      </c>
      <c r="H803" s="686">
        <v>9</v>
      </c>
      <c r="I803" s="686">
        <v>2</v>
      </c>
      <c r="J803" s="527">
        <f t="shared" si="117"/>
        <v>0.44311377245509</v>
      </c>
      <c r="K803" s="687">
        <f t="shared" si="118"/>
        <v>2.47939189189189</v>
      </c>
      <c r="L803" s="1025">
        <f t="shared" si="125"/>
        <v>1098.65269461078</v>
      </c>
      <c r="M803" s="702">
        <f t="shared" si="126"/>
        <v>77.9206976427306</v>
      </c>
      <c r="N803" s="703">
        <f t="shared" si="127"/>
        <v>0.0202702702702703</v>
      </c>
      <c r="O803" s="617">
        <f t="shared" si="128"/>
        <v>9531</v>
      </c>
      <c r="P803" s="617">
        <f t="shared" si="129"/>
        <v>122.316666666667</v>
      </c>
      <c r="Q803" s="724">
        <f t="shared" si="130"/>
        <v>8.33977272727273</v>
      </c>
    </row>
    <row r="804" spans="1:17">
      <c r="A804" s="684">
        <v>45451</v>
      </c>
      <c r="B804" s="685">
        <v>386.42</v>
      </c>
      <c r="C804" s="686">
        <v>350</v>
      </c>
      <c r="D804" s="686">
        <v>150</v>
      </c>
      <c r="E804" s="686">
        <v>6</v>
      </c>
      <c r="F804" s="685">
        <v>118875</v>
      </c>
      <c r="G804" s="686">
        <v>41</v>
      </c>
      <c r="H804" s="686">
        <v>3</v>
      </c>
      <c r="I804" s="686">
        <v>6</v>
      </c>
      <c r="J804" s="527">
        <f t="shared" si="117"/>
        <v>0.428571428571429</v>
      </c>
      <c r="K804" s="687">
        <f t="shared" si="118"/>
        <v>2.57613333333333</v>
      </c>
      <c r="L804" s="1025">
        <f t="shared" si="125"/>
        <v>1104.05714285714</v>
      </c>
      <c r="M804" s="702">
        <f t="shared" si="126"/>
        <v>307.631592567672</v>
      </c>
      <c r="N804" s="703">
        <f t="shared" si="127"/>
        <v>0.04</v>
      </c>
      <c r="O804" s="617">
        <f t="shared" si="128"/>
        <v>19812.5</v>
      </c>
      <c r="P804" s="617">
        <f t="shared" si="129"/>
        <v>64.4033333333333</v>
      </c>
      <c r="Q804" s="724">
        <f t="shared" si="130"/>
        <v>9.42487804878049</v>
      </c>
    </row>
    <row r="805" spans="1:17">
      <c r="A805" s="684">
        <v>45452</v>
      </c>
      <c r="B805" s="685">
        <v>339.12</v>
      </c>
      <c r="C805" s="686">
        <v>328</v>
      </c>
      <c r="D805" s="686">
        <v>140</v>
      </c>
      <c r="E805" s="686">
        <v>8</v>
      </c>
      <c r="F805" s="685">
        <v>120490</v>
      </c>
      <c r="G805" s="686">
        <v>53</v>
      </c>
      <c r="H805" s="686">
        <v>2</v>
      </c>
      <c r="I805" s="686">
        <v>6</v>
      </c>
      <c r="J805" s="527">
        <f t="shared" si="117"/>
        <v>0.426829268292683</v>
      </c>
      <c r="K805" s="687">
        <f t="shared" si="118"/>
        <v>2.42228571428571</v>
      </c>
      <c r="L805" s="1025">
        <f t="shared" si="125"/>
        <v>1033.90243902439</v>
      </c>
      <c r="M805" s="702">
        <f t="shared" si="126"/>
        <v>355.301958008964</v>
      </c>
      <c r="N805" s="703">
        <f t="shared" si="127"/>
        <v>0.0571428571428571</v>
      </c>
      <c r="O805" s="617">
        <f t="shared" si="128"/>
        <v>15061.25</v>
      </c>
      <c r="P805" s="617">
        <f t="shared" si="129"/>
        <v>42.39</v>
      </c>
      <c r="Q805" s="724">
        <f t="shared" si="130"/>
        <v>6.39849056603774</v>
      </c>
    </row>
    <row r="806" spans="1:17">
      <c r="A806" s="684">
        <v>45453</v>
      </c>
      <c r="B806" s="685">
        <v>350.56</v>
      </c>
      <c r="C806" s="686">
        <v>331</v>
      </c>
      <c r="D806" s="686">
        <v>157</v>
      </c>
      <c r="E806" s="686">
        <v>3</v>
      </c>
      <c r="F806" s="685">
        <v>26394</v>
      </c>
      <c r="G806" s="686">
        <v>45</v>
      </c>
      <c r="H806" s="686">
        <v>4</v>
      </c>
      <c r="I806" s="686">
        <v>7</v>
      </c>
      <c r="J806" s="527">
        <f t="shared" si="117"/>
        <v>0.474320241691843</v>
      </c>
      <c r="K806" s="687">
        <f t="shared" si="118"/>
        <v>2.23286624203822</v>
      </c>
      <c r="L806" s="1025">
        <f t="shared" si="125"/>
        <v>1059.09365558912</v>
      </c>
      <c r="M806" s="702">
        <f t="shared" si="126"/>
        <v>75.2909630305796</v>
      </c>
      <c r="N806" s="703">
        <f t="shared" si="127"/>
        <v>0.0191082802547771</v>
      </c>
      <c r="O806" s="617">
        <f t="shared" si="128"/>
        <v>8798</v>
      </c>
      <c r="P806" s="617">
        <f t="shared" si="129"/>
        <v>116.853333333333</v>
      </c>
      <c r="Q806" s="724">
        <f t="shared" si="130"/>
        <v>7.79022222222222</v>
      </c>
    </row>
    <row r="807" spans="1:17">
      <c r="A807" s="684">
        <v>45454</v>
      </c>
      <c r="B807" s="685">
        <v>389.17</v>
      </c>
      <c r="C807" s="686">
        <v>390</v>
      </c>
      <c r="D807" s="686">
        <v>184</v>
      </c>
      <c r="E807" s="686">
        <v>3</v>
      </c>
      <c r="F807" s="685">
        <v>44146</v>
      </c>
      <c r="G807" s="686">
        <v>65</v>
      </c>
      <c r="H807" s="686">
        <v>9</v>
      </c>
      <c r="I807" s="686">
        <v>15</v>
      </c>
      <c r="J807" s="527">
        <f t="shared" si="117"/>
        <v>0.471794871794872</v>
      </c>
      <c r="K807" s="687">
        <f t="shared" si="118"/>
        <v>2.11505434782609</v>
      </c>
      <c r="L807" s="1025">
        <f t="shared" si="125"/>
        <v>997.871794871795</v>
      </c>
      <c r="M807" s="702">
        <f t="shared" si="126"/>
        <v>113.436287483619</v>
      </c>
      <c r="N807" s="703">
        <f t="shared" si="127"/>
        <v>0.016304347826087</v>
      </c>
      <c r="O807" s="617">
        <f t="shared" si="128"/>
        <v>14715.3333333333</v>
      </c>
      <c r="P807" s="617">
        <f t="shared" si="129"/>
        <v>129.723333333333</v>
      </c>
      <c r="Q807" s="724">
        <f t="shared" si="130"/>
        <v>5.98723076923077</v>
      </c>
    </row>
    <row r="808" spans="1:17">
      <c r="A808" s="684">
        <v>45455</v>
      </c>
      <c r="B808" s="685">
        <v>416.28</v>
      </c>
      <c r="C808" s="686">
        <v>393</v>
      </c>
      <c r="D808" s="686">
        <v>204</v>
      </c>
      <c r="E808" s="686">
        <v>1</v>
      </c>
      <c r="F808" s="685">
        <v>11997</v>
      </c>
      <c r="G808" s="686">
        <v>33</v>
      </c>
      <c r="H808" s="686">
        <v>4</v>
      </c>
      <c r="I808" s="686">
        <v>18</v>
      </c>
      <c r="J808" s="527">
        <f t="shared" si="117"/>
        <v>0.519083969465649</v>
      </c>
      <c r="K808" s="687">
        <f t="shared" si="118"/>
        <v>2.04058823529412</v>
      </c>
      <c r="L808" s="1025">
        <f t="shared" si="125"/>
        <v>1059.23664122137</v>
      </c>
      <c r="M808" s="702">
        <f t="shared" si="126"/>
        <v>28.8195445373306</v>
      </c>
      <c r="N808" s="703">
        <f t="shared" si="127"/>
        <v>0.00490196078431373</v>
      </c>
      <c r="O808" s="617">
        <f t="shared" si="128"/>
        <v>11997</v>
      </c>
      <c r="P808" s="617">
        <f t="shared" si="129"/>
        <v>416.28</v>
      </c>
      <c r="Q808" s="724">
        <f t="shared" si="130"/>
        <v>12.6145454545455</v>
      </c>
    </row>
    <row r="809" spans="1:17">
      <c r="A809" s="684">
        <v>45456</v>
      </c>
      <c r="B809" s="685">
        <v>379.16</v>
      </c>
      <c r="C809" s="686">
        <v>354</v>
      </c>
      <c r="D809" s="686">
        <v>162</v>
      </c>
      <c r="E809" s="686">
        <v>4</v>
      </c>
      <c r="F809" s="685">
        <v>61719</v>
      </c>
      <c r="G809" s="686">
        <v>51</v>
      </c>
      <c r="H809" s="686">
        <v>7</v>
      </c>
      <c r="I809" s="686">
        <v>7</v>
      </c>
      <c r="J809" s="527">
        <f t="shared" si="117"/>
        <v>0.457627118644068</v>
      </c>
      <c r="K809" s="687">
        <f t="shared" si="118"/>
        <v>2.34049382716049</v>
      </c>
      <c r="L809" s="1025">
        <f t="shared" si="125"/>
        <v>1071.07344632768</v>
      </c>
      <c r="M809" s="702">
        <f t="shared" si="126"/>
        <v>162.778246650491</v>
      </c>
      <c r="N809" s="703">
        <f t="shared" si="127"/>
        <v>0.0246913580246914</v>
      </c>
      <c r="O809" s="617">
        <f t="shared" si="128"/>
        <v>15429.75</v>
      </c>
      <c r="P809" s="617">
        <f t="shared" si="129"/>
        <v>94.79</v>
      </c>
      <c r="Q809" s="724">
        <f t="shared" si="130"/>
        <v>7.43450980392157</v>
      </c>
    </row>
    <row r="810" spans="1:17">
      <c r="A810" s="684">
        <v>45457</v>
      </c>
      <c r="B810" s="685">
        <v>455.76</v>
      </c>
      <c r="C810" s="686">
        <v>439</v>
      </c>
      <c r="D810" s="686">
        <v>167</v>
      </c>
      <c r="E810" s="686">
        <v>1</v>
      </c>
      <c r="F810" s="685">
        <v>12214</v>
      </c>
      <c r="G810" s="686">
        <v>29</v>
      </c>
      <c r="H810" s="686">
        <v>3</v>
      </c>
      <c r="I810" s="686">
        <v>7</v>
      </c>
      <c r="J810" s="527">
        <f t="shared" si="117"/>
        <v>0.380410022779043</v>
      </c>
      <c r="K810" s="687">
        <f t="shared" si="118"/>
        <v>2.72910179640719</v>
      </c>
      <c r="L810" s="1025">
        <f t="shared" si="125"/>
        <v>1038.17767653759</v>
      </c>
      <c r="M810" s="702">
        <f t="shared" si="126"/>
        <v>26.7991925574864</v>
      </c>
      <c r="N810" s="703">
        <f t="shared" si="127"/>
        <v>0.00598802395209581</v>
      </c>
      <c r="O810" s="617">
        <f t="shared" si="128"/>
        <v>12214</v>
      </c>
      <c r="P810" s="617">
        <f t="shared" si="129"/>
        <v>455.76</v>
      </c>
      <c r="Q810" s="724">
        <f t="shared" si="130"/>
        <v>15.7158620689655</v>
      </c>
    </row>
    <row r="811" spans="1:17">
      <c r="A811" s="684">
        <v>45458</v>
      </c>
      <c r="B811" s="685">
        <v>342.6</v>
      </c>
      <c r="C811" s="686">
        <v>302</v>
      </c>
      <c r="D811" s="686">
        <v>130</v>
      </c>
      <c r="E811" s="686">
        <v>5</v>
      </c>
      <c r="F811" s="685">
        <v>84973</v>
      </c>
      <c r="G811" s="686">
        <v>41</v>
      </c>
      <c r="H811" s="686">
        <v>2</v>
      </c>
      <c r="I811" s="686">
        <v>14</v>
      </c>
      <c r="J811" s="527">
        <f t="shared" si="117"/>
        <v>0.43046357615894</v>
      </c>
      <c r="K811" s="687">
        <f t="shared" si="118"/>
        <v>2.63538461538462</v>
      </c>
      <c r="L811" s="1025">
        <f t="shared" si="125"/>
        <v>1134.43708609272</v>
      </c>
      <c r="M811" s="702">
        <f t="shared" si="126"/>
        <v>248.02393461763</v>
      </c>
      <c r="N811" s="703">
        <f t="shared" si="127"/>
        <v>0.0384615384615385</v>
      </c>
      <c r="O811" s="617">
        <f t="shared" si="128"/>
        <v>16994.6</v>
      </c>
      <c r="P811" s="617">
        <f t="shared" si="129"/>
        <v>68.52</v>
      </c>
      <c r="Q811" s="724">
        <f t="shared" si="130"/>
        <v>8.35609756097561</v>
      </c>
    </row>
    <row r="812" spans="1:17">
      <c r="A812" s="684">
        <v>45459</v>
      </c>
      <c r="B812" s="685">
        <v>373.84</v>
      </c>
      <c r="C812" s="686">
        <v>337</v>
      </c>
      <c r="D812" s="686">
        <v>126</v>
      </c>
      <c r="E812" s="686">
        <v>2</v>
      </c>
      <c r="F812" s="685">
        <v>13596</v>
      </c>
      <c r="G812" s="686">
        <v>17</v>
      </c>
      <c r="H812" s="686">
        <v>2</v>
      </c>
      <c r="I812" s="686">
        <v>10</v>
      </c>
      <c r="J812" s="527">
        <f t="shared" si="117"/>
        <v>0.373887240356083</v>
      </c>
      <c r="K812" s="687">
        <f t="shared" si="118"/>
        <v>2.96698412698413</v>
      </c>
      <c r="L812" s="1025">
        <f t="shared" si="125"/>
        <v>1109.3175074184</v>
      </c>
      <c r="M812" s="702">
        <f t="shared" si="126"/>
        <v>36.3684998930024</v>
      </c>
      <c r="N812" s="703">
        <f t="shared" si="127"/>
        <v>0.0158730158730159</v>
      </c>
      <c r="O812" s="617">
        <f t="shared" si="128"/>
        <v>6798</v>
      </c>
      <c r="P812" s="617">
        <f t="shared" si="129"/>
        <v>186.92</v>
      </c>
      <c r="Q812" s="724">
        <f t="shared" si="130"/>
        <v>21.9905882352941</v>
      </c>
    </row>
    <row r="813" spans="1:17">
      <c r="A813" s="684">
        <v>45460</v>
      </c>
      <c r="B813" s="685">
        <v>493.07</v>
      </c>
      <c r="C813" s="686">
        <v>432</v>
      </c>
      <c r="D813" s="686">
        <v>176</v>
      </c>
      <c r="E813" s="686">
        <v>5</v>
      </c>
      <c r="F813" s="685">
        <v>51077</v>
      </c>
      <c r="G813" s="686">
        <v>47</v>
      </c>
      <c r="H813" s="686">
        <v>1</v>
      </c>
      <c r="I813" s="686">
        <v>18</v>
      </c>
      <c r="J813" s="527">
        <f t="shared" si="117"/>
        <v>0.407407407407407</v>
      </c>
      <c r="K813" s="687">
        <f t="shared" si="118"/>
        <v>2.80153409090909</v>
      </c>
      <c r="L813" s="1025">
        <f t="shared" si="125"/>
        <v>1141.36574074074</v>
      </c>
      <c r="M813" s="702">
        <f t="shared" si="126"/>
        <v>103.589753990306</v>
      </c>
      <c r="N813" s="703">
        <f t="shared" si="127"/>
        <v>0.0284090909090909</v>
      </c>
      <c r="O813" s="617">
        <f t="shared" si="128"/>
        <v>10215.4</v>
      </c>
      <c r="P813" s="617">
        <f t="shared" si="129"/>
        <v>98.614</v>
      </c>
      <c r="Q813" s="724">
        <f t="shared" si="130"/>
        <v>10.4908510638298</v>
      </c>
    </row>
    <row r="814" spans="1:17">
      <c r="A814" s="684">
        <v>45461</v>
      </c>
      <c r="B814" s="685">
        <v>367.29</v>
      </c>
      <c r="C814" s="686">
        <v>310</v>
      </c>
      <c r="D814" s="686">
        <v>129</v>
      </c>
      <c r="E814" s="686">
        <v>1</v>
      </c>
      <c r="F814" s="685">
        <v>11997</v>
      </c>
      <c r="G814" s="686">
        <v>43</v>
      </c>
      <c r="H814" s="686">
        <v>4</v>
      </c>
      <c r="I814" s="686">
        <v>11</v>
      </c>
      <c r="J814" s="527">
        <f t="shared" si="117"/>
        <v>0.416129032258065</v>
      </c>
      <c r="K814" s="687">
        <f t="shared" si="118"/>
        <v>2.84720930232558</v>
      </c>
      <c r="L814" s="1025">
        <f t="shared" si="125"/>
        <v>1184.8064516129</v>
      </c>
      <c r="M814" s="702">
        <f t="shared" si="126"/>
        <v>32.6635628522421</v>
      </c>
      <c r="N814" s="703">
        <f t="shared" si="127"/>
        <v>0.00775193798449612</v>
      </c>
      <c r="O814" s="617">
        <f t="shared" si="128"/>
        <v>11997</v>
      </c>
      <c r="P814" s="617">
        <f t="shared" si="129"/>
        <v>367.29</v>
      </c>
      <c r="Q814" s="724">
        <f t="shared" si="130"/>
        <v>8.54162790697674</v>
      </c>
    </row>
    <row r="815" spans="1:17">
      <c r="A815" s="684">
        <v>45462</v>
      </c>
      <c r="B815" s="685">
        <v>293.57</v>
      </c>
      <c r="C815" s="686">
        <v>252</v>
      </c>
      <c r="D815" s="686">
        <v>114</v>
      </c>
      <c r="E815" s="686">
        <v>5</v>
      </c>
      <c r="F815" s="685">
        <v>51796</v>
      </c>
      <c r="G815" s="686">
        <v>48</v>
      </c>
      <c r="H815" s="686">
        <v>2</v>
      </c>
      <c r="I815" s="686">
        <v>16</v>
      </c>
      <c r="J815" s="527">
        <f t="shared" si="117"/>
        <v>0.452380952380952</v>
      </c>
      <c r="K815" s="687">
        <f t="shared" si="118"/>
        <v>2.57517543859649</v>
      </c>
      <c r="L815" s="1025">
        <f t="shared" si="125"/>
        <v>1164.96031746032</v>
      </c>
      <c r="M815" s="702">
        <f t="shared" si="126"/>
        <v>176.434921824437</v>
      </c>
      <c r="N815" s="703">
        <f t="shared" si="127"/>
        <v>0.043859649122807</v>
      </c>
      <c r="O815" s="617">
        <f t="shared" si="128"/>
        <v>10359.2</v>
      </c>
      <c r="P815" s="617">
        <f t="shared" si="129"/>
        <v>58.714</v>
      </c>
      <c r="Q815" s="724">
        <f t="shared" si="130"/>
        <v>6.11604166666667</v>
      </c>
    </row>
    <row r="816" spans="1:17">
      <c r="A816" s="684">
        <v>45463</v>
      </c>
      <c r="B816" s="685">
        <v>360.99</v>
      </c>
      <c r="C816" s="686">
        <v>307</v>
      </c>
      <c r="D816" s="686">
        <v>126</v>
      </c>
      <c r="E816" s="686">
        <v>3</v>
      </c>
      <c r="F816" s="685">
        <v>29629</v>
      </c>
      <c r="G816" s="686">
        <v>19</v>
      </c>
      <c r="H816" s="686">
        <v>2</v>
      </c>
      <c r="I816" s="686">
        <v>8</v>
      </c>
      <c r="J816" s="527">
        <f t="shared" si="117"/>
        <v>0.41042345276873</v>
      </c>
      <c r="K816" s="687">
        <f t="shared" si="118"/>
        <v>2.865</v>
      </c>
      <c r="L816" s="1025">
        <f t="shared" si="125"/>
        <v>1175.86319218241</v>
      </c>
      <c r="M816" s="702">
        <f t="shared" si="126"/>
        <v>82.0770658466994</v>
      </c>
      <c r="N816" s="703">
        <f t="shared" si="127"/>
        <v>0.0238095238095238</v>
      </c>
      <c r="O816" s="617">
        <f t="shared" si="128"/>
        <v>9876.33333333333</v>
      </c>
      <c r="P816" s="617">
        <f t="shared" si="129"/>
        <v>120.33</v>
      </c>
      <c r="Q816" s="724">
        <f t="shared" si="130"/>
        <v>18.9994736842105</v>
      </c>
    </row>
    <row r="817" spans="1:17">
      <c r="A817" s="684">
        <v>45464</v>
      </c>
      <c r="B817" s="685">
        <v>306.23</v>
      </c>
      <c r="C817" s="686">
        <v>287</v>
      </c>
      <c r="D817" s="686">
        <v>112</v>
      </c>
      <c r="E817" s="686">
        <v>0</v>
      </c>
      <c r="F817" s="685">
        <v>0</v>
      </c>
      <c r="G817" s="686">
        <v>20</v>
      </c>
      <c r="H817" s="686">
        <v>1</v>
      </c>
      <c r="I817" s="686">
        <v>3</v>
      </c>
      <c r="J817" s="527">
        <f t="shared" si="117"/>
        <v>0.390243902439024</v>
      </c>
      <c r="K817" s="687">
        <f t="shared" si="118"/>
        <v>2.73419642857143</v>
      </c>
      <c r="L817" s="1025">
        <f t="shared" si="125"/>
        <v>1067.00348432056</v>
      </c>
      <c r="M817" s="702">
        <f t="shared" si="126"/>
        <v>0</v>
      </c>
      <c r="N817" s="703">
        <f t="shared" si="127"/>
        <v>0</v>
      </c>
      <c r="O817" s="617">
        <f t="shared" si="128"/>
        <v>0</v>
      </c>
      <c r="P817" s="617">
        <f t="shared" si="129"/>
        <v>0</v>
      </c>
      <c r="Q817" s="724">
        <f t="shared" si="130"/>
        <v>15.3115</v>
      </c>
    </row>
    <row r="818" spans="1:17">
      <c r="A818" s="684">
        <v>45465</v>
      </c>
      <c r="B818" s="685">
        <v>278.6</v>
      </c>
      <c r="C818" s="686">
        <v>261</v>
      </c>
      <c r="D818" s="686">
        <v>108</v>
      </c>
      <c r="E818" s="686">
        <v>5</v>
      </c>
      <c r="F818" s="685">
        <v>85312</v>
      </c>
      <c r="G818" s="686">
        <v>30</v>
      </c>
      <c r="H818" s="686">
        <v>4</v>
      </c>
      <c r="I818" s="686">
        <v>4</v>
      </c>
      <c r="J818" s="527">
        <f t="shared" si="117"/>
        <v>0.413793103448276</v>
      </c>
      <c r="K818" s="687">
        <f t="shared" si="118"/>
        <v>2.57962962962963</v>
      </c>
      <c r="L818" s="1025">
        <f t="shared" si="125"/>
        <v>1067.43295019157</v>
      </c>
      <c r="M818" s="702">
        <f t="shared" si="126"/>
        <v>306.2167982771</v>
      </c>
      <c r="N818" s="703">
        <f t="shared" si="127"/>
        <v>0.0462962962962963</v>
      </c>
      <c r="O818" s="617">
        <f t="shared" si="128"/>
        <v>17062.4</v>
      </c>
      <c r="P818" s="617">
        <f t="shared" si="129"/>
        <v>55.72</v>
      </c>
      <c r="Q818" s="724">
        <f t="shared" si="130"/>
        <v>9.28666666666667</v>
      </c>
    </row>
    <row r="819" spans="1:17">
      <c r="A819" s="684">
        <v>45466</v>
      </c>
      <c r="B819" s="685">
        <v>394.11</v>
      </c>
      <c r="C819" s="686">
        <v>383</v>
      </c>
      <c r="D819" s="686">
        <v>186</v>
      </c>
      <c r="E819" s="686">
        <v>7</v>
      </c>
      <c r="F819" s="685">
        <v>220661</v>
      </c>
      <c r="G819" s="686">
        <v>40</v>
      </c>
      <c r="H819" s="686">
        <v>2</v>
      </c>
      <c r="I819" s="686">
        <v>12</v>
      </c>
      <c r="J819" s="527">
        <f t="shared" si="117"/>
        <v>0.485639686684073</v>
      </c>
      <c r="K819" s="687">
        <f t="shared" si="118"/>
        <v>2.11887096774194</v>
      </c>
      <c r="L819" s="1025">
        <f t="shared" si="125"/>
        <v>1029.00783289817</v>
      </c>
      <c r="M819" s="702">
        <f t="shared" si="126"/>
        <v>559.896983075791</v>
      </c>
      <c r="N819" s="703">
        <f t="shared" si="127"/>
        <v>0.0376344086021505</v>
      </c>
      <c r="O819" s="617">
        <f t="shared" si="128"/>
        <v>31523</v>
      </c>
      <c r="P819" s="617">
        <f t="shared" si="129"/>
        <v>56.3014285714286</v>
      </c>
      <c r="Q819" s="724">
        <f t="shared" si="130"/>
        <v>9.85275</v>
      </c>
    </row>
    <row r="820" spans="1:17">
      <c r="A820" s="801">
        <v>45467</v>
      </c>
      <c r="B820" s="685">
        <v>388.43</v>
      </c>
      <c r="C820" s="686">
        <v>378</v>
      </c>
      <c r="D820" s="686">
        <v>157</v>
      </c>
      <c r="E820" s="686">
        <v>0</v>
      </c>
      <c r="F820" s="685">
        <v>0</v>
      </c>
      <c r="G820" s="686">
        <v>31</v>
      </c>
      <c r="H820" s="686">
        <v>4</v>
      </c>
      <c r="I820" s="686">
        <v>2</v>
      </c>
      <c r="J820" s="527">
        <f t="shared" si="117"/>
        <v>0.415343915343915</v>
      </c>
      <c r="K820" s="687">
        <f t="shared" si="118"/>
        <v>2.47407643312102</v>
      </c>
      <c r="L820" s="1025">
        <f t="shared" si="125"/>
        <v>1027.59259259259</v>
      </c>
      <c r="M820" s="702">
        <f t="shared" si="126"/>
        <v>0</v>
      </c>
      <c r="N820" s="703">
        <f t="shared" si="127"/>
        <v>0</v>
      </c>
      <c r="O820" s="617">
        <f t="shared" si="128"/>
        <v>0</v>
      </c>
      <c r="P820" s="617">
        <f t="shared" si="129"/>
        <v>0</v>
      </c>
      <c r="Q820" s="724">
        <f t="shared" si="130"/>
        <v>12.53</v>
      </c>
    </row>
    <row r="821" spans="1:17">
      <c r="A821" s="801">
        <v>45468</v>
      </c>
      <c r="B821" s="685">
        <v>333.13</v>
      </c>
      <c r="C821" s="686">
        <v>324</v>
      </c>
      <c r="D821" s="686">
        <v>122</v>
      </c>
      <c r="E821" s="686">
        <v>2</v>
      </c>
      <c r="F821" s="685">
        <v>29666</v>
      </c>
      <c r="G821" s="686">
        <v>39</v>
      </c>
      <c r="H821" s="686">
        <v>2</v>
      </c>
      <c r="I821" s="686">
        <v>6</v>
      </c>
      <c r="J821" s="527">
        <f t="shared" si="117"/>
        <v>0.376543209876543</v>
      </c>
      <c r="K821" s="687">
        <f t="shared" si="118"/>
        <v>2.7305737704918</v>
      </c>
      <c r="L821" s="1025">
        <f t="shared" si="125"/>
        <v>1028.17901234568</v>
      </c>
      <c r="M821" s="702">
        <f t="shared" si="126"/>
        <v>89.052321916369</v>
      </c>
      <c r="N821" s="703">
        <f t="shared" si="127"/>
        <v>0.0163934426229508</v>
      </c>
      <c r="O821" s="617">
        <f t="shared" si="128"/>
        <v>14833</v>
      </c>
      <c r="P821" s="617">
        <f t="shared" si="129"/>
        <v>166.565</v>
      </c>
      <c r="Q821" s="724">
        <f t="shared" si="130"/>
        <v>8.54179487179487</v>
      </c>
    </row>
    <row r="822" spans="1:17">
      <c r="A822" s="801">
        <v>45469</v>
      </c>
      <c r="B822" s="685">
        <v>372.45</v>
      </c>
      <c r="C822" s="686">
        <v>359</v>
      </c>
      <c r="D822" s="686">
        <v>121</v>
      </c>
      <c r="E822" s="686">
        <v>0</v>
      </c>
      <c r="F822" s="685">
        <v>0</v>
      </c>
      <c r="G822" s="686">
        <v>27</v>
      </c>
      <c r="H822" s="686">
        <v>1</v>
      </c>
      <c r="I822" s="686">
        <v>5</v>
      </c>
      <c r="J822" s="527">
        <f t="shared" si="117"/>
        <v>0.337047353760446</v>
      </c>
      <c r="K822" s="687">
        <f t="shared" si="118"/>
        <v>3.07809917355372</v>
      </c>
      <c r="L822" s="1025">
        <f t="shared" si="125"/>
        <v>1037.4651810585</v>
      </c>
      <c r="M822" s="702">
        <f t="shared" si="126"/>
        <v>0</v>
      </c>
      <c r="N822" s="703">
        <f t="shared" si="127"/>
        <v>0</v>
      </c>
      <c r="O822" s="617">
        <f t="shared" si="128"/>
        <v>0</v>
      </c>
      <c r="P822" s="617">
        <f t="shared" si="129"/>
        <v>0</v>
      </c>
      <c r="Q822" s="724">
        <f t="shared" si="130"/>
        <v>13.7944444444444</v>
      </c>
    </row>
    <row r="823" spans="1:17">
      <c r="A823" s="801">
        <v>45470</v>
      </c>
      <c r="B823" s="685">
        <v>312.79</v>
      </c>
      <c r="C823" s="686">
        <v>307</v>
      </c>
      <c r="D823" s="686">
        <v>129</v>
      </c>
      <c r="E823" s="686">
        <v>0</v>
      </c>
      <c r="F823" s="685">
        <v>0</v>
      </c>
      <c r="G823" s="686">
        <v>28</v>
      </c>
      <c r="H823" s="686">
        <v>5</v>
      </c>
      <c r="I823" s="686">
        <v>6</v>
      </c>
      <c r="J823" s="527">
        <f t="shared" si="117"/>
        <v>0.420195439739414</v>
      </c>
      <c r="K823" s="687">
        <f t="shared" si="118"/>
        <v>2.42472868217054</v>
      </c>
      <c r="L823" s="1025">
        <f t="shared" si="125"/>
        <v>1018.85993485342</v>
      </c>
      <c r="M823" s="702">
        <f t="shared" si="126"/>
        <v>0</v>
      </c>
      <c r="N823" s="703">
        <f t="shared" si="127"/>
        <v>0</v>
      </c>
      <c r="O823" s="617">
        <f t="shared" si="128"/>
        <v>0</v>
      </c>
      <c r="P823" s="617">
        <f t="shared" si="129"/>
        <v>0</v>
      </c>
      <c r="Q823" s="724">
        <f t="shared" si="130"/>
        <v>11.1710714285714</v>
      </c>
    </row>
    <row r="824" spans="1:17">
      <c r="A824" s="801">
        <v>45471</v>
      </c>
      <c r="B824" s="685">
        <v>345.36</v>
      </c>
      <c r="C824" s="686">
        <v>312</v>
      </c>
      <c r="D824" s="686">
        <v>140</v>
      </c>
      <c r="E824" s="686">
        <v>1</v>
      </c>
      <c r="F824" s="685">
        <v>39908</v>
      </c>
      <c r="G824" s="686">
        <v>28</v>
      </c>
      <c r="H824" s="686">
        <v>2</v>
      </c>
      <c r="I824" s="686">
        <v>5</v>
      </c>
      <c r="J824" s="527">
        <f t="shared" si="117"/>
        <v>0.448717948717949</v>
      </c>
      <c r="K824" s="687">
        <f t="shared" si="118"/>
        <v>2.46685714285714</v>
      </c>
      <c r="L824" s="1025">
        <f t="shared" si="125"/>
        <v>1106.92307692308</v>
      </c>
      <c r="M824" s="702">
        <f t="shared" si="126"/>
        <v>115.554783414408</v>
      </c>
      <c r="N824" s="703">
        <f t="shared" si="127"/>
        <v>0.00714285714285714</v>
      </c>
      <c r="O824" s="617">
        <f t="shared" si="128"/>
        <v>39908</v>
      </c>
      <c r="P824" s="617">
        <f t="shared" si="129"/>
        <v>345.36</v>
      </c>
      <c r="Q824" s="724">
        <f t="shared" si="130"/>
        <v>12.3342857142857</v>
      </c>
    </row>
    <row r="825" spans="1:17">
      <c r="A825" s="801">
        <v>45472</v>
      </c>
      <c r="B825" s="685">
        <v>353.25</v>
      </c>
      <c r="C825" s="686">
        <v>321</v>
      </c>
      <c r="D825" s="686">
        <v>142</v>
      </c>
      <c r="E825" s="686">
        <v>0</v>
      </c>
      <c r="F825" s="685">
        <v>0</v>
      </c>
      <c r="G825" s="686">
        <v>32</v>
      </c>
      <c r="H825" s="686">
        <v>6</v>
      </c>
      <c r="I825" s="686">
        <v>6</v>
      </c>
      <c r="J825" s="527">
        <f t="shared" si="117"/>
        <v>0.442367601246106</v>
      </c>
      <c r="K825" s="687">
        <f t="shared" si="118"/>
        <v>2.48767605633803</v>
      </c>
      <c r="L825" s="1025">
        <f t="shared" si="125"/>
        <v>1100.46728971963</v>
      </c>
      <c r="M825" s="702">
        <f t="shared" si="126"/>
        <v>0</v>
      </c>
      <c r="N825" s="703">
        <f t="shared" si="127"/>
        <v>0</v>
      </c>
      <c r="O825" s="617">
        <f t="shared" si="128"/>
        <v>0</v>
      </c>
      <c r="P825" s="617">
        <f t="shared" si="129"/>
        <v>0</v>
      </c>
      <c r="Q825" s="724">
        <f t="shared" si="130"/>
        <v>11.0390625</v>
      </c>
    </row>
    <row r="826" spans="1:17">
      <c r="A826" s="801">
        <v>45473</v>
      </c>
      <c r="B826" s="685">
        <v>367.54</v>
      </c>
      <c r="C826" s="686">
        <v>352</v>
      </c>
      <c r="D826" s="686">
        <v>143</v>
      </c>
      <c r="E826" s="686">
        <v>3</v>
      </c>
      <c r="F826" s="685">
        <v>41206</v>
      </c>
      <c r="G826" s="686">
        <v>37</v>
      </c>
      <c r="H826" s="686">
        <v>0</v>
      </c>
      <c r="I826" s="686">
        <v>8</v>
      </c>
      <c r="J826" s="527">
        <f t="shared" si="117"/>
        <v>0.40625</v>
      </c>
      <c r="K826" s="687">
        <f t="shared" si="118"/>
        <v>2.57020979020979</v>
      </c>
      <c r="L826" s="1025">
        <f t="shared" si="125"/>
        <v>1044.14772727273</v>
      </c>
      <c r="M826" s="702">
        <f t="shared" si="126"/>
        <v>112.112967296077</v>
      </c>
      <c r="N826" s="703">
        <f t="shared" si="127"/>
        <v>0.020979020979021</v>
      </c>
      <c r="O826" s="1081">
        <f t="shared" si="128"/>
        <v>13735.3333333333</v>
      </c>
      <c r="P826" s="1081">
        <f t="shared" si="129"/>
        <v>122.513333333333</v>
      </c>
      <c r="Q826" s="724">
        <f t="shared" si="130"/>
        <v>9.93351351351351</v>
      </c>
    </row>
    <row r="827" spans="1:17">
      <c r="A827" s="801">
        <v>45474</v>
      </c>
      <c r="B827" s="685">
        <v>406.39</v>
      </c>
      <c r="C827" s="686">
        <v>409</v>
      </c>
      <c r="D827" s="686">
        <v>137</v>
      </c>
      <c r="E827" s="686">
        <v>2</v>
      </c>
      <c r="F827" s="685">
        <v>19596</v>
      </c>
      <c r="G827" s="686">
        <v>35</v>
      </c>
      <c r="H827" s="686">
        <v>2</v>
      </c>
      <c r="I827" s="686">
        <v>9</v>
      </c>
      <c r="J827" s="527">
        <f t="shared" si="117"/>
        <v>0.334963325183374</v>
      </c>
      <c r="K827" s="687">
        <f t="shared" si="118"/>
        <v>2.9663503649635</v>
      </c>
      <c r="L827" s="1025">
        <f t="shared" ref="L827:L858" si="131">B827/C827*1000</f>
        <v>993.61858190709</v>
      </c>
      <c r="M827" s="702">
        <f t="shared" ref="M827:M858" si="132">F827/B827</f>
        <v>48.2196904451389</v>
      </c>
      <c r="N827" s="703">
        <f t="shared" ref="N827:N858" si="133">E827/D827</f>
        <v>0.0145985401459854</v>
      </c>
      <c r="O827" s="1081">
        <f t="shared" ref="O827:O858" si="134">IF(E827=0,0,F827/E827)</f>
        <v>9798</v>
      </c>
      <c r="P827" s="1081">
        <f t="shared" ref="P827:P858" si="135">IF(E827=0,0,B827/E827)</f>
        <v>203.195</v>
      </c>
      <c r="Q827" s="724">
        <f t="shared" ref="Q827:Q858" si="136">B827/G827</f>
        <v>11.6111428571429</v>
      </c>
    </row>
    <row r="828" spans="1:17">
      <c r="A828" s="801">
        <v>45475</v>
      </c>
      <c r="B828" s="685">
        <v>391.43</v>
      </c>
      <c r="C828" s="686">
        <v>368</v>
      </c>
      <c r="D828" s="686">
        <v>172</v>
      </c>
      <c r="E828" s="686">
        <v>0</v>
      </c>
      <c r="F828" s="685">
        <v>0</v>
      </c>
      <c r="G828" s="686">
        <v>29</v>
      </c>
      <c r="H828" s="686">
        <v>3</v>
      </c>
      <c r="I828" s="686">
        <v>6</v>
      </c>
      <c r="J828" s="527">
        <f t="shared" si="117"/>
        <v>0.467391304347826</v>
      </c>
      <c r="K828" s="687">
        <f t="shared" si="118"/>
        <v>2.27575581395349</v>
      </c>
      <c r="L828" s="1025">
        <f t="shared" si="131"/>
        <v>1063.66847826087</v>
      </c>
      <c r="M828" s="702">
        <f t="shared" si="132"/>
        <v>0</v>
      </c>
      <c r="N828" s="703">
        <f t="shared" si="133"/>
        <v>0</v>
      </c>
      <c r="O828" s="1081">
        <f t="shared" si="134"/>
        <v>0</v>
      </c>
      <c r="P828" s="1081">
        <f t="shared" si="135"/>
        <v>0</v>
      </c>
      <c r="Q828" s="724">
        <f t="shared" si="136"/>
        <v>13.4975862068966</v>
      </c>
    </row>
    <row r="829" spans="1:17">
      <c r="A829" s="801">
        <v>45476</v>
      </c>
      <c r="B829" s="685">
        <v>392.43</v>
      </c>
      <c r="C829" s="686">
        <v>370</v>
      </c>
      <c r="D829" s="686">
        <v>181</v>
      </c>
      <c r="E829" s="686">
        <v>5</v>
      </c>
      <c r="F829" s="685">
        <v>50637</v>
      </c>
      <c r="G829" s="686">
        <v>51</v>
      </c>
      <c r="H829" s="686">
        <v>3</v>
      </c>
      <c r="I829" s="686">
        <v>8</v>
      </c>
      <c r="J829" s="527">
        <f t="shared" si="117"/>
        <v>0.489189189189189</v>
      </c>
      <c r="K829" s="687">
        <f t="shared" si="118"/>
        <v>2.16812154696133</v>
      </c>
      <c r="L829" s="1025">
        <f t="shared" si="131"/>
        <v>1060.62162162162</v>
      </c>
      <c r="M829" s="702">
        <f t="shared" si="132"/>
        <v>129.034477486431</v>
      </c>
      <c r="N829" s="703">
        <f t="shared" si="133"/>
        <v>0.0276243093922652</v>
      </c>
      <c r="O829" s="1081">
        <f t="shared" si="134"/>
        <v>10127.4</v>
      </c>
      <c r="P829" s="1081">
        <f t="shared" si="135"/>
        <v>78.486</v>
      </c>
      <c r="Q829" s="724">
        <f t="shared" si="136"/>
        <v>7.69470588235294</v>
      </c>
    </row>
    <row r="830" spans="1:17">
      <c r="A830" s="801">
        <v>45477</v>
      </c>
      <c r="B830" s="685">
        <v>330.46</v>
      </c>
      <c r="C830" s="686">
        <v>328</v>
      </c>
      <c r="D830" s="686">
        <v>137</v>
      </c>
      <c r="E830" s="686">
        <v>0</v>
      </c>
      <c r="F830" s="685">
        <v>0</v>
      </c>
      <c r="G830" s="686">
        <v>37</v>
      </c>
      <c r="H830" s="686">
        <v>2</v>
      </c>
      <c r="I830" s="686">
        <v>2</v>
      </c>
      <c r="J830" s="527">
        <f t="shared" si="117"/>
        <v>0.417682926829268</v>
      </c>
      <c r="K830" s="687">
        <f t="shared" si="118"/>
        <v>2.41211678832117</v>
      </c>
      <c r="L830" s="1025">
        <f t="shared" si="131"/>
        <v>1007.5</v>
      </c>
      <c r="M830" s="702">
        <f t="shared" si="132"/>
        <v>0</v>
      </c>
      <c r="N830" s="703">
        <f t="shared" si="133"/>
        <v>0</v>
      </c>
      <c r="O830" s="1081">
        <f t="shared" si="134"/>
        <v>0</v>
      </c>
      <c r="P830" s="1081">
        <f t="shared" si="135"/>
        <v>0</v>
      </c>
      <c r="Q830" s="724">
        <f t="shared" si="136"/>
        <v>8.93135135135135</v>
      </c>
    </row>
    <row r="831" spans="1:17">
      <c r="A831" s="801">
        <v>45478</v>
      </c>
      <c r="B831" s="685">
        <v>419.73</v>
      </c>
      <c r="C831" s="686">
        <v>380</v>
      </c>
      <c r="D831" s="686">
        <v>137</v>
      </c>
      <c r="E831" s="686">
        <v>2</v>
      </c>
      <c r="F831" s="685">
        <v>59504</v>
      </c>
      <c r="G831" s="686">
        <v>30</v>
      </c>
      <c r="H831" s="686">
        <v>5</v>
      </c>
      <c r="I831" s="686">
        <v>3</v>
      </c>
      <c r="J831" s="527">
        <f t="shared" si="117"/>
        <v>0.360526315789474</v>
      </c>
      <c r="K831" s="687">
        <f t="shared" si="118"/>
        <v>3.06372262773723</v>
      </c>
      <c r="L831" s="1025">
        <f t="shared" si="131"/>
        <v>1104.55263157895</v>
      </c>
      <c r="M831" s="702">
        <f t="shared" si="132"/>
        <v>141.767326614729</v>
      </c>
      <c r="N831" s="703">
        <f t="shared" si="133"/>
        <v>0.0145985401459854</v>
      </c>
      <c r="O831" s="1081">
        <f t="shared" si="134"/>
        <v>29752</v>
      </c>
      <c r="P831" s="1081">
        <f t="shared" si="135"/>
        <v>209.865</v>
      </c>
      <c r="Q831" s="724">
        <f t="shared" si="136"/>
        <v>13.991</v>
      </c>
    </row>
    <row r="832" spans="1:17">
      <c r="A832" s="801">
        <v>45479</v>
      </c>
      <c r="B832" s="685">
        <v>378.73</v>
      </c>
      <c r="C832" s="686">
        <v>358</v>
      </c>
      <c r="D832" s="686">
        <v>139</v>
      </c>
      <c r="E832" s="686">
        <v>6</v>
      </c>
      <c r="F832" s="685">
        <v>77904</v>
      </c>
      <c r="G832" s="686">
        <v>19</v>
      </c>
      <c r="H832" s="686">
        <v>9</v>
      </c>
      <c r="I832" s="686">
        <v>7</v>
      </c>
      <c r="J832" s="527">
        <f t="shared" si="117"/>
        <v>0.388268156424581</v>
      </c>
      <c r="K832" s="687">
        <f t="shared" si="118"/>
        <v>2.72467625899281</v>
      </c>
      <c r="L832" s="1025">
        <f t="shared" si="131"/>
        <v>1057.90502793296</v>
      </c>
      <c r="M832" s="702">
        <f t="shared" si="132"/>
        <v>205.697990652972</v>
      </c>
      <c r="N832" s="703">
        <f t="shared" si="133"/>
        <v>0.0431654676258993</v>
      </c>
      <c r="O832" s="1081">
        <f t="shared" si="134"/>
        <v>12984</v>
      </c>
      <c r="P832" s="1081">
        <f t="shared" si="135"/>
        <v>63.1216666666667</v>
      </c>
      <c r="Q832" s="724">
        <f t="shared" si="136"/>
        <v>19.9331578947368</v>
      </c>
    </row>
    <row r="833" spans="1:17">
      <c r="A833" s="801">
        <v>45480</v>
      </c>
      <c r="B833" s="685">
        <v>415.8</v>
      </c>
      <c r="C833" s="686">
        <v>376</v>
      </c>
      <c r="D833" s="686">
        <v>155</v>
      </c>
      <c r="E833" s="686">
        <v>1</v>
      </c>
      <c r="F833" s="685">
        <v>36988</v>
      </c>
      <c r="G833" s="686">
        <v>48</v>
      </c>
      <c r="H833" s="686">
        <v>2</v>
      </c>
      <c r="I833" s="686">
        <v>9</v>
      </c>
      <c r="J833" s="527">
        <f t="shared" si="117"/>
        <v>0.412234042553192</v>
      </c>
      <c r="K833" s="687">
        <f t="shared" si="118"/>
        <v>2.68258064516129</v>
      </c>
      <c r="L833" s="1025">
        <f t="shared" si="131"/>
        <v>1105.85106382979</v>
      </c>
      <c r="M833" s="702">
        <f t="shared" si="132"/>
        <v>88.956228956229</v>
      </c>
      <c r="N833" s="703">
        <f t="shared" si="133"/>
        <v>0.00645161290322581</v>
      </c>
      <c r="O833" s="1081">
        <f t="shared" si="134"/>
        <v>36988</v>
      </c>
      <c r="P833" s="1081">
        <f t="shared" si="135"/>
        <v>415.8</v>
      </c>
      <c r="Q833" s="724">
        <f t="shared" si="136"/>
        <v>8.6625</v>
      </c>
    </row>
    <row r="834" spans="1:17">
      <c r="A834" s="801">
        <v>45481</v>
      </c>
      <c r="B834" s="685">
        <v>386.04</v>
      </c>
      <c r="C834" s="686">
        <v>352</v>
      </c>
      <c r="D834" s="686">
        <v>161</v>
      </c>
      <c r="E834" s="686">
        <v>1</v>
      </c>
      <c r="F834" s="685">
        <v>9798</v>
      </c>
      <c r="G834" s="686">
        <v>24</v>
      </c>
      <c r="H834" s="686">
        <v>0</v>
      </c>
      <c r="I834" s="686">
        <v>6</v>
      </c>
      <c r="J834" s="527">
        <f t="shared" ref="J834:J897" si="137">D834/C834</f>
        <v>0.457386363636364</v>
      </c>
      <c r="K834" s="687">
        <f t="shared" ref="K834:K897" si="138">B834/D834</f>
        <v>2.39776397515528</v>
      </c>
      <c r="L834" s="1025">
        <f t="shared" si="131"/>
        <v>1096.70454545455</v>
      </c>
      <c r="M834" s="702">
        <f t="shared" si="132"/>
        <v>25.3807895554865</v>
      </c>
      <c r="N834" s="703">
        <f t="shared" si="133"/>
        <v>0.0062111801242236</v>
      </c>
      <c r="O834" s="1081">
        <f t="shared" si="134"/>
        <v>9798</v>
      </c>
      <c r="P834" s="1081">
        <f t="shared" si="135"/>
        <v>386.04</v>
      </c>
      <c r="Q834" s="724">
        <f t="shared" si="136"/>
        <v>16.085</v>
      </c>
    </row>
    <row r="835" spans="1:17">
      <c r="A835" s="801">
        <v>45482</v>
      </c>
      <c r="B835" s="685">
        <v>414.68</v>
      </c>
      <c r="C835" s="686">
        <v>361</v>
      </c>
      <c r="D835" s="686">
        <v>156</v>
      </c>
      <c r="E835" s="686">
        <v>1</v>
      </c>
      <c r="F835" s="685">
        <v>25028</v>
      </c>
      <c r="G835" s="686">
        <v>35</v>
      </c>
      <c r="H835" s="686">
        <v>2</v>
      </c>
      <c r="I835" s="686">
        <v>8</v>
      </c>
      <c r="J835" s="527">
        <f t="shared" si="137"/>
        <v>0.43213296398892</v>
      </c>
      <c r="K835" s="687">
        <f t="shared" si="138"/>
        <v>2.65820512820513</v>
      </c>
      <c r="L835" s="1025">
        <f t="shared" si="131"/>
        <v>1148.69806094183</v>
      </c>
      <c r="M835" s="702">
        <f t="shared" si="132"/>
        <v>60.3549725089225</v>
      </c>
      <c r="N835" s="703">
        <f t="shared" si="133"/>
        <v>0.00641025641025641</v>
      </c>
      <c r="O835" s="1081">
        <f t="shared" si="134"/>
        <v>25028</v>
      </c>
      <c r="P835" s="1081">
        <f t="shared" si="135"/>
        <v>414.68</v>
      </c>
      <c r="Q835" s="724">
        <f t="shared" si="136"/>
        <v>11.848</v>
      </c>
    </row>
    <row r="836" spans="1:17">
      <c r="A836" s="801">
        <v>45483</v>
      </c>
      <c r="B836" s="685">
        <v>400.45</v>
      </c>
      <c r="C836" s="686">
        <v>326</v>
      </c>
      <c r="D836" s="686">
        <v>143</v>
      </c>
      <c r="E836" s="686">
        <v>2</v>
      </c>
      <c r="F836" s="685">
        <v>25220</v>
      </c>
      <c r="G836" s="686">
        <v>25</v>
      </c>
      <c r="H836" s="686">
        <v>4</v>
      </c>
      <c r="I836" s="686">
        <v>13</v>
      </c>
      <c r="J836" s="527">
        <f t="shared" si="137"/>
        <v>0.438650306748466</v>
      </c>
      <c r="K836" s="687">
        <f t="shared" si="138"/>
        <v>2.80034965034965</v>
      </c>
      <c r="L836" s="1025">
        <f t="shared" si="131"/>
        <v>1228.37423312883</v>
      </c>
      <c r="M836" s="702">
        <f t="shared" si="132"/>
        <v>62.9791484579848</v>
      </c>
      <c r="N836" s="703">
        <f t="shared" si="133"/>
        <v>0.013986013986014</v>
      </c>
      <c r="O836" s="1081">
        <f t="shared" si="134"/>
        <v>12610</v>
      </c>
      <c r="P836" s="1081">
        <f t="shared" si="135"/>
        <v>200.225</v>
      </c>
      <c r="Q836" s="724">
        <f t="shared" si="136"/>
        <v>16.018</v>
      </c>
    </row>
    <row r="837" spans="1:17">
      <c r="A837" s="801">
        <v>45484</v>
      </c>
      <c r="B837" s="685">
        <v>371.99</v>
      </c>
      <c r="C837" s="686">
        <v>314</v>
      </c>
      <c r="D837" s="686">
        <v>129</v>
      </c>
      <c r="E837" s="686">
        <v>0</v>
      </c>
      <c r="F837" s="685">
        <v>0</v>
      </c>
      <c r="G837" s="686">
        <v>26</v>
      </c>
      <c r="H837" s="686">
        <v>4</v>
      </c>
      <c r="I837" s="686">
        <v>8</v>
      </c>
      <c r="J837" s="527">
        <f t="shared" si="137"/>
        <v>0.410828025477707</v>
      </c>
      <c r="K837" s="687">
        <f t="shared" si="138"/>
        <v>2.88364341085271</v>
      </c>
      <c r="L837" s="1025">
        <f t="shared" si="131"/>
        <v>1184.68152866242</v>
      </c>
      <c r="M837" s="702">
        <f t="shared" si="132"/>
        <v>0</v>
      </c>
      <c r="N837" s="703">
        <f t="shared" si="133"/>
        <v>0</v>
      </c>
      <c r="O837" s="1081">
        <f t="shared" si="134"/>
        <v>0</v>
      </c>
      <c r="P837" s="1081">
        <f t="shared" si="135"/>
        <v>0</v>
      </c>
      <c r="Q837" s="724">
        <f t="shared" si="136"/>
        <v>14.3073076923077</v>
      </c>
    </row>
    <row r="838" spans="1:17">
      <c r="A838" s="801">
        <v>45485</v>
      </c>
      <c r="B838" s="685">
        <v>466.92</v>
      </c>
      <c r="C838" s="686">
        <v>385</v>
      </c>
      <c r="D838" s="686">
        <v>169</v>
      </c>
      <c r="E838" s="686">
        <v>1</v>
      </c>
      <c r="F838" s="685">
        <v>15954</v>
      </c>
      <c r="G838" s="686">
        <v>40</v>
      </c>
      <c r="H838" s="686">
        <v>1</v>
      </c>
      <c r="I838" s="686">
        <v>5</v>
      </c>
      <c r="J838" s="527">
        <f t="shared" si="137"/>
        <v>0.438961038961039</v>
      </c>
      <c r="K838" s="687">
        <f t="shared" si="138"/>
        <v>2.76284023668639</v>
      </c>
      <c r="L838" s="1025">
        <f t="shared" si="131"/>
        <v>1212.77922077922</v>
      </c>
      <c r="M838" s="702">
        <f t="shared" si="132"/>
        <v>34.1685941917245</v>
      </c>
      <c r="N838" s="703">
        <f t="shared" si="133"/>
        <v>0.00591715976331361</v>
      </c>
      <c r="O838" s="1081">
        <f t="shared" si="134"/>
        <v>15954</v>
      </c>
      <c r="P838" s="1081">
        <f t="shared" si="135"/>
        <v>466.92</v>
      </c>
      <c r="Q838" s="724">
        <f t="shared" si="136"/>
        <v>11.673</v>
      </c>
    </row>
    <row r="839" spans="1:17">
      <c r="A839" s="801">
        <v>45486</v>
      </c>
      <c r="B839" s="685">
        <v>480.67</v>
      </c>
      <c r="C839" s="686">
        <v>403</v>
      </c>
      <c r="D839" s="686">
        <v>166</v>
      </c>
      <c r="E839" s="686">
        <v>1</v>
      </c>
      <c r="F839" s="685">
        <v>30708</v>
      </c>
      <c r="G839" s="686">
        <v>24</v>
      </c>
      <c r="H839" s="686">
        <v>6</v>
      </c>
      <c r="I839" s="686">
        <v>8</v>
      </c>
      <c r="J839" s="527">
        <f t="shared" si="137"/>
        <v>0.411910669975186</v>
      </c>
      <c r="K839" s="687">
        <f t="shared" si="138"/>
        <v>2.89560240963855</v>
      </c>
      <c r="L839" s="1025">
        <f t="shared" si="131"/>
        <v>1192.72952853598</v>
      </c>
      <c r="M839" s="702">
        <f t="shared" si="132"/>
        <v>63.8858260344935</v>
      </c>
      <c r="N839" s="703">
        <f t="shared" si="133"/>
        <v>0.00602409638554217</v>
      </c>
      <c r="O839" s="1081">
        <f t="shared" si="134"/>
        <v>30708</v>
      </c>
      <c r="P839" s="1081">
        <f t="shared" si="135"/>
        <v>480.67</v>
      </c>
      <c r="Q839" s="724">
        <f t="shared" si="136"/>
        <v>20.0279166666667</v>
      </c>
    </row>
    <row r="840" spans="1:17">
      <c r="A840" s="801">
        <v>45487</v>
      </c>
      <c r="B840" s="685">
        <v>434.36</v>
      </c>
      <c r="C840" s="686">
        <v>370</v>
      </c>
      <c r="D840" s="686">
        <v>133</v>
      </c>
      <c r="E840" s="686">
        <v>0</v>
      </c>
      <c r="F840" s="685">
        <v>0</v>
      </c>
      <c r="G840" s="686">
        <v>29</v>
      </c>
      <c r="H840" s="686">
        <v>5</v>
      </c>
      <c r="I840" s="686">
        <v>14</v>
      </c>
      <c r="J840" s="527">
        <f t="shared" si="137"/>
        <v>0.359459459459459</v>
      </c>
      <c r="K840" s="687">
        <f t="shared" si="138"/>
        <v>3.26586466165414</v>
      </c>
      <c r="L840" s="1025">
        <f t="shared" si="131"/>
        <v>1173.94594594595</v>
      </c>
      <c r="M840" s="702">
        <f t="shared" si="132"/>
        <v>0</v>
      </c>
      <c r="N840" s="703">
        <f t="shared" si="133"/>
        <v>0</v>
      </c>
      <c r="O840" s="1081">
        <f t="shared" si="134"/>
        <v>0</v>
      </c>
      <c r="P840" s="1081">
        <f t="shared" si="135"/>
        <v>0</v>
      </c>
      <c r="Q840" s="724">
        <f t="shared" si="136"/>
        <v>14.9779310344828</v>
      </c>
    </row>
    <row r="841" spans="1:17">
      <c r="A841" s="801">
        <v>45488</v>
      </c>
      <c r="B841" s="685">
        <v>450.82</v>
      </c>
      <c r="C841" s="686">
        <v>398</v>
      </c>
      <c r="D841" s="686">
        <v>170</v>
      </c>
      <c r="E841" s="686">
        <v>0</v>
      </c>
      <c r="F841" s="685">
        <v>0</v>
      </c>
      <c r="G841" s="686">
        <v>33</v>
      </c>
      <c r="H841" s="686">
        <v>4</v>
      </c>
      <c r="I841" s="686">
        <v>14</v>
      </c>
      <c r="J841" s="527">
        <f t="shared" si="137"/>
        <v>0.42713567839196</v>
      </c>
      <c r="K841" s="687">
        <f t="shared" si="138"/>
        <v>2.65188235294118</v>
      </c>
      <c r="L841" s="1025">
        <f t="shared" si="131"/>
        <v>1132.7135678392</v>
      </c>
      <c r="M841" s="702">
        <f t="shared" si="132"/>
        <v>0</v>
      </c>
      <c r="N841" s="703">
        <f t="shared" si="133"/>
        <v>0</v>
      </c>
      <c r="O841" s="1081">
        <f t="shared" si="134"/>
        <v>0</v>
      </c>
      <c r="P841" s="1081">
        <f t="shared" si="135"/>
        <v>0</v>
      </c>
      <c r="Q841" s="724">
        <f t="shared" si="136"/>
        <v>13.6612121212121</v>
      </c>
    </row>
    <row r="842" spans="1:17">
      <c r="A842" s="801">
        <v>45489</v>
      </c>
      <c r="B842" s="685">
        <v>558.9</v>
      </c>
      <c r="C842" s="686">
        <v>467</v>
      </c>
      <c r="D842" s="686">
        <v>195</v>
      </c>
      <c r="E842" s="686">
        <v>0</v>
      </c>
      <c r="F842" s="685">
        <v>0</v>
      </c>
      <c r="G842" s="686">
        <v>43</v>
      </c>
      <c r="H842" s="686">
        <v>4</v>
      </c>
      <c r="I842" s="686">
        <v>8</v>
      </c>
      <c r="J842" s="527">
        <f t="shared" si="137"/>
        <v>0.417558886509636</v>
      </c>
      <c r="K842" s="687">
        <f t="shared" si="138"/>
        <v>2.86615384615385</v>
      </c>
      <c r="L842" s="1025">
        <f t="shared" si="131"/>
        <v>1196.78800856531</v>
      </c>
      <c r="M842" s="702">
        <f t="shared" si="132"/>
        <v>0</v>
      </c>
      <c r="N842" s="703">
        <f t="shared" si="133"/>
        <v>0</v>
      </c>
      <c r="O842" s="1081">
        <f t="shared" si="134"/>
        <v>0</v>
      </c>
      <c r="P842" s="1081">
        <f t="shared" si="135"/>
        <v>0</v>
      </c>
      <c r="Q842" s="724">
        <f t="shared" si="136"/>
        <v>12.9976744186047</v>
      </c>
    </row>
    <row r="843" spans="1:17">
      <c r="A843" s="801">
        <v>45490</v>
      </c>
      <c r="B843" s="685">
        <v>545.98</v>
      </c>
      <c r="C843" s="686">
        <v>469</v>
      </c>
      <c r="D843" s="686">
        <v>159</v>
      </c>
      <c r="E843" s="686">
        <v>0</v>
      </c>
      <c r="F843" s="685">
        <v>0</v>
      </c>
      <c r="G843" s="686">
        <v>21</v>
      </c>
      <c r="H843" s="686">
        <v>1</v>
      </c>
      <c r="I843" s="686">
        <v>11</v>
      </c>
      <c r="J843" s="527">
        <f t="shared" si="137"/>
        <v>0.339019189765458</v>
      </c>
      <c r="K843" s="687">
        <f t="shared" si="138"/>
        <v>3.43383647798742</v>
      </c>
      <c r="L843" s="1025">
        <f t="shared" si="131"/>
        <v>1164.13646055437</v>
      </c>
      <c r="M843" s="702">
        <f t="shared" si="132"/>
        <v>0</v>
      </c>
      <c r="N843" s="703">
        <f t="shared" si="133"/>
        <v>0</v>
      </c>
      <c r="O843" s="1081">
        <f t="shared" si="134"/>
        <v>0</v>
      </c>
      <c r="P843" s="1081">
        <f t="shared" si="135"/>
        <v>0</v>
      </c>
      <c r="Q843" s="724">
        <f t="shared" si="136"/>
        <v>25.9990476190476</v>
      </c>
    </row>
    <row r="844" spans="1:17">
      <c r="A844" s="801">
        <v>45491</v>
      </c>
      <c r="B844" s="685">
        <v>543.07</v>
      </c>
      <c r="C844" s="686">
        <v>451</v>
      </c>
      <c r="D844" s="686">
        <v>177</v>
      </c>
      <c r="E844" s="686">
        <v>2</v>
      </c>
      <c r="F844" s="685">
        <v>17617.8</v>
      </c>
      <c r="G844" s="686">
        <v>27</v>
      </c>
      <c r="H844" s="686">
        <v>5</v>
      </c>
      <c r="I844" s="686">
        <v>8</v>
      </c>
      <c r="J844" s="527">
        <f t="shared" si="137"/>
        <v>0.392461197339246</v>
      </c>
      <c r="K844" s="687">
        <f t="shared" si="138"/>
        <v>3.06819209039548</v>
      </c>
      <c r="L844" s="1025">
        <f t="shared" si="131"/>
        <v>1204.14634146341</v>
      </c>
      <c r="M844" s="702">
        <f t="shared" si="132"/>
        <v>32.4411217706741</v>
      </c>
      <c r="N844" s="703">
        <f t="shared" si="133"/>
        <v>0.0112994350282486</v>
      </c>
      <c r="O844" s="1081">
        <f t="shared" si="134"/>
        <v>8808.9</v>
      </c>
      <c r="P844" s="1081">
        <f t="shared" si="135"/>
        <v>271.535</v>
      </c>
      <c r="Q844" s="724">
        <f t="shared" si="136"/>
        <v>20.1137037037037</v>
      </c>
    </row>
    <row r="845" spans="1:17">
      <c r="A845" s="801">
        <v>45492</v>
      </c>
      <c r="B845" s="685">
        <v>463.59</v>
      </c>
      <c r="C845" s="686">
        <v>417</v>
      </c>
      <c r="D845" s="686">
        <v>211</v>
      </c>
      <c r="E845" s="686">
        <v>2</v>
      </c>
      <c r="F845" s="685">
        <v>23994</v>
      </c>
      <c r="G845" s="686">
        <v>35</v>
      </c>
      <c r="H845" s="686">
        <v>3</v>
      </c>
      <c r="I845" s="686">
        <v>7</v>
      </c>
      <c r="J845" s="527">
        <f t="shared" si="137"/>
        <v>0.50599520383693</v>
      </c>
      <c r="K845" s="687">
        <f t="shared" si="138"/>
        <v>2.19710900473934</v>
      </c>
      <c r="L845" s="1025">
        <f t="shared" si="131"/>
        <v>1111.72661870504</v>
      </c>
      <c r="M845" s="702">
        <f t="shared" si="132"/>
        <v>51.7569403999223</v>
      </c>
      <c r="N845" s="703">
        <f t="shared" si="133"/>
        <v>0.00947867298578199</v>
      </c>
      <c r="O845" s="1081">
        <f t="shared" si="134"/>
        <v>11997</v>
      </c>
      <c r="P845" s="1081">
        <f t="shared" si="135"/>
        <v>231.795</v>
      </c>
      <c r="Q845" s="724">
        <f t="shared" si="136"/>
        <v>13.2454285714286</v>
      </c>
    </row>
    <row r="846" spans="1:17">
      <c r="A846" s="801">
        <v>45493</v>
      </c>
      <c r="B846" s="685">
        <v>549.05</v>
      </c>
      <c r="C846" s="686">
        <v>441</v>
      </c>
      <c r="D846" s="686">
        <v>169</v>
      </c>
      <c r="E846" s="686">
        <v>4</v>
      </c>
      <c r="F846" s="685">
        <v>47445</v>
      </c>
      <c r="G846" s="686">
        <v>27</v>
      </c>
      <c r="H846" s="686">
        <v>1</v>
      </c>
      <c r="I846" s="686">
        <v>4</v>
      </c>
      <c r="J846" s="527">
        <f t="shared" si="137"/>
        <v>0.383219954648526</v>
      </c>
      <c r="K846" s="687">
        <f t="shared" si="138"/>
        <v>3.24881656804734</v>
      </c>
      <c r="L846" s="1025">
        <f t="shared" si="131"/>
        <v>1245.01133786848</v>
      </c>
      <c r="M846" s="702">
        <f t="shared" si="132"/>
        <v>86.4128950004553</v>
      </c>
      <c r="N846" s="703">
        <f t="shared" si="133"/>
        <v>0.0236686390532544</v>
      </c>
      <c r="O846" s="1081">
        <f t="shared" si="134"/>
        <v>11861.25</v>
      </c>
      <c r="P846" s="1081">
        <f t="shared" si="135"/>
        <v>137.2625</v>
      </c>
      <c r="Q846" s="724">
        <f t="shared" si="136"/>
        <v>20.3351851851852</v>
      </c>
    </row>
    <row r="847" spans="1:17">
      <c r="A847" s="801">
        <v>45494</v>
      </c>
      <c r="B847" s="685">
        <v>698.91</v>
      </c>
      <c r="C847" s="686">
        <v>608</v>
      </c>
      <c r="D847" s="686">
        <v>267</v>
      </c>
      <c r="E847" s="686">
        <v>9</v>
      </c>
      <c r="F847" s="685">
        <v>83580</v>
      </c>
      <c r="G847" s="686">
        <v>49</v>
      </c>
      <c r="H847" s="686">
        <v>13</v>
      </c>
      <c r="I847" s="686">
        <v>10</v>
      </c>
      <c r="J847" s="527">
        <f t="shared" si="137"/>
        <v>0.439144736842105</v>
      </c>
      <c r="K847" s="687">
        <f t="shared" si="138"/>
        <v>2.6176404494382</v>
      </c>
      <c r="L847" s="1025">
        <f t="shared" si="131"/>
        <v>1149.52302631579</v>
      </c>
      <c r="M847" s="702">
        <f t="shared" si="132"/>
        <v>119.586212817101</v>
      </c>
      <c r="N847" s="703">
        <f t="shared" si="133"/>
        <v>0.0337078651685393</v>
      </c>
      <c r="O847" s="1081">
        <f t="shared" si="134"/>
        <v>9286.66666666667</v>
      </c>
      <c r="P847" s="1081">
        <f t="shared" si="135"/>
        <v>77.6566666666667</v>
      </c>
      <c r="Q847" s="724">
        <f t="shared" si="136"/>
        <v>14.2634693877551</v>
      </c>
    </row>
    <row r="848" spans="1:17">
      <c r="A848" s="801">
        <v>45495</v>
      </c>
      <c r="B848" s="685">
        <v>625.22</v>
      </c>
      <c r="C848" s="686">
        <v>512</v>
      </c>
      <c r="D848" s="686">
        <v>201</v>
      </c>
      <c r="E848" s="686">
        <v>1</v>
      </c>
      <c r="F848" s="685">
        <v>21291</v>
      </c>
      <c r="G848" s="686">
        <v>39</v>
      </c>
      <c r="H848" s="686">
        <v>4</v>
      </c>
      <c r="I848" s="686">
        <v>9</v>
      </c>
      <c r="J848" s="527">
        <f t="shared" si="137"/>
        <v>0.392578125</v>
      </c>
      <c r="K848" s="687">
        <f t="shared" si="138"/>
        <v>3.11054726368159</v>
      </c>
      <c r="L848" s="1025">
        <f t="shared" si="131"/>
        <v>1221.1328125</v>
      </c>
      <c r="M848" s="702">
        <f t="shared" si="132"/>
        <v>34.0536131281789</v>
      </c>
      <c r="N848" s="703">
        <f t="shared" si="133"/>
        <v>0.00497512437810945</v>
      </c>
      <c r="O848" s="1081">
        <f t="shared" si="134"/>
        <v>21291</v>
      </c>
      <c r="P848" s="1081">
        <f t="shared" si="135"/>
        <v>625.22</v>
      </c>
      <c r="Q848" s="724">
        <f t="shared" si="136"/>
        <v>16.0312820512821</v>
      </c>
    </row>
    <row r="849" spans="1:17">
      <c r="A849" s="801">
        <v>45496</v>
      </c>
      <c r="B849" s="685">
        <v>465.61</v>
      </c>
      <c r="C849" s="686">
        <v>397</v>
      </c>
      <c r="D849" s="686">
        <v>160</v>
      </c>
      <c r="E849" s="686">
        <v>0</v>
      </c>
      <c r="F849" s="685">
        <v>0</v>
      </c>
      <c r="G849" s="686">
        <v>21</v>
      </c>
      <c r="H849" s="686">
        <v>2</v>
      </c>
      <c r="I849" s="686">
        <v>9</v>
      </c>
      <c r="J849" s="527">
        <f t="shared" si="137"/>
        <v>0.403022670025189</v>
      </c>
      <c r="K849" s="687">
        <f t="shared" si="138"/>
        <v>2.9100625</v>
      </c>
      <c r="L849" s="1025">
        <f t="shared" si="131"/>
        <v>1172.82115869018</v>
      </c>
      <c r="M849" s="702">
        <f t="shared" si="132"/>
        <v>0</v>
      </c>
      <c r="N849" s="703">
        <f t="shared" si="133"/>
        <v>0</v>
      </c>
      <c r="O849" s="1081">
        <f t="shared" si="134"/>
        <v>0</v>
      </c>
      <c r="P849" s="1081">
        <f t="shared" si="135"/>
        <v>0</v>
      </c>
      <c r="Q849" s="724">
        <f t="shared" si="136"/>
        <v>22.1719047619048</v>
      </c>
    </row>
    <row r="850" spans="1:17">
      <c r="A850" s="801">
        <v>45497</v>
      </c>
      <c r="B850" s="685">
        <v>458.83</v>
      </c>
      <c r="C850" s="686">
        <v>363</v>
      </c>
      <c r="D850" s="686">
        <v>177</v>
      </c>
      <c r="E850" s="686">
        <v>0</v>
      </c>
      <c r="F850" s="685">
        <v>0</v>
      </c>
      <c r="G850" s="686">
        <v>22</v>
      </c>
      <c r="H850" s="686">
        <v>4</v>
      </c>
      <c r="I850" s="686">
        <v>8</v>
      </c>
      <c r="J850" s="527">
        <f t="shared" si="137"/>
        <v>0.487603305785124</v>
      </c>
      <c r="K850" s="687">
        <f t="shared" si="138"/>
        <v>2.59225988700565</v>
      </c>
      <c r="L850" s="1025">
        <f t="shared" si="131"/>
        <v>1263.99449035813</v>
      </c>
      <c r="M850" s="702">
        <f t="shared" si="132"/>
        <v>0</v>
      </c>
      <c r="N850" s="703">
        <f t="shared" si="133"/>
        <v>0</v>
      </c>
      <c r="O850" s="1081">
        <f t="shared" si="134"/>
        <v>0</v>
      </c>
      <c r="P850" s="1081">
        <f t="shared" si="135"/>
        <v>0</v>
      </c>
      <c r="Q850" s="724">
        <f t="shared" si="136"/>
        <v>20.8559090909091</v>
      </c>
    </row>
    <row r="851" spans="1:17">
      <c r="A851" s="801">
        <v>45498</v>
      </c>
      <c r="B851" s="685">
        <v>459.96</v>
      </c>
      <c r="C851" s="686">
        <v>373</v>
      </c>
      <c r="D851" s="686">
        <v>166</v>
      </c>
      <c r="E851" s="686">
        <v>0</v>
      </c>
      <c r="F851" s="685">
        <v>0</v>
      </c>
      <c r="G851" s="686">
        <v>22</v>
      </c>
      <c r="H851" s="686">
        <v>1</v>
      </c>
      <c r="I851" s="686">
        <v>13</v>
      </c>
      <c r="J851" s="527">
        <f t="shared" si="137"/>
        <v>0.445040214477212</v>
      </c>
      <c r="K851" s="687">
        <f t="shared" si="138"/>
        <v>2.77084337349398</v>
      </c>
      <c r="L851" s="1025">
        <f t="shared" si="131"/>
        <v>1233.13672922252</v>
      </c>
      <c r="M851" s="702">
        <f t="shared" si="132"/>
        <v>0</v>
      </c>
      <c r="N851" s="703">
        <f t="shared" si="133"/>
        <v>0</v>
      </c>
      <c r="O851" s="1081">
        <f t="shared" si="134"/>
        <v>0</v>
      </c>
      <c r="P851" s="1081">
        <f t="shared" si="135"/>
        <v>0</v>
      </c>
      <c r="Q851" s="724">
        <f t="shared" si="136"/>
        <v>20.9072727272727</v>
      </c>
    </row>
    <row r="852" spans="1:17">
      <c r="A852" s="801">
        <v>45499</v>
      </c>
      <c r="B852" s="685">
        <v>373.26</v>
      </c>
      <c r="C852" s="686">
        <v>299</v>
      </c>
      <c r="D852" s="686">
        <v>122</v>
      </c>
      <c r="E852" s="686">
        <v>2</v>
      </c>
      <c r="F852" s="685">
        <v>17424</v>
      </c>
      <c r="G852" s="686">
        <v>17</v>
      </c>
      <c r="H852" s="686">
        <v>6</v>
      </c>
      <c r="I852" s="686">
        <v>8</v>
      </c>
      <c r="J852" s="527">
        <f t="shared" si="137"/>
        <v>0.408026755852843</v>
      </c>
      <c r="K852" s="687">
        <f t="shared" si="138"/>
        <v>3.05950819672131</v>
      </c>
      <c r="L852" s="1025">
        <f t="shared" si="131"/>
        <v>1248.36120401338</v>
      </c>
      <c r="M852" s="702">
        <f t="shared" si="132"/>
        <v>46.6805979746022</v>
      </c>
      <c r="N852" s="703">
        <f t="shared" si="133"/>
        <v>0.0163934426229508</v>
      </c>
      <c r="O852" s="1081">
        <f t="shared" si="134"/>
        <v>8712</v>
      </c>
      <c r="P852" s="1081">
        <f t="shared" si="135"/>
        <v>186.63</v>
      </c>
      <c r="Q852" s="724">
        <f t="shared" si="136"/>
        <v>21.9564705882353</v>
      </c>
    </row>
    <row r="853" spans="1:17">
      <c r="A853" s="801">
        <v>45500</v>
      </c>
      <c r="B853" s="685">
        <v>330.92</v>
      </c>
      <c r="C853" s="686">
        <v>277</v>
      </c>
      <c r="D853" s="686">
        <v>107</v>
      </c>
      <c r="E853" s="686">
        <v>5</v>
      </c>
      <c r="F853" s="685">
        <v>109750</v>
      </c>
      <c r="G853" s="686">
        <v>21</v>
      </c>
      <c r="H853" s="686">
        <v>2</v>
      </c>
      <c r="I853" s="686">
        <v>4</v>
      </c>
      <c r="J853" s="527">
        <f t="shared" si="137"/>
        <v>0.386281588447653</v>
      </c>
      <c r="K853" s="687">
        <f t="shared" si="138"/>
        <v>3.09271028037383</v>
      </c>
      <c r="L853" s="1025">
        <f t="shared" si="131"/>
        <v>1194.65703971119</v>
      </c>
      <c r="M853" s="702">
        <f t="shared" si="132"/>
        <v>331.651154357549</v>
      </c>
      <c r="N853" s="703">
        <f t="shared" si="133"/>
        <v>0.0467289719626168</v>
      </c>
      <c r="O853" s="1081">
        <f t="shared" si="134"/>
        <v>21950</v>
      </c>
      <c r="P853" s="1081">
        <f t="shared" si="135"/>
        <v>66.184</v>
      </c>
      <c r="Q853" s="724">
        <f t="shared" si="136"/>
        <v>15.7580952380952</v>
      </c>
    </row>
    <row r="854" spans="1:17">
      <c r="A854" s="801">
        <v>45501</v>
      </c>
      <c r="B854" s="685">
        <v>420.74</v>
      </c>
      <c r="C854" s="686">
        <v>325</v>
      </c>
      <c r="D854" s="686">
        <v>147</v>
      </c>
      <c r="E854" s="686">
        <v>0</v>
      </c>
      <c r="F854" s="685">
        <v>0</v>
      </c>
      <c r="G854" s="686">
        <v>41</v>
      </c>
      <c r="H854" s="686">
        <v>1</v>
      </c>
      <c r="I854" s="686">
        <v>11</v>
      </c>
      <c r="J854" s="527">
        <f t="shared" si="137"/>
        <v>0.452307692307692</v>
      </c>
      <c r="K854" s="687">
        <f t="shared" si="138"/>
        <v>2.8621768707483</v>
      </c>
      <c r="L854" s="1025">
        <f t="shared" si="131"/>
        <v>1294.58461538462</v>
      </c>
      <c r="M854" s="702">
        <f t="shared" si="132"/>
        <v>0</v>
      </c>
      <c r="N854" s="703">
        <f t="shared" si="133"/>
        <v>0</v>
      </c>
      <c r="O854" s="1081">
        <f t="shared" si="134"/>
        <v>0</v>
      </c>
      <c r="P854" s="1081">
        <f t="shared" si="135"/>
        <v>0</v>
      </c>
      <c r="Q854" s="724">
        <f t="shared" si="136"/>
        <v>10.2619512195122</v>
      </c>
    </row>
    <row r="855" spans="1:17">
      <c r="A855" s="801">
        <v>45502</v>
      </c>
      <c r="B855" s="685">
        <v>400.08</v>
      </c>
      <c r="C855" s="686">
        <v>381</v>
      </c>
      <c r="D855" s="686">
        <v>183</v>
      </c>
      <c r="E855" s="686">
        <v>0</v>
      </c>
      <c r="F855" s="685">
        <v>0</v>
      </c>
      <c r="G855" s="686">
        <v>28</v>
      </c>
      <c r="H855" s="686">
        <v>0</v>
      </c>
      <c r="I855" s="686">
        <v>6</v>
      </c>
      <c r="J855" s="527">
        <f t="shared" si="137"/>
        <v>0.480314960629921</v>
      </c>
      <c r="K855" s="687">
        <f t="shared" si="138"/>
        <v>2.18622950819672</v>
      </c>
      <c r="L855" s="1025">
        <f t="shared" si="131"/>
        <v>1050.07874015748</v>
      </c>
      <c r="M855" s="702">
        <f t="shared" si="132"/>
        <v>0</v>
      </c>
      <c r="N855" s="703">
        <f t="shared" si="133"/>
        <v>0</v>
      </c>
      <c r="O855" s="1081">
        <f t="shared" si="134"/>
        <v>0</v>
      </c>
      <c r="P855" s="1081">
        <f t="shared" si="135"/>
        <v>0</v>
      </c>
      <c r="Q855" s="724">
        <f t="shared" si="136"/>
        <v>14.2885714285714</v>
      </c>
    </row>
    <row r="856" spans="1:17">
      <c r="A856" s="801">
        <v>45503</v>
      </c>
      <c r="B856" s="685">
        <v>335.08</v>
      </c>
      <c r="C856" s="686">
        <v>285</v>
      </c>
      <c r="D856" s="686">
        <v>117</v>
      </c>
      <c r="E856" s="686">
        <v>0</v>
      </c>
      <c r="F856" s="685">
        <v>0</v>
      </c>
      <c r="G856" s="686">
        <v>17</v>
      </c>
      <c r="H856" s="686">
        <v>4</v>
      </c>
      <c r="I856" s="686">
        <v>7</v>
      </c>
      <c r="J856" s="527">
        <f t="shared" si="137"/>
        <v>0.410526315789474</v>
      </c>
      <c r="K856" s="687">
        <f t="shared" si="138"/>
        <v>2.86393162393162</v>
      </c>
      <c r="L856" s="1025">
        <f t="shared" si="131"/>
        <v>1175.71929824561</v>
      </c>
      <c r="M856" s="702">
        <f t="shared" si="132"/>
        <v>0</v>
      </c>
      <c r="N856" s="703">
        <f t="shared" si="133"/>
        <v>0</v>
      </c>
      <c r="O856" s="1081">
        <f t="shared" si="134"/>
        <v>0</v>
      </c>
      <c r="P856" s="1081">
        <f t="shared" si="135"/>
        <v>0</v>
      </c>
      <c r="Q856" s="724">
        <f t="shared" si="136"/>
        <v>19.7105882352941</v>
      </c>
    </row>
    <row r="857" spans="1:17">
      <c r="A857" s="801">
        <v>45504</v>
      </c>
      <c r="B857" s="685">
        <v>359.24</v>
      </c>
      <c r="C857" s="686">
        <v>291</v>
      </c>
      <c r="D857" s="686">
        <v>107</v>
      </c>
      <c r="E857" s="686">
        <v>2</v>
      </c>
      <c r="F857" s="685">
        <v>25260</v>
      </c>
      <c r="G857" s="686">
        <v>14</v>
      </c>
      <c r="H857" s="686">
        <v>0</v>
      </c>
      <c r="I857" s="686">
        <v>3</v>
      </c>
      <c r="J857" s="527">
        <f t="shared" si="137"/>
        <v>0.367697594501718</v>
      </c>
      <c r="K857" s="687">
        <f t="shared" si="138"/>
        <v>3.35738317757009</v>
      </c>
      <c r="L857" s="1025">
        <f t="shared" si="131"/>
        <v>1234.50171821306</v>
      </c>
      <c r="M857" s="702">
        <f t="shared" si="132"/>
        <v>70.3151096759826</v>
      </c>
      <c r="N857" s="703">
        <f t="shared" si="133"/>
        <v>0.0186915887850467</v>
      </c>
      <c r="O857" s="1081">
        <f t="shared" si="134"/>
        <v>12630</v>
      </c>
      <c r="P857" s="1081">
        <f t="shared" si="135"/>
        <v>179.62</v>
      </c>
      <c r="Q857" s="724">
        <f t="shared" si="136"/>
        <v>25.66</v>
      </c>
    </row>
    <row r="858" spans="1:17">
      <c r="A858" s="801">
        <v>45505</v>
      </c>
      <c r="B858" s="685">
        <v>353.09</v>
      </c>
      <c r="C858" s="686">
        <v>312</v>
      </c>
      <c r="D858" s="686">
        <v>122</v>
      </c>
      <c r="E858" s="686">
        <v>0</v>
      </c>
      <c r="F858" s="685">
        <v>0</v>
      </c>
      <c r="G858" s="686">
        <v>24</v>
      </c>
      <c r="H858" s="686">
        <v>3</v>
      </c>
      <c r="I858" s="686">
        <v>8</v>
      </c>
      <c r="J858" s="527">
        <f t="shared" si="137"/>
        <v>0.391025641025641</v>
      </c>
      <c r="K858" s="687">
        <f t="shared" si="138"/>
        <v>2.89418032786885</v>
      </c>
      <c r="L858" s="1025">
        <f t="shared" si="131"/>
        <v>1131.69871794872</v>
      </c>
      <c r="M858" s="702">
        <f t="shared" si="132"/>
        <v>0</v>
      </c>
      <c r="N858" s="703">
        <f t="shared" si="133"/>
        <v>0</v>
      </c>
      <c r="O858" s="1081">
        <f t="shared" si="134"/>
        <v>0</v>
      </c>
      <c r="P858" s="1081">
        <f t="shared" si="135"/>
        <v>0</v>
      </c>
      <c r="Q858" s="724">
        <f t="shared" si="136"/>
        <v>14.7120833333333</v>
      </c>
    </row>
    <row r="859" spans="1:17">
      <c r="A859" s="801">
        <v>45506</v>
      </c>
      <c r="B859" s="685">
        <v>385.67</v>
      </c>
      <c r="C859" s="686">
        <v>311</v>
      </c>
      <c r="D859" s="686">
        <v>134</v>
      </c>
      <c r="E859" s="686">
        <v>3</v>
      </c>
      <c r="F859" s="685">
        <v>32901.6</v>
      </c>
      <c r="G859" s="686">
        <v>22</v>
      </c>
      <c r="H859" s="686">
        <v>1</v>
      </c>
      <c r="I859" s="686">
        <v>8</v>
      </c>
      <c r="J859" s="527">
        <f t="shared" si="137"/>
        <v>0.430868167202572</v>
      </c>
      <c r="K859" s="687">
        <f t="shared" si="138"/>
        <v>2.87813432835821</v>
      </c>
      <c r="L859" s="1025">
        <f t="shared" ref="L859:L875" si="139">B859/C859*1000</f>
        <v>1240.09646302251</v>
      </c>
      <c r="M859" s="702">
        <f t="shared" ref="M859:M875" si="140">F859/B859</f>
        <v>85.3102393237742</v>
      </c>
      <c r="N859" s="703">
        <f t="shared" ref="N859:N875" si="141">E859/D859</f>
        <v>0.0223880597014925</v>
      </c>
      <c r="O859" s="1081">
        <f t="shared" ref="O859:O875" si="142">IF(E859=0,0,F859/E859)</f>
        <v>10967.2</v>
      </c>
      <c r="P859" s="1081">
        <f t="shared" ref="P859:P875" si="143">IF(E859=0,0,B859/E859)</f>
        <v>128.556666666667</v>
      </c>
      <c r="Q859" s="724">
        <f t="shared" ref="Q859:Q875" si="144">B859/G859</f>
        <v>17.5304545454545</v>
      </c>
    </row>
    <row r="860" spans="1:17">
      <c r="A860" s="801">
        <v>45507</v>
      </c>
      <c r="B860" s="685">
        <v>378.2</v>
      </c>
      <c r="C860" s="686">
        <v>315</v>
      </c>
      <c r="D860" s="686">
        <v>136</v>
      </c>
      <c r="E860" s="686">
        <v>1</v>
      </c>
      <c r="F860" s="685">
        <v>12534</v>
      </c>
      <c r="G860" s="686">
        <v>18</v>
      </c>
      <c r="H860" s="686">
        <v>2</v>
      </c>
      <c r="I860" s="686">
        <v>9</v>
      </c>
      <c r="J860" s="527">
        <f t="shared" si="137"/>
        <v>0.431746031746032</v>
      </c>
      <c r="K860" s="687">
        <f t="shared" si="138"/>
        <v>2.78088235294118</v>
      </c>
      <c r="L860" s="1025">
        <f t="shared" si="139"/>
        <v>1200.63492063492</v>
      </c>
      <c r="M860" s="702">
        <f t="shared" si="140"/>
        <v>33.1411951348493</v>
      </c>
      <c r="N860" s="703">
        <f t="shared" si="141"/>
        <v>0.00735294117647059</v>
      </c>
      <c r="O860" s="1081">
        <f t="shared" si="142"/>
        <v>12534</v>
      </c>
      <c r="P860" s="1081">
        <f t="shared" si="143"/>
        <v>378.2</v>
      </c>
      <c r="Q860" s="724">
        <f t="shared" si="144"/>
        <v>21.0111111111111</v>
      </c>
    </row>
    <row r="861" spans="1:17">
      <c r="A861" s="801">
        <v>45508</v>
      </c>
      <c r="B861" s="685">
        <v>291.25</v>
      </c>
      <c r="C861" s="686">
        <v>290</v>
      </c>
      <c r="D861" s="686">
        <v>134</v>
      </c>
      <c r="E861" s="686">
        <v>1</v>
      </c>
      <c r="F861" s="685">
        <v>13154</v>
      </c>
      <c r="G861" s="686">
        <v>9</v>
      </c>
      <c r="H861" s="686">
        <v>1</v>
      </c>
      <c r="I861" s="686">
        <v>6</v>
      </c>
      <c r="J861" s="527">
        <f t="shared" si="137"/>
        <v>0.462068965517241</v>
      </c>
      <c r="K861" s="687">
        <f t="shared" si="138"/>
        <v>2.17350746268657</v>
      </c>
      <c r="L861" s="1025">
        <f t="shared" si="139"/>
        <v>1004.31034482759</v>
      </c>
      <c r="M861" s="702">
        <f t="shared" si="140"/>
        <v>45.1639484978541</v>
      </c>
      <c r="N861" s="703">
        <f t="shared" si="141"/>
        <v>0.00746268656716418</v>
      </c>
      <c r="O861" s="1081">
        <f t="shared" si="142"/>
        <v>13154</v>
      </c>
      <c r="P861" s="1081">
        <f t="shared" si="143"/>
        <v>291.25</v>
      </c>
      <c r="Q861" s="724">
        <f t="shared" si="144"/>
        <v>32.3611111111111</v>
      </c>
    </row>
    <row r="862" spans="1:17">
      <c r="A862" s="801">
        <v>45509</v>
      </c>
      <c r="B862" s="685">
        <v>453.32</v>
      </c>
      <c r="C862" s="686">
        <v>355</v>
      </c>
      <c r="D862" s="686">
        <v>166</v>
      </c>
      <c r="E862" s="686">
        <v>3</v>
      </c>
      <c r="F862" s="685">
        <v>46793</v>
      </c>
      <c r="G862" s="686">
        <v>24</v>
      </c>
      <c r="H862" s="686">
        <v>2</v>
      </c>
      <c r="I862" s="686">
        <v>10</v>
      </c>
      <c r="J862" s="527">
        <f t="shared" si="137"/>
        <v>0.467605633802817</v>
      </c>
      <c r="K862" s="687">
        <f t="shared" si="138"/>
        <v>2.73084337349398</v>
      </c>
      <c r="L862" s="1025">
        <f t="shared" si="139"/>
        <v>1276.95774647887</v>
      </c>
      <c r="M862" s="702">
        <f t="shared" si="140"/>
        <v>103.222888908497</v>
      </c>
      <c r="N862" s="703">
        <f t="shared" si="141"/>
        <v>0.0180722891566265</v>
      </c>
      <c r="O862" s="1081">
        <f t="shared" si="142"/>
        <v>15597.6666666667</v>
      </c>
      <c r="P862" s="1081">
        <f t="shared" si="143"/>
        <v>151.106666666667</v>
      </c>
      <c r="Q862" s="724">
        <f t="shared" si="144"/>
        <v>18.8883333333333</v>
      </c>
    </row>
    <row r="863" spans="1:17">
      <c r="A863" s="801">
        <v>45510</v>
      </c>
      <c r="B863" s="685">
        <v>426.84</v>
      </c>
      <c r="C863" s="686">
        <v>354</v>
      </c>
      <c r="D863" s="686">
        <v>156</v>
      </c>
      <c r="E863" s="686">
        <v>1</v>
      </c>
      <c r="F863" s="685">
        <v>24788</v>
      </c>
      <c r="G863" s="686">
        <v>24</v>
      </c>
      <c r="H863" s="686">
        <v>5</v>
      </c>
      <c r="I863" s="686">
        <v>5</v>
      </c>
      <c r="J863" s="527">
        <f t="shared" si="137"/>
        <v>0.440677966101695</v>
      </c>
      <c r="K863" s="687">
        <f t="shared" si="138"/>
        <v>2.73615384615385</v>
      </c>
      <c r="L863" s="1025">
        <f t="shared" si="139"/>
        <v>1205.76271186441</v>
      </c>
      <c r="M863" s="702">
        <f t="shared" si="140"/>
        <v>58.0732827288914</v>
      </c>
      <c r="N863" s="703">
        <f t="shared" si="141"/>
        <v>0.00641025641025641</v>
      </c>
      <c r="O863" s="1081">
        <f t="shared" si="142"/>
        <v>24788</v>
      </c>
      <c r="P863" s="1081">
        <f t="shared" si="143"/>
        <v>426.84</v>
      </c>
      <c r="Q863" s="724">
        <f t="shared" si="144"/>
        <v>17.785</v>
      </c>
    </row>
    <row r="864" spans="1:17">
      <c r="A864" s="801">
        <v>45511</v>
      </c>
      <c r="B864" s="685">
        <v>1</v>
      </c>
      <c r="C864" s="686">
        <v>1</v>
      </c>
      <c r="D864" s="686">
        <v>1</v>
      </c>
      <c r="E864" s="686">
        <v>0</v>
      </c>
      <c r="F864" s="685">
        <v>0</v>
      </c>
      <c r="G864" s="686">
        <v>0</v>
      </c>
      <c r="H864" s="686">
        <v>0</v>
      </c>
      <c r="I864" s="686">
        <v>0</v>
      </c>
      <c r="J864" s="527">
        <f t="shared" si="137"/>
        <v>1</v>
      </c>
      <c r="K864" s="687">
        <f t="shared" si="138"/>
        <v>1</v>
      </c>
      <c r="L864" s="1025">
        <f t="shared" si="139"/>
        <v>1000</v>
      </c>
      <c r="M864" s="702">
        <f t="shared" si="140"/>
        <v>0</v>
      </c>
      <c r="N864" s="703">
        <f t="shared" si="141"/>
        <v>0</v>
      </c>
      <c r="O864" s="1081">
        <f t="shared" si="142"/>
        <v>0</v>
      </c>
      <c r="P864" s="1081">
        <f t="shared" si="143"/>
        <v>0</v>
      </c>
      <c r="Q864" s="724" t="e">
        <f t="shared" si="144"/>
        <v>#DIV/0!</v>
      </c>
    </row>
    <row r="865" spans="1:17">
      <c r="A865" s="801">
        <v>45512</v>
      </c>
      <c r="B865" s="685">
        <v>0</v>
      </c>
      <c r="C865" s="686">
        <v>0</v>
      </c>
      <c r="D865" s="686">
        <v>0</v>
      </c>
      <c r="E865" s="686">
        <v>0</v>
      </c>
      <c r="F865" s="685">
        <v>0</v>
      </c>
      <c r="G865" s="686">
        <v>0</v>
      </c>
      <c r="H865" s="686">
        <v>0</v>
      </c>
      <c r="I865" s="686">
        <v>0</v>
      </c>
      <c r="J865" s="527" t="e">
        <f t="shared" si="137"/>
        <v>#DIV/0!</v>
      </c>
      <c r="K865" s="687" t="e">
        <f t="shared" si="138"/>
        <v>#DIV/0!</v>
      </c>
      <c r="L865" s="1025" t="e">
        <f t="shared" si="139"/>
        <v>#DIV/0!</v>
      </c>
      <c r="M865" s="702" t="e">
        <f t="shared" si="140"/>
        <v>#DIV/0!</v>
      </c>
      <c r="N865" s="703" t="e">
        <f t="shared" si="141"/>
        <v>#DIV/0!</v>
      </c>
      <c r="O865" s="1081">
        <f t="shared" si="142"/>
        <v>0</v>
      </c>
      <c r="P865" s="1081">
        <f t="shared" si="143"/>
        <v>0</v>
      </c>
      <c r="Q865" s="724" t="e">
        <f t="shared" si="144"/>
        <v>#DIV/0!</v>
      </c>
    </row>
    <row r="866" spans="1:17">
      <c r="A866" s="801">
        <v>45513</v>
      </c>
      <c r="B866" s="685">
        <v>203.8</v>
      </c>
      <c r="C866" s="686">
        <v>177</v>
      </c>
      <c r="D866" s="686">
        <v>62</v>
      </c>
      <c r="E866" s="686">
        <v>0</v>
      </c>
      <c r="F866" s="685">
        <v>0</v>
      </c>
      <c r="G866" s="686">
        <v>14</v>
      </c>
      <c r="H866" s="686">
        <v>0</v>
      </c>
      <c r="I866" s="686">
        <v>3</v>
      </c>
      <c r="J866" s="527">
        <f t="shared" si="137"/>
        <v>0.350282485875706</v>
      </c>
      <c r="K866" s="687">
        <f t="shared" si="138"/>
        <v>3.28709677419355</v>
      </c>
      <c r="L866" s="1025">
        <f t="shared" si="139"/>
        <v>1151.41242937853</v>
      </c>
      <c r="M866" s="702">
        <f t="shared" si="140"/>
        <v>0</v>
      </c>
      <c r="N866" s="703">
        <f t="shared" si="141"/>
        <v>0</v>
      </c>
      <c r="O866" s="1081">
        <f t="shared" si="142"/>
        <v>0</v>
      </c>
      <c r="P866" s="1081">
        <f t="shared" si="143"/>
        <v>0</v>
      </c>
      <c r="Q866" s="724">
        <f t="shared" si="144"/>
        <v>14.5571428571429</v>
      </c>
    </row>
    <row r="867" spans="1:17">
      <c r="A867" s="801">
        <v>45514</v>
      </c>
      <c r="B867" s="685">
        <v>385.42</v>
      </c>
      <c r="C867" s="686">
        <v>322</v>
      </c>
      <c r="D867" s="686">
        <v>132</v>
      </c>
      <c r="E867" s="686">
        <v>0</v>
      </c>
      <c r="F867" s="685">
        <v>0</v>
      </c>
      <c r="G867" s="686">
        <v>31</v>
      </c>
      <c r="H867" s="686">
        <v>3</v>
      </c>
      <c r="I867" s="686">
        <v>7</v>
      </c>
      <c r="J867" s="527">
        <f t="shared" si="137"/>
        <v>0.409937888198758</v>
      </c>
      <c r="K867" s="687">
        <f t="shared" si="138"/>
        <v>2.91984848484848</v>
      </c>
      <c r="L867" s="1025">
        <f t="shared" si="139"/>
        <v>1196.95652173913</v>
      </c>
      <c r="M867" s="702">
        <f t="shared" si="140"/>
        <v>0</v>
      </c>
      <c r="N867" s="703">
        <f t="shared" si="141"/>
        <v>0</v>
      </c>
      <c r="O867" s="1081">
        <f t="shared" si="142"/>
        <v>0</v>
      </c>
      <c r="P867" s="1081">
        <f t="shared" si="143"/>
        <v>0</v>
      </c>
      <c r="Q867" s="724">
        <f t="shared" si="144"/>
        <v>12.4329032258065</v>
      </c>
    </row>
    <row r="868" spans="1:17">
      <c r="A868" s="801">
        <v>45515</v>
      </c>
      <c r="B868" s="685">
        <v>406.12</v>
      </c>
      <c r="C868" s="686">
        <v>348</v>
      </c>
      <c r="D868" s="686">
        <v>122</v>
      </c>
      <c r="E868" s="686">
        <v>0</v>
      </c>
      <c r="F868" s="685">
        <v>0</v>
      </c>
      <c r="G868" s="686">
        <v>23</v>
      </c>
      <c r="H868" s="686">
        <v>2</v>
      </c>
      <c r="I868" s="686">
        <v>1</v>
      </c>
      <c r="J868" s="527">
        <f t="shared" si="137"/>
        <v>0.350574712643678</v>
      </c>
      <c r="K868" s="687">
        <f t="shared" si="138"/>
        <v>3.32885245901639</v>
      </c>
      <c r="L868" s="1025">
        <f t="shared" si="139"/>
        <v>1167.01149425287</v>
      </c>
      <c r="M868" s="702">
        <f t="shared" si="140"/>
        <v>0</v>
      </c>
      <c r="N868" s="703">
        <f t="shared" si="141"/>
        <v>0</v>
      </c>
      <c r="O868" s="1081">
        <f t="shared" si="142"/>
        <v>0</v>
      </c>
      <c r="P868" s="1081">
        <f t="shared" si="143"/>
        <v>0</v>
      </c>
      <c r="Q868" s="724">
        <f t="shared" si="144"/>
        <v>17.6573913043478</v>
      </c>
    </row>
    <row r="869" spans="1:17">
      <c r="A869" s="801">
        <v>45516</v>
      </c>
      <c r="B869" s="685">
        <v>398.64</v>
      </c>
      <c r="C869" s="686">
        <v>354</v>
      </c>
      <c r="D869" s="686">
        <v>147</v>
      </c>
      <c r="E869" s="686">
        <v>4</v>
      </c>
      <c r="F869" s="685">
        <v>63104</v>
      </c>
      <c r="G869" s="686">
        <v>21</v>
      </c>
      <c r="H869" s="686">
        <v>4</v>
      </c>
      <c r="I869" s="686">
        <v>8</v>
      </c>
      <c r="J869" s="527">
        <f t="shared" si="137"/>
        <v>0.415254237288136</v>
      </c>
      <c r="K869" s="687">
        <f t="shared" si="138"/>
        <v>2.71183673469388</v>
      </c>
      <c r="L869" s="1025">
        <f t="shared" si="139"/>
        <v>1126.10169491525</v>
      </c>
      <c r="M869" s="702">
        <f t="shared" si="140"/>
        <v>158.298213927353</v>
      </c>
      <c r="N869" s="703">
        <f t="shared" si="141"/>
        <v>0.0272108843537415</v>
      </c>
      <c r="O869" s="1081">
        <f t="shared" si="142"/>
        <v>15776</v>
      </c>
      <c r="P869" s="1081">
        <f t="shared" si="143"/>
        <v>99.66</v>
      </c>
      <c r="Q869" s="724">
        <f t="shared" si="144"/>
        <v>18.9828571428571</v>
      </c>
    </row>
    <row r="870" spans="1:17">
      <c r="A870" s="801">
        <v>45517</v>
      </c>
      <c r="B870" s="685">
        <v>459.38</v>
      </c>
      <c r="C870" s="686">
        <v>369</v>
      </c>
      <c r="D870" s="686">
        <v>181</v>
      </c>
      <c r="E870" s="686">
        <v>1</v>
      </c>
      <c r="F870" s="685">
        <v>11314</v>
      </c>
      <c r="G870" s="686">
        <v>25</v>
      </c>
      <c r="H870" s="686">
        <v>3</v>
      </c>
      <c r="I870" s="686">
        <v>7</v>
      </c>
      <c r="J870" s="527">
        <f t="shared" si="137"/>
        <v>0.490514905149051</v>
      </c>
      <c r="K870" s="687">
        <f t="shared" si="138"/>
        <v>2.53801104972376</v>
      </c>
      <c r="L870" s="1025">
        <f t="shared" si="139"/>
        <v>1244.93224932249</v>
      </c>
      <c r="M870" s="702">
        <f t="shared" si="140"/>
        <v>24.6288475771692</v>
      </c>
      <c r="N870" s="703">
        <f t="shared" si="141"/>
        <v>0.00552486187845304</v>
      </c>
      <c r="O870" s="1081">
        <f t="shared" si="142"/>
        <v>11314</v>
      </c>
      <c r="P870" s="1081">
        <f t="shared" si="143"/>
        <v>459.38</v>
      </c>
      <c r="Q870" s="724">
        <f t="shared" si="144"/>
        <v>18.3752</v>
      </c>
    </row>
    <row r="871" spans="1:17">
      <c r="A871" s="801">
        <v>45518</v>
      </c>
      <c r="B871" s="685">
        <v>429.99</v>
      </c>
      <c r="C871" s="686">
        <v>327</v>
      </c>
      <c r="D871" s="686">
        <v>111</v>
      </c>
      <c r="E871" s="686">
        <v>0</v>
      </c>
      <c r="F871" s="685">
        <v>0</v>
      </c>
      <c r="G871" s="686">
        <v>23</v>
      </c>
      <c r="H871" s="686">
        <v>0</v>
      </c>
      <c r="I871" s="686">
        <v>9</v>
      </c>
      <c r="J871" s="527">
        <f t="shared" si="137"/>
        <v>0.339449541284404</v>
      </c>
      <c r="K871" s="687">
        <f t="shared" si="138"/>
        <v>3.87378378378378</v>
      </c>
      <c r="L871" s="1025">
        <f t="shared" si="139"/>
        <v>1314.95412844037</v>
      </c>
      <c r="M871" s="702">
        <f t="shared" si="140"/>
        <v>0</v>
      </c>
      <c r="N871" s="703">
        <f t="shared" si="141"/>
        <v>0</v>
      </c>
      <c r="O871" s="1081">
        <f t="shared" si="142"/>
        <v>0</v>
      </c>
      <c r="P871" s="1081">
        <f t="shared" si="143"/>
        <v>0</v>
      </c>
      <c r="Q871" s="724">
        <f t="shared" si="144"/>
        <v>18.6952173913043</v>
      </c>
    </row>
    <row r="872" spans="1:17">
      <c r="A872" s="801">
        <v>45519</v>
      </c>
      <c r="B872" s="685">
        <v>433.71</v>
      </c>
      <c r="C872" s="686">
        <v>361</v>
      </c>
      <c r="D872" s="686">
        <v>146</v>
      </c>
      <c r="E872" s="686">
        <v>0</v>
      </c>
      <c r="F872" s="685">
        <v>0</v>
      </c>
      <c r="G872" s="686">
        <v>27</v>
      </c>
      <c r="H872" s="686">
        <v>1</v>
      </c>
      <c r="I872" s="686">
        <v>8</v>
      </c>
      <c r="J872" s="527">
        <f t="shared" si="137"/>
        <v>0.404432132963989</v>
      </c>
      <c r="K872" s="687">
        <f t="shared" si="138"/>
        <v>2.97061643835616</v>
      </c>
      <c r="L872" s="1025">
        <f t="shared" si="139"/>
        <v>1201.41274238227</v>
      </c>
      <c r="M872" s="702">
        <f t="shared" si="140"/>
        <v>0</v>
      </c>
      <c r="N872" s="703">
        <f t="shared" si="141"/>
        <v>0</v>
      </c>
      <c r="O872" s="1081">
        <f t="shared" si="142"/>
        <v>0</v>
      </c>
      <c r="P872" s="1081">
        <f t="shared" si="143"/>
        <v>0</v>
      </c>
      <c r="Q872" s="724">
        <f t="shared" si="144"/>
        <v>16.0633333333333</v>
      </c>
    </row>
    <row r="873" spans="1:17">
      <c r="A873" s="801">
        <v>45520</v>
      </c>
      <c r="B873" s="685">
        <v>373.27</v>
      </c>
      <c r="C873" s="686">
        <v>297</v>
      </c>
      <c r="D873" s="686">
        <v>113</v>
      </c>
      <c r="E873" s="686">
        <v>1</v>
      </c>
      <c r="F873" s="685">
        <v>200</v>
      </c>
      <c r="G873" s="686">
        <v>33</v>
      </c>
      <c r="H873" s="686">
        <v>4</v>
      </c>
      <c r="I873" s="686">
        <v>3</v>
      </c>
      <c r="J873" s="527">
        <f t="shared" si="137"/>
        <v>0.38047138047138</v>
      </c>
      <c r="K873" s="687">
        <f t="shared" si="138"/>
        <v>3.30327433628319</v>
      </c>
      <c r="L873" s="1025">
        <f t="shared" si="139"/>
        <v>1256.80134680135</v>
      </c>
      <c r="M873" s="702">
        <f t="shared" si="140"/>
        <v>0.535805181236103</v>
      </c>
      <c r="N873" s="703">
        <f t="shared" si="141"/>
        <v>0.00884955752212389</v>
      </c>
      <c r="O873" s="1081">
        <f t="shared" si="142"/>
        <v>200</v>
      </c>
      <c r="P873" s="1081">
        <f t="shared" si="143"/>
        <v>373.27</v>
      </c>
      <c r="Q873" s="724">
        <f t="shared" si="144"/>
        <v>11.3112121212121</v>
      </c>
    </row>
    <row r="874" spans="1:17">
      <c r="A874" s="801">
        <v>45521</v>
      </c>
      <c r="B874" s="685">
        <v>328.57</v>
      </c>
      <c r="C874" s="686">
        <v>290</v>
      </c>
      <c r="D874" s="686">
        <v>129</v>
      </c>
      <c r="E874" s="686">
        <v>0</v>
      </c>
      <c r="F874" s="685">
        <v>0</v>
      </c>
      <c r="G874" s="686">
        <v>26</v>
      </c>
      <c r="H874" s="686">
        <v>1</v>
      </c>
      <c r="I874" s="686">
        <v>6</v>
      </c>
      <c r="J874" s="527">
        <f t="shared" si="137"/>
        <v>0.444827586206897</v>
      </c>
      <c r="K874" s="687">
        <f t="shared" si="138"/>
        <v>2.54705426356589</v>
      </c>
      <c r="L874" s="1025">
        <f t="shared" si="139"/>
        <v>1133</v>
      </c>
      <c r="M874" s="702">
        <f t="shared" si="140"/>
        <v>0</v>
      </c>
      <c r="N874" s="703">
        <f t="shared" si="141"/>
        <v>0</v>
      </c>
      <c r="O874" s="1081">
        <f t="shared" si="142"/>
        <v>0</v>
      </c>
      <c r="P874" s="1081">
        <f t="shared" si="143"/>
        <v>0</v>
      </c>
      <c r="Q874" s="724">
        <f t="shared" si="144"/>
        <v>12.6373076923077</v>
      </c>
    </row>
    <row r="875" spans="1:17">
      <c r="A875" s="801">
        <v>45522</v>
      </c>
      <c r="B875" s="685">
        <v>386.08</v>
      </c>
      <c r="C875" s="686">
        <v>338</v>
      </c>
      <c r="D875" s="686">
        <v>140</v>
      </c>
      <c r="E875" s="686">
        <v>0</v>
      </c>
      <c r="F875" s="685">
        <v>0</v>
      </c>
      <c r="G875" s="686">
        <v>22</v>
      </c>
      <c r="H875" s="686">
        <v>2</v>
      </c>
      <c r="I875" s="686">
        <v>4</v>
      </c>
      <c r="J875" s="527">
        <f t="shared" si="137"/>
        <v>0.414201183431953</v>
      </c>
      <c r="K875" s="687">
        <f t="shared" si="138"/>
        <v>2.75771428571429</v>
      </c>
      <c r="L875" s="1025">
        <f t="shared" si="139"/>
        <v>1142.24852071006</v>
      </c>
      <c r="M875" s="702">
        <f t="shared" si="140"/>
        <v>0</v>
      </c>
      <c r="N875" s="703">
        <f t="shared" si="141"/>
        <v>0</v>
      </c>
      <c r="O875" s="1081">
        <f t="shared" si="142"/>
        <v>0</v>
      </c>
      <c r="P875" s="1081">
        <f t="shared" si="143"/>
        <v>0</v>
      </c>
      <c r="Q875" s="724">
        <f t="shared" si="144"/>
        <v>17.5490909090909</v>
      </c>
    </row>
    <row r="876" spans="1:17">
      <c r="A876" s="801">
        <v>45523</v>
      </c>
      <c r="B876" s="685">
        <v>423.78</v>
      </c>
      <c r="C876" s="686">
        <v>352</v>
      </c>
      <c r="D876" s="686">
        <v>113</v>
      </c>
      <c r="E876" s="686">
        <v>0</v>
      </c>
      <c r="F876" s="685">
        <v>0</v>
      </c>
      <c r="G876" s="686">
        <v>30</v>
      </c>
      <c r="H876" s="686">
        <v>3</v>
      </c>
      <c r="I876" s="686">
        <v>7</v>
      </c>
      <c r="J876" s="527">
        <f t="shared" si="137"/>
        <v>0.321022727272727</v>
      </c>
      <c r="K876" s="687">
        <f t="shared" si="138"/>
        <v>3.75026548672566</v>
      </c>
      <c r="L876" s="1025">
        <f t="shared" ref="L876:L913" si="145">B876/C876*1000</f>
        <v>1203.92045454545</v>
      </c>
      <c r="M876" s="702">
        <f t="shared" ref="M876:M913" si="146">F876/B876</f>
        <v>0</v>
      </c>
      <c r="N876" s="703">
        <f t="shared" ref="N876:N913" si="147">E876/D876</f>
        <v>0</v>
      </c>
      <c r="O876" s="1081">
        <f t="shared" ref="O876:O913" si="148">IF(E876=0,0,F876/E876)</f>
        <v>0</v>
      </c>
      <c r="P876" s="1081">
        <f t="shared" ref="P876:P913" si="149">IF(E876=0,0,B876/E876)</f>
        <v>0</v>
      </c>
      <c r="Q876" s="724">
        <f t="shared" ref="Q876:Q913" si="150">B876/G876</f>
        <v>14.126</v>
      </c>
    </row>
    <row r="877" spans="1:17">
      <c r="A877" s="801">
        <v>45524</v>
      </c>
      <c r="B877" s="685">
        <v>449.56</v>
      </c>
      <c r="C877" s="686">
        <v>380</v>
      </c>
      <c r="D877" s="686">
        <v>144</v>
      </c>
      <c r="E877" s="686">
        <v>0</v>
      </c>
      <c r="F877" s="685">
        <v>0</v>
      </c>
      <c r="G877" s="686">
        <v>30</v>
      </c>
      <c r="H877" s="686">
        <v>3</v>
      </c>
      <c r="I877" s="686">
        <v>8</v>
      </c>
      <c r="J877" s="527">
        <f t="shared" si="137"/>
        <v>0.378947368421053</v>
      </c>
      <c r="K877" s="687">
        <f t="shared" si="138"/>
        <v>3.12194444444444</v>
      </c>
      <c r="L877" s="1025">
        <f t="shared" si="145"/>
        <v>1183.05263157895</v>
      </c>
      <c r="M877" s="702">
        <f t="shared" si="146"/>
        <v>0</v>
      </c>
      <c r="N877" s="703">
        <f t="shared" si="147"/>
        <v>0</v>
      </c>
      <c r="O877" s="1081">
        <f t="shared" si="148"/>
        <v>0</v>
      </c>
      <c r="P877" s="1081">
        <f t="shared" si="149"/>
        <v>0</v>
      </c>
      <c r="Q877" s="724">
        <f t="shared" si="150"/>
        <v>14.9853333333333</v>
      </c>
    </row>
    <row r="878" spans="1:17">
      <c r="A878" s="801">
        <v>45525</v>
      </c>
      <c r="B878" s="685">
        <v>477.22</v>
      </c>
      <c r="C878" s="686">
        <v>371</v>
      </c>
      <c r="D878" s="686">
        <v>118</v>
      </c>
      <c r="E878" s="686">
        <v>2</v>
      </c>
      <c r="F878" s="685">
        <v>21692</v>
      </c>
      <c r="G878" s="686">
        <v>27</v>
      </c>
      <c r="H878" s="686">
        <v>1</v>
      </c>
      <c r="I878" s="686">
        <v>6</v>
      </c>
      <c r="J878" s="527">
        <f t="shared" si="137"/>
        <v>0.318059299191375</v>
      </c>
      <c r="K878" s="687">
        <f t="shared" si="138"/>
        <v>4.04423728813559</v>
      </c>
      <c r="L878" s="1025">
        <f t="shared" si="145"/>
        <v>1286.30727762803</v>
      </c>
      <c r="M878" s="702">
        <f t="shared" si="146"/>
        <v>45.4549264490172</v>
      </c>
      <c r="N878" s="703">
        <f t="shared" si="147"/>
        <v>0.0169491525423729</v>
      </c>
      <c r="O878" s="1081">
        <f t="shared" si="148"/>
        <v>10846</v>
      </c>
      <c r="P878" s="1081">
        <f t="shared" si="149"/>
        <v>238.61</v>
      </c>
      <c r="Q878" s="724">
        <f t="shared" si="150"/>
        <v>17.6748148148148</v>
      </c>
    </row>
    <row r="879" spans="1:17">
      <c r="A879" s="801">
        <v>45526</v>
      </c>
      <c r="B879" s="685">
        <v>401.09</v>
      </c>
      <c r="C879" s="686">
        <v>319</v>
      </c>
      <c r="D879" s="686">
        <v>113</v>
      </c>
      <c r="E879" s="686">
        <v>0</v>
      </c>
      <c r="F879" s="685">
        <v>0</v>
      </c>
      <c r="G879" s="686">
        <v>23</v>
      </c>
      <c r="H879" s="686">
        <v>3</v>
      </c>
      <c r="I879" s="686">
        <v>5</v>
      </c>
      <c r="J879" s="527">
        <f t="shared" si="137"/>
        <v>0.35423197492163</v>
      </c>
      <c r="K879" s="687">
        <f t="shared" si="138"/>
        <v>3.54946902654867</v>
      </c>
      <c r="L879" s="1025">
        <f t="shared" si="145"/>
        <v>1257.33542319749</v>
      </c>
      <c r="M879" s="702">
        <f t="shared" si="146"/>
        <v>0</v>
      </c>
      <c r="N879" s="703">
        <f t="shared" si="147"/>
        <v>0</v>
      </c>
      <c r="O879" s="1081">
        <f t="shared" si="148"/>
        <v>0</v>
      </c>
      <c r="P879" s="1081">
        <f t="shared" si="149"/>
        <v>0</v>
      </c>
      <c r="Q879" s="724">
        <f t="shared" si="150"/>
        <v>17.4386956521739</v>
      </c>
    </row>
    <row r="880" spans="1:17">
      <c r="A880" s="801">
        <v>45527</v>
      </c>
      <c r="B880" s="685">
        <v>358.95</v>
      </c>
      <c r="C880" s="686">
        <v>302</v>
      </c>
      <c r="D880" s="686">
        <v>102</v>
      </c>
      <c r="E880" s="686">
        <v>1</v>
      </c>
      <c r="F880" s="685">
        <v>4447</v>
      </c>
      <c r="G880" s="686">
        <v>11</v>
      </c>
      <c r="H880" s="686">
        <v>3</v>
      </c>
      <c r="I880" s="686">
        <v>7</v>
      </c>
      <c r="J880" s="527">
        <f t="shared" si="137"/>
        <v>0.337748344370861</v>
      </c>
      <c r="K880" s="687">
        <f t="shared" si="138"/>
        <v>3.51911764705882</v>
      </c>
      <c r="L880" s="1025">
        <f t="shared" si="145"/>
        <v>1188.5761589404</v>
      </c>
      <c r="M880" s="702">
        <f t="shared" si="146"/>
        <v>12.38891210475</v>
      </c>
      <c r="N880" s="703">
        <f t="shared" si="147"/>
        <v>0.00980392156862745</v>
      </c>
      <c r="O880" s="1081">
        <f t="shared" si="148"/>
        <v>4447</v>
      </c>
      <c r="P880" s="1081">
        <f t="shared" si="149"/>
        <v>358.95</v>
      </c>
      <c r="Q880" s="724">
        <f t="shared" si="150"/>
        <v>32.6318181818182</v>
      </c>
    </row>
    <row r="881" spans="1:17">
      <c r="A881" s="801">
        <v>45528</v>
      </c>
      <c r="B881" s="685">
        <v>501.58</v>
      </c>
      <c r="C881" s="686">
        <v>415</v>
      </c>
      <c r="D881" s="686">
        <v>155</v>
      </c>
      <c r="E881" s="686">
        <v>2</v>
      </c>
      <c r="F881" s="685">
        <v>31593</v>
      </c>
      <c r="G881" s="686">
        <v>27</v>
      </c>
      <c r="H881" s="686">
        <v>4</v>
      </c>
      <c r="I881" s="686">
        <v>6</v>
      </c>
      <c r="J881" s="527">
        <f t="shared" si="137"/>
        <v>0.373493975903614</v>
      </c>
      <c r="K881" s="687">
        <f t="shared" si="138"/>
        <v>3.236</v>
      </c>
      <c r="L881" s="1025">
        <f t="shared" si="145"/>
        <v>1208.6265060241</v>
      </c>
      <c r="M881" s="702">
        <f t="shared" si="146"/>
        <v>62.9869612025998</v>
      </c>
      <c r="N881" s="703">
        <f t="shared" si="147"/>
        <v>0.0129032258064516</v>
      </c>
      <c r="O881" s="1081">
        <f t="shared" si="148"/>
        <v>15796.5</v>
      </c>
      <c r="P881" s="1081">
        <f t="shared" si="149"/>
        <v>250.79</v>
      </c>
      <c r="Q881" s="724">
        <f t="shared" si="150"/>
        <v>18.577037037037</v>
      </c>
    </row>
    <row r="882" spans="1:17">
      <c r="A882" s="801">
        <v>45529</v>
      </c>
      <c r="B882" s="685">
        <v>478.2</v>
      </c>
      <c r="C882" s="686">
        <v>383</v>
      </c>
      <c r="D882" s="686">
        <v>132</v>
      </c>
      <c r="E882" s="686">
        <v>4</v>
      </c>
      <c r="F882" s="685">
        <v>50624</v>
      </c>
      <c r="G882" s="686">
        <v>29</v>
      </c>
      <c r="H882" s="686">
        <v>2</v>
      </c>
      <c r="I882" s="686">
        <v>5</v>
      </c>
      <c r="J882" s="527">
        <f t="shared" si="137"/>
        <v>0.344647519582245</v>
      </c>
      <c r="K882" s="687">
        <f t="shared" si="138"/>
        <v>3.62272727272727</v>
      </c>
      <c r="L882" s="1025">
        <f t="shared" si="145"/>
        <v>1248.56396866841</v>
      </c>
      <c r="M882" s="702">
        <f t="shared" si="146"/>
        <v>105.86365537432</v>
      </c>
      <c r="N882" s="703">
        <f t="shared" si="147"/>
        <v>0.0303030303030303</v>
      </c>
      <c r="O882" s="1081">
        <f t="shared" si="148"/>
        <v>12656</v>
      </c>
      <c r="P882" s="1081">
        <f t="shared" si="149"/>
        <v>119.55</v>
      </c>
      <c r="Q882" s="724">
        <f t="shared" si="150"/>
        <v>16.4896551724138</v>
      </c>
    </row>
    <row r="883" spans="1:17">
      <c r="A883" s="801">
        <v>45530</v>
      </c>
      <c r="B883" s="685">
        <v>483.41</v>
      </c>
      <c r="C883" s="686">
        <v>404</v>
      </c>
      <c r="D883" s="686">
        <v>166</v>
      </c>
      <c r="E883" s="686">
        <v>3</v>
      </c>
      <c r="F883" s="685">
        <v>33841.98</v>
      </c>
      <c r="G883" s="686">
        <v>30</v>
      </c>
      <c r="H883" s="686">
        <v>3</v>
      </c>
      <c r="I883" s="686">
        <v>9</v>
      </c>
      <c r="J883" s="527">
        <f t="shared" si="137"/>
        <v>0.410891089108911</v>
      </c>
      <c r="K883" s="687">
        <f t="shared" si="138"/>
        <v>2.91210843373494</v>
      </c>
      <c r="L883" s="1025">
        <f t="shared" si="145"/>
        <v>1196.55940594059</v>
      </c>
      <c r="M883" s="702">
        <f t="shared" si="146"/>
        <v>70.0067851306345</v>
      </c>
      <c r="N883" s="703">
        <f t="shared" si="147"/>
        <v>0.0180722891566265</v>
      </c>
      <c r="O883" s="1081">
        <f t="shared" si="148"/>
        <v>11280.66</v>
      </c>
      <c r="P883" s="1081">
        <f t="shared" si="149"/>
        <v>161.136666666667</v>
      </c>
      <c r="Q883" s="724">
        <f t="shared" si="150"/>
        <v>16.1136666666667</v>
      </c>
    </row>
    <row r="884" spans="1:17">
      <c r="A884" s="801">
        <v>45531</v>
      </c>
      <c r="B884" s="685">
        <v>545.89</v>
      </c>
      <c r="C884" s="686">
        <v>469</v>
      </c>
      <c r="D884" s="686">
        <v>150</v>
      </c>
      <c r="E884" s="686">
        <v>2</v>
      </c>
      <c r="F884" s="685">
        <v>11298.9</v>
      </c>
      <c r="G884" s="686">
        <v>29</v>
      </c>
      <c r="H884" s="686">
        <v>0</v>
      </c>
      <c r="I884" s="686">
        <v>15</v>
      </c>
      <c r="J884" s="527">
        <f t="shared" si="137"/>
        <v>0.319829424307036</v>
      </c>
      <c r="K884" s="687">
        <f t="shared" si="138"/>
        <v>3.63926666666667</v>
      </c>
      <c r="L884" s="1025">
        <f t="shared" si="145"/>
        <v>1163.94456289979</v>
      </c>
      <c r="M884" s="702">
        <f t="shared" si="146"/>
        <v>20.6981259960798</v>
      </c>
      <c r="N884" s="703">
        <f t="shared" si="147"/>
        <v>0.0133333333333333</v>
      </c>
      <c r="O884" s="1081">
        <f t="shared" si="148"/>
        <v>5649.45</v>
      </c>
      <c r="P884" s="1081">
        <f t="shared" si="149"/>
        <v>272.945</v>
      </c>
      <c r="Q884" s="724">
        <f t="shared" si="150"/>
        <v>18.8237931034483</v>
      </c>
    </row>
    <row r="885" spans="1:17">
      <c r="A885" s="801">
        <v>45532</v>
      </c>
      <c r="B885" s="685">
        <v>497.23</v>
      </c>
      <c r="C885" s="686">
        <v>451</v>
      </c>
      <c r="D885" s="686">
        <v>121</v>
      </c>
      <c r="E885" s="686">
        <v>4</v>
      </c>
      <c r="F885" s="685">
        <v>60719.9</v>
      </c>
      <c r="G885" s="686">
        <v>14</v>
      </c>
      <c r="H885" s="686">
        <v>3</v>
      </c>
      <c r="I885" s="686">
        <v>12</v>
      </c>
      <c r="J885" s="527">
        <f t="shared" si="137"/>
        <v>0.268292682926829</v>
      </c>
      <c r="K885" s="687">
        <f t="shared" si="138"/>
        <v>4.10933884297521</v>
      </c>
      <c r="L885" s="1025">
        <f t="shared" si="145"/>
        <v>1102.50554323725</v>
      </c>
      <c r="M885" s="702">
        <f t="shared" si="146"/>
        <v>122.116324437383</v>
      </c>
      <c r="N885" s="703">
        <f t="shared" si="147"/>
        <v>0.0330578512396694</v>
      </c>
      <c r="O885" s="1081">
        <f t="shared" si="148"/>
        <v>15179.975</v>
      </c>
      <c r="P885" s="1081">
        <f t="shared" si="149"/>
        <v>124.3075</v>
      </c>
      <c r="Q885" s="724">
        <f t="shared" si="150"/>
        <v>35.5164285714286</v>
      </c>
    </row>
    <row r="886" spans="1:17">
      <c r="A886" s="801">
        <v>45533</v>
      </c>
      <c r="B886" s="685">
        <v>545.46</v>
      </c>
      <c r="C886" s="686">
        <v>475</v>
      </c>
      <c r="D886" s="686">
        <v>159</v>
      </c>
      <c r="E886" s="686">
        <v>0</v>
      </c>
      <c r="F886" s="685">
        <v>0</v>
      </c>
      <c r="G886" s="686">
        <v>34</v>
      </c>
      <c r="H886" s="686">
        <v>3</v>
      </c>
      <c r="I886" s="686">
        <v>7</v>
      </c>
      <c r="J886" s="527">
        <f t="shared" si="137"/>
        <v>0.334736842105263</v>
      </c>
      <c r="K886" s="687">
        <f t="shared" si="138"/>
        <v>3.43056603773585</v>
      </c>
      <c r="L886" s="1025">
        <f t="shared" si="145"/>
        <v>1148.33684210526</v>
      </c>
      <c r="M886" s="702">
        <f t="shared" si="146"/>
        <v>0</v>
      </c>
      <c r="N886" s="703">
        <f t="shared" si="147"/>
        <v>0</v>
      </c>
      <c r="O886" s="1081">
        <f t="shared" si="148"/>
        <v>0</v>
      </c>
      <c r="P886" s="1081">
        <f t="shared" si="149"/>
        <v>0</v>
      </c>
      <c r="Q886" s="724">
        <f t="shared" si="150"/>
        <v>16.0429411764706</v>
      </c>
    </row>
    <row r="887" spans="1:17">
      <c r="A887" s="801">
        <v>45534</v>
      </c>
      <c r="B887" s="685">
        <v>473.76</v>
      </c>
      <c r="C887" s="686">
        <v>405</v>
      </c>
      <c r="D887" s="686">
        <v>120</v>
      </c>
      <c r="E887" s="686">
        <v>0</v>
      </c>
      <c r="F887" s="685">
        <v>0</v>
      </c>
      <c r="G887" s="686">
        <v>27</v>
      </c>
      <c r="H887" s="686">
        <v>2</v>
      </c>
      <c r="I887" s="686">
        <v>4</v>
      </c>
      <c r="J887" s="527">
        <f t="shared" si="137"/>
        <v>0.296296296296296</v>
      </c>
      <c r="K887" s="687">
        <f t="shared" si="138"/>
        <v>3.948</v>
      </c>
      <c r="L887" s="1025">
        <f t="shared" si="145"/>
        <v>1169.77777777778</v>
      </c>
      <c r="M887" s="702">
        <f t="shared" si="146"/>
        <v>0</v>
      </c>
      <c r="N887" s="703">
        <f t="shared" si="147"/>
        <v>0</v>
      </c>
      <c r="O887" s="1081">
        <f t="shared" si="148"/>
        <v>0</v>
      </c>
      <c r="P887" s="1081">
        <f t="shared" si="149"/>
        <v>0</v>
      </c>
      <c r="Q887" s="724">
        <f t="shared" si="150"/>
        <v>17.5466666666667</v>
      </c>
    </row>
    <row r="888" spans="1:17">
      <c r="A888" s="801">
        <v>45535</v>
      </c>
      <c r="B888" s="685">
        <v>372.18</v>
      </c>
      <c r="C888" s="686">
        <v>321</v>
      </c>
      <c r="D888" s="686">
        <v>99</v>
      </c>
      <c r="E888" s="686">
        <v>0</v>
      </c>
      <c r="F888" s="685">
        <v>0</v>
      </c>
      <c r="G888" s="686">
        <v>16</v>
      </c>
      <c r="H888" s="686">
        <v>2</v>
      </c>
      <c r="I888" s="686">
        <v>4</v>
      </c>
      <c r="J888" s="527">
        <f t="shared" si="137"/>
        <v>0.308411214953271</v>
      </c>
      <c r="K888" s="687">
        <f t="shared" si="138"/>
        <v>3.75939393939394</v>
      </c>
      <c r="L888" s="1025">
        <f t="shared" si="145"/>
        <v>1159.43925233645</v>
      </c>
      <c r="M888" s="702">
        <f t="shared" si="146"/>
        <v>0</v>
      </c>
      <c r="N888" s="703">
        <f t="shared" si="147"/>
        <v>0</v>
      </c>
      <c r="O888" s="1081">
        <f t="shared" si="148"/>
        <v>0</v>
      </c>
      <c r="P888" s="1081">
        <f t="shared" si="149"/>
        <v>0</v>
      </c>
      <c r="Q888" s="724">
        <f t="shared" si="150"/>
        <v>23.26125</v>
      </c>
    </row>
    <row r="889" spans="1:17">
      <c r="A889" s="801">
        <v>45536</v>
      </c>
      <c r="B889" s="685">
        <v>523.95</v>
      </c>
      <c r="C889" s="686">
        <v>448</v>
      </c>
      <c r="D889" s="686">
        <v>160</v>
      </c>
      <c r="E889" s="686">
        <v>2</v>
      </c>
      <c r="F889" s="685">
        <v>20171</v>
      </c>
      <c r="G889" s="686">
        <v>22</v>
      </c>
      <c r="H889" s="686">
        <v>3</v>
      </c>
      <c r="I889" s="686">
        <v>4</v>
      </c>
      <c r="J889" s="527">
        <f t="shared" si="137"/>
        <v>0.357142857142857</v>
      </c>
      <c r="K889" s="687">
        <f t="shared" si="138"/>
        <v>3.2746875</v>
      </c>
      <c r="L889" s="1025">
        <f t="shared" si="145"/>
        <v>1169.53125</v>
      </c>
      <c r="M889" s="702">
        <f t="shared" si="146"/>
        <v>38.4979482775074</v>
      </c>
      <c r="N889" s="703">
        <f t="shared" si="147"/>
        <v>0.0125</v>
      </c>
      <c r="O889" s="1081">
        <f t="shared" si="148"/>
        <v>10085.5</v>
      </c>
      <c r="P889" s="1081">
        <f t="shared" si="149"/>
        <v>261.975</v>
      </c>
      <c r="Q889" s="724">
        <f t="shared" si="150"/>
        <v>23.8159090909091</v>
      </c>
    </row>
    <row r="890" spans="1:17">
      <c r="A890" s="801">
        <v>45537</v>
      </c>
      <c r="B890" s="685">
        <v>561.94</v>
      </c>
      <c r="C890" s="686">
        <v>463</v>
      </c>
      <c r="D890" s="686">
        <v>165</v>
      </c>
      <c r="E890" s="686">
        <v>3</v>
      </c>
      <c r="F890" s="685">
        <v>24944.9</v>
      </c>
      <c r="G890" s="686">
        <v>37</v>
      </c>
      <c r="H890" s="686">
        <v>3</v>
      </c>
      <c r="I890" s="686">
        <v>6</v>
      </c>
      <c r="J890" s="527">
        <f t="shared" si="137"/>
        <v>0.356371490280778</v>
      </c>
      <c r="K890" s="687">
        <f t="shared" si="138"/>
        <v>3.40569696969697</v>
      </c>
      <c r="L890" s="1025">
        <f t="shared" si="145"/>
        <v>1213.69330453564</v>
      </c>
      <c r="M890" s="702">
        <f t="shared" si="146"/>
        <v>44.3906822792469</v>
      </c>
      <c r="N890" s="703">
        <f t="shared" si="147"/>
        <v>0.0181818181818182</v>
      </c>
      <c r="O890" s="1081">
        <f t="shared" si="148"/>
        <v>8314.96666666667</v>
      </c>
      <c r="P890" s="1081">
        <f t="shared" si="149"/>
        <v>187.313333333333</v>
      </c>
      <c r="Q890" s="724">
        <f t="shared" si="150"/>
        <v>15.1875675675676</v>
      </c>
    </row>
    <row r="891" spans="1:17">
      <c r="A891" s="801">
        <v>45538</v>
      </c>
      <c r="B891" s="685">
        <v>577.58</v>
      </c>
      <c r="C891" s="686">
        <v>472</v>
      </c>
      <c r="D891" s="686">
        <v>141</v>
      </c>
      <c r="E891" s="686">
        <v>7</v>
      </c>
      <c r="F891" s="685">
        <v>90349.9</v>
      </c>
      <c r="G891" s="686">
        <v>50</v>
      </c>
      <c r="H891" s="686">
        <v>9</v>
      </c>
      <c r="I891" s="686">
        <v>6</v>
      </c>
      <c r="J891" s="527">
        <f t="shared" si="137"/>
        <v>0.298728813559322</v>
      </c>
      <c r="K891" s="687">
        <f t="shared" si="138"/>
        <v>4.09631205673759</v>
      </c>
      <c r="L891" s="1025">
        <f t="shared" si="145"/>
        <v>1223.68644067797</v>
      </c>
      <c r="M891" s="702">
        <f t="shared" si="146"/>
        <v>156.428373558641</v>
      </c>
      <c r="N891" s="703">
        <f t="shared" si="147"/>
        <v>0.049645390070922</v>
      </c>
      <c r="O891" s="1081">
        <f t="shared" si="148"/>
        <v>12907.1285714286</v>
      </c>
      <c r="P891" s="1081">
        <f t="shared" si="149"/>
        <v>82.5114285714286</v>
      </c>
      <c r="Q891" s="724">
        <f t="shared" si="150"/>
        <v>11.5516</v>
      </c>
    </row>
    <row r="892" spans="1:17">
      <c r="A892" s="801">
        <v>45539</v>
      </c>
      <c r="B892" s="685">
        <v>587.6</v>
      </c>
      <c r="C892" s="686">
        <v>522</v>
      </c>
      <c r="D892" s="686">
        <v>160</v>
      </c>
      <c r="E892" s="686">
        <v>0</v>
      </c>
      <c r="F892" s="685">
        <v>0</v>
      </c>
      <c r="G892" s="686">
        <v>32</v>
      </c>
      <c r="H892" s="686">
        <v>6</v>
      </c>
      <c r="I892" s="686">
        <v>11</v>
      </c>
      <c r="J892" s="527">
        <f t="shared" si="137"/>
        <v>0.306513409961686</v>
      </c>
      <c r="K892" s="687">
        <f t="shared" si="138"/>
        <v>3.6725</v>
      </c>
      <c r="L892" s="1025">
        <f t="shared" si="145"/>
        <v>1125.67049808429</v>
      </c>
      <c r="M892" s="702">
        <f t="shared" si="146"/>
        <v>0</v>
      </c>
      <c r="N892" s="703">
        <f t="shared" si="147"/>
        <v>0</v>
      </c>
      <c r="O892" s="1081">
        <f t="shared" si="148"/>
        <v>0</v>
      </c>
      <c r="P892" s="1081">
        <f t="shared" si="149"/>
        <v>0</v>
      </c>
      <c r="Q892" s="724">
        <f t="shared" si="150"/>
        <v>18.3625</v>
      </c>
    </row>
    <row r="893" spans="1:17">
      <c r="A893" s="801">
        <v>45540</v>
      </c>
      <c r="B893" s="685">
        <v>534.11</v>
      </c>
      <c r="C893" s="686">
        <v>450</v>
      </c>
      <c r="D893" s="686">
        <v>124</v>
      </c>
      <c r="E893" s="686">
        <v>1</v>
      </c>
      <c r="F893" s="685">
        <v>9.9</v>
      </c>
      <c r="G893" s="686">
        <v>30</v>
      </c>
      <c r="H893" s="686">
        <v>1</v>
      </c>
      <c r="I893" s="686">
        <v>7</v>
      </c>
      <c r="J893" s="527">
        <f t="shared" si="137"/>
        <v>0.275555555555556</v>
      </c>
      <c r="K893" s="687">
        <f t="shared" si="138"/>
        <v>4.30733870967742</v>
      </c>
      <c r="L893" s="1025">
        <f t="shared" si="145"/>
        <v>1186.91111111111</v>
      </c>
      <c r="M893" s="702">
        <f t="shared" si="146"/>
        <v>0.01853550766696</v>
      </c>
      <c r="N893" s="703">
        <f t="shared" si="147"/>
        <v>0.00806451612903226</v>
      </c>
      <c r="O893" s="1081">
        <f t="shared" si="148"/>
        <v>9.9</v>
      </c>
      <c r="P893" s="1081">
        <f t="shared" si="149"/>
        <v>534.11</v>
      </c>
      <c r="Q893" s="724">
        <f t="shared" si="150"/>
        <v>17.8036666666667</v>
      </c>
    </row>
    <row r="894" spans="1:17">
      <c r="A894" s="801">
        <v>45541</v>
      </c>
      <c r="B894" s="685">
        <v>487.5</v>
      </c>
      <c r="C894" s="686">
        <v>411</v>
      </c>
      <c r="D894" s="686">
        <v>134</v>
      </c>
      <c r="E894" s="686">
        <v>2</v>
      </c>
      <c r="F894" s="685">
        <v>11343.9</v>
      </c>
      <c r="G894" s="686">
        <v>47</v>
      </c>
      <c r="H894" s="686">
        <v>5</v>
      </c>
      <c r="I894" s="686">
        <v>8</v>
      </c>
      <c r="J894" s="527">
        <f t="shared" si="137"/>
        <v>0.326034063260341</v>
      </c>
      <c r="K894" s="687">
        <f t="shared" si="138"/>
        <v>3.63805970149254</v>
      </c>
      <c r="L894" s="1025">
        <f t="shared" si="145"/>
        <v>1186.13138686131</v>
      </c>
      <c r="M894" s="702">
        <f t="shared" si="146"/>
        <v>23.2695384615385</v>
      </c>
      <c r="N894" s="703">
        <f t="shared" si="147"/>
        <v>0.0149253731343284</v>
      </c>
      <c r="O894" s="1081">
        <f t="shared" si="148"/>
        <v>5671.95</v>
      </c>
      <c r="P894" s="1081">
        <f t="shared" si="149"/>
        <v>243.75</v>
      </c>
      <c r="Q894" s="724">
        <f t="shared" si="150"/>
        <v>10.3723404255319</v>
      </c>
    </row>
    <row r="895" spans="1:17">
      <c r="A895" s="801">
        <v>45542</v>
      </c>
      <c r="B895" s="685">
        <v>482.79</v>
      </c>
      <c r="C895" s="686">
        <v>397</v>
      </c>
      <c r="D895" s="686">
        <v>117</v>
      </c>
      <c r="E895" s="686">
        <v>2</v>
      </c>
      <c r="F895" s="685">
        <v>19.8</v>
      </c>
      <c r="G895" s="686">
        <v>31</v>
      </c>
      <c r="H895" s="686">
        <v>7</v>
      </c>
      <c r="I895" s="686">
        <v>3</v>
      </c>
      <c r="J895" s="527">
        <f t="shared" si="137"/>
        <v>0.294710327455919</v>
      </c>
      <c r="K895" s="687">
        <f t="shared" si="138"/>
        <v>4.12641025641026</v>
      </c>
      <c r="L895" s="1025">
        <f t="shared" si="145"/>
        <v>1216.09571788413</v>
      </c>
      <c r="M895" s="702">
        <f t="shared" si="146"/>
        <v>0.0410116199589884</v>
      </c>
      <c r="N895" s="703">
        <f t="shared" si="147"/>
        <v>0.0170940170940171</v>
      </c>
      <c r="O895" s="1081">
        <f t="shared" si="148"/>
        <v>9.9</v>
      </c>
      <c r="P895" s="1081">
        <f t="shared" si="149"/>
        <v>241.395</v>
      </c>
      <c r="Q895" s="724">
        <f t="shared" si="150"/>
        <v>15.5738709677419</v>
      </c>
    </row>
    <row r="896" spans="1:17">
      <c r="A896" s="801">
        <v>45543</v>
      </c>
      <c r="B896" s="685">
        <v>443.33</v>
      </c>
      <c r="C896" s="686">
        <v>378</v>
      </c>
      <c r="D896" s="686">
        <v>120</v>
      </c>
      <c r="E896" s="686">
        <v>1</v>
      </c>
      <c r="F896" s="685">
        <v>20979</v>
      </c>
      <c r="G896" s="686">
        <v>14</v>
      </c>
      <c r="H896" s="686">
        <v>3</v>
      </c>
      <c r="I896" s="686">
        <v>6</v>
      </c>
      <c r="J896" s="527">
        <f t="shared" si="137"/>
        <v>0.317460317460317</v>
      </c>
      <c r="K896" s="687">
        <f t="shared" si="138"/>
        <v>3.69441666666667</v>
      </c>
      <c r="L896" s="1025">
        <f t="shared" si="145"/>
        <v>1172.83068783069</v>
      </c>
      <c r="M896" s="702">
        <f t="shared" si="146"/>
        <v>47.3214084316423</v>
      </c>
      <c r="N896" s="703">
        <f t="shared" si="147"/>
        <v>0.00833333333333333</v>
      </c>
      <c r="O896" s="1081">
        <f t="shared" si="148"/>
        <v>20979</v>
      </c>
      <c r="P896" s="1081">
        <f t="shared" si="149"/>
        <v>443.33</v>
      </c>
      <c r="Q896" s="724">
        <f t="shared" si="150"/>
        <v>31.6664285714286</v>
      </c>
    </row>
    <row r="897" spans="1:17">
      <c r="A897" s="801">
        <v>45544</v>
      </c>
      <c r="B897" s="685">
        <v>452.92</v>
      </c>
      <c r="C897" s="686">
        <v>357</v>
      </c>
      <c r="D897" s="686">
        <v>139</v>
      </c>
      <c r="E897" s="686">
        <v>2</v>
      </c>
      <c r="F897" s="685">
        <v>11163.9</v>
      </c>
      <c r="G897" s="686">
        <v>27</v>
      </c>
      <c r="H897" s="686">
        <v>2</v>
      </c>
      <c r="I897" s="686">
        <v>10</v>
      </c>
      <c r="J897" s="527">
        <f t="shared" si="137"/>
        <v>0.389355742296919</v>
      </c>
      <c r="K897" s="687">
        <f t="shared" si="138"/>
        <v>3.25841726618705</v>
      </c>
      <c r="L897" s="1025">
        <f t="shared" si="145"/>
        <v>1268.68347338936</v>
      </c>
      <c r="M897" s="702">
        <f t="shared" si="146"/>
        <v>24.6487238364391</v>
      </c>
      <c r="N897" s="703">
        <f t="shared" si="147"/>
        <v>0.0143884892086331</v>
      </c>
      <c r="O897" s="1081">
        <f t="shared" si="148"/>
        <v>5581.95</v>
      </c>
      <c r="P897" s="1081">
        <f t="shared" si="149"/>
        <v>226.46</v>
      </c>
      <c r="Q897" s="724">
        <f t="shared" si="150"/>
        <v>16.7748148148148</v>
      </c>
    </row>
    <row r="898" spans="1:17">
      <c r="A898" s="801">
        <v>45545</v>
      </c>
      <c r="B898" s="685">
        <v>483.57</v>
      </c>
      <c r="C898" s="686">
        <v>380</v>
      </c>
      <c r="D898" s="686">
        <v>157</v>
      </c>
      <c r="E898" s="686">
        <v>3</v>
      </c>
      <c r="F898" s="685">
        <v>26337.9</v>
      </c>
      <c r="G898" s="686">
        <v>41</v>
      </c>
      <c r="H898" s="686">
        <v>4</v>
      </c>
      <c r="I898" s="686">
        <v>8</v>
      </c>
      <c r="J898" s="527">
        <f t="shared" ref="J898:J961" si="151">D898/C898</f>
        <v>0.413157894736842</v>
      </c>
      <c r="K898" s="687">
        <f t="shared" ref="K898:K961" si="152">B898/D898</f>
        <v>3.08006369426752</v>
      </c>
      <c r="L898" s="1025">
        <f t="shared" si="145"/>
        <v>1272.55263157895</v>
      </c>
      <c r="M898" s="702">
        <f t="shared" si="146"/>
        <v>54.465537564365</v>
      </c>
      <c r="N898" s="703">
        <f t="shared" si="147"/>
        <v>0.0191082802547771</v>
      </c>
      <c r="O898" s="1081">
        <f t="shared" si="148"/>
        <v>8779.3</v>
      </c>
      <c r="P898" s="1081">
        <f t="shared" si="149"/>
        <v>161.19</v>
      </c>
      <c r="Q898" s="724">
        <f t="shared" si="150"/>
        <v>11.7943902439024</v>
      </c>
    </row>
    <row r="899" spans="1:17">
      <c r="A899" s="801">
        <v>45546</v>
      </c>
      <c r="B899" s="685">
        <v>530.69</v>
      </c>
      <c r="C899" s="686">
        <v>433</v>
      </c>
      <c r="D899" s="686">
        <v>138</v>
      </c>
      <c r="E899" s="686">
        <v>3</v>
      </c>
      <c r="F899" s="685">
        <v>14873.8</v>
      </c>
      <c r="G899" s="686">
        <v>36</v>
      </c>
      <c r="H899" s="686">
        <v>3</v>
      </c>
      <c r="I899" s="686">
        <v>3</v>
      </c>
      <c r="J899" s="527">
        <f t="shared" si="151"/>
        <v>0.318706697459584</v>
      </c>
      <c r="K899" s="687">
        <f t="shared" si="152"/>
        <v>3.84557971014493</v>
      </c>
      <c r="L899" s="1025">
        <f t="shared" si="145"/>
        <v>1225.61200923788</v>
      </c>
      <c r="M899" s="702">
        <f t="shared" si="146"/>
        <v>28.0272852324332</v>
      </c>
      <c r="N899" s="703">
        <f t="shared" si="147"/>
        <v>0.0217391304347826</v>
      </c>
      <c r="O899" s="1081">
        <f t="shared" si="148"/>
        <v>4957.93333333333</v>
      </c>
      <c r="P899" s="1081">
        <f t="shared" si="149"/>
        <v>176.896666666667</v>
      </c>
      <c r="Q899" s="724">
        <f t="shared" si="150"/>
        <v>14.7413888888889</v>
      </c>
    </row>
    <row r="900" spans="1:17">
      <c r="A900" s="801">
        <v>45547</v>
      </c>
      <c r="B900" s="685">
        <v>485.59</v>
      </c>
      <c r="C900" s="686">
        <v>398</v>
      </c>
      <c r="D900" s="686">
        <v>122</v>
      </c>
      <c r="E900" s="686">
        <v>2</v>
      </c>
      <c r="F900" s="685">
        <v>49054</v>
      </c>
      <c r="G900" s="686">
        <v>26</v>
      </c>
      <c r="H900" s="686">
        <v>8</v>
      </c>
      <c r="I900" s="686">
        <v>6</v>
      </c>
      <c r="J900" s="527">
        <f t="shared" si="151"/>
        <v>0.306532663316583</v>
      </c>
      <c r="K900" s="687">
        <f t="shared" si="152"/>
        <v>3.98024590163934</v>
      </c>
      <c r="L900" s="1025">
        <f t="shared" si="145"/>
        <v>1220.07537688442</v>
      </c>
      <c r="M900" s="702">
        <f t="shared" si="146"/>
        <v>101.019378488025</v>
      </c>
      <c r="N900" s="703">
        <f t="shared" si="147"/>
        <v>0.0163934426229508</v>
      </c>
      <c r="O900" s="1081">
        <f t="shared" si="148"/>
        <v>24527</v>
      </c>
      <c r="P900" s="1081">
        <f t="shared" si="149"/>
        <v>242.795</v>
      </c>
      <c r="Q900" s="724">
        <f t="shared" si="150"/>
        <v>18.6765384615385</v>
      </c>
    </row>
    <row r="901" spans="1:17">
      <c r="A901" s="801">
        <v>45548</v>
      </c>
      <c r="B901" s="685">
        <v>446.67</v>
      </c>
      <c r="C901" s="686">
        <v>384</v>
      </c>
      <c r="D901" s="686">
        <v>120</v>
      </c>
      <c r="E901" s="686">
        <v>1</v>
      </c>
      <c r="F901" s="685">
        <v>11314</v>
      </c>
      <c r="G901" s="686">
        <v>24</v>
      </c>
      <c r="H901" s="686">
        <v>4</v>
      </c>
      <c r="I901" s="686">
        <v>2</v>
      </c>
      <c r="J901" s="527">
        <f t="shared" si="151"/>
        <v>0.3125</v>
      </c>
      <c r="K901" s="687">
        <f t="shared" si="152"/>
        <v>3.72225</v>
      </c>
      <c r="L901" s="1025">
        <f t="shared" si="145"/>
        <v>1163.203125</v>
      </c>
      <c r="M901" s="702">
        <f t="shared" si="146"/>
        <v>25.3296617189424</v>
      </c>
      <c r="N901" s="703">
        <f t="shared" si="147"/>
        <v>0.00833333333333333</v>
      </c>
      <c r="O901" s="1081">
        <f t="shared" si="148"/>
        <v>11314</v>
      </c>
      <c r="P901" s="1081">
        <f t="shared" si="149"/>
        <v>446.67</v>
      </c>
      <c r="Q901" s="724">
        <f t="shared" si="150"/>
        <v>18.61125</v>
      </c>
    </row>
    <row r="902" spans="1:17">
      <c r="A902" s="801">
        <v>45549</v>
      </c>
      <c r="B902" s="685">
        <v>449.81</v>
      </c>
      <c r="C902" s="686">
        <v>399</v>
      </c>
      <c r="D902" s="686">
        <v>91</v>
      </c>
      <c r="E902" s="686">
        <v>0</v>
      </c>
      <c r="F902" s="685">
        <v>0</v>
      </c>
      <c r="G902" s="686">
        <v>22</v>
      </c>
      <c r="H902" s="686">
        <v>3</v>
      </c>
      <c r="I902" s="686">
        <v>9</v>
      </c>
      <c r="J902" s="527">
        <f t="shared" si="151"/>
        <v>0.228070175438596</v>
      </c>
      <c r="K902" s="687">
        <f t="shared" si="152"/>
        <v>4.94296703296703</v>
      </c>
      <c r="L902" s="1025">
        <f t="shared" si="145"/>
        <v>1127.34335839599</v>
      </c>
      <c r="M902" s="702">
        <f t="shared" si="146"/>
        <v>0</v>
      </c>
      <c r="N902" s="703">
        <f t="shared" si="147"/>
        <v>0</v>
      </c>
      <c r="O902" s="1081">
        <f t="shared" si="148"/>
        <v>0</v>
      </c>
      <c r="P902" s="1081">
        <f t="shared" si="149"/>
        <v>0</v>
      </c>
      <c r="Q902" s="724">
        <f t="shared" si="150"/>
        <v>20.4459090909091</v>
      </c>
    </row>
    <row r="903" spans="1:17">
      <c r="A903" s="801">
        <v>45550</v>
      </c>
      <c r="B903" s="685">
        <v>388.81</v>
      </c>
      <c r="C903" s="686">
        <v>318</v>
      </c>
      <c r="D903" s="686">
        <v>114</v>
      </c>
      <c r="E903" s="686">
        <v>0</v>
      </c>
      <c r="F903" s="685">
        <v>0</v>
      </c>
      <c r="G903" s="686">
        <v>33</v>
      </c>
      <c r="H903" s="686">
        <v>1</v>
      </c>
      <c r="I903" s="686">
        <v>5</v>
      </c>
      <c r="J903" s="527">
        <f t="shared" si="151"/>
        <v>0.358490566037736</v>
      </c>
      <c r="K903" s="687">
        <f t="shared" si="152"/>
        <v>3.41061403508772</v>
      </c>
      <c r="L903" s="1025">
        <f t="shared" si="145"/>
        <v>1222.67295597484</v>
      </c>
      <c r="M903" s="702">
        <f t="shared" si="146"/>
        <v>0</v>
      </c>
      <c r="N903" s="703">
        <f t="shared" si="147"/>
        <v>0</v>
      </c>
      <c r="O903" s="1081">
        <f t="shared" si="148"/>
        <v>0</v>
      </c>
      <c r="P903" s="1081">
        <f t="shared" si="149"/>
        <v>0</v>
      </c>
      <c r="Q903" s="724">
        <f t="shared" si="150"/>
        <v>11.7821212121212</v>
      </c>
    </row>
    <row r="904" spans="1:17">
      <c r="A904" s="801">
        <v>45551</v>
      </c>
      <c r="B904" s="685">
        <v>402.61</v>
      </c>
      <c r="C904" s="686">
        <v>363</v>
      </c>
      <c r="D904" s="686">
        <v>114</v>
      </c>
      <c r="E904" s="686">
        <v>1</v>
      </c>
      <c r="F904" s="685">
        <v>9867</v>
      </c>
      <c r="G904" s="686">
        <v>35</v>
      </c>
      <c r="H904" s="686">
        <v>2</v>
      </c>
      <c r="I904" s="686">
        <v>5</v>
      </c>
      <c r="J904" s="527">
        <f t="shared" si="151"/>
        <v>0.31404958677686</v>
      </c>
      <c r="K904" s="687">
        <f t="shared" si="152"/>
        <v>3.53166666666667</v>
      </c>
      <c r="L904" s="1025">
        <f t="shared" si="145"/>
        <v>1109.11845730028</v>
      </c>
      <c r="M904" s="702">
        <f t="shared" si="146"/>
        <v>24.5075879883758</v>
      </c>
      <c r="N904" s="703">
        <f t="shared" si="147"/>
        <v>0.0087719298245614</v>
      </c>
      <c r="O904" s="1081">
        <f t="shared" si="148"/>
        <v>9867</v>
      </c>
      <c r="P904" s="1081">
        <f t="shared" si="149"/>
        <v>402.61</v>
      </c>
      <c r="Q904" s="724">
        <f t="shared" si="150"/>
        <v>11.5031428571429</v>
      </c>
    </row>
    <row r="905" spans="1:17">
      <c r="A905" s="801">
        <v>45552</v>
      </c>
      <c r="B905" s="685">
        <v>396.02</v>
      </c>
      <c r="C905" s="686">
        <v>356</v>
      </c>
      <c r="D905" s="686">
        <v>111</v>
      </c>
      <c r="E905" s="686">
        <v>0</v>
      </c>
      <c r="F905" s="685">
        <v>0</v>
      </c>
      <c r="G905" s="686">
        <v>16</v>
      </c>
      <c r="H905" s="686">
        <v>3</v>
      </c>
      <c r="I905" s="686">
        <v>3</v>
      </c>
      <c r="J905" s="527">
        <f t="shared" si="151"/>
        <v>0.311797752808989</v>
      </c>
      <c r="K905" s="687">
        <f t="shared" si="152"/>
        <v>3.56774774774775</v>
      </c>
      <c r="L905" s="1025">
        <f t="shared" si="145"/>
        <v>1112.41573033708</v>
      </c>
      <c r="M905" s="702">
        <f t="shared" si="146"/>
        <v>0</v>
      </c>
      <c r="N905" s="703">
        <f t="shared" si="147"/>
        <v>0</v>
      </c>
      <c r="O905" s="1081">
        <f t="shared" si="148"/>
        <v>0</v>
      </c>
      <c r="P905" s="1081">
        <f t="shared" si="149"/>
        <v>0</v>
      </c>
      <c r="Q905" s="724">
        <f t="shared" si="150"/>
        <v>24.75125</v>
      </c>
    </row>
    <row r="906" spans="1:17">
      <c r="A906" s="801">
        <v>45553</v>
      </c>
      <c r="B906" s="685">
        <v>516.29</v>
      </c>
      <c r="C906" s="686">
        <v>458</v>
      </c>
      <c r="D906" s="686">
        <v>120</v>
      </c>
      <c r="E906" s="686">
        <v>2</v>
      </c>
      <c r="F906" s="685">
        <v>22948</v>
      </c>
      <c r="G906" s="686">
        <v>30</v>
      </c>
      <c r="H906" s="686">
        <v>2</v>
      </c>
      <c r="I906" s="686">
        <v>7</v>
      </c>
      <c r="J906" s="527">
        <f t="shared" si="151"/>
        <v>0.262008733624454</v>
      </c>
      <c r="K906" s="687">
        <f t="shared" si="152"/>
        <v>4.30241666666667</v>
      </c>
      <c r="L906" s="1025">
        <f t="shared" si="145"/>
        <v>1127.27074235808</v>
      </c>
      <c r="M906" s="702">
        <f t="shared" si="146"/>
        <v>44.4478878149877</v>
      </c>
      <c r="N906" s="703">
        <f t="shared" si="147"/>
        <v>0.0166666666666667</v>
      </c>
      <c r="O906" s="1081">
        <f t="shared" si="148"/>
        <v>11474</v>
      </c>
      <c r="P906" s="1081">
        <f t="shared" si="149"/>
        <v>258.145</v>
      </c>
      <c r="Q906" s="724">
        <f t="shared" si="150"/>
        <v>17.2096666666667</v>
      </c>
    </row>
    <row r="907" spans="1:17">
      <c r="A907" s="801">
        <v>45554</v>
      </c>
      <c r="B907" s="685">
        <v>385.04</v>
      </c>
      <c r="C907" s="686">
        <v>353</v>
      </c>
      <c r="D907" s="686">
        <v>106</v>
      </c>
      <c r="E907" s="686">
        <v>1</v>
      </c>
      <c r="F907" s="685">
        <v>11842</v>
      </c>
      <c r="G907" s="686">
        <v>20</v>
      </c>
      <c r="H907" s="686">
        <v>2</v>
      </c>
      <c r="I907" s="686">
        <v>5</v>
      </c>
      <c r="J907" s="527">
        <f t="shared" si="151"/>
        <v>0.30028328611898</v>
      </c>
      <c r="K907" s="687">
        <f t="shared" si="152"/>
        <v>3.63245283018868</v>
      </c>
      <c r="L907" s="1025">
        <f t="shared" si="145"/>
        <v>1090.76487252125</v>
      </c>
      <c r="M907" s="702" t="e">
        <f>#REF!/B907</f>
        <v>#REF!</v>
      </c>
      <c r="N907" s="703">
        <f>F907/E907</f>
        <v>11842</v>
      </c>
      <c r="O907" s="1081" t="e">
        <f>IF(F907=0,0,#REF!/F907)</f>
        <v>#REF!</v>
      </c>
      <c r="P907" s="1081">
        <f>IF(F907=0,0,B907/F907)</f>
        <v>0.032514777909137</v>
      </c>
      <c r="Q907" s="724">
        <f t="shared" si="150"/>
        <v>19.252</v>
      </c>
    </row>
    <row r="908" spans="1:17">
      <c r="A908" s="801">
        <v>45555</v>
      </c>
      <c r="B908" s="685">
        <v>436.38</v>
      </c>
      <c r="C908" s="686">
        <v>385</v>
      </c>
      <c r="D908" s="686">
        <v>93</v>
      </c>
      <c r="E908" s="686">
        <v>0</v>
      </c>
      <c r="F908" s="685">
        <v>0</v>
      </c>
      <c r="G908" s="686">
        <v>13</v>
      </c>
      <c r="H908" s="686">
        <v>2</v>
      </c>
      <c r="I908" s="686">
        <v>2</v>
      </c>
      <c r="J908" s="527">
        <f t="shared" si="151"/>
        <v>0.241558441558442</v>
      </c>
      <c r="K908" s="687">
        <f t="shared" si="152"/>
        <v>4.69225806451613</v>
      </c>
      <c r="L908" s="1025">
        <f t="shared" si="145"/>
        <v>1133.45454545455</v>
      </c>
      <c r="M908" s="702">
        <f t="shared" si="146"/>
        <v>0</v>
      </c>
      <c r="N908" s="703">
        <f t="shared" si="147"/>
        <v>0</v>
      </c>
      <c r="O908" s="1081">
        <f t="shared" si="148"/>
        <v>0</v>
      </c>
      <c r="P908" s="1081">
        <f t="shared" si="149"/>
        <v>0</v>
      </c>
      <c r="Q908" s="724">
        <f t="shared" si="150"/>
        <v>33.5676923076923</v>
      </c>
    </row>
    <row r="909" spans="1:17">
      <c r="A909" s="801">
        <v>45556</v>
      </c>
      <c r="B909" s="685">
        <v>395.96</v>
      </c>
      <c r="C909" s="686">
        <v>347</v>
      </c>
      <c r="D909" s="686">
        <v>98</v>
      </c>
      <c r="E909" s="686">
        <v>0</v>
      </c>
      <c r="F909" s="685">
        <v>0</v>
      </c>
      <c r="G909" s="686">
        <v>21</v>
      </c>
      <c r="H909" s="686">
        <v>1</v>
      </c>
      <c r="I909" s="686">
        <v>5</v>
      </c>
      <c r="J909" s="527">
        <f t="shared" si="151"/>
        <v>0.282420749279539</v>
      </c>
      <c r="K909" s="687">
        <f t="shared" si="152"/>
        <v>4.04040816326531</v>
      </c>
      <c r="L909" s="1025">
        <f t="shared" si="145"/>
        <v>1141.09510086455</v>
      </c>
      <c r="M909" s="702">
        <f t="shared" si="146"/>
        <v>0</v>
      </c>
      <c r="N909" s="703">
        <f t="shared" si="147"/>
        <v>0</v>
      </c>
      <c r="O909" s="1081">
        <f t="shared" si="148"/>
        <v>0</v>
      </c>
      <c r="P909" s="1081">
        <f t="shared" si="149"/>
        <v>0</v>
      </c>
      <c r="Q909" s="724">
        <f t="shared" si="150"/>
        <v>18.8552380952381</v>
      </c>
    </row>
    <row r="910" spans="1:17">
      <c r="A910" s="801">
        <v>45557</v>
      </c>
      <c r="B910" s="685">
        <v>299.51</v>
      </c>
      <c r="C910" s="686">
        <v>269</v>
      </c>
      <c r="D910" s="686">
        <v>79</v>
      </c>
      <c r="E910" s="686">
        <v>2</v>
      </c>
      <c r="F910" s="685">
        <v>24468</v>
      </c>
      <c r="G910" s="686">
        <v>14</v>
      </c>
      <c r="H910" s="686">
        <v>1</v>
      </c>
      <c r="I910" s="686">
        <v>2</v>
      </c>
      <c r="J910" s="527">
        <f t="shared" si="151"/>
        <v>0.29368029739777</v>
      </c>
      <c r="K910" s="687">
        <f t="shared" si="152"/>
        <v>3.79126582278481</v>
      </c>
      <c r="L910" s="1025">
        <f t="shared" si="145"/>
        <v>1113.42007434944</v>
      </c>
      <c r="M910" s="702">
        <f t="shared" si="146"/>
        <v>81.6934326065908</v>
      </c>
      <c r="N910" s="703">
        <f t="shared" si="147"/>
        <v>0.0253164556962025</v>
      </c>
      <c r="O910" s="1081">
        <f t="shared" si="148"/>
        <v>12234</v>
      </c>
      <c r="P910" s="1081">
        <f t="shared" si="149"/>
        <v>149.755</v>
      </c>
      <c r="Q910" s="724">
        <f t="shared" si="150"/>
        <v>21.3935714285714</v>
      </c>
    </row>
    <row r="911" spans="1:17">
      <c r="A911" s="801">
        <v>45558</v>
      </c>
      <c r="B911" s="685">
        <v>438.04</v>
      </c>
      <c r="C911" s="686">
        <v>371</v>
      </c>
      <c r="D911" s="686">
        <v>105</v>
      </c>
      <c r="E911" s="686">
        <v>3</v>
      </c>
      <c r="F911" s="685">
        <v>48059</v>
      </c>
      <c r="G911" s="686">
        <v>21</v>
      </c>
      <c r="H911" s="686">
        <v>1</v>
      </c>
      <c r="I911" s="686">
        <v>3</v>
      </c>
      <c r="J911" s="527">
        <f t="shared" si="151"/>
        <v>0.283018867924528</v>
      </c>
      <c r="K911" s="687">
        <f t="shared" si="152"/>
        <v>4.17180952380952</v>
      </c>
      <c r="L911" s="1025">
        <f t="shared" si="145"/>
        <v>1180.70080862534</v>
      </c>
      <c r="M911" s="702">
        <f t="shared" si="146"/>
        <v>109.713724773993</v>
      </c>
      <c r="N911" s="703">
        <f t="shared" si="147"/>
        <v>0.0285714285714286</v>
      </c>
      <c r="O911" s="1081">
        <f t="shared" si="148"/>
        <v>16019.6666666667</v>
      </c>
      <c r="P911" s="1081">
        <f t="shared" si="149"/>
        <v>146.013333333333</v>
      </c>
      <c r="Q911" s="724">
        <f t="shared" si="150"/>
        <v>20.8590476190476</v>
      </c>
    </row>
    <row r="912" spans="1:17">
      <c r="A912" s="801">
        <v>45559</v>
      </c>
      <c r="B912" s="685">
        <v>449.28</v>
      </c>
      <c r="C912" s="686">
        <v>391</v>
      </c>
      <c r="D912" s="686">
        <v>145</v>
      </c>
      <c r="E912" s="686">
        <v>1</v>
      </c>
      <c r="F912" s="685">
        <v>25068</v>
      </c>
      <c r="G912" s="686">
        <v>26</v>
      </c>
      <c r="H912" s="686">
        <v>2</v>
      </c>
      <c r="I912" s="686">
        <v>10</v>
      </c>
      <c r="J912" s="527">
        <f t="shared" si="151"/>
        <v>0.370843989769821</v>
      </c>
      <c r="K912" s="687">
        <f t="shared" si="152"/>
        <v>3.09848275862069</v>
      </c>
      <c r="L912" s="1025">
        <f t="shared" si="145"/>
        <v>1149.0537084399</v>
      </c>
      <c r="M912" s="702">
        <f t="shared" si="146"/>
        <v>55.7959401709402</v>
      </c>
      <c r="N912" s="703">
        <f t="shared" si="147"/>
        <v>0.00689655172413793</v>
      </c>
      <c r="O912" s="1081">
        <f t="shared" si="148"/>
        <v>25068</v>
      </c>
      <c r="P912" s="1081">
        <f t="shared" si="149"/>
        <v>449.28</v>
      </c>
      <c r="Q912" s="724">
        <f t="shared" si="150"/>
        <v>17.28</v>
      </c>
    </row>
    <row r="913" spans="1:18">
      <c r="A913" s="801">
        <v>45560</v>
      </c>
      <c r="B913" s="685">
        <v>378.53</v>
      </c>
      <c r="C913" s="686">
        <v>335</v>
      </c>
      <c r="D913" s="686">
        <v>103</v>
      </c>
      <c r="E913" s="686">
        <v>0</v>
      </c>
      <c r="F913" s="685">
        <v>0</v>
      </c>
      <c r="G913" s="686">
        <v>22</v>
      </c>
      <c r="H913" s="686">
        <v>1</v>
      </c>
      <c r="I913" s="686">
        <v>0</v>
      </c>
      <c r="J913" s="527">
        <f t="shared" si="151"/>
        <v>0.307462686567164</v>
      </c>
      <c r="K913" s="687">
        <f t="shared" si="152"/>
        <v>3.67504854368932</v>
      </c>
      <c r="L913" s="1025">
        <f t="shared" si="145"/>
        <v>1129.94029850746</v>
      </c>
      <c r="M913" s="702">
        <f t="shared" si="146"/>
        <v>0</v>
      </c>
      <c r="N913" s="703">
        <f t="shared" si="147"/>
        <v>0</v>
      </c>
      <c r="O913" s="1081">
        <f t="shared" si="148"/>
        <v>0</v>
      </c>
      <c r="P913" s="1081">
        <f t="shared" si="149"/>
        <v>0</v>
      </c>
      <c r="Q913" s="724">
        <f t="shared" si="150"/>
        <v>17.2059090909091</v>
      </c>
    </row>
    <row r="914" spans="1:18">
      <c r="A914" s="801">
        <v>45561</v>
      </c>
      <c r="B914" s="685">
        <v>396.61</v>
      </c>
      <c r="C914" s="686">
        <v>345</v>
      </c>
      <c r="D914" s="686">
        <v>103</v>
      </c>
      <c r="E914" s="686">
        <v>0</v>
      </c>
      <c r="F914" s="685">
        <v>0</v>
      </c>
      <c r="G914" s="686">
        <v>25</v>
      </c>
      <c r="H914" s="686">
        <v>1</v>
      </c>
      <c r="I914" s="686">
        <v>7</v>
      </c>
      <c r="J914" s="527">
        <f t="shared" si="151"/>
        <v>0.298550724637681</v>
      </c>
      <c r="K914" s="687">
        <f t="shared" si="152"/>
        <v>3.85058252427184</v>
      </c>
      <c r="L914" s="1025">
        <f t="shared" ref="L914:L934" si="153">B914/C914*1000</f>
        <v>1149.59420289855</v>
      </c>
      <c r="M914" s="702">
        <f t="shared" ref="M914:M934" si="154">F914/B914</f>
        <v>0</v>
      </c>
      <c r="N914" s="703">
        <f t="shared" ref="N914:N934" si="155">E914/D914</f>
        <v>0</v>
      </c>
      <c r="O914" s="1081">
        <f t="shared" ref="O914:O934" si="156">IF(E914=0,0,F914/E914)</f>
        <v>0</v>
      </c>
      <c r="P914" s="1081">
        <f t="shared" ref="P914:P934" si="157">IF(E914=0,0,B914/E914)</f>
        <v>0</v>
      </c>
      <c r="Q914" s="724">
        <f t="shared" ref="Q914:Q934" si="158">B914/G914</f>
        <v>15.8644</v>
      </c>
    </row>
    <row r="915" spans="1:18">
      <c r="A915" s="801">
        <v>45562</v>
      </c>
      <c r="B915" s="685">
        <v>436.32</v>
      </c>
      <c r="C915" s="686">
        <v>377</v>
      </c>
      <c r="D915" s="686">
        <v>97</v>
      </c>
      <c r="E915" s="686">
        <v>0</v>
      </c>
      <c r="F915" s="685">
        <v>0</v>
      </c>
      <c r="G915" s="686">
        <v>46</v>
      </c>
      <c r="H915" s="686">
        <v>2</v>
      </c>
      <c r="I915" s="686">
        <v>6</v>
      </c>
      <c r="J915" s="527">
        <f t="shared" si="151"/>
        <v>0.257294429708223</v>
      </c>
      <c r="K915" s="687">
        <f t="shared" si="152"/>
        <v>4.49814432989691</v>
      </c>
      <c r="L915" s="1025">
        <f t="shared" si="153"/>
        <v>1157.3474801061</v>
      </c>
      <c r="M915" s="702">
        <f t="shared" si="154"/>
        <v>0</v>
      </c>
      <c r="N915" s="703">
        <f t="shared" si="155"/>
        <v>0</v>
      </c>
      <c r="O915" s="1081">
        <f t="shared" si="156"/>
        <v>0</v>
      </c>
      <c r="P915" s="1081">
        <f t="shared" si="157"/>
        <v>0</v>
      </c>
      <c r="Q915" s="724">
        <f t="shared" si="158"/>
        <v>9.48521739130435</v>
      </c>
    </row>
    <row r="916" spans="1:18">
      <c r="A916" s="801">
        <v>45563</v>
      </c>
      <c r="B916" s="685">
        <v>323.69</v>
      </c>
      <c r="C916" s="686">
        <v>274</v>
      </c>
      <c r="D916" s="686">
        <v>81</v>
      </c>
      <c r="E916" s="686">
        <v>2</v>
      </c>
      <c r="F916" s="685">
        <v>47910</v>
      </c>
      <c r="G916" s="686">
        <v>26</v>
      </c>
      <c r="H916" s="686">
        <v>0</v>
      </c>
      <c r="I916" s="686">
        <v>4</v>
      </c>
      <c r="J916" s="527">
        <f t="shared" si="151"/>
        <v>0.295620437956204</v>
      </c>
      <c r="K916" s="687">
        <f t="shared" si="152"/>
        <v>3.99617283950617</v>
      </c>
      <c r="L916" s="1025">
        <f t="shared" si="153"/>
        <v>1181.3503649635</v>
      </c>
      <c r="M916" s="702">
        <f t="shared" si="154"/>
        <v>148.011986777472</v>
      </c>
      <c r="N916" s="703">
        <f t="shared" si="155"/>
        <v>0.0246913580246914</v>
      </c>
      <c r="O916" s="1081">
        <f t="shared" si="156"/>
        <v>23955</v>
      </c>
      <c r="P916" s="1081">
        <f t="shared" si="157"/>
        <v>161.845</v>
      </c>
      <c r="Q916" s="724">
        <f t="shared" si="158"/>
        <v>12.4496153846154</v>
      </c>
    </row>
    <row r="917" spans="1:18">
      <c r="A917" s="801">
        <v>45564</v>
      </c>
      <c r="B917" s="685">
        <v>437.74</v>
      </c>
      <c r="C917" s="686">
        <v>355</v>
      </c>
      <c r="D917" s="686">
        <v>129</v>
      </c>
      <c r="E917" s="686">
        <v>5</v>
      </c>
      <c r="F917" s="685">
        <v>70416</v>
      </c>
      <c r="G917" s="686">
        <v>34</v>
      </c>
      <c r="H917" s="686">
        <v>0</v>
      </c>
      <c r="I917" s="686">
        <v>5</v>
      </c>
      <c r="J917" s="527">
        <f t="shared" si="151"/>
        <v>0.363380281690141</v>
      </c>
      <c r="K917" s="687">
        <f t="shared" si="152"/>
        <v>3.39333333333333</v>
      </c>
      <c r="L917" s="1025">
        <f t="shared" si="153"/>
        <v>1233.07042253521</v>
      </c>
      <c r="M917" s="702">
        <f t="shared" si="154"/>
        <v>160.862612509709</v>
      </c>
      <c r="N917" s="703">
        <f t="shared" si="155"/>
        <v>0.0387596899224806</v>
      </c>
      <c r="O917" s="1081">
        <f t="shared" si="156"/>
        <v>14083.2</v>
      </c>
      <c r="P917" s="1081">
        <f t="shared" si="157"/>
        <v>87.548</v>
      </c>
      <c r="Q917" s="724">
        <f t="shared" si="158"/>
        <v>12.8747058823529</v>
      </c>
    </row>
    <row r="918" spans="1:18">
      <c r="A918" s="801">
        <v>45565</v>
      </c>
      <c r="B918" s="685">
        <v>281.87</v>
      </c>
      <c r="C918" s="686">
        <v>252</v>
      </c>
      <c r="D918" s="686">
        <v>91</v>
      </c>
      <c r="E918" s="686">
        <v>0</v>
      </c>
      <c r="F918" s="685">
        <v>0</v>
      </c>
      <c r="G918" s="686">
        <v>17</v>
      </c>
      <c r="H918" s="686">
        <v>2</v>
      </c>
      <c r="I918" s="686">
        <v>4</v>
      </c>
      <c r="J918" s="527">
        <f t="shared" si="151"/>
        <v>0.361111111111111</v>
      </c>
      <c r="K918" s="687">
        <f t="shared" si="152"/>
        <v>3.09747252747253</v>
      </c>
      <c r="L918" s="1025">
        <f t="shared" si="153"/>
        <v>1118.53174603175</v>
      </c>
      <c r="M918" s="702">
        <f t="shared" si="154"/>
        <v>0</v>
      </c>
      <c r="N918" s="703">
        <f t="shared" si="155"/>
        <v>0</v>
      </c>
      <c r="O918" s="1081">
        <f t="shared" si="156"/>
        <v>0</v>
      </c>
      <c r="P918" s="1081">
        <f t="shared" si="157"/>
        <v>0</v>
      </c>
      <c r="Q918" s="724">
        <f t="shared" si="158"/>
        <v>16.5805882352941</v>
      </c>
    </row>
    <row r="919" spans="1:18">
      <c r="A919" s="801">
        <v>45566</v>
      </c>
      <c r="B919" s="685">
        <v>334.32</v>
      </c>
      <c r="C919" s="686">
        <v>274</v>
      </c>
      <c r="D919" s="686">
        <v>76</v>
      </c>
      <c r="E919" s="686">
        <v>2</v>
      </c>
      <c r="F919" s="685">
        <v>22194</v>
      </c>
      <c r="G919" s="686">
        <v>26</v>
      </c>
      <c r="H919" s="686">
        <v>6</v>
      </c>
      <c r="I919" s="686">
        <v>3</v>
      </c>
      <c r="J919" s="527">
        <f t="shared" si="151"/>
        <v>0.277372262773723</v>
      </c>
      <c r="K919" s="687">
        <f t="shared" si="152"/>
        <v>4.39894736842105</v>
      </c>
      <c r="L919" s="1025">
        <f t="shared" si="153"/>
        <v>1220.14598540146</v>
      </c>
      <c r="M919" s="702">
        <f t="shared" si="154"/>
        <v>66.3854989231874</v>
      </c>
      <c r="N919" s="703">
        <f t="shared" si="155"/>
        <v>0.0263157894736842</v>
      </c>
      <c r="O919" s="1081">
        <f t="shared" si="156"/>
        <v>11097</v>
      </c>
      <c r="P919" s="1081">
        <f t="shared" si="157"/>
        <v>167.16</v>
      </c>
      <c r="Q919" s="724">
        <f t="shared" si="158"/>
        <v>12.8584615384615</v>
      </c>
    </row>
    <row r="920" spans="1:18">
      <c r="A920" s="801">
        <v>45567</v>
      </c>
      <c r="B920" s="685">
        <v>357.14</v>
      </c>
      <c r="C920" s="686">
        <v>295</v>
      </c>
      <c r="D920" s="686">
        <v>95</v>
      </c>
      <c r="E920" s="686">
        <v>2</v>
      </c>
      <c r="F920" s="685">
        <v>29493</v>
      </c>
      <c r="G920" s="686">
        <v>31</v>
      </c>
      <c r="H920" s="686">
        <v>1</v>
      </c>
      <c r="I920" s="686">
        <v>7</v>
      </c>
      <c r="J920" s="527">
        <f t="shared" si="151"/>
        <v>0.322033898305085</v>
      </c>
      <c r="K920" s="687">
        <f t="shared" si="152"/>
        <v>3.75936842105263</v>
      </c>
      <c r="L920" s="1025">
        <f t="shared" si="153"/>
        <v>1210.64406779661</v>
      </c>
      <c r="M920" s="702">
        <f t="shared" si="154"/>
        <v>82.5810606484852</v>
      </c>
      <c r="N920" s="703">
        <f t="shared" si="155"/>
        <v>0.0210526315789474</v>
      </c>
      <c r="O920" s="1081">
        <f t="shared" si="156"/>
        <v>14746.5</v>
      </c>
      <c r="P920" s="1081">
        <f t="shared" si="157"/>
        <v>178.57</v>
      </c>
      <c r="Q920" s="724">
        <f t="shared" si="158"/>
        <v>11.5206451612903</v>
      </c>
    </row>
    <row r="921" spans="1:18">
      <c r="A921" s="801">
        <v>45568</v>
      </c>
      <c r="B921" s="685">
        <v>301.65</v>
      </c>
      <c r="C921" s="686">
        <v>242</v>
      </c>
      <c r="D921" s="686">
        <v>65</v>
      </c>
      <c r="E921" s="686">
        <v>5</v>
      </c>
      <c r="F921" s="685">
        <v>70029</v>
      </c>
      <c r="G921" s="686">
        <v>31</v>
      </c>
      <c r="H921" s="686">
        <v>4</v>
      </c>
      <c r="I921" s="686">
        <v>4</v>
      </c>
      <c r="J921" s="527">
        <f t="shared" si="151"/>
        <v>0.268595041322314</v>
      </c>
      <c r="K921" s="687">
        <f t="shared" si="152"/>
        <v>4.64076923076923</v>
      </c>
      <c r="L921" s="1025">
        <f t="shared" si="153"/>
        <v>1246.48760330579</v>
      </c>
      <c r="M921" s="702">
        <f t="shared" si="154"/>
        <v>232.153157633018</v>
      </c>
      <c r="N921" s="703">
        <f t="shared" si="155"/>
        <v>0.0769230769230769</v>
      </c>
      <c r="O921" s="1081">
        <f t="shared" si="156"/>
        <v>14005.8</v>
      </c>
      <c r="P921" s="1081">
        <f t="shared" si="157"/>
        <v>60.33</v>
      </c>
      <c r="Q921" s="724">
        <f t="shared" si="158"/>
        <v>9.73064516129032</v>
      </c>
    </row>
    <row r="922" spans="1:18">
      <c r="A922" s="801">
        <v>45569</v>
      </c>
      <c r="B922" s="685">
        <v>274.51</v>
      </c>
      <c r="C922" s="686">
        <v>222</v>
      </c>
      <c r="D922" s="686">
        <v>81</v>
      </c>
      <c r="E922" s="686">
        <v>4</v>
      </c>
      <c r="F922" s="685">
        <v>52436</v>
      </c>
      <c r="G922" s="686">
        <v>24</v>
      </c>
      <c r="H922" s="686">
        <v>9</v>
      </c>
      <c r="I922" s="686">
        <v>6</v>
      </c>
      <c r="J922" s="527">
        <f t="shared" si="151"/>
        <v>0.364864864864865</v>
      </c>
      <c r="K922" s="687">
        <f t="shared" si="152"/>
        <v>3.38901234567901</v>
      </c>
      <c r="L922" s="1025">
        <f t="shared" si="153"/>
        <v>1236.53153153153</v>
      </c>
      <c r="M922" s="702">
        <f t="shared" si="154"/>
        <v>191.016720702342</v>
      </c>
      <c r="N922" s="703">
        <f t="shared" si="155"/>
        <v>0.0493827160493827</v>
      </c>
      <c r="O922" s="1081">
        <f t="shared" si="156"/>
        <v>13109</v>
      </c>
      <c r="P922" s="1081">
        <f t="shared" si="157"/>
        <v>68.6275</v>
      </c>
      <c r="Q922" s="724">
        <f t="shared" si="158"/>
        <v>11.4379166666667</v>
      </c>
    </row>
    <row r="923" spans="1:18">
      <c r="A923" s="801">
        <v>45570</v>
      </c>
      <c r="B923" s="685">
        <v>449.33</v>
      </c>
      <c r="C923" s="686">
        <v>397</v>
      </c>
      <c r="D923" s="686">
        <v>145</v>
      </c>
      <c r="E923" s="686">
        <v>4</v>
      </c>
      <c r="F923" s="685">
        <v>64388.94</v>
      </c>
      <c r="G923" s="686">
        <v>57</v>
      </c>
      <c r="H923" s="686">
        <v>11</v>
      </c>
      <c r="I923" s="686">
        <v>14</v>
      </c>
      <c r="J923" s="527">
        <f t="shared" si="151"/>
        <v>0.365239294710327</v>
      </c>
      <c r="K923" s="687">
        <f t="shared" si="152"/>
        <v>3.0988275862069</v>
      </c>
      <c r="L923" s="1025">
        <f t="shared" si="153"/>
        <v>1131.81360201511</v>
      </c>
      <c r="M923" s="702">
        <f t="shared" si="154"/>
        <v>143.299890948746</v>
      </c>
      <c r="N923" s="703">
        <f t="shared" si="155"/>
        <v>0.0275862068965517</v>
      </c>
      <c r="O923" s="1081">
        <f t="shared" si="156"/>
        <v>16097.235</v>
      </c>
      <c r="P923" s="1081">
        <f t="shared" si="157"/>
        <v>112.3325</v>
      </c>
      <c r="Q923" s="724">
        <f t="shared" si="158"/>
        <v>7.88298245614035</v>
      </c>
    </row>
    <row r="924" spans="1:18">
      <c r="A924" s="801">
        <v>45571</v>
      </c>
      <c r="B924" s="685">
        <v>58.89</v>
      </c>
      <c r="C924" s="686">
        <v>51</v>
      </c>
      <c r="D924" s="686">
        <v>8</v>
      </c>
      <c r="E924" s="686">
        <v>1</v>
      </c>
      <c r="F924" s="685">
        <v>8014</v>
      </c>
      <c r="G924" s="686">
        <v>5</v>
      </c>
      <c r="H924" s="686">
        <v>0</v>
      </c>
      <c r="I924" s="686">
        <v>0</v>
      </c>
      <c r="J924" s="527">
        <f t="shared" si="151"/>
        <v>0.156862745098039</v>
      </c>
      <c r="K924" s="687">
        <f t="shared" si="152"/>
        <v>7.36125</v>
      </c>
      <c r="L924" s="1025">
        <f t="shared" si="153"/>
        <v>1154.70588235294</v>
      </c>
      <c r="M924" s="702">
        <f t="shared" si="154"/>
        <v>136.084224825947</v>
      </c>
      <c r="N924" s="703">
        <f t="shared" si="155"/>
        <v>0.125</v>
      </c>
      <c r="O924" s="1081">
        <f t="shared" si="156"/>
        <v>8014</v>
      </c>
      <c r="P924" s="1081">
        <f t="shared" si="157"/>
        <v>58.89</v>
      </c>
      <c r="Q924" s="724">
        <f t="shared" si="158"/>
        <v>11.778</v>
      </c>
    </row>
    <row r="925" spans="1:18">
      <c r="A925" s="801">
        <v>45572</v>
      </c>
      <c r="B925" s="685">
        <v>0.12</v>
      </c>
      <c r="C925" s="686">
        <v>1</v>
      </c>
      <c r="D925" s="686">
        <v>0</v>
      </c>
      <c r="E925" s="686">
        <v>0</v>
      </c>
      <c r="F925" s="685">
        <v>0</v>
      </c>
      <c r="G925" s="686">
        <v>0</v>
      </c>
      <c r="H925" s="686">
        <v>0</v>
      </c>
      <c r="I925" s="686">
        <v>0</v>
      </c>
      <c r="J925" s="527">
        <f t="shared" si="151"/>
        <v>0</v>
      </c>
      <c r="K925" s="687" t="e">
        <f t="shared" si="152"/>
        <v>#DIV/0!</v>
      </c>
      <c r="L925" s="1025">
        <f t="shared" si="153"/>
        <v>120</v>
      </c>
      <c r="M925" s="702">
        <f t="shared" si="154"/>
        <v>0</v>
      </c>
      <c r="N925" s="703" t="e">
        <f t="shared" si="155"/>
        <v>#DIV/0!</v>
      </c>
      <c r="O925" s="1081">
        <f t="shared" si="156"/>
        <v>0</v>
      </c>
      <c r="P925" s="1081">
        <f t="shared" si="157"/>
        <v>0</v>
      </c>
      <c r="Q925" s="724" t="e">
        <f t="shared" si="158"/>
        <v>#DIV/0!</v>
      </c>
    </row>
    <row r="926" spans="1:18">
      <c r="A926" s="801">
        <v>45573</v>
      </c>
      <c r="B926" s="685">
        <v>395.52</v>
      </c>
      <c r="C926" s="686">
        <v>339</v>
      </c>
      <c r="D926" s="686">
        <v>143</v>
      </c>
      <c r="E926" s="686">
        <v>5</v>
      </c>
      <c r="F926" s="685">
        <v>53866</v>
      </c>
      <c r="G926" s="686">
        <v>47</v>
      </c>
      <c r="H926" s="686">
        <v>6</v>
      </c>
      <c r="I926" s="686">
        <v>7</v>
      </c>
      <c r="J926" s="527">
        <f t="shared" si="151"/>
        <v>0.421828908554572</v>
      </c>
      <c r="K926" s="687">
        <f t="shared" si="152"/>
        <v>2.76587412587413</v>
      </c>
      <c r="L926" s="1025">
        <f t="shared" si="153"/>
        <v>1166.72566371681</v>
      </c>
      <c r="M926" s="702">
        <f t="shared" si="154"/>
        <v>136.19033171521</v>
      </c>
      <c r="N926" s="703">
        <f t="shared" si="155"/>
        <v>0.034965034965035</v>
      </c>
      <c r="O926" s="1081">
        <f t="shared" si="156"/>
        <v>10773.2</v>
      </c>
      <c r="P926" s="1081">
        <f t="shared" si="157"/>
        <v>79.104</v>
      </c>
      <c r="Q926" s="724">
        <f t="shared" si="158"/>
        <v>8.41531914893617</v>
      </c>
    </row>
    <row r="927" spans="1:18">
      <c r="A927" s="801">
        <v>45574</v>
      </c>
      <c r="B927" s="685">
        <v>449.37</v>
      </c>
      <c r="C927" s="686">
        <v>373</v>
      </c>
      <c r="D927" s="686">
        <v>128</v>
      </c>
      <c r="E927" s="686">
        <v>1</v>
      </c>
      <c r="F927" s="685">
        <v>11524</v>
      </c>
      <c r="G927" s="686">
        <v>38</v>
      </c>
      <c r="H927" s="686">
        <v>7</v>
      </c>
      <c r="I927" s="686">
        <v>7</v>
      </c>
      <c r="J927" s="527">
        <f t="shared" si="151"/>
        <v>0.343163538873995</v>
      </c>
      <c r="K927" s="687">
        <f t="shared" si="152"/>
        <v>3.510703125</v>
      </c>
      <c r="L927" s="1025">
        <f t="shared" si="153"/>
        <v>1204.74530831099</v>
      </c>
      <c r="M927" s="702">
        <f t="shared" si="154"/>
        <v>25.6447915971249</v>
      </c>
      <c r="N927" s="703">
        <f t="shared" si="155"/>
        <v>0.0078125</v>
      </c>
      <c r="O927" s="1081">
        <f t="shared" si="156"/>
        <v>11524</v>
      </c>
      <c r="P927" s="1081">
        <f t="shared" si="157"/>
        <v>449.37</v>
      </c>
      <c r="Q927" s="724">
        <f t="shared" si="158"/>
        <v>11.8255263157895</v>
      </c>
      <c r="R927" s="1021">
        <f>G927/D927</f>
        <v>0.296875</v>
      </c>
    </row>
    <row r="928" spans="1:18">
      <c r="A928" s="801">
        <v>45575</v>
      </c>
      <c r="B928" s="685">
        <v>449.37</v>
      </c>
      <c r="C928" s="686">
        <v>362</v>
      </c>
      <c r="D928" s="686">
        <v>131</v>
      </c>
      <c r="E928" s="686">
        <v>2</v>
      </c>
      <c r="F928" s="685">
        <v>32466.48</v>
      </c>
      <c r="G928" s="686">
        <v>43</v>
      </c>
      <c r="H928" s="686">
        <v>3</v>
      </c>
      <c r="I928" s="686">
        <v>10</v>
      </c>
      <c r="J928" s="527">
        <f t="shared" si="151"/>
        <v>0.361878453038674</v>
      </c>
      <c r="K928" s="687">
        <f t="shared" si="152"/>
        <v>3.43030534351145</v>
      </c>
      <c r="L928" s="1025">
        <f t="shared" si="153"/>
        <v>1241.35359116022</v>
      </c>
      <c r="M928" s="702">
        <f t="shared" si="154"/>
        <v>72.2488817678083</v>
      </c>
      <c r="N928" s="703">
        <f t="shared" si="155"/>
        <v>0.0152671755725191</v>
      </c>
      <c r="O928" s="1081">
        <f t="shared" si="156"/>
        <v>16233.24</v>
      </c>
      <c r="P928" s="1081">
        <f t="shared" si="157"/>
        <v>224.685</v>
      </c>
      <c r="Q928" s="724">
        <f t="shared" si="158"/>
        <v>10.4504651162791</v>
      </c>
      <c r="R928" s="1021">
        <f t="shared" ref="R928:R968" si="159">G928/D928</f>
        <v>0.32824427480916</v>
      </c>
    </row>
    <row r="929" spans="1:18">
      <c r="A929" s="801">
        <v>45576</v>
      </c>
      <c r="B929" s="685">
        <v>449.28</v>
      </c>
      <c r="C929" s="686">
        <v>394</v>
      </c>
      <c r="D929" s="686">
        <v>145</v>
      </c>
      <c r="E929" s="686">
        <v>1</v>
      </c>
      <c r="F929" s="685">
        <v>13287</v>
      </c>
      <c r="G929" s="686">
        <v>45</v>
      </c>
      <c r="H929" s="686">
        <v>4</v>
      </c>
      <c r="I929" s="686">
        <v>7</v>
      </c>
      <c r="J929" s="527">
        <f t="shared" si="151"/>
        <v>0.368020304568528</v>
      </c>
      <c r="K929" s="687">
        <f t="shared" si="152"/>
        <v>3.09848275862069</v>
      </c>
      <c r="L929" s="1025">
        <f t="shared" si="153"/>
        <v>1140.30456852792</v>
      </c>
      <c r="M929" s="702">
        <f t="shared" si="154"/>
        <v>29.573985042735</v>
      </c>
      <c r="N929" s="703">
        <f t="shared" si="155"/>
        <v>0.00689655172413793</v>
      </c>
      <c r="O929" s="1081">
        <f t="shared" si="156"/>
        <v>13287</v>
      </c>
      <c r="P929" s="1081">
        <f t="shared" si="157"/>
        <v>449.28</v>
      </c>
      <c r="Q929" s="724">
        <f t="shared" si="158"/>
        <v>9.984</v>
      </c>
      <c r="R929" s="1021">
        <f t="shared" si="159"/>
        <v>0.310344827586207</v>
      </c>
    </row>
    <row r="930" spans="1:18">
      <c r="A930" s="801">
        <v>45577</v>
      </c>
      <c r="B930" s="685">
        <v>449.37</v>
      </c>
      <c r="C930" s="686">
        <v>386</v>
      </c>
      <c r="D930" s="686">
        <v>144</v>
      </c>
      <c r="E930" s="686">
        <v>3</v>
      </c>
      <c r="F930" s="685">
        <v>35461</v>
      </c>
      <c r="G930" s="686">
        <v>43</v>
      </c>
      <c r="H930" s="686">
        <v>3</v>
      </c>
      <c r="I930" s="686">
        <v>4</v>
      </c>
      <c r="J930" s="527">
        <f t="shared" si="151"/>
        <v>0.373056994818653</v>
      </c>
      <c r="K930" s="687">
        <f t="shared" si="152"/>
        <v>3.120625</v>
      </c>
      <c r="L930" s="1025">
        <f t="shared" si="153"/>
        <v>1164.17098445596</v>
      </c>
      <c r="M930" s="702">
        <f t="shared" si="154"/>
        <v>78.9127000022253</v>
      </c>
      <c r="N930" s="703">
        <f t="shared" si="155"/>
        <v>0.0208333333333333</v>
      </c>
      <c r="O930" s="1081">
        <f t="shared" si="156"/>
        <v>11820.3333333333</v>
      </c>
      <c r="P930" s="1081">
        <f t="shared" si="157"/>
        <v>149.79</v>
      </c>
      <c r="Q930" s="724">
        <f t="shared" si="158"/>
        <v>10.4504651162791</v>
      </c>
      <c r="R930" s="1021">
        <f t="shared" si="159"/>
        <v>0.298611111111111</v>
      </c>
    </row>
    <row r="931" spans="1:18">
      <c r="A931" s="801">
        <v>45578</v>
      </c>
      <c r="B931" s="685">
        <v>449.32</v>
      </c>
      <c r="C931" s="686">
        <v>393</v>
      </c>
      <c r="D931" s="686">
        <v>155</v>
      </c>
      <c r="E931" s="686">
        <v>2</v>
      </c>
      <c r="F931" s="685">
        <v>15996</v>
      </c>
      <c r="G931" s="686">
        <v>75</v>
      </c>
      <c r="H931" s="686">
        <v>6</v>
      </c>
      <c r="I931" s="686">
        <v>12</v>
      </c>
      <c r="J931" s="527">
        <f t="shared" si="151"/>
        <v>0.39440203562341</v>
      </c>
      <c r="K931" s="687">
        <f t="shared" si="152"/>
        <v>2.89883870967742</v>
      </c>
      <c r="L931" s="1025">
        <f t="shared" si="153"/>
        <v>1143.30788804071</v>
      </c>
      <c r="M931" s="702">
        <f t="shared" si="154"/>
        <v>35.6004629217484</v>
      </c>
      <c r="N931" s="703">
        <f t="shared" si="155"/>
        <v>0.0129032258064516</v>
      </c>
      <c r="O931" s="1081">
        <f t="shared" si="156"/>
        <v>7998</v>
      </c>
      <c r="P931" s="1081">
        <f t="shared" si="157"/>
        <v>224.66</v>
      </c>
      <c r="Q931" s="724">
        <f t="shared" si="158"/>
        <v>5.99093333333333</v>
      </c>
      <c r="R931" s="1021">
        <f t="shared" si="159"/>
        <v>0.483870967741935</v>
      </c>
    </row>
    <row r="932" spans="1:18">
      <c r="A932" s="801">
        <v>45579</v>
      </c>
      <c r="B932" s="685">
        <v>449.48</v>
      </c>
      <c r="C932" s="686">
        <v>349</v>
      </c>
      <c r="D932" s="686">
        <v>143</v>
      </c>
      <c r="E932" s="686">
        <v>5</v>
      </c>
      <c r="F932" s="685">
        <v>43089</v>
      </c>
      <c r="G932" s="686">
        <v>59</v>
      </c>
      <c r="H932" s="686">
        <v>6</v>
      </c>
      <c r="I932" s="686">
        <v>8</v>
      </c>
      <c r="J932" s="527">
        <f t="shared" si="151"/>
        <v>0.40974212034384</v>
      </c>
      <c r="K932" s="687">
        <f t="shared" si="152"/>
        <v>3.14321678321678</v>
      </c>
      <c r="L932" s="1025">
        <f t="shared" si="153"/>
        <v>1287.90830945559</v>
      </c>
      <c r="M932" s="702">
        <f t="shared" si="154"/>
        <v>95.8641096378037</v>
      </c>
      <c r="N932" s="703">
        <f t="shared" si="155"/>
        <v>0.034965034965035</v>
      </c>
      <c r="O932" s="1081">
        <f t="shared" si="156"/>
        <v>8617.8</v>
      </c>
      <c r="P932" s="1081">
        <f t="shared" si="157"/>
        <v>89.896</v>
      </c>
      <c r="Q932" s="724">
        <f t="shared" si="158"/>
        <v>7.61830508474576</v>
      </c>
      <c r="R932" s="1021">
        <f t="shared" si="159"/>
        <v>0.412587412587413</v>
      </c>
    </row>
    <row r="933" spans="1:18">
      <c r="A933" s="801">
        <v>45580</v>
      </c>
      <c r="B933" s="685">
        <v>1859.57</v>
      </c>
      <c r="C933" s="686">
        <v>1443</v>
      </c>
      <c r="D933" s="686">
        <v>712</v>
      </c>
      <c r="E933" s="686">
        <v>17</v>
      </c>
      <c r="F933" s="685">
        <v>174848</v>
      </c>
      <c r="G933" s="686">
        <v>199</v>
      </c>
      <c r="H933" s="686">
        <v>37</v>
      </c>
      <c r="I933" s="686">
        <v>60</v>
      </c>
      <c r="J933" s="527">
        <f t="shared" si="151"/>
        <v>0.493416493416493</v>
      </c>
      <c r="K933" s="687">
        <f t="shared" si="152"/>
        <v>2.61175561797753</v>
      </c>
      <c r="L933" s="1025">
        <f t="shared" si="153"/>
        <v>1288.6832986833</v>
      </c>
      <c r="M933" s="702">
        <f t="shared" si="154"/>
        <v>94.0260382776663</v>
      </c>
      <c r="N933" s="703">
        <f t="shared" si="155"/>
        <v>0.023876404494382</v>
      </c>
      <c r="O933" s="1081">
        <f t="shared" si="156"/>
        <v>10285.1764705882</v>
      </c>
      <c r="P933" s="1081">
        <f t="shared" si="157"/>
        <v>109.386470588235</v>
      </c>
      <c r="Q933" s="724">
        <f t="shared" si="158"/>
        <v>9.34457286432161</v>
      </c>
      <c r="R933" s="1021">
        <f t="shared" si="159"/>
        <v>0.279494382022472</v>
      </c>
    </row>
    <row r="934" spans="1:18">
      <c r="A934" s="801">
        <v>45581</v>
      </c>
      <c r="B934" s="685">
        <v>1998.61</v>
      </c>
      <c r="C934" s="686">
        <v>1744</v>
      </c>
      <c r="D934" s="686">
        <v>652</v>
      </c>
      <c r="E934" s="686">
        <v>10</v>
      </c>
      <c r="F934" s="685">
        <v>103904</v>
      </c>
      <c r="G934" s="686">
        <v>242</v>
      </c>
      <c r="H934" s="686">
        <v>35</v>
      </c>
      <c r="I934" s="686">
        <v>62</v>
      </c>
      <c r="J934" s="527">
        <f t="shared" si="151"/>
        <v>0.373853211009174</v>
      </c>
      <c r="K934" s="687">
        <f t="shared" si="152"/>
        <v>3.0653527607362</v>
      </c>
      <c r="L934" s="1025">
        <f t="shared" si="153"/>
        <v>1145.99197247706</v>
      </c>
      <c r="M934" s="702">
        <f t="shared" si="154"/>
        <v>51.9881317515673</v>
      </c>
      <c r="N934" s="703">
        <f t="shared" si="155"/>
        <v>0.0153374233128834</v>
      </c>
      <c r="O934" s="1081">
        <f t="shared" si="156"/>
        <v>10390.4</v>
      </c>
      <c r="P934" s="1081">
        <f t="shared" si="157"/>
        <v>199.861</v>
      </c>
      <c r="Q934" s="724">
        <f t="shared" si="158"/>
        <v>8.25871900826446</v>
      </c>
      <c r="R934" s="1021">
        <f t="shared" si="159"/>
        <v>0.371165644171779</v>
      </c>
    </row>
    <row r="935" spans="1:18">
      <c r="A935" s="801">
        <v>45582</v>
      </c>
      <c r="B935" s="685">
        <v>1856.49</v>
      </c>
      <c r="C935" s="686">
        <v>1457</v>
      </c>
      <c r="D935" s="686">
        <v>594</v>
      </c>
      <c r="E935" s="686">
        <v>9</v>
      </c>
      <c r="F935" s="685">
        <v>83178</v>
      </c>
      <c r="G935" s="686">
        <v>194</v>
      </c>
      <c r="H935" s="686">
        <v>18</v>
      </c>
      <c r="I935" s="686">
        <v>82</v>
      </c>
      <c r="J935" s="527">
        <f t="shared" si="151"/>
        <v>0.407687028140014</v>
      </c>
      <c r="K935" s="687">
        <f t="shared" si="152"/>
        <v>3.12540404040404</v>
      </c>
      <c r="L935" s="1025">
        <f t="shared" ref="L935:L968" si="160">B935/C935*1000</f>
        <v>1274.18668496911</v>
      </c>
      <c r="M935" s="702">
        <f t="shared" ref="M935:M968" si="161">F935/B935</f>
        <v>44.8039041416867</v>
      </c>
      <c r="N935" s="703">
        <f t="shared" ref="N935:N968" si="162">E935/D935</f>
        <v>0.0151515151515152</v>
      </c>
      <c r="O935" s="1081">
        <f t="shared" ref="O935:O968" si="163">IF(E935=0,0,F935/E935)</f>
        <v>9242</v>
      </c>
      <c r="P935" s="1081">
        <f t="shared" ref="P935:P968" si="164">IF(E935=0,0,B935/E935)</f>
        <v>206.276666666667</v>
      </c>
      <c r="Q935" s="724">
        <f t="shared" ref="Q935:Q968" si="165">B935/G935</f>
        <v>9.56953608247423</v>
      </c>
      <c r="R935" s="1021">
        <f t="shared" si="159"/>
        <v>0.326599326599327</v>
      </c>
    </row>
    <row r="936" spans="1:18">
      <c r="A936" s="801">
        <v>45583</v>
      </c>
      <c r="B936" s="685">
        <v>1192.27</v>
      </c>
      <c r="C936" s="686">
        <v>959</v>
      </c>
      <c r="D936" s="686">
        <v>342</v>
      </c>
      <c r="E936" s="686">
        <v>3</v>
      </c>
      <c r="F936" s="685">
        <v>28957</v>
      </c>
      <c r="G936" s="686">
        <v>97</v>
      </c>
      <c r="H936" s="686">
        <v>15</v>
      </c>
      <c r="I936" s="686">
        <v>35</v>
      </c>
      <c r="J936" s="527">
        <f t="shared" si="151"/>
        <v>0.356621480709072</v>
      </c>
      <c r="K936" s="687">
        <f t="shared" si="152"/>
        <v>3.48616959064327</v>
      </c>
      <c r="L936" s="1025">
        <f t="shared" si="160"/>
        <v>1243.24296141814</v>
      </c>
      <c r="M936" s="702">
        <f t="shared" si="161"/>
        <v>24.2872839205885</v>
      </c>
      <c r="N936" s="703">
        <f t="shared" si="162"/>
        <v>0.0087719298245614</v>
      </c>
      <c r="O936" s="1081">
        <f t="shared" si="163"/>
        <v>9652.33333333333</v>
      </c>
      <c r="P936" s="1081">
        <f t="shared" si="164"/>
        <v>397.423333333333</v>
      </c>
      <c r="Q936" s="724">
        <f t="shared" si="165"/>
        <v>12.2914432989691</v>
      </c>
      <c r="R936" s="1021">
        <f t="shared" si="159"/>
        <v>0.283625730994152</v>
      </c>
    </row>
    <row r="937" spans="1:18">
      <c r="A937" s="801">
        <v>45584</v>
      </c>
      <c r="B937" s="685">
        <v>1.35</v>
      </c>
      <c r="C937" s="686">
        <v>1</v>
      </c>
      <c r="D937" s="686">
        <v>0</v>
      </c>
      <c r="E937" s="686">
        <v>0</v>
      </c>
      <c r="F937" s="685">
        <v>0</v>
      </c>
      <c r="G937" s="686">
        <v>0</v>
      </c>
      <c r="H937" s="686">
        <v>0</v>
      </c>
      <c r="I937" s="686">
        <v>0</v>
      </c>
      <c r="J937" s="527">
        <f t="shared" si="151"/>
        <v>0</v>
      </c>
      <c r="K937" s="687" t="e">
        <f t="shared" si="152"/>
        <v>#DIV/0!</v>
      </c>
      <c r="L937" s="1025">
        <f t="shared" si="160"/>
        <v>1350</v>
      </c>
      <c r="M937" s="702">
        <f t="shared" si="161"/>
        <v>0</v>
      </c>
      <c r="N937" s="703" t="e">
        <f t="shared" si="162"/>
        <v>#DIV/0!</v>
      </c>
      <c r="O937" s="1081">
        <f t="shared" si="163"/>
        <v>0</v>
      </c>
      <c r="P937" s="1081">
        <f t="shared" si="164"/>
        <v>0</v>
      </c>
      <c r="Q937" s="724" t="e">
        <f t="shared" si="165"/>
        <v>#DIV/0!</v>
      </c>
      <c r="R937" s="1021" t="e">
        <f t="shared" si="159"/>
        <v>#DIV/0!</v>
      </c>
    </row>
    <row r="938" spans="1:18">
      <c r="A938" s="801">
        <v>45585</v>
      </c>
      <c r="B938" s="685">
        <v>83.95</v>
      </c>
      <c r="C938" s="686">
        <v>73</v>
      </c>
      <c r="D938" s="686">
        <v>29</v>
      </c>
      <c r="E938" s="686">
        <v>1</v>
      </c>
      <c r="F938" s="685">
        <v>11097</v>
      </c>
      <c r="G938" s="686">
        <v>16</v>
      </c>
      <c r="H938" s="686">
        <v>3</v>
      </c>
      <c r="I938" s="686">
        <v>2</v>
      </c>
      <c r="J938" s="527">
        <f t="shared" si="151"/>
        <v>0.397260273972603</v>
      </c>
      <c r="K938" s="687">
        <f t="shared" si="152"/>
        <v>2.8948275862069</v>
      </c>
      <c r="L938" s="1025">
        <f t="shared" si="160"/>
        <v>1150</v>
      </c>
      <c r="M938" s="702">
        <f t="shared" si="161"/>
        <v>132.185824895771</v>
      </c>
      <c r="N938" s="703">
        <f t="shared" si="162"/>
        <v>0.0344827586206897</v>
      </c>
      <c r="O938" s="1081">
        <f t="shared" si="163"/>
        <v>11097</v>
      </c>
      <c r="P938" s="1081">
        <f t="shared" si="164"/>
        <v>83.95</v>
      </c>
      <c r="Q938" s="724">
        <f t="shared" si="165"/>
        <v>5.246875</v>
      </c>
      <c r="R938" s="1021">
        <f t="shared" si="159"/>
        <v>0.551724137931034</v>
      </c>
    </row>
    <row r="939" spans="1:18">
      <c r="A939" s="801">
        <v>45586</v>
      </c>
      <c r="B939" s="685">
        <v>1696.36</v>
      </c>
      <c r="C939" s="686">
        <v>1435</v>
      </c>
      <c r="D939" s="686">
        <v>425</v>
      </c>
      <c r="E939" s="686">
        <v>20</v>
      </c>
      <c r="F939" s="685">
        <v>194550</v>
      </c>
      <c r="G939" s="686">
        <v>169</v>
      </c>
      <c r="H939" s="686">
        <v>11</v>
      </c>
      <c r="I939" s="686">
        <v>48</v>
      </c>
      <c r="J939" s="527">
        <f t="shared" si="151"/>
        <v>0.29616724738676</v>
      </c>
      <c r="K939" s="687">
        <f t="shared" si="152"/>
        <v>3.99143529411765</v>
      </c>
      <c r="L939" s="1025">
        <f t="shared" si="160"/>
        <v>1182.13240418118</v>
      </c>
      <c r="M939" s="702">
        <f t="shared" si="161"/>
        <v>114.686741021953</v>
      </c>
      <c r="N939" s="703">
        <f t="shared" si="162"/>
        <v>0.0470588235294118</v>
      </c>
      <c r="O939" s="1081">
        <f t="shared" si="163"/>
        <v>9727.5</v>
      </c>
      <c r="P939" s="1081">
        <f t="shared" si="164"/>
        <v>84.818</v>
      </c>
      <c r="Q939" s="724">
        <f t="shared" si="165"/>
        <v>10.0376331360947</v>
      </c>
      <c r="R939" s="1021">
        <f t="shared" si="159"/>
        <v>0.397647058823529</v>
      </c>
    </row>
    <row r="940" spans="1:18">
      <c r="A940" s="801">
        <v>45587</v>
      </c>
      <c r="B940" s="685">
        <v>1240.23</v>
      </c>
      <c r="C940" s="686">
        <v>1029</v>
      </c>
      <c r="D940" s="686">
        <v>324</v>
      </c>
      <c r="E940" s="686">
        <v>16</v>
      </c>
      <c r="F940" s="685">
        <v>164912</v>
      </c>
      <c r="G940" s="686">
        <v>96</v>
      </c>
      <c r="H940" s="686">
        <v>5</v>
      </c>
      <c r="I940" s="686">
        <v>44</v>
      </c>
      <c r="J940" s="527">
        <f t="shared" si="151"/>
        <v>0.314868804664723</v>
      </c>
      <c r="K940" s="687">
        <f t="shared" si="152"/>
        <v>3.82787037037037</v>
      </c>
      <c r="L940" s="1025">
        <f t="shared" si="160"/>
        <v>1205.27696793003</v>
      </c>
      <c r="M940" s="702">
        <f t="shared" si="161"/>
        <v>132.968884803625</v>
      </c>
      <c r="N940" s="703">
        <f t="shared" si="162"/>
        <v>0.0493827160493827</v>
      </c>
      <c r="O940" s="1081">
        <f t="shared" si="163"/>
        <v>10307</v>
      </c>
      <c r="P940" s="1081">
        <f t="shared" si="164"/>
        <v>77.514375</v>
      </c>
      <c r="Q940" s="724">
        <f t="shared" si="165"/>
        <v>12.9190625</v>
      </c>
      <c r="R940" s="1021">
        <f t="shared" si="159"/>
        <v>0.296296296296296</v>
      </c>
    </row>
    <row r="941" spans="1:18">
      <c r="A941" s="801">
        <v>45588</v>
      </c>
      <c r="B941" s="685">
        <v>1239.88</v>
      </c>
      <c r="C941" s="686">
        <v>973</v>
      </c>
      <c r="D941" s="686">
        <v>332</v>
      </c>
      <c r="E941" s="686">
        <v>9</v>
      </c>
      <c r="F941" s="685">
        <v>83313.48</v>
      </c>
      <c r="G941" s="686">
        <v>135</v>
      </c>
      <c r="H941" s="686">
        <v>5</v>
      </c>
      <c r="I941" s="686">
        <v>32</v>
      </c>
      <c r="J941" s="527">
        <f t="shared" si="151"/>
        <v>0.341212744090442</v>
      </c>
      <c r="K941" s="687">
        <f t="shared" si="152"/>
        <v>3.73457831325301</v>
      </c>
      <c r="L941" s="1025">
        <f t="shared" si="160"/>
        <v>1274.28571428571</v>
      </c>
      <c r="M941" s="702">
        <f t="shared" si="161"/>
        <v>67.1947930444882</v>
      </c>
      <c r="N941" s="703">
        <f t="shared" si="162"/>
        <v>0.0271084337349398</v>
      </c>
      <c r="O941" s="1081">
        <f t="shared" si="163"/>
        <v>9257.05333333333</v>
      </c>
      <c r="P941" s="1081">
        <f t="shared" si="164"/>
        <v>137.764444444444</v>
      </c>
      <c r="Q941" s="724">
        <f t="shared" si="165"/>
        <v>9.1842962962963</v>
      </c>
      <c r="R941" s="1021">
        <f t="shared" si="159"/>
        <v>0.406626506024096</v>
      </c>
    </row>
    <row r="942" spans="1:18">
      <c r="A942" s="801">
        <v>45589</v>
      </c>
      <c r="B942" s="685">
        <v>1168.18</v>
      </c>
      <c r="C942" s="686">
        <v>1050</v>
      </c>
      <c r="D942" s="686">
        <v>251</v>
      </c>
      <c r="E942" s="686">
        <v>4</v>
      </c>
      <c r="F942" s="685">
        <v>38790</v>
      </c>
      <c r="G942" s="686">
        <v>85</v>
      </c>
      <c r="H942" s="686">
        <v>6</v>
      </c>
      <c r="I942" s="686">
        <v>17</v>
      </c>
      <c r="J942" s="527">
        <f t="shared" si="151"/>
        <v>0.239047619047619</v>
      </c>
      <c r="K942" s="687">
        <f t="shared" si="152"/>
        <v>4.65410358565737</v>
      </c>
      <c r="L942" s="1025">
        <f t="shared" si="160"/>
        <v>1112.55238095238</v>
      </c>
      <c r="M942" s="702">
        <f t="shared" si="161"/>
        <v>33.2054991525279</v>
      </c>
      <c r="N942" s="703">
        <f t="shared" si="162"/>
        <v>0.0159362549800797</v>
      </c>
      <c r="O942" s="1081">
        <f t="shared" si="163"/>
        <v>9697.5</v>
      </c>
      <c r="P942" s="1081">
        <f t="shared" si="164"/>
        <v>292.045</v>
      </c>
      <c r="Q942" s="724">
        <f t="shared" si="165"/>
        <v>13.7432941176471</v>
      </c>
      <c r="R942" s="1021">
        <f t="shared" si="159"/>
        <v>0.338645418326693</v>
      </c>
    </row>
    <row r="943" spans="1:18">
      <c r="A943" s="801">
        <v>45590</v>
      </c>
      <c r="B943" s="685">
        <v>976.49</v>
      </c>
      <c r="C943" s="686">
        <v>874</v>
      </c>
      <c r="D943" s="686">
        <v>207</v>
      </c>
      <c r="E943" s="686">
        <v>4</v>
      </c>
      <c r="F943" s="685">
        <v>43089</v>
      </c>
      <c r="G943" s="686">
        <v>46</v>
      </c>
      <c r="H943" s="686">
        <v>7</v>
      </c>
      <c r="I943" s="686">
        <v>18</v>
      </c>
      <c r="J943" s="527">
        <f t="shared" si="151"/>
        <v>0.236842105263158</v>
      </c>
      <c r="K943" s="687">
        <f t="shared" si="152"/>
        <v>4.71734299516908</v>
      </c>
      <c r="L943" s="1025">
        <f t="shared" si="160"/>
        <v>1117.26544622426</v>
      </c>
      <c r="M943" s="702">
        <f t="shared" si="161"/>
        <v>44.1264119448228</v>
      </c>
      <c r="N943" s="703">
        <f t="shared" si="162"/>
        <v>0.0193236714975845</v>
      </c>
      <c r="O943" s="1081">
        <f t="shared" si="163"/>
        <v>10772.25</v>
      </c>
      <c r="P943" s="1081">
        <f t="shared" si="164"/>
        <v>244.1225</v>
      </c>
      <c r="Q943" s="724">
        <f t="shared" si="165"/>
        <v>21.2280434782609</v>
      </c>
      <c r="R943" s="1021">
        <f t="shared" si="159"/>
        <v>0.222222222222222</v>
      </c>
    </row>
    <row r="944" spans="1:18">
      <c r="A944" s="801">
        <v>45591</v>
      </c>
      <c r="B944" s="685">
        <v>956.78</v>
      </c>
      <c r="C944" s="686">
        <v>886</v>
      </c>
      <c r="D944" s="686">
        <v>211</v>
      </c>
      <c r="E944" s="686">
        <v>2</v>
      </c>
      <c r="F944" s="685">
        <v>18732</v>
      </c>
      <c r="G944" s="686">
        <v>73</v>
      </c>
      <c r="H944" s="686">
        <v>5</v>
      </c>
      <c r="I944" s="686">
        <v>12</v>
      </c>
      <c r="J944" s="527">
        <f t="shared" si="151"/>
        <v>0.238148984198646</v>
      </c>
      <c r="K944" s="687">
        <f t="shared" si="152"/>
        <v>4.53450236966825</v>
      </c>
      <c r="L944" s="1025">
        <f t="shared" si="160"/>
        <v>1079.88713318284</v>
      </c>
      <c r="M944" s="702">
        <f t="shared" si="161"/>
        <v>19.5781684399758</v>
      </c>
      <c r="N944" s="703">
        <f t="shared" si="162"/>
        <v>0.00947867298578199</v>
      </c>
      <c r="O944" s="1081">
        <f t="shared" si="163"/>
        <v>9366</v>
      </c>
      <c r="P944" s="1081">
        <f t="shared" si="164"/>
        <v>478.39</v>
      </c>
      <c r="Q944" s="724">
        <f t="shared" si="165"/>
        <v>13.1065753424658</v>
      </c>
      <c r="R944" s="1021">
        <f t="shared" si="159"/>
        <v>0.345971563981043</v>
      </c>
    </row>
    <row r="945" spans="1:18">
      <c r="A945" s="801">
        <v>45592</v>
      </c>
      <c r="B945" s="685">
        <v>1022.87</v>
      </c>
      <c r="C945" s="686">
        <v>987</v>
      </c>
      <c r="D945" s="686">
        <v>210</v>
      </c>
      <c r="E945" s="686">
        <v>2</v>
      </c>
      <c r="F945" s="685">
        <v>34907</v>
      </c>
      <c r="G945" s="686">
        <v>58</v>
      </c>
      <c r="H945" s="686">
        <v>6</v>
      </c>
      <c r="I945" s="686">
        <v>25</v>
      </c>
      <c r="J945" s="527">
        <f t="shared" si="151"/>
        <v>0.212765957446809</v>
      </c>
      <c r="K945" s="687">
        <f t="shared" si="152"/>
        <v>4.87080952380952</v>
      </c>
      <c r="L945" s="1025">
        <f t="shared" si="160"/>
        <v>1036.34245187437</v>
      </c>
      <c r="M945" s="702">
        <f t="shared" si="161"/>
        <v>34.126526342546</v>
      </c>
      <c r="N945" s="703">
        <f t="shared" si="162"/>
        <v>0.00952380952380952</v>
      </c>
      <c r="O945" s="1081">
        <f t="shared" si="163"/>
        <v>17453.5</v>
      </c>
      <c r="P945" s="1081">
        <f t="shared" si="164"/>
        <v>511.435</v>
      </c>
      <c r="Q945" s="724">
        <f t="shared" si="165"/>
        <v>17.6356896551724</v>
      </c>
      <c r="R945" s="1021">
        <f t="shared" si="159"/>
        <v>0.276190476190476</v>
      </c>
    </row>
    <row r="946" spans="1:18">
      <c r="A946" s="801">
        <v>45593</v>
      </c>
      <c r="B946" s="685">
        <v>1142.49</v>
      </c>
      <c r="C946" s="686">
        <v>967</v>
      </c>
      <c r="D946" s="686">
        <v>247</v>
      </c>
      <c r="E946" s="686">
        <v>5</v>
      </c>
      <c r="F946" s="685">
        <v>89469</v>
      </c>
      <c r="G946" s="686">
        <v>62</v>
      </c>
      <c r="H946" s="686">
        <v>5</v>
      </c>
      <c r="I946" s="686">
        <v>25</v>
      </c>
      <c r="J946" s="527">
        <f t="shared" si="151"/>
        <v>0.255429162357808</v>
      </c>
      <c r="K946" s="687">
        <f t="shared" si="152"/>
        <v>4.62546558704453</v>
      </c>
      <c r="L946" s="1025">
        <f t="shared" si="160"/>
        <v>1181.47880041365</v>
      </c>
      <c r="M946" s="702">
        <f t="shared" si="161"/>
        <v>78.310532258488</v>
      </c>
      <c r="N946" s="703">
        <f t="shared" si="162"/>
        <v>0.0202429149797571</v>
      </c>
      <c r="O946" s="1081">
        <f t="shared" si="163"/>
        <v>17893.8</v>
      </c>
      <c r="P946" s="1081">
        <f t="shared" si="164"/>
        <v>228.498</v>
      </c>
      <c r="Q946" s="724">
        <f t="shared" si="165"/>
        <v>18.4272580645161</v>
      </c>
      <c r="R946" s="1021">
        <f t="shared" si="159"/>
        <v>0.251012145748988</v>
      </c>
    </row>
    <row r="947" spans="1:18">
      <c r="A947" s="801">
        <v>45594</v>
      </c>
      <c r="B947" s="685">
        <v>1102.69</v>
      </c>
      <c r="C947" s="686">
        <v>968</v>
      </c>
      <c r="D947" s="686">
        <v>225</v>
      </c>
      <c r="E947" s="686">
        <v>3</v>
      </c>
      <c r="F947" s="685">
        <v>29435.64</v>
      </c>
      <c r="G947" s="686">
        <v>56</v>
      </c>
      <c r="H947" s="686">
        <v>3</v>
      </c>
      <c r="I947" s="686">
        <v>22</v>
      </c>
      <c r="J947" s="527">
        <f t="shared" si="151"/>
        <v>0.232438016528926</v>
      </c>
      <c r="K947" s="687">
        <f t="shared" si="152"/>
        <v>4.90084444444445</v>
      </c>
      <c r="L947" s="1025">
        <f t="shared" si="160"/>
        <v>1139.14256198347</v>
      </c>
      <c r="M947" s="702">
        <f t="shared" si="161"/>
        <v>26.6943928030543</v>
      </c>
      <c r="N947" s="703">
        <f t="shared" si="162"/>
        <v>0.0133333333333333</v>
      </c>
      <c r="O947" s="1081">
        <f t="shared" si="163"/>
        <v>9811.88</v>
      </c>
      <c r="P947" s="1081">
        <f t="shared" si="164"/>
        <v>367.563333333333</v>
      </c>
      <c r="Q947" s="724">
        <f t="shared" si="165"/>
        <v>19.6908928571429</v>
      </c>
      <c r="R947" s="1021">
        <f t="shared" si="159"/>
        <v>0.248888888888889</v>
      </c>
    </row>
    <row r="948" spans="1:18">
      <c r="A948" s="801">
        <v>45595</v>
      </c>
      <c r="B948" s="685">
        <v>1220.32</v>
      </c>
      <c r="C948" s="686">
        <v>1031</v>
      </c>
      <c r="D948" s="686">
        <v>320</v>
      </c>
      <c r="E948" s="686">
        <v>2</v>
      </c>
      <c r="F948" s="685">
        <v>22194</v>
      </c>
      <c r="G948" s="686">
        <v>72</v>
      </c>
      <c r="H948" s="686">
        <v>11</v>
      </c>
      <c r="I948" s="686">
        <v>24</v>
      </c>
      <c r="J948" s="527">
        <f t="shared" si="151"/>
        <v>0.310378273520854</v>
      </c>
      <c r="K948" s="687">
        <f t="shared" si="152"/>
        <v>3.8135</v>
      </c>
      <c r="L948" s="1025">
        <f t="shared" si="160"/>
        <v>1183.62754607177</v>
      </c>
      <c r="M948" s="702">
        <f t="shared" si="161"/>
        <v>18.1870329094008</v>
      </c>
      <c r="N948" s="703">
        <f t="shared" si="162"/>
        <v>0.00625</v>
      </c>
      <c r="O948" s="1081">
        <f t="shared" si="163"/>
        <v>11097</v>
      </c>
      <c r="P948" s="1081">
        <f t="shared" si="164"/>
        <v>610.16</v>
      </c>
      <c r="Q948" s="724">
        <f t="shared" si="165"/>
        <v>16.9488888888889</v>
      </c>
      <c r="R948" s="1021">
        <f t="shared" si="159"/>
        <v>0.225</v>
      </c>
    </row>
    <row r="949" spans="1:18">
      <c r="A949" s="801">
        <v>45596</v>
      </c>
      <c r="B949" s="685">
        <v>1222.63</v>
      </c>
      <c r="C949" s="686">
        <v>1016</v>
      </c>
      <c r="D949" s="686">
        <v>332</v>
      </c>
      <c r="E949" s="686">
        <v>5</v>
      </c>
      <c r="F949" s="685">
        <v>76836</v>
      </c>
      <c r="G949" s="686">
        <v>90</v>
      </c>
      <c r="H949" s="686">
        <v>7</v>
      </c>
      <c r="I949" s="686">
        <v>32</v>
      </c>
      <c r="J949" s="527">
        <f t="shared" si="151"/>
        <v>0.326771653543307</v>
      </c>
      <c r="K949" s="687">
        <f t="shared" si="152"/>
        <v>3.68262048192771</v>
      </c>
      <c r="L949" s="1025">
        <f t="shared" si="160"/>
        <v>1203.37598425197</v>
      </c>
      <c r="M949" s="702">
        <f t="shared" si="161"/>
        <v>62.8448508543059</v>
      </c>
      <c r="N949" s="703">
        <f t="shared" si="162"/>
        <v>0.0150602409638554</v>
      </c>
      <c r="O949" s="1081">
        <f t="shared" si="163"/>
        <v>15367.2</v>
      </c>
      <c r="P949" s="1081">
        <f t="shared" si="164"/>
        <v>244.526</v>
      </c>
      <c r="Q949" s="724">
        <f t="shared" si="165"/>
        <v>13.5847777777778</v>
      </c>
      <c r="R949" s="1021">
        <f t="shared" si="159"/>
        <v>0.271084337349398</v>
      </c>
    </row>
    <row r="950" spans="1:18">
      <c r="A950" s="801">
        <v>45597</v>
      </c>
      <c r="B950" s="685">
        <v>1518.34</v>
      </c>
      <c r="C950" s="686">
        <v>1465</v>
      </c>
      <c r="D950" s="686">
        <v>242</v>
      </c>
      <c r="E950" s="686">
        <v>9</v>
      </c>
      <c r="F950" s="685">
        <v>79980</v>
      </c>
      <c r="G950" s="686">
        <v>79</v>
      </c>
      <c r="H950" s="686">
        <v>9</v>
      </c>
      <c r="I950" s="686">
        <v>14</v>
      </c>
      <c r="J950" s="527">
        <f t="shared" si="151"/>
        <v>0.16518771331058</v>
      </c>
      <c r="K950" s="687">
        <f t="shared" si="152"/>
        <v>6.27413223140496</v>
      </c>
      <c r="L950" s="1025">
        <f t="shared" si="160"/>
        <v>1036.40955631399</v>
      </c>
      <c r="M950" s="702">
        <f t="shared" si="161"/>
        <v>52.6759487334853</v>
      </c>
      <c r="N950" s="703">
        <f t="shared" si="162"/>
        <v>0.0371900826446281</v>
      </c>
      <c r="O950" s="1081">
        <f t="shared" si="163"/>
        <v>8886.66666666667</v>
      </c>
      <c r="P950" s="1081">
        <f t="shared" si="164"/>
        <v>168.704444444444</v>
      </c>
      <c r="Q950" s="724">
        <f t="shared" si="165"/>
        <v>19.2194936708861</v>
      </c>
      <c r="R950" s="1021">
        <f t="shared" si="159"/>
        <v>0.326446280991736</v>
      </c>
    </row>
    <row r="951" spans="1:18">
      <c r="A951" s="801">
        <v>45598</v>
      </c>
      <c r="B951" s="685">
        <v>1303.4</v>
      </c>
      <c r="C951" s="686">
        <v>1368</v>
      </c>
      <c r="D951" s="686">
        <v>169</v>
      </c>
      <c r="E951" s="686">
        <v>9</v>
      </c>
      <c r="F951" s="685">
        <v>110866.32</v>
      </c>
      <c r="G951" s="686">
        <v>58</v>
      </c>
      <c r="H951" s="686">
        <v>5</v>
      </c>
      <c r="I951" s="686">
        <v>14</v>
      </c>
      <c r="J951" s="527">
        <f t="shared" si="151"/>
        <v>0.123538011695906</v>
      </c>
      <c r="K951" s="687">
        <f t="shared" si="152"/>
        <v>7.71242603550296</v>
      </c>
      <c r="L951" s="1025">
        <f t="shared" si="160"/>
        <v>952.777777777778</v>
      </c>
      <c r="M951" s="702">
        <f t="shared" si="161"/>
        <v>85.0593217738223</v>
      </c>
      <c r="N951" s="703">
        <f t="shared" si="162"/>
        <v>0.0532544378698225</v>
      </c>
      <c r="O951" s="1081">
        <f t="shared" si="163"/>
        <v>12318.48</v>
      </c>
      <c r="P951" s="1081">
        <f t="shared" si="164"/>
        <v>144.822222222222</v>
      </c>
      <c r="Q951" s="724">
        <f t="shared" si="165"/>
        <v>22.4724137931034</v>
      </c>
      <c r="R951" s="1021">
        <f t="shared" si="159"/>
        <v>0.343195266272189</v>
      </c>
    </row>
    <row r="952" spans="1:18">
      <c r="A952" s="801">
        <v>45599</v>
      </c>
      <c r="B952" s="685">
        <v>1174.56</v>
      </c>
      <c r="C952" s="686">
        <v>1309</v>
      </c>
      <c r="D952" s="686">
        <v>205</v>
      </c>
      <c r="E952" s="686">
        <v>2</v>
      </c>
      <c r="F952" s="685">
        <v>29493</v>
      </c>
      <c r="G952" s="686">
        <v>63</v>
      </c>
      <c r="H952" s="686">
        <v>7</v>
      </c>
      <c r="I952" s="686">
        <v>19</v>
      </c>
      <c r="J952" s="527">
        <f t="shared" si="151"/>
        <v>0.156608097784568</v>
      </c>
      <c r="K952" s="687">
        <f t="shared" si="152"/>
        <v>5.72956097560976</v>
      </c>
      <c r="L952" s="1025">
        <f t="shared" si="160"/>
        <v>897.29564553094</v>
      </c>
      <c r="M952" s="702">
        <f t="shared" si="161"/>
        <v>25.1098283612587</v>
      </c>
      <c r="N952" s="703">
        <f t="shared" si="162"/>
        <v>0.00975609756097561</v>
      </c>
      <c r="O952" s="1081">
        <f t="shared" si="163"/>
        <v>14746.5</v>
      </c>
      <c r="P952" s="1081">
        <f t="shared" si="164"/>
        <v>587.28</v>
      </c>
      <c r="Q952" s="724">
        <f t="shared" si="165"/>
        <v>18.6438095238095</v>
      </c>
      <c r="R952" s="1021">
        <f t="shared" si="159"/>
        <v>0.307317073170732</v>
      </c>
    </row>
    <row r="953" spans="1:18">
      <c r="A953" s="801">
        <v>45600</v>
      </c>
      <c r="B953" s="685">
        <v>875.52</v>
      </c>
      <c r="C953" s="686">
        <v>824</v>
      </c>
      <c r="D953" s="686">
        <v>247</v>
      </c>
      <c r="E953" s="686">
        <v>4</v>
      </c>
      <c r="F953" s="685">
        <v>36656</v>
      </c>
      <c r="G953" s="686">
        <v>75</v>
      </c>
      <c r="H953" s="686">
        <v>7</v>
      </c>
      <c r="I953" s="686">
        <v>23</v>
      </c>
      <c r="J953" s="527">
        <f t="shared" si="151"/>
        <v>0.299757281553398</v>
      </c>
      <c r="K953" s="687">
        <f t="shared" si="152"/>
        <v>3.54461538461538</v>
      </c>
      <c r="L953" s="1025">
        <f t="shared" si="160"/>
        <v>1062.52427184466</v>
      </c>
      <c r="M953" s="702">
        <f t="shared" si="161"/>
        <v>41.8676900584795</v>
      </c>
      <c r="N953" s="703">
        <f t="shared" si="162"/>
        <v>0.0161943319838057</v>
      </c>
      <c r="O953" s="1081">
        <f t="shared" si="163"/>
        <v>9164</v>
      </c>
      <c r="P953" s="1081">
        <f t="shared" si="164"/>
        <v>218.88</v>
      </c>
      <c r="Q953" s="724">
        <f t="shared" si="165"/>
        <v>11.6736</v>
      </c>
      <c r="R953" s="1021">
        <f t="shared" si="159"/>
        <v>0.303643724696356</v>
      </c>
    </row>
    <row r="954" spans="1:18">
      <c r="A954" s="801">
        <v>45601</v>
      </c>
      <c r="B954" s="685">
        <v>900.45</v>
      </c>
      <c r="C954" s="686">
        <v>901</v>
      </c>
      <c r="D954" s="686">
        <v>188</v>
      </c>
      <c r="E954" s="686">
        <v>3</v>
      </c>
      <c r="F954" s="685">
        <v>45776</v>
      </c>
      <c r="G954" s="686">
        <v>51</v>
      </c>
      <c r="H954" s="686">
        <v>8</v>
      </c>
      <c r="I954" s="686">
        <v>13</v>
      </c>
      <c r="J954" s="527">
        <f t="shared" si="151"/>
        <v>0.20865704772475</v>
      </c>
      <c r="K954" s="687">
        <f t="shared" si="152"/>
        <v>4.78962765957447</v>
      </c>
      <c r="L954" s="1025">
        <f t="shared" si="160"/>
        <v>999.389567147614</v>
      </c>
      <c r="M954" s="702">
        <f t="shared" si="161"/>
        <v>50.8368038203121</v>
      </c>
      <c r="N954" s="703">
        <f t="shared" si="162"/>
        <v>0.0159574468085106</v>
      </c>
      <c r="O954" s="1081">
        <f t="shared" si="163"/>
        <v>15258.6666666667</v>
      </c>
      <c r="P954" s="1081">
        <f t="shared" si="164"/>
        <v>300.15</v>
      </c>
      <c r="Q954" s="724">
        <f t="shared" si="165"/>
        <v>17.6558823529412</v>
      </c>
      <c r="R954" s="1021">
        <f t="shared" si="159"/>
        <v>0.271276595744681</v>
      </c>
    </row>
    <row r="955" spans="1:18">
      <c r="A955" s="801">
        <v>45602</v>
      </c>
      <c r="B955" s="685">
        <v>1207.84</v>
      </c>
      <c r="C955" s="686">
        <v>1496</v>
      </c>
      <c r="D955" s="686">
        <v>182</v>
      </c>
      <c r="E955" s="686">
        <v>0</v>
      </c>
      <c r="F955" s="685">
        <v>0</v>
      </c>
      <c r="G955" s="686">
        <v>50</v>
      </c>
      <c r="H955" s="686">
        <v>6</v>
      </c>
      <c r="I955" s="686">
        <v>12</v>
      </c>
      <c r="J955" s="527">
        <f t="shared" si="151"/>
        <v>0.121657754010695</v>
      </c>
      <c r="K955" s="687">
        <f t="shared" si="152"/>
        <v>6.63648351648352</v>
      </c>
      <c r="L955" s="1025">
        <f t="shared" si="160"/>
        <v>807.379679144385</v>
      </c>
      <c r="M955" s="702">
        <f t="shared" si="161"/>
        <v>0</v>
      </c>
      <c r="N955" s="703">
        <f t="shared" si="162"/>
        <v>0</v>
      </c>
      <c r="O955" s="1081">
        <f t="shared" si="163"/>
        <v>0</v>
      </c>
      <c r="P955" s="1081">
        <f t="shared" si="164"/>
        <v>0</v>
      </c>
      <c r="Q955" s="724">
        <f t="shared" si="165"/>
        <v>24.1568</v>
      </c>
      <c r="R955" s="1021">
        <f t="shared" si="159"/>
        <v>0.274725274725275</v>
      </c>
    </row>
    <row r="956" spans="1:18">
      <c r="A956" s="801">
        <v>45603</v>
      </c>
      <c r="B956" s="685">
        <v>887.35</v>
      </c>
      <c r="C956" s="686">
        <v>827</v>
      </c>
      <c r="D956" s="686">
        <v>156</v>
      </c>
      <c r="E956" s="686">
        <v>5</v>
      </c>
      <c r="F956" s="685">
        <v>50548</v>
      </c>
      <c r="G956" s="686">
        <v>61</v>
      </c>
      <c r="H956" s="686">
        <v>5</v>
      </c>
      <c r="I956" s="686">
        <v>8</v>
      </c>
      <c r="J956" s="527">
        <f t="shared" si="151"/>
        <v>0.18863361547763</v>
      </c>
      <c r="K956" s="687">
        <f t="shared" si="152"/>
        <v>5.68814102564103</v>
      </c>
      <c r="L956" s="1025">
        <f t="shared" si="160"/>
        <v>1072.9746070133</v>
      </c>
      <c r="M956" s="702">
        <f t="shared" si="161"/>
        <v>56.9651208654984</v>
      </c>
      <c r="N956" s="703">
        <f t="shared" si="162"/>
        <v>0.032051282051282</v>
      </c>
      <c r="O956" s="1081">
        <f t="shared" si="163"/>
        <v>10109.6</v>
      </c>
      <c r="P956" s="1081">
        <f t="shared" si="164"/>
        <v>177.47</v>
      </c>
      <c r="Q956" s="724">
        <f t="shared" si="165"/>
        <v>14.5467213114754</v>
      </c>
      <c r="R956" s="1021">
        <f t="shared" si="159"/>
        <v>0.391025641025641</v>
      </c>
    </row>
    <row r="957" spans="1:18">
      <c r="A957" s="801">
        <v>45604</v>
      </c>
      <c r="B957" s="685">
        <v>702.52</v>
      </c>
      <c r="C957" s="686">
        <v>582</v>
      </c>
      <c r="D957" s="686">
        <v>147</v>
      </c>
      <c r="E957" s="686">
        <v>2</v>
      </c>
      <c r="F957" s="685">
        <v>17979</v>
      </c>
      <c r="G957" s="686">
        <v>48</v>
      </c>
      <c r="H957" s="686">
        <v>8</v>
      </c>
      <c r="I957" s="686">
        <v>13</v>
      </c>
      <c r="J957" s="527">
        <f t="shared" si="151"/>
        <v>0.252577319587629</v>
      </c>
      <c r="K957" s="687">
        <f t="shared" si="152"/>
        <v>4.77904761904762</v>
      </c>
      <c r="L957" s="1025">
        <f t="shared" si="160"/>
        <v>1207.07903780069</v>
      </c>
      <c r="M957" s="702">
        <f t="shared" si="161"/>
        <v>25.5921539600296</v>
      </c>
      <c r="N957" s="703">
        <f t="shared" si="162"/>
        <v>0.0136054421768707</v>
      </c>
      <c r="O957" s="1081">
        <f t="shared" si="163"/>
        <v>8989.5</v>
      </c>
      <c r="P957" s="1081">
        <f t="shared" si="164"/>
        <v>351.26</v>
      </c>
      <c r="Q957" s="724">
        <f t="shared" si="165"/>
        <v>14.6358333333333</v>
      </c>
      <c r="R957" s="1021">
        <f t="shared" si="159"/>
        <v>0.326530612244898</v>
      </c>
    </row>
    <row r="958" spans="1:18">
      <c r="A958" s="801">
        <v>45605</v>
      </c>
      <c r="B958" s="685">
        <v>754.32</v>
      </c>
      <c r="C958" s="686">
        <v>702</v>
      </c>
      <c r="D958" s="686">
        <v>175</v>
      </c>
      <c r="E958" s="686">
        <v>4</v>
      </c>
      <c r="F958" s="685">
        <v>53503</v>
      </c>
      <c r="G958" s="686">
        <v>48</v>
      </c>
      <c r="H958" s="686">
        <v>5</v>
      </c>
      <c r="I958" s="686">
        <v>17</v>
      </c>
      <c r="J958" s="527">
        <f t="shared" si="151"/>
        <v>0.249287749287749</v>
      </c>
      <c r="K958" s="687">
        <f t="shared" si="152"/>
        <v>4.3104</v>
      </c>
      <c r="L958" s="1025">
        <f t="shared" si="160"/>
        <v>1074.52991452991</v>
      </c>
      <c r="M958" s="702">
        <f t="shared" si="161"/>
        <v>70.9287835401421</v>
      </c>
      <c r="N958" s="703">
        <f t="shared" si="162"/>
        <v>0.0228571428571429</v>
      </c>
      <c r="O958" s="1081">
        <f t="shared" si="163"/>
        <v>13375.75</v>
      </c>
      <c r="P958" s="1081">
        <f t="shared" si="164"/>
        <v>188.58</v>
      </c>
      <c r="Q958" s="724">
        <f t="shared" si="165"/>
        <v>15.715</v>
      </c>
      <c r="R958" s="1021">
        <f t="shared" si="159"/>
        <v>0.274285714285714</v>
      </c>
    </row>
    <row r="959" spans="1:18">
      <c r="A959" s="801">
        <v>45606</v>
      </c>
      <c r="B959" s="685">
        <v>742.69</v>
      </c>
      <c r="C959" s="686">
        <v>660</v>
      </c>
      <c r="D959" s="686">
        <v>164</v>
      </c>
      <c r="E959" s="686">
        <v>8</v>
      </c>
      <c r="F959" s="685">
        <v>95431</v>
      </c>
      <c r="G959" s="686">
        <v>45</v>
      </c>
      <c r="H959" s="686">
        <v>3</v>
      </c>
      <c r="I959" s="686">
        <v>14</v>
      </c>
      <c r="J959" s="527">
        <f t="shared" si="151"/>
        <v>0.248484848484848</v>
      </c>
      <c r="K959" s="687">
        <f t="shared" si="152"/>
        <v>4.52859756097561</v>
      </c>
      <c r="L959" s="1025">
        <f t="shared" si="160"/>
        <v>1125.28787878788</v>
      </c>
      <c r="M959" s="702">
        <f t="shared" si="161"/>
        <v>128.493718779033</v>
      </c>
      <c r="N959" s="703">
        <f t="shared" si="162"/>
        <v>0.0487804878048781</v>
      </c>
      <c r="O959" s="1081">
        <f t="shared" si="163"/>
        <v>11928.875</v>
      </c>
      <c r="P959" s="1081">
        <f t="shared" si="164"/>
        <v>92.83625</v>
      </c>
      <c r="Q959" s="724">
        <f t="shared" si="165"/>
        <v>16.5042222222222</v>
      </c>
      <c r="R959" s="1021">
        <f t="shared" si="159"/>
        <v>0.274390243902439</v>
      </c>
    </row>
    <row r="960" spans="1:18">
      <c r="A960" s="801">
        <v>45607</v>
      </c>
      <c r="B960" s="685">
        <v>1008</v>
      </c>
      <c r="C960" s="686">
        <v>831</v>
      </c>
      <c r="D960" s="686">
        <v>264</v>
      </c>
      <c r="E960" s="686">
        <v>11</v>
      </c>
      <c r="F960" s="685">
        <v>118149</v>
      </c>
      <c r="G960" s="686">
        <v>77</v>
      </c>
      <c r="H960" s="686">
        <v>8</v>
      </c>
      <c r="I960" s="686">
        <v>21</v>
      </c>
      <c r="J960" s="527">
        <f t="shared" si="151"/>
        <v>0.317689530685921</v>
      </c>
      <c r="K960" s="687">
        <f t="shared" si="152"/>
        <v>3.81818181818182</v>
      </c>
      <c r="L960" s="1025">
        <f t="shared" si="160"/>
        <v>1212.9963898917</v>
      </c>
      <c r="M960" s="702">
        <f t="shared" si="161"/>
        <v>117.21130952381</v>
      </c>
      <c r="N960" s="703">
        <f t="shared" si="162"/>
        <v>0.0416666666666667</v>
      </c>
      <c r="O960" s="1081">
        <f t="shared" si="163"/>
        <v>10740.8181818182</v>
      </c>
      <c r="P960" s="1081">
        <f t="shared" si="164"/>
        <v>91.6363636363636</v>
      </c>
      <c r="Q960" s="724">
        <f t="shared" si="165"/>
        <v>13.0909090909091</v>
      </c>
      <c r="R960" s="1021">
        <f t="shared" si="159"/>
        <v>0.291666666666667</v>
      </c>
    </row>
    <row r="961" spans="1:18">
      <c r="A961" s="801">
        <v>45608</v>
      </c>
      <c r="B961" s="685">
        <v>743.02</v>
      </c>
      <c r="C961" s="686">
        <v>622</v>
      </c>
      <c r="D961" s="686">
        <v>193</v>
      </c>
      <c r="E961" s="686">
        <v>3</v>
      </c>
      <c r="F961" s="685">
        <v>27192</v>
      </c>
      <c r="G961" s="686">
        <v>52</v>
      </c>
      <c r="H961" s="686">
        <v>3</v>
      </c>
      <c r="I961" s="686">
        <v>14</v>
      </c>
      <c r="J961" s="527">
        <f t="shared" si="151"/>
        <v>0.310289389067524</v>
      </c>
      <c r="K961" s="687">
        <f t="shared" si="152"/>
        <v>3.84984455958549</v>
      </c>
      <c r="L961" s="1025">
        <f t="shared" si="160"/>
        <v>1194.56591639871</v>
      </c>
      <c r="M961" s="702">
        <f t="shared" si="161"/>
        <v>36.5965922855374</v>
      </c>
      <c r="N961" s="703">
        <f t="shared" si="162"/>
        <v>0.0155440414507772</v>
      </c>
      <c r="O961" s="1081">
        <f t="shared" si="163"/>
        <v>9064</v>
      </c>
      <c r="P961" s="1081">
        <f t="shared" si="164"/>
        <v>247.673333333333</v>
      </c>
      <c r="Q961" s="724">
        <f t="shared" si="165"/>
        <v>14.2888461538462</v>
      </c>
      <c r="R961" s="1021">
        <f t="shared" si="159"/>
        <v>0.269430051813472</v>
      </c>
    </row>
    <row r="962" spans="1:18">
      <c r="A962" s="801">
        <v>45609</v>
      </c>
      <c r="B962" s="685">
        <v>794.77</v>
      </c>
      <c r="C962" s="686">
        <v>739</v>
      </c>
      <c r="D962" s="686">
        <v>192</v>
      </c>
      <c r="E962" s="686">
        <v>5</v>
      </c>
      <c r="F962" s="685">
        <v>68503</v>
      </c>
      <c r="G962" s="686">
        <v>51</v>
      </c>
      <c r="H962" s="686">
        <v>6</v>
      </c>
      <c r="I962" s="686">
        <v>16</v>
      </c>
      <c r="J962" s="527">
        <f t="shared" ref="J962:J1025" si="166">D962/C962</f>
        <v>0.259810554803789</v>
      </c>
      <c r="K962" s="687">
        <f t="shared" ref="K962:K1025" si="167">B962/D962</f>
        <v>4.13942708333333</v>
      </c>
      <c r="L962" s="1025">
        <f t="shared" si="160"/>
        <v>1075.46684709066</v>
      </c>
      <c r="M962" s="702">
        <f t="shared" si="161"/>
        <v>86.1922317148357</v>
      </c>
      <c r="N962" s="703">
        <f t="shared" si="162"/>
        <v>0.0260416666666667</v>
      </c>
      <c r="O962" s="1081">
        <f t="shared" si="163"/>
        <v>13700.6</v>
      </c>
      <c r="P962" s="1081">
        <f t="shared" si="164"/>
        <v>158.954</v>
      </c>
      <c r="Q962" s="724">
        <f t="shared" si="165"/>
        <v>15.5837254901961</v>
      </c>
      <c r="R962" s="1021">
        <f t="shared" si="159"/>
        <v>0.265625</v>
      </c>
    </row>
    <row r="963" spans="1:18">
      <c r="A963" s="801">
        <v>45610</v>
      </c>
      <c r="B963" s="685">
        <v>269.23</v>
      </c>
      <c r="C963" s="686">
        <v>253</v>
      </c>
      <c r="D963" s="686">
        <v>104</v>
      </c>
      <c r="E963" s="686">
        <v>0</v>
      </c>
      <c r="F963" s="685">
        <v>0</v>
      </c>
      <c r="G963" s="686">
        <v>6</v>
      </c>
      <c r="H963" s="686">
        <v>3</v>
      </c>
      <c r="I963" s="686">
        <v>4</v>
      </c>
      <c r="J963" s="527">
        <f t="shared" si="166"/>
        <v>0.411067193675889</v>
      </c>
      <c r="K963" s="687">
        <f t="shared" si="167"/>
        <v>2.58875</v>
      </c>
      <c r="L963" s="1025">
        <f t="shared" si="160"/>
        <v>1064.15019762846</v>
      </c>
      <c r="M963" s="702">
        <f t="shared" si="161"/>
        <v>0</v>
      </c>
      <c r="N963" s="703">
        <f t="shared" si="162"/>
        <v>0</v>
      </c>
      <c r="O963" s="1081">
        <f t="shared" si="163"/>
        <v>0</v>
      </c>
      <c r="P963" s="1081">
        <f t="shared" si="164"/>
        <v>0</v>
      </c>
      <c r="Q963" s="724">
        <f t="shared" si="165"/>
        <v>44.8716666666667</v>
      </c>
      <c r="R963" s="1021">
        <f t="shared" si="159"/>
        <v>0.0576923076923077</v>
      </c>
    </row>
    <row r="964" spans="1:18">
      <c r="A964" s="801">
        <v>45611</v>
      </c>
      <c r="B964" s="685">
        <v>561.13</v>
      </c>
      <c r="C964" s="686">
        <v>604</v>
      </c>
      <c r="D964" s="686">
        <v>190</v>
      </c>
      <c r="E964" s="686">
        <v>3</v>
      </c>
      <c r="F964" s="685">
        <v>17712</v>
      </c>
      <c r="G964" s="686">
        <v>23</v>
      </c>
      <c r="H964" s="686">
        <v>3</v>
      </c>
      <c r="I964" s="686">
        <v>9</v>
      </c>
      <c r="J964" s="527">
        <f t="shared" si="166"/>
        <v>0.314569536423841</v>
      </c>
      <c r="K964" s="687">
        <f t="shared" si="167"/>
        <v>2.95331578947368</v>
      </c>
      <c r="L964" s="1025">
        <f t="shared" si="160"/>
        <v>929.023178807947</v>
      </c>
      <c r="M964" s="702">
        <f t="shared" si="161"/>
        <v>31.5648780140074</v>
      </c>
      <c r="N964" s="703">
        <f t="shared" si="162"/>
        <v>0.0157894736842105</v>
      </c>
      <c r="O964" s="1081">
        <f t="shared" si="163"/>
        <v>5904</v>
      </c>
      <c r="P964" s="1081">
        <f t="shared" si="164"/>
        <v>187.043333333333</v>
      </c>
      <c r="Q964" s="724">
        <f t="shared" si="165"/>
        <v>24.3969565217391</v>
      </c>
      <c r="R964" s="1021">
        <f t="shared" si="159"/>
        <v>0.121052631578947</v>
      </c>
    </row>
    <row r="965" spans="1:18">
      <c r="A965" s="801">
        <v>45612</v>
      </c>
      <c r="B965" s="685">
        <v>472.7</v>
      </c>
      <c r="C965" s="686">
        <v>413</v>
      </c>
      <c r="D965" s="686">
        <v>158</v>
      </c>
      <c r="E965" s="686">
        <v>1</v>
      </c>
      <c r="F965" s="685">
        <v>15435</v>
      </c>
      <c r="G965" s="686">
        <v>39</v>
      </c>
      <c r="H965" s="686">
        <v>4</v>
      </c>
      <c r="I965" s="686">
        <v>3</v>
      </c>
      <c r="J965" s="527">
        <f t="shared" si="166"/>
        <v>0.382566585956416</v>
      </c>
      <c r="K965" s="687">
        <f t="shared" si="167"/>
        <v>2.99177215189873</v>
      </c>
      <c r="L965" s="1025">
        <f t="shared" si="160"/>
        <v>1144.55205811138</v>
      </c>
      <c r="M965" s="702">
        <f t="shared" si="161"/>
        <v>32.6528453564629</v>
      </c>
      <c r="N965" s="703">
        <f t="shared" si="162"/>
        <v>0.00632911392405063</v>
      </c>
      <c r="O965" s="1081">
        <f t="shared" si="163"/>
        <v>15435</v>
      </c>
      <c r="P965" s="1081">
        <f t="shared" si="164"/>
        <v>472.7</v>
      </c>
      <c r="Q965" s="724">
        <f t="shared" si="165"/>
        <v>12.1205128205128</v>
      </c>
      <c r="R965" s="1021">
        <f t="shared" si="159"/>
        <v>0.246835443037975</v>
      </c>
    </row>
    <row r="966" spans="1:18">
      <c r="A966" s="801">
        <v>45613</v>
      </c>
      <c r="B966" s="685">
        <v>530.41</v>
      </c>
      <c r="C966" s="686">
        <v>443</v>
      </c>
      <c r="D966" s="686">
        <v>180</v>
      </c>
      <c r="E966" s="686">
        <v>1</v>
      </c>
      <c r="F966" s="685">
        <v>8702</v>
      </c>
      <c r="G966" s="686">
        <v>31</v>
      </c>
      <c r="H966" s="686">
        <v>2</v>
      </c>
      <c r="I966" s="686">
        <v>4</v>
      </c>
      <c r="J966" s="527">
        <f t="shared" si="166"/>
        <v>0.406320541760722</v>
      </c>
      <c r="K966" s="687">
        <f t="shared" si="167"/>
        <v>2.94672222222222</v>
      </c>
      <c r="L966" s="1025">
        <f t="shared" si="160"/>
        <v>1197.31376975169</v>
      </c>
      <c r="M966" s="702">
        <f t="shared" si="161"/>
        <v>16.4061763541411</v>
      </c>
      <c r="N966" s="703">
        <f t="shared" si="162"/>
        <v>0.00555555555555556</v>
      </c>
      <c r="O966" s="1081">
        <f t="shared" si="163"/>
        <v>8702</v>
      </c>
      <c r="P966" s="1081">
        <f t="shared" si="164"/>
        <v>530.41</v>
      </c>
      <c r="Q966" s="724">
        <f t="shared" si="165"/>
        <v>17.11</v>
      </c>
      <c r="R966" s="1021">
        <f t="shared" si="159"/>
        <v>0.172222222222222</v>
      </c>
    </row>
    <row r="967" spans="1:18">
      <c r="A967" s="801">
        <v>45614</v>
      </c>
      <c r="B967" s="685">
        <v>545.97</v>
      </c>
      <c r="C967" s="686">
        <v>456</v>
      </c>
      <c r="D967" s="686">
        <v>190</v>
      </c>
      <c r="E967" s="686">
        <v>3</v>
      </c>
      <c r="F967" s="685">
        <v>44142</v>
      </c>
      <c r="G967" s="686">
        <v>51</v>
      </c>
      <c r="H967" s="686">
        <v>2</v>
      </c>
      <c r="I967" s="686">
        <v>5</v>
      </c>
      <c r="J967" s="527">
        <f t="shared" si="166"/>
        <v>0.416666666666667</v>
      </c>
      <c r="K967" s="687">
        <f t="shared" si="167"/>
        <v>2.87352631578947</v>
      </c>
      <c r="L967" s="1025">
        <f t="shared" si="160"/>
        <v>1197.30263157895</v>
      </c>
      <c r="M967" s="702">
        <f t="shared" si="161"/>
        <v>80.8505961866037</v>
      </c>
      <c r="N967" s="703">
        <f t="shared" si="162"/>
        <v>0.0157894736842105</v>
      </c>
      <c r="O967" s="1081">
        <f t="shared" si="163"/>
        <v>14714</v>
      </c>
      <c r="P967" s="1081">
        <f t="shared" si="164"/>
        <v>181.99</v>
      </c>
      <c r="Q967" s="724">
        <f t="shared" si="165"/>
        <v>10.7052941176471</v>
      </c>
      <c r="R967" s="1021">
        <f t="shared" si="159"/>
        <v>0.268421052631579</v>
      </c>
    </row>
    <row r="968" spans="1:18">
      <c r="A968" s="801">
        <v>45615</v>
      </c>
      <c r="B968" s="685">
        <v>448.69</v>
      </c>
      <c r="C968" s="686">
        <v>382</v>
      </c>
      <c r="D968" s="686">
        <v>167</v>
      </c>
      <c r="E968" s="686">
        <v>0</v>
      </c>
      <c r="F968" s="685">
        <v>0</v>
      </c>
      <c r="G968" s="686">
        <v>26</v>
      </c>
      <c r="H968" s="686">
        <v>4</v>
      </c>
      <c r="I968" s="686">
        <v>3</v>
      </c>
      <c r="J968" s="527">
        <f t="shared" si="166"/>
        <v>0.43717277486911</v>
      </c>
      <c r="K968" s="687">
        <f t="shared" si="167"/>
        <v>2.68676646706587</v>
      </c>
      <c r="L968" s="1025">
        <f t="shared" si="160"/>
        <v>1174.58115183246</v>
      </c>
      <c r="M968" s="702">
        <f t="shared" si="161"/>
        <v>0</v>
      </c>
      <c r="N968" s="703">
        <f t="shared" si="162"/>
        <v>0</v>
      </c>
      <c r="O968" s="1081">
        <f t="shared" si="163"/>
        <v>0</v>
      </c>
      <c r="P968" s="1081">
        <f t="shared" si="164"/>
        <v>0</v>
      </c>
      <c r="Q968" s="724">
        <f t="shared" si="165"/>
        <v>17.2573076923077</v>
      </c>
      <c r="R968" s="1021">
        <f t="shared" si="159"/>
        <v>0.155688622754491</v>
      </c>
    </row>
    <row r="969" spans="1:18">
      <c r="A969" s="801">
        <v>45616</v>
      </c>
      <c r="B969" s="685">
        <v>415.7</v>
      </c>
      <c r="C969" s="686">
        <v>341</v>
      </c>
      <c r="D969" s="686">
        <v>148</v>
      </c>
      <c r="E969" s="686">
        <v>0</v>
      </c>
      <c r="F969" s="685">
        <v>0</v>
      </c>
      <c r="G969" s="686">
        <v>36</v>
      </c>
      <c r="H969" s="686">
        <v>0</v>
      </c>
      <c r="I969" s="686">
        <v>8</v>
      </c>
      <c r="J969" s="527">
        <f t="shared" si="166"/>
        <v>0.434017595307918</v>
      </c>
      <c r="K969" s="687">
        <f t="shared" si="167"/>
        <v>2.80878378378378</v>
      </c>
      <c r="L969" s="1025">
        <f>直通车!B969/直通车!C969*1000</f>
        <v>168.651109023914</v>
      </c>
      <c r="M969" s="702">
        <f>直通车!F969/直通车!B969</f>
        <v>0</v>
      </c>
      <c r="N969" s="703">
        <f>直通车!E969/直通车!D969</f>
        <v>0</v>
      </c>
      <c r="O969" s="1081">
        <f>IF(直通车!E969=0,0,直通车!F969/直通车!E969)</f>
        <v>0</v>
      </c>
      <c r="P969" s="1081">
        <f>IF(直通车!E969=0,0,直通车!B969/直通车!E969)</f>
        <v>0</v>
      </c>
      <c r="Q969" s="724">
        <f>直通车!B969/直通车!G969</f>
        <v>145.89375</v>
      </c>
      <c r="R969" s="1021">
        <f>直通车!G969/直通车!D969</f>
        <v>0.0309477756286267</v>
      </c>
    </row>
    <row r="970" spans="1:18">
      <c r="A970" s="801">
        <v>45617</v>
      </c>
      <c r="B970" s="685">
        <v>456.27</v>
      </c>
      <c r="C970" s="686">
        <v>377</v>
      </c>
      <c r="D970" s="686">
        <v>149</v>
      </c>
      <c r="E970" s="686">
        <v>0</v>
      </c>
      <c r="F970" s="685">
        <v>0</v>
      </c>
      <c r="G970" s="686">
        <v>37</v>
      </c>
      <c r="H970" s="686">
        <v>5</v>
      </c>
      <c r="I970" s="686">
        <v>4</v>
      </c>
      <c r="J970" s="527">
        <f t="shared" si="166"/>
        <v>0.395225464190981</v>
      </c>
      <c r="K970" s="687">
        <f t="shared" si="167"/>
        <v>3.06221476510067</v>
      </c>
      <c r="L970" s="1025">
        <f t="shared" ref="L970:L995" si="168">B970/C970*1000</f>
        <v>1210.26525198939</v>
      </c>
      <c r="M970" s="702">
        <f t="shared" ref="M970:M992" si="169">F970/B970</f>
        <v>0</v>
      </c>
      <c r="N970" s="703">
        <f t="shared" ref="N970:N995" si="170">E970/D970</f>
        <v>0</v>
      </c>
      <c r="O970" s="1081">
        <f t="shared" ref="O970:O992" si="171">IF(E970=0,0,F970/E970)</f>
        <v>0</v>
      </c>
      <c r="P970" s="1081">
        <f t="shared" ref="P970:P992" si="172">IF(E970=0,0,B970/E970)</f>
        <v>0</v>
      </c>
      <c r="Q970" s="724">
        <f t="shared" ref="Q970:Q992" si="173">B970/G970</f>
        <v>12.3316216216216</v>
      </c>
      <c r="R970" s="1021">
        <f t="shared" ref="R970:R995" si="174">G970/D970</f>
        <v>0.248322147651007</v>
      </c>
    </row>
    <row r="971" spans="1:18">
      <c r="A971" s="801">
        <v>45618</v>
      </c>
      <c r="B971" s="685">
        <v>462.91</v>
      </c>
      <c r="C971" s="686">
        <v>371</v>
      </c>
      <c r="D971" s="686">
        <v>164</v>
      </c>
      <c r="E971" s="686">
        <v>0</v>
      </c>
      <c r="F971" s="685">
        <v>0</v>
      </c>
      <c r="G971" s="686">
        <v>41</v>
      </c>
      <c r="H971" s="686">
        <v>2</v>
      </c>
      <c r="I971" s="686">
        <v>4</v>
      </c>
      <c r="J971" s="527">
        <f t="shared" si="166"/>
        <v>0.442048517520216</v>
      </c>
      <c r="K971" s="687">
        <f t="shared" si="167"/>
        <v>2.82262195121951</v>
      </c>
      <c r="L971" s="1025">
        <f t="shared" si="168"/>
        <v>1247.7358490566</v>
      </c>
      <c r="M971" s="702">
        <f t="shared" si="169"/>
        <v>0</v>
      </c>
      <c r="N971" s="703">
        <f t="shared" si="170"/>
        <v>0</v>
      </c>
      <c r="O971" s="1081">
        <f t="shared" si="171"/>
        <v>0</v>
      </c>
      <c r="P971" s="1081">
        <f t="shared" si="172"/>
        <v>0</v>
      </c>
      <c r="Q971" s="724">
        <f t="shared" si="173"/>
        <v>11.290487804878</v>
      </c>
      <c r="R971" s="1021">
        <f t="shared" si="174"/>
        <v>0.25</v>
      </c>
    </row>
    <row r="972" spans="1:18">
      <c r="A972" s="801">
        <v>45619</v>
      </c>
      <c r="B972" s="685">
        <v>150.96</v>
      </c>
      <c r="C972" s="686">
        <v>123</v>
      </c>
      <c r="D972" s="686">
        <v>60</v>
      </c>
      <c r="E972" s="686">
        <v>0</v>
      </c>
      <c r="F972" s="685">
        <v>0</v>
      </c>
      <c r="G972" s="686">
        <v>21</v>
      </c>
      <c r="H972" s="686">
        <v>1</v>
      </c>
      <c r="I972" s="686">
        <v>4</v>
      </c>
      <c r="J972" s="527">
        <f t="shared" si="166"/>
        <v>0.48780487804878</v>
      </c>
      <c r="K972" s="687">
        <f t="shared" si="167"/>
        <v>2.516</v>
      </c>
      <c r="L972" s="1025">
        <f t="shared" si="168"/>
        <v>1227.31707317073</v>
      </c>
      <c r="M972" s="702">
        <f t="shared" si="169"/>
        <v>0</v>
      </c>
      <c r="N972" s="703">
        <f t="shared" si="170"/>
        <v>0</v>
      </c>
      <c r="O972" s="1081">
        <f t="shared" si="171"/>
        <v>0</v>
      </c>
      <c r="P972" s="1081">
        <f t="shared" si="172"/>
        <v>0</v>
      </c>
      <c r="Q972" s="724">
        <f t="shared" si="173"/>
        <v>7.18857142857143</v>
      </c>
      <c r="R972" s="1021">
        <f t="shared" si="174"/>
        <v>0.35</v>
      </c>
    </row>
    <row r="973" spans="1:18">
      <c r="A973" s="801">
        <v>45620</v>
      </c>
      <c r="B973" s="685">
        <v>0.38</v>
      </c>
      <c r="C973" s="686">
        <v>1</v>
      </c>
      <c r="D973" s="686">
        <v>0</v>
      </c>
      <c r="E973" s="686">
        <v>0</v>
      </c>
      <c r="F973" s="685">
        <v>0</v>
      </c>
      <c r="G973" s="686">
        <v>0</v>
      </c>
      <c r="H973" s="686">
        <v>0</v>
      </c>
      <c r="I973" s="686">
        <v>0</v>
      </c>
      <c r="J973" s="527">
        <f t="shared" si="166"/>
        <v>0</v>
      </c>
      <c r="K973" s="687" t="e">
        <f t="shared" si="167"/>
        <v>#DIV/0!</v>
      </c>
      <c r="L973" s="1025">
        <f t="shared" si="168"/>
        <v>380</v>
      </c>
      <c r="M973" s="702">
        <f t="shared" si="169"/>
        <v>0</v>
      </c>
      <c r="N973" s="703" t="e">
        <f t="shared" si="170"/>
        <v>#DIV/0!</v>
      </c>
      <c r="O973" s="1081">
        <f t="shared" si="171"/>
        <v>0</v>
      </c>
      <c r="P973" s="1081">
        <f t="shared" si="172"/>
        <v>0</v>
      </c>
      <c r="Q973" s="724" t="e">
        <f t="shared" si="173"/>
        <v>#DIV/0!</v>
      </c>
      <c r="R973" s="1021" t="e">
        <f t="shared" si="174"/>
        <v>#DIV/0!</v>
      </c>
    </row>
    <row r="974" spans="1:18">
      <c r="A974" s="801">
        <v>45621</v>
      </c>
      <c r="B974" s="685">
        <v>0</v>
      </c>
      <c r="C974" s="686">
        <v>0</v>
      </c>
      <c r="D974" s="686">
        <v>0</v>
      </c>
      <c r="E974" s="686">
        <v>0</v>
      </c>
      <c r="F974" s="685">
        <v>0</v>
      </c>
      <c r="G974" s="686">
        <v>0</v>
      </c>
      <c r="H974" s="686">
        <v>0</v>
      </c>
      <c r="I974" s="686">
        <v>0</v>
      </c>
      <c r="J974" s="527" t="e">
        <f t="shared" si="166"/>
        <v>#DIV/0!</v>
      </c>
      <c r="K974" s="687" t="e">
        <f t="shared" si="167"/>
        <v>#DIV/0!</v>
      </c>
      <c r="L974" s="1025" t="e">
        <f t="shared" si="168"/>
        <v>#DIV/0!</v>
      </c>
      <c r="M974" s="702" t="e">
        <f t="shared" si="169"/>
        <v>#DIV/0!</v>
      </c>
      <c r="N974" s="703" t="e">
        <f t="shared" si="170"/>
        <v>#DIV/0!</v>
      </c>
      <c r="O974" s="1081">
        <f t="shared" si="171"/>
        <v>0</v>
      </c>
      <c r="P974" s="1081">
        <f t="shared" si="172"/>
        <v>0</v>
      </c>
      <c r="Q974" s="724" t="e">
        <f t="shared" si="173"/>
        <v>#DIV/0!</v>
      </c>
      <c r="R974" s="1021" t="e">
        <f t="shared" si="174"/>
        <v>#DIV/0!</v>
      </c>
    </row>
    <row r="975" spans="1:18">
      <c r="A975" s="801">
        <v>45622</v>
      </c>
      <c r="B975" s="685">
        <v>304.65</v>
      </c>
      <c r="C975" s="686">
        <v>238</v>
      </c>
      <c r="D975" s="686">
        <v>115</v>
      </c>
      <c r="E975" s="686">
        <v>0</v>
      </c>
      <c r="F975" s="685">
        <v>0</v>
      </c>
      <c r="G975" s="686">
        <v>29</v>
      </c>
      <c r="H975" s="686">
        <v>3</v>
      </c>
      <c r="I975" s="686">
        <v>2</v>
      </c>
      <c r="J975" s="527">
        <f t="shared" si="166"/>
        <v>0.483193277310924</v>
      </c>
      <c r="K975" s="687">
        <f t="shared" si="167"/>
        <v>2.64913043478261</v>
      </c>
      <c r="L975" s="1025">
        <f t="shared" si="168"/>
        <v>1280.04201680672</v>
      </c>
      <c r="M975" s="702">
        <f t="shared" si="169"/>
        <v>0</v>
      </c>
      <c r="N975" s="703">
        <f t="shared" si="170"/>
        <v>0</v>
      </c>
      <c r="O975" s="1081">
        <f t="shared" si="171"/>
        <v>0</v>
      </c>
      <c r="P975" s="1081">
        <f t="shared" si="172"/>
        <v>0</v>
      </c>
      <c r="Q975" s="724">
        <f t="shared" si="173"/>
        <v>10.5051724137931</v>
      </c>
      <c r="R975" s="1021">
        <f t="shared" si="174"/>
        <v>0.252173913043478</v>
      </c>
    </row>
    <row r="976" spans="1:18">
      <c r="A976" s="801">
        <v>45623</v>
      </c>
      <c r="B976" s="685">
        <v>439.36</v>
      </c>
      <c r="C976" s="686">
        <v>344</v>
      </c>
      <c r="D976" s="686">
        <v>175</v>
      </c>
      <c r="E976" s="686">
        <v>1</v>
      </c>
      <c r="F976" s="685">
        <v>24240</v>
      </c>
      <c r="G976" s="686">
        <v>22</v>
      </c>
      <c r="H976" s="686">
        <v>6</v>
      </c>
      <c r="I976" s="686">
        <v>10</v>
      </c>
      <c r="J976" s="527">
        <f t="shared" si="166"/>
        <v>0.508720930232558</v>
      </c>
      <c r="K976" s="687">
        <f t="shared" si="167"/>
        <v>2.51062857142857</v>
      </c>
      <c r="L976" s="1025">
        <f t="shared" si="168"/>
        <v>1277.20930232558</v>
      </c>
      <c r="M976" s="702">
        <f t="shared" si="169"/>
        <v>55.1711580480699</v>
      </c>
      <c r="N976" s="703">
        <f t="shared" si="170"/>
        <v>0.00571428571428571</v>
      </c>
      <c r="O976" s="1081">
        <f t="shared" si="171"/>
        <v>24240</v>
      </c>
      <c r="P976" s="1081">
        <f t="shared" si="172"/>
        <v>439.36</v>
      </c>
      <c r="Q976" s="724">
        <f t="shared" si="173"/>
        <v>19.9709090909091</v>
      </c>
      <c r="R976" s="1021">
        <f t="shared" si="174"/>
        <v>0.125714285714286</v>
      </c>
    </row>
    <row r="977" spans="1:18">
      <c r="A977" s="801">
        <v>45624</v>
      </c>
      <c r="B977" s="685">
        <v>513.39</v>
      </c>
      <c r="C977" s="686">
        <v>410</v>
      </c>
      <c r="D977" s="686">
        <v>186</v>
      </c>
      <c r="E977" s="686">
        <v>1</v>
      </c>
      <c r="F977" s="685">
        <v>10124</v>
      </c>
      <c r="G977" s="686">
        <v>40</v>
      </c>
      <c r="H977" s="686">
        <v>3</v>
      </c>
      <c r="I977" s="686">
        <v>7</v>
      </c>
      <c r="J977" s="527">
        <f t="shared" si="166"/>
        <v>0.453658536585366</v>
      </c>
      <c r="K977" s="687">
        <f t="shared" si="167"/>
        <v>2.76016129032258</v>
      </c>
      <c r="L977" s="1025">
        <f t="shared" si="168"/>
        <v>1252.17073170732</v>
      </c>
      <c r="M977" s="702">
        <f t="shared" si="169"/>
        <v>19.7199010498841</v>
      </c>
      <c r="N977" s="703">
        <f t="shared" si="170"/>
        <v>0.00537634408602151</v>
      </c>
      <c r="O977" s="1081">
        <f t="shared" si="171"/>
        <v>10124</v>
      </c>
      <c r="P977" s="1081">
        <f t="shared" si="172"/>
        <v>513.39</v>
      </c>
      <c r="Q977" s="724">
        <f t="shared" si="173"/>
        <v>12.83475</v>
      </c>
      <c r="R977" s="1021">
        <f t="shared" si="174"/>
        <v>0.21505376344086</v>
      </c>
    </row>
    <row r="978" spans="1:18">
      <c r="A978" s="801">
        <v>45625</v>
      </c>
      <c r="B978" s="685">
        <v>445.97</v>
      </c>
      <c r="C978" s="686">
        <v>347</v>
      </c>
      <c r="D978" s="686">
        <v>153</v>
      </c>
      <c r="E978" s="686">
        <v>0</v>
      </c>
      <c r="F978" s="685">
        <v>0</v>
      </c>
      <c r="G978" s="686">
        <v>23</v>
      </c>
      <c r="H978" s="686">
        <v>3</v>
      </c>
      <c r="I978" s="686">
        <v>8</v>
      </c>
      <c r="J978" s="527">
        <f t="shared" si="166"/>
        <v>0.440922190201729</v>
      </c>
      <c r="K978" s="687">
        <f t="shared" si="167"/>
        <v>2.91483660130719</v>
      </c>
      <c r="L978" s="1025">
        <f t="shared" si="168"/>
        <v>1285.21613832853</v>
      </c>
      <c r="M978" s="702">
        <f t="shared" si="169"/>
        <v>0</v>
      </c>
      <c r="N978" s="703">
        <f t="shared" si="170"/>
        <v>0</v>
      </c>
      <c r="O978" s="1081">
        <f t="shared" si="171"/>
        <v>0</v>
      </c>
      <c r="P978" s="1081">
        <f t="shared" si="172"/>
        <v>0</v>
      </c>
      <c r="Q978" s="724">
        <f t="shared" si="173"/>
        <v>19.39</v>
      </c>
      <c r="R978" s="1021">
        <f t="shared" si="174"/>
        <v>0.150326797385621</v>
      </c>
    </row>
    <row r="979" spans="1:18">
      <c r="A979" s="801">
        <v>45626</v>
      </c>
      <c r="B979" s="685">
        <v>372.67</v>
      </c>
      <c r="C979" s="686">
        <v>298</v>
      </c>
      <c r="D979" s="686">
        <v>162</v>
      </c>
      <c r="E979" s="686">
        <v>1</v>
      </c>
      <c r="F979" s="685">
        <v>6788</v>
      </c>
      <c r="G979" s="686">
        <v>26</v>
      </c>
      <c r="H979" s="686">
        <v>1</v>
      </c>
      <c r="I979" s="686">
        <v>8</v>
      </c>
      <c r="J979" s="527">
        <f t="shared" si="166"/>
        <v>0.543624161073825</v>
      </c>
      <c r="K979" s="687">
        <f t="shared" si="167"/>
        <v>2.30043209876543</v>
      </c>
      <c r="L979" s="1025">
        <f t="shared" si="168"/>
        <v>1250.57046979866</v>
      </c>
      <c r="M979" s="702">
        <f t="shared" si="169"/>
        <v>18.2145061314299</v>
      </c>
      <c r="N979" s="703">
        <f t="shared" si="170"/>
        <v>0.00617283950617284</v>
      </c>
      <c r="O979" s="1081">
        <f t="shared" si="171"/>
        <v>6788</v>
      </c>
      <c r="P979" s="1081">
        <f t="shared" si="172"/>
        <v>372.67</v>
      </c>
      <c r="Q979" s="724">
        <f t="shared" si="173"/>
        <v>14.3334615384615</v>
      </c>
      <c r="R979" s="1021">
        <f t="shared" si="174"/>
        <v>0.160493827160494</v>
      </c>
    </row>
    <row r="980" spans="1:18">
      <c r="A980" s="801">
        <v>45627</v>
      </c>
      <c r="B980" s="685">
        <v>435.04</v>
      </c>
      <c r="C980" s="686">
        <v>341</v>
      </c>
      <c r="D980" s="686">
        <v>165</v>
      </c>
      <c r="E980" s="686">
        <v>0</v>
      </c>
      <c r="F980" s="685">
        <v>0</v>
      </c>
      <c r="G980" s="686">
        <v>22</v>
      </c>
      <c r="H980" s="686">
        <v>4</v>
      </c>
      <c r="I980" s="686">
        <v>8</v>
      </c>
      <c r="J980" s="527">
        <f t="shared" si="166"/>
        <v>0.483870967741935</v>
      </c>
      <c r="K980" s="687">
        <f t="shared" si="167"/>
        <v>2.63660606060606</v>
      </c>
      <c r="L980" s="1025">
        <f t="shared" si="168"/>
        <v>1275.77712609971</v>
      </c>
      <c r="M980" s="702">
        <f t="shared" si="169"/>
        <v>0</v>
      </c>
      <c r="N980" s="703">
        <f t="shared" si="170"/>
        <v>0</v>
      </c>
      <c r="O980" s="1081">
        <f t="shared" si="171"/>
        <v>0</v>
      </c>
      <c r="P980" s="1081">
        <f t="shared" si="172"/>
        <v>0</v>
      </c>
      <c r="Q980" s="724">
        <f t="shared" si="173"/>
        <v>19.7745454545455</v>
      </c>
      <c r="R980" s="1021">
        <f t="shared" si="174"/>
        <v>0.133333333333333</v>
      </c>
    </row>
    <row r="981" spans="1:18">
      <c r="A981" s="801">
        <v>45628</v>
      </c>
      <c r="B981" s="670">
        <v>733.5</v>
      </c>
      <c r="C981" s="37">
        <v>589</v>
      </c>
      <c r="D981" s="37">
        <v>208</v>
      </c>
      <c r="E981" s="37">
        <v>1</v>
      </c>
      <c r="F981" s="670">
        <v>13676</v>
      </c>
      <c r="G981" s="37">
        <v>50</v>
      </c>
      <c r="H981" s="37">
        <v>3</v>
      </c>
      <c r="I981" s="37">
        <v>10</v>
      </c>
      <c r="J981" s="527">
        <f t="shared" si="166"/>
        <v>0.353140916808149</v>
      </c>
      <c r="K981" s="687">
        <f t="shared" si="167"/>
        <v>3.52644230769231</v>
      </c>
      <c r="L981" s="1025">
        <f t="shared" si="168"/>
        <v>1245.33106960951</v>
      </c>
      <c r="M981" s="702">
        <f t="shared" si="169"/>
        <v>18.6448534423995</v>
      </c>
      <c r="N981" s="703">
        <f t="shared" si="170"/>
        <v>0.00480769230769231</v>
      </c>
      <c r="O981" s="1081">
        <f t="shared" si="171"/>
        <v>13676</v>
      </c>
      <c r="P981" s="1081">
        <f t="shared" si="172"/>
        <v>733.5</v>
      </c>
      <c r="Q981" s="724">
        <f t="shared" si="173"/>
        <v>14.67</v>
      </c>
      <c r="R981" s="1021">
        <f t="shared" si="174"/>
        <v>0.240384615384615</v>
      </c>
    </row>
    <row r="982" spans="1:18">
      <c r="A982" s="801">
        <v>45629</v>
      </c>
      <c r="B982" s="670">
        <v>589.16</v>
      </c>
      <c r="C982" s="37">
        <v>488</v>
      </c>
      <c r="D982" s="37">
        <v>194</v>
      </c>
      <c r="E982" s="37">
        <v>1</v>
      </c>
      <c r="F982" s="670">
        <v>17697</v>
      </c>
      <c r="G982" s="37">
        <v>46</v>
      </c>
      <c r="H982" s="37">
        <v>2</v>
      </c>
      <c r="I982" s="37">
        <v>12</v>
      </c>
      <c r="J982" s="527">
        <f t="shared" si="166"/>
        <v>0.397540983606557</v>
      </c>
      <c r="K982" s="687">
        <f t="shared" si="167"/>
        <v>3.03690721649485</v>
      </c>
      <c r="L982" s="1025">
        <f t="shared" si="168"/>
        <v>1207.29508196721</v>
      </c>
      <c r="M982" s="702">
        <f t="shared" si="169"/>
        <v>30.0376807658361</v>
      </c>
      <c r="N982" s="703">
        <f t="shared" si="170"/>
        <v>0.00515463917525773</v>
      </c>
      <c r="O982" s="1081">
        <f t="shared" si="171"/>
        <v>17697</v>
      </c>
      <c r="P982" s="1081">
        <f t="shared" si="172"/>
        <v>589.16</v>
      </c>
      <c r="Q982" s="724">
        <f t="shared" si="173"/>
        <v>12.8078260869565</v>
      </c>
      <c r="R982" s="1021">
        <f t="shared" si="174"/>
        <v>0.237113402061856</v>
      </c>
    </row>
    <row r="983" spans="1:18">
      <c r="A983" s="801">
        <v>45630</v>
      </c>
      <c r="B983" s="670">
        <v>663.65</v>
      </c>
      <c r="C983" s="37">
        <v>683</v>
      </c>
      <c r="D983" s="37">
        <v>218</v>
      </c>
      <c r="E983" s="37">
        <v>1</v>
      </c>
      <c r="F983" s="670">
        <v>7007</v>
      </c>
      <c r="G983" s="37">
        <v>41</v>
      </c>
      <c r="H983" s="37">
        <v>2</v>
      </c>
      <c r="I983" s="37">
        <v>9</v>
      </c>
      <c r="J983" s="527">
        <f t="shared" si="166"/>
        <v>0.319180087847731</v>
      </c>
      <c r="K983" s="687">
        <f t="shared" si="167"/>
        <v>3.04426605504587</v>
      </c>
      <c r="L983" s="1025">
        <f t="shared" si="168"/>
        <v>971.669106881405</v>
      </c>
      <c r="M983" s="702">
        <f t="shared" si="169"/>
        <v>10.5582761998041</v>
      </c>
      <c r="N983" s="703">
        <f t="shared" si="170"/>
        <v>0.00458715596330275</v>
      </c>
      <c r="O983" s="1081">
        <f t="shared" si="171"/>
        <v>7007</v>
      </c>
      <c r="P983" s="1081">
        <f t="shared" si="172"/>
        <v>663.65</v>
      </c>
      <c r="Q983" s="724">
        <f t="shared" si="173"/>
        <v>16.1865853658537</v>
      </c>
      <c r="R983" s="1021">
        <f t="shared" si="174"/>
        <v>0.188073394495413</v>
      </c>
    </row>
    <row r="984" spans="1:18">
      <c r="A984" s="801">
        <v>45631</v>
      </c>
      <c r="B984" s="670">
        <v>618.53</v>
      </c>
      <c r="C984" s="37">
        <v>676</v>
      </c>
      <c r="D984" s="37">
        <v>201</v>
      </c>
      <c r="E984" s="37">
        <v>2</v>
      </c>
      <c r="F984" s="670">
        <v>11954</v>
      </c>
      <c r="G984" s="37">
        <v>36</v>
      </c>
      <c r="H984" s="37">
        <v>6</v>
      </c>
      <c r="I984" s="37">
        <v>8</v>
      </c>
      <c r="J984" s="527">
        <f t="shared" si="166"/>
        <v>0.297337278106509</v>
      </c>
      <c r="K984" s="687">
        <f t="shared" si="167"/>
        <v>3.07726368159204</v>
      </c>
      <c r="L984" s="1025">
        <f t="shared" si="168"/>
        <v>914.985207100592</v>
      </c>
      <c r="M984" s="702">
        <f t="shared" si="169"/>
        <v>19.3264675925177</v>
      </c>
      <c r="N984" s="703">
        <f t="shared" si="170"/>
        <v>0.00995024875621891</v>
      </c>
      <c r="O984" s="1081">
        <f t="shared" si="171"/>
        <v>5977</v>
      </c>
      <c r="P984" s="1081">
        <f t="shared" si="172"/>
        <v>309.265</v>
      </c>
      <c r="Q984" s="724">
        <f t="shared" si="173"/>
        <v>17.1813888888889</v>
      </c>
      <c r="R984" s="1021">
        <f t="shared" si="174"/>
        <v>0.17910447761194</v>
      </c>
    </row>
    <row r="985" spans="1:18">
      <c r="A985" s="801">
        <v>45632</v>
      </c>
      <c r="B985" s="670">
        <v>795.09</v>
      </c>
      <c r="C985" s="37">
        <v>801</v>
      </c>
      <c r="D985" s="37">
        <v>265</v>
      </c>
      <c r="E985" s="37">
        <v>1</v>
      </c>
      <c r="F985" s="670">
        <v>3000</v>
      </c>
      <c r="G985" s="37">
        <v>62</v>
      </c>
      <c r="H985" s="37">
        <v>7</v>
      </c>
      <c r="I985" s="37">
        <v>17</v>
      </c>
      <c r="J985" s="527">
        <f t="shared" si="166"/>
        <v>0.33083645443196</v>
      </c>
      <c r="K985" s="687">
        <f t="shared" si="167"/>
        <v>3.00033962264151</v>
      </c>
      <c r="L985" s="1025">
        <f t="shared" si="168"/>
        <v>992.621722846442</v>
      </c>
      <c r="M985" s="702">
        <f t="shared" si="169"/>
        <v>3.77315775572577</v>
      </c>
      <c r="N985" s="703">
        <f t="shared" si="170"/>
        <v>0.00377358490566038</v>
      </c>
      <c r="O985" s="1081">
        <f t="shared" si="171"/>
        <v>3000</v>
      </c>
      <c r="P985" s="1081">
        <f t="shared" si="172"/>
        <v>795.09</v>
      </c>
      <c r="Q985" s="724">
        <f t="shared" si="173"/>
        <v>12.8240322580645</v>
      </c>
      <c r="R985" s="1021">
        <f t="shared" si="174"/>
        <v>0.233962264150943</v>
      </c>
    </row>
    <row r="986" spans="1:18">
      <c r="A986" s="801">
        <v>45633</v>
      </c>
      <c r="B986" s="670">
        <v>998.16</v>
      </c>
      <c r="C986" s="37">
        <v>970</v>
      </c>
      <c r="D986" s="37">
        <v>369</v>
      </c>
      <c r="E986" s="37">
        <v>1</v>
      </c>
      <c r="F986" s="670">
        <v>3000</v>
      </c>
      <c r="G986" s="37">
        <v>71</v>
      </c>
      <c r="H986" s="37">
        <v>17</v>
      </c>
      <c r="I986" s="37">
        <v>28</v>
      </c>
      <c r="J986" s="527">
        <f t="shared" si="166"/>
        <v>0.380412371134021</v>
      </c>
      <c r="K986" s="687">
        <f t="shared" si="167"/>
        <v>2.7050406504065</v>
      </c>
      <c r="L986" s="1025">
        <f t="shared" si="168"/>
        <v>1029.03092783505</v>
      </c>
      <c r="M986" s="702">
        <f t="shared" si="169"/>
        <v>3.00553017552296</v>
      </c>
      <c r="N986" s="703">
        <f t="shared" si="170"/>
        <v>0.002710027100271</v>
      </c>
      <c r="O986" s="1081">
        <f t="shared" si="171"/>
        <v>3000</v>
      </c>
      <c r="P986" s="1081">
        <f t="shared" si="172"/>
        <v>998.16</v>
      </c>
      <c r="Q986" s="724">
        <f t="shared" si="173"/>
        <v>14.0585915492958</v>
      </c>
      <c r="R986" s="1021">
        <f t="shared" si="174"/>
        <v>0.192411924119241</v>
      </c>
    </row>
    <row r="987" spans="1:18">
      <c r="A987" s="801">
        <v>45634</v>
      </c>
      <c r="B987" s="670">
        <v>997.05</v>
      </c>
      <c r="C987" s="37">
        <v>1075</v>
      </c>
      <c r="D987" s="37">
        <v>352</v>
      </c>
      <c r="E987" s="37">
        <v>1</v>
      </c>
      <c r="F987" s="670">
        <v>11952</v>
      </c>
      <c r="G987" s="37">
        <v>58</v>
      </c>
      <c r="H987" s="37">
        <v>7</v>
      </c>
      <c r="I987" s="37">
        <v>15</v>
      </c>
      <c r="J987" s="527">
        <f t="shared" si="166"/>
        <v>0.327441860465116</v>
      </c>
      <c r="K987" s="687">
        <f t="shared" si="167"/>
        <v>2.83252840909091</v>
      </c>
      <c r="L987" s="1025">
        <f t="shared" si="168"/>
        <v>927.488372093023</v>
      </c>
      <c r="M987" s="702">
        <f t="shared" si="169"/>
        <v>11.9873627200241</v>
      </c>
      <c r="N987" s="703">
        <f t="shared" si="170"/>
        <v>0.00284090909090909</v>
      </c>
      <c r="O987" s="1081">
        <f t="shared" si="171"/>
        <v>11952</v>
      </c>
      <c r="P987" s="1081">
        <f t="shared" si="172"/>
        <v>997.05</v>
      </c>
      <c r="Q987" s="724">
        <f t="shared" si="173"/>
        <v>17.1905172413793</v>
      </c>
      <c r="R987" s="1021">
        <f t="shared" si="174"/>
        <v>0.164772727272727</v>
      </c>
    </row>
    <row r="988" spans="1:18">
      <c r="A988" s="801">
        <v>45635</v>
      </c>
      <c r="B988" s="670">
        <v>868.84</v>
      </c>
      <c r="C988" s="37">
        <v>806</v>
      </c>
      <c r="D988" s="37">
        <v>266</v>
      </c>
      <c r="E988" s="37">
        <v>1</v>
      </c>
      <c r="F988" s="670">
        <v>11097</v>
      </c>
      <c r="G988" s="37">
        <v>37</v>
      </c>
      <c r="H988" s="37">
        <v>7</v>
      </c>
      <c r="I988" s="37">
        <v>14</v>
      </c>
      <c r="J988" s="527">
        <f t="shared" si="166"/>
        <v>0.330024813895782</v>
      </c>
      <c r="K988" s="687">
        <f t="shared" si="167"/>
        <v>3.26631578947368</v>
      </c>
      <c r="L988" s="1025">
        <f t="shared" si="168"/>
        <v>1077.96526054591</v>
      </c>
      <c r="M988" s="702">
        <f t="shared" si="169"/>
        <v>12.7722020164817</v>
      </c>
      <c r="N988" s="703">
        <f t="shared" si="170"/>
        <v>0.0037593984962406</v>
      </c>
      <c r="O988" s="1081">
        <f t="shared" si="171"/>
        <v>11097</v>
      </c>
      <c r="P988" s="1081">
        <f t="shared" si="172"/>
        <v>868.84</v>
      </c>
      <c r="Q988" s="724">
        <f t="shared" si="173"/>
        <v>23.4821621621622</v>
      </c>
      <c r="R988" s="1021">
        <f t="shared" si="174"/>
        <v>0.139097744360902</v>
      </c>
    </row>
    <row r="989" spans="1:18">
      <c r="A989" s="801">
        <v>45636</v>
      </c>
      <c r="B989" s="670">
        <v>935.62</v>
      </c>
      <c r="C989" s="37">
        <v>962</v>
      </c>
      <c r="D989" s="37">
        <v>299</v>
      </c>
      <c r="E989" s="37">
        <v>4</v>
      </c>
      <c r="F989" s="670">
        <v>38282</v>
      </c>
      <c r="G989" s="37">
        <v>60</v>
      </c>
      <c r="H989" s="37">
        <v>12</v>
      </c>
      <c r="I989" s="37">
        <v>17</v>
      </c>
      <c r="J989" s="527">
        <f t="shared" si="166"/>
        <v>0.310810810810811</v>
      </c>
      <c r="K989" s="687">
        <f t="shared" si="167"/>
        <v>3.12916387959866</v>
      </c>
      <c r="L989" s="1025">
        <f t="shared" si="168"/>
        <v>972.577962577963</v>
      </c>
      <c r="M989" s="702">
        <f t="shared" si="169"/>
        <v>40.9161839208226</v>
      </c>
      <c r="N989" s="703">
        <f t="shared" si="170"/>
        <v>0.0133779264214047</v>
      </c>
      <c r="O989" s="1081">
        <f t="shared" si="171"/>
        <v>9570.5</v>
      </c>
      <c r="P989" s="1081">
        <f t="shared" si="172"/>
        <v>233.905</v>
      </c>
      <c r="Q989" s="724">
        <f t="shared" si="173"/>
        <v>15.5936666666667</v>
      </c>
      <c r="R989" s="1021">
        <f t="shared" si="174"/>
        <v>0.20066889632107</v>
      </c>
    </row>
    <row r="990" spans="1:18">
      <c r="A990" s="801">
        <v>45637</v>
      </c>
      <c r="B990" s="670">
        <v>885.54</v>
      </c>
      <c r="C990" s="37">
        <v>939</v>
      </c>
      <c r="D990" s="37">
        <v>302</v>
      </c>
      <c r="E990" s="37">
        <v>5</v>
      </c>
      <c r="F990" s="670">
        <v>41489</v>
      </c>
      <c r="G990" s="37">
        <v>45</v>
      </c>
      <c r="H990" s="37">
        <v>9</v>
      </c>
      <c r="I990" s="37">
        <v>13</v>
      </c>
      <c r="J990" s="527">
        <f t="shared" si="166"/>
        <v>0.321618743343983</v>
      </c>
      <c r="K990" s="687">
        <f t="shared" si="167"/>
        <v>2.93225165562914</v>
      </c>
      <c r="L990" s="41">
        <f t="shared" si="168"/>
        <v>943.067092651757</v>
      </c>
      <c r="M990" s="702">
        <f t="shared" si="169"/>
        <v>46.8516385482305</v>
      </c>
      <c r="N990" s="39">
        <f t="shared" si="170"/>
        <v>0.0165562913907285</v>
      </c>
      <c r="O990" s="558">
        <f t="shared" si="171"/>
        <v>8297.8</v>
      </c>
      <c r="P990" s="1081">
        <f t="shared" si="172"/>
        <v>177.108</v>
      </c>
      <c r="Q990" s="724">
        <f t="shared" si="173"/>
        <v>19.6786666666667</v>
      </c>
      <c r="R990" s="1021">
        <f t="shared" si="174"/>
        <v>0.149006622516556</v>
      </c>
    </row>
    <row r="991" spans="1:18">
      <c r="A991" s="801">
        <v>45638</v>
      </c>
      <c r="B991" s="670">
        <v>900.27</v>
      </c>
      <c r="C991" s="38">
        <v>1033</v>
      </c>
      <c r="D991" s="37">
        <v>267</v>
      </c>
      <c r="E991" s="37">
        <v>4</v>
      </c>
      <c r="F991" s="670">
        <v>39807</v>
      </c>
      <c r="G991" s="37">
        <v>62</v>
      </c>
      <c r="H991" s="37">
        <v>7</v>
      </c>
      <c r="I991" s="37">
        <v>7</v>
      </c>
      <c r="J991" s="527">
        <f t="shared" si="166"/>
        <v>0.258470474346563</v>
      </c>
      <c r="K991" s="687">
        <f t="shared" si="167"/>
        <v>3.37179775280899</v>
      </c>
      <c r="L991" s="41">
        <f t="shared" si="168"/>
        <v>871.510164569216</v>
      </c>
      <c r="M991" s="702">
        <f t="shared" si="169"/>
        <v>44.2167349795061</v>
      </c>
      <c r="N991" s="39">
        <f t="shared" si="170"/>
        <v>0.0149812734082397</v>
      </c>
      <c r="O991" s="558">
        <f t="shared" si="171"/>
        <v>9951.75</v>
      </c>
      <c r="P991" s="1081">
        <f t="shared" si="172"/>
        <v>225.0675</v>
      </c>
      <c r="Q991" s="724">
        <f t="shared" si="173"/>
        <v>14.5204838709677</v>
      </c>
      <c r="R991" s="1021">
        <f t="shared" si="174"/>
        <v>0.232209737827715</v>
      </c>
    </row>
    <row r="992" spans="1:18">
      <c r="A992" s="801">
        <v>45639</v>
      </c>
      <c r="B992" s="670">
        <v>601.98</v>
      </c>
      <c r="C992" s="37">
        <v>630</v>
      </c>
      <c r="D992" s="37">
        <v>211</v>
      </c>
      <c r="E992" s="37">
        <v>0</v>
      </c>
      <c r="F992" s="670">
        <v>0</v>
      </c>
      <c r="G992" s="37">
        <v>35</v>
      </c>
      <c r="H992" s="37">
        <v>4</v>
      </c>
      <c r="I992" s="37">
        <v>11</v>
      </c>
      <c r="J992" s="527">
        <f t="shared" si="166"/>
        <v>0.334920634920635</v>
      </c>
      <c r="K992" s="687">
        <f t="shared" si="167"/>
        <v>2.85298578199052</v>
      </c>
      <c r="L992" s="41">
        <f t="shared" si="168"/>
        <v>955.52380952381</v>
      </c>
      <c r="M992" s="702">
        <f t="shared" si="169"/>
        <v>0</v>
      </c>
      <c r="N992" s="39">
        <f t="shared" si="170"/>
        <v>0</v>
      </c>
      <c r="O992" s="558">
        <f t="shared" si="171"/>
        <v>0</v>
      </c>
      <c r="P992" s="1081">
        <f t="shared" si="172"/>
        <v>0</v>
      </c>
      <c r="Q992" s="724">
        <f t="shared" si="173"/>
        <v>17.1994285714286</v>
      </c>
      <c r="R992" s="1021">
        <f t="shared" si="174"/>
        <v>0.165876777251185</v>
      </c>
    </row>
    <row r="993" spans="1:18">
      <c r="A993" s="801">
        <v>45640</v>
      </c>
      <c r="B993" s="670">
        <v>659.82</v>
      </c>
      <c r="C993" s="37">
        <v>665</v>
      </c>
      <c r="D993" s="37">
        <v>212</v>
      </c>
      <c r="E993" s="37">
        <v>1</v>
      </c>
      <c r="F993" s="670">
        <v>19722</v>
      </c>
      <c r="G993" s="37">
        <v>49</v>
      </c>
      <c r="H993" s="37">
        <v>3</v>
      </c>
      <c r="I993" s="37">
        <v>7</v>
      </c>
      <c r="J993" s="527">
        <f t="shared" si="166"/>
        <v>0.318796992481203</v>
      </c>
      <c r="K993" s="687">
        <f t="shared" si="167"/>
        <v>3.11235849056604</v>
      </c>
      <c r="L993" s="41">
        <f t="shared" si="168"/>
        <v>992.21052631579</v>
      </c>
      <c r="M993" s="702">
        <f t="shared" ref="M993:M997" si="175">F993/B993</f>
        <v>29.8899699918159</v>
      </c>
      <c r="N993" s="39">
        <f t="shared" si="170"/>
        <v>0.00471698113207547</v>
      </c>
      <c r="O993" s="558">
        <f t="shared" ref="O993:O995" si="176">IF(E993=0,0,F993/E993)</f>
        <v>19722</v>
      </c>
      <c r="P993" s="1081">
        <f t="shared" ref="P993:P997" si="177">IF(E993=0,0,B993/E993)</f>
        <v>659.82</v>
      </c>
      <c r="Q993" s="724">
        <f t="shared" ref="Q993:Q997" si="178">B993/G993</f>
        <v>13.4657142857143</v>
      </c>
      <c r="R993" s="1021">
        <f t="shared" si="174"/>
        <v>0.231132075471698</v>
      </c>
    </row>
    <row r="994" spans="1:18">
      <c r="A994" s="801">
        <v>45641</v>
      </c>
      <c r="B994" s="670">
        <v>786.13</v>
      </c>
      <c r="C994" s="37">
        <v>850</v>
      </c>
      <c r="D994" s="37">
        <v>260</v>
      </c>
      <c r="E994" s="37">
        <v>0</v>
      </c>
      <c r="F994" s="670">
        <v>0</v>
      </c>
      <c r="G994" s="37">
        <v>59</v>
      </c>
      <c r="H994" s="37">
        <v>3</v>
      </c>
      <c r="I994" s="37">
        <v>12</v>
      </c>
      <c r="J994" s="527">
        <f t="shared" si="166"/>
        <v>0.305882352941176</v>
      </c>
      <c r="K994" s="687">
        <f t="shared" si="167"/>
        <v>3.02357692307692</v>
      </c>
      <c r="L994" s="41">
        <f t="shared" si="168"/>
        <v>924.858823529412</v>
      </c>
      <c r="M994" s="702">
        <f t="shared" si="175"/>
        <v>0</v>
      </c>
      <c r="N994" s="39">
        <f t="shared" si="170"/>
        <v>0</v>
      </c>
      <c r="O994" s="558">
        <f t="shared" si="176"/>
        <v>0</v>
      </c>
      <c r="P994" s="1081">
        <f t="shared" si="177"/>
        <v>0</v>
      </c>
      <c r="Q994" s="724">
        <f t="shared" si="178"/>
        <v>13.3242372881356</v>
      </c>
      <c r="R994" s="1021">
        <f t="shared" si="174"/>
        <v>0.226923076923077</v>
      </c>
    </row>
    <row r="995" spans="1:18">
      <c r="A995" s="801">
        <v>45642</v>
      </c>
      <c r="B995" s="670">
        <v>735.75</v>
      </c>
      <c r="C995" s="37">
        <v>797</v>
      </c>
      <c r="D995" s="37">
        <v>234</v>
      </c>
      <c r="E995" s="37">
        <v>1</v>
      </c>
      <c r="F995" s="670">
        <v>5998</v>
      </c>
      <c r="G995" s="37">
        <v>32</v>
      </c>
      <c r="H995" s="37">
        <v>1</v>
      </c>
      <c r="I995" s="37">
        <v>11</v>
      </c>
      <c r="J995" s="527">
        <f t="shared" si="166"/>
        <v>0.293601003764115</v>
      </c>
      <c r="K995" s="687">
        <f t="shared" si="167"/>
        <v>3.14423076923077</v>
      </c>
      <c r="L995" s="41">
        <f t="shared" si="168"/>
        <v>923.149309912171</v>
      </c>
      <c r="M995" s="702">
        <f t="shared" si="175"/>
        <v>8.15222562011553</v>
      </c>
      <c r="N995" s="39">
        <f t="shared" si="170"/>
        <v>0.00427350427350427</v>
      </c>
      <c r="O995" s="558">
        <f t="shared" si="176"/>
        <v>5998</v>
      </c>
      <c r="P995" s="1081">
        <f t="shared" si="177"/>
        <v>735.75</v>
      </c>
      <c r="Q995" s="724">
        <f t="shared" si="178"/>
        <v>22.9921875</v>
      </c>
      <c r="R995" s="1021">
        <f t="shared" si="174"/>
        <v>0.136752136752137</v>
      </c>
    </row>
    <row r="996" spans="1:18">
      <c r="A996" s="801">
        <v>45643</v>
      </c>
      <c r="B996" s="670">
        <v>598.83</v>
      </c>
      <c r="C996" s="37">
        <v>667</v>
      </c>
      <c r="D996" s="37">
        <v>166</v>
      </c>
      <c r="E996" s="37">
        <v>0</v>
      </c>
      <c r="F996" s="670">
        <v>0</v>
      </c>
      <c r="G996" s="37">
        <v>42</v>
      </c>
      <c r="H996" s="37">
        <v>2</v>
      </c>
      <c r="I996" s="37">
        <v>13</v>
      </c>
      <c r="J996" s="527">
        <f t="shared" si="166"/>
        <v>0.248875562218891</v>
      </c>
      <c r="K996" s="687">
        <f t="shared" si="167"/>
        <v>3.60740963855422</v>
      </c>
      <c r="L996" s="41">
        <f t="shared" ref="L996:L1008" si="179">B996/C996*1000</f>
        <v>897.796101949026</v>
      </c>
      <c r="M996" s="702">
        <f t="shared" si="175"/>
        <v>0</v>
      </c>
      <c r="N996" s="39">
        <f t="shared" ref="N996:N1008" si="180">E996/D996</f>
        <v>0</v>
      </c>
      <c r="O996" s="558">
        <f t="shared" ref="O996:O1008" si="181">IF(E996=0,0,F996/E996)</f>
        <v>0</v>
      </c>
      <c r="P996" s="1081">
        <f t="shared" si="177"/>
        <v>0</v>
      </c>
      <c r="Q996" s="724">
        <f t="shared" si="178"/>
        <v>14.2578571428571</v>
      </c>
      <c r="R996" s="1021">
        <f t="shared" ref="R996:R1008" si="182">G996/D996</f>
        <v>0.253012048192771</v>
      </c>
    </row>
    <row r="997" spans="1:18">
      <c r="A997" s="801">
        <v>45644</v>
      </c>
      <c r="B997" s="670">
        <v>500.61</v>
      </c>
      <c r="C997" s="37">
        <v>561</v>
      </c>
      <c r="D997" s="37">
        <v>155</v>
      </c>
      <c r="E997" s="37">
        <v>3</v>
      </c>
      <c r="F997" s="670">
        <v>31009</v>
      </c>
      <c r="G997" s="37">
        <v>21</v>
      </c>
      <c r="H997" s="37">
        <v>2</v>
      </c>
      <c r="I997" s="37">
        <v>7</v>
      </c>
      <c r="J997" s="527">
        <f t="shared" si="166"/>
        <v>0.276292335115865</v>
      </c>
      <c r="K997" s="687">
        <f t="shared" si="167"/>
        <v>3.22974193548387</v>
      </c>
      <c r="L997" s="41">
        <f t="shared" si="179"/>
        <v>892.352941176471</v>
      </c>
      <c r="M997" s="702">
        <f t="shared" si="175"/>
        <v>61.9424302351132</v>
      </c>
      <c r="N997" s="39">
        <f t="shared" si="180"/>
        <v>0.0193548387096774</v>
      </c>
      <c r="O997" s="558">
        <f t="shared" si="181"/>
        <v>10336.3333333333</v>
      </c>
      <c r="P997" s="1081">
        <f t="shared" si="177"/>
        <v>166.87</v>
      </c>
      <c r="Q997" s="724">
        <f t="shared" si="178"/>
        <v>23.8385714285714</v>
      </c>
      <c r="R997" s="1021">
        <f t="shared" si="182"/>
        <v>0.135483870967742</v>
      </c>
    </row>
    <row r="998" spans="1:18">
      <c r="A998" s="801">
        <v>45645</v>
      </c>
      <c r="B998" s="670">
        <v>564.12</v>
      </c>
      <c r="C998" s="37">
        <v>651</v>
      </c>
      <c r="D998" s="37">
        <v>152</v>
      </c>
      <c r="E998" s="37">
        <v>0</v>
      </c>
      <c r="F998" s="670">
        <v>0</v>
      </c>
      <c r="G998" s="37">
        <v>28</v>
      </c>
      <c r="H998" s="37">
        <v>2</v>
      </c>
      <c r="I998" s="37">
        <v>9</v>
      </c>
      <c r="J998" s="527">
        <f t="shared" si="166"/>
        <v>0.233486943164363</v>
      </c>
      <c r="K998" s="687">
        <f t="shared" si="167"/>
        <v>3.71131578947368</v>
      </c>
      <c r="L998" s="41">
        <f t="shared" si="179"/>
        <v>866.543778801843</v>
      </c>
      <c r="M998" s="702">
        <f t="shared" ref="M998:M1005" si="183">F998/B998</f>
        <v>0</v>
      </c>
      <c r="N998" s="39">
        <f t="shared" si="180"/>
        <v>0</v>
      </c>
      <c r="O998" s="558">
        <f t="shared" si="181"/>
        <v>0</v>
      </c>
      <c r="P998" s="1081">
        <f t="shared" ref="P998:P1008" si="184">IF(E998=0,0,B998/E998)</f>
        <v>0</v>
      </c>
      <c r="Q998" s="724">
        <f t="shared" ref="Q998:Q1008" si="185">B998/G998</f>
        <v>20.1471428571429</v>
      </c>
      <c r="R998" s="1021">
        <f t="shared" si="182"/>
        <v>0.184210526315789</v>
      </c>
    </row>
    <row r="999" spans="1:18">
      <c r="A999" s="801">
        <v>45646</v>
      </c>
      <c r="B999" s="670">
        <v>524.69</v>
      </c>
      <c r="C999" s="37">
        <v>585</v>
      </c>
      <c r="D999" s="37">
        <v>155</v>
      </c>
      <c r="E999" s="37">
        <v>0</v>
      </c>
      <c r="F999" s="670">
        <v>0</v>
      </c>
      <c r="G999" s="37">
        <v>26</v>
      </c>
      <c r="H999" s="37">
        <v>5</v>
      </c>
      <c r="I999" s="37">
        <v>4</v>
      </c>
      <c r="J999" s="527">
        <f t="shared" si="166"/>
        <v>0.264957264957265</v>
      </c>
      <c r="K999" s="687">
        <f t="shared" si="167"/>
        <v>3.38509677419355</v>
      </c>
      <c r="L999" s="41">
        <f t="shared" si="179"/>
        <v>896.905982905983</v>
      </c>
      <c r="M999" s="702">
        <f t="shared" si="183"/>
        <v>0</v>
      </c>
      <c r="N999" s="39">
        <f t="shared" si="180"/>
        <v>0</v>
      </c>
      <c r="O999" s="558">
        <f t="shared" si="181"/>
        <v>0</v>
      </c>
      <c r="P999" s="1081">
        <f t="shared" si="184"/>
        <v>0</v>
      </c>
      <c r="Q999" s="724">
        <f t="shared" si="185"/>
        <v>20.1803846153846</v>
      </c>
      <c r="R999" s="1021">
        <f t="shared" si="182"/>
        <v>0.167741935483871</v>
      </c>
    </row>
    <row r="1000" spans="1:18">
      <c r="A1000" s="801">
        <v>45647</v>
      </c>
      <c r="B1000" s="670">
        <v>521.3</v>
      </c>
      <c r="C1000" s="37">
        <v>665</v>
      </c>
      <c r="D1000" s="37">
        <v>137</v>
      </c>
      <c r="E1000" s="37">
        <v>2</v>
      </c>
      <c r="F1000" s="670">
        <v>13333</v>
      </c>
      <c r="G1000" s="37">
        <v>17</v>
      </c>
      <c r="H1000" s="37">
        <v>2</v>
      </c>
      <c r="I1000" s="37">
        <v>5</v>
      </c>
      <c r="J1000" s="527">
        <f t="shared" si="166"/>
        <v>0.206015037593985</v>
      </c>
      <c r="K1000" s="687">
        <f t="shared" si="167"/>
        <v>3.80510948905109</v>
      </c>
      <c r="L1000" s="41">
        <f t="shared" si="179"/>
        <v>783.90977443609</v>
      </c>
      <c r="M1000" s="702">
        <f t="shared" si="183"/>
        <v>25.5764435066181</v>
      </c>
      <c r="N1000" s="39">
        <f t="shared" si="180"/>
        <v>0.0145985401459854</v>
      </c>
      <c r="O1000" s="558">
        <f t="shared" si="181"/>
        <v>6666.5</v>
      </c>
      <c r="P1000" s="1081">
        <f t="shared" si="184"/>
        <v>260.65</v>
      </c>
      <c r="Q1000" s="724">
        <f t="shared" si="185"/>
        <v>30.6647058823529</v>
      </c>
      <c r="R1000" s="1021">
        <f t="shared" si="182"/>
        <v>0.124087591240876</v>
      </c>
    </row>
    <row r="1001" spans="1:18">
      <c r="A1001" s="801">
        <v>45648</v>
      </c>
      <c r="B1001" s="670">
        <v>573.67</v>
      </c>
      <c r="C1001" s="37">
        <v>786</v>
      </c>
      <c r="D1001" s="37">
        <v>168</v>
      </c>
      <c r="E1001" s="37">
        <v>1</v>
      </c>
      <c r="F1001" s="670">
        <v>9794</v>
      </c>
      <c r="G1001" s="37">
        <v>29</v>
      </c>
      <c r="H1001" s="37">
        <v>6</v>
      </c>
      <c r="I1001" s="37">
        <v>8</v>
      </c>
      <c r="J1001" s="527">
        <f t="shared" si="166"/>
        <v>0.213740458015267</v>
      </c>
      <c r="K1001" s="687">
        <f t="shared" si="167"/>
        <v>3.41470238095238</v>
      </c>
      <c r="L1001" s="41">
        <f t="shared" si="179"/>
        <v>729.860050890585</v>
      </c>
      <c r="M1001" s="702">
        <f t="shared" si="183"/>
        <v>17.0725329893493</v>
      </c>
      <c r="N1001" s="39">
        <f t="shared" si="180"/>
        <v>0.00595238095238095</v>
      </c>
      <c r="O1001" s="558">
        <f t="shared" si="181"/>
        <v>9794</v>
      </c>
      <c r="P1001" s="1081">
        <f t="shared" si="184"/>
        <v>573.67</v>
      </c>
      <c r="Q1001" s="724">
        <f t="shared" si="185"/>
        <v>19.781724137931</v>
      </c>
      <c r="R1001" s="1021">
        <f t="shared" si="182"/>
        <v>0.172619047619048</v>
      </c>
    </row>
    <row r="1002" spans="1:18">
      <c r="A1002" s="801">
        <v>45649</v>
      </c>
      <c r="B1002" s="670">
        <v>598.78</v>
      </c>
      <c r="C1002" s="37">
        <v>734</v>
      </c>
      <c r="D1002" s="37">
        <v>161</v>
      </c>
      <c r="E1002" s="37">
        <v>1</v>
      </c>
      <c r="F1002" s="670">
        <v>26620</v>
      </c>
      <c r="G1002" s="37">
        <v>25</v>
      </c>
      <c r="H1002" s="37">
        <v>2</v>
      </c>
      <c r="I1002" s="37">
        <v>9</v>
      </c>
      <c r="J1002" s="527">
        <f t="shared" si="166"/>
        <v>0.219346049046322</v>
      </c>
      <c r="K1002" s="687">
        <f t="shared" si="167"/>
        <v>3.71913043478261</v>
      </c>
      <c r="L1002" s="41">
        <f t="shared" si="179"/>
        <v>815.776566757493</v>
      </c>
      <c r="M1002" s="702">
        <f t="shared" si="183"/>
        <v>44.4570626941448</v>
      </c>
      <c r="N1002" s="39">
        <f t="shared" si="180"/>
        <v>0.0062111801242236</v>
      </c>
      <c r="O1002" s="558">
        <f t="shared" si="181"/>
        <v>26620</v>
      </c>
      <c r="P1002" s="1081">
        <f t="shared" si="184"/>
        <v>598.78</v>
      </c>
      <c r="Q1002" s="724">
        <f t="shared" si="185"/>
        <v>23.9512</v>
      </c>
      <c r="R1002" s="1021">
        <f t="shared" si="182"/>
        <v>0.15527950310559</v>
      </c>
    </row>
    <row r="1003" spans="1:18">
      <c r="A1003" s="801">
        <v>45650</v>
      </c>
      <c r="B1003" s="670">
        <v>559.71</v>
      </c>
      <c r="C1003" s="37">
        <v>679</v>
      </c>
      <c r="D1003" s="37">
        <v>158</v>
      </c>
      <c r="E1003" s="37">
        <v>1</v>
      </c>
      <c r="F1003" s="670">
        <v>20934</v>
      </c>
      <c r="G1003" s="37">
        <v>37</v>
      </c>
      <c r="H1003" s="37">
        <v>4</v>
      </c>
      <c r="I1003" s="37">
        <v>8</v>
      </c>
      <c r="J1003" s="527">
        <f t="shared" si="166"/>
        <v>0.232695139911635</v>
      </c>
      <c r="K1003" s="687">
        <f t="shared" si="167"/>
        <v>3.54246835443038</v>
      </c>
      <c r="L1003" s="41">
        <f t="shared" si="179"/>
        <v>824.315169366716</v>
      </c>
      <c r="M1003" s="702">
        <f t="shared" si="183"/>
        <v>37.4015114970252</v>
      </c>
      <c r="N1003" s="39">
        <f t="shared" si="180"/>
        <v>0.00632911392405063</v>
      </c>
      <c r="O1003" s="558">
        <f t="shared" si="181"/>
        <v>20934</v>
      </c>
      <c r="P1003" s="1081">
        <f t="shared" si="184"/>
        <v>559.71</v>
      </c>
      <c r="Q1003" s="724">
        <f t="shared" si="185"/>
        <v>15.1272972972973</v>
      </c>
      <c r="R1003" s="1021">
        <f t="shared" si="182"/>
        <v>0.234177215189873</v>
      </c>
    </row>
    <row r="1004" spans="1:18">
      <c r="A1004" s="801">
        <v>45651</v>
      </c>
      <c r="B1004" s="670">
        <v>512.98</v>
      </c>
      <c r="C1004" s="37">
        <v>608</v>
      </c>
      <c r="D1004" s="37">
        <v>130</v>
      </c>
      <c r="E1004" s="37">
        <v>1</v>
      </c>
      <c r="F1004" s="670">
        <v>5578</v>
      </c>
      <c r="G1004" s="37">
        <v>33</v>
      </c>
      <c r="H1004" s="37">
        <v>1</v>
      </c>
      <c r="I1004" s="37">
        <v>6</v>
      </c>
      <c r="J1004" s="527">
        <f t="shared" si="166"/>
        <v>0.213815789473684</v>
      </c>
      <c r="K1004" s="687">
        <f t="shared" si="167"/>
        <v>3.946</v>
      </c>
      <c r="L1004" s="41">
        <f t="shared" si="179"/>
        <v>843.717105263158</v>
      </c>
      <c r="M1004" s="702">
        <f t="shared" si="183"/>
        <v>10.8737182736169</v>
      </c>
      <c r="N1004" s="39">
        <f t="shared" si="180"/>
        <v>0.00769230769230769</v>
      </c>
      <c r="O1004" s="558">
        <f t="shared" si="181"/>
        <v>5578</v>
      </c>
      <c r="P1004" s="1081">
        <f t="shared" si="184"/>
        <v>512.98</v>
      </c>
      <c r="Q1004" s="724">
        <f t="shared" si="185"/>
        <v>15.5448484848485</v>
      </c>
      <c r="R1004" s="1021">
        <f t="shared" si="182"/>
        <v>0.253846153846154</v>
      </c>
    </row>
    <row r="1005" spans="1:18">
      <c r="A1005" s="801">
        <v>45652</v>
      </c>
      <c r="B1005" s="670">
        <v>516.41</v>
      </c>
      <c r="C1005" s="37">
        <v>616</v>
      </c>
      <c r="D1005" s="37">
        <v>147</v>
      </c>
      <c r="E1005" s="37">
        <v>1</v>
      </c>
      <c r="F1005" s="670">
        <v>5706</v>
      </c>
      <c r="G1005" s="37">
        <v>23</v>
      </c>
      <c r="H1005" s="37">
        <v>5</v>
      </c>
      <c r="I1005" s="37">
        <v>6</v>
      </c>
      <c r="J1005" s="527">
        <f t="shared" si="166"/>
        <v>0.238636363636364</v>
      </c>
      <c r="K1005" s="687">
        <f t="shared" si="167"/>
        <v>3.51299319727891</v>
      </c>
      <c r="L1005" s="41">
        <f t="shared" si="179"/>
        <v>838.327922077922</v>
      </c>
      <c r="M1005" s="702">
        <f t="shared" si="183"/>
        <v>11.0493600046475</v>
      </c>
      <c r="N1005" s="39">
        <f t="shared" si="180"/>
        <v>0.00680272108843537</v>
      </c>
      <c r="O1005" s="558">
        <f t="shared" si="181"/>
        <v>5706</v>
      </c>
      <c r="P1005" s="1081">
        <f t="shared" si="184"/>
        <v>516.41</v>
      </c>
      <c r="Q1005" s="724">
        <f t="shared" si="185"/>
        <v>22.4526086956522</v>
      </c>
      <c r="R1005" s="1021">
        <f t="shared" si="182"/>
        <v>0.156462585034014</v>
      </c>
    </row>
    <row r="1006" spans="1:18">
      <c r="A1006" s="801">
        <v>45653</v>
      </c>
      <c r="B1006" s="670">
        <v>485.79</v>
      </c>
      <c r="C1006" s="37">
        <v>598</v>
      </c>
      <c r="D1006" s="37">
        <v>152</v>
      </c>
      <c r="E1006" s="37">
        <v>1</v>
      </c>
      <c r="F1006" s="670">
        <v>9522</v>
      </c>
      <c r="G1006" s="37">
        <v>33</v>
      </c>
      <c r="H1006" s="37">
        <v>3</v>
      </c>
      <c r="I1006" s="37">
        <v>4</v>
      </c>
      <c r="J1006" s="527">
        <f t="shared" si="166"/>
        <v>0.254180602006689</v>
      </c>
      <c r="K1006" s="687">
        <f t="shared" si="167"/>
        <v>3.19598684210526</v>
      </c>
      <c r="L1006" s="41">
        <f t="shared" si="179"/>
        <v>812.357859531773</v>
      </c>
      <c r="M1006" s="702">
        <f t="shared" ref="M1006:M1009" si="186">F1006/B1006</f>
        <v>19.6010621873649</v>
      </c>
      <c r="N1006" s="39">
        <f t="shared" si="180"/>
        <v>0.00657894736842105</v>
      </c>
      <c r="O1006" s="558">
        <f t="shared" si="181"/>
        <v>9522</v>
      </c>
      <c r="P1006" s="559">
        <f t="shared" si="184"/>
        <v>485.79</v>
      </c>
      <c r="Q1006" s="41">
        <f t="shared" si="185"/>
        <v>14.7209090909091</v>
      </c>
      <c r="R1006" s="1021">
        <f t="shared" si="182"/>
        <v>0.217105263157895</v>
      </c>
    </row>
    <row r="1007" spans="1:18">
      <c r="A1007" s="801">
        <v>45654</v>
      </c>
      <c r="B1007" s="670">
        <v>434.51</v>
      </c>
      <c r="C1007" s="37">
        <v>519</v>
      </c>
      <c r="D1007" s="37">
        <v>128</v>
      </c>
      <c r="E1007" s="37">
        <v>3</v>
      </c>
      <c r="F1007" s="670">
        <v>47455</v>
      </c>
      <c r="G1007" s="37">
        <v>29</v>
      </c>
      <c r="H1007" s="37">
        <v>0</v>
      </c>
      <c r="I1007" s="37">
        <v>4</v>
      </c>
      <c r="J1007" s="527">
        <f t="shared" si="166"/>
        <v>0.246628131021195</v>
      </c>
      <c r="K1007" s="687">
        <f t="shared" si="167"/>
        <v>3.394609375</v>
      </c>
      <c r="L1007" s="41">
        <f t="shared" si="179"/>
        <v>837.206165703276</v>
      </c>
      <c r="M1007" s="702">
        <f t="shared" si="186"/>
        <v>109.214977791075</v>
      </c>
      <c r="N1007" s="39">
        <f t="shared" si="180"/>
        <v>0.0234375</v>
      </c>
      <c r="O1007" s="558">
        <f t="shared" si="181"/>
        <v>15818.3333333333</v>
      </c>
      <c r="P1007" s="559">
        <f t="shared" si="184"/>
        <v>144.836666666667</v>
      </c>
      <c r="Q1007" s="41">
        <f t="shared" si="185"/>
        <v>14.9831034482759</v>
      </c>
      <c r="R1007" s="1021">
        <f t="shared" si="182"/>
        <v>0.2265625</v>
      </c>
    </row>
    <row r="1008" spans="1:18">
      <c r="A1008" s="801">
        <v>45655</v>
      </c>
      <c r="B1008" s="670">
        <v>588.9</v>
      </c>
      <c r="C1008" s="37">
        <v>658</v>
      </c>
      <c r="D1008" s="37">
        <v>216</v>
      </c>
      <c r="E1008" s="37">
        <v>5</v>
      </c>
      <c r="F1008" s="670">
        <v>51643</v>
      </c>
      <c r="G1008" s="37">
        <v>47</v>
      </c>
      <c r="H1008" s="37">
        <v>2</v>
      </c>
      <c r="I1008" s="37">
        <v>6</v>
      </c>
      <c r="J1008" s="527">
        <f t="shared" si="166"/>
        <v>0.328267477203647</v>
      </c>
      <c r="K1008" s="687">
        <f t="shared" si="167"/>
        <v>2.72638888888889</v>
      </c>
      <c r="L1008" s="41">
        <f t="shared" si="179"/>
        <v>894.984802431611</v>
      </c>
      <c r="M1008" s="702">
        <f t="shared" si="186"/>
        <v>87.694005773476</v>
      </c>
      <c r="N1008" s="39">
        <f t="shared" si="180"/>
        <v>0.0231481481481481</v>
      </c>
      <c r="O1008" s="558">
        <f t="shared" si="181"/>
        <v>10328.6</v>
      </c>
      <c r="P1008" s="559">
        <f t="shared" si="184"/>
        <v>117.78</v>
      </c>
      <c r="Q1008" s="41">
        <f t="shared" si="185"/>
        <v>12.5297872340426</v>
      </c>
      <c r="R1008" s="1021">
        <f t="shared" si="182"/>
        <v>0.217592592592593</v>
      </c>
    </row>
    <row r="1009" spans="1:18">
      <c r="A1009" s="801">
        <v>45656</v>
      </c>
      <c r="B1009" s="670">
        <v>597.92</v>
      </c>
      <c r="C1009" s="37">
        <v>614</v>
      </c>
      <c r="D1009" s="37">
        <v>170</v>
      </c>
      <c r="E1009" s="37">
        <v>1</v>
      </c>
      <c r="F1009" s="670">
        <v>13072</v>
      </c>
      <c r="G1009" s="37">
        <v>43</v>
      </c>
      <c r="H1009" s="37">
        <v>4</v>
      </c>
      <c r="I1009" s="37">
        <v>5</v>
      </c>
      <c r="J1009" s="527">
        <f t="shared" si="166"/>
        <v>0.276872964169381</v>
      </c>
      <c r="K1009" s="687">
        <f t="shared" si="167"/>
        <v>3.51717647058823</v>
      </c>
      <c r="L1009" s="41">
        <f t="shared" ref="L1009:L1072" si="187">B1009/C1009*1000</f>
        <v>973.811074918567</v>
      </c>
      <c r="M1009" s="702">
        <f t="shared" si="186"/>
        <v>21.8624565159219</v>
      </c>
      <c r="N1009" s="39">
        <f t="shared" ref="N1009:N1072" si="188">E1009/D1009</f>
        <v>0.00588235294117647</v>
      </c>
      <c r="O1009" s="558">
        <f t="shared" ref="O1009:O1072" si="189">IF(E1009=0,0,F1009/E1009)</f>
        <v>13072</v>
      </c>
      <c r="P1009" s="559">
        <f t="shared" ref="P1009:P1072" si="190">IF(E1009=0,0,B1009/E1009)</f>
        <v>597.92</v>
      </c>
      <c r="Q1009" s="41">
        <f t="shared" ref="Q1009:Q1072" si="191">B1009/G1009</f>
        <v>13.9051162790698</v>
      </c>
      <c r="R1009" s="1021">
        <f t="shared" ref="R1009:R1072" si="192">G1009/D1009</f>
        <v>0.252941176470588</v>
      </c>
    </row>
    <row r="1010" spans="1:18">
      <c r="A1010" s="801">
        <v>45657</v>
      </c>
      <c r="B1010" s="670">
        <v>498.87</v>
      </c>
      <c r="C1010" s="37">
        <v>548</v>
      </c>
      <c r="D1010" s="37">
        <v>120</v>
      </c>
      <c r="E1010" s="37">
        <v>2</v>
      </c>
      <c r="F1010" s="670">
        <v>20519</v>
      </c>
      <c r="G1010" s="37">
        <v>21</v>
      </c>
      <c r="H1010" s="37">
        <v>2</v>
      </c>
      <c r="I1010" s="37">
        <v>4</v>
      </c>
      <c r="J1010" s="527">
        <f t="shared" si="166"/>
        <v>0.218978102189781</v>
      </c>
      <c r="K1010" s="687">
        <f t="shared" si="167"/>
        <v>4.15725</v>
      </c>
      <c r="L1010" s="41">
        <f t="shared" si="187"/>
        <v>910.346715328467</v>
      </c>
      <c r="M1010" s="702">
        <f t="shared" ref="M1010:M1055" si="193">F1010/B1010</f>
        <v>41.1309559604707</v>
      </c>
      <c r="N1010" s="39">
        <f t="shared" si="188"/>
        <v>0.0166666666666667</v>
      </c>
      <c r="O1010" s="558">
        <f t="shared" si="189"/>
        <v>10259.5</v>
      </c>
      <c r="P1010" s="559">
        <f t="shared" si="190"/>
        <v>249.435</v>
      </c>
      <c r="Q1010" s="41">
        <f t="shared" si="191"/>
        <v>23.7557142857143</v>
      </c>
      <c r="R1010" s="1021">
        <f t="shared" si="192"/>
        <v>0.175</v>
      </c>
    </row>
    <row r="1011" spans="1:18">
      <c r="A1011" s="801">
        <v>45658</v>
      </c>
      <c r="B1011" s="670">
        <v>268.74</v>
      </c>
      <c r="C1011" s="37">
        <v>294</v>
      </c>
      <c r="D1011" s="37">
        <v>81</v>
      </c>
      <c r="E1011" s="37">
        <v>0</v>
      </c>
      <c r="F1011" s="670">
        <v>0</v>
      </c>
      <c r="G1011" s="37">
        <v>14</v>
      </c>
      <c r="H1011" s="37">
        <v>2</v>
      </c>
      <c r="I1011" s="37">
        <v>1</v>
      </c>
      <c r="J1011" s="527">
        <f t="shared" si="166"/>
        <v>0.275510204081633</v>
      </c>
      <c r="K1011" s="687">
        <f t="shared" si="167"/>
        <v>3.31777777777778</v>
      </c>
      <c r="L1011" s="41">
        <f t="shared" si="187"/>
        <v>914.081632653061</v>
      </c>
      <c r="M1011" s="702">
        <f t="shared" si="193"/>
        <v>0</v>
      </c>
      <c r="N1011" s="39">
        <f t="shared" si="188"/>
        <v>0</v>
      </c>
      <c r="O1011" s="558">
        <f t="shared" si="189"/>
        <v>0</v>
      </c>
      <c r="P1011" s="559">
        <f t="shared" si="190"/>
        <v>0</v>
      </c>
      <c r="Q1011" s="41">
        <f t="shared" si="191"/>
        <v>19.1957142857143</v>
      </c>
      <c r="R1011" s="1021">
        <f t="shared" si="192"/>
        <v>0.172839506172839</v>
      </c>
    </row>
    <row r="1012" spans="1:18">
      <c r="A1012" s="801">
        <v>45659</v>
      </c>
      <c r="B1012" s="670">
        <v>498.85</v>
      </c>
      <c r="C1012" s="37">
        <v>574</v>
      </c>
      <c r="D1012" s="37">
        <v>157</v>
      </c>
      <c r="E1012" s="37">
        <v>1</v>
      </c>
      <c r="F1012" s="670">
        <v>13541.64</v>
      </c>
      <c r="G1012" s="37">
        <v>38</v>
      </c>
      <c r="H1012" s="37">
        <v>3</v>
      </c>
      <c r="I1012" s="37">
        <v>6</v>
      </c>
      <c r="J1012" s="527">
        <f t="shared" si="166"/>
        <v>0.273519163763066</v>
      </c>
      <c r="K1012" s="687">
        <f t="shared" si="167"/>
        <v>3.17738853503185</v>
      </c>
      <c r="L1012" s="41">
        <f t="shared" si="187"/>
        <v>869.076655052265</v>
      </c>
      <c r="M1012" s="702">
        <f t="shared" si="193"/>
        <v>27.1457151448331</v>
      </c>
      <c r="N1012" s="39">
        <f t="shared" si="188"/>
        <v>0.00636942675159236</v>
      </c>
      <c r="O1012" s="558">
        <f t="shared" si="189"/>
        <v>13541.64</v>
      </c>
      <c r="P1012" s="559">
        <f t="shared" si="190"/>
        <v>498.85</v>
      </c>
      <c r="Q1012" s="41">
        <f t="shared" si="191"/>
        <v>13.1276315789474</v>
      </c>
      <c r="R1012" s="1021">
        <f t="shared" si="192"/>
        <v>0.24203821656051</v>
      </c>
    </row>
    <row r="1013" spans="1:18">
      <c r="A1013" s="801">
        <v>45660</v>
      </c>
      <c r="B1013" s="670">
        <v>560.63</v>
      </c>
      <c r="C1013" s="37">
        <v>602</v>
      </c>
      <c r="D1013" s="37">
        <v>167</v>
      </c>
      <c r="E1013" s="37">
        <v>3</v>
      </c>
      <c r="F1013" s="670">
        <v>35842</v>
      </c>
      <c r="G1013" s="37">
        <v>34</v>
      </c>
      <c r="H1013" s="37">
        <v>2</v>
      </c>
      <c r="I1013" s="37">
        <v>9</v>
      </c>
      <c r="J1013" s="527">
        <f t="shared" si="166"/>
        <v>0.277408637873754</v>
      </c>
      <c r="K1013" s="687">
        <f t="shared" si="167"/>
        <v>3.35706586826347</v>
      </c>
      <c r="L1013" s="41">
        <f t="shared" si="187"/>
        <v>931.279069767442</v>
      </c>
      <c r="M1013" s="702">
        <f t="shared" si="193"/>
        <v>63.9316483242067</v>
      </c>
      <c r="N1013" s="39">
        <f t="shared" si="188"/>
        <v>0.0179640718562874</v>
      </c>
      <c r="O1013" s="558">
        <f t="shared" si="189"/>
        <v>11947.3333333333</v>
      </c>
      <c r="P1013" s="559">
        <f t="shared" si="190"/>
        <v>186.876666666667</v>
      </c>
      <c r="Q1013" s="41">
        <f t="shared" si="191"/>
        <v>16.4891176470588</v>
      </c>
      <c r="R1013" s="1021">
        <f t="shared" si="192"/>
        <v>0.203592814371257</v>
      </c>
    </row>
    <row r="1014" spans="1:18">
      <c r="A1014" s="801">
        <v>45661</v>
      </c>
      <c r="B1014" s="670">
        <v>597.65</v>
      </c>
      <c r="C1014" s="37">
        <v>730</v>
      </c>
      <c r="D1014" s="37">
        <v>205</v>
      </c>
      <c r="E1014" s="37">
        <v>1</v>
      </c>
      <c r="F1014" s="670">
        <v>9474</v>
      </c>
      <c r="G1014" s="37">
        <v>38</v>
      </c>
      <c r="H1014" s="37">
        <v>3</v>
      </c>
      <c r="I1014" s="37">
        <v>7</v>
      </c>
      <c r="J1014" s="527">
        <f t="shared" si="166"/>
        <v>0.280821917808219</v>
      </c>
      <c r="K1014" s="687">
        <f t="shared" si="167"/>
        <v>2.91536585365854</v>
      </c>
      <c r="L1014" s="41">
        <f t="shared" si="187"/>
        <v>818.698630136986</v>
      </c>
      <c r="M1014" s="702">
        <f t="shared" si="193"/>
        <v>15.8520873420899</v>
      </c>
      <c r="N1014" s="39">
        <f t="shared" si="188"/>
        <v>0.0048780487804878</v>
      </c>
      <c r="O1014" s="558">
        <f t="shared" si="189"/>
        <v>9474</v>
      </c>
      <c r="P1014" s="559">
        <f t="shared" si="190"/>
        <v>597.65</v>
      </c>
      <c r="Q1014" s="41">
        <f t="shared" si="191"/>
        <v>15.7276315789474</v>
      </c>
      <c r="R1014" s="1021">
        <f t="shared" si="192"/>
        <v>0.185365853658537</v>
      </c>
    </row>
    <row r="1015" spans="1:18">
      <c r="A1015" s="801">
        <v>45662</v>
      </c>
      <c r="B1015" s="670">
        <v>644.92</v>
      </c>
      <c r="C1015" s="37">
        <v>749</v>
      </c>
      <c r="D1015" s="37">
        <v>196</v>
      </c>
      <c r="E1015" s="37">
        <v>1</v>
      </c>
      <c r="F1015" s="670">
        <v>9194.36</v>
      </c>
      <c r="G1015" s="37">
        <v>43</v>
      </c>
      <c r="H1015" s="37">
        <v>6</v>
      </c>
      <c r="I1015" s="37">
        <v>8</v>
      </c>
      <c r="J1015" s="527">
        <f t="shared" si="166"/>
        <v>0.261682242990654</v>
      </c>
      <c r="K1015" s="687">
        <f t="shared" si="167"/>
        <v>3.29040816326531</v>
      </c>
      <c r="L1015" s="41">
        <f t="shared" si="187"/>
        <v>861.041388518024</v>
      </c>
      <c r="M1015" s="702">
        <f t="shared" si="193"/>
        <v>14.2565899646468</v>
      </c>
      <c r="N1015" s="39">
        <f t="shared" si="188"/>
        <v>0.00510204081632653</v>
      </c>
      <c r="O1015" s="558">
        <f t="shared" si="189"/>
        <v>9194.36</v>
      </c>
      <c r="P1015" s="559">
        <f t="shared" si="190"/>
        <v>644.92</v>
      </c>
      <c r="Q1015" s="41">
        <f t="shared" si="191"/>
        <v>14.9981395348837</v>
      </c>
      <c r="R1015" s="1021">
        <f t="shared" si="192"/>
        <v>0.219387755102041</v>
      </c>
    </row>
    <row r="1016" spans="1:18">
      <c r="A1016" s="801">
        <v>45663</v>
      </c>
      <c r="B1016" s="670">
        <v>476.51</v>
      </c>
      <c r="C1016" s="37">
        <v>573</v>
      </c>
      <c r="D1016" s="37">
        <v>145</v>
      </c>
      <c r="E1016" s="37">
        <v>0</v>
      </c>
      <c r="F1016" s="670">
        <v>0</v>
      </c>
      <c r="G1016" s="37">
        <v>23</v>
      </c>
      <c r="H1016" s="37">
        <v>2</v>
      </c>
      <c r="I1016" s="37">
        <v>9</v>
      </c>
      <c r="J1016" s="527">
        <f t="shared" si="166"/>
        <v>0.253054101221641</v>
      </c>
      <c r="K1016" s="687">
        <f t="shared" si="167"/>
        <v>3.28627586206897</v>
      </c>
      <c r="L1016" s="41">
        <f t="shared" si="187"/>
        <v>831.605584642234</v>
      </c>
      <c r="M1016" s="702">
        <f t="shared" si="193"/>
        <v>0</v>
      </c>
      <c r="N1016" s="39">
        <f t="shared" si="188"/>
        <v>0</v>
      </c>
      <c r="O1016" s="558">
        <f t="shared" si="189"/>
        <v>0</v>
      </c>
      <c r="P1016" s="559">
        <f t="shared" si="190"/>
        <v>0</v>
      </c>
      <c r="Q1016" s="41">
        <f t="shared" si="191"/>
        <v>20.7178260869565</v>
      </c>
      <c r="R1016" s="1021">
        <f t="shared" si="192"/>
        <v>0.158620689655172</v>
      </c>
    </row>
    <row r="1017" spans="1:18">
      <c r="A1017" s="801">
        <v>45664</v>
      </c>
      <c r="B1017" s="670">
        <v>603.99</v>
      </c>
      <c r="C1017" s="37">
        <v>734</v>
      </c>
      <c r="D1017" s="37">
        <v>173</v>
      </c>
      <c r="E1017" s="37">
        <v>0</v>
      </c>
      <c r="F1017" s="670">
        <v>0</v>
      </c>
      <c r="G1017" s="37">
        <v>26</v>
      </c>
      <c r="H1017" s="37">
        <v>5</v>
      </c>
      <c r="I1017" s="37">
        <v>9</v>
      </c>
      <c r="J1017" s="527">
        <f t="shared" si="166"/>
        <v>0.235694822888283</v>
      </c>
      <c r="K1017" s="687">
        <f t="shared" si="167"/>
        <v>3.49127167630058</v>
      </c>
      <c r="L1017" s="41">
        <f t="shared" si="187"/>
        <v>822.874659400545</v>
      </c>
      <c r="M1017" s="702">
        <f t="shared" si="193"/>
        <v>0</v>
      </c>
      <c r="N1017" s="39">
        <f t="shared" si="188"/>
        <v>0</v>
      </c>
      <c r="O1017" s="558">
        <f t="shared" si="189"/>
        <v>0</v>
      </c>
      <c r="P1017" s="559">
        <f t="shared" si="190"/>
        <v>0</v>
      </c>
      <c r="Q1017" s="41">
        <f t="shared" si="191"/>
        <v>23.2303846153846</v>
      </c>
      <c r="R1017" s="1021">
        <f t="shared" si="192"/>
        <v>0.15028901734104</v>
      </c>
    </row>
    <row r="1018" spans="1:18">
      <c r="A1018" s="801">
        <v>45665</v>
      </c>
      <c r="B1018" s="670">
        <v>498.75</v>
      </c>
      <c r="C1018" s="37">
        <v>566</v>
      </c>
      <c r="D1018" s="37">
        <v>152</v>
      </c>
      <c r="E1018" s="37">
        <v>0</v>
      </c>
      <c r="F1018" s="670">
        <v>0</v>
      </c>
      <c r="G1018" s="37">
        <v>28</v>
      </c>
      <c r="H1018" s="37">
        <v>2</v>
      </c>
      <c r="I1018" s="37">
        <v>9</v>
      </c>
      <c r="J1018" s="527">
        <f t="shared" si="166"/>
        <v>0.268551236749117</v>
      </c>
      <c r="K1018" s="687">
        <f t="shared" si="167"/>
        <v>3.28125</v>
      </c>
      <c r="L1018" s="41">
        <f t="shared" si="187"/>
        <v>881.183745583039</v>
      </c>
      <c r="M1018" s="702">
        <f t="shared" si="193"/>
        <v>0</v>
      </c>
      <c r="N1018" s="39">
        <f t="shared" si="188"/>
        <v>0</v>
      </c>
      <c r="O1018" s="558">
        <f t="shared" si="189"/>
        <v>0</v>
      </c>
      <c r="P1018" s="559">
        <f t="shared" si="190"/>
        <v>0</v>
      </c>
      <c r="Q1018" s="41">
        <f t="shared" si="191"/>
        <v>17.8125</v>
      </c>
      <c r="R1018" s="1021">
        <f t="shared" si="192"/>
        <v>0.184210526315789</v>
      </c>
    </row>
    <row r="1019" spans="1:18">
      <c r="A1019" s="801">
        <v>45666</v>
      </c>
      <c r="B1019" s="670">
        <v>498.78</v>
      </c>
      <c r="C1019" s="37">
        <v>591</v>
      </c>
      <c r="D1019" s="37">
        <v>115</v>
      </c>
      <c r="E1019" s="37">
        <v>1</v>
      </c>
      <c r="F1019" s="670">
        <v>5998</v>
      </c>
      <c r="G1019" s="37">
        <v>32</v>
      </c>
      <c r="H1019" s="37">
        <v>4</v>
      </c>
      <c r="I1019" s="37">
        <v>2</v>
      </c>
      <c r="J1019" s="527">
        <f t="shared" si="166"/>
        <v>0.194585448392555</v>
      </c>
      <c r="K1019" s="687">
        <f t="shared" si="167"/>
        <v>4.33721739130435</v>
      </c>
      <c r="L1019" s="41">
        <f t="shared" si="187"/>
        <v>843.959390862944</v>
      </c>
      <c r="M1019" s="702">
        <f t="shared" si="193"/>
        <v>12.0253418340751</v>
      </c>
      <c r="N1019" s="39">
        <f t="shared" si="188"/>
        <v>0.00869565217391304</v>
      </c>
      <c r="O1019" s="558">
        <f t="shared" si="189"/>
        <v>5998</v>
      </c>
      <c r="P1019" s="559">
        <f t="shared" si="190"/>
        <v>498.78</v>
      </c>
      <c r="Q1019" s="41">
        <f t="shared" si="191"/>
        <v>15.586875</v>
      </c>
      <c r="R1019" s="1021">
        <f t="shared" si="192"/>
        <v>0.278260869565217</v>
      </c>
    </row>
    <row r="1020" spans="1:18">
      <c r="A1020" s="801">
        <v>45667</v>
      </c>
      <c r="B1020" s="670">
        <v>442.69</v>
      </c>
      <c r="C1020" s="37">
        <v>471</v>
      </c>
      <c r="D1020" s="37">
        <v>102</v>
      </c>
      <c r="E1020" s="37">
        <v>0</v>
      </c>
      <c r="F1020" s="670">
        <v>0</v>
      </c>
      <c r="G1020" s="37">
        <v>27</v>
      </c>
      <c r="H1020" s="37">
        <v>2</v>
      </c>
      <c r="I1020" s="37">
        <v>2</v>
      </c>
      <c r="J1020" s="527">
        <f t="shared" si="166"/>
        <v>0.21656050955414</v>
      </c>
      <c r="K1020" s="687">
        <f t="shared" si="167"/>
        <v>4.34009803921569</v>
      </c>
      <c r="L1020" s="41">
        <f t="shared" si="187"/>
        <v>939.893842887474</v>
      </c>
      <c r="M1020" s="702">
        <f t="shared" si="193"/>
        <v>0</v>
      </c>
      <c r="N1020" s="39">
        <f t="shared" si="188"/>
        <v>0</v>
      </c>
      <c r="O1020" s="558">
        <f t="shared" si="189"/>
        <v>0</v>
      </c>
      <c r="P1020" s="559">
        <f t="shared" si="190"/>
        <v>0</v>
      </c>
      <c r="Q1020" s="41">
        <f t="shared" si="191"/>
        <v>16.3959259259259</v>
      </c>
      <c r="R1020" s="1021">
        <f t="shared" si="192"/>
        <v>0.264705882352941</v>
      </c>
    </row>
    <row r="1021" spans="1:18">
      <c r="A1021" s="801">
        <v>45668</v>
      </c>
      <c r="B1021" s="670">
        <v>439.51</v>
      </c>
      <c r="C1021" s="37">
        <v>494</v>
      </c>
      <c r="D1021" s="37">
        <v>140</v>
      </c>
      <c r="E1021" s="37">
        <v>1</v>
      </c>
      <c r="F1021" s="670">
        <v>5276.32</v>
      </c>
      <c r="G1021" s="37">
        <v>26</v>
      </c>
      <c r="H1021" s="37">
        <v>3</v>
      </c>
      <c r="I1021" s="37">
        <v>6</v>
      </c>
      <c r="J1021" s="527">
        <f t="shared" si="166"/>
        <v>0.283400809716599</v>
      </c>
      <c r="K1021" s="687">
        <f t="shared" si="167"/>
        <v>3.13935714285714</v>
      </c>
      <c r="L1021" s="41">
        <f t="shared" si="187"/>
        <v>889.696356275304</v>
      </c>
      <c r="M1021" s="702">
        <f t="shared" si="193"/>
        <v>12.0050055743897</v>
      </c>
      <c r="N1021" s="39">
        <f t="shared" si="188"/>
        <v>0.00714285714285714</v>
      </c>
      <c r="O1021" s="558">
        <f t="shared" si="189"/>
        <v>5276.32</v>
      </c>
      <c r="P1021" s="559">
        <f t="shared" si="190"/>
        <v>439.51</v>
      </c>
      <c r="Q1021" s="41">
        <f t="shared" si="191"/>
        <v>16.9042307692308</v>
      </c>
      <c r="R1021" s="1021">
        <f t="shared" si="192"/>
        <v>0.185714285714286</v>
      </c>
    </row>
    <row r="1022" spans="1:18">
      <c r="A1022" s="801">
        <v>45669</v>
      </c>
      <c r="B1022" s="670">
        <v>498.68</v>
      </c>
      <c r="C1022" s="37">
        <v>556</v>
      </c>
      <c r="D1022" s="40">
        <v>177</v>
      </c>
      <c r="E1022" s="37">
        <v>0</v>
      </c>
      <c r="F1022" s="670">
        <v>0</v>
      </c>
      <c r="G1022" s="37">
        <v>50</v>
      </c>
      <c r="H1022" s="37">
        <v>5</v>
      </c>
      <c r="I1022" s="37">
        <v>6</v>
      </c>
      <c r="J1022" s="527">
        <f t="shared" si="166"/>
        <v>0.318345323741007</v>
      </c>
      <c r="K1022" s="687">
        <f t="shared" si="167"/>
        <v>2.8174011299435</v>
      </c>
      <c r="L1022" s="41">
        <f t="shared" si="187"/>
        <v>896.906474820144</v>
      </c>
      <c r="M1022" s="702">
        <f t="shared" si="193"/>
        <v>0</v>
      </c>
      <c r="N1022" s="39">
        <f t="shared" si="188"/>
        <v>0</v>
      </c>
      <c r="O1022" s="558">
        <f t="shared" si="189"/>
        <v>0</v>
      </c>
      <c r="P1022" s="559">
        <f t="shared" si="190"/>
        <v>0</v>
      </c>
      <c r="Q1022" s="41">
        <f t="shared" si="191"/>
        <v>9.9736</v>
      </c>
      <c r="R1022" s="1021">
        <f t="shared" si="192"/>
        <v>0.282485875706215</v>
      </c>
    </row>
    <row r="1023" spans="1:18">
      <c r="A1023" s="801">
        <v>45670</v>
      </c>
      <c r="B1023" s="670">
        <v>564.59</v>
      </c>
      <c r="C1023" s="37">
        <v>596</v>
      </c>
      <c r="D1023" s="37">
        <v>197</v>
      </c>
      <c r="E1023" s="37">
        <v>0</v>
      </c>
      <c r="F1023" s="670">
        <v>0</v>
      </c>
      <c r="G1023" s="37">
        <v>30</v>
      </c>
      <c r="H1023" s="37">
        <v>1</v>
      </c>
      <c r="I1023" s="37">
        <v>11</v>
      </c>
      <c r="J1023" s="527">
        <f t="shared" si="166"/>
        <v>0.330536912751678</v>
      </c>
      <c r="K1023" s="687">
        <f t="shared" si="167"/>
        <v>2.86593908629442</v>
      </c>
      <c r="L1023" s="41">
        <f t="shared" si="187"/>
        <v>947.298657718121</v>
      </c>
      <c r="M1023" s="702">
        <f t="shared" si="193"/>
        <v>0</v>
      </c>
      <c r="N1023" s="39">
        <f t="shared" si="188"/>
        <v>0</v>
      </c>
      <c r="O1023" s="558">
        <f t="shared" si="189"/>
        <v>0</v>
      </c>
      <c r="P1023" s="559">
        <f t="shared" si="190"/>
        <v>0</v>
      </c>
      <c r="Q1023" s="41">
        <f t="shared" si="191"/>
        <v>18.8196666666667</v>
      </c>
      <c r="R1023" s="1021">
        <f t="shared" si="192"/>
        <v>0.152284263959391</v>
      </c>
    </row>
    <row r="1024" spans="1:18">
      <c r="A1024" s="801">
        <v>45671</v>
      </c>
      <c r="B1024" s="670">
        <v>529.3</v>
      </c>
      <c r="C1024" s="37">
        <v>558</v>
      </c>
      <c r="D1024" s="37">
        <v>177</v>
      </c>
      <c r="E1024" s="37">
        <v>1</v>
      </c>
      <c r="F1024" s="670">
        <v>3712</v>
      </c>
      <c r="G1024" s="37">
        <v>38</v>
      </c>
      <c r="H1024" s="37">
        <v>6</v>
      </c>
      <c r="I1024" s="37">
        <v>7</v>
      </c>
      <c r="J1024" s="527">
        <f t="shared" si="166"/>
        <v>0.317204301075269</v>
      </c>
      <c r="K1024" s="687">
        <f t="shared" si="167"/>
        <v>2.99039548022599</v>
      </c>
      <c r="L1024" s="41">
        <f t="shared" si="187"/>
        <v>948.566308243728</v>
      </c>
      <c r="M1024" s="702">
        <f t="shared" si="193"/>
        <v>7.01303608539581</v>
      </c>
      <c r="N1024" s="39">
        <f t="shared" si="188"/>
        <v>0.00564971751412429</v>
      </c>
      <c r="O1024" s="558">
        <f t="shared" si="189"/>
        <v>3712</v>
      </c>
      <c r="P1024" s="559">
        <f t="shared" si="190"/>
        <v>529.3</v>
      </c>
      <c r="Q1024" s="41">
        <f t="shared" si="191"/>
        <v>13.9289473684211</v>
      </c>
      <c r="R1024" s="1021">
        <f t="shared" si="192"/>
        <v>0.214689265536723</v>
      </c>
    </row>
    <row r="1025" spans="1:18">
      <c r="A1025" s="801">
        <v>45672</v>
      </c>
      <c r="B1025" s="670">
        <v>624.56</v>
      </c>
      <c r="C1025" s="37">
        <v>649</v>
      </c>
      <c r="D1025" s="37">
        <v>201</v>
      </c>
      <c r="E1025" s="37">
        <v>0</v>
      </c>
      <c r="F1025" s="670">
        <v>0</v>
      </c>
      <c r="G1025" s="37">
        <v>28</v>
      </c>
      <c r="H1025" s="37">
        <v>2</v>
      </c>
      <c r="I1025" s="37">
        <v>8</v>
      </c>
      <c r="J1025" s="527">
        <f t="shared" si="166"/>
        <v>0.309707241910632</v>
      </c>
      <c r="K1025" s="687">
        <f t="shared" si="167"/>
        <v>3.10726368159204</v>
      </c>
      <c r="L1025" s="41">
        <f t="shared" si="187"/>
        <v>962.342064714946</v>
      </c>
      <c r="M1025" s="702">
        <f t="shared" si="193"/>
        <v>0</v>
      </c>
      <c r="N1025" s="39">
        <f t="shared" si="188"/>
        <v>0</v>
      </c>
      <c r="O1025" s="558">
        <f t="shared" si="189"/>
        <v>0</v>
      </c>
      <c r="P1025" s="559">
        <f t="shared" si="190"/>
        <v>0</v>
      </c>
      <c r="Q1025" s="41">
        <f t="shared" si="191"/>
        <v>22.3057142857143</v>
      </c>
      <c r="R1025" s="1021">
        <f t="shared" si="192"/>
        <v>0.139303482587065</v>
      </c>
    </row>
    <row r="1026" spans="1:18">
      <c r="A1026" s="801">
        <v>45673</v>
      </c>
      <c r="B1026" s="670">
        <v>502.98</v>
      </c>
      <c r="C1026" s="37">
        <v>534</v>
      </c>
      <c r="D1026" s="37">
        <v>148</v>
      </c>
      <c r="E1026" s="37">
        <v>1</v>
      </c>
      <c r="F1026" s="670">
        <v>18822</v>
      </c>
      <c r="G1026" s="37">
        <v>20</v>
      </c>
      <c r="H1026" s="37">
        <v>3</v>
      </c>
      <c r="I1026" s="37">
        <v>5</v>
      </c>
      <c r="J1026" s="527">
        <f t="shared" ref="J1026:J1089" si="194">D1026/C1026</f>
        <v>0.277153558052434</v>
      </c>
      <c r="K1026" s="687">
        <f t="shared" ref="K1026:K1089" si="195">B1026/D1026</f>
        <v>3.39851351351351</v>
      </c>
      <c r="L1026" s="41">
        <f t="shared" si="187"/>
        <v>941.910112359551</v>
      </c>
      <c r="M1026" s="702">
        <f t="shared" si="193"/>
        <v>37.4209710127639</v>
      </c>
      <c r="N1026" s="39">
        <f t="shared" si="188"/>
        <v>0.00675675675675676</v>
      </c>
      <c r="O1026" s="558">
        <f t="shared" si="189"/>
        <v>18822</v>
      </c>
      <c r="P1026" s="559">
        <f t="shared" si="190"/>
        <v>502.98</v>
      </c>
      <c r="Q1026" s="41">
        <f t="shared" si="191"/>
        <v>25.149</v>
      </c>
      <c r="R1026" s="1021">
        <f t="shared" si="192"/>
        <v>0.135135135135135</v>
      </c>
    </row>
    <row r="1027" spans="1:18">
      <c r="A1027" s="801">
        <v>45674</v>
      </c>
      <c r="B1027" s="670">
        <v>523.85</v>
      </c>
      <c r="C1027" s="37">
        <v>573</v>
      </c>
      <c r="D1027" s="37">
        <v>150</v>
      </c>
      <c r="E1027" s="37">
        <v>2</v>
      </c>
      <c r="F1027" s="670">
        <v>6167</v>
      </c>
      <c r="G1027" s="37">
        <v>30</v>
      </c>
      <c r="H1027" s="37">
        <v>1</v>
      </c>
      <c r="I1027" s="37">
        <v>5</v>
      </c>
      <c r="J1027" s="527">
        <f t="shared" si="194"/>
        <v>0.261780104712042</v>
      </c>
      <c r="K1027" s="687">
        <f t="shared" si="195"/>
        <v>3.49233333333333</v>
      </c>
      <c r="L1027" s="41">
        <f t="shared" si="187"/>
        <v>914.223385689354</v>
      </c>
      <c r="M1027" s="702">
        <f t="shared" si="193"/>
        <v>11.7724539467405</v>
      </c>
      <c r="N1027" s="39">
        <f t="shared" si="188"/>
        <v>0.0133333333333333</v>
      </c>
      <c r="O1027" s="558">
        <f t="shared" si="189"/>
        <v>3083.5</v>
      </c>
      <c r="P1027" s="559">
        <f t="shared" si="190"/>
        <v>261.925</v>
      </c>
      <c r="Q1027" s="41">
        <f t="shared" si="191"/>
        <v>17.4616666666667</v>
      </c>
      <c r="R1027" s="1021">
        <f t="shared" si="192"/>
        <v>0.2</v>
      </c>
    </row>
    <row r="1028" spans="1:18">
      <c r="A1028" s="801">
        <v>45675</v>
      </c>
      <c r="B1028" s="670">
        <v>507.76</v>
      </c>
      <c r="C1028" s="37">
        <v>546</v>
      </c>
      <c r="D1028" s="37">
        <v>154</v>
      </c>
      <c r="E1028" s="37">
        <v>0</v>
      </c>
      <c r="F1028" s="670">
        <v>0</v>
      </c>
      <c r="G1028" s="37">
        <v>31</v>
      </c>
      <c r="H1028" s="37">
        <v>0</v>
      </c>
      <c r="I1028" s="37">
        <v>10</v>
      </c>
      <c r="J1028" s="527">
        <f t="shared" si="194"/>
        <v>0.282051282051282</v>
      </c>
      <c r="K1028" s="687">
        <f t="shared" si="195"/>
        <v>3.29714285714286</v>
      </c>
      <c r="L1028" s="41">
        <f t="shared" si="187"/>
        <v>929.96336996337</v>
      </c>
      <c r="M1028" s="702">
        <f t="shared" si="193"/>
        <v>0</v>
      </c>
      <c r="N1028" s="39">
        <f t="shared" si="188"/>
        <v>0</v>
      </c>
      <c r="O1028" s="558">
        <f t="shared" si="189"/>
        <v>0</v>
      </c>
      <c r="P1028" s="559">
        <f t="shared" si="190"/>
        <v>0</v>
      </c>
      <c r="Q1028" s="41">
        <f t="shared" si="191"/>
        <v>16.3793548387097</v>
      </c>
      <c r="R1028" s="1021">
        <f t="shared" si="192"/>
        <v>0.201298701298701</v>
      </c>
    </row>
    <row r="1029" spans="1:18">
      <c r="A1029" s="801">
        <v>45676</v>
      </c>
      <c r="B1029" s="670">
        <v>485.88</v>
      </c>
      <c r="C1029" s="37">
        <v>512</v>
      </c>
      <c r="D1029" s="37">
        <v>132</v>
      </c>
      <c r="E1029" s="37">
        <v>2</v>
      </c>
      <c r="F1029" s="670">
        <v>12540.4</v>
      </c>
      <c r="G1029" s="37">
        <v>34</v>
      </c>
      <c r="H1029" s="37">
        <v>4</v>
      </c>
      <c r="I1029" s="37">
        <v>8</v>
      </c>
      <c r="J1029" s="527">
        <f t="shared" si="194"/>
        <v>0.2578125</v>
      </c>
      <c r="K1029" s="687">
        <f t="shared" si="195"/>
        <v>3.68090909090909</v>
      </c>
      <c r="L1029" s="41">
        <f t="shared" si="187"/>
        <v>948.984375</v>
      </c>
      <c r="M1029" s="702">
        <f t="shared" si="193"/>
        <v>25.8096649378447</v>
      </c>
      <c r="N1029" s="39">
        <f t="shared" si="188"/>
        <v>0.0151515151515152</v>
      </c>
      <c r="O1029" s="558">
        <f t="shared" si="189"/>
        <v>6270.2</v>
      </c>
      <c r="P1029" s="559">
        <f t="shared" si="190"/>
        <v>242.94</v>
      </c>
      <c r="Q1029" s="41">
        <f t="shared" si="191"/>
        <v>14.2905882352941</v>
      </c>
      <c r="R1029" s="1021">
        <f t="shared" si="192"/>
        <v>0.257575757575758</v>
      </c>
    </row>
    <row r="1030" spans="1:18">
      <c r="A1030" s="801">
        <v>45677</v>
      </c>
      <c r="B1030" s="670">
        <v>603.13</v>
      </c>
      <c r="C1030" s="37">
        <v>587</v>
      </c>
      <c r="D1030" s="37">
        <v>155</v>
      </c>
      <c r="E1030" s="37">
        <v>0</v>
      </c>
      <c r="F1030" s="670">
        <v>0</v>
      </c>
      <c r="G1030" s="37">
        <v>35</v>
      </c>
      <c r="H1030" s="37">
        <v>2</v>
      </c>
      <c r="I1030" s="37">
        <v>4</v>
      </c>
      <c r="J1030" s="527">
        <f t="shared" si="194"/>
        <v>0.264054514480409</v>
      </c>
      <c r="K1030" s="687">
        <f t="shared" si="195"/>
        <v>3.89116129032258</v>
      </c>
      <c r="L1030" s="41">
        <f t="shared" si="187"/>
        <v>1027.47870528109</v>
      </c>
      <c r="M1030" s="702">
        <f t="shared" si="193"/>
        <v>0</v>
      </c>
      <c r="N1030" s="39">
        <f t="shared" si="188"/>
        <v>0</v>
      </c>
      <c r="O1030" s="558">
        <f t="shared" si="189"/>
        <v>0</v>
      </c>
      <c r="P1030" s="559">
        <f t="shared" si="190"/>
        <v>0</v>
      </c>
      <c r="Q1030" s="41">
        <f t="shared" si="191"/>
        <v>17.2322857142857</v>
      </c>
      <c r="R1030" s="1021">
        <f t="shared" si="192"/>
        <v>0.225806451612903</v>
      </c>
    </row>
    <row r="1031" spans="1:18">
      <c r="A1031" s="801">
        <v>45678</v>
      </c>
      <c r="B1031" s="670">
        <v>556.3</v>
      </c>
      <c r="C1031" s="37">
        <v>589</v>
      </c>
      <c r="D1031" s="37">
        <v>157</v>
      </c>
      <c r="E1031" s="37">
        <v>1</v>
      </c>
      <c r="F1031" s="670">
        <v>9688</v>
      </c>
      <c r="G1031" s="37">
        <v>26</v>
      </c>
      <c r="H1031" s="37">
        <v>0</v>
      </c>
      <c r="I1031" s="37">
        <v>10</v>
      </c>
      <c r="J1031" s="527">
        <f t="shared" si="194"/>
        <v>0.266553480475382</v>
      </c>
      <c r="K1031" s="687">
        <f t="shared" si="195"/>
        <v>3.54331210191083</v>
      </c>
      <c r="L1031" s="41">
        <f t="shared" si="187"/>
        <v>944.482173174873</v>
      </c>
      <c r="M1031" s="702">
        <f t="shared" si="193"/>
        <v>17.4150638144886</v>
      </c>
      <c r="N1031" s="39">
        <f t="shared" si="188"/>
        <v>0.00636942675159236</v>
      </c>
      <c r="O1031" s="558">
        <f t="shared" si="189"/>
        <v>9688</v>
      </c>
      <c r="P1031" s="559">
        <f t="shared" si="190"/>
        <v>556.3</v>
      </c>
      <c r="Q1031" s="41">
        <f t="shared" si="191"/>
        <v>21.3961538461538</v>
      </c>
      <c r="R1031" s="1021">
        <f t="shared" si="192"/>
        <v>0.165605095541401</v>
      </c>
    </row>
    <row r="1032" spans="1:18">
      <c r="A1032" s="801">
        <v>45679</v>
      </c>
      <c r="B1032" s="670">
        <v>576.02</v>
      </c>
      <c r="C1032" s="37">
        <v>583</v>
      </c>
      <c r="D1032" s="37">
        <v>171</v>
      </c>
      <c r="E1032" s="37">
        <v>0</v>
      </c>
      <c r="F1032" s="670">
        <v>0</v>
      </c>
      <c r="G1032" s="37">
        <v>40</v>
      </c>
      <c r="H1032" s="37">
        <v>3</v>
      </c>
      <c r="I1032" s="37">
        <v>2</v>
      </c>
      <c r="J1032" s="527">
        <f t="shared" si="194"/>
        <v>0.293310463121784</v>
      </c>
      <c r="K1032" s="687">
        <f t="shared" si="195"/>
        <v>3.36853801169591</v>
      </c>
      <c r="L1032" s="41">
        <f t="shared" si="187"/>
        <v>988.027444253859</v>
      </c>
      <c r="M1032" s="702">
        <f t="shared" si="193"/>
        <v>0</v>
      </c>
      <c r="N1032" s="39">
        <f t="shared" si="188"/>
        <v>0</v>
      </c>
      <c r="O1032" s="558">
        <f t="shared" si="189"/>
        <v>0</v>
      </c>
      <c r="P1032" s="559">
        <f t="shared" si="190"/>
        <v>0</v>
      </c>
      <c r="Q1032" s="41">
        <f t="shared" si="191"/>
        <v>14.4005</v>
      </c>
      <c r="R1032" s="1021">
        <f t="shared" si="192"/>
        <v>0.233918128654971</v>
      </c>
    </row>
    <row r="1033" spans="1:18">
      <c r="A1033" s="801">
        <v>45680</v>
      </c>
      <c r="B1033" s="670">
        <v>510.18</v>
      </c>
      <c r="C1033" s="37">
        <v>508</v>
      </c>
      <c r="D1033" s="37">
        <v>146</v>
      </c>
      <c r="E1033" s="37">
        <v>3</v>
      </c>
      <c r="F1033" s="670">
        <v>24064</v>
      </c>
      <c r="G1033" s="37">
        <v>43</v>
      </c>
      <c r="H1033" s="37">
        <v>2</v>
      </c>
      <c r="I1033" s="37">
        <v>6</v>
      </c>
      <c r="J1033" s="527">
        <f t="shared" si="194"/>
        <v>0.28740157480315</v>
      </c>
      <c r="K1033" s="687">
        <f t="shared" si="195"/>
        <v>3.49438356164384</v>
      </c>
      <c r="L1033" s="41">
        <f t="shared" si="187"/>
        <v>1004.29133858268</v>
      </c>
      <c r="M1033" s="702">
        <f t="shared" si="193"/>
        <v>47.16766631385</v>
      </c>
      <c r="N1033" s="39">
        <f t="shared" si="188"/>
        <v>0.0205479452054795</v>
      </c>
      <c r="O1033" s="558">
        <f t="shared" si="189"/>
        <v>8021.33333333333</v>
      </c>
      <c r="P1033" s="559">
        <f t="shared" si="190"/>
        <v>170.06</v>
      </c>
      <c r="Q1033" s="41">
        <f t="shared" si="191"/>
        <v>11.8646511627907</v>
      </c>
      <c r="R1033" s="1021">
        <f t="shared" si="192"/>
        <v>0.294520547945205</v>
      </c>
    </row>
    <row r="1034" spans="1:18">
      <c r="A1034" s="801">
        <v>45681</v>
      </c>
      <c r="B1034" s="670">
        <v>798.42</v>
      </c>
      <c r="C1034" s="37">
        <v>687</v>
      </c>
      <c r="D1034" s="37">
        <v>238</v>
      </c>
      <c r="E1034" s="37">
        <v>0</v>
      </c>
      <c r="F1034" s="670">
        <v>0</v>
      </c>
      <c r="G1034" s="37">
        <v>44</v>
      </c>
      <c r="H1034" s="37">
        <v>6</v>
      </c>
      <c r="I1034" s="37">
        <v>13</v>
      </c>
      <c r="J1034" s="527">
        <f t="shared" si="194"/>
        <v>0.346433770014556</v>
      </c>
      <c r="K1034" s="687">
        <f t="shared" si="195"/>
        <v>3.35470588235294</v>
      </c>
      <c r="L1034" s="41">
        <f t="shared" si="187"/>
        <v>1162.18340611354</v>
      </c>
      <c r="M1034" s="702">
        <f t="shared" si="193"/>
        <v>0</v>
      </c>
      <c r="N1034" s="39">
        <f t="shared" si="188"/>
        <v>0</v>
      </c>
      <c r="O1034" s="558">
        <f t="shared" si="189"/>
        <v>0</v>
      </c>
      <c r="P1034" s="559">
        <f t="shared" si="190"/>
        <v>0</v>
      </c>
      <c r="Q1034" s="41">
        <f t="shared" si="191"/>
        <v>18.1459090909091</v>
      </c>
      <c r="R1034" s="1021">
        <f t="shared" si="192"/>
        <v>0.184873949579832</v>
      </c>
    </row>
    <row r="1035" spans="1:18">
      <c r="A1035" s="801">
        <v>45682</v>
      </c>
      <c r="B1035" s="670">
        <v>798.44</v>
      </c>
      <c r="C1035" s="37">
        <v>703</v>
      </c>
      <c r="D1035" s="37">
        <v>260</v>
      </c>
      <c r="E1035" s="37">
        <v>1</v>
      </c>
      <c r="F1035" s="670">
        <v>10197</v>
      </c>
      <c r="G1035" s="37">
        <v>38</v>
      </c>
      <c r="H1035" s="37">
        <v>9</v>
      </c>
      <c r="I1035" s="37">
        <v>10</v>
      </c>
      <c r="J1035" s="527">
        <f t="shared" si="194"/>
        <v>0.369843527738265</v>
      </c>
      <c r="K1035" s="687">
        <f t="shared" si="195"/>
        <v>3.07092307692308</v>
      </c>
      <c r="L1035" s="41">
        <f t="shared" si="187"/>
        <v>1135.76102418208</v>
      </c>
      <c r="M1035" s="702">
        <f t="shared" si="193"/>
        <v>12.7711537498121</v>
      </c>
      <c r="N1035" s="39">
        <f t="shared" si="188"/>
        <v>0.00384615384615385</v>
      </c>
      <c r="O1035" s="558">
        <f t="shared" si="189"/>
        <v>10197</v>
      </c>
      <c r="P1035" s="559">
        <f t="shared" si="190"/>
        <v>798.44</v>
      </c>
      <c r="Q1035" s="41">
        <f t="shared" si="191"/>
        <v>21.0115789473684</v>
      </c>
      <c r="R1035" s="1021">
        <f t="shared" si="192"/>
        <v>0.146153846153846</v>
      </c>
    </row>
    <row r="1036" spans="1:18">
      <c r="A1036" s="801">
        <v>45683</v>
      </c>
      <c r="B1036" s="670">
        <v>798.34</v>
      </c>
      <c r="C1036" s="37">
        <v>698</v>
      </c>
      <c r="D1036" s="37">
        <v>236</v>
      </c>
      <c r="E1036" s="37">
        <v>2</v>
      </c>
      <c r="F1036" s="670">
        <v>12528</v>
      </c>
      <c r="G1036" s="37">
        <v>30</v>
      </c>
      <c r="H1036" s="37">
        <v>10</v>
      </c>
      <c r="I1036" s="37">
        <v>14</v>
      </c>
      <c r="J1036" s="527">
        <f t="shared" si="194"/>
        <v>0.33810888252149</v>
      </c>
      <c r="K1036" s="687">
        <f t="shared" si="195"/>
        <v>3.38279661016949</v>
      </c>
      <c r="L1036" s="41">
        <f t="shared" si="187"/>
        <v>1143.75358166189</v>
      </c>
      <c r="M1036" s="702">
        <f t="shared" si="193"/>
        <v>15.6925620662875</v>
      </c>
      <c r="N1036" s="39">
        <f t="shared" si="188"/>
        <v>0.00847457627118644</v>
      </c>
      <c r="O1036" s="558">
        <f t="shared" si="189"/>
        <v>6264</v>
      </c>
      <c r="P1036" s="559">
        <f t="shared" si="190"/>
        <v>399.17</v>
      </c>
      <c r="Q1036" s="41">
        <f t="shared" si="191"/>
        <v>26.6113333333333</v>
      </c>
      <c r="R1036" s="1021">
        <f t="shared" si="192"/>
        <v>0.127118644067797</v>
      </c>
    </row>
    <row r="1037" spans="1:18">
      <c r="A1037" s="801">
        <v>45684</v>
      </c>
      <c r="B1037" s="670">
        <v>784.19</v>
      </c>
      <c r="C1037" s="37">
        <v>678</v>
      </c>
      <c r="D1037" s="37">
        <v>240</v>
      </c>
      <c r="E1037" s="37">
        <v>2</v>
      </c>
      <c r="F1037" s="670">
        <v>24576</v>
      </c>
      <c r="G1037" s="37">
        <v>51</v>
      </c>
      <c r="H1037" s="37">
        <v>7</v>
      </c>
      <c r="I1037" s="37">
        <v>18</v>
      </c>
      <c r="J1037" s="527">
        <f t="shared" si="194"/>
        <v>0.353982300884956</v>
      </c>
      <c r="K1037" s="687">
        <f t="shared" si="195"/>
        <v>3.26745833333333</v>
      </c>
      <c r="L1037" s="41">
        <f t="shared" si="187"/>
        <v>1156.62241887906</v>
      </c>
      <c r="M1037" s="702">
        <f t="shared" si="193"/>
        <v>31.3393437814815</v>
      </c>
      <c r="N1037" s="39">
        <f t="shared" si="188"/>
        <v>0.00833333333333333</v>
      </c>
      <c r="O1037" s="558">
        <f t="shared" si="189"/>
        <v>12288</v>
      </c>
      <c r="P1037" s="559">
        <f t="shared" si="190"/>
        <v>392.095</v>
      </c>
      <c r="Q1037" s="41">
        <f t="shared" si="191"/>
        <v>15.3762745098039</v>
      </c>
      <c r="R1037" s="1021">
        <f t="shared" si="192"/>
        <v>0.2125</v>
      </c>
    </row>
    <row r="1038" spans="1:18">
      <c r="A1038" s="801">
        <v>45685</v>
      </c>
      <c r="B1038" s="670">
        <v>592.83</v>
      </c>
      <c r="C1038" s="37">
        <v>555</v>
      </c>
      <c r="D1038" s="37">
        <v>143</v>
      </c>
      <c r="E1038" s="37">
        <v>1</v>
      </c>
      <c r="F1038" s="670">
        <v>12054</v>
      </c>
      <c r="G1038" s="37">
        <v>41</v>
      </c>
      <c r="H1038" s="37">
        <v>6</v>
      </c>
      <c r="I1038" s="37">
        <v>8</v>
      </c>
      <c r="J1038" s="527">
        <f t="shared" si="194"/>
        <v>0.257657657657658</v>
      </c>
      <c r="K1038" s="687">
        <f t="shared" si="195"/>
        <v>4.14566433566434</v>
      </c>
      <c r="L1038" s="41">
        <f t="shared" si="187"/>
        <v>1068.16216216216</v>
      </c>
      <c r="M1038" s="702">
        <f t="shared" si="193"/>
        <v>20.332979100248</v>
      </c>
      <c r="N1038" s="39">
        <f t="shared" si="188"/>
        <v>0.00699300699300699</v>
      </c>
      <c r="O1038" s="558">
        <f t="shared" si="189"/>
        <v>12054</v>
      </c>
      <c r="P1038" s="559">
        <f t="shared" si="190"/>
        <v>592.83</v>
      </c>
      <c r="Q1038" s="41">
        <f t="shared" si="191"/>
        <v>14.4592682926829</v>
      </c>
      <c r="R1038" s="1021">
        <f t="shared" si="192"/>
        <v>0.286713286713287</v>
      </c>
    </row>
    <row r="1039" spans="1:18">
      <c r="A1039" s="801">
        <v>45686</v>
      </c>
      <c r="B1039" s="670">
        <v>576.97</v>
      </c>
      <c r="C1039" s="37">
        <v>577</v>
      </c>
      <c r="D1039" s="37">
        <v>177</v>
      </c>
      <c r="E1039" s="37">
        <v>0</v>
      </c>
      <c r="F1039" s="670">
        <v>0</v>
      </c>
      <c r="G1039" s="37">
        <v>41</v>
      </c>
      <c r="H1039" s="37">
        <v>5</v>
      </c>
      <c r="I1039" s="37">
        <v>9</v>
      </c>
      <c r="J1039" s="527">
        <f t="shared" si="194"/>
        <v>0.306759098786828</v>
      </c>
      <c r="K1039" s="687">
        <f t="shared" si="195"/>
        <v>3.25971751412429</v>
      </c>
      <c r="L1039" s="41">
        <f t="shared" si="187"/>
        <v>999.948006932409</v>
      </c>
      <c r="M1039" s="702">
        <f t="shared" si="193"/>
        <v>0</v>
      </c>
      <c r="N1039" s="39">
        <f t="shared" si="188"/>
        <v>0</v>
      </c>
      <c r="O1039" s="558">
        <f t="shared" si="189"/>
        <v>0</v>
      </c>
      <c r="P1039" s="559">
        <f t="shared" si="190"/>
        <v>0</v>
      </c>
      <c r="Q1039" s="41">
        <f t="shared" si="191"/>
        <v>14.0724390243902</v>
      </c>
      <c r="R1039" s="1021">
        <f t="shared" si="192"/>
        <v>0.231638418079096</v>
      </c>
    </row>
    <row r="1040" spans="1:18">
      <c r="A1040" s="801">
        <v>45687</v>
      </c>
      <c r="B1040" s="670">
        <v>691.24</v>
      </c>
      <c r="C1040" s="37">
        <v>673</v>
      </c>
      <c r="D1040" s="37">
        <v>222</v>
      </c>
      <c r="E1040" s="37">
        <v>0</v>
      </c>
      <c r="F1040" s="670">
        <v>0</v>
      </c>
      <c r="G1040" s="37">
        <v>38</v>
      </c>
      <c r="H1040" s="37">
        <v>2</v>
      </c>
      <c r="I1040" s="37">
        <v>15</v>
      </c>
      <c r="J1040" s="527">
        <f t="shared" si="194"/>
        <v>0.329866270430906</v>
      </c>
      <c r="K1040" s="687">
        <f t="shared" si="195"/>
        <v>3.11369369369369</v>
      </c>
      <c r="L1040" s="41">
        <f t="shared" si="187"/>
        <v>1027.10252600297</v>
      </c>
      <c r="M1040" s="702">
        <f t="shared" si="193"/>
        <v>0</v>
      </c>
      <c r="N1040" s="39">
        <f t="shared" si="188"/>
        <v>0</v>
      </c>
      <c r="O1040" s="558">
        <f t="shared" si="189"/>
        <v>0</v>
      </c>
      <c r="P1040" s="559">
        <f t="shared" si="190"/>
        <v>0</v>
      </c>
      <c r="Q1040" s="41">
        <f t="shared" si="191"/>
        <v>18.1905263157895</v>
      </c>
      <c r="R1040" s="1021">
        <f t="shared" si="192"/>
        <v>0.171171171171171</v>
      </c>
    </row>
    <row r="1041" spans="1:18">
      <c r="A1041" s="801">
        <v>45688</v>
      </c>
      <c r="B1041" s="670">
        <v>797.87</v>
      </c>
      <c r="C1041" s="37">
        <v>740</v>
      </c>
      <c r="D1041" s="37">
        <v>249</v>
      </c>
      <c r="E1041" s="37">
        <v>0</v>
      </c>
      <c r="F1041" s="670">
        <v>0</v>
      </c>
      <c r="G1041" s="37">
        <v>76</v>
      </c>
      <c r="H1041" s="37">
        <v>7</v>
      </c>
      <c r="I1041" s="37">
        <v>14</v>
      </c>
      <c r="J1041" s="527">
        <f t="shared" si="194"/>
        <v>0.336486486486486</v>
      </c>
      <c r="K1041" s="687">
        <f t="shared" si="195"/>
        <v>3.20429718875502</v>
      </c>
      <c r="L1041" s="41">
        <f t="shared" si="187"/>
        <v>1078.2027027027</v>
      </c>
      <c r="M1041" s="702">
        <f t="shared" si="193"/>
        <v>0</v>
      </c>
      <c r="N1041" s="39">
        <f t="shared" si="188"/>
        <v>0</v>
      </c>
      <c r="O1041" s="558">
        <f t="shared" si="189"/>
        <v>0</v>
      </c>
      <c r="P1041" s="559">
        <f t="shared" si="190"/>
        <v>0</v>
      </c>
      <c r="Q1041" s="41">
        <f t="shared" si="191"/>
        <v>10.4982894736842</v>
      </c>
      <c r="R1041" s="1021">
        <f t="shared" si="192"/>
        <v>0.305220883534137</v>
      </c>
    </row>
    <row r="1042" spans="1:18">
      <c r="A1042" s="801">
        <v>45689</v>
      </c>
      <c r="B1042" s="670">
        <v>797.93</v>
      </c>
      <c r="C1042" s="37">
        <v>724</v>
      </c>
      <c r="D1042" s="37">
        <v>236</v>
      </c>
      <c r="E1042" s="37">
        <v>1</v>
      </c>
      <c r="F1042" s="670">
        <v>5998</v>
      </c>
      <c r="G1042" s="37">
        <v>44</v>
      </c>
      <c r="H1042" s="37">
        <v>6</v>
      </c>
      <c r="I1042" s="37">
        <v>15</v>
      </c>
      <c r="J1042" s="527">
        <f t="shared" si="194"/>
        <v>0.325966850828729</v>
      </c>
      <c r="K1042" s="687">
        <f t="shared" si="195"/>
        <v>3.3810593220339</v>
      </c>
      <c r="L1042" s="41">
        <f t="shared" si="187"/>
        <v>1102.11325966851</v>
      </c>
      <c r="M1042" s="702">
        <f t="shared" si="193"/>
        <v>7.5169501084055</v>
      </c>
      <c r="N1042" s="39">
        <f t="shared" si="188"/>
        <v>0.00423728813559322</v>
      </c>
      <c r="O1042" s="558">
        <f t="shared" si="189"/>
        <v>5998</v>
      </c>
      <c r="P1042" s="559">
        <f t="shared" si="190"/>
        <v>797.93</v>
      </c>
      <c r="Q1042" s="41">
        <f t="shared" si="191"/>
        <v>18.1347727272727</v>
      </c>
      <c r="R1042" s="1021">
        <f t="shared" si="192"/>
        <v>0.186440677966102</v>
      </c>
    </row>
    <row r="1043" spans="1:18">
      <c r="A1043" s="801">
        <v>45690</v>
      </c>
      <c r="B1043" s="670">
        <v>797.85</v>
      </c>
      <c r="C1043" s="37">
        <v>797</v>
      </c>
      <c r="D1043" s="37">
        <v>243</v>
      </c>
      <c r="E1043" s="37">
        <v>0</v>
      </c>
      <c r="F1043" s="670">
        <v>0</v>
      </c>
      <c r="G1043" s="37">
        <v>37</v>
      </c>
      <c r="H1043" s="37">
        <v>8</v>
      </c>
      <c r="I1043" s="37">
        <v>16</v>
      </c>
      <c r="J1043" s="527">
        <f t="shared" si="194"/>
        <v>0.304893350062735</v>
      </c>
      <c r="K1043" s="687">
        <f t="shared" si="195"/>
        <v>3.28333333333333</v>
      </c>
      <c r="L1043" s="41">
        <f t="shared" si="187"/>
        <v>1001.06649937265</v>
      </c>
      <c r="M1043" s="702">
        <f t="shared" si="193"/>
        <v>0</v>
      </c>
      <c r="N1043" s="39">
        <f t="shared" si="188"/>
        <v>0</v>
      </c>
      <c r="O1043" s="558">
        <f t="shared" si="189"/>
        <v>0</v>
      </c>
      <c r="P1043" s="559">
        <f t="shared" si="190"/>
        <v>0</v>
      </c>
      <c r="Q1043" s="41">
        <f t="shared" si="191"/>
        <v>21.5635135135135</v>
      </c>
      <c r="R1043" s="1021">
        <f t="shared" si="192"/>
        <v>0.152263374485597</v>
      </c>
    </row>
    <row r="1044" spans="1:18">
      <c r="A1044" s="801">
        <v>45691</v>
      </c>
      <c r="B1044" s="670">
        <v>598.09</v>
      </c>
      <c r="C1044" s="37">
        <v>616</v>
      </c>
      <c r="D1044" s="37">
        <v>159</v>
      </c>
      <c r="E1044" s="37">
        <v>2</v>
      </c>
      <c r="F1044" s="670">
        <v>14197</v>
      </c>
      <c r="G1044" s="37">
        <v>18</v>
      </c>
      <c r="H1044" s="37">
        <v>5</v>
      </c>
      <c r="I1044" s="37">
        <v>6</v>
      </c>
      <c r="J1044" s="527">
        <f t="shared" si="194"/>
        <v>0.258116883116883</v>
      </c>
      <c r="K1044" s="687">
        <f t="shared" si="195"/>
        <v>3.76157232704403</v>
      </c>
      <c r="L1044" s="41">
        <f t="shared" si="187"/>
        <v>970.925324675325</v>
      </c>
      <c r="M1044" s="702">
        <f t="shared" si="193"/>
        <v>23.7372301827484</v>
      </c>
      <c r="N1044" s="39">
        <f t="shared" si="188"/>
        <v>0.0125786163522013</v>
      </c>
      <c r="O1044" s="558">
        <f t="shared" si="189"/>
        <v>7098.5</v>
      </c>
      <c r="P1044" s="559">
        <f t="shared" si="190"/>
        <v>299.045</v>
      </c>
      <c r="Q1044" s="41">
        <f t="shared" si="191"/>
        <v>33.2272222222222</v>
      </c>
      <c r="R1044" s="1021">
        <f t="shared" si="192"/>
        <v>0.113207547169811</v>
      </c>
    </row>
    <row r="1045" spans="1:18">
      <c r="A1045" s="801">
        <v>45692</v>
      </c>
      <c r="B1045" s="670">
        <v>598.15</v>
      </c>
      <c r="C1045" s="37">
        <v>613</v>
      </c>
      <c r="D1045" s="37">
        <v>167</v>
      </c>
      <c r="E1045" s="37">
        <v>3</v>
      </c>
      <c r="F1045" s="670">
        <v>81458</v>
      </c>
      <c r="G1045" s="37">
        <v>32</v>
      </c>
      <c r="H1045" s="37">
        <v>3</v>
      </c>
      <c r="I1045" s="37">
        <v>8</v>
      </c>
      <c r="J1045" s="527">
        <f t="shared" si="194"/>
        <v>0.272430668841762</v>
      </c>
      <c r="K1045" s="687">
        <f t="shared" si="195"/>
        <v>3.58173652694611</v>
      </c>
      <c r="L1045" s="41">
        <f t="shared" si="187"/>
        <v>975.774877650897</v>
      </c>
      <c r="M1045" s="702">
        <f t="shared" si="193"/>
        <v>136.183231630862</v>
      </c>
      <c r="N1045" s="39">
        <f t="shared" si="188"/>
        <v>0.0179640718562874</v>
      </c>
      <c r="O1045" s="558">
        <f t="shared" si="189"/>
        <v>27152.6666666667</v>
      </c>
      <c r="P1045" s="559">
        <f t="shared" si="190"/>
        <v>199.383333333333</v>
      </c>
      <c r="Q1045" s="41">
        <f t="shared" si="191"/>
        <v>18.6921875</v>
      </c>
      <c r="R1045" s="1021">
        <f t="shared" si="192"/>
        <v>0.191616766467066</v>
      </c>
    </row>
    <row r="1046" spans="1:18">
      <c r="A1046" s="801">
        <v>45693</v>
      </c>
      <c r="B1046" s="670">
        <v>598.79</v>
      </c>
      <c r="C1046" s="37">
        <v>618</v>
      </c>
      <c r="D1046" s="37">
        <v>150</v>
      </c>
      <c r="E1046" s="37">
        <v>0</v>
      </c>
      <c r="F1046" s="670">
        <v>0</v>
      </c>
      <c r="G1046" s="37">
        <v>29</v>
      </c>
      <c r="H1046" s="37">
        <v>4</v>
      </c>
      <c r="I1046" s="37">
        <v>10</v>
      </c>
      <c r="J1046" s="527">
        <f t="shared" si="194"/>
        <v>0.242718446601942</v>
      </c>
      <c r="K1046" s="687">
        <f t="shared" si="195"/>
        <v>3.99193333333333</v>
      </c>
      <c r="L1046" s="41">
        <f t="shared" si="187"/>
        <v>968.915857605178</v>
      </c>
      <c r="M1046" s="702">
        <f t="shared" si="193"/>
        <v>0</v>
      </c>
      <c r="N1046" s="39">
        <f t="shared" si="188"/>
        <v>0</v>
      </c>
      <c r="O1046" s="558">
        <f t="shared" si="189"/>
        <v>0</v>
      </c>
      <c r="P1046" s="559">
        <f t="shared" si="190"/>
        <v>0</v>
      </c>
      <c r="Q1046" s="41">
        <f t="shared" si="191"/>
        <v>20.6479310344828</v>
      </c>
      <c r="R1046" s="1021">
        <f t="shared" si="192"/>
        <v>0.193333333333333</v>
      </c>
    </row>
    <row r="1047" spans="1:18">
      <c r="A1047" s="801">
        <v>45694</v>
      </c>
      <c r="B1047" s="670">
        <v>598.73</v>
      </c>
      <c r="C1047" s="37">
        <v>612</v>
      </c>
      <c r="D1047" s="37">
        <v>160</v>
      </c>
      <c r="E1047" s="37">
        <v>4</v>
      </c>
      <c r="F1047" s="670">
        <v>135287.04</v>
      </c>
      <c r="G1047" s="37">
        <v>48</v>
      </c>
      <c r="H1047" s="37">
        <v>2</v>
      </c>
      <c r="I1047" s="37">
        <v>8</v>
      </c>
      <c r="J1047" s="527">
        <f t="shared" si="194"/>
        <v>0.261437908496732</v>
      </c>
      <c r="K1047" s="687">
        <f t="shared" si="195"/>
        <v>3.7420625</v>
      </c>
      <c r="L1047" s="41">
        <f t="shared" si="187"/>
        <v>978.316993464052</v>
      </c>
      <c r="M1047" s="702">
        <f t="shared" si="193"/>
        <v>225.956674962003</v>
      </c>
      <c r="N1047" s="39">
        <f t="shared" si="188"/>
        <v>0.025</v>
      </c>
      <c r="O1047" s="558">
        <f t="shared" si="189"/>
        <v>33821.76</v>
      </c>
      <c r="P1047" s="559">
        <f t="shared" si="190"/>
        <v>149.6825</v>
      </c>
      <c r="Q1047" s="41">
        <f t="shared" si="191"/>
        <v>12.4735416666667</v>
      </c>
      <c r="R1047" s="1021">
        <f t="shared" si="192"/>
        <v>0.3</v>
      </c>
    </row>
    <row r="1048" spans="1:18">
      <c r="A1048" s="801">
        <v>45695</v>
      </c>
      <c r="B1048" s="670">
        <v>898.34</v>
      </c>
      <c r="C1048" s="37">
        <v>866</v>
      </c>
      <c r="D1048" s="37">
        <v>294</v>
      </c>
      <c r="E1048" s="37">
        <v>1</v>
      </c>
      <c r="F1048" s="670">
        <v>20027.28</v>
      </c>
      <c r="G1048" s="37">
        <v>66</v>
      </c>
      <c r="H1048" s="37">
        <v>10</v>
      </c>
      <c r="I1048" s="37">
        <v>15</v>
      </c>
      <c r="J1048" s="527">
        <f t="shared" si="194"/>
        <v>0.339491916859122</v>
      </c>
      <c r="K1048" s="687">
        <f t="shared" si="195"/>
        <v>3.05557823129252</v>
      </c>
      <c r="L1048" s="41">
        <f t="shared" si="187"/>
        <v>1037.3441108545</v>
      </c>
      <c r="M1048" s="702">
        <f t="shared" si="193"/>
        <v>22.293652737271</v>
      </c>
      <c r="N1048" s="39">
        <f t="shared" si="188"/>
        <v>0.00340136054421769</v>
      </c>
      <c r="O1048" s="558">
        <f t="shared" si="189"/>
        <v>20027.28</v>
      </c>
      <c r="P1048" s="559">
        <f t="shared" si="190"/>
        <v>898.34</v>
      </c>
      <c r="Q1048" s="41">
        <f t="shared" si="191"/>
        <v>13.6112121212121</v>
      </c>
      <c r="R1048" s="1021">
        <f t="shared" si="192"/>
        <v>0.224489795918367</v>
      </c>
    </row>
    <row r="1049" spans="1:18">
      <c r="A1049" s="801">
        <v>45696</v>
      </c>
      <c r="B1049" s="670">
        <v>998.14</v>
      </c>
      <c r="C1049" s="37">
        <v>949</v>
      </c>
      <c r="D1049" s="37">
        <v>301</v>
      </c>
      <c r="E1049" s="37">
        <v>4</v>
      </c>
      <c r="F1049" s="670">
        <v>33827.8</v>
      </c>
      <c r="G1049" s="37">
        <v>47</v>
      </c>
      <c r="H1049" s="37">
        <v>4</v>
      </c>
      <c r="I1049" s="37">
        <v>16</v>
      </c>
      <c r="J1049" s="527">
        <f t="shared" si="194"/>
        <v>0.317175974710221</v>
      </c>
      <c r="K1049" s="687">
        <f t="shared" si="195"/>
        <v>3.31607973421927</v>
      </c>
      <c r="L1049" s="41">
        <f t="shared" si="187"/>
        <v>1051.78082191781</v>
      </c>
      <c r="M1049" s="702">
        <f t="shared" si="193"/>
        <v>33.8908369567395</v>
      </c>
      <c r="N1049" s="39">
        <f t="shared" si="188"/>
        <v>0.0132890365448505</v>
      </c>
      <c r="O1049" s="558">
        <f t="shared" si="189"/>
        <v>8456.95</v>
      </c>
      <c r="P1049" s="559">
        <f t="shared" si="190"/>
        <v>249.535</v>
      </c>
      <c r="Q1049" s="41">
        <f t="shared" si="191"/>
        <v>21.2370212765957</v>
      </c>
      <c r="R1049" s="1021">
        <f t="shared" si="192"/>
        <v>0.156146179401993</v>
      </c>
    </row>
    <row r="1050" spans="1:18">
      <c r="A1050" s="801">
        <v>45697</v>
      </c>
      <c r="B1050" s="670">
        <v>998.26</v>
      </c>
      <c r="C1050" s="37">
        <v>963</v>
      </c>
      <c r="D1050" s="37">
        <v>352</v>
      </c>
      <c r="E1050" s="37">
        <v>4</v>
      </c>
      <c r="F1050" s="670">
        <v>50838.66</v>
      </c>
      <c r="G1050" s="37">
        <v>68</v>
      </c>
      <c r="H1050" s="37">
        <v>9</v>
      </c>
      <c r="I1050" s="37">
        <v>11</v>
      </c>
      <c r="J1050" s="527">
        <f t="shared" si="194"/>
        <v>0.36552440290758</v>
      </c>
      <c r="K1050" s="687">
        <f t="shared" si="195"/>
        <v>2.83596590909091</v>
      </c>
      <c r="L1050" s="41">
        <f t="shared" si="187"/>
        <v>1036.61474558671</v>
      </c>
      <c r="M1050" s="702">
        <f t="shared" si="193"/>
        <v>50.9272734558131</v>
      </c>
      <c r="N1050" s="39">
        <f t="shared" si="188"/>
        <v>0.0113636363636364</v>
      </c>
      <c r="O1050" s="558">
        <f t="shared" si="189"/>
        <v>12709.665</v>
      </c>
      <c r="P1050" s="559">
        <f t="shared" si="190"/>
        <v>249.565</v>
      </c>
      <c r="Q1050" s="41">
        <f t="shared" si="191"/>
        <v>14.6802941176471</v>
      </c>
      <c r="R1050" s="1021">
        <f t="shared" si="192"/>
        <v>0.193181818181818</v>
      </c>
    </row>
    <row r="1051" spans="1:18">
      <c r="A1051" s="801">
        <v>45698</v>
      </c>
      <c r="B1051" s="670">
        <v>998.27</v>
      </c>
      <c r="C1051" s="37">
        <v>918</v>
      </c>
      <c r="D1051" s="37">
        <v>307</v>
      </c>
      <c r="E1051" s="37">
        <v>2</v>
      </c>
      <c r="F1051" s="670">
        <v>19556</v>
      </c>
      <c r="G1051" s="37">
        <v>78</v>
      </c>
      <c r="H1051" s="37">
        <v>8</v>
      </c>
      <c r="I1051" s="37">
        <v>10</v>
      </c>
      <c r="J1051" s="527">
        <f t="shared" si="194"/>
        <v>0.33442265795207</v>
      </c>
      <c r="K1051" s="687">
        <f t="shared" si="195"/>
        <v>3.25169381107492</v>
      </c>
      <c r="L1051" s="41">
        <f t="shared" si="187"/>
        <v>1087.44008714597</v>
      </c>
      <c r="M1051" s="702">
        <f t="shared" si="193"/>
        <v>19.5898905105833</v>
      </c>
      <c r="N1051" s="39">
        <f t="shared" si="188"/>
        <v>0.00651465798045603</v>
      </c>
      <c r="O1051" s="558">
        <f t="shared" si="189"/>
        <v>9778</v>
      </c>
      <c r="P1051" s="559">
        <f t="shared" si="190"/>
        <v>499.135</v>
      </c>
      <c r="Q1051" s="41">
        <f t="shared" si="191"/>
        <v>12.7983333333333</v>
      </c>
      <c r="R1051" s="1021">
        <f t="shared" si="192"/>
        <v>0.254071661237785</v>
      </c>
    </row>
    <row r="1052" spans="1:18">
      <c r="A1052" s="801">
        <v>45699</v>
      </c>
      <c r="B1052" s="670">
        <v>998.11</v>
      </c>
      <c r="C1052" s="37">
        <v>988</v>
      </c>
      <c r="D1052" s="37">
        <v>338</v>
      </c>
      <c r="E1052" s="37">
        <v>2</v>
      </c>
      <c r="F1052" s="670">
        <v>16033</v>
      </c>
      <c r="G1052" s="37">
        <v>54</v>
      </c>
      <c r="H1052" s="37">
        <v>16</v>
      </c>
      <c r="I1052" s="37">
        <v>2</v>
      </c>
      <c r="J1052" s="527">
        <f t="shared" si="194"/>
        <v>0.342105263157895</v>
      </c>
      <c r="K1052" s="687">
        <f t="shared" si="195"/>
        <v>2.95298816568047</v>
      </c>
      <c r="L1052" s="41">
        <f t="shared" si="187"/>
        <v>1010.23279352227</v>
      </c>
      <c r="M1052" s="702">
        <f t="shared" si="193"/>
        <v>16.0633597499274</v>
      </c>
      <c r="N1052" s="39">
        <f t="shared" si="188"/>
        <v>0.00591715976331361</v>
      </c>
      <c r="O1052" s="558">
        <f t="shared" si="189"/>
        <v>8016.5</v>
      </c>
      <c r="P1052" s="559">
        <f t="shared" si="190"/>
        <v>499.055</v>
      </c>
      <c r="Q1052" s="41">
        <f t="shared" si="191"/>
        <v>18.4835185185185</v>
      </c>
      <c r="R1052" s="1021">
        <f t="shared" si="192"/>
        <v>0.159763313609467</v>
      </c>
    </row>
    <row r="1053" spans="1:18">
      <c r="A1053" s="801">
        <v>45700</v>
      </c>
      <c r="B1053" s="670">
        <v>722.72</v>
      </c>
      <c r="C1053" s="37">
        <v>746</v>
      </c>
      <c r="D1053" s="37">
        <v>228</v>
      </c>
      <c r="E1053" s="37">
        <v>4</v>
      </c>
      <c r="F1053" s="670">
        <v>39380</v>
      </c>
      <c r="G1053" s="37">
        <v>25</v>
      </c>
      <c r="H1053" s="37">
        <v>6</v>
      </c>
      <c r="I1053" s="37">
        <v>8</v>
      </c>
      <c r="J1053" s="527">
        <f t="shared" si="194"/>
        <v>0.305630026809651</v>
      </c>
      <c r="K1053" s="687">
        <f t="shared" si="195"/>
        <v>3.16982456140351</v>
      </c>
      <c r="L1053" s="41">
        <f t="shared" si="187"/>
        <v>968.793565683646</v>
      </c>
      <c r="M1053" s="702">
        <f t="shared" si="193"/>
        <v>54.4885986274076</v>
      </c>
      <c r="N1053" s="39">
        <f t="shared" si="188"/>
        <v>0.0175438596491228</v>
      </c>
      <c r="O1053" s="558">
        <f t="shared" si="189"/>
        <v>9845</v>
      </c>
      <c r="P1053" s="559">
        <f t="shared" si="190"/>
        <v>180.68</v>
      </c>
      <c r="Q1053" s="41">
        <f t="shared" si="191"/>
        <v>28.9088</v>
      </c>
      <c r="R1053" s="1021">
        <f t="shared" si="192"/>
        <v>0.109649122807018</v>
      </c>
    </row>
    <row r="1054" spans="1:18">
      <c r="A1054" s="801">
        <v>45701</v>
      </c>
      <c r="B1054" s="670">
        <v>898.35</v>
      </c>
      <c r="C1054" s="37">
        <v>982</v>
      </c>
      <c r="D1054" s="37">
        <v>235</v>
      </c>
      <c r="E1054" s="37">
        <v>0</v>
      </c>
      <c r="F1054" s="670">
        <v>0</v>
      </c>
      <c r="G1054" s="37">
        <v>43</v>
      </c>
      <c r="H1054" s="37">
        <v>3</v>
      </c>
      <c r="I1054" s="37">
        <v>14</v>
      </c>
      <c r="J1054" s="527">
        <f t="shared" si="194"/>
        <v>0.239307535641548</v>
      </c>
      <c r="K1054" s="687">
        <f t="shared" si="195"/>
        <v>3.82276595744681</v>
      </c>
      <c r="L1054" s="41">
        <f t="shared" si="187"/>
        <v>914.816700610998</v>
      </c>
      <c r="M1054" s="702">
        <f t="shared" si="193"/>
        <v>0</v>
      </c>
      <c r="N1054" s="39">
        <f t="shared" si="188"/>
        <v>0</v>
      </c>
      <c r="O1054" s="558">
        <f t="shared" si="189"/>
        <v>0</v>
      </c>
      <c r="P1054" s="559">
        <f t="shared" si="190"/>
        <v>0</v>
      </c>
      <c r="Q1054" s="41">
        <f t="shared" si="191"/>
        <v>20.8918604651163</v>
      </c>
      <c r="R1054" s="1021">
        <f t="shared" si="192"/>
        <v>0.182978723404255</v>
      </c>
    </row>
    <row r="1055" spans="1:18">
      <c r="A1055" s="801">
        <v>45702</v>
      </c>
      <c r="B1055" s="670">
        <v>798.45</v>
      </c>
      <c r="C1055" s="37">
        <v>773</v>
      </c>
      <c r="D1055" s="37">
        <v>233</v>
      </c>
      <c r="E1055" s="37">
        <v>0</v>
      </c>
      <c r="F1055" s="670">
        <v>0</v>
      </c>
      <c r="G1055" s="37">
        <v>36</v>
      </c>
      <c r="H1055" s="37">
        <v>14</v>
      </c>
      <c r="I1055" s="37">
        <v>7</v>
      </c>
      <c r="J1055" s="527">
        <f t="shared" si="194"/>
        <v>0.301423027166882</v>
      </c>
      <c r="K1055" s="687">
        <f t="shared" si="195"/>
        <v>3.42682403433476</v>
      </c>
      <c r="L1055" s="41">
        <f t="shared" si="187"/>
        <v>1032.92367399741</v>
      </c>
      <c r="M1055" s="702">
        <f t="shared" si="193"/>
        <v>0</v>
      </c>
      <c r="N1055" s="39">
        <f t="shared" si="188"/>
        <v>0</v>
      </c>
      <c r="O1055" s="558">
        <f t="shared" si="189"/>
        <v>0</v>
      </c>
      <c r="P1055" s="559">
        <f t="shared" si="190"/>
        <v>0</v>
      </c>
      <c r="Q1055" s="41">
        <f t="shared" si="191"/>
        <v>22.1791666666667</v>
      </c>
      <c r="R1055" s="1021">
        <f t="shared" si="192"/>
        <v>0.15450643776824</v>
      </c>
    </row>
    <row r="1056" spans="1:18">
      <c r="A1056" s="801">
        <v>45703</v>
      </c>
      <c r="B1056" s="670">
        <v>598.85</v>
      </c>
      <c r="C1056" s="37">
        <v>636</v>
      </c>
      <c r="D1056" s="37">
        <v>181</v>
      </c>
      <c r="E1056" s="37">
        <v>2</v>
      </c>
      <c r="F1056" s="670">
        <v>30344</v>
      </c>
      <c r="G1056" s="37">
        <v>31</v>
      </c>
      <c r="H1056" s="37">
        <v>6</v>
      </c>
      <c r="I1056" s="37">
        <v>8</v>
      </c>
      <c r="J1056" s="527">
        <f t="shared" si="194"/>
        <v>0.284591194968553</v>
      </c>
      <c r="K1056" s="687">
        <f t="shared" si="195"/>
        <v>3.3085635359116</v>
      </c>
      <c r="L1056" s="41">
        <f t="shared" si="187"/>
        <v>941.588050314465</v>
      </c>
      <c r="M1056" s="702">
        <f t="shared" ref="M1056:M1119" si="196">F1056/B1056</f>
        <v>50.6704516990899</v>
      </c>
      <c r="N1056" s="39">
        <f t="shared" si="188"/>
        <v>0.0110497237569061</v>
      </c>
      <c r="O1056" s="558">
        <f t="shared" si="189"/>
        <v>15172</v>
      </c>
      <c r="P1056" s="559">
        <f t="shared" si="190"/>
        <v>299.425</v>
      </c>
      <c r="Q1056" s="41">
        <f t="shared" si="191"/>
        <v>19.3177419354839</v>
      </c>
      <c r="R1056" s="1021">
        <f t="shared" si="192"/>
        <v>0.171270718232044</v>
      </c>
    </row>
    <row r="1057" spans="1:18">
      <c r="A1057" s="801">
        <v>45704</v>
      </c>
      <c r="B1057" s="670">
        <v>798.47</v>
      </c>
      <c r="C1057" s="37">
        <v>792</v>
      </c>
      <c r="D1057" s="37">
        <v>234</v>
      </c>
      <c r="E1057" s="37">
        <v>5</v>
      </c>
      <c r="F1057" s="670">
        <v>53700.8</v>
      </c>
      <c r="G1057" s="37">
        <v>53</v>
      </c>
      <c r="H1057" s="37">
        <v>7</v>
      </c>
      <c r="I1057" s="37">
        <v>14</v>
      </c>
      <c r="J1057" s="527">
        <f t="shared" si="194"/>
        <v>0.295454545454545</v>
      </c>
      <c r="K1057" s="687">
        <f t="shared" si="195"/>
        <v>3.41226495726496</v>
      </c>
      <c r="L1057" s="41">
        <f t="shared" si="187"/>
        <v>1008.16919191919</v>
      </c>
      <c r="M1057" s="702">
        <f t="shared" si="196"/>
        <v>67.2546244692975</v>
      </c>
      <c r="N1057" s="39">
        <f t="shared" si="188"/>
        <v>0.0213675213675214</v>
      </c>
      <c r="O1057" s="558">
        <f t="shared" si="189"/>
        <v>10740.16</v>
      </c>
      <c r="P1057" s="559">
        <f t="shared" si="190"/>
        <v>159.694</v>
      </c>
      <c r="Q1057" s="41">
        <f t="shared" si="191"/>
        <v>15.0654716981132</v>
      </c>
      <c r="R1057" s="1021">
        <f t="shared" si="192"/>
        <v>0.226495726495726</v>
      </c>
    </row>
    <row r="1058" spans="1:18">
      <c r="A1058" s="801">
        <v>45705</v>
      </c>
      <c r="B1058" s="670">
        <v>798.65</v>
      </c>
      <c r="C1058" s="37">
        <v>768</v>
      </c>
      <c r="D1058" s="37">
        <v>217</v>
      </c>
      <c r="E1058" s="37">
        <v>3</v>
      </c>
      <c r="F1058" s="670">
        <v>35291</v>
      </c>
      <c r="G1058" s="37">
        <v>43</v>
      </c>
      <c r="H1058" s="37">
        <v>0</v>
      </c>
      <c r="I1058" s="37">
        <v>14</v>
      </c>
      <c r="J1058" s="527">
        <f t="shared" si="194"/>
        <v>0.282552083333333</v>
      </c>
      <c r="K1058" s="687">
        <f t="shared" si="195"/>
        <v>3.68041474654378</v>
      </c>
      <c r="L1058" s="41">
        <f t="shared" si="187"/>
        <v>1039.90885416667</v>
      </c>
      <c r="M1058" s="702">
        <f t="shared" si="196"/>
        <v>44.1883177862643</v>
      </c>
      <c r="N1058" s="39">
        <f t="shared" si="188"/>
        <v>0.0138248847926267</v>
      </c>
      <c r="O1058" s="558">
        <f t="shared" si="189"/>
        <v>11763.6666666667</v>
      </c>
      <c r="P1058" s="559">
        <f t="shared" si="190"/>
        <v>266.216666666667</v>
      </c>
      <c r="Q1058" s="41">
        <f t="shared" si="191"/>
        <v>18.5732558139535</v>
      </c>
      <c r="R1058" s="1021">
        <f t="shared" si="192"/>
        <v>0.19815668202765</v>
      </c>
    </row>
    <row r="1059" spans="1:18">
      <c r="A1059" s="801">
        <v>45706</v>
      </c>
      <c r="B1059" s="670">
        <v>598.95</v>
      </c>
      <c r="C1059" s="37">
        <v>585</v>
      </c>
      <c r="D1059" s="37">
        <v>222</v>
      </c>
      <c r="E1059" s="37">
        <v>1</v>
      </c>
      <c r="F1059" s="670">
        <v>18231.92</v>
      </c>
      <c r="G1059" s="37">
        <v>42</v>
      </c>
      <c r="H1059" s="37">
        <v>8</v>
      </c>
      <c r="I1059" s="37">
        <v>8</v>
      </c>
      <c r="J1059" s="527">
        <f t="shared" si="194"/>
        <v>0.379487179487179</v>
      </c>
      <c r="K1059" s="687">
        <f t="shared" si="195"/>
        <v>2.69797297297297</v>
      </c>
      <c r="L1059" s="41">
        <f t="shared" si="187"/>
        <v>1023.84615384615</v>
      </c>
      <c r="M1059" s="702">
        <f t="shared" si="196"/>
        <v>30.4398029885633</v>
      </c>
      <c r="N1059" s="39">
        <f t="shared" si="188"/>
        <v>0.0045045045045045</v>
      </c>
      <c r="O1059" s="558">
        <f t="shared" si="189"/>
        <v>18231.92</v>
      </c>
      <c r="P1059" s="559">
        <f t="shared" si="190"/>
        <v>598.95</v>
      </c>
      <c r="Q1059" s="41">
        <f t="shared" si="191"/>
        <v>14.2607142857143</v>
      </c>
      <c r="R1059" s="1021">
        <f t="shared" si="192"/>
        <v>0.189189189189189</v>
      </c>
    </row>
    <row r="1060" spans="1:18">
      <c r="A1060" s="801">
        <v>45707</v>
      </c>
      <c r="B1060" s="670">
        <v>598.86</v>
      </c>
      <c r="C1060" s="37">
        <v>600</v>
      </c>
      <c r="D1060" s="37">
        <v>184</v>
      </c>
      <c r="E1060" s="37">
        <v>0</v>
      </c>
      <c r="F1060" s="670">
        <v>0</v>
      </c>
      <c r="G1060" s="37">
        <v>29</v>
      </c>
      <c r="H1060" s="37">
        <v>10</v>
      </c>
      <c r="I1060" s="37">
        <v>13</v>
      </c>
      <c r="J1060" s="527">
        <f t="shared" si="194"/>
        <v>0.306666666666667</v>
      </c>
      <c r="K1060" s="687">
        <f t="shared" si="195"/>
        <v>3.25467391304348</v>
      </c>
      <c r="L1060" s="41">
        <f t="shared" si="187"/>
        <v>998.1</v>
      </c>
      <c r="M1060" s="702">
        <f t="shared" si="196"/>
        <v>0</v>
      </c>
      <c r="N1060" s="39">
        <f t="shared" si="188"/>
        <v>0</v>
      </c>
      <c r="O1060" s="558">
        <f t="shared" si="189"/>
        <v>0</v>
      </c>
      <c r="P1060" s="559">
        <f t="shared" si="190"/>
        <v>0</v>
      </c>
      <c r="Q1060" s="41">
        <f t="shared" si="191"/>
        <v>20.6503448275862</v>
      </c>
      <c r="R1060" s="1021">
        <f t="shared" si="192"/>
        <v>0.157608695652174</v>
      </c>
    </row>
    <row r="1061" spans="1:18">
      <c r="A1061" s="801">
        <v>45708</v>
      </c>
      <c r="B1061" s="670">
        <v>798.59</v>
      </c>
      <c r="C1061" s="37">
        <v>769</v>
      </c>
      <c r="D1061" s="37">
        <v>217</v>
      </c>
      <c r="E1061" s="37">
        <v>4</v>
      </c>
      <c r="F1061" s="670">
        <v>52513</v>
      </c>
      <c r="G1061" s="37">
        <v>47</v>
      </c>
      <c r="H1061" s="37">
        <v>5</v>
      </c>
      <c r="I1061" s="37">
        <v>18</v>
      </c>
      <c r="J1061" s="527">
        <f t="shared" si="194"/>
        <v>0.282184655396619</v>
      </c>
      <c r="K1061" s="687">
        <f t="shared" si="195"/>
        <v>3.68013824884793</v>
      </c>
      <c r="L1061" s="41">
        <f t="shared" si="187"/>
        <v>1038.47854356307</v>
      </c>
      <c r="M1061" s="702">
        <f t="shared" si="196"/>
        <v>65.7571469715373</v>
      </c>
      <c r="N1061" s="39">
        <f t="shared" si="188"/>
        <v>0.0184331797235023</v>
      </c>
      <c r="O1061" s="558">
        <f t="shared" si="189"/>
        <v>13128.25</v>
      </c>
      <c r="P1061" s="559">
        <f t="shared" si="190"/>
        <v>199.6475</v>
      </c>
      <c r="Q1061" s="41">
        <f t="shared" si="191"/>
        <v>16.9912765957447</v>
      </c>
      <c r="R1061" s="1021">
        <f t="shared" si="192"/>
        <v>0.216589861751152</v>
      </c>
    </row>
    <row r="1062" spans="1:18">
      <c r="A1062" s="801">
        <v>45709</v>
      </c>
      <c r="B1062" s="670">
        <v>898.34</v>
      </c>
      <c r="C1062" s="37">
        <v>876</v>
      </c>
      <c r="D1062" s="37">
        <v>266</v>
      </c>
      <c r="E1062" s="37">
        <v>3</v>
      </c>
      <c r="F1062" s="670">
        <v>22527.04</v>
      </c>
      <c r="G1062" s="37">
        <v>45</v>
      </c>
      <c r="H1062" s="37">
        <v>7</v>
      </c>
      <c r="I1062" s="37">
        <v>15</v>
      </c>
      <c r="J1062" s="527">
        <f t="shared" si="194"/>
        <v>0.30365296803653</v>
      </c>
      <c r="K1062" s="687">
        <f t="shared" si="195"/>
        <v>3.37721804511278</v>
      </c>
      <c r="L1062" s="41">
        <f t="shared" si="187"/>
        <v>1025.50228310502</v>
      </c>
      <c r="M1062" s="702">
        <f t="shared" si="196"/>
        <v>25.076296279805</v>
      </c>
      <c r="N1062" s="39">
        <f t="shared" si="188"/>
        <v>0.0112781954887218</v>
      </c>
      <c r="O1062" s="558">
        <f t="shared" si="189"/>
        <v>7509.01333333333</v>
      </c>
      <c r="P1062" s="559">
        <f t="shared" si="190"/>
        <v>299.446666666667</v>
      </c>
      <c r="Q1062" s="41">
        <f t="shared" si="191"/>
        <v>19.9631111111111</v>
      </c>
      <c r="R1062" s="1021">
        <f t="shared" si="192"/>
        <v>0.169172932330827</v>
      </c>
    </row>
    <row r="1063" spans="1:18">
      <c r="A1063" s="801">
        <v>45710</v>
      </c>
      <c r="B1063" s="670">
        <v>957.88</v>
      </c>
      <c r="C1063" s="37">
        <v>907</v>
      </c>
      <c r="D1063" s="37">
        <v>323</v>
      </c>
      <c r="E1063" s="37">
        <v>1</v>
      </c>
      <c r="F1063" s="670">
        <v>11983</v>
      </c>
      <c r="G1063" s="37">
        <v>54</v>
      </c>
      <c r="H1063" s="37">
        <v>5</v>
      </c>
      <c r="I1063" s="37">
        <v>14</v>
      </c>
      <c r="J1063" s="527">
        <f t="shared" si="194"/>
        <v>0.356119073869901</v>
      </c>
      <c r="K1063" s="687">
        <f t="shared" si="195"/>
        <v>2.96557275541796</v>
      </c>
      <c r="L1063" s="41">
        <f t="shared" si="187"/>
        <v>1056.09702315325</v>
      </c>
      <c r="M1063" s="702">
        <f t="shared" si="196"/>
        <v>12.5099177349981</v>
      </c>
      <c r="N1063" s="39">
        <f t="shared" si="188"/>
        <v>0.00309597523219814</v>
      </c>
      <c r="O1063" s="558">
        <f t="shared" si="189"/>
        <v>11983</v>
      </c>
      <c r="P1063" s="559">
        <f t="shared" si="190"/>
        <v>957.88</v>
      </c>
      <c r="Q1063" s="41">
        <f t="shared" si="191"/>
        <v>17.7385185185185</v>
      </c>
      <c r="R1063" s="1021">
        <f t="shared" si="192"/>
        <v>0.1671826625387</v>
      </c>
    </row>
    <row r="1064" spans="1:18">
      <c r="A1064" s="801">
        <v>45711</v>
      </c>
      <c r="B1064" s="670">
        <v>996.29</v>
      </c>
      <c r="C1064" s="37">
        <v>964</v>
      </c>
      <c r="D1064" s="37">
        <v>323</v>
      </c>
      <c r="E1064" s="37">
        <v>6</v>
      </c>
      <c r="F1064" s="670">
        <v>64408</v>
      </c>
      <c r="G1064" s="37">
        <v>58</v>
      </c>
      <c r="H1064" s="37">
        <v>5</v>
      </c>
      <c r="I1064" s="37">
        <v>12</v>
      </c>
      <c r="J1064" s="527">
        <f t="shared" si="194"/>
        <v>0.3350622406639</v>
      </c>
      <c r="K1064" s="687">
        <f t="shared" si="195"/>
        <v>3.08448916408669</v>
      </c>
      <c r="L1064" s="41">
        <f t="shared" si="187"/>
        <v>1033.49585062241</v>
      </c>
      <c r="M1064" s="702">
        <f t="shared" si="196"/>
        <v>64.6478434993827</v>
      </c>
      <c r="N1064" s="39">
        <f t="shared" si="188"/>
        <v>0.0185758513931889</v>
      </c>
      <c r="O1064" s="558">
        <f t="shared" si="189"/>
        <v>10734.6666666667</v>
      </c>
      <c r="P1064" s="559">
        <f t="shared" si="190"/>
        <v>166.048333333333</v>
      </c>
      <c r="Q1064" s="41">
        <f t="shared" si="191"/>
        <v>17.1774137931034</v>
      </c>
      <c r="R1064" s="1021">
        <f t="shared" si="192"/>
        <v>0.179566563467492</v>
      </c>
    </row>
    <row r="1065" spans="1:18">
      <c r="A1065" s="801">
        <v>45712</v>
      </c>
      <c r="B1065" s="670">
        <v>1034.69</v>
      </c>
      <c r="C1065" s="37">
        <v>977</v>
      </c>
      <c r="D1065" s="37">
        <v>325</v>
      </c>
      <c r="E1065" s="37">
        <v>1</v>
      </c>
      <c r="F1065" s="670">
        <v>11172</v>
      </c>
      <c r="G1065" s="37">
        <v>51</v>
      </c>
      <c r="H1065" s="37">
        <v>5</v>
      </c>
      <c r="I1065" s="37">
        <v>11</v>
      </c>
      <c r="J1065" s="527">
        <f t="shared" si="194"/>
        <v>0.332650972364381</v>
      </c>
      <c r="K1065" s="687">
        <f t="shared" si="195"/>
        <v>3.18366153846154</v>
      </c>
      <c r="L1065" s="41">
        <f t="shared" si="187"/>
        <v>1059.04810644831</v>
      </c>
      <c r="M1065" s="702">
        <f t="shared" si="196"/>
        <v>10.7974369134717</v>
      </c>
      <c r="N1065" s="39">
        <f t="shared" si="188"/>
        <v>0.00307692307692308</v>
      </c>
      <c r="O1065" s="558">
        <f t="shared" si="189"/>
        <v>11172</v>
      </c>
      <c r="P1065" s="559">
        <f t="shared" si="190"/>
        <v>1034.69</v>
      </c>
      <c r="Q1065" s="41">
        <f t="shared" si="191"/>
        <v>20.2880392156863</v>
      </c>
      <c r="R1065" s="1021">
        <f t="shared" si="192"/>
        <v>0.156923076923077</v>
      </c>
    </row>
    <row r="1066" spans="1:18">
      <c r="A1066" s="801">
        <v>45713</v>
      </c>
      <c r="B1066" s="670">
        <v>975.81</v>
      </c>
      <c r="C1066" s="37">
        <v>1044</v>
      </c>
      <c r="D1066" s="37">
        <v>322</v>
      </c>
      <c r="E1066" s="37">
        <v>2</v>
      </c>
      <c r="F1066" s="670">
        <v>44747</v>
      </c>
      <c r="G1066" s="37">
        <v>81</v>
      </c>
      <c r="H1066" s="37">
        <v>7</v>
      </c>
      <c r="I1066" s="37">
        <v>8</v>
      </c>
      <c r="J1066" s="527">
        <f t="shared" si="194"/>
        <v>0.308429118773946</v>
      </c>
      <c r="K1066" s="687">
        <f t="shared" si="195"/>
        <v>3.03046583850932</v>
      </c>
      <c r="L1066" s="41">
        <f t="shared" si="187"/>
        <v>934.683908045977</v>
      </c>
      <c r="M1066" s="702">
        <f t="shared" si="196"/>
        <v>45.8562630020188</v>
      </c>
      <c r="N1066" s="39">
        <f t="shared" si="188"/>
        <v>0.0062111801242236</v>
      </c>
      <c r="O1066" s="558">
        <f t="shared" si="189"/>
        <v>22373.5</v>
      </c>
      <c r="P1066" s="559">
        <f t="shared" si="190"/>
        <v>487.905</v>
      </c>
      <c r="Q1066" s="41">
        <f t="shared" si="191"/>
        <v>12.047037037037</v>
      </c>
      <c r="R1066" s="1021">
        <f t="shared" si="192"/>
        <v>0.251552795031056</v>
      </c>
    </row>
    <row r="1067" spans="1:18">
      <c r="A1067" s="801">
        <v>45714</v>
      </c>
      <c r="B1067" s="670">
        <v>1109.85</v>
      </c>
      <c r="C1067" s="37">
        <v>1143</v>
      </c>
      <c r="D1067" s="37">
        <v>303</v>
      </c>
      <c r="E1067" s="37">
        <v>4</v>
      </c>
      <c r="F1067" s="670">
        <v>28025</v>
      </c>
      <c r="G1067" s="37">
        <v>49</v>
      </c>
      <c r="H1067" s="37">
        <v>6</v>
      </c>
      <c r="I1067" s="37">
        <v>10</v>
      </c>
      <c r="J1067" s="527">
        <f t="shared" si="194"/>
        <v>0.26509186351706</v>
      </c>
      <c r="K1067" s="687">
        <f t="shared" si="195"/>
        <v>3.66287128712871</v>
      </c>
      <c r="L1067" s="41">
        <f t="shared" si="187"/>
        <v>970.997375328084</v>
      </c>
      <c r="M1067" s="702">
        <f t="shared" si="196"/>
        <v>25.2511600666757</v>
      </c>
      <c r="N1067" s="39">
        <f t="shared" si="188"/>
        <v>0.0132013201320132</v>
      </c>
      <c r="O1067" s="558">
        <f t="shared" si="189"/>
        <v>7006.25</v>
      </c>
      <c r="P1067" s="559">
        <f t="shared" si="190"/>
        <v>277.4625</v>
      </c>
      <c r="Q1067" s="41">
        <f t="shared" si="191"/>
        <v>22.65</v>
      </c>
      <c r="R1067" s="1021">
        <f t="shared" si="192"/>
        <v>0.161716171617162</v>
      </c>
    </row>
    <row r="1068" spans="1:18">
      <c r="A1068" s="801">
        <v>45715</v>
      </c>
      <c r="B1068" s="670">
        <v>1042.54</v>
      </c>
      <c r="C1068" s="37">
        <v>1082</v>
      </c>
      <c r="D1068" s="37">
        <v>332</v>
      </c>
      <c r="E1068" s="37">
        <v>9</v>
      </c>
      <c r="F1068" s="670">
        <v>101350</v>
      </c>
      <c r="G1068" s="37">
        <v>71</v>
      </c>
      <c r="H1068" s="37">
        <v>13</v>
      </c>
      <c r="I1068" s="37">
        <v>14</v>
      </c>
      <c r="J1068" s="527">
        <f t="shared" si="194"/>
        <v>0.306839186691312</v>
      </c>
      <c r="K1068" s="687">
        <f t="shared" si="195"/>
        <v>3.14018072289157</v>
      </c>
      <c r="L1068" s="41">
        <f t="shared" si="187"/>
        <v>963.530499075786</v>
      </c>
      <c r="M1068" s="702">
        <f t="shared" si="196"/>
        <v>97.2144953670842</v>
      </c>
      <c r="N1068" s="39">
        <f t="shared" si="188"/>
        <v>0.0271084337349398</v>
      </c>
      <c r="O1068" s="558">
        <f t="shared" si="189"/>
        <v>11261.1111111111</v>
      </c>
      <c r="P1068" s="559">
        <f t="shared" si="190"/>
        <v>115.837777777778</v>
      </c>
      <c r="Q1068" s="41">
        <f t="shared" si="191"/>
        <v>14.683661971831</v>
      </c>
      <c r="R1068" s="1021">
        <f t="shared" si="192"/>
        <v>0.213855421686747</v>
      </c>
    </row>
    <row r="1069" spans="1:18">
      <c r="A1069" s="801">
        <v>45716</v>
      </c>
      <c r="B1069" s="670">
        <v>1021.49</v>
      </c>
      <c r="C1069" s="37">
        <v>1034</v>
      </c>
      <c r="D1069" s="37">
        <v>271</v>
      </c>
      <c r="E1069" s="37">
        <v>3</v>
      </c>
      <c r="F1069" s="670">
        <v>21805</v>
      </c>
      <c r="G1069" s="37">
        <v>44</v>
      </c>
      <c r="H1069" s="37">
        <v>5</v>
      </c>
      <c r="I1069" s="37">
        <v>14</v>
      </c>
      <c r="J1069" s="527">
        <f t="shared" si="194"/>
        <v>0.262088974854932</v>
      </c>
      <c r="K1069" s="687">
        <f t="shared" si="195"/>
        <v>3.76933579335793</v>
      </c>
      <c r="L1069" s="41">
        <f t="shared" si="187"/>
        <v>987.901353965184</v>
      </c>
      <c r="M1069" s="702">
        <f t="shared" si="196"/>
        <v>21.3462686859392</v>
      </c>
      <c r="N1069" s="39">
        <f t="shared" si="188"/>
        <v>0.011070110701107</v>
      </c>
      <c r="O1069" s="558">
        <f t="shared" si="189"/>
        <v>7268.33333333333</v>
      </c>
      <c r="P1069" s="559">
        <f t="shared" si="190"/>
        <v>340.496666666667</v>
      </c>
      <c r="Q1069" s="41">
        <f t="shared" si="191"/>
        <v>23.2156818181818</v>
      </c>
      <c r="R1069" s="1021">
        <f t="shared" si="192"/>
        <v>0.162361623616236</v>
      </c>
    </row>
    <row r="1070" spans="1:18">
      <c r="A1070" s="801">
        <v>45717</v>
      </c>
      <c r="B1070" s="670">
        <v>801.03</v>
      </c>
      <c r="C1070" s="37">
        <v>945</v>
      </c>
      <c r="D1070" s="37">
        <v>220</v>
      </c>
      <c r="E1070" s="37">
        <v>3</v>
      </c>
      <c r="F1070" s="670">
        <v>27091</v>
      </c>
      <c r="G1070" s="37">
        <v>52</v>
      </c>
      <c r="H1070" s="37">
        <v>14</v>
      </c>
      <c r="I1070" s="37">
        <v>5</v>
      </c>
      <c r="J1070" s="527">
        <f t="shared" si="194"/>
        <v>0.232804232804233</v>
      </c>
      <c r="K1070" s="687">
        <f t="shared" si="195"/>
        <v>3.64104545454545</v>
      </c>
      <c r="L1070" s="41">
        <f t="shared" si="187"/>
        <v>847.650793650794</v>
      </c>
      <c r="M1070" s="702">
        <f t="shared" si="196"/>
        <v>33.8202064841517</v>
      </c>
      <c r="N1070" s="39">
        <f t="shared" si="188"/>
        <v>0.0136363636363636</v>
      </c>
      <c r="O1070" s="558">
        <f t="shared" si="189"/>
        <v>9030.33333333333</v>
      </c>
      <c r="P1070" s="559">
        <f t="shared" si="190"/>
        <v>267.01</v>
      </c>
      <c r="Q1070" s="41">
        <f t="shared" si="191"/>
        <v>15.4044230769231</v>
      </c>
      <c r="R1070" s="1021">
        <f t="shared" si="192"/>
        <v>0.236363636363636</v>
      </c>
    </row>
    <row r="1071" spans="1:18">
      <c r="A1071" s="801">
        <v>45718</v>
      </c>
      <c r="B1071" s="670">
        <v>458.84</v>
      </c>
      <c r="C1071" s="37">
        <v>537</v>
      </c>
      <c r="D1071" s="37">
        <v>115</v>
      </c>
      <c r="E1071" s="37">
        <v>0</v>
      </c>
      <c r="F1071" s="670">
        <v>0</v>
      </c>
      <c r="G1071" s="37">
        <v>25</v>
      </c>
      <c r="H1071" s="37">
        <v>2</v>
      </c>
      <c r="I1071" s="37">
        <v>6</v>
      </c>
      <c r="J1071" s="527">
        <f t="shared" si="194"/>
        <v>0.21415270018622</v>
      </c>
      <c r="K1071" s="687">
        <f t="shared" si="195"/>
        <v>3.98991304347826</v>
      </c>
      <c r="L1071" s="41">
        <f t="shared" si="187"/>
        <v>854.450651769087</v>
      </c>
      <c r="M1071" s="702">
        <f t="shared" si="196"/>
        <v>0</v>
      </c>
      <c r="N1071" s="39">
        <f t="shared" si="188"/>
        <v>0</v>
      </c>
      <c r="O1071" s="558">
        <f t="shared" si="189"/>
        <v>0</v>
      </c>
      <c r="P1071" s="559">
        <f t="shared" si="190"/>
        <v>0</v>
      </c>
      <c r="Q1071" s="41">
        <f t="shared" si="191"/>
        <v>18.3536</v>
      </c>
      <c r="R1071" s="1021">
        <f t="shared" si="192"/>
        <v>0.217391304347826</v>
      </c>
    </row>
    <row r="1072" spans="1:18">
      <c r="A1072" s="801">
        <v>45719</v>
      </c>
      <c r="B1072" s="670">
        <v>400.76</v>
      </c>
      <c r="C1072" s="37">
        <v>546</v>
      </c>
      <c r="D1072" s="37">
        <v>96</v>
      </c>
      <c r="E1072" s="37">
        <v>0</v>
      </c>
      <c r="F1072" s="670">
        <v>0</v>
      </c>
      <c r="G1072" s="37">
        <v>14</v>
      </c>
      <c r="H1072" s="37">
        <v>1</v>
      </c>
      <c r="I1072" s="37">
        <v>3</v>
      </c>
      <c r="J1072" s="527">
        <f t="shared" si="194"/>
        <v>0.175824175824176</v>
      </c>
      <c r="K1072" s="687">
        <f t="shared" si="195"/>
        <v>4.17458333333333</v>
      </c>
      <c r="L1072" s="41">
        <f t="shared" si="187"/>
        <v>733.992673992674</v>
      </c>
      <c r="M1072" s="702">
        <f t="shared" si="196"/>
        <v>0</v>
      </c>
      <c r="N1072" s="39">
        <f t="shared" si="188"/>
        <v>0</v>
      </c>
      <c r="O1072" s="558">
        <f t="shared" si="189"/>
        <v>0</v>
      </c>
      <c r="P1072" s="559">
        <f t="shared" si="190"/>
        <v>0</v>
      </c>
      <c r="Q1072" s="41">
        <f t="shared" si="191"/>
        <v>28.6257142857143</v>
      </c>
      <c r="R1072" s="1021">
        <f t="shared" si="192"/>
        <v>0.145833333333333</v>
      </c>
    </row>
    <row r="1073" spans="1:18">
      <c r="A1073" s="801">
        <v>45720</v>
      </c>
      <c r="B1073" s="670">
        <v>917.77</v>
      </c>
      <c r="C1073" s="37">
        <v>1074</v>
      </c>
      <c r="D1073" s="37">
        <v>255</v>
      </c>
      <c r="E1073" s="37">
        <v>1</v>
      </c>
      <c r="F1073" s="670">
        <v>30868</v>
      </c>
      <c r="G1073" s="37">
        <v>64</v>
      </c>
      <c r="H1073" s="37">
        <v>4</v>
      </c>
      <c r="I1073" s="37">
        <v>8</v>
      </c>
      <c r="J1073" s="527">
        <f t="shared" si="194"/>
        <v>0.237430167597765</v>
      </c>
      <c r="K1073" s="687">
        <f t="shared" si="195"/>
        <v>3.59909803921569</v>
      </c>
      <c r="L1073" s="41">
        <f t="shared" ref="L1073:L1136" si="197">B1073/C1073*1000</f>
        <v>854.534450651769</v>
      </c>
      <c r="M1073" s="702">
        <f t="shared" si="196"/>
        <v>33.6336990749316</v>
      </c>
      <c r="N1073" s="39">
        <f t="shared" ref="N1073:N1136" si="198">E1073/D1073</f>
        <v>0.00392156862745098</v>
      </c>
      <c r="O1073" s="558">
        <f t="shared" ref="O1073:O1136" si="199">IF(E1073=0,0,F1073/E1073)</f>
        <v>30868</v>
      </c>
      <c r="P1073" s="559">
        <f t="shared" ref="P1073:P1136" si="200">IF(E1073=0,0,B1073/E1073)</f>
        <v>917.77</v>
      </c>
      <c r="Q1073" s="41">
        <f t="shared" ref="Q1073:Q1136" si="201">B1073/G1073</f>
        <v>14.34015625</v>
      </c>
      <c r="R1073" s="1021">
        <f t="shared" ref="R1073:R1136" si="202">G1073/D1073</f>
        <v>0.250980392156863</v>
      </c>
    </row>
    <row r="1074" spans="1:18">
      <c r="A1074" s="801">
        <v>45721</v>
      </c>
      <c r="B1074" s="670">
        <v>902.71</v>
      </c>
      <c r="C1074" s="37">
        <v>969</v>
      </c>
      <c r="D1074" s="37">
        <v>252</v>
      </c>
      <c r="E1074" s="37">
        <v>3</v>
      </c>
      <c r="F1074" s="670">
        <v>24040</v>
      </c>
      <c r="G1074" s="37">
        <v>41</v>
      </c>
      <c r="H1074" s="37">
        <v>5</v>
      </c>
      <c r="I1074" s="37">
        <v>11</v>
      </c>
      <c r="J1074" s="527">
        <f t="shared" si="194"/>
        <v>0.260061919504644</v>
      </c>
      <c r="K1074" s="687">
        <f t="shared" si="195"/>
        <v>3.58218253968254</v>
      </c>
      <c r="L1074" s="41">
        <f t="shared" si="197"/>
        <v>931.589267285862</v>
      </c>
      <c r="M1074" s="702">
        <f t="shared" si="196"/>
        <v>26.6309224446389</v>
      </c>
      <c r="N1074" s="39">
        <f t="shared" si="198"/>
        <v>0.0119047619047619</v>
      </c>
      <c r="O1074" s="558">
        <f t="shared" si="199"/>
        <v>8013.33333333333</v>
      </c>
      <c r="P1074" s="559">
        <f t="shared" si="200"/>
        <v>300.903333333333</v>
      </c>
      <c r="Q1074" s="41">
        <f t="shared" si="201"/>
        <v>22.0173170731707</v>
      </c>
      <c r="R1074" s="1021">
        <f t="shared" si="202"/>
        <v>0.162698412698413</v>
      </c>
    </row>
    <row r="1075" spans="1:18">
      <c r="A1075" s="801">
        <v>45722</v>
      </c>
      <c r="B1075" s="670">
        <v>835.49</v>
      </c>
      <c r="C1075" s="37">
        <v>886</v>
      </c>
      <c r="D1075" s="37">
        <v>206</v>
      </c>
      <c r="E1075" s="37">
        <v>3</v>
      </c>
      <c r="F1075" s="670">
        <v>29643</v>
      </c>
      <c r="G1075" s="37">
        <v>40</v>
      </c>
      <c r="H1075" s="37">
        <v>6</v>
      </c>
      <c r="I1075" s="37">
        <v>8</v>
      </c>
      <c r="J1075" s="527">
        <f t="shared" si="194"/>
        <v>0.232505643340858</v>
      </c>
      <c r="K1075" s="687">
        <f t="shared" si="195"/>
        <v>4.05577669902913</v>
      </c>
      <c r="L1075" s="41">
        <f t="shared" si="197"/>
        <v>942.990970654628</v>
      </c>
      <c r="M1075" s="702">
        <f t="shared" si="196"/>
        <v>35.4797783336725</v>
      </c>
      <c r="N1075" s="39">
        <f t="shared" si="198"/>
        <v>0.0145631067961165</v>
      </c>
      <c r="O1075" s="558">
        <f t="shared" si="199"/>
        <v>9881</v>
      </c>
      <c r="P1075" s="559">
        <f t="shared" si="200"/>
        <v>278.496666666667</v>
      </c>
      <c r="Q1075" s="41">
        <f t="shared" si="201"/>
        <v>20.88725</v>
      </c>
      <c r="R1075" s="1021">
        <f t="shared" si="202"/>
        <v>0.194174757281553</v>
      </c>
    </row>
    <row r="1076" spans="1:18">
      <c r="A1076" s="801">
        <v>45723</v>
      </c>
      <c r="B1076" s="670">
        <v>786.33</v>
      </c>
      <c r="C1076" s="37">
        <v>798</v>
      </c>
      <c r="D1076" s="37">
        <v>217</v>
      </c>
      <c r="E1076" s="37">
        <v>6</v>
      </c>
      <c r="F1076" s="670">
        <v>56084</v>
      </c>
      <c r="G1076" s="37">
        <v>42</v>
      </c>
      <c r="H1076" s="37">
        <v>2</v>
      </c>
      <c r="I1076" s="37">
        <v>6</v>
      </c>
      <c r="J1076" s="527">
        <f t="shared" si="194"/>
        <v>0.271929824561404</v>
      </c>
      <c r="K1076" s="687">
        <f t="shared" si="195"/>
        <v>3.62364055299539</v>
      </c>
      <c r="L1076" s="41">
        <f t="shared" si="197"/>
        <v>985.375939849624</v>
      </c>
      <c r="M1076" s="702">
        <f t="shared" si="196"/>
        <v>71.3237444838681</v>
      </c>
      <c r="N1076" s="39">
        <f t="shared" si="198"/>
        <v>0.0276497695852535</v>
      </c>
      <c r="O1076" s="558">
        <f t="shared" si="199"/>
        <v>9347.33333333333</v>
      </c>
      <c r="P1076" s="559">
        <f t="shared" si="200"/>
        <v>131.055</v>
      </c>
      <c r="Q1076" s="41">
        <f t="shared" si="201"/>
        <v>18.7221428571429</v>
      </c>
      <c r="R1076" s="1021">
        <f t="shared" si="202"/>
        <v>0.193548387096774</v>
      </c>
    </row>
    <row r="1077" spans="1:18">
      <c r="A1077" s="801">
        <v>45724</v>
      </c>
      <c r="B1077" s="670">
        <v>776.79</v>
      </c>
      <c r="C1077" s="37">
        <v>847</v>
      </c>
      <c r="D1077" s="37">
        <v>226</v>
      </c>
      <c r="E1077" s="37">
        <v>6</v>
      </c>
      <c r="F1077" s="670">
        <v>76592</v>
      </c>
      <c r="G1077" s="37">
        <v>37</v>
      </c>
      <c r="H1077" s="37">
        <v>4</v>
      </c>
      <c r="I1077" s="37">
        <v>10</v>
      </c>
      <c r="J1077" s="527">
        <f t="shared" si="194"/>
        <v>0.266824085005903</v>
      </c>
      <c r="K1077" s="687">
        <f t="shared" si="195"/>
        <v>3.43712389380531</v>
      </c>
      <c r="L1077" s="41">
        <f t="shared" si="197"/>
        <v>917.107438016529</v>
      </c>
      <c r="M1077" s="702">
        <f t="shared" si="196"/>
        <v>98.6006513987049</v>
      </c>
      <c r="N1077" s="39">
        <f t="shared" si="198"/>
        <v>0.0265486725663717</v>
      </c>
      <c r="O1077" s="558">
        <f t="shared" si="199"/>
        <v>12765.3333333333</v>
      </c>
      <c r="P1077" s="559">
        <f t="shared" si="200"/>
        <v>129.465</v>
      </c>
      <c r="Q1077" s="41">
        <f t="shared" si="201"/>
        <v>20.9943243243243</v>
      </c>
      <c r="R1077" s="1021">
        <f t="shared" si="202"/>
        <v>0.163716814159292</v>
      </c>
    </row>
    <row r="1078" spans="1:18">
      <c r="A1078" s="801">
        <v>45725</v>
      </c>
      <c r="B1078" s="670">
        <v>929.31</v>
      </c>
      <c r="C1078" s="37">
        <v>997</v>
      </c>
      <c r="D1078" s="37">
        <v>278</v>
      </c>
      <c r="E1078" s="37">
        <v>0</v>
      </c>
      <c r="F1078" s="670">
        <v>0</v>
      </c>
      <c r="G1078" s="37">
        <v>46</v>
      </c>
      <c r="H1078" s="37">
        <v>7</v>
      </c>
      <c r="I1078" s="37">
        <v>11</v>
      </c>
      <c r="J1078" s="527">
        <f t="shared" si="194"/>
        <v>0.278836509528586</v>
      </c>
      <c r="K1078" s="687">
        <f t="shared" si="195"/>
        <v>3.3428417266187</v>
      </c>
      <c r="L1078" s="41">
        <f t="shared" si="197"/>
        <v>932.106318956871</v>
      </c>
      <c r="M1078" s="702">
        <f t="shared" si="196"/>
        <v>0</v>
      </c>
      <c r="N1078" s="39">
        <f t="shared" si="198"/>
        <v>0</v>
      </c>
      <c r="O1078" s="558">
        <f t="shared" si="199"/>
        <v>0</v>
      </c>
      <c r="P1078" s="559">
        <f t="shared" si="200"/>
        <v>0</v>
      </c>
      <c r="Q1078" s="41">
        <f t="shared" si="201"/>
        <v>20.2023913043478</v>
      </c>
      <c r="R1078" s="1021">
        <f t="shared" si="202"/>
        <v>0.165467625899281</v>
      </c>
    </row>
    <row r="1079" spans="1:18">
      <c r="A1079" s="801">
        <v>45726</v>
      </c>
      <c r="B1079" s="670">
        <v>876.06</v>
      </c>
      <c r="C1079" s="37">
        <v>902</v>
      </c>
      <c r="D1079" s="37">
        <v>278</v>
      </c>
      <c r="E1079" s="37">
        <v>2</v>
      </c>
      <c r="F1079" s="670">
        <v>12052</v>
      </c>
      <c r="G1079" s="37">
        <v>48</v>
      </c>
      <c r="H1079" s="37">
        <v>5</v>
      </c>
      <c r="I1079" s="37">
        <v>21</v>
      </c>
      <c r="J1079" s="527">
        <f t="shared" si="194"/>
        <v>0.30820399113082</v>
      </c>
      <c r="K1079" s="687">
        <f t="shared" si="195"/>
        <v>3.15129496402878</v>
      </c>
      <c r="L1079" s="41">
        <f t="shared" si="197"/>
        <v>971.241685144124</v>
      </c>
      <c r="M1079" s="702">
        <f t="shared" si="196"/>
        <v>13.7570486039769</v>
      </c>
      <c r="N1079" s="39">
        <f t="shared" si="198"/>
        <v>0.00719424460431655</v>
      </c>
      <c r="O1079" s="558">
        <f t="shared" si="199"/>
        <v>6026</v>
      </c>
      <c r="P1079" s="559">
        <f t="shared" si="200"/>
        <v>438.03</v>
      </c>
      <c r="Q1079" s="41">
        <f t="shared" si="201"/>
        <v>18.25125</v>
      </c>
      <c r="R1079" s="1021">
        <f t="shared" si="202"/>
        <v>0.172661870503597</v>
      </c>
    </row>
    <row r="1080" spans="1:18">
      <c r="A1080" s="801">
        <v>45727</v>
      </c>
      <c r="B1080" s="670">
        <v>914.86</v>
      </c>
      <c r="C1080" s="37">
        <v>944</v>
      </c>
      <c r="D1080" s="37">
        <v>289</v>
      </c>
      <c r="E1080" s="37">
        <v>7</v>
      </c>
      <c r="F1080" s="670">
        <v>116196</v>
      </c>
      <c r="G1080" s="37">
        <v>44</v>
      </c>
      <c r="H1080" s="37">
        <v>4</v>
      </c>
      <c r="I1080" s="37">
        <v>12</v>
      </c>
      <c r="J1080" s="527">
        <f t="shared" si="194"/>
        <v>0.30614406779661</v>
      </c>
      <c r="K1080" s="687">
        <f t="shared" si="195"/>
        <v>3.16560553633218</v>
      </c>
      <c r="L1080" s="41">
        <f t="shared" si="197"/>
        <v>969.131355932203</v>
      </c>
      <c r="M1080" s="702">
        <f t="shared" si="196"/>
        <v>127.009597096824</v>
      </c>
      <c r="N1080" s="39">
        <f t="shared" si="198"/>
        <v>0.0242214532871972</v>
      </c>
      <c r="O1080" s="558">
        <f t="shared" si="199"/>
        <v>16599.4285714286</v>
      </c>
      <c r="P1080" s="559">
        <f t="shared" si="200"/>
        <v>130.694285714286</v>
      </c>
      <c r="Q1080" s="41">
        <f t="shared" si="201"/>
        <v>20.7922727272727</v>
      </c>
      <c r="R1080" s="1021">
        <f t="shared" si="202"/>
        <v>0.152249134948097</v>
      </c>
    </row>
    <row r="1081" spans="1:18">
      <c r="A1081" s="801">
        <v>45728</v>
      </c>
      <c r="B1081" s="670">
        <v>984.46</v>
      </c>
      <c r="C1081" s="37">
        <v>905</v>
      </c>
      <c r="D1081" s="37">
        <v>253</v>
      </c>
      <c r="E1081" s="37">
        <v>3</v>
      </c>
      <c r="F1081" s="670">
        <v>24208</v>
      </c>
      <c r="G1081" s="37">
        <v>41</v>
      </c>
      <c r="H1081" s="37">
        <v>6</v>
      </c>
      <c r="I1081" s="37">
        <v>16</v>
      </c>
      <c r="J1081" s="527">
        <f t="shared" si="194"/>
        <v>0.279558011049724</v>
      </c>
      <c r="K1081" s="687">
        <f t="shared" si="195"/>
        <v>3.89114624505929</v>
      </c>
      <c r="L1081" s="41">
        <f t="shared" si="197"/>
        <v>1087.80110497238</v>
      </c>
      <c r="M1081" s="702">
        <f t="shared" si="196"/>
        <v>24.59013062999</v>
      </c>
      <c r="N1081" s="39">
        <f t="shared" si="198"/>
        <v>0.0118577075098814</v>
      </c>
      <c r="O1081" s="558">
        <f t="shared" si="199"/>
        <v>8069.33333333333</v>
      </c>
      <c r="P1081" s="559">
        <f t="shared" si="200"/>
        <v>328.153333333333</v>
      </c>
      <c r="Q1081" s="41">
        <f t="shared" si="201"/>
        <v>24.0112195121951</v>
      </c>
      <c r="R1081" s="1021">
        <f t="shared" si="202"/>
        <v>0.162055335968379</v>
      </c>
    </row>
    <row r="1082" spans="1:18">
      <c r="A1082" s="801">
        <v>45729</v>
      </c>
      <c r="B1082" s="670">
        <v>1370.04</v>
      </c>
      <c r="C1082" s="37">
        <v>1310</v>
      </c>
      <c r="D1082" s="37">
        <v>427</v>
      </c>
      <c r="E1082" s="37">
        <v>2</v>
      </c>
      <c r="F1082" s="670">
        <v>13200</v>
      </c>
      <c r="G1082" s="37">
        <v>93</v>
      </c>
      <c r="H1082" s="37">
        <v>11</v>
      </c>
      <c r="I1082" s="37">
        <v>19</v>
      </c>
      <c r="J1082" s="527">
        <f t="shared" si="194"/>
        <v>0.325954198473282</v>
      </c>
      <c r="K1082" s="687">
        <f t="shared" si="195"/>
        <v>3.20852459016393</v>
      </c>
      <c r="L1082" s="41">
        <f t="shared" si="197"/>
        <v>1045.8320610687</v>
      </c>
      <c r="M1082" s="702">
        <f t="shared" si="196"/>
        <v>9.6347551896295</v>
      </c>
      <c r="N1082" s="39">
        <f t="shared" si="198"/>
        <v>0.00468384074941452</v>
      </c>
      <c r="O1082" s="558">
        <f t="shared" si="199"/>
        <v>6600</v>
      </c>
      <c r="P1082" s="559">
        <f t="shared" si="200"/>
        <v>685.02</v>
      </c>
      <c r="Q1082" s="41">
        <f t="shared" si="201"/>
        <v>14.7316129032258</v>
      </c>
      <c r="R1082" s="1021">
        <f t="shared" si="202"/>
        <v>0.217798594847775</v>
      </c>
    </row>
    <row r="1083" spans="1:18">
      <c r="A1083" s="801">
        <v>45730</v>
      </c>
      <c r="B1083" s="670">
        <v>1548.2</v>
      </c>
      <c r="C1083" s="37">
        <v>1457</v>
      </c>
      <c r="D1083" s="37">
        <v>429</v>
      </c>
      <c r="E1083" s="37">
        <v>1</v>
      </c>
      <c r="F1083" s="670">
        <v>16396</v>
      </c>
      <c r="G1083" s="37">
        <v>67</v>
      </c>
      <c r="H1083" s="37">
        <v>14</v>
      </c>
      <c r="I1083" s="37">
        <v>22</v>
      </c>
      <c r="J1083" s="527">
        <f t="shared" si="194"/>
        <v>0.294440631434454</v>
      </c>
      <c r="K1083" s="687">
        <f t="shared" si="195"/>
        <v>3.60885780885781</v>
      </c>
      <c r="L1083" s="41">
        <f t="shared" si="197"/>
        <v>1062.59437199725</v>
      </c>
      <c r="M1083" s="702">
        <f t="shared" si="196"/>
        <v>10.5903630021961</v>
      </c>
      <c r="N1083" s="39">
        <f t="shared" si="198"/>
        <v>0.00233100233100233</v>
      </c>
      <c r="O1083" s="558">
        <f t="shared" si="199"/>
        <v>16396</v>
      </c>
      <c r="P1083" s="559">
        <f t="shared" si="200"/>
        <v>1548.2</v>
      </c>
      <c r="Q1083" s="41">
        <f t="shared" si="201"/>
        <v>23.1074626865672</v>
      </c>
      <c r="R1083" s="1021">
        <f t="shared" si="202"/>
        <v>0.156177156177156</v>
      </c>
    </row>
    <row r="1084" spans="1:18">
      <c r="A1084" s="801">
        <v>45731</v>
      </c>
      <c r="B1084" s="670">
        <v>1285.35</v>
      </c>
      <c r="C1084" s="37">
        <v>1263</v>
      </c>
      <c r="D1084" s="37">
        <v>370</v>
      </c>
      <c r="E1084" s="37">
        <v>0</v>
      </c>
      <c r="F1084" s="670">
        <v>0</v>
      </c>
      <c r="G1084" s="37">
        <v>86</v>
      </c>
      <c r="H1084" s="37">
        <v>14</v>
      </c>
      <c r="I1084" s="37">
        <v>19</v>
      </c>
      <c r="J1084" s="527">
        <f t="shared" si="194"/>
        <v>0.292953285827395</v>
      </c>
      <c r="K1084" s="687">
        <f t="shared" si="195"/>
        <v>3.47391891891892</v>
      </c>
      <c r="L1084" s="41">
        <f t="shared" si="197"/>
        <v>1017.69596199525</v>
      </c>
      <c r="M1084" s="702">
        <f t="shared" si="196"/>
        <v>0</v>
      </c>
      <c r="N1084" s="39">
        <f t="shared" si="198"/>
        <v>0</v>
      </c>
      <c r="O1084" s="558">
        <f t="shared" si="199"/>
        <v>0</v>
      </c>
      <c r="P1084" s="559">
        <f t="shared" si="200"/>
        <v>0</v>
      </c>
      <c r="Q1084" s="41">
        <f t="shared" si="201"/>
        <v>14.9459302325581</v>
      </c>
      <c r="R1084" s="1021">
        <f t="shared" si="202"/>
        <v>0.232432432432432</v>
      </c>
    </row>
    <row r="1085" spans="1:18">
      <c r="A1085" s="801">
        <v>45732</v>
      </c>
      <c r="B1085" s="670">
        <v>1375.58</v>
      </c>
      <c r="C1085" s="37">
        <v>1321</v>
      </c>
      <c r="D1085" s="37">
        <v>436</v>
      </c>
      <c r="E1085" s="37">
        <v>4</v>
      </c>
      <c r="F1085" s="670">
        <v>33680</v>
      </c>
      <c r="G1085" s="37">
        <v>79</v>
      </c>
      <c r="H1085" s="37">
        <v>11</v>
      </c>
      <c r="I1085" s="37">
        <v>25</v>
      </c>
      <c r="J1085" s="527">
        <f t="shared" si="194"/>
        <v>0.33005299015897</v>
      </c>
      <c r="K1085" s="687">
        <f t="shared" si="195"/>
        <v>3.155</v>
      </c>
      <c r="L1085" s="41">
        <f t="shared" si="197"/>
        <v>1041.31718395155</v>
      </c>
      <c r="M1085" s="702">
        <f t="shared" si="196"/>
        <v>24.4842175664084</v>
      </c>
      <c r="N1085" s="39">
        <f t="shared" si="198"/>
        <v>0.00917431192660551</v>
      </c>
      <c r="O1085" s="558">
        <f t="shared" si="199"/>
        <v>8420</v>
      </c>
      <c r="P1085" s="559">
        <f t="shared" si="200"/>
        <v>343.895</v>
      </c>
      <c r="Q1085" s="41">
        <f t="shared" si="201"/>
        <v>17.4124050632911</v>
      </c>
      <c r="R1085" s="1021">
        <f t="shared" si="202"/>
        <v>0.181192660550459</v>
      </c>
    </row>
    <row r="1086" spans="1:18">
      <c r="A1086" s="801">
        <v>45733</v>
      </c>
      <c r="B1086" s="670">
        <v>1276.07</v>
      </c>
      <c r="C1086" s="37">
        <v>1257</v>
      </c>
      <c r="D1086" s="37">
        <v>366</v>
      </c>
      <c r="E1086" s="37">
        <v>4</v>
      </c>
      <c r="F1086" s="670">
        <v>29648</v>
      </c>
      <c r="G1086" s="37">
        <v>66</v>
      </c>
      <c r="H1086" s="37">
        <v>7</v>
      </c>
      <c r="I1086" s="37">
        <v>10</v>
      </c>
      <c r="J1086" s="527">
        <f t="shared" si="194"/>
        <v>0.291169451073986</v>
      </c>
      <c r="K1086" s="687">
        <f t="shared" si="195"/>
        <v>3.48653005464481</v>
      </c>
      <c r="L1086" s="41">
        <f t="shared" si="197"/>
        <v>1015.17104216388</v>
      </c>
      <c r="M1086" s="702">
        <f t="shared" si="196"/>
        <v>23.2338351344362</v>
      </c>
      <c r="N1086" s="39">
        <f t="shared" si="198"/>
        <v>0.0109289617486339</v>
      </c>
      <c r="O1086" s="558">
        <f t="shared" si="199"/>
        <v>7412</v>
      </c>
      <c r="P1086" s="559">
        <f t="shared" si="200"/>
        <v>319.0175</v>
      </c>
      <c r="Q1086" s="41">
        <f t="shared" si="201"/>
        <v>19.3343939393939</v>
      </c>
      <c r="R1086" s="1021">
        <f t="shared" si="202"/>
        <v>0.180327868852459</v>
      </c>
    </row>
    <row r="1087" spans="1:18">
      <c r="A1087" s="801">
        <v>45734</v>
      </c>
      <c r="B1087" s="670">
        <v>1042.58</v>
      </c>
      <c r="C1087" s="37">
        <v>1050</v>
      </c>
      <c r="D1087" s="37">
        <v>309</v>
      </c>
      <c r="E1087" s="37">
        <v>3</v>
      </c>
      <c r="F1087" s="670">
        <v>47962</v>
      </c>
      <c r="G1087" s="37">
        <v>64</v>
      </c>
      <c r="H1087" s="37">
        <v>6</v>
      </c>
      <c r="I1087" s="37">
        <v>7</v>
      </c>
      <c r="J1087" s="527">
        <f t="shared" si="194"/>
        <v>0.294285714285714</v>
      </c>
      <c r="K1087" s="687">
        <f t="shared" si="195"/>
        <v>3.37404530744337</v>
      </c>
      <c r="L1087" s="41">
        <f t="shared" si="197"/>
        <v>992.933333333333</v>
      </c>
      <c r="M1087" s="702">
        <f t="shared" si="196"/>
        <v>46.0031844079111</v>
      </c>
      <c r="N1087" s="39">
        <f t="shared" si="198"/>
        <v>0.00970873786407767</v>
      </c>
      <c r="O1087" s="558">
        <f t="shared" si="199"/>
        <v>15987.3333333333</v>
      </c>
      <c r="P1087" s="559">
        <f t="shared" si="200"/>
        <v>347.526666666667</v>
      </c>
      <c r="Q1087" s="41">
        <f t="shared" si="201"/>
        <v>16.2903125</v>
      </c>
      <c r="R1087" s="1021">
        <f t="shared" si="202"/>
        <v>0.207119741100324</v>
      </c>
    </row>
    <row r="1088" spans="1:18">
      <c r="A1088" s="801">
        <v>45735</v>
      </c>
      <c r="B1088" s="670">
        <v>1047.94</v>
      </c>
      <c r="C1088" s="37">
        <v>1031</v>
      </c>
      <c r="D1088" s="37">
        <v>264</v>
      </c>
      <c r="E1088" s="37">
        <v>4</v>
      </c>
      <c r="F1088" s="670">
        <v>32433.02</v>
      </c>
      <c r="G1088" s="37">
        <v>61</v>
      </c>
      <c r="H1088" s="37">
        <v>6</v>
      </c>
      <c r="I1088" s="37">
        <v>10</v>
      </c>
      <c r="J1088" s="527">
        <f t="shared" si="194"/>
        <v>0.256062075654704</v>
      </c>
      <c r="K1088" s="687">
        <f t="shared" si="195"/>
        <v>3.9694696969697</v>
      </c>
      <c r="L1088" s="41">
        <f t="shared" si="197"/>
        <v>1016.43064985451</v>
      </c>
      <c r="M1088" s="702">
        <f t="shared" si="196"/>
        <v>30.9493100750043</v>
      </c>
      <c r="N1088" s="39">
        <f t="shared" si="198"/>
        <v>0.0151515151515152</v>
      </c>
      <c r="O1088" s="558">
        <f t="shared" si="199"/>
        <v>8108.255</v>
      </c>
      <c r="P1088" s="559">
        <f t="shared" si="200"/>
        <v>261.985</v>
      </c>
      <c r="Q1088" s="41">
        <f t="shared" si="201"/>
        <v>17.1793442622951</v>
      </c>
      <c r="R1088" s="1021">
        <f t="shared" si="202"/>
        <v>0.231060606060606</v>
      </c>
    </row>
    <row r="1089" spans="1:18">
      <c r="A1089" s="801">
        <v>45736</v>
      </c>
      <c r="B1089" s="670">
        <v>1049.93</v>
      </c>
      <c r="C1089" s="37">
        <v>1154</v>
      </c>
      <c r="D1089" s="37">
        <v>234</v>
      </c>
      <c r="E1089" s="37">
        <v>5</v>
      </c>
      <c r="F1089" s="670">
        <v>52580</v>
      </c>
      <c r="G1089" s="37">
        <v>49</v>
      </c>
      <c r="H1089" s="37">
        <v>5</v>
      </c>
      <c r="I1089" s="37">
        <v>11</v>
      </c>
      <c r="J1089" s="527">
        <f t="shared" si="194"/>
        <v>0.202772963604853</v>
      </c>
      <c r="K1089" s="687">
        <f t="shared" si="195"/>
        <v>4.48688034188034</v>
      </c>
      <c r="L1089" s="41">
        <f t="shared" si="197"/>
        <v>909.818024263432</v>
      </c>
      <c r="M1089" s="702">
        <f t="shared" si="196"/>
        <v>50.0795291114646</v>
      </c>
      <c r="N1089" s="39">
        <f t="shared" si="198"/>
        <v>0.0213675213675214</v>
      </c>
      <c r="O1089" s="558">
        <f t="shared" si="199"/>
        <v>10516</v>
      </c>
      <c r="P1089" s="559">
        <f t="shared" si="200"/>
        <v>209.986</v>
      </c>
      <c r="Q1089" s="41">
        <f t="shared" si="201"/>
        <v>21.4271428571429</v>
      </c>
      <c r="R1089" s="1021">
        <f t="shared" si="202"/>
        <v>0.209401709401709</v>
      </c>
    </row>
    <row r="1090" spans="1:18">
      <c r="A1090" s="801">
        <v>45737</v>
      </c>
      <c r="B1090" s="670">
        <v>837.48</v>
      </c>
      <c r="C1090" s="37">
        <v>708</v>
      </c>
      <c r="D1090" s="37">
        <v>214</v>
      </c>
      <c r="E1090" s="37">
        <v>0</v>
      </c>
      <c r="F1090" s="670">
        <v>0</v>
      </c>
      <c r="G1090" s="37">
        <v>44</v>
      </c>
      <c r="H1090" s="37">
        <v>3</v>
      </c>
      <c r="I1090" s="37">
        <v>8</v>
      </c>
      <c r="J1090" s="527">
        <f t="shared" ref="J1090:J1153" si="203">D1090/C1090</f>
        <v>0.30225988700565</v>
      </c>
      <c r="K1090" s="687">
        <f t="shared" ref="K1090:K1153" si="204">B1090/D1090</f>
        <v>3.91345794392523</v>
      </c>
      <c r="L1090" s="41">
        <f t="shared" si="197"/>
        <v>1182.8813559322</v>
      </c>
      <c r="M1090" s="702">
        <f t="shared" si="196"/>
        <v>0</v>
      </c>
      <c r="N1090" s="39">
        <f t="shared" si="198"/>
        <v>0</v>
      </c>
      <c r="O1090" s="558">
        <f t="shared" si="199"/>
        <v>0</v>
      </c>
      <c r="P1090" s="559">
        <f t="shared" si="200"/>
        <v>0</v>
      </c>
      <c r="Q1090" s="41">
        <f t="shared" si="201"/>
        <v>19.0336363636364</v>
      </c>
      <c r="R1090" s="1021">
        <f t="shared" si="202"/>
        <v>0.205607476635514</v>
      </c>
    </row>
    <row r="1091" spans="1:18">
      <c r="A1091" s="801">
        <v>45738</v>
      </c>
      <c r="B1091" s="670">
        <v>722.68</v>
      </c>
      <c r="C1091" s="37">
        <v>601</v>
      </c>
      <c r="D1091" s="37">
        <v>189</v>
      </c>
      <c r="E1091" s="37">
        <v>1</v>
      </c>
      <c r="F1091" s="670">
        <v>12537</v>
      </c>
      <c r="G1091" s="37">
        <v>42</v>
      </c>
      <c r="H1091" s="37">
        <v>4</v>
      </c>
      <c r="I1091" s="37">
        <v>7</v>
      </c>
      <c r="J1091" s="527">
        <f t="shared" si="203"/>
        <v>0.314475873544093</v>
      </c>
      <c r="K1091" s="687">
        <f t="shared" si="204"/>
        <v>3.8237037037037</v>
      </c>
      <c r="L1091" s="41">
        <f t="shared" si="197"/>
        <v>1202.46256239601</v>
      </c>
      <c r="M1091" s="702">
        <f t="shared" si="196"/>
        <v>17.3479271600155</v>
      </c>
      <c r="N1091" s="39">
        <f t="shared" si="198"/>
        <v>0.00529100529100529</v>
      </c>
      <c r="O1091" s="558">
        <f t="shared" si="199"/>
        <v>12537</v>
      </c>
      <c r="P1091" s="559">
        <f t="shared" si="200"/>
        <v>722.68</v>
      </c>
      <c r="Q1091" s="41">
        <f t="shared" si="201"/>
        <v>17.2066666666667</v>
      </c>
      <c r="R1091" s="1021">
        <f t="shared" si="202"/>
        <v>0.222222222222222</v>
      </c>
    </row>
    <row r="1092" spans="1:18">
      <c r="A1092" s="801">
        <v>45739</v>
      </c>
      <c r="B1092" s="670">
        <v>760.83</v>
      </c>
      <c r="C1092" s="37">
        <v>652</v>
      </c>
      <c r="D1092" s="37">
        <v>204</v>
      </c>
      <c r="E1092" s="37">
        <v>3</v>
      </c>
      <c r="F1092" s="670">
        <v>22904</v>
      </c>
      <c r="G1092" s="37">
        <v>38</v>
      </c>
      <c r="H1092" s="37">
        <v>1</v>
      </c>
      <c r="I1092" s="37">
        <v>12</v>
      </c>
      <c r="J1092" s="527">
        <f t="shared" si="203"/>
        <v>0.312883435582822</v>
      </c>
      <c r="K1092" s="687">
        <f t="shared" si="204"/>
        <v>3.72955882352941</v>
      </c>
      <c r="L1092" s="41">
        <f t="shared" si="197"/>
        <v>1166.91717791411</v>
      </c>
      <c r="M1092" s="702">
        <f t="shared" si="196"/>
        <v>30.1039654062011</v>
      </c>
      <c r="N1092" s="39">
        <f t="shared" si="198"/>
        <v>0.0147058823529412</v>
      </c>
      <c r="O1092" s="558">
        <f t="shared" si="199"/>
        <v>7634.66666666667</v>
      </c>
      <c r="P1092" s="559">
        <f t="shared" si="200"/>
        <v>253.61</v>
      </c>
      <c r="Q1092" s="41">
        <f t="shared" si="201"/>
        <v>20.0218421052632</v>
      </c>
      <c r="R1092" s="1021">
        <f t="shared" si="202"/>
        <v>0.186274509803922</v>
      </c>
    </row>
    <row r="1093" spans="1:18">
      <c r="A1093" s="801">
        <v>45740</v>
      </c>
      <c r="B1093" s="670">
        <v>929.91</v>
      </c>
      <c r="C1093" s="37">
        <v>933</v>
      </c>
      <c r="D1093" s="37">
        <v>199</v>
      </c>
      <c r="E1093" s="37">
        <v>4</v>
      </c>
      <c r="F1093" s="670">
        <v>49262</v>
      </c>
      <c r="G1093" s="37">
        <v>57</v>
      </c>
      <c r="H1093" s="37">
        <v>4</v>
      </c>
      <c r="I1093" s="37">
        <v>7</v>
      </c>
      <c r="J1093" s="527">
        <f t="shared" si="203"/>
        <v>0.213290460878885</v>
      </c>
      <c r="K1093" s="687">
        <f t="shared" si="204"/>
        <v>4.67291457286432</v>
      </c>
      <c r="L1093" s="41">
        <f t="shared" si="197"/>
        <v>996.688102893891</v>
      </c>
      <c r="M1093" s="702">
        <f t="shared" si="196"/>
        <v>52.9750190878687</v>
      </c>
      <c r="N1093" s="39">
        <f t="shared" si="198"/>
        <v>0.0201005025125628</v>
      </c>
      <c r="O1093" s="558">
        <f t="shared" si="199"/>
        <v>12315.5</v>
      </c>
      <c r="P1093" s="559">
        <f t="shared" si="200"/>
        <v>232.4775</v>
      </c>
      <c r="Q1093" s="41">
        <f t="shared" si="201"/>
        <v>16.3142105263158</v>
      </c>
      <c r="R1093" s="1021">
        <f t="shared" si="202"/>
        <v>0.28643216080402</v>
      </c>
    </row>
    <row r="1094" spans="1:18">
      <c r="A1094" s="801">
        <v>45741</v>
      </c>
      <c r="B1094" s="670">
        <v>878.04</v>
      </c>
      <c r="C1094" s="37">
        <v>950</v>
      </c>
      <c r="D1094" s="37">
        <v>191</v>
      </c>
      <c r="E1094" s="37">
        <v>0</v>
      </c>
      <c r="F1094" s="670">
        <v>0</v>
      </c>
      <c r="G1094" s="37">
        <v>47</v>
      </c>
      <c r="H1094" s="37">
        <v>4</v>
      </c>
      <c r="I1094" s="37">
        <v>6</v>
      </c>
      <c r="J1094" s="527">
        <f t="shared" si="203"/>
        <v>0.201052631578947</v>
      </c>
      <c r="K1094" s="687">
        <f t="shared" si="204"/>
        <v>4.59706806282723</v>
      </c>
      <c r="L1094" s="41">
        <f t="shared" si="197"/>
        <v>924.252631578947</v>
      </c>
      <c r="M1094" s="702">
        <f t="shared" si="196"/>
        <v>0</v>
      </c>
      <c r="N1094" s="39">
        <f t="shared" si="198"/>
        <v>0</v>
      </c>
      <c r="O1094" s="558">
        <f t="shared" si="199"/>
        <v>0</v>
      </c>
      <c r="P1094" s="559">
        <f t="shared" si="200"/>
        <v>0</v>
      </c>
      <c r="Q1094" s="41">
        <f t="shared" si="201"/>
        <v>18.6817021276596</v>
      </c>
      <c r="R1094" s="1021">
        <f t="shared" si="202"/>
        <v>0.246073298429319</v>
      </c>
    </row>
    <row r="1095" spans="1:18">
      <c r="A1095" s="801">
        <v>45742</v>
      </c>
      <c r="B1095" s="670">
        <v>874.19</v>
      </c>
      <c r="C1095" s="37">
        <v>850</v>
      </c>
      <c r="D1095" s="37">
        <v>184</v>
      </c>
      <c r="E1095" s="37">
        <v>1</v>
      </c>
      <c r="F1095" s="670">
        <v>16384</v>
      </c>
      <c r="G1095" s="37">
        <v>41</v>
      </c>
      <c r="H1095" s="37">
        <v>3</v>
      </c>
      <c r="I1095" s="37">
        <v>8</v>
      </c>
      <c r="J1095" s="527">
        <f t="shared" si="203"/>
        <v>0.216470588235294</v>
      </c>
      <c r="K1095" s="687">
        <f t="shared" si="204"/>
        <v>4.75103260869565</v>
      </c>
      <c r="L1095" s="41">
        <f t="shared" si="197"/>
        <v>1028.45882352941</v>
      </c>
      <c r="M1095" s="702">
        <f t="shared" si="196"/>
        <v>18.7419210926686</v>
      </c>
      <c r="N1095" s="39">
        <f t="shared" si="198"/>
        <v>0.00543478260869565</v>
      </c>
      <c r="O1095" s="558">
        <f t="shared" si="199"/>
        <v>16384</v>
      </c>
      <c r="P1095" s="559">
        <f t="shared" si="200"/>
        <v>874.19</v>
      </c>
      <c r="Q1095" s="41">
        <f t="shared" si="201"/>
        <v>21.3217073170732</v>
      </c>
      <c r="R1095" s="1021">
        <f t="shared" si="202"/>
        <v>0.222826086956522</v>
      </c>
    </row>
    <row r="1096" spans="1:18">
      <c r="A1096" s="801">
        <v>45743</v>
      </c>
      <c r="B1096" s="670">
        <v>809.04</v>
      </c>
      <c r="C1096" s="37">
        <v>787</v>
      </c>
      <c r="D1096" s="37">
        <v>205</v>
      </c>
      <c r="E1096" s="37">
        <v>4</v>
      </c>
      <c r="F1096" s="670">
        <v>42676</v>
      </c>
      <c r="G1096" s="37">
        <v>39</v>
      </c>
      <c r="H1096" s="37">
        <v>4</v>
      </c>
      <c r="I1096" s="37">
        <v>10</v>
      </c>
      <c r="J1096" s="527">
        <f t="shared" si="203"/>
        <v>0.260482846251588</v>
      </c>
      <c r="K1096" s="687">
        <f t="shared" si="204"/>
        <v>3.94653658536585</v>
      </c>
      <c r="L1096" s="41">
        <f t="shared" si="197"/>
        <v>1028.00508259212</v>
      </c>
      <c r="M1096" s="702">
        <f t="shared" si="196"/>
        <v>52.748937011767</v>
      </c>
      <c r="N1096" s="39">
        <f t="shared" si="198"/>
        <v>0.0195121951219512</v>
      </c>
      <c r="O1096" s="558">
        <f t="shared" si="199"/>
        <v>10669</v>
      </c>
      <c r="P1096" s="559">
        <f t="shared" si="200"/>
        <v>202.26</v>
      </c>
      <c r="Q1096" s="41">
        <f t="shared" si="201"/>
        <v>20.7446153846154</v>
      </c>
      <c r="R1096" s="1021">
        <f t="shared" si="202"/>
        <v>0.190243902439024</v>
      </c>
    </row>
    <row r="1097" spans="1:18">
      <c r="A1097" s="801">
        <v>45744</v>
      </c>
      <c r="B1097" s="670">
        <v>784.85</v>
      </c>
      <c r="C1097" s="37">
        <v>787</v>
      </c>
      <c r="D1097" s="37">
        <v>166</v>
      </c>
      <c r="E1097" s="37">
        <v>1</v>
      </c>
      <c r="F1097" s="670">
        <v>15792</v>
      </c>
      <c r="G1097" s="37">
        <v>37</v>
      </c>
      <c r="H1097" s="37">
        <v>1</v>
      </c>
      <c r="I1097" s="37">
        <v>10</v>
      </c>
      <c r="J1097" s="527">
        <f t="shared" si="203"/>
        <v>0.210927573062262</v>
      </c>
      <c r="K1097" s="687">
        <f t="shared" si="204"/>
        <v>4.72801204819277</v>
      </c>
      <c r="L1097" s="41">
        <f t="shared" si="197"/>
        <v>997.268106734435</v>
      </c>
      <c r="M1097" s="702">
        <f t="shared" si="196"/>
        <v>20.1210422373702</v>
      </c>
      <c r="N1097" s="39">
        <f t="shared" si="198"/>
        <v>0.00602409638554217</v>
      </c>
      <c r="O1097" s="558">
        <f t="shared" si="199"/>
        <v>15792</v>
      </c>
      <c r="P1097" s="559">
        <f t="shared" si="200"/>
        <v>784.85</v>
      </c>
      <c r="Q1097" s="41">
        <f t="shared" si="201"/>
        <v>21.2121621621622</v>
      </c>
      <c r="R1097" s="1021">
        <f t="shared" si="202"/>
        <v>0.22289156626506</v>
      </c>
    </row>
    <row r="1098" spans="1:18">
      <c r="A1098" s="801">
        <v>45745</v>
      </c>
      <c r="B1098" s="670">
        <v>797.76</v>
      </c>
      <c r="C1098" s="37">
        <v>783</v>
      </c>
      <c r="D1098" s="37">
        <v>208</v>
      </c>
      <c r="E1098" s="37">
        <v>4</v>
      </c>
      <c r="F1098" s="670">
        <v>38504</v>
      </c>
      <c r="G1098" s="37">
        <v>41</v>
      </c>
      <c r="H1098" s="37">
        <v>1</v>
      </c>
      <c r="I1098" s="37">
        <v>10</v>
      </c>
      <c r="J1098" s="527">
        <f t="shared" si="203"/>
        <v>0.265644955300128</v>
      </c>
      <c r="K1098" s="687">
        <f t="shared" si="204"/>
        <v>3.83538461538461</v>
      </c>
      <c r="L1098" s="41">
        <f t="shared" si="197"/>
        <v>1018.85057471264</v>
      </c>
      <c r="M1098" s="702">
        <f t="shared" si="196"/>
        <v>48.2651423987164</v>
      </c>
      <c r="N1098" s="39">
        <f t="shared" si="198"/>
        <v>0.0192307692307692</v>
      </c>
      <c r="O1098" s="558">
        <f t="shared" si="199"/>
        <v>9626</v>
      </c>
      <c r="P1098" s="559">
        <f t="shared" si="200"/>
        <v>199.44</v>
      </c>
      <c r="Q1098" s="41">
        <f t="shared" si="201"/>
        <v>19.4575609756098</v>
      </c>
      <c r="R1098" s="1021">
        <f t="shared" si="202"/>
        <v>0.197115384615385</v>
      </c>
    </row>
    <row r="1099" spans="1:18">
      <c r="A1099" s="801">
        <v>45746</v>
      </c>
      <c r="B1099" s="670">
        <v>841.7</v>
      </c>
      <c r="C1099" s="37">
        <v>804</v>
      </c>
      <c r="D1099" s="37">
        <v>219</v>
      </c>
      <c r="E1099" s="37">
        <v>1</v>
      </c>
      <c r="F1099" s="670">
        <v>10114</v>
      </c>
      <c r="G1099" s="37">
        <v>51</v>
      </c>
      <c r="H1099" s="37">
        <v>2</v>
      </c>
      <c r="I1099" s="37">
        <v>16</v>
      </c>
      <c r="J1099" s="527">
        <f t="shared" si="203"/>
        <v>0.272388059701493</v>
      </c>
      <c r="K1099" s="687">
        <f t="shared" si="204"/>
        <v>3.84337899543379</v>
      </c>
      <c r="L1099" s="41">
        <f t="shared" si="197"/>
        <v>1046.89054726368</v>
      </c>
      <c r="M1099" s="702">
        <f t="shared" si="196"/>
        <v>12.0161577759297</v>
      </c>
      <c r="N1099" s="39">
        <f t="shared" si="198"/>
        <v>0.0045662100456621</v>
      </c>
      <c r="O1099" s="558">
        <f t="shared" si="199"/>
        <v>10114</v>
      </c>
      <c r="P1099" s="559">
        <f t="shared" si="200"/>
        <v>841.7</v>
      </c>
      <c r="Q1099" s="41">
        <f t="shared" si="201"/>
        <v>16.5039215686275</v>
      </c>
      <c r="R1099" s="1021">
        <f t="shared" si="202"/>
        <v>0.232876712328767</v>
      </c>
    </row>
    <row r="1100" spans="1:18">
      <c r="A1100" s="801">
        <v>45747</v>
      </c>
      <c r="B1100" s="670">
        <v>799.53</v>
      </c>
      <c r="C1100" s="37">
        <v>785</v>
      </c>
      <c r="D1100" s="37">
        <v>175</v>
      </c>
      <c r="E1100" s="37">
        <v>2</v>
      </c>
      <c r="F1100" s="670">
        <v>31364</v>
      </c>
      <c r="G1100" s="37">
        <v>35</v>
      </c>
      <c r="H1100" s="37">
        <v>4</v>
      </c>
      <c r="I1100" s="37">
        <v>6</v>
      </c>
      <c r="J1100" s="527">
        <f t="shared" si="203"/>
        <v>0.222929936305732</v>
      </c>
      <c r="K1100" s="687">
        <f t="shared" si="204"/>
        <v>4.56874285714286</v>
      </c>
      <c r="L1100" s="41">
        <f t="shared" si="197"/>
        <v>1018.50955414013</v>
      </c>
      <c r="M1100" s="702">
        <f t="shared" si="196"/>
        <v>39.2280464773054</v>
      </c>
      <c r="N1100" s="39">
        <f t="shared" si="198"/>
        <v>0.0114285714285714</v>
      </c>
      <c r="O1100" s="558">
        <f t="shared" si="199"/>
        <v>15682</v>
      </c>
      <c r="P1100" s="559">
        <f t="shared" si="200"/>
        <v>399.765</v>
      </c>
      <c r="Q1100" s="41">
        <f t="shared" si="201"/>
        <v>22.8437142857143</v>
      </c>
      <c r="R1100" s="1021">
        <f t="shared" si="202"/>
        <v>0.2</v>
      </c>
    </row>
    <row r="1101" spans="1:18">
      <c r="A1101" s="801">
        <v>45748</v>
      </c>
      <c r="B1101" s="670">
        <v>812.64</v>
      </c>
      <c r="C1101" s="37">
        <v>748</v>
      </c>
      <c r="D1101" s="37">
        <v>217</v>
      </c>
      <c r="E1101" s="37">
        <v>3</v>
      </c>
      <c r="F1101" s="670">
        <v>36286</v>
      </c>
      <c r="G1101" s="37">
        <v>49</v>
      </c>
      <c r="H1101" s="37">
        <v>3</v>
      </c>
      <c r="I1101" s="37">
        <v>10</v>
      </c>
      <c r="J1101" s="527">
        <f t="shared" si="203"/>
        <v>0.290106951871658</v>
      </c>
      <c r="K1101" s="687">
        <f t="shared" si="204"/>
        <v>3.74488479262673</v>
      </c>
      <c r="L1101" s="41">
        <f t="shared" si="197"/>
        <v>1086.41711229947</v>
      </c>
      <c r="M1101" s="702">
        <f t="shared" si="196"/>
        <v>44.6519984248868</v>
      </c>
      <c r="N1101" s="39">
        <f t="shared" si="198"/>
        <v>0.0138248847926267</v>
      </c>
      <c r="O1101" s="558">
        <f t="shared" si="199"/>
        <v>12095.3333333333</v>
      </c>
      <c r="P1101" s="559">
        <f t="shared" si="200"/>
        <v>270.88</v>
      </c>
      <c r="Q1101" s="41">
        <f t="shared" si="201"/>
        <v>16.5844897959184</v>
      </c>
      <c r="R1101" s="1021">
        <f t="shared" si="202"/>
        <v>0.225806451612903</v>
      </c>
    </row>
    <row r="1102" spans="1:18">
      <c r="A1102" s="801">
        <v>45749</v>
      </c>
      <c r="B1102" s="670">
        <v>684.81</v>
      </c>
      <c r="C1102" s="37">
        <v>561</v>
      </c>
      <c r="D1102" s="37">
        <v>166</v>
      </c>
      <c r="E1102" s="37">
        <v>0</v>
      </c>
      <c r="F1102" s="670">
        <v>0</v>
      </c>
      <c r="G1102" s="37">
        <v>41</v>
      </c>
      <c r="H1102" s="37">
        <v>0</v>
      </c>
      <c r="I1102" s="37">
        <v>9</v>
      </c>
      <c r="J1102" s="527">
        <f t="shared" si="203"/>
        <v>0.295900178253119</v>
      </c>
      <c r="K1102" s="687">
        <f t="shared" si="204"/>
        <v>4.12536144578313</v>
      </c>
      <c r="L1102" s="41">
        <f t="shared" si="197"/>
        <v>1220.69518716578</v>
      </c>
      <c r="M1102" s="702">
        <f t="shared" si="196"/>
        <v>0</v>
      </c>
      <c r="N1102" s="39">
        <f t="shared" si="198"/>
        <v>0</v>
      </c>
      <c r="O1102" s="558">
        <f t="shared" si="199"/>
        <v>0</v>
      </c>
      <c r="P1102" s="559">
        <f t="shared" si="200"/>
        <v>0</v>
      </c>
      <c r="Q1102" s="41">
        <f t="shared" si="201"/>
        <v>16.7026829268293</v>
      </c>
      <c r="R1102" s="1021">
        <f t="shared" si="202"/>
        <v>0.246987951807229</v>
      </c>
    </row>
    <row r="1103" spans="1:18">
      <c r="A1103" s="801">
        <v>45750</v>
      </c>
      <c r="B1103" s="670">
        <v>695.01</v>
      </c>
      <c r="C1103" s="37">
        <v>535</v>
      </c>
      <c r="D1103" s="37">
        <v>151</v>
      </c>
      <c r="E1103" s="37">
        <v>1</v>
      </c>
      <c r="F1103" s="670">
        <v>12674</v>
      </c>
      <c r="G1103" s="37">
        <v>34</v>
      </c>
      <c r="H1103" s="37">
        <v>3</v>
      </c>
      <c r="I1103" s="37">
        <v>8</v>
      </c>
      <c r="J1103" s="527">
        <f t="shared" si="203"/>
        <v>0.282242990654206</v>
      </c>
      <c r="K1103" s="687">
        <f t="shared" si="204"/>
        <v>4.60271523178808</v>
      </c>
      <c r="L1103" s="41">
        <f t="shared" si="197"/>
        <v>1299.08411214953</v>
      </c>
      <c r="M1103" s="702">
        <f t="shared" si="196"/>
        <v>18.2357088387217</v>
      </c>
      <c r="N1103" s="39">
        <f t="shared" si="198"/>
        <v>0.00662251655629139</v>
      </c>
      <c r="O1103" s="558">
        <f t="shared" si="199"/>
        <v>12674</v>
      </c>
      <c r="P1103" s="559">
        <f t="shared" si="200"/>
        <v>695.01</v>
      </c>
      <c r="Q1103" s="41">
        <f t="shared" si="201"/>
        <v>20.4414705882353</v>
      </c>
      <c r="R1103" s="1021">
        <f t="shared" si="202"/>
        <v>0.225165562913907</v>
      </c>
    </row>
    <row r="1104" spans="1:18">
      <c r="A1104" s="801">
        <v>45751</v>
      </c>
      <c r="B1104" s="670">
        <v>630.72</v>
      </c>
      <c r="C1104" s="37">
        <v>562</v>
      </c>
      <c r="D1104" s="37">
        <v>177</v>
      </c>
      <c r="E1104" s="37">
        <v>2</v>
      </c>
      <c r="F1104" s="670">
        <v>13986</v>
      </c>
      <c r="G1104" s="37">
        <v>47</v>
      </c>
      <c r="H1104" s="37">
        <v>4</v>
      </c>
      <c r="I1104" s="37">
        <v>8</v>
      </c>
      <c r="J1104" s="527">
        <f t="shared" si="203"/>
        <v>0.314946619217082</v>
      </c>
      <c r="K1104" s="687">
        <f t="shared" si="204"/>
        <v>3.56338983050847</v>
      </c>
      <c r="L1104" s="41">
        <f t="shared" si="197"/>
        <v>1122.27758007117</v>
      </c>
      <c r="M1104" s="702">
        <f t="shared" si="196"/>
        <v>22.1746575342466</v>
      </c>
      <c r="N1104" s="39">
        <f t="shared" si="198"/>
        <v>0.0112994350282486</v>
      </c>
      <c r="O1104" s="558">
        <f t="shared" si="199"/>
        <v>6993</v>
      </c>
      <c r="P1104" s="559">
        <f t="shared" si="200"/>
        <v>315.36</v>
      </c>
      <c r="Q1104" s="41">
        <f t="shared" si="201"/>
        <v>13.4195744680851</v>
      </c>
      <c r="R1104" s="1021">
        <f t="shared" si="202"/>
        <v>0.265536723163842</v>
      </c>
    </row>
    <row r="1105" spans="1:18">
      <c r="A1105" s="801">
        <v>45752</v>
      </c>
      <c r="B1105" s="670">
        <v>577.75</v>
      </c>
      <c r="C1105" s="37">
        <v>529</v>
      </c>
      <c r="D1105" s="37">
        <v>142</v>
      </c>
      <c r="E1105" s="37">
        <v>0</v>
      </c>
      <c r="F1105" s="670">
        <v>0</v>
      </c>
      <c r="G1105" s="37">
        <v>33</v>
      </c>
      <c r="H1105" s="37">
        <v>3</v>
      </c>
      <c r="I1105" s="37">
        <v>9</v>
      </c>
      <c r="J1105" s="527">
        <f t="shared" si="203"/>
        <v>0.268431001890359</v>
      </c>
      <c r="K1105" s="687">
        <f t="shared" si="204"/>
        <v>4.06866197183099</v>
      </c>
      <c r="L1105" s="41">
        <f t="shared" si="197"/>
        <v>1092.1550094518</v>
      </c>
      <c r="M1105" s="702">
        <f t="shared" si="196"/>
        <v>0</v>
      </c>
      <c r="N1105" s="39">
        <f t="shared" si="198"/>
        <v>0</v>
      </c>
      <c r="O1105" s="558">
        <f t="shared" si="199"/>
        <v>0</v>
      </c>
      <c r="P1105" s="559">
        <f t="shared" si="200"/>
        <v>0</v>
      </c>
      <c r="Q1105" s="41">
        <f t="shared" si="201"/>
        <v>17.5075757575758</v>
      </c>
      <c r="R1105" s="1021">
        <f t="shared" si="202"/>
        <v>0.232394366197183</v>
      </c>
    </row>
    <row r="1106" spans="1:18">
      <c r="A1106" s="801">
        <v>45753</v>
      </c>
      <c r="B1106" s="670">
        <v>619.6</v>
      </c>
      <c r="C1106" s="37">
        <v>602</v>
      </c>
      <c r="D1106" s="37">
        <v>174</v>
      </c>
      <c r="E1106" s="37">
        <v>4</v>
      </c>
      <c r="F1106" s="670">
        <v>59243</v>
      </c>
      <c r="G1106" s="37">
        <v>39</v>
      </c>
      <c r="H1106" s="37">
        <v>2</v>
      </c>
      <c r="I1106" s="37">
        <v>11</v>
      </c>
      <c r="J1106" s="527">
        <f t="shared" si="203"/>
        <v>0.289036544850498</v>
      </c>
      <c r="K1106" s="687">
        <f t="shared" si="204"/>
        <v>3.56091954022988</v>
      </c>
      <c r="L1106" s="41">
        <f t="shared" si="197"/>
        <v>1029.23588039867</v>
      </c>
      <c r="M1106" s="702">
        <f t="shared" si="196"/>
        <v>95.6149128469981</v>
      </c>
      <c r="N1106" s="39">
        <f t="shared" si="198"/>
        <v>0.0229885057471264</v>
      </c>
      <c r="O1106" s="558">
        <f t="shared" si="199"/>
        <v>14810.75</v>
      </c>
      <c r="P1106" s="559">
        <f t="shared" si="200"/>
        <v>154.9</v>
      </c>
      <c r="Q1106" s="41">
        <f t="shared" si="201"/>
        <v>15.8871794871795</v>
      </c>
      <c r="R1106" s="1021">
        <f t="shared" si="202"/>
        <v>0.224137931034483</v>
      </c>
    </row>
    <row r="1107" spans="1:18">
      <c r="A1107" s="801">
        <v>45754</v>
      </c>
      <c r="B1107" s="670">
        <v>860.49</v>
      </c>
      <c r="C1107" s="37">
        <v>731</v>
      </c>
      <c r="D1107" s="37">
        <v>249</v>
      </c>
      <c r="E1107" s="37">
        <v>1</v>
      </c>
      <c r="F1107" s="670">
        <v>12642</v>
      </c>
      <c r="G1107" s="37">
        <v>36</v>
      </c>
      <c r="H1107" s="37">
        <v>4</v>
      </c>
      <c r="I1107" s="37">
        <v>9</v>
      </c>
      <c r="J1107" s="527">
        <f t="shared" si="203"/>
        <v>0.3406292749658</v>
      </c>
      <c r="K1107" s="687">
        <f t="shared" si="204"/>
        <v>3.45578313253012</v>
      </c>
      <c r="L1107" s="41">
        <f t="shared" si="197"/>
        <v>1177.14090287278</v>
      </c>
      <c r="M1107" s="702">
        <f t="shared" si="196"/>
        <v>14.6916291880208</v>
      </c>
      <c r="N1107" s="39">
        <f t="shared" si="198"/>
        <v>0.00401606425702811</v>
      </c>
      <c r="O1107" s="558">
        <f t="shared" si="199"/>
        <v>12642</v>
      </c>
      <c r="P1107" s="559">
        <f t="shared" si="200"/>
        <v>860.49</v>
      </c>
      <c r="Q1107" s="41">
        <f t="shared" si="201"/>
        <v>23.9025</v>
      </c>
      <c r="R1107" s="1021">
        <f t="shared" si="202"/>
        <v>0.144578313253012</v>
      </c>
    </row>
    <row r="1108" spans="1:18">
      <c r="A1108" s="801">
        <v>45755</v>
      </c>
      <c r="B1108" s="670">
        <v>907.53</v>
      </c>
      <c r="C1108" s="37">
        <v>714</v>
      </c>
      <c r="D1108" s="37">
        <v>225</v>
      </c>
      <c r="E1108" s="37">
        <v>4</v>
      </c>
      <c r="F1108" s="670">
        <v>43686</v>
      </c>
      <c r="G1108" s="37">
        <v>49</v>
      </c>
      <c r="H1108" s="37">
        <v>2</v>
      </c>
      <c r="I1108" s="37">
        <v>7</v>
      </c>
      <c r="J1108" s="527">
        <f t="shared" si="203"/>
        <v>0.315126050420168</v>
      </c>
      <c r="K1108" s="687">
        <f t="shared" si="204"/>
        <v>4.03346666666667</v>
      </c>
      <c r="L1108" s="41">
        <f t="shared" si="197"/>
        <v>1271.05042016807</v>
      </c>
      <c r="M1108" s="702">
        <f t="shared" si="196"/>
        <v>48.1372516611021</v>
      </c>
      <c r="N1108" s="39">
        <f t="shared" si="198"/>
        <v>0.0177777777777778</v>
      </c>
      <c r="O1108" s="558">
        <f t="shared" si="199"/>
        <v>10921.5</v>
      </c>
      <c r="P1108" s="559">
        <f t="shared" si="200"/>
        <v>226.8825</v>
      </c>
      <c r="Q1108" s="41">
        <f t="shared" si="201"/>
        <v>18.5210204081633</v>
      </c>
      <c r="R1108" s="1021">
        <f t="shared" si="202"/>
        <v>0.217777777777778</v>
      </c>
    </row>
    <row r="1109" spans="1:18">
      <c r="A1109" s="801">
        <v>45756</v>
      </c>
      <c r="B1109" s="670">
        <v>859.52</v>
      </c>
      <c r="C1109" s="37">
        <v>676</v>
      </c>
      <c r="D1109" s="37">
        <v>221</v>
      </c>
      <c r="E1109" s="37">
        <v>1</v>
      </c>
      <c r="F1109" s="670">
        <v>11474</v>
      </c>
      <c r="G1109" s="37">
        <v>45</v>
      </c>
      <c r="H1109" s="37">
        <v>4</v>
      </c>
      <c r="I1109" s="37">
        <v>10</v>
      </c>
      <c r="J1109" s="527">
        <f t="shared" si="203"/>
        <v>0.326923076923077</v>
      </c>
      <c r="K1109" s="687">
        <f t="shared" si="204"/>
        <v>3.88923076923077</v>
      </c>
      <c r="L1109" s="41">
        <f t="shared" si="197"/>
        <v>1271.47928994083</v>
      </c>
      <c r="M1109" s="702">
        <f t="shared" si="196"/>
        <v>13.3493112434847</v>
      </c>
      <c r="N1109" s="39">
        <f t="shared" si="198"/>
        <v>0.00452488687782805</v>
      </c>
      <c r="O1109" s="558">
        <f t="shared" si="199"/>
        <v>11474</v>
      </c>
      <c r="P1109" s="559">
        <f t="shared" si="200"/>
        <v>859.52</v>
      </c>
      <c r="Q1109" s="41">
        <f t="shared" si="201"/>
        <v>19.1004444444444</v>
      </c>
      <c r="R1109" s="1021">
        <f t="shared" si="202"/>
        <v>0.203619909502262</v>
      </c>
    </row>
    <row r="1110" spans="1:18">
      <c r="A1110" s="801">
        <v>45757</v>
      </c>
      <c r="B1110" s="670">
        <v>809.2</v>
      </c>
      <c r="C1110" s="37">
        <v>661</v>
      </c>
      <c r="D1110" s="37">
        <v>208</v>
      </c>
      <c r="E1110" s="37">
        <v>0</v>
      </c>
      <c r="F1110" s="670">
        <v>0</v>
      </c>
      <c r="G1110" s="37">
        <v>68</v>
      </c>
      <c r="H1110" s="37">
        <v>6</v>
      </c>
      <c r="I1110" s="37">
        <v>5</v>
      </c>
      <c r="J1110" s="527">
        <f t="shared" si="203"/>
        <v>0.314674735249622</v>
      </c>
      <c r="K1110" s="687">
        <f t="shared" si="204"/>
        <v>3.89038461538462</v>
      </c>
      <c r="L1110" s="41">
        <f t="shared" si="197"/>
        <v>1224.20574886536</v>
      </c>
      <c r="M1110" s="702">
        <f t="shared" si="196"/>
        <v>0</v>
      </c>
      <c r="N1110" s="39">
        <f t="shared" si="198"/>
        <v>0</v>
      </c>
      <c r="O1110" s="558">
        <f t="shared" si="199"/>
        <v>0</v>
      </c>
      <c r="P1110" s="559">
        <f t="shared" si="200"/>
        <v>0</v>
      </c>
      <c r="Q1110" s="41">
        <f t="shared" si="201"/>
        <v>11.9</v>
      </c>
      <c r="R1110" s="1021">
        <f t="shared" si="202"/>
        <v>0.326923076923077</v>
      </c>
    </row>
    <row r="1111" spans="1:18">
      <c r="A1111" s="801">
        <v>45758</v>
      </c>
      <c r="B1111" s="670">
        <v>750.32</v>
      </c>
      <c r="C1111" s="37">
        <v>629</v>
      </c>
      <c r="D1111" s="37">
        <v>167</v>
      </c>
      <c r="E1111" s="37">
        <v>0</v>
      </c>
      <c r="F1111" s="670">
        <v>0</v>
      </c>
      <c r="G1111" s="37">
        <v>44</v>
      </c>
      <c r="H1111" s="37">
        <v>4</v>
      </c>
      <c r="I1111" s="37">
        <v>7</v>
      </c>
      <c r="J1111" s="527">
        <f t="shared" si="203"/>
        <v>0.26550079491256</v>
      </c>
      <c r="K1111" s="687">
        <f t="shared" si="204"/>
        <v>4.49293413173653</v>
      </c>
      <c r="L1111" s="41">
        <f t="shared" si="197"/>
        <v>1192.87758346582</v>
      </c>
      <c r="M1111" s="702">
        <f t="shared" si="196"/>
        <v>0</v>
      </c>
      <c r="N1111" s="39">
        <f t="shared" si="198"/>
        <v>0</v>
      </c>
      <c r="O1111" s="558">
        <f t="shared" si="199"/>
        <v>0</v>
      </c>
      <c r="P1111" s="559">
        <f t="shared" si="200"/>
        <v>0</v>
      </c>
      <c r="Q1111" s="41">
        <f t="shared" si="201"/>
        <v>17.0527272727273</v>
      </c>
      <c r="R1111" s="1021">
        <f t="shared" si="202"/>
        <v>0.263473053892216</v>
      </c>
    </row>
    <row r="1112" spans="1:18">
      <c r="A1112" s="801">
        <v>45759</v>
      </c>
      <c r="B1112" s="670">
        <v>680.72</v>
      </c>
      <c r="C1112" s="37">
        <v>648</v>
      </c>
      <c r="D1112" s="37">
        <v>174</v>
      </c>
      <c r="E1112" s="37">
        <v>2</v>
      </c>
      <c r="F1112" s="670">
        <v>48520</v>
      </c>
      <c r="G1112" s="37">
        <v>39</v>
      </c>
      <c r="H1112" s="37">
        <v>3</v>
      </c>
      <c r="I1112" s="37">
        <v>8</v>
      </c>
      <c r="J1112" s="527">
        <f t="shared" si="203"/>
        <v>0.268518518518519</v>
      </c>
      <c r="K1112" s="687">
        <f t="shared" si="204"/>
        <v>3.91218390804598</v>
      </c>
      <c r="L1112" s="41">
        <f t="shared" si="197"/>
        <v>1050.49382716049</v>
      </c>
      <c r="M1112" s="702">
        <f t="shared" si="196"/>
        <v>71.2774709131508</v>
      </c>
      <c r="N1112" s="39">
        <f t="shared" si="198"/>
        <v>0.0114942528735632</v>
      </c>
      <c r="O1112" s="558">
        <f t="shared" si="199"/>
        <v>24260</v>
      </c>
      <c r="P1112" s="559">
        <f t="shared" si="200"/>
        <v>340.36</v>
      </c>
      <c r="Q1112" s="41">
        <f t="shared" si="201"/>
        <v>17.454358974359</v>
      </c>
      <c r="R1112" s="1021">
        <f t="shared" si="202"/>
        <v>0.224137931034483</v>
      </c>
    </row>
    <row r="1113" spans="1:18">
      <c r="A1113" s="801">
        <v>45760</v>
      </c>
      <c r="B1113" s="670">
        <v>932.64</v>
      </c>
      <c r="C1113" s="37">
        <v>833</v>
      </c>
      <c r="D1113" s="37">
        <v>253</v>
      </c>
      <c r="E1113" s="37">
        <v>1</v>
      </c>
      <c r="F1113" s="670">
        <v>11754</v>
      </c>
      <c r="G1113" s="37">
        <v>54</v>
      </c>
      <c r="H1113" s="37">
        <v>5</v>
      </c>
      <c r="I1113" s="37">
        <v>13</v>
      </c>
      <c r="J1113" s="527">
        <f t="shared" si="203"/>
        <v>0.303721488595438</v>
      </c>
      <c r="K1113" s="687">
        <f t="shared" si="204"/>
        <v>3.68632411067194</v>
      </c>
      <c r="L1113" s="41">
        <f t="shared" si="197"/>
        <v>1119.61584633854</v>
      </c>
      <c r="M1113" s="702">
        <f t="shared" si="196"/>
        <v>12.602933607823</v>
      </c>
      <c r="N1113" s="39">
        <f t="shared" si="198"/>
        <v>0.00395256916996047</v>
      </c>
      <c r="O1113" s="558">
        <f t="shared" si="199"/>
        <v>11754</v>
      </c>
      <c r="P1113" s="559">
        <f t="shared" si="200"/>
        <v>932.64</v>
      </c>
      <c r="Q1113" s="41">
        <f t="shared" si="201"/>
        <v>17.2711111111111</v>
      </c>
      <c r="R1113" s="1021">
        <f t="shared" si="202"/>
        <v>0.213438735177866</v>
      </c>
    </row>
    <row r="1114" spans="1:18">
      <c r="A1114" s="801">
        <v>45761</v>
      </c>
      <c r="B1114" s="670">
        <v>934.82</v>
      </c>
      <c r="C1114" s="37">
        <v>863</v>
      </c>
      <c r="D1114" s="37">
        <v>222</v>
      </c>
      <c r="E1114" s="37">
        <v>1</v>
      </c>
      <c r="F1114" s="670">
        <v>5214</v>
      </c>
      <c r="G1114" s="37">
        <v>56</v>
      </c>
      <c r="H1114" s="37">
        <v>6</v>
      </c>
      <c r="I1114" s="37">
        <v>6</v>
      </c>
      <c r="J1114" s="527">
        <f t="shared" si="203"/>
        <v>0.257242178447277</v>
      </c>
      <c r="K1114" s="687">
        <f t="shared" si="204"/>
        <v>4.2109009009009</v>
      </c>
      <c r="L1114" s="41">
        <f t="shared" si="197"/>
        <v>1083.22132097335</v>
      </c>
      <c r="M1114" s="702">
        <f t="shared" si="196"/>
        <v>5.57754434008686</v>
      </c>
      <c r="N1114" s="39">
        <f t="shared" si="198"/>
        <v>0.0045045045045045</v>
      </c>
      <c r="O1114" s="558">
        <f t="shared" si="199"/>
        <v>5214</v>
      </c>
      <c r="P1114" s="559">
        <f t="shared" si="200"/>
        <v>934.82</v>
      </c>
      <c r="Q1114" s="41">
        <f t="shared" si="201"/>
        <v>16.6932142857143</v>
      </c>
      <c r="R1114" s="1021">
        <f t="shared" si="202"/>
        <v>0.252252252252252</v>
      </c>
    </row>
    <row r="1115" spans="1:18">
      <c r="A1115" s="801">
        <v>45762</v>
      </c>
      <c r="B1115" s="670">
        <v>396.31</v>
      </c>
      <c r="C1115" s="37">
        <v>363</v>
      </c>
      <c r="D1115" s="37">
        <v>100</v>
      </c>
      <c r="E1115" s="37">
        <v>0</v>
      </c>
      <c r="F1115" s="670">
        <v>0</v>
      </c>
      <c r="G1115" s="37">
        <v>11</v>
      </c>
      <c r="H1115" s="37">
        <v>0</v>
      </c>
      <c r="I1115" s="37">
        <v>4</v>
      </c>
      <c r="J1115" s="527">
        <f t="shared" si="203"/>
        <v>0.275482093663912</v>
      </c>
      <c r="K1115" s="687">
        <f t="shared" si="204"/>
        <v>3.9631</v>
      </c>
      <c r="L1115" s="41">
        <f t="shared" si="197"/>
        <v>1091.76308539945</v>
      </c>
      <c r="M1115" s="702">
        <f t="shared" si="196"/>
        <v>0</v>
      </c>
      <c r="N1115" s="39">
        <f t="shared" si="198"/>
        <v>0</v>
      </c>
      <c r="O1115" s="558">
        <f t="shared" si="199"/>
        <v>0</v>
      </c>
      <c r="P1115" s="559">
        <f t="shared" si="200"/>
        <v>0</v>
      </c>
      <c r="Q1115" s="41">
        <f t="shared" si="201"/>
        <v>36.0281818181818</v>
      </c>
      <c r="R1115" s="1021">
        <f t="shared" si="202"/>
        <v>0.11</v>
      </c>
    </row>
    <row r="1116" spans="1:18">
      <c r="A1116" s="801">
        <v>45763</v>
      </c>
      <c r="B1116" s="670">
        <v>815.46</v>
      </c>
      <c r="C1116" s="37">
        <v>703</v>
      </c>
      <c r="D1116" s="37">
        <v>218</v>
      </c>
      <c r="E1116" s="37">
        <v>1</v>
      </c>
      <c r="F1116" s="670">
        <v>23238</v>
      </c>
      <c r="G1116" s="37">
        <v>58</v>
      </c>
      <c r="H1116" s="37">
        <v>4</v>
      </c>
      <c r="I1116" s="37">
        <v>8</v>
      </c>
      <c r="J1116" s="527">
        <f t="shared" si="203"/>
        <v>0.310099573257468</v>
      </c>
      <c r="K1116" s="687">
        <f t="shared" si="204"/>
        <v>3.74064220183486</v>
      </c>
      <c r="L1116" s="41">
        <f t="shared" si="197"/>
        <v>1159.97155049787</v>
      </c>
      <c r="M1116" s="702">
        <f t="shared" si="196"/>
        <v>28.4967993525127</v>
      </c>
      <c r="N1116" s="39">
        <f t="shared" si="198"/>
        <v>0.00458715596330275</v>
      </c>
      <c r="O1116" s="558">
        <f t="shared" si="199"/>
        <v>23238</v>
      </c>
      <c r="P1116" s="559">
        <f t="shared" si="200"/>
        <v>815.46</v>
      </c>
      <c r="Q1116" s="41">
        <f t="shared" si="201"/>
        <v>14.0596551724138</v>
      </c>
      <c r="R1116" s="1021">
        <f t="shared" si="202"/>
        <v>0.26605504587156</v>
      </c>
    </row>
    <row r="1117" spans="1:18">
      <c r="A1117" s="801">
        <v>45764</v>
      </c>
      <c r="B1117" s="670">
        <v>828.85</v>
      </c>
      <c r="C1117" s="37">
        <v>723</v>
      </c>
      <c r="D1117" s="37">
        <v>204</v>
      </c>
      <c r="E1117" s="37">
        <v>5</v>
      </c>
      <c r="F1117" s="670">
        <v>84582</v>
      </c>
      <c r="G1117" s="37">
        <v>34</v>
      </c>
      <c r="H1117" s="37">
        <v>1</v>
      </c>
      <c r="I1117" s="37">
        <v>6</v>
      </c>
      <c r="J1117" s="527">
        <f t="shared" si="203"/>
        <v>0.282157676348548</v>
      </c>
      <c r="K1117" s="687">
        <f t="shared" si="204"/>
        <v>4.06299019607843</v>
      </c>
      <c r="L1117" s="41">
        <f t="shared" si="197"/>
        <v>1146.40387275242</v>
      </c>
      <c r="M1117" s="702">
        <f t="shared" si="196"/>
        <v>102.047415093201</v>
      </c>
      <c r="N1117" s="39">
        <f t="shared" si="198"/>
        <v>0.0245098039215686</v>
      </c>
      <c r="O1117" s="558">
        <f t="shared" si="199"/>
        <v>16916.4</v>
      </c>
      <c r="P1117" s="559">
        <f t="shared" si="200"/>
        <v>165.77</v>
      </c>
      <c r="Q1117" s="41">
        <f t="shared" si="201"/>
        <v>24.3779411764706</v>
      </c>
      <c r="R1117" s="1021">
        <f t="shared" si="202"/>
        <v>0.166666666666667</v>
      </c>
    </row>
    <row r="1118" spans="1:18">
      <c r="A1118" s="801">
        <v>45765</v>
      </c>
      <c r="B1118" s="670">
        <v>706.23</v>
      </c>
      <c r="C1118" s="37">
        <v>631</v>
      </c>
      <c r="D1118" s="37">
        <v>156</v>
      </c>
      <c r="E1118" s="37">
        <v>4</v>
      </c>
      <c r="F1118" s="670">
        <v>52114</v>
      </c>
      <c r="G1118" s="37">
        <v>41</v>
      </c>
      <c r="H1118" s="37">
        <v>4</v>
      </c>
      <c r="I1118" s="37">
        <v>6</v>
      </c>
      <c r="J1118" s="527">
        <f t="shared" si="203"/>
        <v>0.247226624405705</v>
      </c>
      <c r="K1118" s="687">
        <f t="shared" si="204"/>
        <v>4.52711538461539</v>
      </c>
      <c r="L1118" s="41">
        <f t="shared" si="197"/>
        <v>1119.2234548336</v>
      </c>
      <c r="M1118" s="702">
        <f t="shared" si="196"/>
        <v>73.7918241932515</v>
      </c>
      <c r="N1118" s="39">
        <f t="shared" si="198"/>
        <v>0.0256410256410256</v>
      </c>
      <c r="O1118" s="558">
        <f t="shared" si="199"/>
        <v>13028.5</v>
      </c>
      <c r="P1118" s="559">
        <f t="shared" si="200"/>
        <v>176.5575</v>
      </c>
      <c r="Q1118" s="41">
        <f t="shared" si="201"/>
        <v>17.2251219512195</v>
      </c>
      <c r="R1118" s="1021">
        <f t="shared" si="202"/>
        <v>0.262820512820513</v>
      </c>
    </row>
    <row r="1119" spans="1:18">
      <c r="A1119" s="801">
        <v>45766</v>
      </c>
      <c r="B1119" s="670">
        <v>705.7</v>
      </c>
      <c r="C1119" s="37">
        <v>723</v>
      </c>
      <c r="D1119" s="37">
        <v>156</v>
      </c>
      <c r="E1119" s="37">
        <v>2</v>
      </c>
      <c r="F1119" s="670">
        <v>42280</v>
      </c>
      <c r="G1119" s="37">
        <v>50</v>
      </c>
      <c r="H1119" s="37">
        <v>1</v>
      </c>
      <c r="I1119" s="37">
        <v>5</v>
      </c>
      <c r="J1119" s="527">
        <f t="shared" si="203"/>
        <v>0.215767634854772</v>
      </c>
      <c r="K1119" s="687">
        <f t="shared" si="204"/>
        <v>4.52371794871795</v>
      </c>
      <c r="L1119" s="41">
        <f t="shared" si="197"/>
        <v>976.071922544952</v>
      </c>
      <c r="M1119" s="702">
        <f t="shared" si="196"/>
        <v>59.9121439705257</v>
      </c>
      <c r="N1119" s="39">
        <f t="shared" si="198"/>
        <v>0.0128205128205128</v>
      </c>
      <c r="O1119" s="558">
        <f t="shared" si="199"/>
        <v>21140</v>
      </c>
      <c r="P1119" s="559">
        <f t="shared" si="200"/>
        <v>352.85</v>
      </c>
      <c r="Q1119" s="41">
        <f t="shared" si="201"/>
        <v>14.114</v>
      </c>
      <c r="R1119" s="1021">
        <f t="shared" si="202"/>
        <v>0.320512820512821</v>
      </c>
    </row>
    <row r="1120" spans="1:18">
      <c r="A1120" s="801">
        <v>45767</v>
      </c>
      <c r="B1120" s="670">
        <v>855.03</v>
      </c>
      <c r="C1120" s="37">
        <v>801</v>
      </c>
      <c r="D1120" s="37">
        <v>218</v>
      </c>
      <c r="E1120" s="37">
        <v>2</v>
      </c>
      <c r="F1120" s="670">
        <v>33659</v>
      </c>
      <c r="G1120" s="37">
        <v>50</v>
      </c>
      <c r="H1120" s="37">
        <v>2</v>
      </c>
      <c r="I1120" s="37">
        <v>12</v>
      </c>
      <c r="J1120" s="527">
        <f t="shared" si="203"/>
        <v>0.272159800249688</v>
      </c>
      <c r="K1120" s="687">
        <f t="shared" si="204"/>
        <v>3.92215596330275</v>
      </c>
      <c r="L1120" s="41">
        <f t="shared" si="197"/>
        <v>1067.4531835206</v>
      </c>
      <c r="M1120" s="702">
        <f t="shared" ref="M1120:M1140" si="205">F1120/B1120</f>
        <v>39.3658702033847</v>
      </c>
      <c r="N1120" s="39">
        <f t="shared" si="198"/>
        <v>0.00917431192660551</v>
      </c>
      <c r="O1120" s="558">
        <f t="shared" si="199"/>
        <v>16829.5</v>
      </c>
      <c r="P1120" s="559">
        <f t="shared" si="200"/>
        <v>427.515</v>
      </c>
      <c r="Q1120" s="41">
        <f t="shared" si="201"/>
        <v>17.1006</v>
      </c>
      <c r="R1120" s="1021">
        <f t="shared" si="202"/>
        <v>0.229357798165138</v>
      </c>
    </row>
    <row r="1121" spans="1:18">
      <c r="A1121" s="801">
        <v>45768</v>
      </c>
      <c r="B1121" s="670">
        <v>806.46</v>
      </c>
      <c r="C1121" s="37">
        <v>724</v>
      </c>
      <c r="D1121" s="37">
        <v>213</v>
      </c>
      <c r="E1121" s="37">
        <v>4</v>
      </c>
      <c r="F1121" s="670">
        <v>34826</v>
      </c>
      <c r="G1121" s="37">
        <v>32</v>
      </c>
      <c r="H1121" s="37">
        <v>2</v>
      </c>
      <c r="I1121" s="37">
        <v>3</v>
      </c>
      <c r="J1121" s="527">
        <f t="shared" si="203"/>
        <v>0.294198895027624</v>
      </c>
      <c r="K1121" s="687">
        <f t="shared" si="204"/>
        <v>3.78619718309859</v>
      </c>
      <c r="L1121" s="41">
        <f t="shared" si="197"/>
        <v>1113.89502762431</v>
      </c>
      <c r="M1121" s="702">
        <f t="shared" si="205"/>
        <v>43.1837908885748</v>
      </c>
      <c r="N1121" s="39">
        <f t="shared" si="198"/>
        <v>0.0187793427230047</v>
      </c>
      <c r="O1121" s="558">
        <f t="shared" si="199"/>
        <v>8706.5</v>
      </c>
      <c r="P1121" s="559">
        <f t="shared" si="200"/>
        <v>201.615</v>
      </c>
      <c r="Q1121" s="41">
        <f t="shared" si="201"/>
        <v>25.201875</v>
      </c>
      <c r="R1121" s="1021">
        <f t="shared" si="202"/>
        <v>0.150234741784038</v>
      </c>
    </row>
    <row r="1122" spans="1:18">
      <c r="A1122" s="801">
        <v>45769</v>
      </c>
      <c r="B1122" s="670">
        <v>769</v>
      </c>
      <c r="C1122" s="37">
        <v>662</v>
      </c>
      <c r="D1122" s="37">
        <v>188</v>
      </c>
      <c r="E1122" s="37">
        <v>2</v>
      </c>
      <c r="F1122" s="670">
        <v>13350</v>
      </c>
      <c r="G1122" s="37">
        <v>32</v>
      </c>
      <c r="H1122" s="37">
        <v>6</v>
      </c>
      <c r="I1122" s="37">
        <v>8</v>
      </c>
      <c r="J1122" s="527">
        <f t="shared" si="203"/>
        <v>0.283987915407855</v>
      </c>
      <c r="K1122" s="687">
        <f t="shared" si="204"/>
        <v>4.09042553191489</v>
      </c>
      <c r="L1122" s="41">
        <f t="shared" si="197"/>
        <v>1161.63141993958</v>
      </c>
      <c r="M1122" s="702">
        <f t="shared" si="205"/>
        <v>17.3602080624187</v>
      </c>
      <c r="N1122" s="39">
        <f t="shared" si="198"/>
        <v>0.0106382978723404</v>
      </c>
      <c r="O1122" s="558">
        <f t="shared" si="199"/>
        <v>6675</v>
      </c>
      <c r="P1122" s="559">
        <f t="shared" si="200"/>
        <v>384.5</v>
      </c>
      <c r="Q1122" s="41">
        <f t="shared" si="201"/>
        <v>24.03125</v>
      </c>
      <c r="R1122" s="1021">
        <f t="shared" si="202"/>
        <v>0.170212765957447</v>
      </c>
    </row>
    <row r="1123" spans="1:18">
      <c r="A1123" s="801">
        <v>45770</v>
      </c>
      <c r="B1123" s="670">
        <v>498.03</v>
      </c>
      <c r="C1123" s="37">
        <v>422</v>
      </c>
      <c r="D1123" s="37">
        <v>137</v>
      </c>
      <c r="E1123" s="37">
        <v>0</v>
      </c>
      <c r="F1123" s="670">
        <v>0</v>
      </c>
      <c r="G1123" s="37">
        <v>19</v>
      </c>
      <c r="H1123" s="37">
        <v>1</v>
      </c>
      <c r="I1123" s="37">
        <v>8</v>
      </c>
      <c r="J1123" s="527">
        <f t="shared" si="203"/>
        <v>0.324644549763033</v>
      </c>
      <c r="K1123" s="687">
        <f t="shared" si="204"/>
        <v>3.63525547445255</v>
      </c>
      <c r="L1123" s="41">
        <f t="shared" si="197"/>
        <v>1180.16587677725</v>
      </c>
      <c r="M1123" s="702">
        <f t="shared" si="205"/>
        <v>0</v>
      </c>
      <c r="N1123" s="39">
        <f t="shared" si="198"/>
        <v>0</v>
      </c>
      <c r="O1123" s="558">
        <f t="shared" si="199"/>
        <v>0</v>
      </c>
      <c r="P1123" s="559">
        <f t="shared" si="200"/>
        <v>0</v>
      </c>
      <c r="Q1123" s="41">
        <f t="shared" si="201"/>
        <v>26.2121052631579</v>
      </c>
      <c r="R1123" s="1021">
        <f t="shared" si="202"/>
        <v>0.138686131386861</v>
      </c>
    </row>
    <row r="1124" spans="1:18">
      <c r="A1124" s="801">
        <v>45771</v>
      </c>
      <c r="B1124" s="670">
        <v>498.53</v>
      </c>
      <c r="C1124" s="37">
        <v>407</v>
      </c>
      <c r="D1124" s="37">
        <v>143</v>
      </c>
      <c r="E1124" s="37">
        <v>2</v>
      </c>
      <c r="F1124" s="670">
        <v>12672</v>
      </c>
      <c r="G1124" s="37">
        <v>18</v>
      </c>
      <c r="H1124" s="37">
        <v>1</v>
      </c>
      <c r="I1124" s="37">
        <v>3</v>
      </c>
      <c r="J1124" s="527">
        <f t="shared" si="203"/>
        <v>0.351351351351351</v>
      </c>
      <c r="K1124" s="687">
        <f t="shared" si="204"/>
        <v>3.48622377622378</v>
      </c>
      <c r="L1124" s="41">
        <f t="shared" si="197"/>
        <v>1224.88943488943</v>
      </c>
      <c r="M1124" s="702">
        <f t="shared" si="205"/>
        <v>25.4187310693439</v>
      </c>
      <c r="N1124" s="39">
        <f t="shared" si="198"/>
        <v>0.013986013986014</v>
      </c>
      <c r="O1124" s="558">
        <f t="shared" si="199"/>
        <v>6336</v>
      </c>
      <c r="P1124" s="559">
        <f t="shared" si="200"/>
        <v>249.265</v>
      </c>
      <c r="Q1124" s="41">
        <f t="shared" si="201"/>
        <v>27.6961111111111</v>
      </c>
      <c r="R1124" s="1021">
        <f t="shared" si="202"/>
        <v>0.125874125874126</v>
      </c>
    </row>
    <row r="1125" spans="1:18">
      <c r="A1125" s="801">
        <v>45772</v>
      </c>
      <c r="B1125" s="670">
        <v>721.09</v>
      </c>
      <c r="C1125" s="37">
        <v>597</v>
      </c>
      <c r="D1125" s="37">
        <v>215</v>
      </c>
      <c r="E1125" s="37">
        <v>7</v>
      </c>
      <c r="F1125" s="670">
        <v>73516</v>
      </c>
      <c r="G1125" s="37">
        <v>41</v>
      </c>
      <c r="H1125" s="37">
        <v>2</v>
      </c>
      <c r="I1125" s="37">
        <v>9</v>
      </c>
      <c r="J1125" s="527">
        <f t="shared" si="203"/>
        <v>0.360134003350084</v>
      </c>
      <c r="K1125" s="687">
        <f t="shared" si="204"/>
        <v>3.35390697674419</v>
      </c>
      <c r="L1125" s="41">
        <f t="shared" si="197"/>
        <v>1207.85594639866</v>
      </c>
      <c r="M1125" s="702">
        <f t="shared" si="205"/>
        <v>101.951212747369</v>
      </c>
      <c r="N1125" s="39">
        <f t="shared" si="198"/>
        <v>0.0325581395348837</v>
      </c>
      <c r="O1125" s="558">
        <f t="shared" si="199"/>
        <v>10502.2857142857</v>
      </c>
      <c r="P1125" s="559">
        <f t="shared" si="200"/>
        <v>103.012857142857</v>
      </c>
      <c r="Q1125" s="41">
        <f t="shared" si="201"/>
        <v>17.5875609756098</v>
      </c>
      <c r="R1125" s="1021">
        <f t="shared" si="202"/>
        <v>0.190697674418605</v>
      </c>
    </row>
    <row r="1126" spans="1:18">
      <c r="A1126" s="801">
        <v>45773</v>
      </c>
      <c r="B1126" s="670">
        <v>667.07</v>
      </c>
      <c r="C1126" s="37">
        <v>667</v>
      </c>
      <c r="D1126" s="37">
        <v>194</v>
      </c>
      <c r="E1126" s="37">
        <v>5</v>
      </c>
      <c r="F1126" s="670">
        <v>95464</v>
      </c>
      <c r="G1126" s="37">
        <v>40</v>
      </c>
      <c r="H1126" s="37">
        <v>5</v>
      </c>
      <c r="I1126" s="37">
        <v>14</v>
      </c>
      <c r="J1126" s="527">
        <f t="shared" si="203"/>
        <v>0.290854572713643</v>
      </c>
      <c r="K1126" s="687">
        <f t="shared" si="204"/>
        <v>3.43850515463918</v>
      </c>
      <c r="L1126" s="41">
        <f t="shared" si="197"/>
        <v>1000.10494752624</v>
      </c>
      <c r="M1126" s="702">
        <f t="shared" si="205"/>
        <v>143.109418801625</v>
      </c>
      <c r="N1126" s="39">
        <f t="shared" si="198"/>
        <v>0.0257731958762887</v>
      </c>
      <c r="O1126" s="558">
        <f t="shared" si="199"/>
        <v>19092.8</v>
      </c>
      <c r="P1126" s="559">
        <f t="shared" si="200"/>
        <v>133.414</v>
      </c>
      <c r="Q1126" s="41">
        <f t="shared" si="201"/>
        <v>16.67675</v>
      </c>
      <c r="R1126" s="1021">
        <f t="shared" si="202"/>
        <v>0.206185567010309</v>
      </c>
    </row>
    <row r="1127" spans="1:18">
      <c r="A1127" s="801">
        <v>45774</v>
      </c>
      <c r="B1127" s="670">
        <v>786.04</v>
      </c>
      <c r="C1127" s="37">
        <v>656</v>
      </c>
      <c r="D1127" s="37">
        <v>202</v>
      </c>
      <c r="E1127" s="37">
        <v>2</v>
      </c>
      <c r="F1127" s="670">
        <v>23036</v>
      </c>
      <c r="G1127" s="37">
        <v>51</v>
      </c>
      <c r="H1127" s="37">
        <v>1</v>
      </c>
      <c r="I1127" s="37">
        <v>6</v>
      </c>
      <c r="J1127" s="527">
        <f t="shared" si="203"/>
        <v>0.307926829268293</v>
      </c>
      <c r="K1127" s="687">
        <f t="shared" si="204"/>
        <v>3.89128712871287</v>
      </c>
      <c r="L1127" s="41">
        <f t="shared" si="197"/>
        <v>1198.23170731707</v>
      </c>
      <c r="M1127" s="702">
        <f t="shared" si="205"/>
        <v>29.3063966210371</v>
      </c>
      <c r="N1127" s="39">
        <f t="shared" si="198"/>
        <v>0.0099009900990099</v>
      </c>
      <c r="O1127" s="558">
        <f t="shared" si="199"/>
        <v>11518</v>
      </c>
      <c r="P1127" s="559">
        <f t="shared" si="200"/>
        <v>393.02</v>
      </c>
      <c r="Q1127" s="41">
        <f t="shared" si="201"/>
        <v>15.4125490196078</v>
      </c>
      <c r="R1127" s="1021">
        <f t="shared" si="202"/>
        <v>0.252475247524752</v>
      </c>
    </row>
    <row r="1128" spans="1:18">
      <c r="A1128" s="801">
        <v>45775</v>
      </c>
      <c r="B1128" s="670">
        <v>751</v>
      </c>
      <c r="C1128" s="37">
        <v>597</v>
      </c>
      <c r="D1128" s="37">
        <v>155</v>
      </c>
      <c r="E1128" s="37">
        <v>2</v>
      </c>
      <c r="F1128" s="670">
        <v>12822</v>
      </c>
      <c r="G1128" s="37">
        <v>34</v>
      </c>
      <c r="H1128" s="37">
        <v>0</v>
      </c>
      <c r="I1128" s="37">
        <v>4</v>
      </c>
      <c r="J1128" s="527">
        <f t="shared" si="203"/>
        <v>0.25963149078727</v>
      </c>
      <c r="K1128" s="687">
        <f t="shared" si="204"/>
        <v>4.84516129032258</v>
      </c>
      <c r="L1128" s="41">
        <f t="shared" si="197"/>
        <v>1257.95644891122</v>
      </c>
      <c r="M1128" s="702">
        <f t="shared" si="205"/>
        <v>17.0732356857523</v>
      </c>
      <c r="N1128" s="39">
        <f t="shared" si="198"/>
        <v>0.0129032258064516</v>
      </c>
      <c r="O1128" s="558">
        <f t="shared" si="199"/>
        <v>6411</v>
      </c>
      <c r="P1128" s="559">
        <f t="shared" si="200"/>
        <v>375.5</v>
      </c>
      <c r="Q1128" s="41">
        <f t="shared" si="201"/>
        <v>22.0882352941176</v>
      </c>
      <c r="R1128" s="1021">
        <f t="shared" si="202"/>
        <v>0.219354838709677</v>
      </c>
    </row>
    <row r="1129" spans="1:18">
      <c r="A1129" s="801">
        <v>45776</v>
      </c>
      <c r="B1129" s="670">
        <v>713.77</v>
      </c>
      <c r="C1129" s="37">
        <v>561</v>
      </c>
      <c r="D1129" s="37">
        <v>163</v>
      </c>
      <c r="E1129" s="37">
        <v>1</v>
      </c>
      <c r="F1129" s="670">
        <v>13534</v>
      </c>
      <c r="G1129" s="37">
        <v>32</v>
      </c>
      <c r="H1129" s="37">
        <v>2</v>
      </c>
      <c r="I1129" s="37">
        <v>8</v>
      </c>
      <c r="J1129" s="527">
        <f t="shared" si="203"/>
        <v>0.290552584670232</v>
      </c>
      <c r="K1129" s="687">
        <f t="shared" si="204"/>
        <v>4.37895705521472</v>
      </c>
      <c r="L1129" s="41">
        <f t="shared" si="197"/>
        <v>1272.31729055258</v>
      </c>
      <c r="M1129" s="702">
        <f t="shared" si="205"/>
        <v>18.9612900514171</v>
      </c>
      <c r="N1129" s="39">
        <f t="shared" si="198"/>
        <v>0.00613496932515337</v>
      </c>
      <c r="O1129" s="558">
        <f t="shared" si="199"/>
        <v>13534</v>
      </c>
      <c r="P1129" s="559">
        <f t="shared" si="200"/>
        <v>713.77</v>
      </c>
      <c r="Q1129" s="41">
        <f t="shared" si="201"/>
        <v>22.3053125</v>
      </c>
      <c r="R1129" s="1021">
        <f t="shared" si="202"/>
        <v>0.196319018404908</v>
      </c>
    </row>
    <row r="1130" spans="1:18">
      <c r="A1130" s="801">
        <v>45777</v>
      </c>
      <c r="B1130" s="670">
        <v>656.21</v>
      </c>
      <c r="C1130" s="37">
        <v>505</v>
      </c>
      <c r="D1130" s="37">
        <v>137</v>
      </c>
      <c r="E1130" s="37">
        <v>0</v>
      </c>
      <c r="F1130" s="670">
        <v>0</v>
      </c>
      <c r="G1130" s="37">
        <v>26</v>
      </c>
      <c r="H1130" s="37">
        <v>1</v>
      </c>
      <c r="I1130" s="37">
        <v>2</v>
      </c>
      <c r="J1130" s="527">
        <f t="shared" si="203"/>
        <v>0.271287128712871</v>
      </c>
      <c r="K1130" s="687">
        <f t="shared" si="204"/>
        <v>4.78985401459854</v>
      </c>
      <c r="L1130" s="41">
        <f t="shared" si="197"/>
        <v>1299.42574257426</v>
      </c>
      <c r="M1130" s="702">
        <f t="shared" si="205"/>
        <v>0</v>
      </c>
      <c r="N1130" s="39">
        <f t="shared" si="198"/>
        <v>0</v>
      </c>
      <c r="O1130" s="558">
        <f t="shared" si="199"/>
        <v>0</v>
      </c>
      <c r="P1130" s="559">
        <f t="shared" si="200"/>
        <v>0</v>
      </c>
      <c r="Q1130" s="41">
        <f t="shared" si="201"/>
        <v>25.2388461538462</v>
      </c>
      <c r="R1130" s="1021">
        <f t="shared" si="202"/>
        <v>0.18978102189781</v>
      </c>
    </row>
    <row r="1131" spans="1:18">
      <c r="A1131" s="801">
        <v>45778</v>
      </c>
      <c r="B1131" s="670">
        <v>606.75</v>
      </c>
      <c r="C1131" s="37">
        <v>512</v>
      </c>
      <c r="D1131" s="37">
        <v>161</v>
      </c>
      <c r="E1131" s="37">
        <v>0</v>
      </c>
      <c r="F1131" s="670">
        <v>0</v>
      </c>
      <c r="G1131" s="37">
        <v>33</v>
      </c>
      <c r="H1131" s="37">
        <v>1</v>
      </c>
      <c r="I1131" s="37">
        <v>5</v>
      </c>
      <c r="J1131" s="527">
        <f t="shared" si="203"/>
        <v>0.314453125</v>
      </c>
      <c r="K1131" s="687">
        <f t="shared" si="204"/>
        <v>3.76863354037267</v>
      </c>
      <c r="L1131" s="41">
        <f t="shared" si="197"/>
        <v>1185.05859375</v>
      </c>
      <c r="M1131" s="702">
        <f t="shared" si="205"/>
        <v>0</v>
      </c>
      <c r="N1131" s="39">
        <f t="shared" si="198"/>
        <v>0</v>
      </c>
      <c r="O1131" s="558">
        <f t="shared" si="199"/>
        <v>0</v>
      </c>
      <c r="P1131" s="559">
        <f t="shared" si="200"/>
        <v>0</v>
      </c>
      <c r="Q1131" s="41">
        <f t="shared" si="201"/>
        <v>18.3863636363636</v>
      </c>
      <c r="R1131" s="1021">
        <f t="shared" si="202"/>
        <v>0.204968944099379</v>
      </c>
    </row>
    <row r="1132" spans="1:18">
      <c r="A1132" s="801">
        <v>45779</v>
      </c>
      <c r="B1132" s="670">
        <v>574.94</v>
      </c>
      <c r="C1132" s="37">
        <v>547</v>
      </c>
      <c r="D1132" s="37">
        <v>162</v>
      </c>
      <c r="E1132" s="37">
        <v>3</v>
      </c>
      <c r="F1132" s="670">
        <v>29336</v>
      </c>
      <c r="G1132" s="37">
        <v>33</v>
      </c>
      <c r="H1132" s="37">
        <v>1</v>
      </c>
      <c r="I1132" s="37">
        <v>8</v>
      </c>
      <c r="J1132" s="527">
        <f t="shared" si="203"/>
        <v>0.296160877513711</v>
      </c>
      <c r="K1132" s="687">
        <f t="shared" si="204"/>
        <v>3.54901234567901</v>
      </c>
      <c r="L1132" s="41">
        <f t="shared" si="197"/>
        <v>1051.07861060329</v>
      </c>
      <c r="M1132" s="702">
        <f t="shared" si="205"/>
        <v>51.0244547257105</v>
      </c>
      <c r="N1132" s="39">
        <f t="shared" si="198"/>
        <v>0.0185185185185185</v>
      </c>
      <c r="O1132" s="558">
        <f t="shared" si="199"/>
        <v>9778.66666666667</v>
      </c>
      <c r="P1132" s="559">
        <f t="shared" si="200"/>
        <v>191.646666666667</v>
      </c>
      <c r="Q1132" s="41">
        <f t="shared" si="201"/>
        <v>17.4224242424242</v>
      </c>
      <c r="R1132" s="1021">
        <f t="shared" si="202"/>
        <v>0.203703703703704</v>
      </c>
    </row>
    <row r="1133" spans="1:18">
      <c r="A1133" s="801">
        <v>45780</v>
      </c>
      <c r="B1133" s="670">
        <v>701.38</v>
      </c>
      <c r="C1133" s="37">
        <v>594</v>
      </c>
      <c r="D1133" s="37">
        <v>178</v>
      </c>
      <c r="E1133" s="37">
        <v>4</v>
      </c>
      <c r="F1133" s="670">
        <v>60277</v>
      </c>
      <c r="G1133" s="37">
        <v>53</v>
      </c>
      <c r="H1133" s="37">
        <v>7</v>
      </c>
      <c r="I1133" s="37">
        <v>14</v>
      </c>
      <c r="J1133" s="527">
        <f t="shared" si="203"/>
        <v>0.2996632996633</v>
      </c>
      <c r="K1133" s="687">
        <f t="shared" si="204"/>
        <v>3.94033707865169</v>
      </c>
      <c r="L1133" s="41">
        <f t="shared" si="197"/>
        <v>1180.77441077441</v>
      </c>
      <c r="M1133" s="702">
        <f t="shared" si="205"/>
        <v>85.9405742963871</v>
      </c>
      <c r="N1133" s="39">
        <f t="shared" si="198"/>
        <v>0.0224719101123595</v>
      </c>
      <c r="O1133" s="558">
        <f t="shared" si="199"/>
        <v>15069.25</v>
      </c>
      <c r="P1133" s="559">
        <f t="shared" si="200"/>
        <v>175.345</v>
      </c>
      <c r="Q1133" s="41">
        <f t="shared" si="201"/>
        <v>13.2335849056604</v>
      </c>
      <c r="R1133" s="1021">
        <f t="shared" si="202"/>
        <v>0.297752808988764</v>
      </c>
    </row>
    <row r="1134" spans="1:18">
      <c r="A1134" s="801">
        <v>45781</v>
      </c>
      <c r="B1134" s="670">
        <v>739.52</v>
      </c>
      <c r="C1134" s="37">
        <v>703</v>
      </c>
      <c r="D1134" s="37">
        <v>157</v>
      </c>
      <c r="E1134" s="37">
        <v>1</v>
      </c>
      <c r="F1134" s="670">
        <v>15792</v>
      </c>
      <c r="G1134" s="37">
        <v>42</v>
      </c>
      <c r="H1134" s="37">
        <v>10</v>
      </c>
      <c r="I1134" s="37">
        <v>7</v>
      </c>
      <c r="J1134" s="527">
        <f t="shared" si="203"/>
        <v>0.223328591749644</v>
      </c>
      <c r="K1134" s="687">
        <f t="shared" si="204"/>
        <v>4.71031847133758</v>
      </c>
      <c r="L1134" s="41">
        <f t="shared" si="197"/>
        <v>1051.94879089616</v>
      </c>
      <c r="M1134" s="702">
        <f t="shared" si="205"/>
        <v>21.3543920380788</v>
      </c>
      <c r="N1134" s="39">
        <f t="shared" si="198"/>
        <v>0.00636942675159236</v>
      </c>
      <c r="O1134" s="558">
        <f t="shared" si="199"/>
        <v>15792</v>
      </c>
      <c r="P1134" s="559">
        <f t="shared" si="200"/>
        <v>739.52</v>
      </c>
      <c r="Q1134" s="41">
        <f t="shared" si="201"/>
        <v>17.607619047619</v>
      </c>
      <c r="R1134" s="1021">
        <f t="shared" si="202"/>
        <v>0.267515923566879</v>
      </c>
    </row>
    <row r="1135" spans="1:18">
      <c r="A1135" s="801">
        <v>45782</v>
      </c>
      <c r="B1135" s="670">
        <v>956.68</v>
      </c>
      <c r="C1135" s="37">
        <v>842</v>
      </c>
      <c r="D1135" s="37">
        <v>242</v>
      </c>
      <c r="E1135" s="37">
        <v>3</v>
      </c>
      <c r="F1135" s="670">
        <v>14896</v>
      </c>
      <c r="G1135" s="37">
        <v>40</v>
      </c>
      <c r="H1135" s="37">
        <v>2</v>
      </c>
      <c r="I1135" s="37">
        <v>11</v>
      </c>
      <c r="J1135" s="527">
        <f t="shared" si="203"/>
        <v>0.287410926365796</v>
      </c>
      <c r="K1135" s="687">
        <f t="shared" si="204"/>
        <v>3.95322314049587</v>
      </c>
      <c r="L1135" s="41">
        <f t="shared" si="197"/>
        <v>1136.19952494062</v>
      </c>
      <c r="M1135" s="702">
        <f t="shared" si="205"/>
        <v>15.5705146966593</v>
      </c>
      <c r="N1135" s="39">
        <f t="shared" si="198"/>
        <v>0.012396694214876</v>
      </c>
      <c r="O1135" s="558">
        <f t="shared" si="199"/>
        <v>4965.33333333333</v>
      </c>
      <c r="P1135" s="559">
        <f t="shared" si="200"/>
        <v>318.893333333333</v>
      </c>
      <c r="Q1135" s="41">
        <f t="shared" si="201"/>
        <v>23.917</v>
      </c>
      <c r="R1135" s="1021">
        <f t="shared" si="202"/>
        <v>0.165289256198347</v>
      </c>
    </row>
    <row r="1136" spans="1:18">
      <c r="A1136" s="801">
        <v>45783</v>
      </c>
      <c r="B1136" s="670">
        <v>1145.46</v>
      </c>
      <c r="C1136" s="37">
        <v>1139</v>
      </c>
      <c r="D1136" s="37">
        <v>243</v>
      </c>
      <c r="E1136" s="37">
        <v>8</v>
      </c>
      <c r="F1136" s="670">
        <v>85453</v>
      </c>
      <c r="G1136" s="37">
        <v>56</v>
      </c>
      <c r="H1136" s="37">
        <v>2</v>
      </c>
      <c r="I1136" s="37">
        <v>14</v>
      </c>
      <c r="J1136" s="527">
        <f t="shared" si="203"/>
        <v>0.213345039508341</v>
      </c>
      <c r="K1136" s="687">
        <f t="shared" si="204"/>
        <v>4.71382716049383</v>
      </c>
      <c r="L1136" s="41">
        <f t="shared" si="197"/>
        <v>1005.67164179104</v>
      </c>
      <c r="M1136" s="702">
        <f t="shared" si="205"/>
        <v>74.6014701517294</v>
      </c>
      <c r="N1136" s="39">
        <f t="shared" si="198"/>
        <v>0.0329218106995885</v>
      </c>
      <c r="O1136" s="558">
        <f t="shared" si="199"/>
        <v>10681.625</v>
      </c>
      <c r="P1136" s="559">
        <f t="shared" si="200"/>
        <v>143.1825</v>
      </c>
      <c r="Q1136" s="41">
        <f t="shared" si="201"/>
        <v>20.4546428571429</v>
      </c>
      <c r="R1136" s="1021">
        <f t="shared" si="202"/>
        <v>0.230452674897119</v>
      </c>
    </row>
    <row r="1137" spans="1:18">
      <c r="A1137" s="801">
        <v>45784</v>
      </c>
      <c r="B1137" s="670">
        <v>999.83</v>
      </c>
      <c r="C1137" s="37">
        <v>1000</v>
      </c>
      <c r="D1137" s="37">
        <v>253</v>
      </c>
      <c r="E1137" s="37">
        <v>2</v>
      </c>
      <c r="F1137" s="670">
        <v>14198</v>
      </c>
      <c r="G1137" s="37">
        <v>72</v>
      </c>
      <c r="H1137" s="37">
        <v>5</v>
      </c>
      <c r="I1137" s="37">
        <v>13</v>
      </c>
      <c r="J1137" s="527">
        <f t="shared" si="203"/>
        <v>0.253</v>
      </c>
      <c r="K1137" s="687">
        <f t="shared" si="204"/>
        <v>3.95189723320158</v>
      </c>
      <c r="L1137" s="41">
        <f t="shared" ref="L1137:L1200" si="206">B1137/C1137*1000</f>
        <v>999.83</v>
      </c>
      <c r="M1137" s="702">
        <f t="shared" si="205"/>
        <v>14.200414070392</v>
      </c>
      <c r="N1137" s="39">
        <f t="shared" ref="N1137:N1200" si="207">E1137/D1137</f>
        <v>0.00790513833992095</v>
      </c>
      <c r="O1137" s="558">
        <f t="shared" ref="O1137:O1200" si="208">IF(E1137=0,0,F1137/E1137)</f>
        <v>7099</v>
      </c>
      <c r="P1137" s="559">
        <f>IF(E1137=0,0,B1137/E1137)</f>
        <v>499.915</v>
      </c>
      <c r="Q1137" s="41">
        <f t="shared" ref="Q1137:Q1200" si="209">B1137/G1137</f>
        <v>13.8865277777778</v>
      </c>
      <c r="R1137" s="1021">
        <f t="shared" ref="R1137:R1200" si="210">G1137/D1137</f>
        <v>0.284584980237154</v>
      </c>
    </row>
    <row r="1138" spans="1:18">
      <c r="A1138" s="801">
        <v>45785</v>
      </c>
      <c r="B1138" s="670">
        <v>819.33</v>
      </c>
      <c r="C1138" s="37">
        <v>687</v>
      </c>
      <c r="D1138" s="37">
        <v>217</v>
      </c>
      <c r="E1138" s="37">
        <v>6</v>
      </c>
      <c r="F1138" s="670">
        <v>72598</v>
      </c>
      <c r="G1138" s="37">
        <v>35</v>
      </c>
      <c r="H1138" s="37">
        <v>3</v>
      </c>
      <c r="I1138" s="37">
        <v>14</v>
      </c>
      <c r="J1138" s="527">
        <f t="shared" si="203"/>
        <v>0.315866084425036</v>
      </c>
      <c r="K1138" s="687">
        <f t="shared" si="204"/>
        <v>3.77571428571429</v>
      </c>
      <c r="L1138" s="41">
        <f t="shared" si="206"/>
        <v>1192.62008733624</v>
      </c>
      <c r="M1138" s="702">
        <f t="shared" si="205"/>
        <v>88.6065443716207</v>
      </c>
      <c r="N1138" s="39">
        <f t="shared" si="207"/>
        <v>0.0276497695852535</v>
      </c>
      <c r="O1138" s="558">
        <f t="shared" si="208"/>
        <v>12099.6666666667</v>
      </c>
      <c r="P1138" s="559">
        <f>IF(E1138=0,0,B1138/E1138)</f>
        <v>136.555</v>
      </c>
      <c r="Q1138" s="41">
        <f t="shared" si="209"/>
        <v>23.4094285714286</v>
      </c>
      <c r="R1138" s="1021">
        <f t="shared" si="210"/>
        <v>0.161290322580645</v>
      </c>
    </row>
    <row r="1139" spans="1:18">
      <c r="A1139" s="801">
        <v>45786</v>
      </c>
      <c r="B1139" s="670">
        <v>723</v>
      </c>
      <c r="C1139" s="37">
        <v>597</v>
      </c>
      <c r="D1139" s="37">
        <v>179</v>
      </c>
      <c r="E1139" s="37">
        <v>4</v>
      </c>
      <c r="F1139" s="670">
        <v>39063</v>
      </c>
      <c r="G1139" s="37">
        <v>37</v>
      </c>
      <c r="H1139" s="37">
        <v>6</v>
      </c>
      <c r="I1139" s="37">
        <v>5</v>
      </c>
      <c r="J1139" s="527">
        <f t="shared" si="203"/>
        <v>0.299832495812395</v>
      </c>
      <c r="K1139" s="687">
        <f t="shared" si="204"/>
        <v>4.0391061452514</v>
      </c>
      <c r="L1139" s="41">
        <f t="shared" si="206"/>
        <v>1211.05527638191</v>
      </c>
      <c r="M1139" s="702">
        <f t="shared" si="205"/>
        <v>54.0290456431535</v>
      </c>
      <c r="N1139" s="39">
        <f t="shared" si="207"/>
        <v>0.0223463687150838</v>
      </c>
      <c r="O1139" s="558">
        <f t="shared" si="208"/>
        <v>9765.75</v>
      </c>
      <c r="P1139" s="559">
        <f>IF(E1139=0,0,B1139/E1139)</f>
        <v>180.75</v>
      </c>
      <c r="Q1139" s="41">
        <f t="shared" si="209"/>
        <v>19.5405405405405</v>
      </c>
      <c r="R1139" s="1021">
        <f t="shared" si="210"/>
        <v>0.206703910614525</v>
      </c>
    </row>
    <row r="1140" spans="1:18">
      <c r="A1140" s="801">
        <v>45787</v>
      </c>
      <c r="B1140" s="670">
        <v>743.17</v>
      </c>
      <c r="C1140" s="37">
        <v>625</v>
      </c>
      <c r="D1140" s="37">
        <v>161</v>
      </c>
      <c r="E1140" s="37">
        <v>1</v>
      </c>
      <c r="F1140" s="670">
        <v>13092</v>
      </c>
      <c r="G1140" s="37">
        <v>34</v>
      </c>
      <c r="H1140" s="37">
        <v>2</v>
      </c>
      <c r="I1140" s="37">
        <v>13</v>
      </c>
      <c r="J1140" s="527">
        <f t="shared" si="203"/>
        <v>0.2576</v>
      </c>
      <c r="K1140" s="687">
        <f t="shared" si="204"/>
        <v>4.61596273291925</v>
      </c>
      <c r="L1140" s="41">
        <f t="shared" si="206"/>
        <v>1189.072</v>
      </c>
      <c r="M1140" s="702">
        <f t="shared" si="205"/>
        <v>17.61642692789</v>
      </c>
      <c r="N1140" s="39">
        <f t="shared" si="207"/>
        <v>0.0062111801242236</v>
      </c>
      <c r="O1140" s="558">
        <f t="shared" si="208"/>
        <v>13092</v>
      </c>
      <c r="P1140" s="559">
        <f t="shared" ref="P1140:P1203" si="211">IF(E1140=0,0,B1140/E1140)</f>
        <v>743.17</v>
      </c>
      <c r="Q1140" s="41">
        <f t="shared" si="209"/>
        <v>21.8579411764706</v>
      </c>
      <c r="R1140" s="1021">
        <f t="shared" si="210"/>
        <v>0.211180124223602</v>
      </c>
    </row>
    <row r="1141" spans="1:18">
      <c r="A1141" s="801">
        <v>45788</v>
      </c>
      <c r="B1141" s="670">
        <v>755.43</v>
      </c>
      <c r="C1141" s="37">
        <v>700</v>
      </c>
      <c r="D1141" s="37">
        <v>166</v>
      </c>
      <c r="E1141" s="37">
        <v>1</v>
      </c>
      <c r="F1141" s="670">
        <v>5976</v>
      </c>
      <c r="G1141" s="37">
        <v>57</v>
      </c>
      <c r="H1141" s="37">
        <v>7</v>
      </c>
      <c r="I1141" s="37">
        <v>8</v>
      </c>
      <c r="J1141" s="527">
        <f t="shared" si="203"/>
        <v>0.237142857142857</v>
      </c>
      <c r="K1141" s="687">
        <f t="shared" si="204"/>
        <v>4.55078313253012</v>
      </c>
      <c r="L1141" s="41">
        <f t="shared" si="206"/>
        <v>1079.18571428571</v>
      </c>
      <c r="M1141" s="702">
        <f t="shared" ref="M1141:M1204" si="212">F1141/B1141</f>
        <v>7.91072634128907</v>
      </c>
      <c r="N1141" s="39">
        <f t="shared" si="207"/>
        <v>0.00602409638554217</v>
      </c>
      <c r="O1141" s="558">
        <f t="shared" si="208"/>
        <v>5976</v>
      </c>
      <c r="P1141" s="559">
        <f t="shared" si="211"/>
        <v>755.43</v>
      </c>
      <c r="Q1141" s="41">
        <f t="shared" si="209"/>
        <v>13.2531578947368</v>
      </c>
      <c r="R1141" s="1021">
        <f t="shared" si="210"/>
        <v>0.343373493975904</v>
      </c>
    </row>
    <row r="1142" spans="1:18">
      <c r="A1142" s="801">
        <v>45789</v>
      </c>
      <c r="B1142" s="670">
        <v>795.63</v>
      </c>
      <c r="C1142" s="37">
        <v>666</v>
      </c>
      <c r="D1142" s="37">
        <v>207</v>
      </c>
      <c r="E1142" s="37">
        <v>0</v>
      </c>
      <c r="F1142" s="670">
        <v>0</v>
      </c>
      <c r="G1142" s="37">
        <v>76</v>
      </c>
      <c r="H1142" s="37">
        <v>10</v>
      </c>
      <c r="I1142" s="37">
        <v>13</v>
      </c>
      <c r="J1142" s="527">
        <f t="shared" si="203"/>
        <v>0.310810810810811</v>
      </c>
      <c r="K1142" s="687">
        <f t="shared" si="204"/>
        <v>3.8436231884058</v>
      </c>
      <c r="L1142" s="41">
        <f t="shared" si="206"/>
        <v>1194.63963963964</v>
      </c>
      <c r="M1142" s="702">
        <f t="shared" si="212"/>
        <v>0</v>
      </c>
      <c r="N1142" s="39">
        <f t="shared" si="207"/>
        <v>0</v>
      </c>
      <c r="O1142" s="558">
        <f t="shared" si="208"/>
        <v>0</v>
      </c>
      <c r="P1142" s="559">
        <f t="shared" si="211"/>
        <v>0</v>
      </c>
      <c r="Q1142" s="41">
        <f t="shared" si="209"/>
        <v>10.4688157894737</v>
      </c>
      <c r="R1142" s="1021">
        <f t="shared" si="210"/>
        <v>0.367149758454106</v>
      </c>
    </row>
    <row r="1143" spans="1:18">
      <c r="A1143" s="801">
        <v>45790</v>
      </c>
      <c r="B1143" s="670">
        <v>1123.24</v>
      </c>
      <c r="C1143" s="37">
        <v>791</v>
      </c>
      <c r="D1143" s="37">
        <v>275</v>
      </c>
      <c r="E1143" s="37">
        <v>5</v>
      </c>
      <c r="F1143" s="670">
        <v>57606</v>
      </c>
      <c r="G1143" s="37">
        <v>58</v>
      </c>
      <c r="H1143" s="37">
        <v>14</v>
      </c>
      <c r="I1143" s="37">
        <v>12</v>
      </c>
      <c r="J1143" s="527">
        <f t="shared" si="203"/>
        <v>0.347661188369153</v>
      </c>
      <c r="K1143" s="687">
        <f t="shared" si="204"/>
        <v>4.08450909090909</v>
      </c>
      <c r="L1143" s="41">
        <f t="shared" si="206"/>
        <v>1420.02528445006</v>
      </c>
      <c r="M1143" s="702">
        <f t="shared" si="212"/>
        <v>51.2855667533208</v>
      </c>
      <c r="N1143" s="39">
        <f t="shared" si="207"/>
        <v>0.0181818181818182</v>
      </c>
      <c r="O1143" s="558">
        <f t="shared" si="208"/>
        <v>11521.2</v>
      </c>
      <c r="P1143" s="559">
        <f t="shared" si="211"/>
        <v>224.648</v>
      </c>
      <c r="Q1143" s="41">
        <f t="shared" si="209"/>
        <v>19.3662068965517</v>
      </c>
      <c r="R1143" s="1021">
        <f t="shared" si="210"/>
        <v>0.210909090909091</v>
      </c>
    </row>
    <row r="1144" spans="1:18">
      <c r="A1144" s="801">
        <v>45791</v>
      </c>
      <c r="B1144" s="670">
        <v>1126.59</v>
      </c>
      <c r="C1144" s="37">
        <v>775</v>
      </c>
      <c r="D1144" s="37">
        <v>303</v>
      </c>
      <c r="E1144" s="37">
        <v>7</v>
      </c>
      <c r="F1144" s="670">
        <v>83966</v>
      </c>
      <c r="G1144" s="37">
        <v>87</v>
      </c>
      <c r="H1144" s="37">
        <v>14</v>
      </c>
      <c r="I1144" s="37">
        <v>20</v>
      </c>
      <c r="J1144" s="527">
        <f t="shared" si="203"/>
        <v>0.390967741935484</v>
      </c>
      <c r="K1144" s="687">
        <f t="shared" si="204"/>
        <v>3.71811881188119</v>
      </c>
      <c r="L1144" s="41">
        <f t="shared" si="206"/>
        <v>1453.66451612903</v>
      </c>
      <c r="M1144" s="702">
        <f t="shared" si="212"/>
        <v>74.5311071463443</v>
      </c>
      <c r="N1144" s="39">
        <f t="shared" si="207"/>
        <v>0.0231023102310231</v>
      </c>
      <c r="O1144" s="558">
        <f t="shared" si="208"/>
        <v>11995.1428571429</v>
      </c>
      <c r="P1144" s="559">
        <f t="shared" si="211"/>
        <v>160.941428571429</v>
      </c>
      <c r="Q1144" s="41">
        <f t="shared" si="209"/>
        <v>12.9493103448276</v>
      </c>
      <c r="R1144" s="1021">
        <f t="shared" si="210"/>
        <v>0.287128712871287</v>
      </c>
    </row>
    <row r="1145" spans="1:18">
      <c r="A1145" s="801">
        <v>45792</v>
      </c>
      <c r="B1145" s="670">
        <v>1333.2</v>
      </c>
      <c r="C1145" s="37">
        <v>993</v>
      </c>
      <c r="D1145" s="37">
        <v>339</v>
      </c>
      <c r="E1145" s="37">
        <v>9</v>
      </c>
      <c r="F1145" s="670">
        <v>100656</v>
      </c>
      <c r="G1145" s="37">
        <v>94</v>
      </c>
      <c r="H1145" s="37">
        <v>4</v>
      </c>
      <c r="I1145" s="37">
        <v>16</v>
      </c>
      <c r="J1145" s="527">
        <f t="shared" si="203"/>
        <v>0.341389728096677</v>
      </c>
      <c r="K1145" s="687">
        <f t="shared" si="204"/>
        <v>3.93274336283186</v>
      </c>
      <c r="L1145" s="41">
        <f t="shared" si="206"/>
        <v>1342.59818731118</v>
      </c>
      <c r="M1145" s="702">
        <f t="shared" si="212"/>
        <v>75.4995499549955</v>
      </c>
      <c r="N1145" s="39">
        <f t="shared" si="207"/>
        <v>0.0265486725663717</v>
      </c>
      <c r="O1145" s="558">
        <f t="shared" si="208"/>
        <v>11184</v>
      </c>
      <c r="P1145" s="559">
        <f t="shared" si="211"/>
        <v>148.133333333333</v>
      </c>
      <c r="Q1145" s="41">
        <f t="shared" si="209"/>
        <v>14.1829787234043</v>
      </c>
      <c r="R1145" s="1021">
        <f t="shared" si="210"/>
        <v>0.277286135693215</v>
      </c>
    </row>
    <row r="1146" spans="1:18">
      <c r="A1146" s="801">
        <v>45793</v>
      </c>
      <c r="B1146" s="670">
        <v>1060.49</v>
      </c>
      <c r="C1146" s="37">
        <v>769</v>
      </c>
      <c r="D1146" s="37">
        <v>258</v>
      </c>
      <c r="E1146" s="37">
        <v>6</v>
      </c>
      <c r="F1146" s="670">
        <v>57736</v>
      </c>
      <c r="G1146" s="37">
        <v>64</v>
      </c>
      <c r="H1146" s="37">
        <v>5</v>
      </c>
      <c r="I1146" s="37">
        <v>7</v>
      </c>
      <c r="J1146" s="527">
        <f t="shared" si="203"/>
        <v>0.335500650195059</v>
      </c>
      <c r="K1146" s="687">
        <f t="shared" si="204"/>
        <v>4.11042635658915</v>
      </c>
      <c r="L1146" s="41">
        <f t="shared" si="206"/>
        <v>1379.05071521456</v>
      </c>
      <c r="M1146" s="702">
        <f t="shared" si="212"/>
        <v>54.4427575931881</v>
      </c>
      <c r="N1146" s="39">
        <f t="shared" si="207"/>
        <v>0.0232558139534884</v>
      </c>
      <c r="O1146" s="558">
        <f t="shared" si="208"/>
        <v>9622.66666666667</v>
      </c>
      <c r="P1146" s="559">
        <f t="shared" si="211"/>
        <v>176.748333333333</v>
      </c>
      <c r="Q1146" s="41">
        <f t="shared" si="209"/>
        <v>16.57015625</v>
      </c>
      <c r="R1146" s="1021">
        <f t="shared" si="210"/>
        <v>0.248062015503876</v>
      </c>
    </row>
    <row r="1147" spans="1:18">
      <c r="A1147" s="801">
        <v>45794</v>
      </c>
      <c r="B1147" s="670">
        <v>1002.72</v>
      </c>
      <c r="C1147" s="37">
        <v>763</v>
      </c>
      <c r="D1147" s="37">
        <v>207</v>
      </c>
      <c r="E1147" s="37">
        <v>9</v>
      </c>
      <c r="F1147" s="670">
        <v>102882</v>
      </c>
      <c r="G1147" s="37">
        <v>91</v>
      </c>
      <c r="H1147" s="37">
        <v>3</v>
      </c>
      <c r="I1147" s="37">
        <v>11</v>
      </c>
      <c r="J1147" s="527">
        <f t="shared" si="203"/>
        <v>0.27129750982962</v>
      </c>
      <c r="K1147" s="687">
        <f t="shared" si="204"/>
        <v>4.84405797101449</v>
      </c>
      <c r="L1147" s="41">
        <f t="shared" si="206"/>
        <v>1314.18086500655</v>
      </c>
      <c r="M1147" s="702">
        <f t="shared" si="212"/>
        <v>102.602920057444</v>
      </c>
      <c r="N1147" s="39">
        <f t="shared" si="207"/>
        <v>0.0434782608695652</v>
      </c>
      <c r="O1147" s="558">
        <f t="shared" si="208"/>
        <v>11431.3333333333</v>
      </c>
      <c r="P1147" s="559">
        <f t="shared" si="211"/>
        <v>111.413333333333</v>
      </c>
      <c r="Q1147" s="41">
        <f t="shared" si="209"/>
        <v>11.0189010989011</v>
      </c>
      <c r="R1147" s="1021">
        <f t="shared" si="210"/>
        <v>0.439613526570048</v>
      </c>
    </row>
    <row r="1148" spans="1:18">
      <c r="A1148" s="801">
        <v>45795</v>
      </c>
      <c r="B1148" s="670">
        <v>1080.23</v>
      </c>
      <c r="C1148" s="37">
        <v>858</v>
      </c>
      <c r="D1148" s="37">
        <v>197</v>
      </c>
      <c r="E1148" s="37">
        <v>3</v>
      </c>
      <c r="F1148" s="670">
        <v>42367</v>
      </c>
      <c r="G1148" s="37">
        <v>50</v>
      </c>
      <c r="H1148" s="37">
        <v>6</v>
      </c>
      <c r="I1148" s="37">
        <v>8</v>
      </c>
      <c r="J1148" s="527">
        <f t="shared" si="203"/>
        <v>0.22960372960373</v>
      </c>
      <c r="K1148" s="687">
        <f t="shared" si="204"/>
        <v>5.48340101522843</v>
      </c>
      <c r="L1148" s="41">
        <f t="shared" si="206"/>
        <v>1259.00932400932</v>
      </c>
      <c r="M1148" s="702">
        <f t="shared" si="212"/>
        <v>39.2203512214991</v>
      </c>
      <c r="N1148" s="39">
        <f t="shared" si="207"/>
        <v>0.0152284263959391</v>
      </c>
      <c r="O1148" s="558">
        <f t="shared" si="208"/>
        <v>14122.3333333333</v>
      </c>
      <c r="P1148" s="559">
        <f t="shared" si="211"/>
        <v>360.076666666667</v>
      </c>
      <c r="Q1148" s="41">
        <f t="shared" si="209"/>
        <v>21.6046</v>
      </c>
      <c r="R1148" s="1021">
        <f t="shared" si="210"/>
        <v>0.253807106598985</v>
      </c>
    </row>
    <row r="1149" spans="1:18">
      <c r="A1149" s="801">
        <v>45796</v>
      </c>
      <c r="B1149" s="670">
        <v>983.25</v>
      </c>
      <c r="C1149" s="37">
        <v>749</v>
      </c>
      <c r="D1149" s="37">
        <v>202</v>
      </c>
      <c r="E1149" s="37">
        <v>4</v>
      </c>
      <c r="F1149" s="670">
        <v>57193</v>
      </c>
      <c r="G1149" s="37">
        <v>73</v>
      </c>
      <c r="H1149" s="37">
        <v>4</v>
      </c>
      <c r="I1149" s="37">
        <v>13</v>
      </c>
      <c r="J1149" s="527">
        <f t="shared" si="203"/>
        <v>0.269692923898531</v>
      </c>
      <c r="K1149" s="687">
        <f t="shared" si="204"/>
        <v>4.86757425742574</v>
      </c>
      <c r="L1149" s="41">
        <f t="shared" si="206"/>
        <v>1312.75033377837</v>
      </c>
      <c r="M1149" s="702">
        <f t="shared" si="212"/>
        <v>58.1673023137554</v>
      </c>
      <c r="N1149" s="39">
        <f t="shared" si="207"/>
        <v>0.0198019801980198</v>
      </c>
      <c r="O1149" s="558">
        <f t="shared" si="208"/>
        <v>14298.25</v>
      </c>
      <c r="P1149" s="559">
        <f t="shared" si="211"/>
        <v>245.8125</v>
      </c>
      <c r="Q1149" s="41">
        <f t="shared" si="209"/>
        <v>13.4691780821918</v>
      </c>
      <c r="R1149" s="1021">
        <f t="shared" si="210"/>
        <v>0.361386138613861</v>
      </c>
    </row>
    <row r="1150" spans="1:18">
      <c r="A1150" s="801">
        <v>45797</v>
      </c>
      <c r="B1150" s="670">
        <v>1023.99</v>
      </c>
      <c r="C1150" s="37">
        <v>790</v>
      </c>
      <c r="D1150" s="37">
        <v>199</v>
      </c>
      <c r="E1150" s="37">
        <v>4</v>
      </c>
      <c r="F1150" s="670">
        <v>42432</v>
      </c>
      <c r="G1150" s="37">
        <v>62</v>
      </c>
      <c r="H1150" s="37">
        <v>5</v>
      </c>
      <c r="I1150" s="37">
        <v>9</v>
      </c>
      <c r="J1150" s="527">
        <f t="shared" si="203"/>
        <v>0.251898734177215</v>
      </c>
      <c r="K1150" s="687">
        <f t="shared" si="204"/>
        <v>5.1456783919598</v>
      </c>
      <c r="L1150" s="41">
        <f t="shared" si="206"/>
        <v>1296.18987341772</v>
      </c>
      <c r="M1150" s="702">
        <f t="shared" si="212"/>
        <v>41.4379046670378</v>
      </c>
      <c r="N1150" s="39">
        <f t="shared" si="207"/>
        <v>0.0201005025125628</v>
      </c>
      <c r="O1150" s="558">
        <f t="shared" si="208"/>
        <v>10608</v>
      </c>
      <c r="P1150" s="559">
        <f t="shared" si="211"/>
        <v>255.9975</v>
      </c>
      <c r="Q1150" s="41">
        <f t="shared" si="209"/>
        <v>16.5159677419355</v>
      </c>
      <c r="R1150" s="1021">
        <f t="shared" si="210"/>
        <v>0.311557788944724</v>
      </c>
    </row>
    <row r="1151" spans="1:18">
      <c r="A1151" s="801">
        <v>45798</v>
      </c>
      <c r="B1151" s="670">
        <v>1111.98</v>
      </c>
      <c r="C1151" s="37">
        <v>249</v>
      </c>
      <c r="D1151" s="37">
        <v>840</v>
      </c>
      <c r="E1151" s="37">
        <v>1</v>
      </c>
      <c r="F1151" s="670">
        <v>5976</v>
      </c>
      <c r="G1151" s="37">
        <v>93</v>
      </c>
      <c r="H1151" s="37">
        <v>7</v>
      </c>
      <c r="I1151" s="37">
        <v>12</v>
      </c>
      <c r="J1151" s="527">
        <f t="shared" si="203"/>
        <v>3.37349397590361</v>
      </c>
      <c r="K1151" s="687">
        <f t="shared" si="204"/>
        <v>1.32378571428571</v>
      </c>
      <c r="L1151" s="41">
        <f t="shared" si="206"/>
        <v>4465.78313253012</v>
      </c>
      <c r="M1151" s="702">
        <f t="shared" si="212"/>
        <v>5.37419737765068</v>
      </c>
      <c r="N1151" s="39">
        <f t="shared" si="207"/>
        <v>0.00119047619047619</v>
      </c>
      <c r="O1151" s="558">
        <f t="shared" si="208"/>
        <v>5976</v>
      </c>
      <c r="P1151" s="559">
        <f t="shared" si="211"/>
        <v>1111.98</v>
      </c>
      <c r="Q1151" s="41">
        <f t="shared" si="209"/>
        <v>11.9567741935484</v>
      </c>
      <c r="R1151" s="1021">
        <f t="shared" si="210"/>
        <v>0.110714285714286</v>
      </c>
    </row>
    <row r="1152" spans="1:18">
      <c r="A1152" s="801">
        <v>45799</v>
      </c>
      <c r="B1152" s="670">
        <v>937.36</v>
      </c>
      <c r="C1152" s="37">
        <v>677</v>
      </c>
      <c r="D1152" s="37">
        <v>175</v>
      </c>
      <c r="E1152" s="37">
        <v>8</v>
      </c>
      <c r="F1152" s="670">
        <v>87112</v>
      </c>
      <c r="G1152" s="37">
        <v>57</v>
      </c>
      <c r="H1152" s="37">
        <v>10</v>
      </c>
      <c r="I1152" s="37">
        <v>8</v>
      </c>
      <c r="J1152" s="527">
        <f t="shared" si="203"/>
        <v>0.258493353028065</v>
      </c>
      <c r="K1152" s="687">
        <f t="shared" si="204"/>
        <v>5.35634285714286</v>
      </c>
      <c r="L1152" s="41">
        <f t="shared" si="206"/>
        <v>1384.57902511078</v>
      </c>
      <c r="M1152" s="702">
        <f t="shared" si="212"/>
        <v>92.9333447128104</v>
      </c>
      <c r="N1152" s="39">
        <f t="shared" si="207"/>
        <v>0.0457142857142857</v>
      </c>
      <c r="O1152" s="558">
        <f t="shared" si="208"/>
        <v>10889</v>
      </c>
      <c r="P1152" s="559">
        <f t="shared" si="211"/>
        <v>117.17</v>
      </c>
      <c r="Q1152" s="41">
        <f t="shared" si="209"/>
        <v>16.4449122807018</v>
      </c>
      <c r="R1152" s="1021">
        <f t="shared" si="210"/>
        <v>0.325714285714286</v>
      </c>
    </row>
    <row r="1153" spans="1:18">
      <c r="A1153" s="801">
        <v>45800</v>
      </c>
      <c r="B1153" s="670">
        <v>919.91</v>
      </c>
      <c r="C1153" s="37">
        <v>662</v>
      </c>
      <c r="D1153" s="37">
        <v>188</v>
      </c>
      <c r="E1153" s="37">
        <v>2</v>
      </c>
      <c r="F1153" s="670">
        <v>23091</v>
      </c>
      <c r="G1153" s="37">
        <v>43</v>
      </c>
      <c r="H1153" s="37">
        <v>3</v>
      </c>
      <c r="I1153" s="37">
        <v>6</v>
      </c>
      <c r="J1153" s="527">
        <f t="shared" si="203"/>
        <v>0.283987915407855</v>
      </c>
      <c r="K1153" s="687">
        <f t="shared" si="204"/>
        <v>4.89313829787234</v>
      </c>
      <c r="L1153" s="41">
        <f t="shared" si="206"/>
        <v>1389.59214501511</v>
      </c>
      <c r="M1153" s="702">
        <f t="shared" si="212"/>
        <v>25.1013686121468</v>
      </c>
      <c r="N1153" s="39">
        <f t="shared" si="207"/>
        <v>0.0106382978723404</v>
      </c>
      <c r="O1153" s="558">
        <f t="shared" si="208"/>
        <v>11545.5</v>
      </c>
      <c r="P1153" s="559">
        <f t="shared" si="211"/>
        <v>459.955</v>
      </c>
      <c r="Q1153" s="41">
        <f t="shared" si="209"/>
        <v>21.3932558139535</v>
      </c>
      <c r="R1153" s="1021">
        <f t="shared" si="210"/>
        <v>0.228723404255319</v>
      </c>
    </row>
    <row r="1154" spans="1:18">
      <c r="A1154" s="801">
        <v>45801</v>
      </c>
      <c r="B1154" s="670">
        <v>928.48</v>
      </c>
      <c r="C1154" s="37">
        <v>734</v>
      </c>
      <c r="D1154" s="37">
        <v>193</v>
      </c>
      <c r="E1154" s="37">
        <v>1</v>
      </c>
      <c r="F1154" s="670">
        <v>10198</v>
      </c>
      <c r="G1154" s="37">
        <v>51</v>
      </c>
      <c r="H1154" s="37">
        <v>7</v>
      </c>
      <c r="I1154" s="37">
        <v>4</v>
      </c>
      <c r="J1154" s="527">
        <f t="shared" ref="J1154:J1217" si="213">D1154/C1154</f>
        <v>0.262942779291553</v>
      </c>
      <c r="K1154" s="687">
        <f t="shared" ref="K1154:K1217" si="214">B1154/D1154</f>
        <v>4.81077720207254</v>
      </c>
      <c r="L1154" s="41">
        <f t="shared" si="206"/>
        <v>1264.9591280654</v>
      </c>
      <c r="M1154" s="702">
        <f t="shared" si="212"/>
        <v>10.9835429950026</v>
      </c>
      <c r="N1154" s="39">
        <f t="shared" si="207"/>
        <v>0.00518134715025907</v>
      </c>
      <c r="O1154" s="558">
        <f t="shared" si="208"/>
        <v>10198</v>
      </c>
      <c r="P1154" s="559">
        <f t="shared" si="211"/>
        <v>928.48</v>
      </c>
      <c r="Q1154" s="41">
        <f t="shared" si="209"/>
        <v>18.2054901960784</v>
      </c>
      <c r="R1154" s="1021">
        <f t="shared" si="210"/>
        <v>0.264248704663212</v>
      </c>
    </row>
    <row r="1155" spans="1:18">
      <c r="A1155" s="801">
        <v>45802</v>
      </c>
      <c r="B1155" s="670">
        <v>1182.81</v>
      </c>
      <c r="C1155" s="37">
        <v>822</v>
      </c>
      <c r="D1155" s="37">
        <v>263</v>
      </c>
      <c r="E1155" s="37">
        <v>7</v>
      </c>
      <c r="F1155" s="670">
        <v>92910</v>
      </c>
      <c r="G1155" s="37">
        <v>64</v>
      </c>
      <c r="H1155" s="37">
        <v>7</v>
      </c>
      <c r="I1155" s="37">
        <v>15</v>
      </c>
      <c r="J1155" s="527">
        <f t="shared" si="213"/>
        <v>0.319951338199513</v>
      </c>
      <c r="K1155" s="687">
        <f t="shared" si="214"/>
        <v>4.49737642585551</v>
      </c>
      <c r="L1155" s="41">
        <f t="shared" si="206"/>
        <v>1438.94160583942</v>
      </c>
      <c r="M1155" s="702">
        <f t="shared" si="212"/>
        <v>78.5502320744667</v>
      </c>
      <c r="N1155" s="39">
        <f t="shared" si="207"/>
        <v>0.026615969581749</v>
      </c>
      <c r="O1155" s="558">
        <f t="shared" si="208"/>
        <v>13272.8571428571</v>
      </c>
      <c r="P1155" s="559">
        <f t="shared" si="211"/>
        <v>168.972857142857</v>
      </c>
      <c r="Q1155" s="41">
        <f t="shared" si="209"/>
        <v>18.48140625</v>
      </c>
      <c r="R1155" s="1021">
        <f t="shared" si="210"/>
        <v>0.243346007604563</v>
      </c>
    </row>
    <row r="1156" spans="1:18">
      <c r="A1156" s="801">
        <v>45803</v>
      </c>
      <c r="B1156" s="670">
        <v>1190.57</v>
      </c>
      <c r="C1156" s="37">
        <v>833</v>
      </c>
      <c r="D1156" s="37">
        <v>244</v>
      </c>
      <c r="E1156" s="37">
        <v>3</v>
      </c>
      <c r="F1156" s="670">
        <v>28544</v>
      </c>
      <c r="G1156" s="37">
        <v>75</v>
      </c>
      <c r="H1156" s="37">
        <v>9</v>
      </c>
      <c r="I1156" s="37">
        <v>16</v>
      </c>
      <c r="J1156" s="527">
        <f t="shared" si="213"/>
        <v>0.292917166866747</v>
      </c>
      <c r="K1156" s="687">
        <f t="shared" si="214"/>
        <v>4.87938524590164</v>
      </c>
      <c r="L1156" s="41">
        <f t="shared" si="206"/>
        <v>1429.25570228091</v>
      </c>
      <c r="M1156" s="702">
        <f t="shared" si="212"/>
        <v>23.9750707644238</v>
      </c>
      <c r="N1156" s="39">
        <f t="shared" si="207"/>
        <v>0.0122950819672131</v>
      </c>
      <c r="O1156" s="558">
        <f t="shared" si="208"/>
        <v>9514.66666666667</v>
      </c>
      <c r="P1156" s="559">
        <f t="shared" si="211"/>
        <v>396.856666666667</v>
      </c>
      <c r="Q1156" s="41">
        <f t="shared" si="209"/>
        <v>15.8742666666667</v>
      </c>
      <c r="R1156" s="1021">
        <f t="shared" si="210"/>
        <v>0.307377049180328</v>
      </c>
    </row>
    <row r="1157" spans="1:18">
      <c r="A1157" s="801">
        <v>45804</v>
      </c>
      <c r="B1157" s="670">
        <v>1182.67</v>
      </c>
      <c r="C1157" s="37">
        <v>795</v>
      </c>
      <c r="D1157" s="37">
        <v>246</v>
      </c>
      <c r="E1157" s="37">
        <v>1</v>
      </c>
      <c r="F1157" s="670">
        <v>6376</v>
      </c>
      <c r="G1157" s="37">
        <v>59</v>
      </c>
      <c r="H1157" s="37">
        <v>10</v>
      </c>
      <c r="I1157" s="37">
        <v>18</v>
      </c>
      <c r="J1157" s="527">
        <f t="shared" si="213"/>
        <v>0.309433962264151</v>
      </c>
      <c r="K1157" s="687">
        <f t="shared" si="214"/>
        <v>4.80760162601626</v>
      </c>
      <c r="L1157" s="41">
        <f t="shared" si="206"/>
        <v>1487.63522012579</v>
      </c>
      <c r="M1157" s="702">
        <f t="shared" si="212"/>
        <v>5.39119111840158</v>
      </c>
      <c r="N1157" s="39">
        <f t="shared" si="207"/>
        <v>0.0040650406504065</v>
      </c>
      <c r="O1157" s="558">
        <f t="shared" si="208"/>
        <v>6376</v>
      </c>
      <c r="P1157" s="559">
        <f t="shared" si="211"/>
        <v>1182.67</v>
      </c>
      <c r="Q1157" s="41">
        <f t="shared" si="209"/>
        <v>20.0452542372881</v>
      </c>
      <c r="R1157" s="1021">
        <f t="shared" si="210"/>
        <v>0.239837398373984</v>
      </c>
    </row>
    <row r="1158" spans="1:18">
      <c r="A1158" s="801">
        <v>45805</v>
      </c>
      <c r="B1158" s="670">
        <v>1127.29</v>
      </c>
      <c r="C1158" s="37">
        <v>778</v>
      </c>
      <c r="D1158" s="37">
        <v>248</v>
      </c>
      <c r="E1158" s="37">
        <v>3</v>
      </c>
      <c r="F1158" s="670">
        <v>39073</v>
      </c>
      <c r="G1158" s="37">
        <v>79</v>
      </c>
      <c r="H1158" s="37">
        <v>6</v>
      </c>
      <c r="I1158" s="37">
        <v>10</v>
      </c>
      <c r="J1158" s="527">
        <f t="shared" si="213"/>
        <v>0.318766066838046</v>
      </c>
      <c r="K1158" s="687">
        <f t="shared" si="214"/>
        <v>4.54552419354839</v>
      </c>
      <c r="L1158" s="41">
        <f t="shared" si="206"/>
        <v>1448.9588688946</v>
      </c>
      <c r="M1158" s="702">
        <f t="shared" si="212"/>
        <v>34.661001162079</v>
      </c>
      <c r="N1158" s="39">
        <f t="shared" si="207"/>
        <v>0.0120967741935484</v>
      </c>
      <c r="O1158" s="558">
        <f t="shared" si="208"/>
        <v>13024.3333333333</v>
      </c>
      <c r="P1158" s="559">
        <f t="shared" si="211"/>
        <v>375.763333333333</v>
      </c>
      <c r="Q1158" s="41">
        <f t="shared" si="209"/>
        <v>14.2694936708861</v>
      </c>
      <c r="R1158" s="1021">
        <f t="shared" si="210"/>
        <v>0.318548387096774</v>
      </c>
    </row>
    <row r="1159" spans="1:18">
      <c r="A1159" s="801">
        <v>45806</v>
      </c>
      <c r="B1159" s="670">
        <v>1110.18</v>
      </c>
      <c r="C1159" s="37">
        <v>726</v>
      </c>
      <c r="D1159" s="37">
        <v>224</v>
      </c>
      <c r="E1159" s="37">
        <v>1</v>
      </c>
      <c r="F1159" s="670">
        <v>16884</v>
      </c>
      <c r="G1159" s="37">
        <v>75</v>
      </c>
      <c r="H1159" s="37">
        <v>3</v>
      </c>
      <c r="I1159" s="37">
        <v>9</v>
      </c>
      <c r="J1159" s="527">
        <f t="shared" si="213"/>
        <v>0.308539944903581</v>
      </c>
      <c r="K1159" s="687">
        <f t="shared" si="214"/>
        <v>4.95616071428571</v>
      </c>
      <c r="L1159" s="41">
        <f t="shared" si="206"/>
        <v>1529.17355371901</v>
      </c>
      <c r="M1159" s="702">
        <f t="shared" si="212"/>
        <v>15.2083445927687</v>
      </c>
      <c r="N1159" s="39">
        <f t="shared" si="207"/>
        <v>0.00446428571428571</v>
      </c>
      <c r="O1159" s="558">
        <f t="shared" si="208"/>
        <v>16884</v>
      </c>
      <c r="P1159" s="559">
        <f t="shared" si="211"/>
        <v>1110.18</v>
      </c>
      <c r="Q1159" s="41">
        <f t="shared" si="209"/>
        <v>14.8024</v>
      </c>
      <c r="R1159" s="1021">
        <f t="shared" si="210"/>
        <v>0.334821428571429</v>
      </c>
    </row>
    <row r="1160" spans="1:18">
      <c r="A1160" s="801">
        <v>45807</v>
      </c>
      <c r="B1160" s="670">
        <v>1033.81</v>
      </c>
      <c r="C1160" s="37">
        <v>687</v>
      </c>
      <c r="D1160" s="37">
        <v>189</v>
      </c>
      <c r="E1160" s="37">
        <v>1</v>
      </c>
      <c r="F1160" s="670">
        <v>5976</v>
      </c>
      <c r="G1160" s="37">
        <v>50</v>
      </c>
      <c r="H1160" s="37">
        <v>5</v>
      </c>
      <c r="I1160" s="37">
        <v>8</v>
      </c>
      <c r="J1160" s="527">
        <f t="shared" si="213"/>
        <v>0.275109170305677</v>
      </c>
      <c r="K1160" s="687">
        <f t="shared" si="214"/>
        <v>5.46989417989418</v>
      </c>
      <c r="L1160" s="41">
        <f t="shared" si="206"/>
        <v>1504.81804949054</v>
      </c>
      <c r="M1160" s="702">
        <f t="shared" si="212"/>
        <v>5.78055929039185</v>
      </c>
      <c r="N1160" s="39">
        <f t="shared" si="207"/>
        <v>0.00529100529100529</v>
      </c>
      <c r="O1160" s="558">
        <f t="shared" si="208"/>
        <v>5976</v>
      </c>
      <c r="P1160" s="559">
        <f t="shared" si="211"/>
        <v>1033.81</v>
      </c>
      <c r="Q1160" s="41">
        <f t="shared" si="209"/>
        <v>20.6762</v>
      </c>
      <c r="R1160" s="1021">
        <f t="shared" si="210"/>
        <v>0.264550264550265</v>
      </c>
    </row>
    <row r="1161" spans="1:18">
      <c r="A1161" s="801">
        <v>45808</v>
      </c>
      <c r="B1161" s="670">
        <v>1006.53</v>
      </c>
      <c r="C1161" s="37">
        <v>711</v>
      </c>
      <c r="D1161" s="37">
        <v>192</v>
      </c>
      <c r="E1161" s="37">
        <v>1</v>
      </c>
      <c r="F1161" s="670">
        <v>14434</v>
      </c>
      <c r="G1161" s="37">
        <v>49</v>
      </c>
      <c r="H1161" s="37">
        <v>1</v>
      </c>
      <c r="I1161" s="37">
        <v>7</v>
      </c>
      <c r="J1161" s="527">
        <f t="shared" si="213"/>
        <v>0.270042194092827</v>
      </c>
      <c r="K1161" s="687">
        <f t="shared" si="214"/>
        <v>5.24234375</v>
      </c>
      <c r="L1161" s="41">
        <f t="shared" si="206"/>
        <v>1415.65400843882</v>
      </c>
      <c r="M1161" s="702">
        <f t="shared" si="212"/>
        <v>14.3403574657487</v>
      </c>
      <c r="N1161" s="39">
        <f t="shared" si="207"/>
        <v>0.00520833333333333</v>
      </c>
      <c r="O1161" s="558">
        <f t="shared" si="208"/>
        <v>14434</v>
      </c>
      <c r="P1161" s="559">
        <f t="shared" si="211"/>
        <v>1006.53</v>
      </c>
      <c r="Q1161" s="41">
        <f t="shared" si="209"/>
        <v>20.5414285714286</v>
      </c>
      <c r="R1161" s="1021">
        <f t="shared" si="210"/>
        <v>0.255208333333333</v>
      </c>
    </row>
    <row r="1162" spans="1:18">
      <c r="A1162" s="801">
        <v>45809</v>
      </c>
      <c r="B1162" s="670">
        <v>1105.19</v>
      </c>
      <c r="C1162" s="37">
        <v>795</v>
      </c>
      <c r="D1162" s="37">
        <v>225</v>
      </c>
      <c r="E1162" s="37">
        <v>3</v>
      </c>
      <c r="F1162" s="670">
        <v>40442</v>
      </c>
      <c r="G1162" s="37">
        <v>76</v>
      </c>
      <c r="H1162" s="37">
        <v>3</v>
      </c>
      <c r="I1162" s="37">
        <v>10</v>
      </c>
      <c r="J1162" s="527">
        <f t="shared" si="213"/>
        <v>0.283018867924528</v>
      </c>
      <c r="K1162" s="687">
        <f t="shared" si="214"/>
        <v>4.91195555555556</v>
      </c>
      <c r="L1162" s="41">
        <f t="shared" si="206"/>
        <v>1390.17610062893</v>
      </c>
      <c r="M1162" s="702">
        <f t="shared" si="212"/>
        <v>36.5928030474398</v>
      </c>
      <c r="N1162" s="39">
        <f t="shared" si="207"/>
        <v>0.0133333333333333</v>
      </c>
      <c r="O1162" s="558">
        <f t="shared" si="208"/>
        <v>13480.6666666667</v>
      </c>
      <c r="P1162" s="559">
        <f t="shared" si="211"/>
        <v>368.396666666667</v>
      </c>
      <c r="Q1162" s="41">
        <f t="shared" si="209"/>
        <v>14.5419736842105</v>
      </c>
      <c r="R1162" s="1021">
        <f t="shared" si="210"/>
        <v>0.337777777777778</v>
      </c>
    </row>
    <row r="1163" spans="1:18">
      <c r="A1163" s="801">
        <v>45810</v>
      </c>
      <c r="B1163" s="670">
        <v>1167.48</v>
      </c>
      <c r="C1163" s="37">
        <v>857</v>
      </c>
      <c r="D1163" s="37">
        <v>241</v>
      </c>
      <c r="E1163" s="37">
        <v>2</v>
      </c>
      <c r="F1163" s="670">
        <v>22194</v>
      </c>
      <c r="G1163" s="37">
        <v>61</v>
      </c>
      <c r="H1163" s="37">
        <v>10</v>
      </c>
      <c r="I1163" s="37">
        <v>13</v>
      </c>
      <c r="J1163" s="527">
        <f t="shared" si="213"/>
        <v>0.281213535589265</v>
      </c>
      <c r="K1163" s="687">
        <f t="shared" si="214"/>
        <v>4.8443153526971</v>
      </c>
      <c r="L1163" s="41">
        <f t="shared" si="206"/>
        <v>1362.28704784131</v>
      </c>
      <c r="M1163" s="702">
        <f t="shared" si="212"/>
        <v>19.0101757631822</v>
      </c>
      <c r="N1163" s="39">
        <f t="shared" si="207"/>
        <v>0.00829875518672199</v>
      </c>
      <c r="O1163" s="558">
        <f t="shared" si="208"/>
        <v>11097</v>
      </c>
      <c r="P1163" s="559">
        <f t="shared" si="211"/>
        <v>583.74</v>
      </c>
      <c r="Q1163" s="41">
        <f t="shared" si="209"/>
        <v>19.1390163934426</v>
      </c>
      <c r="R1163" s="1021">
        <f t="shared" si="210"/>
        <v>0.253112033195021</v>
      </c>
    </row>
    <row r="1164" spans="1:18">
      <c r="A1164" s="801">
        <v>45811</v>
      </c>
      <c r="B1164" s="670">
        <v>1188.44</v>
      </c>
      <c r="C1164" s="37">
        <v>775</v>
      </c>
      <c r="D1164" s="37">
        <v>222</v>
      </c>
      <c r="E1164" s="37">
        <v>4</v>
      </c>
      <c r="F1164" s="670">
        <v>56029</v>
      </c>
      <c r="G1164" s="37">
        <v>70</v>
      </c>
      <c r="H1164" s="37">
        <v>4</v>
      </c>
      <c r="I1164" s="37">
        <v>7</v>
      </c>
      <c r="J1164" s="527">
        <f t="shared" si="213"/>
        <v>0.286451612903226</v>
      </c>
      <c r="K1164" s="687">
        <f t="shared" si="214"/>
        <v>5.35333333333333</v>
      </c>
      <c r="L1164" s="41">
        <f t="shared" si="206"/>
        <v>1533.47096774194</v>
      </c>
      <c r="M1164" s="702">
        <f t="shared" si="212"/>
        <v>47.144996802531</v>
      </c>
      <c r="N1164" s="39">
        <f t="shared" si="207"/>
        <v>0.018018018018018</v>
      </c>
      <c r="O1164" s="558">
        <f t="shared" si="208"/>
        <v>14007.25</v>
      </c>
      <c r="P1164" s="559">
        <f t="shared" si="211"/>
        <v>297.11</v>
      </c>
      <c r="Q1164" s="41">
        <f t="shared" si="209"/>
        <v>16.9777142857143</v>
      </c>
      <c r="R1164" s="1021">
        <f t="shared" si="210"/>
        <v>0.315315315315315</v>
      </c>
    </row>
    <row r="1165" spans="1:18">
      <c r="A1165" s="801">
        <v>45812</v>
      </c>
      <c r="B1165" s="670">
        <v>1191.81</v>
      </c>
      <c r="C1165" s="37">
        <v>789</v>
      </c>
      <c r="D1165" s="37">
        <v>223</v>
      </c>
      <c r="E1165" s="37">
        <v>8</v>
      </c>
      <c r="F1165" s="670">
        <v>137124</v>
      </c>
      <c r="G1165" s="37">
        <v>96</v>
      </c>
      <c r="H1165" s="37">
        <v>4</v>
      </c>
      <c r="I1165" s="37">
        <v>6</v>
      </c>
      <c r="J1165" s="527">
        <f t="shared" si="213"/>
        <v>0.282636248415716</v>
      </c>
      <c r="K1165" s="687">
        <f t="shared" si="214"/>
        <v>5.34443946188341</v>
      </c>
      <c r="L1165" s="41">
        <f t="shared" si="206"/>
        <v>1510.53231939163</v>
      </c>
      <c r="M1165" s="702">
        <f t="shared" si="212"/>
        <v>115.055252095552</v>
      </c>
      <c r="N1165" s="39">
        <f t="shared" si="207"/>
        <v>0.0358744394618834</v>
      </c>
      <c r="O1165" s="558">
        <f t="shared" si="208"/>
        <v>17140.5</v>
      </c>
      <c r="P1165" s="559">
        <f t="shared" si="211"/>
        <v>148.97625</v>
      </c>
      <c r="Q1165" s="41">
        <f t="shared" si="209"/>
        <v>12.4146875</v>
      </c>
      <c r="R1165" s="1021">
        <f t="shared" si="210"/>
        <v>0.430493273542601</v>
      </c>
    </row>
    <row r="1166" spans="1:18">
      <c r="A1166" s="801">
        <v>45813</v>
      </c>
      <c r="B1166" s="670">
        <v>1183.74</v>
      </c>
      <c r="C1166" s="37">
        <v>821</v>
      </c>
      <c r="D1166" s="37">
        <v>304</v>
      </c>
      <c r="E1166" s="37">
        <v>6</v>
      </c>
      <c r="F1166" s="670">
        <v>88917</v>
      </c>
      <c r="G1166" s="37">
        <v>97</v>
      </c>
      <c r="H1166" s="37">
        <v>5</v>
      </c>
      <c r="I1166" s="37">
        <v>15</v>
      </c>
      <c r="J1166" s="527">
        <f t="shared" si="213"/>
        <v>0.370280146163216</v>
      </c>
      <c r="K1166" s="687">
        <f t="shared" si="214"/>
        <v>3.89388157894737</v>
      </c>
      <c r="L1166" s="41">
        <f t="shared" si="206"/>
        <v>1441.82704019488</v>
      </c>
      <c r="M1166" s="702">
        <f t="shared" si="212"/>
        <v>75.1153124841604</v>
      </c>
      <c r="N1166" s="39">
        <f t="shared" si="207"/>
        <v>0.0197368421052632</v>
      </c>
      <c r="O1166" s="558">
        <f t="shared" si="208"/>
        <v>14819.5</v>
      </c>
      <c r="P1166" s="559">
        <f t="shared" si="211"/>
        <v>197.29</v>
      </c>
      <c r="Q1166" s="41">
        <f t="shared" si="209"/>
        <v>12.2035051546392</v>
      </c>
      <c r="R1166" s="1021">
        <f t="shared" si="210"/>
        <v>0.319078947368421</v>
      </c>
    </row>
    <row r="1167" spans="1:18">
      <c r="A1167" s="801">
        <v>45814</v>
      </c>
      <c r="B1167" s="670">
        <v>998.14</v>
      </c>
      <c r="C1167" s="37">
        <v>699</v>
      </c>
      <c r="D1167" s="37">
        <v>245</v>
      </c>
      <c r="E1167" s="37">
        <v>5</v>
      </c>
      <c r="F1167" s="670">
        <v>56370</v>
      </c>
      <c r="G1167" s="37">
        <v>66</v>
      </c>
      <c r="H1167" s="37">
        <v>7</v>
      </c>
      <c r="I1167" s="37">
        <v>8</v>
      </c>
      <c r="J1167" s="527">
        <f t="shared" si="213"/>
        <v>0.350500715307582</v>
      </c>
      <c r="K1167" s="687">
        <f t="shared" si="214"/>
        <v>4.07404081632653</v>
      </c>
      <c r="L1167" s="41">
        <f t="shared" si="206"/>
        <v>1427.95422031474</v>
      </c>
      <c r="M1167" s="702">
        <f t="shared" si="212"/>
        <v>56.4750435810608</v>
      </c>
      <c r="N1167" s="39">
        <f t="shared" si="207"/>
        <v>0.0204081632653061</v>
      </c>
      <c r="O1167" s="558">
        <f t="shared" si="208"/>
        <v>11274</v>
      </c>
      <c r="P1167" s="559">
        <f t="shared" si="211"/>
        <v>199.628</v>
      </c>
      <c r="Q1167" s="41">
        <f t="shared" si="209"/>
        <v>15.1233333333333</v>
      </c>
      <c r="R1167" s="1021">
        <f t="shared" si="210"/>
        <v>0.269387755102041</v>
      </c>
    </row>
    <row r="1168" spans="1:18">
      <c r="A1168" s="801">
        <v>45815</v>
      </c>
      <c r="B1168" s="670">
        <v>975.41</v>
      </c>
      <c r="C1168" s="37">
        <v>707</v>
      </c>
      <c r="D1168" s="37">
        <v>212</v>
      </c>
      <c r="E1168" s="37">
        <v>8</v>
      </c>
      <c r="F1168" s="670">
        <v>85201</v>
      </c>
      <c r="G1168" s="37">
        <v>68</v>
      </c>
      <c r="H1168" s="37">
        <v>6</v>
      </c>
      <c r="I1168" s="37">
        <v>8</v>
      </c>
      <c r="J1168" s="527">
        <f t="shared" si="213"/>
        <v>0.2998585572843</v>
      </c>
      <c r="K1168" s="687">
        <f t="shared" si="214"/>
        <v>4.60099056603774</v>
      </c>
      <c r="L1168" s="41">
        <f t="shared" si="206"/>
        <v>1379.64639321075</v>
      </c>
      <c r="M1168" s="702">
        <f t="shared" si="212"/>
        <v>87.3489096892589</v>
      </c>
      <c r="N1168" s="39">
        <f t="shared" si="207"/>
        <v>0.0377358490566038</v>
      </c>
      <c r="O1168" s="558">
        <f t="shared" si="208"/>
        <v>10650.125</v>
      </c>
      <c r="P1168" s="559">
        <f t="shared" si="211"/>
        <v>121.92625</v>
      </c>
      <c r="Q1168" s="41">
        <f t="shared" si="209"/>
        <v>14.3442647058824</v>
      </c>
      <c r="R1168" s="1021">
        <f t="shared" si="210"/>
        <v>0.320754716981132</v>
      </c>
    </row>
    <row r="1169" spans="1:18">
      <c r="A1169" s="801">
        <v>45816</v>
      </c>
      <c r="B1169" s="670">
        <v>1126.92</v>
      </c>
      <c r="C1169" s="37">
        <v>787</v>
      </c>
      <c r="D1169" s="37">
        <v>261</v>
      </c>
      <c r="E1169" s="37">
        <v>5</v>
      </c>
      <c r="F1169" s="670">
        <v>125013</v>
      </c>
      <c r="G1169" s="37">
        <v>88</v>
      </c>
      <c r="H1169" s="37">
        <v>12</v>
      </c>
      <c r="I1169" s="37">
        <v>16</v>
      </c>
      <c r="J1169" s="527">
        <f t="shared" si="213"/>
        <v>0.331639135959339</v>
      </c>
      <c r="K1169" s="687">
        <f t="shared" si="214"/>
        <v>4.31770114942529</v>
      </c>
      <c r="L1169" s="41">
        <f t="shared" si="206"/>
        <v>1431.91867852605</v>
      </c>
      <c r="M1169" s="702">
        <f t="shared" si="212"/>
        <v>110.933340432329</v>
      </c>
      <c r="N1169" s="39">
        <f t="shared" si="207"/>
        <v>0.0191570881226054</v>
      </c>
      <c r="O1169" s="558">
        <f t="shared" si="208"/>
        <v>25002.6</v>
      </c>
      <c r="P1169" s="559">
        <f t="shared" si="211"/>
        <v>225.384</v>
      </c>
      <c r="Q1169" s="41">
        <f t="shared" si="209"/>
        <v>12.8059090909091</v>
      </c>
      <c r="R1169" s="1021">
        <f t="shared" si="210"/>
        <v>0.337164750957854</v>
      </c>
    </row>
    <row r="1170" spans="1:18">
      <c r="A1170" s="801">
        <v>45817</v>
      </c>
      <c r="B1170" s="670">
        <v>997.62</v>
      </c>
      <c r="C1170" s="37">
        <v>694</v>
      </c>
      <c r="D1170" s="37">
        <v>238</v>
      </c>
      <c r="E1170" s="37">
        <v>4</v>
      </c>
      <c r="F1170" s="670">
        <v>27352</v>
      </c>
      <c r="G1170" s="37">
        <v>60</v>
      </c>
      <c r="H1170" s="37">
        <v>3</v>
      </c>
      <c r="I1170" s="37">
        <v>13</v>
      </c>
      <c r="J1170" s="527">
        <f t="shared" si="213"/>
        <v>0.342939481268012</v>
      </c>
      <c r="K1170" s="687">
        <f t="shared" si="214"/>
        <v>4.19168067226891</v>
      </c>
      <c r="L1170" s="41">
        <f t="shared" si="206"/>
        <v>1437.49279538905</v>
      </c>
      <c r="M1170" s="702">
        <f t="shared" si="212"/>
        <v>27.4172530622882</v>
      </c>
      <c r="N1170" s="39">
        <f t="shared" si="207"/>
        <v>0.0168067226890756</v>
      </c>
      <c r="O1170" s="558">
        <f t="shared" si="208"/>
        <v>6838</v>
      </c>
      <c r="P1170" s="559">
        <f t="shared" si="211"/>
        <v>249.405</v>
      </c>
      <c r="Q1170" s="41">
        <f t="shared" si="209"/>
        <v>16.627</v>
      </c>
      <c r="R1170" s="1021">
        <f t="shared" si="210"/>
        <v>0.252100840336134</v>
      </c>
    </row>
    <row r="1171" spans="1:18">
      <c r="A1171" s="801">
        <v>45818</v>
      </c>
      <c r="B1171" s="670">
        <v>1095</v>
      </c>
      <c r="C1171" s="37">
        <v>775</v>
      </c>
      <c r="D1171" s="37">
        <v>232</v>
      </c>
      <c r="E1171" s="37">
        <v>8</v>
      </c>
      <c r="F1171" s="670">
        <v>78657</v>
      </c>
      <c r="G1171" s="37">
        <v>66</v>
      </c>
      <c r="H1171" s="37">
        <v>8</v>
      </c>
      <c r="I1171" s="37">
        <v>8</v>
      </c>
      <c r="J1171" s="527">
        <f t="shared" si="213"/>
        <v>0.299354838709677</v>
      </c>
      <c r="K1171" s="687">
        <f t="shared" si="214"/>
        <v>4.7198275862069</v>
      </c>
      <c r="L1171" s="41">
        <f t="shared" si="206"/>
        <v>1412.90322580645</v>
      </c>
      <c r="M1171" s="702">
        <f t="shared" si="212"/>
        <v>71.8328767123288</v>
      </c>
      <c r="N1171" s="39">
        <f t="shared" si="207"/>
        <v>0.0344827586206897</v>
      </c>
      <c r="O1171" s="558">
        <f t="shared" si="208"/>
        <v>9832.125</v>
      </c>
      <c r="P1171" s="559">
        <f t="shared" si="211"/>
        <v>136.875</v>
      </c>
      <c r="Q1171" s="41">
        <f t="shared" si="209"/>
        <v>16.5909090909091</v>
      </c>
      <c r="R1171" s="1021">
        <f t="shared" si="210"/>
        <v>0.28448275862069</v>
      </c>
    </row>
    <row r="1172" spans="1:18">
      <c r="A1172" s="801">
        <v>45819</v>
      </c>
      <c r="B1172" s="670">
        <v>1133.9</v>
      </c>
      <c r="C1172" s="37">
        <v>803</v>
      </c>
      <c r="D1172" s="37">
        <v>239</v>
      </c>
      <c r="E1172" s="37">
        <v>1</v>
      </c>
      <c r="F1172" s="670">
        <v>5976</v>
      </c>
      <c r="G1172" s="37">
        <v>65</v>
      </c>
      <c r="H1172" s="37">
        <v>2</v>
      </c>
      <c r="I1172" s="37">
        <v>11</v>
      </c>
      <c r="J1172" s="527">
        <f t="shared" si="213"/>
        <v>0.297633872976339</v>
      </c>
      <c r="K1172" s="687">
        <f t="shared" si="214"/>
        <v>4.74435146443515</v>
      </c>
      <c r="L1172" s="41">
        <f t="shared" si="206"/>
        <v>1412.0797011208</v>
      </c>
      <c r="M1172" s="702">
        <f t="shared" si="212"/>
        <v>5.27030602345886</v>
      </c>
      <c r="N1172" s="39">
        <f t="shared" si="207"/>
        <v>0.00418410041841004</v>
      </c>
      <c r="O1172" s="558">
        <f t="shared" si="208"/>
        <v>5976</v>
      </c>
      <c r="P1172" s="559">
        <f t="shared" si="211"/>
        <v>1133.9</v>
      </c>
      <c r="Q1172" s="41">
        <f t="shared" si="209"/>
        <v>17.4446153846154</v>
      </c>
      <c r="R1172" s="1021">
        <f t="shared" si="210"/>
        <v>0.271966527196653</v>
      </c>
    </row>
    <row r="1173" spans="1:18">
      <c r="A1173" s="801">
        <v>45820</v>
      </c>
      <c r="B1173" s="670">
        <v>969.97</v>
      </c>
      <c r="C1173" s="37">
        <v>682</v>
      </c>
      <c r="D1173" s="37">
        <v>218</v>
      </c>
      <c r="E1173" s="37">
        <v>1</v>
      </c>
      <c r="F1173" s="670">
        <v>22252</v>
      </c>
      <c r="G1173" s="37">
        <v>66</v>
      </c>
      <c r="H1173" s="37">
        <v>6</v>
      </c>
      <c r="I1173" s="37">
        <v>10</v>
      </c>
      <c r="J1173" s="527">
        <f t="shared" si="213"/>
        <v>0.319648093841642</v>
      </c>
      <c r="K1173" s="687">
        <f t="shared" si="214"/>
        <v>4.44940366972477</v>
      </c>
      <c r="L1173" s="41">
        <f t="shared" si="206"/>
        <v>1422.24340175953</v>
      </c>
      <c r="M1173" s="702">
        <f t="shared" si="212"/>
        <v>22.9409156984237</v>
      </c>
      <c r="N1173" s="39">
        <f t="shared" si="207"/>
        <v>0.00458715596330275</v>
      </c>
      <c r="O1173" s="558">
        <f t="shared" si="208"/>
        <v>22252</v>
      </c>
      <c r="P1173" s="559">
        <f t="shared" si="211"/>
        <v>969.97</v>
      </c>
      <c r="Q1173" s="41">
        <f t="shared" si="209"/>
        <v>14.6965151515152</v>
      </c>
      <c r="R1173" s="1021">
        <f t="shared" si="210"/>
        <v>0.302752293577982</v>
      </c>
    </row>
    <row r="1174" spans="1:18">
      <c r="A1174" s="801">
        <v>45821</v>
      </c>
      <c r="B1174" s="670">
        <v>827.61</v>
      </c>
      <c r="C1174" s="37">
        <v>604</v>
      </c>
      <c r="D1174" s="37">
        <v>191</v>
      </c>
      <c r="E1174" s="37">
        <v>3</v>
      </c>
      <c r="F1174" s="670">
        <v>48665</v>
      </c>
      <c r="G1174" s="37">
        <v>51</v>
      </c>
      <c r="H1174" s="37">
        <v>7</v>
      </c>
      <c r="I1174" s="37">
        <v>9</v>
      </c>
      <c r="J1174" s="527">
        <f t="shared" si="213"/>
        <v>0.316225165562914</v>
      </c>
      <c r="K1174" s="687">
        <f t="shared" si="214"/>
        <v>4.33303664921466</v>
      </c>
      <c r="L1174" s="41">
        <f t="shared" si="206"/>
        <v>1370.21523178808</v>
      </c>
      <c r="M1174" s="702">
        <f t="shared" si="212"/>
        <v>58.8018511134472</v>
      </c>
      <c r="N1174" s="39">
        <f t="shared" si="207"/>
        <v>0.0157068062827225</v>
      </c>
      <c r="O1174" s="558">
        <f t="shared" si="208"/>
        <v>16221.6666666667</v>
      </c>
      <c r="P1174" s="559">
        <f t="shared" si="211"/>
        <v>275.87</v>
      </c>
      <c r="Q1174" s="41">
        <f t="shared" si="209"/>
        <v>16.2276470588235</v>
      </c>
      <c r="R1174" s="1021">
        <f t="shared" si="210"/>
        <v>0.267015706806283</v>
      </c>
    </row>
    <row r="1175" spans="1:18">
      <c r="A1175" s="801">
        <v>45822</v>
      </c>
      <c r="B1175" s="670">
        <v>849.27</v>
      </c>
      <c r="C1175" s="37">
        <v>648</v>
      </c>
      <c r="D1175" s="37">
        <v>193</v>
      </c>
      <c r="E1175" s="37">
        <v>7</v>
      </c>
      <c r="F1175" s="670">
        <v>143647</v>
      </c>
      <c r="G1175" s="37">
        <v>57</v>
      </c>
      <c r="H1175" s="37">
        <v>7</v>
      </c>
      <c r="I1175" s="37">
        <v>13</v>
      </c>
      <c r="J1175" s="527">
        <f t="shared" si="213"/>
        <v>0.297839506172839</v>
      </c>
      <c r="K1175" s="687">
        <f t="shared" si="214"/>
        <v>4.40036269430052</v>
      </c>
      <c r="L1175" s="41">
        <f t="shared" si="206"/>
        <v>1310.60185185185</v>
      </c>
      <c r="M1175" s="702">
        <f t="shared" si="212"/>
        <v>169.141733488761</v>
      </c>
      <c r="N1175" s="39">
        <f t="shared" si="207"/>
        <v>0.0362694300518135</v>
      </c>
      <c r="O1175" s="558">
        <f t="shared" si="208"/>
        <v>20521</v>
      </c>
      <c r="P1175" s="559">
        <f t="shared" si="211"/>
        <v>121.324285714286</v>
      </c>
      <c r="Q1175" s="41">
        <f t="shared" si="209"/>
        <v>14.8994736842105</v>
      </c>
      <c r="R1175" s="1021">
        <f t="shared" si="210"/>
        <v>0.295336787564767</v>
      </c>
    </row>
    <row r="1176" spans="1:18">
      <c r="A1176" s="801">
        <v>45823</v>
      </c>
      <c r="B1176" s="670">
        <v>1196.03</v>
      </c>
      <c r="C1176" s="37">
        <v>837</v>
      </c>
      <c r="D1176" s="37">
        <v>292</v>
      </c>
      <c r="E1176" s="37">
        <v>5</v>
      </c>
      <c r="F1176" s="670">
        <v>80701</v>
      </c>
      <c r="G1176" s="37">
        <v>71</v>
      </c>
      <c r="H1176" s="37">
        <v>5</v>
      </c>
      <c r="I1176" s="37">
        <v>15</v>
      </c>
      <c r="J1176" s="527">
        <f t="shared" si="213"/>
        <v>0.348864994026284</v>
      </c>
      <c r="K1176" s="687">
        <f t="shared" si="214"/>
        <v>4.09599315068493</v>
      </c>
      <c r="L1176" s="41">
        <f t="shared" si="206"/>
        <v>1428.9486260454</v>
      </c>
      <c r="M1176" s="702">
        <f t="shared" si="212"/>
        <v>67.474060015217</v>
      </c>
      <c r="N1176" s="39">
        <f t="shared" si="207"/>
        <v>0.0171232876712329</v>
      </c>
      <c r="O1176" s="558">
        <f t="shared" si="208"/>
        <v>16140.2</v>
      </c>
      <c r="P1176" s="559">
        <f t="shared" si="211"/>
        <v>239.206</v>
      </c>
      <c r="Q1176" s="41">
        <f t="shared" si="209"/>
        <v>16.8454929577465</v>
      </c>
      <c r="R1176" s="1021">
        <f t="shared" si="210"/>
        <v>0.243150684931507</v>
      </c>
    </row>
    <row r="1177" spans="1:18">
      <c r="A1177" s="801">
        <v>45824</v>
      </c>
      <c r="B1177" s="670">
        <v>1190.71</v>
      </c>
      <c r="C1177" s="37">
        <v>786</v>
      </c>
      <c r="D1177" s="37">
        <v>267</v>
      </c>
      <c r="E1177" s="37">
        <v>6</v>
      </c>
      <c r="F1177" s="670">
        <v>80967</v>
      </c>
      <c r="G1177" s="37">
        <v>71</v>
      </c>
      <c r="H1177" s="37">
        <v>9</v>
      </c>
      <c r="I1177" s="37">
        <v>15</v>
      </c>
      <c r="J1177" s="527">
        <f t="shared" si="213"/>
        <v>0.33969465648855</v>
      </c>
      <c r="K1177" s="687">
        <f t="shared" si="214"/>
        <v>4.45958801498127</v>
      </c>
      <c r="L1177" s="41">
        <f t="shared" si="206"/>
        <v>1514.89821882952</v>
      </c>
      <c r="M1177" s="702">
        <f t="shared" si="212"/>
        <v>67.9989250111278</v>
      </c>
      <c r="N1177" s="39">
        <f t="shared" si="207"/>
        <v>0.0224719101123595</v>
      </c>
      <c r="O1177" s="558">
        <f t="shared" si="208"/>
        <v>13494.5</v>
      </c>
      <c r="P1177" s="559">
        <f t="shared" si="211"/>
        <v>198.451666666667</v>
      </c>
      <c r="Q1177" s="41">
        <f t="shared" si="209"/>
        <v>16.7705633802817</v>
      </c>
      <c r="R1177" s="1021">
        <f t="shared" si="210"/>
        <v>0.265917602996255</v>
      </c>
    </row>
    <row r="1178" spans="1:18">
      <c r="A1178" s="801">
        <v>45825</v>
      </c>
      <c r="B1178" s="670">
        <v>1378.66</v>
      </c>
      <c r="C1178" s="37">
        <v>919</v>
      </c>
      <c r="D1178" s="37">
        <v>320</v>
      </c>
      <c r="E1178" s="37">
        <v>6</v>
      </c>
      <c r="F1178" s="670">
        <v>100675</v>
      </c>
      <c r="G1178" s="37">
        <v>104</v>
      </c>
      <c r="H1178" s="37">
        <v>10</v>
      </c>
      <c r="I1178" s="37">
        <v>15</v>
      </c>
      <c r="J1178" s="527">
        <f t="shared" si="213"/>
        <v>0.348204570184984</v>
      </c>
      <c r="K1178" s="687">
        <f t="shared" si="214"/>
        <v>4.3083125</v>
      </c>
      <c r="L1178" s="41">
        <f t="shared" si="206"/>
        <v>1500.17410228509</v>
      </c>
      <c r="M1178" s="702">
        <f t="shared" si="212"/>
        <v>73.0238057243991</v>
      </c>
      <c r="N1178" s="39">
        <f t="shared" si="207"/>
        <v>0.01875</v>
      </c>
      <c r="O1178" s="558">
        <f t="shared" si="208"/>
        <v>16779.1666666667</v>
      </c>
      <c r="P1178" s="559">
        <f t="shared" si="211"/>
        <v>229.776666666667</v>
      </c>
      <c r="Q1178" s="41">
        <f t="shared" si="209"/>
        <v>13.2563461538462</v>
      </c>
      <c r="R1178" s="1021">
        <f t="shared" si="210"/>
        <v>0.325</v>
      </c>
    </row>
    <row r="1179" spans="1:18">
      <c r="A1179" s="801">
        <v>45826</v>
      </c>
      <c r="B1179" s="670">
        <v>1396.65</v>
      </c>
      <c r="C1179" s="37">
        <v>1010</v>
      </c>
      <c r="D1179" s="37">
        <v>325</v>
      </c>
      <c r="E1179" s="37">
        <v>16</v>
      </c>
      <c r="F1179" s="670">
        <v>159924</v>
      </c>
      <c r="G1179" s="37">
        <v>93</v>
      </c>
      <c r="H1179" s="37">
        <v>12</v>
      </c>
      <c r="I1179" s="37">
        <v>15</v>
      </c>
      <c r="J1179" s="527">
        <f t="shared" si="213"/>
        <v>0.321782178217822</v>
      </c>
      <c r="K1179" s="687">
        <f t="shared" si="214"/>
        <v>4.29738461538462</v>
      </c>
      <c r="L1179" s="41">
        <f t="shared" si="206"/>
        <v>1382.82178217822</v>
      </c>
      <c r="M1179" s="702">
        <f t="shared" si="212"/>
        <v>114.505423692407</v>
      </c>
      <c r="N1179" s="39">
        <f t="shared" si="207"/>
        <v>0.0492307692307692</v>
      </c>
      <c r="O1179" s="558">
        <f t="shared" si="208"/>
        <v>9995.25</v>
      </c>
      <c r="P1179" s="559">
        <f t="shared" si="211"/>
        <v>87.290625</v>
      </c>
      <c r="Q1179" s="41">
        <f t="shared" si="209"/>
        <v>15.0177419354839</v>
      </c>
      <c r="R1179" s="1021">
        <f t="shared" si="210"/>
        <v>0.286153846153846</v>
      </c>
    </row>
    <row r="1180" spans="1:18">
      <c r="A1180" s="801">
        <v>45827</v>
      </c>
      <c r="B1180" s="670">
        <v>932.72</v>
      </c>
      <c r="C1180" s="37">
        <v>619</v>
      </c>
      <c r="D1180" s="37">
        <v>176</v>
      </c>
      <c r="E1180" s="37">
        <v>7</v>
      </c>
      <c r="F1180" s="670">
        <v>119036</v>
      </c>
      <c r="G1180" s="37">
        <v>56</v>
      </c>
      <c r="H1180" s="37">
        <v>4</v>
      </c>
      <c r="I1180" s="37">
        <v>7</v>
      </c>
      <c r="J1180" s="527">
        <f t="shared" si="213"/>
        <v>0.284329563812601</v>
      </c>
      <c r="K1180" s="687">
        <f t="shared" si="214"/>
        <v>5.29954545454545</v>
      </c>
      <c r="L1180" s="41">
        <f t="shared" si="206"/>
        <v>1506.81744749596</v>
      </c>
      <c r="M1180" s="702">
        <f t="shared" si="212"/>
        <v>127.622437601853</v>
      </c>
      <c r="N1180" s="39">
        <f t="shared" si="207"/>
        <v>0.0397727272727273</v>
      </c>
      <c r="O1180" s="558">
        <f t="shared" si="208"/>
        <v>17005.1428571429</v>
      </c>
      <c r="P1180" s="559">
        <f t="shared" si="211"/>
        <v>133.245714285714</v>
      </c>
      <c r="Q1180" s="41">
        <f t="shared" si="209"/>
        <v>16.6557142857143</v>
      </c>
      <c r="R1180" s="1021">
        <f t="shared" si="210"/>
        <v>0.318181818181818</v>
      </c>
    </row>
    <row r="1181" spans="1:18">
      <c r="A1181" s="801">
        <v>45828</v>
      </c>
      <c r="B1181" s="670">
        <v>574.06</v>
      </c>
      <c r="C1181" s="37">
        <v>383</v>
      </c>
      <c r="D1181" s="37">
        <v>134</v>
      </c>
      <c r="E1181" s="37">
        <v>3</v>
      </c>
      <c r="F1181" s="670">
        <v>38699</v>
      </c>
      <c r="G1181" s="37">
        <v>49</v>
      </c>
      <c r="H1181" s="37">
        <v>3</v>
      </c>
      <c r="I1181" s="37">
        <v>6</v>
      </c>
      <c r="J1181" s="527">
        <f t="shared" si="213"/>
        <v>0.349869451697128</v>
      </c>
      <c r="K1181" s="687">
        <f t="shared" si="214"/>
        <v>4.28402985074627</v>
      </c>
      <c r="L1181" s="41">
        <f t="shared" si="206"/>
        <v>1498.85117493473</v>
      </c>
      <c r="M1181" s="702">
        <f t="shared" si="212"/>
        <v>67.4128139915688</v>
      </c>
      <c r="N1181" s="39">
        <f t="shared" si="207"/>
        <v>0.0223880597014925</v>
      </c>
      <c r="O1181" s="558">
        <f t="shared" si="208"/>
        <v>12899.6666666667</v>
      </c>
      <c r="P1181" s="559">
        <f t="shared" si="211"/>
        <v>191.353333333333</v>
      </c>
      <c r="Q1181" s="41">
        <f t="shared" si="209"/>
        <v>11.7155102040816</v>
      </c>
      <c r="R1181" s="1021">
        <f t="shared" si="210"/>
        <v>0.365671641791045</v>
      </c>
    </row>
    <row r="1182" spans="1:18">
      <c r="A1182" s="801">
        <v>45829</v>
      </c>
      <c r="B1182" s="670">
        <v>998.69</v>
      </c>
      <c r="C1182" s="37">
        <v>687</v>
      </c>
      <c r="D1182" s="37">
        <v>291</v>
      </c>
      <c r="E1182" s="37">
        <v>1</v>
      </c>
      <c r="F1182" s="670">
        <v>29156</v>
      </c>
      <c r="G1182" s="37">
        <v>73</v>
      </c>
      <c r="H1182" s="37">
        <v>4</v>
      </c>
      <c r="I1182" s="37">
        <v>11</v>
      </c>
      <c r="J1182" s="527">
        <f t="shared" si="213"/>
        <v>0.423580786026201</v>
      </c>
      <c r="K1182" s="687">
        <f t="shared" si="214"/>
        <v>3.43192439862543</v>
      </c>
      <c r="L1182" s="41">
        <f t="shared" si="206"/>
        <v>1453.69723435226</v>
      </c>
      <c r="M1182" s="702">
        <f t="shared" si="212"/>
        <v>29.1942444602429</v>
      </c>
      <c r="N1182" s="39">
        <f t="shared" si="207"/>
        <v>0.00343642611683849</v>
      </c>
      <c r="O1182" s="558">
        <f t="shared" si="208"/>
        <v>29156</v>
      </c>
      <c r="P1182" s="559">
        <f t="shared" si="211"/>
        <v>998.69</v>
      </c>
      <c r="Q1182" s="41">
        <f t="shared" si="209"/>
        <v>13.6806849315068</v>
      </c>
      <c r="R1182" s="1021">
        <f t="shared" si="210"/>
        <v>0.25085910652921</v>
      </c>
    </row>
    <row r="1183" spans="1:18">
      <c r="A1183" s="801">
        <v>45830</v>
      </c>
      <c r="B1183" s="670">
        <v>996.43</v>
      </c>
      <c r="C1183" s="37">
        <v>721</v>
      </c>
      <c r="D1183" s="37">
        <v>287</v>
      </c>
      <c r="E1183" s="37">
        <v>8</v>
      </c>
      <c r="F1183" s="670">
        <v>97018</v>
      </c>
      <c r="G1183" s="37">
        <v>66</v>
      </c>
      <c r="H1183" s="37">
        <v>4</v>
      </c>
      <c r="I1183" s="37">
        <v>13</v>
      </c>
      <c r="J1183" s="527">
        <f t="shared" si="213"/>
        <v>0.398058252427184</v>
      </c>
      <c r="K1183" s="687">
        <f t="shared" si="214"/>
        <v>3.47188153310105</v>
      </c>
      <c r="L1183" s="41">
        <f t="shared" si="206"/>
        <v>1382.01109570042</v>
      </c>
      <c r="M1183" s="702">
        <f t="shared" si="212"/>
        <v>97.3655951747739</v>
      </c>
      <c r="N1183" s="39">
        <f t="shared" si="207"/>
        <v>0.0278745644599303</v>
      </c>
      <c r="O1183" s="558">
        <f t="shared" si="208"/>
        <v>12127.25</v>
      </c>
      <c r="P1183" s="559">
        <f t="shared" si="211"/>
        <v>124.55375</v>
      </c>
      <c r="Q1183" s="41">
        <f t="shared" si="209"/>
        <v>15.0974242424242</v>
      </c>
      <c r="R1183" s="1021">
        <f t="shared" si="210"/>
        <v>0.229965156794425</v>
      </c>
    </row>
    <row r="1184" spans="1:18">
      <c r="A1184" s="801">
        <v>45831</v>
      </c>
      <c r="B1184" s="670">
        <v>968.9</v>
      </c>
      <c r="C1184" s="37">
        <v>752</v>
      </c>
      <c r="D1184" s="37">
        <v>311</v>
      </c>
      <c r="E1184" s="37">
        <v>8</v>
      </c>
      <c r="F1184" s="670">
        <v>67558</v>
      </c>
      <c r="G1184" s="37">
        <v>71</v>
      </c>
      <c r="H1184" s="37">
        <v>2</v>
      </c>
      <c r="I1184" s="37">
        <v>12</v>
      </c>
      <c r="J1184" s="527">
        <f t="shared" si="213"/>
        <v>0.413563829787234</v>
      </c>
      <c r="K1184" s="687">
        <f t="shared" si="214"/>
        <v>3.11543408360129</v>
      </c>
      <c r="L1184" s="41">
        <f t="shared" si="206"/>
        <v>1288.43085106383</v>
      </c>
      <c r="M1184" s="702">
        <f t="shared" si="212"/>
        <v>69.7264939622252</v>
      </c>
      <c r="N1184" s="39">
        <f t="shared" si="207"/>
        <v>0.0257234726688103</v>
      </c>
      <c r="O1184" s="558">
        <f t="shared" si="208"/>
        <v>8444.75</v>
      </c>
      <c r="P1184" s="559">
        <f t="shared" si="211"/>
        <v>121.1125</v>
      </c>
      <c r="Q1184" s="41">
        <f t="shared" si="209"/>
        <v>13.6464788732394</v>
      </c>
      <c r="R1184" s="1021">
        <f t="shared" si="210"/>
        <v>0.228295819935691</v>
      </c>
    </row>
    <row r="1185" spans="1:18">
      <c r="A1185" s="801">
        <v>45832</v>
      </c>
      <c r="B1185" s="670">
        <v>854.68</v>
      </c>
      <c r="C1185" s="37">
        <v>716</v>
      </c>
      <c r="D1185" s="37">
        <v>213</v>
      </c>
      <c r="E1185" s="37">
        <v>3</v>
      </c>
      <c r="F1185" s="670">
        <v>28936</v>
      </c>
      <c r="G1185" s="37">
        <v>68</v>
      </c>
      <c r="H1185" s="37">
        <v>7</v>
      </c>
      <c r="I1185" s="37">
        <v>7</v>
      </c>
      <c r="J1185" s="527">
        <f t="shared" si="213"/>
        <v>0.297486033519553</v>
      </c>
      <c r="K1185" s="687">
        <f t="shared" si="214"/>
        <v>4.01258215962441</v>
      </c>
      <c r="L1185" s="41">
        <f t="shared" si="206"/>
        <v>1193.68715083799</v>
      </c>
      <c r="M1185" s="702">
        <f t="shared" si="212"/>
        <v>33.8559460850845</v>
      </c>
      <c r="N1185" s="39">
        <f t="shared" si="207"/>
        <v>0.0140845070422535</v>
      </c>
      <c r="O1185" s="558">
        <f t="shared" si="208"/>
        <v>9645.33333333333</v>
      </c>
      <c r="P1185" s="559">
        <f t="shared" si="211"/>
        <v>284.893333333333</v>
      </c>
      <c r="Q1185" s="41">
        <f t="shared" si="209"/>
        <v>12.5688235294118</v>
      </c>
      <c r="R1185" s="1021">
        <f t="shared" si="210"/>
        <v>0.31924882629108</v>
      </c>
    </row>
    <row r="1186" spans="1:18">
      <c r="A1186" s="801">
        <v>45833</v>
      </c>
      <c r="B1186" s="670">
        <v>828.38</v>
      </c>
      <c r="C1186" s="37">
        <v>677</v>
      </c>
      <c r="D1186" s="37">
        <v>239</v>
      </c>
      <c r="E1186" s="37">
        <v>3</v>
      </c>
      <c r="F1186" s="670">
        <v>29040</v>
      </c>
      <c r="G1186" s="37">
        <v>77</v>
      </c>
      <c r="H1186" s="37">
        <v>3</v>
      </c>
      <c r="I1186" s="37">
        <v>14</v>
      </c>
      <c r="J1186" s="527">
        <f t="shared" si="213"/>
        <v>0.353028064992614</v>
      </c>
      <c r="K1186" s="687">
        <f t="shared" si="214"/>
        <v>3.46602510460251</v>
      </c>
      <c r="L1186" s="41">
        <f t="shared" si="206"/>
        <v>1223.60413589365</v>
      </c>
      <c r="M1186" s="702">
        <f t="shared" si="212"/>
        <v>35.0563750935561</v>
      </c>
      <c r="N1186" s="39">
        <f t="shared" si="207"/>
        <v>0.0125523012552301</v>
      </c>
      <c r="O1186" s="558">
        <f t="shared" si="208"/>
        <v>9680</v>
      </c>
      <c r="P1186" s="559">
        <f t="shared" si="211"/>
        <v>276.126666666667</v>
      </c>
      <c r="Q1186" s="41">
        <f t="shared" si="209"/>
        <v>10.7581818181818</v>
      </c>
      <c r="R1186" s="1021">
        <f t="shared" si="210"/>
        <v>0.322175732217573</v>
      </c>
    </row>
    <row r="1187" spans="1:18">
      <c r="A1187" s="801">
        <v>45834</v>
      </c>
      <c r="B1187" s="670">
        <v>890.54</v>
      </c>
      <c r="C1187" s="37">
        <v>732</v>
      </c>
      <c r="D1187" s="37">
        <v>233</v>
      </c>
      <c r="E1187" s="37">
        <v>4</v>
      </c>
      <c r="F1187" s="670">
        <v>65320</v>
      </c>
      <c r="G1187" s="37">
        <v>75</v>
      </c>
      <c r="H1187" s="37">
        <v>4</v>
      </c>
      <c r="I1187" s="37">
        <v>10</v>
      </c>
      <c r="J1187" s="527">
        <f t="shared" si="213"/>
        <v>0.318306010928962</v>
      </c>
      <c r="K1187" s="687">
        <f t="shared" si="214"/>
        <v>3.82206008583691</v>
      </c>
      <c r="L1187" s="41">
        <f t="shared" si="206"/>
        <v>1216.58469945355</v>
      </c>
      <c r="M1187" s="702">
        <f t="shared" si="212"/>
        <v>73.3487546881667</v>
      </c>
      <c r="N1187" s="39">
        <f t="shared" si="207"/>
        <v>0.0171673819742489</v>
      </c>
      <c r="O1187" s="558">
        <f t="shared" si="208"/>
        <v>16330</v>
      </c>
      <c r="P1187" s="559">
        <f t="shared" si="211"/>
        <v>222.635</v>
      </c>
      <c r="Q1187" s="41">
        <f t="shared" si="209"/>
        <v>11.8738666666667</v>
      </c>
      <c r="R1187" s="1021">
        <f t="shared" si="210"/>
        <v>0.321888412017167</v>
      </c>
    </row>
    <row r="1188" spans="1:18">
      <c r="A1188" s="801">
        <v>45835</v>
      </c>
      <c r="B1188" s="670">
        <v>723.96</v>
      </c>
      <c r="C1188" s="37">
        <v>588</v>
      </c>
      <c r="D1188" s="37">
        <v>182</v>
      </c>
      <c r="E1188" s="37">
        <v>6</v>
      </c>
      <c r="F1188" s="670">
        <v>92481</v>
      </c>
      <c r="G1188" s="37">
        <v>33</v>
      </c>
      <c r="H1188" s="37">
        <v>8</v>
      </c>
      <c r="I1188" s="37">
        <v>6</v>
      </c>
      <c r="J1188" s="527">
        <f t="shared" si="213"/>
        <v>0.30952380952381</v>
      </c>
      <c r="K1188" s="687">
        <f t="shared" si="214"/>
        <v>3.9778021978022</v>
      </c>
      <c r="L1188" s="41">
        <f t="shared" si="206"/>
        <v>1231.22448979592</v>
      </c>
      <c r="M1188" s="702">
        <f t="shared" si="212"/>
        <v>127.743245483176</v>
      </c>
      <c r="N1188" s="39">
        <f t="shared" si="207"/>
        <v>0.032967032967033</v>
      </c>
      <c r="O1188" s="558">
        <f t="shared" si="208"/>
        <v>15413.5</v>
      </c>
      <c r="P1188" s="559">
        <f t="shared" si="211"/>
        <v>120.66</v>
      </c>
      <c r="Q1188" s="41">
        <f t="shared" si="209"/>
        <v>21.9381818181818</v>
      </c>
      <c r="R1188" s="1021">
        <f t="shared" si="210"/>
        <v>0.181318681318681</v>
      </c>
    </row>
    <row r="1189" spans="1:18">
      <c r="A1189" s="801">
        <v>45836</v>
      </c>
      <c r="B1189" s="670">
        <v>824.86</v>
      </c>
      <c r="C1189" s="37">
        <v>714</v>
      </c>
      <c r="D1189" s="37">
        <v>221</v>
      </c>
      <c r="E1189" s="37">
        <v>2</v>
      </c>
      <c r="F1189" s="670">
        <v>28064</v>
      </c>
      <c r="G1189" s="37">
        <v>61</v>
      </c>
      <c r="H1189" s="37">
        <v>9</v>
      </c>
      <c r="I1189" s="37">
        <v>9</v>
      </c>
      <c r="J1189" s="527">
        <f t="shared" si="213"/>
        <v>0.30952380952381</v>
      </c>
      <c r="K1189" s="687">
        <f t="shared" si="214"/>
        <v>3.73239819004525</v>
      </c>
      <c r="L1189" s="41">
        <f t="shared" si="206"/>
        <v>1155.26610644258</v>
      </c>
      <c r="M1189" s="702">
        <f t="shared" si="212"/>
        <v>34.0227432534006</v>
      </c>
      <c r="N1189" s="39">
        <f t="shared" si="207"/>
        <v>0.00904977375565611</v>
      </c>
      <c r="O1189" s="558">
        <f t="shared" si="208"/>
        <v>14032</v>
      </c>
      <c r="P1189" s="559">
        <f t="shared" si="211"/>
        <v>412.43</v>
      </c>
      <c r="Q1189" s="41">
        <f t="shared" si="209"/>
        <v>13.5222950819672</v>
      </c>
      <c r="R1189" s="1021">
        <f t="shared" si="210"/>
        <v>0.276018099547511</v>
      </c>
    </row>
    <row r="1190" spans="1:18">
      <c r="A1190" s="801">
        <v>45837</v>
      </c>
      <c r="B1190" s="670">
        <v>856.16</v>
      </c>
      <c r="C1190" s="37">
        <v>761</v>
      </c>
      <c r="D1190" s="37">
        <v>225</v>
      </c>
      <c r="E1190" s="37">
        <v>4</v>
      </c>
      <c r="F1190" s="670">
        <v>97812.99</v>
      </c>
      <c r="G1190" s="37">
        <v>53</v>
      </c>
      <c r="H1190" s="37">
        <v>4</v>
      </c>
      <c r="I1190" s="37">
        <v>9</v>
      </c>
      <c r="J1190" s="527">
        <f t="shared" si="213"/>
        <v>0.295663600525624</v>
      </c>
      <c r="K1190" s="687">
        <f t="shared" si="214"/>
        <v>3.80515555555556</v>
      </c>
      <c r="L1190" s="41">
        <f t="shared" si="206"/>
        <v>1125.04599211564</v>
      </c>
      <c r="M1190" s="702">
        <f t="shared" si="212"/>
        <v>114.246157260325</v>
      </c>
      <c r="N1190" s="39">
        <f t="shared" si="207"/>
        <v>0.0177777777777778</v>
      </c>
      <c r="O1190" s="558">
        <f t="shared" si="208"/>
        <v>24453.2475</v>
      </c>
      <c r="P1190" s="559">
        <f t="shared" si="211"/>
        <v>214.04</v>
      </c>
      <c r="Q1190" s="41">
        <f t="shared" si="209"/>
        <v>16.1539622641509</v>
      </c>
      <c r="R1190" s="1021">
        <f t="shared" si="210"/>
        <v>0.235555555555556</v>
      </c>
    </row>
    <row r="1191" spans="1:18">
      <c r="A1191" s="801">
        <v>45838</v>
      </c>
      <c r="B1191" s="670">
        <v>1062.67</v>
      </c>
      <c r="C1191" s="37">
        <v>824</v>
      </c>
      <c r="D1191" s="37">
        <v>256</v>
      </c>
      <c r="E1191" s="37">
        <v>1</v>
      </c>
      <c r="F1191" s="670">
        <v>9214</v>
      </c>
      <c r="G1191" s="37">
        <v>60</v>
      </c>
      <c r="H1191" s="37">
        <v>6</v>
      </c>
      <c r="I1191" s="37">
        <v>8</v>
      </c>
      <c r="J1191" s="527">
        <f t="shared" si="213"/>
        <v>0.310679611650485</v>
      </c>
      <c r="K1191" s="687">
        <f t="shared" si="214"/>
        <v>4.1510546875</v>
      </c>
      <c r="L1191" s="41">
        <f t="shared" si="206"/>
        <v>1289.64805825243</v>
      </c>
      <c r="M1191" s="702">
        <f t="shared" si="212"/>
        <v>8.67061270196768</v>
      </c>
      <c r="N1191" s="39">
        <f t="shared" si="207"/>
        <v>0.00390625</v>
      </c>
      <c r="O1191" s="558">
        <f t="shared" si="208"/>
        <v>9214</v>
      </c>
      <c r="P1191" s="559">
        <f t="shared" si="211"/>
        <v>1062.67</v>
      </c>
      <c r="Q1191" s="41">
        <f t="shared" si="209"/>
        <v>17.7111666666667</v>
      </c>
      <c r="R1191" s="1021">
        <f t="shared" si="210"/>
        <v>0.234375</v>
      </c>
    </row>
    <row r="1192" spans="1:18">
      <c r="A1192" s="801">
        <v>45839</v>
      </c>
      <c r="B1192" s="670">
        <v>1005.16</v>
      </c>
      <c r="C1192" s="37">
        <v>862</v>
      </c>
      <c r="D1192" s="37">
        <v>233</v>
      </c>
      <c r="E1192" s="37">
        <v>1</v>
      </c>
      <c r="F1192" s="670">
        <v>20826.99</v>
      </c>
      <c r="G1192" s="37">
        <v>52</v>
      </c>
      <c r="H1192" s="37">
        <v>4</v>
      </c>
      <c r="I1192" s="37">
        <v>8</v>
      </c>
      <c r="J1192" s="527">
        <f t="shared" si="213"/>
        <v>0.27030162412993</v>
      </c>
      <c r="K1192" s="687">
        <f t="shared" si="214"/>
        <v>4.31399141630901</v>
      </c>
      <c r="L1192" s="41">
        <f t="shared" si="206"/>
        <v>1166.0788863109</v>
      </c>
      <c r="M1192" s="702">
        <f t="shared" si="212"/>
        <v>20.7200744160134</v>
      </c>
      <c r="N1192" s="39">
        <f t="shared" si="207"/>
        <v>0.00429184549356223</v>
      </c>
      <c r="O1192" s="558">
        <f t="shared" si="208"/>
        <v>20826.99</v>
      </c>
      <c r="P1192" s="559">
        <f t="shared" si="211"/>
        <v>1005.16</v>
      </c>
      <c r="Q1192" s="41">
        <f t="shared" si="209"/>
        <v>19.33</v>
      </c>
      <c r="R1192" s="1021">
        <f t="shared" si="210"/>
        <v>0.223175965665236</v>
      </c>
    </row>
    <row r="1193" spans="1:18">
      <c r="A1193" s="801">
        <v>45840</v>
      </c>
      <c r="B1193" s="670">
        <v>868.6</v>
      </c>
      <c r="C1193" s="37">
        <v>926</v>
      </c>
      <c r="D1193" s="37">
        <v>212</v>
      </c>
      <c r="E1193" s="37">
        <v>3</v>
      </c>
      <c r="F1193" s="670">
        <v>33293</v>
      </c>
      <c r="G1193" s="37">
        <v>70</v>
      </c>
      <c r="H1193" s="37">
        <v>6</v>
      </c>
      <c r="I1193" s="37">
        <v>4</v>
      </c>
      <c r="J1193" s="527">
        <f t="shared" si="213"/>
        <v>0.228941684665227</v>
      </c>
      <c r="K1193" s="687">
        <f t="shared" si="214"/>
        <v>4.09716981132075</v>
      </c>
      <c r="L1193" s="41">
        <f t="shared" si="206"/>
        <v>938.012958963283</v>
      </c>
      <c r="M1193" s="702">
        <f t="shared" si="212"/>
        <v>38.3294957402717</v>
      </c>
      <c r="N1193" s="39">
        <f t="shared" si="207"/>
        <v>0.0141509433962264</v>
      </c>
      <c r="O1193" s="558">
        <f t="shared" si="208"/>
        <v>11097.6666666667</v>
      </c>
      <c r="P1193" s="559">
        <f t="shared" si="211"/>
        <v>289.533333333333</v>
      </c>
      <c r="Q1193" s="41">
        <f t="shared" si="209"/>
        <v>12.4085714285714</v>
      </c>
      <c r="R1193" s="1021">
        <f t="shared" si="210"/>
        <v>0.330188679245283</v>
      </c>
    </row>
    <row r="1194" spans="1:18">
      <c r="A1194" s="801">
        <v>45841</v>
      </c>
      <c r="B1194" s="670">
        <v>1486.04</v>
      </c>
      <c r="C1194" s="37">
        <v>3792</v>
      </c>
      <c r="D1194" s="37">
        <v>90</v>
      </c>
      <c r="E1194" s="37">
        <v>0</v>
      </c>
      <c r="F1194" s="670">
        <v>0</v>
      </c>
      <c r="G1194" s="37">
        <v>30</v>
      </c>
      <c r="H1194" s="37">
        <v>2</v>
      </c>
      <c r="I1194" s="37">
        <v>2</v>
      </c>
      <c r="J1194" s="527">
        <f t="shared" si="213"/>
        <v>0.0237341772151899</v>
      </c>
      <c r="K1194" s="687">
        <f t="shared" si="214"/>
        <v>16.5115555555556</v>
      </c>
      <c r="L1194" s="41">
        <f t="shared" si="206"/>
        <v>391.888185654008</v>
      </c>
      <c r="M1194" s="702">
        <f t="shared" si="212"/>
        <v>0</v>
      </c>
      <c r="N1194" s="39">
        <f t="shared" si="207"/>
        <v>0</v>
      </c>
      <c r="O1194" s="558">
        <f t="shared" si="208"/>
        <v>0</v>
      </c>
      <c r="P1194" s="559">
        <f t="shared" si="211"/>
        <v>0</v>
      </c>
      <c r="Q1194" s="41">
        <f t="shared" si="209"/>
        <v>49.5346666666667</v>
      </c>
      <c r="R1194" s="1021">
        <f t="shared" si="210"/>
        <v>0.333333333333333</v>
      </c>
    </row>
    <row r="1195" spans="1:18">
      <c r="A1195" s="801">
        <v>45842</v>
      </c>
      <c r="B1195" s="670">
        <v>1960.84</v>
      </c>
      <c r="C1195" s="37">
        <v>4510</v>
      </c>
      <c r="D1195" s="37">
        <v>215</v>
      </c>
      <c r="E1195" s="37">
        <v>4</v>
      </c>
      <c r="F1195" s="670">
        <v>35762</v>
      </c>
      <c r="G1195" s="37">
        <v>55</v>
      </c>
      <c r="H1195" s="37">
        <v>4</v>
      </c>
      <c r="I1195" s="37">
        <v>9</v>
      </c>
      <c r="J1195" s="527">
        <f t="shared" si="213"/>
        <v>0.0476718403547672</v>
      </c>
      <c r="K1195" s="687">
        <f t="shared" si="214"/>
        <v>9.12018604651163</v>
      </c>
      <c r="L1195" s="41">
        <f t="shared" si="206"/>
        <v>434.776053215078</v>
      </c>
      <c r="M1195" s="702">
        <f t="shared" si="212"/>
        <v>18.2381020379021</v>
      </c>
      <c r="N1195" s="39">
        <f t="shared" si="207"/>
        <v>0.0186046511627907</v>
      </c>
      <c r="O1195" s="558">
        <f t="shared" si="208"/>
        <v>8940.5</v>
      </c>
      <c r="P1195" s="559">
        <f t="shared" si="211"/>
        <v>490.21</v>
      </c>
      <c r="Q1195" s="41">
        <f t="shared" si="209"/>
        <v>35.6516363636364</v>
      </c>
      <c r="R1195" s="1021">
        <f t="shared" si="210"/>
        <v>0.255813953488372</v>
      </c>
    </row>
    <row r="1196" spans="1:18">
      <c r="A1196" s="801">
        <v>45843</v>
      </c>
      <c r="B1196" s="670">
        <v>1494.78</v>
      </c>
      <c r="C1196" s="37">
        <v>3349</v>
      </c>
      <c r="D1196" s="37">
        <v>158</v>
      </c>
      <c r="E1196" s="37">
        <v>2</v>
      </c>
      <c r="F1196" s="670">
        <v>36288</v>
      </c>
      <c r="G1196" s="37">
        <v>64</v>
      </c>
      <c r="H1196" s="37">
        <v>5</v>
      </c>
      <c r="I1196" s="37">
        <v>4</v>
      </c>
      <c r="J1196" s="527">
        <f t="shared" si="213"/>
        <v>0.0471782621678113</v>
      </c>
      <c r="K1196" s="687">
        <f t="shared" si="214"/>
        <v>9.46063291139241</v>
      </c>
      <c r="L1196" s="41">
        <f t="shared" si="206"/>
        <v>446.336219767095</v>
      </c>
      <c r="M1196" s="702">
        <f t="shared" si="212"/>
        <v>24.2764821579095</v>
      </c>
      <c r="N1196" s="39">
        <f t="shared" si="207"/>
        <v>0.0126582278481013</v>
      </c>
      <c r="O1196" s="558">
        <f t="shared" si="208"/>
        <v>18144</v>
      </c>
      <c r="P1196" s="559">
        <f t="shared" si="211"/>
        <v>747.39</v>
      </c>
      <c r="Q1196" s="41">
        <f t="shared" si="209"/>
        <v>23.3559375</v>
      </c>
      <c r="R1196" s="1021">
        <f t="shared" si="210"/>
        <v>0.40506329113924</v>
      </c>
    </row>
    <row r="1197" spans="1:18">
      <c r="A1197" s="801">
        <v>45844</v>
      </c>
      <c r="B1197" s="670">
        <v>1496.92</v>
      </c>
      <c r="C1197" s="37">
        <v>3123</v>
      </c>
      <c r="D1197" s="37">
        <v>196</v>
      </c>
      <c r="E1197" s="37">
        <v>5</v>
      </c>
      <c r="F1197" s="670">
        <v>99967</v>
      </c>
      <c r="G1197" s="37">
        <v>42</v>
      </c>
      <c r="H1197" s="37">
        <v>5</v>
      </c>
      <c r="I1197" s="37">
        <v>6</v>
      </c>
      <c r="J1197" s="527">
        <f t="shared" si="213"/>
        <v>0.0627601665065642</v>
      </c>
      <c r="K1197" s="687">
        <f t="shared" si="214"/>
        <v>7.63734693877551</v>
      </c>
      <c r="L1197" s="41">
        <f t="shared" si="206"/>
        <v>479.321165545949</v>
      </c>
      <c r="M1197" s="702">
        <f t="shared" si="212"/>
        <v>66.7817919461294</v>
      </c>
      <c r="N1197" s="39">
        <f t="shared" si="207"/>
        <v>0.0255102040816327</v>
      </c>
      <c r="O1197" s="558">
        <f t="shared" si="208"/>
        <v>19993.4</v>
      </c>
      <c r="P1197" s="559">
        <f t="shared" si="211"/>
        <v>299.384</v>
      </c>
      <c r="Q1197" s="41">
        <f t="shared" si="209"/>
        <v>35.6409523809524</v>
      </c>
      <c r="R1197" s="1021">
        <f t="shared" si="210"/>
        <v>0.214285714285714</v>
      </c>
    </row>
    <row r="1198" spans="1:18">
      <c r="A1198" s="801">
        <v>45845</v>
      </c>
      <c r="B1198" s="670">
        <v>1366.78</v>
      </c>
      <c r="C1198" s="37">
        <v>2221</v>
      </c>
      <c r="D1198" s="37">
        <v>214</v>
      </c>
      <c r="E1198" s="37">
        <v>7</v>
      </c>
      <c r="F1198" s="670">
        <v>93870</v>
      </c>
      <c r="G1198" s="37">
        <v>53</v>
      </c>
      <c r="H1198" s="37">
        <v>5</v>
      </c>
      <c r="I1198" s="37">
        <v>13</v>
      </c>
      <c r="J1198" s="527">
        <f t="shared" si="213"/>
        <v>0.0963529941467807</v>
      </c>
      <c r="K1198" s="687">
        <f t="shared" si="214"/>
        <v>6.38682242990654</v>
      </c>
      <c r="L1198" s="41">
        <f t="shared" si="206"/>
        <v>615.389464205313</v>
      </c>
      <c r="M1198" s="702">
        <f t="shared" si="212"/>
        <v>68.6796704663516</v>
      </c>
      <c r="N1198" s="39">
        <f t="shared" si="207"/>
        <v>0.0327102803738318</v>
      </c>
      <c r="O1198" s="558">
        <f t="shared" si="208"/>
        <v>13410</v>
      </c>
      <c r="P1198" s="559">
        <f t="shared" si="211"/>
        <v>195.254285714286</v>
      </c>
      <c r="Q1198" s="41">
        <f t="shared" si="209"/>
        <v>25.7883018867925</v>
      </c>
      <c r="R1198" s="1021">
        <f t="shared" si="210"/>
        <v>0.247663551401869</v>
      </c>
    </row>
    <row r="1199" spans="1:18">
      <c r="A1199" s="801">
        <v>45846</v>
      </c>
      <c r="B1199" s="670">
        <v>1184.46</v>
      </c>
      <c r="C1199" s="37">
        <v>1621</v>
      </c>
      <c r="D1199" s="37">
        <v>237</v>
      </c>
      <c r="E1199" s="37">
        <v>5</v>
      </c>
      <c r="F1199" s="670">
        <v>73434</v>
      </c>
      <c r="G1199" s="37">
        <v>67</v>
      </c>
      <c r="H1199" s="37">
        <v>4</v>
      </c>
      <c r="I1199" s="37">
        <v>6</v>
      </c>
      <c r="J1199" s="527">
        <f t="shared" si="213"/>
        <v>0.146206045650833</v>
      </c>
      <c r="K1199" s="687">
        <f t="shared" si="214"/>
        <v>4.99772151898734</v>
      </c>
      <c r="L1199" s="41">
        <f t="shared" si="206"/>
        <v>730.697100555213</v>
      </c>
      <c r="M1199" s="702">
        <f t="shared" si="212"/>
        <v>61.9978724482042</v>
      </c>
      <c r="N1199" s="39">
        <f t="shared" si="207"/>
        <v>0.0210970464135021</v>
      </c>
      <c r="O1199" s="558">
        <f t="shared" si="208"/>
        <v>14686.8</v>
      </c>
      <c r="P1199" s="559">
        <f t="shared" si="211"/>
        <v>236.892</v>
      </c>
      <c r="Q1199" s="41">
        <f t="shared" si="209"/>
        <v>17.6785074626866</v>
      </c>
      <c r="R1199" s="1021">
        <f t="shared" si="210"/>
        <v>0.282700421940928</v>
      </c>
    </row>
    <row r="1200" spans="1:18">
      <c r="A1200" s="801">
        <v>45847</v>
      </c>
      <c r="B1200" s="670">
        <v>1275.66</v>
      </c>
      <c r="C1200" s="37">
        <v>1904</v>
      </c>
      <c r="D1200" s="37">
        <v>242</v>
      </c>
      <c r="E1200" s="37">
        <v>4</v>
      </c>
      <c r="F1200" s="670">
        <v>37746</v>
      </c>
      <c r="G1200" s="37">
        <v>36</v>
      </c>
      <c r="H1200" s="37">
        <v>1</v>
      </c>
      <c r="I1200" s="37">
        <v>14</v>
      </c>
      <c r="J1200" s="527">
        <f t="shared" si="213"/>
        <v>0.127100840336134</v>
      </c>
      <c r="K1200" s="687">
        <f t="shared" si="214"/>
        <v>5.27132231404959</v>
      </c>
      <c r="L1200" s="41">
        <f t="shared" si="206"/>
        <v>669.989495798319</v>
      </c>
      <c r="M1200" s="702">
        <f t="shared" si="212"/>
        <v>29.5893890221532</v>
      </c>
      <c r="N1200" s="39">
        <f t="shared" si="207"/>
        <v>0.0165289256198347</v>
      </c>
      <c r="O1200" s="558">
        <f t="shared" si="208"/>
        <v>9436.5</v>
      </c>
      <c r="P1200" s="559">
        <f t="shared" si="211"/>
        <v>318.915</v>
      </c>
      <c r="Q1200" s="41">
        <f t="shared" si="209"/>
        <v>35.435</v>
      </c>
      <c r="R1200" s="1021">
        <f t="shared" si="210"/>
        <v>0.148760330578512</v>
      </c>
    </row>
    <row r="1201" spans="1:18">
      <c r="A1201" s="801">
        <v>45848</v>
      </c>
      <c r="B1201" s="670">
        <v>1982.72</v>
      </c>
      <c r="C1201" s="37">
        <v>4490</v>
      </c>
      <c r="D1201" s="37">
        <v>187</v>
      </c>
      <c r="E1201" s="37">
        <v>0</v>
      </c>
      <c r="F1201" s="670">
        <v>0</v>
      </c>
      <c r="G1201" s="37">
        <v>45</v>
      </c>
      <c r="H1201" s="37">
        <v>3</v>
      </c>
      <c r="I1201" s="37">
        <v>5</v>
      </c>
      <c r="J1201" s="527">
        <f t="shared" si="213"/>
        <v>0.0416481069042316</v>
      </c>
      <c r="K1201" s="687">
        <f t="shared" si="214"/>
        <v>10.6027807486631</v>
      </c>
      <c r="L1201" s="41">
        <f t="shared" ref="L1201:L1264" si="215">B1201/C1201*1000</f>
        <v>441.58574610245</v>
      </c>
      <c r="M1201" s="702">
        <f t="shared" si="212"/>
        <v>0</v>
      </c>
      <c r="N1201" s="39">
        <f t="shared" ref="N1201:N1264" si="216">E1201/D1201</f>
        <v>0</v>
      </c>
      <c r="O1201" s="558">
        <f t="shared" ref="O1201:O1264" si="217">IF(E1201=0,0,F1201/E1201)</f>
        <v>0</v>
      </c>
      <c r="P1201" s="559">
        <f t="shared" si="211"/>
        <v>0</v>
      </c>
      <c r="Q1201" s="41">
        <f t="shared" ref="Q1201:Q1264" si="218">B1201/G1201</f>
        <v>44.0604444444444</v>
      </c>
      <c r="R1201" s="1021">
        <f t="shared" ref="R1201:R1264" si="219">G1201/D1201</f>
        <v>0.240641711229947</v>
      </c>
    </row>
    <row r="1202" spans="1:18">
      <c r="A1202" s="801">
        <v>45849</v>
      </c>
      <c r="B1202" s="670">
        <v>1786.37</v>
      </c>
      <c r="C1202" s="37">
        <v>4045</v>
      </c>
      <c r="D1202" s="37">
        <v>200</v>
      </c>
      <c r="E1202" s="37">
        <v>1</v>
      </c>
      <c r="F1202" s="670">
        <v>29208</v>
      </c>
      <c r="G1202" s="37">
        <v>41</v>
      </c>
      <c r="H1202" s="37">
        <v>3</v>
      </c>
      <c r="I1202" s="37">
        <v>7</v>
      </c>
      <c r="J1202" s="527">
        <f t="shared" si="213"/>
        <v>0.0494437577255871</v>
      </c>
      <c r="K1202" s="687">
        <f t="shared" si="214"/>
        <v>8.93185</v>
      </c>
      <c r="L1202" s="41">
        <f t="shared" si="215"/>
        <v>441.624227441285</v>
      </c>
      <c r="M1202" s="702">
        <f t="shared" si="212"/>
        <v>16.3504761051742</v>
      </c>
      <c r="N1202" s="39">
        <f t="shared" si="216"/>
        <v>0.005</v>
      </c>
      <c r="O1202" s="558">
        <f t="shared" si="217"/>
        <v>29208</v>
      </c>
      <c r="P1202" s="559">
        <f t="shared" si="211"/>
        <v>1786.37</v>
      </c>
      <c r="Q1202" s="41">
        <f t="shared" si="218"/>
        <v>43.57</v>
      </c>
      <c r="R1202" s="1021">
        <f t="shared" si="219"/>
        <v>0.205</v>
      </c>
    </row>
    <row r="1203" spans="1:18">
      <c r="A1203" s="801">
        <v>45850</v>
      </c>
      <c r="B1203" s="670">
        <v>1996.33</v>
      </c>
      <c r="C1203" s="37">
        <v>4606</v>
      </c>
      <c r="D1203" s="37">
        <v>198</v>
      </c>
      <c r="E1203" s="37">
        <v>4</v>
      </c>
      <c r="F1203" s="670">
        <v>56664</v>
      </c>
      <c r="G1203" s="37">
        <v>54</v>
      </c>
      <c r="H1203" s="37">
        <v>3</v>
      </c>
      <c r="I1203" s="37">
        <v>13</v>
      </c>
      <c r="J1203" s="527">
        <f t="shared" si="213"/>
        <v>0.0429874077290491</v>
      </c>
      <c r="K1203" s="687">
        <f t="shared" si="214"/>
        <v>10.0824747474747</v>
      </c>
      <c r="L1203" s="41">
        <f t="shared" si="215"/>
        <v>433.419452887538</v>
      </c>
      <c r="M1203" s="702">
        <f t="shared" si="212"/>
        <v>28.3840847955999</v>
      </c>
      <c r="N1203" s="39">
        <f t="shared" si="216"/>
        <v>0.0202020202020202</v>
      </c>
      <c r="O1203" s="558">
        <f t="shared" si="217"/>
        <v>14166</v>
      </c>
      <c r="P1203" s="559">
        <f t="shared" si="211"/>
        <v>499.0825</v>
      </c>
      <c r="Q1203" s="41">
        <f t="shared" si="218"/>
        <v>36.9690740740741</v>
      </c>
      <c r="R1203" s="1021">
        <f t="shared" si="219"/>
        <v>0.272727272727273</v>
      </c>
    </row>
    <row r="1204" spans="1:18">
      <c r="A1204" s="801">
        <v>45851</v>
      </c>
      <c r="B1204" s="670">
        <v>1990.83</v>
      </c>
      <c r="C1204" s="37">
        <v>4531</v>
      </c>
      <c r="D1204" s="37">
        <v>202</v>
      </c>
      <c r="E1204" s="37">
        <v>3</v>
      </c>
      <c r="F1204" s="670">
        <v>41058</v>
      </c>
      <c r="G1204" s="37">
        <v>38</v>
      </c>
      <c r="H1204" s="37">
        <v>0</v>
      </c>
      <c r="I1204" s="37">
        <v>8</v>
      </c>
      <c r="J1204" s="527">
        <f t="shared" si="213"/>
        <v>0.0445817700286912</v>
      </c>
      <c r="K1204" s="687">
        <f t="shared" si="214"/>
        <v>9.85559405940594</v>
      </c>
      <c r="L1204" s="41">
        <f t="shared" si="215"/>
        <v>439.379827852571</v>
      </c>
      <c r="M1204" s="702">
        <f t="shared" si="212"/>
        <v>20.623559018098</v>
      </c>
      <c r="N1204" s="39">
        <f t="shared" si="216"/>
        <v>0.0148514851485149</v>
      </c>
      <c r="O1204" s="558">
        <f t="shared" si="217"/>
        <v>13686</v>
      </c>
      <c r="P1204" s="559">
        <f t="shared" ref="P1204:P1267" si="220">IF(E1204=0,0,B1204/E1204)</f>
        <v>663.61</v>
      </c>
      <c r="Q1204" s="41">
        <f t="shared" si="218"/>
        <v>52.3902631578947</v>
      </c>
      <c r="R1204" s="1021">
        <f t="shared" si="219"/>
        <v>0.188118811881188</v>
      </c>
    </row>
    <row r="1205" spans="1:18">
      <c r="A1205" s="801">
        <v>45852</v>
      </c>
      <c r="B1205" s="670">
        <v>1986.13</v>
      </c>
      <c r="C1205" s="37">
        <v>3956</v>
      </c>
      <c r="D1205" s="37">
        <v>274</v>
      </c>
      <c r="E1205" s="37">
        <v>2</v>
      </c>
      <c r="F1205" s="670">
        <v>26985</v>
      </c>
      <c r="G1205" s="37">
        <v>51</v>
      </c>
      <c r="H1205" s="37">
        <v>4</v>
      </c>
      <c r="I1205" s="37">
        <v>19</v>
      </c>
      <c r="J1205" s="527">
        <f t="shared" si="213"/>
        <v>0.0692618806875632</v>
      </c>
      <c r="K1205" s="687">
        <f t="shared" si="214"/>
        <v>7.2486496350365</v>
      </c>
      <c r="L1205" s="41">
        <f t="shared" si="215"/>
        <v>502.055106167846</v>
      </c>
      <c r="M1205" s="702">
        <f t="shared" ref="M1205:M1268" si="221">F1205/B1205</f>
        <v>13.5867239304577</v>
      </c>
      <c r="N1205" s="39">
        <f t="shared" si="216"/>
        <v>0.0072992700729927</v>
      </c>
      <c r="O1205" s="558">
        <f t="shared" si="217"/>
        <v>13492.5</v>
      </c>
      <c r="P1205" s="559">
        <f t="shared" si="220"/>
        <v>993.065</v>
      </c>
      <c r="Q1205" s="41">
        <f t="shared" si="218"/>
        <v>38.9437254901961</v>
      </c>
      <c r="R1205" s="1021">
        <f t="shared" si="219"/>
        <v>0.186131386861314</v>
      </c>
    </row>
    <row r="1206" spans="1:18">
      <c r="A1206" s="801">
        <v>45853</v>
      </c>
      <c r="B1206" s="670">
        <v>1983.73</v>
      </c>
      <c r="C1206" s="37">
        <v>4636</v>
      </c>
      <c r="D1206" s="37">
        <v>236</v>
      </c>
      <c r="E1206" s="37">
        <v>1</v>
      </c>
      <c r="F1206" s="670">
        <v>12074</v>
      </c>
      <c r="G1206" s="37">
        <v>43</v>
      </c>
      <c r="H1206" s="37">
        <v>4</v>
      </c>
      <c r="I1206" s="37">
        <v>5</v>
      </c>
      <c r="J1206" s="527">
        <f t="shared" si="213"/>
        <v>0.0509059534081104</v>
      </c>
      <c r="K1206" s="687">
        <f t="shared" si="214"/>
        <v>8.40563559322034</v>
      </c>
      <c r="L1206" s="41">
        <f t="shared" si="215"/>
        <v>427.896893874029</v>
      </c>
      <c r="M1206" s="702">
        <f t="shared" si="221"/>
        <v>6.08651378967904</v>
      </c>
      <c r="N1206" s="39">
        <f t="shared" si="216"/>
        <v>0.00423728813559322</v>
      </c>
      <c r="O1206" s="558">
        <f t="shared" si="217"/>
        <v>12074</v>
      </c>
      <c r="P1206" s="559">
        <f t="shared" si="220"/>
        <v>1983.73</v>
      </c>
      <c r="Q1206" s="41">
        <f t="shared" si="218"/>
        <v>46.1332558139535</v>
      </c>
      <c r="R1206" s="1021">
        <f t="shared" si="219"/>
        <v>0.182203389830508</v>
      </c>
    </row>
    <row r="1207" spans="1:18">
      <c r="A1207" s="801">
        <v>45854</v>
      </c>
      <c r="B1207" s="670">
        <v>1988.79</v>
      </c>
      <c r="C1207" s="37">
        <v>4254</v>
      </c>
      <c r="D1207" s="37">
        <v>272</v>
      </c>
      <c r="E1207" s="37">
        <v>1</v>
      </c>
      <c r="F1207" s="670">
        <v>12363</v>
      </c>
      <c r="G1207" s="37">
        <v>65</v>
      </c>
      <c r="H1207" s="37">
        <v>1</v>
      </c>
      <c r="I1207" s="37">
        <v>13</v>
      </c>
      <c r="J1207" s="527">
        <f t="shared" si="213"/>
        <v>0.0639398213446168</v>
      </c>
      <c r="K1207" s="687">
        <f t="shared" si="214"/>
        <v>7.31172794117647</v>
      </c>
      <c r="L1207" s="41">
        <f t="shared" si="215"/>
        <v>467.510578279267</v>
      </c>
      <c r="M1207" s="702">
        <f t="shared" si="221"/>
        <v>6.21634260027454</v>
      </c>
      <c r="N1207" s="39">
        <f t="shared" si="216"/>
        <v>0.00367647058823529</v>
      </c>
      <c r="O1207" s="558">
        <f t="shared" si="217"/>
        <v>12363</v>
      </c>
      <c r="P1207" s="559">
        <f t="shared" si="220"/>
        <v>1988.79</v>
      </c>
      <c r="Q1207" s="41">
        <f t="shared" si="218"/>
        <v>30.5967692307692</v>
      </c>
      <c r="R1207" s="1021">
        <f t="shared" si="219"/>
        <v>0.238970588235294</v>
      </c>
    </row>
    <row r="1208" spans="1:18">
      <c r="A1208" s="801">
        <v>45855</v>
      </c>
      <c r="B1208" s="670">
        <v>1989.9</v>
      </c>
      <c r="C1208" s="37">
        <v>4426</v>
      </c>
      <c r="D1208" s="37">
        <v>266</v>
      </c>
      <c r="E1208" s="37">
        <v>0</v>
      </c>
      <c r="F1208" s="670">
        <v>0</v>
      </c>
      <c r="G1208" s="37">
        <v>80</v>
      </c>
      <c r="H1208" s="37">
        <v>10</v>
      </c>
      <c r="I1208" s="37">
        <v>6</v>
      </c>
      <c r="J1208" s="527">
        <f t="shared" si="213"/>
        <v>0.0600994125621329</v>
      </c>
      <c r="K1208" s="687">
        <f t="shared" si="214"/>
        <v>7.48082706766917</v>
      </c>
      <c r="L1208" s="41">
        <f t="shared" si="215"/>
        <v>449.59331224582</v>
      </c>
      <c r="M1208" s="702">
        <f t="shared" si="221"/>
        <v>0</v>
      </c>
      <c r="N1208" s="39">
        <f t="shared" si="216"/>
        <v>0</v>
      </c>
      <c r="O1208" s="558">
        <f t="shared" si="217"/>
        <v>0</v>
      </c>
      <c r="P1208" s="559">
        <f t="shared" si="220"/>
        <v>0</v>
      </c>
      <c r="Q1208" s="41">
        <f t="shared" si="218"/>
        <v>24.87375</v>
      </c>
      <c r="R1208" s="1021">
        <f t="shared" si="219"/>
        <v>0.300751879699248</v>
      </c>
    </row>
    <row r="1209" spans="1:18">
      <c r="A1209" s="801">
        <v>45856</v>
      </c>
      <c r="B1209" s="670">
        <v>1486.88</v>
      </c>
      <c r="C1209" s="37">
        <v>2778</v>
      </c>
      <c r="D1209" s="37">
        <v>212</v>
      </c>
      <c r="E1209" s="37">
        <v>3</v>
      </c>
      <c r="F1209" s="670">
        <v>35768</v>
      </c>
      <c r="G1209" s="37">
        <v>52</v>
      </c>
      <c r="H1209" s="37">
        <v>5</v>
      </c>
      <c r="I1209" s="37">
        <v>6</v>
      </c>
      <c r="J1209" s="527">
        <f t="shared" si="213"/>
        <v>0.0763138948884089</v>
      </c>
      <c r="K1209" s="687">
        <f t="shared" si="214"/>
        <v>7.01358490566038</v>
      </c>
      <c r="L1209" s="41">
        <f t="shared" si="215"/>
        <v>535.233981281498</v>
      </c>
      <c r="M1209" s="702">
        <f t="shared" si="221"/>
        <v>24.0557408802324</v>
      </c>
      <c r="N1209" s="39">
        <f t="shared" si="216"/>
        <v>0.0141509433962264</v>
      </c>
      <c r="O1209" s="558">
        <f t="shared" si="217"/>
        <v>11922.6666666667</v>
      </c>
      <c r="P1209" s="559">
        <f t="shared" si="220"/>
        <v>495.626666666667</v>
      </c>
      <c r="Q1209" s="41">
        <f t="shared" si="218"/>
        <v>28.5938461538462</v>
      </c>
      <c r="R1209" s="1021">
        <f t="shared" si="219"/>
        <v>0.245283018867925</v>
      </c>
    </row>
    <row r="1210" spans="1:18">
      <c r="A1210" s="801">
        <v>45857</v>
      </c>
      <c r="B1210" s="670">
        <v>1490.51</v>
      </c>
      <c r="C1210" s="37">
        <v>2986</v>
      </c>
      <c r="D1210" s="37">
        <v>225</v>
      </c>
      <c r="E1210" s="37">
        <v>2</v>
      </c>
      <c r="F1210" s="670">
        <v>31154</v>
      </c>
      <c r="G1210" s="37">
        <v>52</v>
      </c>
      <c r="H1210" s="37">
        <v>3</v>
      </c>
      <c r="I1210" s="37">
        <v>7</v>
      </c>
      <c r="J1210" s="527">
        <f t="shared" si="213"/>
        <v>0.0753516409912927</v>
      </c>
      <c r="K1210" s="687">
        <f t="shared" si="214"/>
        <v>6.62448888888889</v>
      </c>
      <c r="L1210" s="41">
        <f t="shared" si="215"/>
        <v>499.166108506363</v>
      </c>
      <c r="M1210" s="702">
        <f t="shared" si="221"/>
        <v>20.9015706033505</v>
      </c>
      <c r="N1210" s="39">
        <f t="shared" si="216"/>
        <v>0.00888888888888889</v>
      </c>
      <c r="O1210" s="558">
        <f t="shared" si="217"/>
        <v>15577</v>
      </c>
      <c r="P1210" s="559">
        <f t="shared" si="220"/>
        <v>745.255</v>
      </c>
      <c r="Q1210" s="41">
        <f t="shared" si="218"/>
        <v>28.6636538461538</v>
      </c>
      <c r="R1210" s="1021">
        <f t="shared" si="219"/>
        <v>0.231111111111111</v>
      </c>
    </row>
    <row r="1211" spans="1:18">
      <c r="A1211" s="801">
        <v>45858</v>
      </c>
      <c r="B1211" s="670">
        <v>1486.09</v>
      </c>
      <c r="C1211" s="37">
        <v>3519</v>
      </c>
      <c r="D1211" s="37">
        <v>137</v>
      </c>
      <c r="E1211" s="37">
        <v>0</v>
      </c>
      <c r="F1211" s="670">
        <v>0</v>
      </c>
      <c r="G1211" s="37">
        <v>30</v>
      </c>
      <c r="H1211" s="37">
        <v>5</v>
      </c>
      <c r="I1211" s="37">
        <v>6</v>
      </c>
      <c r="J1211" s="527">
        <f t="shared" si="213"/>
        <v>0.0389315146348394</v>
      </c>
      <c r="K1211" s="687">
        <f t="shared" si="214"/>
        <v>10.8473722627737</v>
      </c>
      <c r="L1211" s="41">
        <f t="shared" si="215"/>
        <v>422.304631997727</v>
      </c>
      <c r="M1211" s="702">
        <f t="shared" si="221"/>
        <v>0</v>
      </c>
      <c r="N1211" s="39">
        <f t="shared" si="216"/>
        <v>0</v>
      </c>
      <c r="O1211" s="558">
        <f t="shared" si="217"/>
        <v>0</v>
      </c>
      <c r="P1211" s="559">
        <f t="shared" si="220"/>
        <v>0</v>
      </c>
      <c r="Q1211" s="41">
        <f t="shared" si="218"/>
        <v>49.5363333333333</v>
      </c>
      <c r="R1211" s="1021">
        <f t="shared" si="219"/>
        <v>0.218978102189781</v>
      </c>
    </row>
    <row r="1212" spans="1:18">
      <c r="A1212" s="801">
        <v>45859</v>
      </c>
      <c r="B1212" s="670">
        <v>1372.37</v>
      </c>
      <c r="C1212" s="37">
        <v>3143</v>
      </c>
      <c r="D1212" s="37">
        <v>187</v>
      </c>
      <c r="E1212" s="37">
        <v>0</v>
      </c>
      <c r="F1212" s="670">
        <v>0</v>
      </c>
      <c r="G1212" s="37">
        <v>52</v>
      </c>
      <c r="H1212" s="37">
        <v>2</v>
      </c>
      <c r="I1212" s="37">
        <v>6</v>
      </c>
      <c r="J1212" s="527">
        <f t="shared" si="213"/>
        <v>0.0594972955774737</v>
      </c>
      <c r="K1212" s="687">
        <f t="shared" si="214"/>
        <v>7.33887700534759</v>
      </c>
      <c r="L1212" s="41">
        <f t="shared" si="215"/>
        <v>436.643334393891</v>
      </c>
      <c r="M1212" s="702">
        <f t="shared" si="221"/>
        <v>0</v>
      </c>
      <c r="N1212" s="39">
        <f t="shared" si="216"/>
        <v>0</v>
      </c>
      <c r="O1212" s="558">
        <f t="shared" si="217"/>
        <v>0</v>
      </c>
      <c r="P1212" s="559">
        <f t="shared" si="220"/>
        <v>0</v>
      </c>
      <c r="Q1212" s="41">
        <f t="shared" si="218"/>
        <v>26.3917307692308</v>
      </c>
      <c r="R1212" s="1021">
        <f t="shared" si="219"/>
        <v>0.27807486631016</v>
      </c>
    </row>
    <row r="1213" spans="1:18">
      <c r="A1213" s="801">
        <v>45860</v>
      </c>
      <c r="B1213" s="670">
        <v>1493.52</v>
      </c>
      <c r="C1213" s="37">
        <v>3438</v>
      </c>
      <c r="D1213" s="37">
        <v>145</v>
      </c>
      <c r="E1213" s="37">
        <v>1</v>
      </c>
      <c r="F1213" s="670">
        <v>16934</v>
      </c>
      <c r="G1213" s="37">
        <v>31</v>
      </c>
      <c r="H1213" s="37">
        <v>3</v>
      </c>
      <c r="I1213" s="37">
        <v>5</v>
      </c>
      <c r="J1213" s="527">
        <f t="shared" si="213"/>
        <v>0.0421756835369401</v>
      </c>
      <c r="K1213" s="687">
        <f t="shared" si="214"/>
        <v>10.3001379310345</v>
      </c>
      <c r="L1213" s="41">
        <f t="shared" si="215"/>
        <v>434.415357766143</v>
      </c>
      <c r="M1213" s="702">
        <f t="shared" si="221"/>
        <v>11.3383148535005</v>
      </c>
      <c r="N1213" s="39">
        <f t="shared" si="216"/>
        <v>0.00689655172413793</v>
      </c>
      <c r="O1213" s="558">
        <f t="shared" si="217"/>
        <v>16934</v>
      </c>
      <c r="P1213" s="559">
        <f t="shared" si="220"/>
        <v>1493.52</v>
      </c>
      <c r="Q1213" s="41">
        <f t="shared" si="218"/>
        <v>48.178064516129</v>
      </c>
      <c r="R1213" s="1021">
        <f t="shared" si="219"/>
        <v>0.213793103448276</v>
      </c>
    </row>
    <row r="1214" spans="1:18">
      <c r="A1214" s="801">
        <v>45861</v>
      </c>
      <c r="B1214" s="670">
        <v>1490.25</v>
      </c>
      <c r="C1214" s="37">
        <v>3336</v>
      </c>
      <c r="D1214" s="37">
        <v>169</v>
      </c>
      <c r="E1214" s="37">
        <v>0</v>
      </c>
      <c r="F1214" s="670">
        <v>0</v>
      </c>
      <c r="G1214" s="37">
        <v>41</v>
      </c>
      <c r="H1214" s="37">
        <v>2</v>
      </c>
      <c r="I1214" s="37">
        <v>8</v>
      </c>
      <c r="J1214" s="527">
        <f t="shared" si="213"/>
        <v>0.0506594724220623</v>
      </c>
      <c r="K1214" s="687">
        <f t="shared" si="214"/>
        <v>8.81804733727811</v>
      </c>
      <c r="L1214" s="41">
        <f t="shared" si="215"/>
        <v>446.717625899281</v>
      </c>
      <c r="M1214" s="702">
        <f t="shared" si="221"/>
        <v>0</v>
      </c>
      <c r="N1214" s="39">
        <f t="shared" si="216"/>
        <v>0</v>
      </c>
      <c r="O1214" s="558">
        <f t="shared" si="217"/>
        <v>0</v>
      </c>
      <c r="P1214" s="559">
        <f t="shared" si="220"/>
        <v>0</v>
      </c>
      <c r="Q1214" s="41">
        <f t="shared" si="218"/>
        <v>36.3475609756098</v>
      </c>
      <c r="R1214" s="1021">
        <f t="shared" si="219"/>
        <v>0.242603550295858</v>
      </c>
    </row>
    <row r="1215" spans="1:18">
      <c r="A1215" s="801">
        <v>45862</v>
      </c>
      <c r="B1215" s="670">
        <v>1492.28</v>
      </c>
      <c r="C1215" s="37">
        <v>3462</v>
      </c>
      <c r="D1215" s="37">
        <v>165</v>
      </c>
      <c r="E1215" s="37">
        <v>0</v>
      </c>
      <c r="F1215" s="670">
        <v>0</v>
      </c>
      <c r="G1215" s="37">
        <v>31</v>
      </c>
      <c r="H1215" s="37">
        <v>2</v>
      </c>
      <c r="I1215" s="37">
        <v>9</v>
      </c>
      <c r="J1215" s="527">
        <f t="shared" si="213"/>
        <v>0.0476603119584055</v>
      </c>
      <c r="K1215" s="687">
        <f t="shared" si="214"/>
        <v>9.04412121212121</v>
      </c>
      <c r="L1215" s="41">
        <f t="shared" si="215"/>
        <v>431.04563835933</v>
      </c>
      <c r="M1215" s="702">
        <f t="shared" si="221"/>
        <v>0</v>
      </c>
      <c r="N1215" s="39">
        <f t="shared" si="216"/>
        <v>0</v>
      </c>
      <c r="O1215" s="558">
        <f t="shared" si="217"/>
        <v>0</v>
      </c>
      <c r="P1215" s="559">
        <f t="shared" si="220"/>
        <v>0</v>
      </c>
      <c r="Q1215" s="41">
        <f t="shared" si="218"/>
        <v>48.138064516129</v>
      </c>
      <c r="R1215" s="1021">
        <f t="shared" si="219"/>
        <v>0.187878787878788</v>
      </c>
    </row>
    <row r="1216" spans="1:18">
      <c r="A1216" s="801">
        <v>45863</v>
      </c>
      <c r="B1216" s="670">
        <v>1987.43</v>
      </c>
      <c r="C1216" s="37">
        <v>4732</v>
      </c>
      <c r="D1216" s="37">
        <v>222</v>
      </c>
      <c r="E1216" s="37">
        <v>0</v>
      </c>
      <c r="F1216" s="670">
        <v>0</v>
      </c>
      <c r="G1216" s="37">
        <v>38</v>
      </c>
      <c r="H1216" s="37">
        <v>6</v>
      </c>
      <c r="I1216" s="37">
        <v>3</v>
      </c>
      <c r="J1216" s="527">
        <f t="shared" si="213"/>
        <v>0.0469146238377008</v>
      </c>
      <c r="K1216" s="687">
        <f t="shared" si="214"/>
        <v>8.95238738738739</v>
      </c>
      <c r="L1216" s="41">
        <f t="shared" si="215"/>
        <v>419.997886728656</v>
      </c>
      <c r="M1216" s="702">
        <f t="shared" si="221"/>
        <v>0</v>
      </c>
      <c r="N1216" s="39">
        <f t="shared" si="216"/>
        <v>0</v>
      </c>
      <c r="O1216" s="558">
        <f t="shared" si="217"/>
        <v>0</v>
      </c>
      <c r="P1216" s="559">
        <f t="shared" si="220"/>
        <v>0</v>
      </c>
      <c r="Q1216" s="41">
        <f t="shared" si="218"/>
        <v>52.3007894736842</v>
      </c>
      <c r="R1216" s="1021">
        <f t="shared" si="219"/>
        <v>0.171171171171171</v>
      </c>
    </row>
    <row r="1217" spans="1:18">
      <c r="A1217" s="801">
        <v>45864</v>
      </c>
      <c r="B1217" s="670">
        <v>1980.92</v>
      </c>
      <c r="C1217" s="37">
        <v>5194</v>
      </c>
      <c r="D1217" s="37">
        <v>177</v>
      </c>
      <c r="E1217" s="37">
        <v>9</v>
      </c>
      <c r="F1217" s="670">
        <v>133539</v>
      </c>
      <c r="G1217" s="37">
        <v>48</v>
      </c>
      <c r="H1217" s="37">
        <v>2</v>
      </c>
      <c r="I1217" s="37">
        <v>4</v>
      </c>
      <c r="J1217" s="527">
        <f t="shared" si="213"/>
        <v>0.0340777820562187</v>
      </c>
      <c r="K1217" s="687">
        <f t="shared" si="214"/>
        <v>11.1916384180791</v>
      </c>
      <c r="L1217" s="41">
        <f t="shared" si="215"/>
        <v>381.386214863304</v>
      </c>
      <c r="M1217" s="702">
        <f t="shared" si="221"/>
        <v>67.4126163600751</v>
      </c>
      <c r="N1217" s="39">
        <f t="shared" si="216"/>
        <v>0.0508474576271186</v>
      </c>
      <c r="O1217" s="558">
        <f t="shared" si="217"/>
        <v>14837.6666666667</v>
      </c>
      <c r="P1217" s="559">
        <f t="shared" si="220"/>
        <v>220.102222222222</v>
      </c>
      <c r="Q1217" s="41">
        <f t="shared" si="218"/>
        <v>41.2691666666667</v>
      </c>
      <c r="R1217" s="1021">
        <f t="shared" si="219"/>
        <v>0.271186440677966</v>
      </c>
    </row>
    <row r="1218" spans="1:18">
      <c r="A1218" s="801">
        <v>45865</v>
      </c>
      <c r="B1218" s="670">
        <v>1981.62</v>
      </c>
      <c r="C1218" s="37">
        <v>4832</v>
      </c>
      <c r="D1218" s="37">
        <v>190</v>
      </c>
      <c r="E1218" s="37">
        <v>1</v>
      </c>
      <c r="F1218" s="670">
        <v>11584</v>
      </c>
      <c r="G1218" s="37">
        <v>36</v>
      </c>
      <c r="H1218" s="37">
        <v>5</v>
      </c>
      <c r="I1218" s="37">
        <v>3</v>
      </c>
      <c r="J1218" s="527">
        <f t="shared" ref="J1218:J1281" si="222">D1218/C1218</f>
        <v>0.0393211920529801</v>
      </c>
      <c r="K1218" s="687">
        <f t="shared" ref="K1218:K1281" si="223">B1218/D1218</f>
        <v>10.4295789473684</v>
      </c>
      <c r="L1218" s="41">
        <f t="shared" si="215"/>
        <v>410.103476821192</v>
      </c>
      <c r="M1218" s="702">
        <f t="shared" si="221"/>
        <v>5.84572218689759</v>
      </c>
      <c r="N1218" s="39">
        <f t="shared" si="216"/>
        <v>0.00526315789473684</v>
      </c>
      <c r="O1218" s="558">
        <f t="shared" si="217"/>
        <v>11584</v>
      </c>
      <c r="P1218" s="559">
        <f t="shared" si="220"/>
        <v>1981.62</v>
      </c>
      <c r="Q1218" s="41">
        <f t="shared" si="218"/>
        <v>55.045</v>
      </c>
      <c r="R1218" s="1021">
        <f t="shared" si="219"/>
        <v>0.189473684210526</v>
      </c>
    </row>
    <row r="1219" spans="1:18">
      <c r="A1219" s="801">
        <v>45866</v>
      </c>
      <c r="B1219" s="670">
        <v>1984.1</v>
      </c>
      <c r="C1219" s="37">
        <v>4708</v>
      </c>
      <c r="D1219" s="37">
        <v>206</v>
      </c>
      <c r="E1219" s="37">
        <v>0</v>
      </c>
      <c r="F1219" s="670">
        <v>0</v>
      </c>
      <c r="G1219" s="37">
        <v>46</v>
      </c>
      <c r="H1219" s="37">
        <v>6</v>
      </c>
      <c r="I1219" s="37">
        <v>8</v>
      </c>
      <c r="J1219" s="527">
        <f t="shared" si="222"/>
        <v>0.0437553101104503</v>
      </c>
      <c r="K1219" s="687">
        <f t="shared" si="223"/>
        <v>9.63155339805825</v>
      </c>
      <c r="L1219" s="41">
        <f t="shared" si="215"/>
        <v>421.4316057774</v>
      </c>
      <c r="M1219" s="702">
        <f t="shared" si="221"/>
        <v>0</v>
      </c>
      <c r="N1219" s="39">
        <f t="shared" si="216"/>
        <v>0</v>
      </c>
      <c r="O1219" s="558">
        <f t="shared" si="217"/>
        <v>0</v>
      </c>
      <c r="P1219" s="559">
        <f t="shared" si="220"/>
        <v>0</v>
      </c>
      <c r="Q1219" s="41">
        <f t="shared" si="218"/>
        <v>43.1326086956522</v>
      </c>
      <c r="R1219" s="1021">
        <f t="shared" si="219"/>
        <v>0.223300970873786</v>
      </c>
    </row>
    <row r="1220" spans="1:18">
      <c r="A1220" s="801">
        <v>45867</v>
      </c>
      <c r="B1220" s="670">
        <v>1985.44</v>
      </c>
      <c r="C1220" s="37">
        <v>4726</v>
      </c>
      <c r="D1220" s="37">
        <v>194</v>
      </c>
      <c r="E1220" s="37">
        <v>0</v>
      </c>
      <c r="F1220" s="670">
        <v>0</v>
      </c>
      <c r="G1220" s="37">
        <v>58</v>
      </c>
      <c r="H1220" s="37">
        <v>1</v>
      </c>
      <c r="I1220" s="37">
        <v>8</v>
      </c>
      <c r="J1220" s="527">
        <f t="shared" si="222"/>
        <v>0.0410495133305121</v>
      </c>
      <c r="K1220" s="687">
        <f t="shared" si="223"/>
        <v>10.2342268041237</v>
      </c>
      <c r="L1220" s="41">
        <f t="shared" si="215"/>
        <v>420.11002962336</v>
      </c>
      <c r="M1220" s="702">
        <f t="shared" si="221"/>
        <v>0</v>
      </c>
      <c r="N1220" s="39">
        <f t="shared" si="216"/>
        <v>0</v>
      </c>
      <c r="O1220" s="558">
        <f t="shared" si="217"/>
        <v>0</v>
      </c>
      <c r="P1220" s="559">
        <f t="shared" si="220"/>
        <v>0</v>
      </c>
      <c r="Q1220" s="41">
        <f t="shared" si="218"/>
        <v>34.231724137931</v>
      </c>
      <c r="R1220" s="1021">
        <f t="shared" si="219"/>
        <v>0.298969072164948</v>
      </c>
    </row>
    <row r="1221" spans="1:18">
      <c r="A1221" s="801">
        <v>45868</v>
      </c>
      <c r="B1221" s="670">
        <v>1981.61</v>
      </c>
      <c r="C1221" s="37">
        <v>5030</v>
      </c>
      <c r="D1221" s="37">
        <v>157</v>
      </c>
      <c r="E1221" s="37">
        <v>3</v>
      </c>
      <c r="F1221" s="670">
        <v>23625</v>
      </c>
      <c r="G1221" s="37">
        <v>32</v>
      </c>
      <c r="H1221" s="37">
        <v>5</v>
      </c>
      <c r="I1221" s="37">
        <v>9</v>
      </c>
      <c r="J1221" s="527">
        <f t="shared" si="222"/>
        <v>0.0312127236580517</v>
      </c>
      <c r="K1221" s="687">
        <f t="shared" si="223"/>
        <v>12.6217197452229</v>
      </c>
      <c r="L1221" s="41">
        <f t="shared" si="215"/>
        <v>393.958250497018</v>
      </c>
      <c r="M1221" s="702">
        <f t="shared" si="221"/>
        <v>11.922123929532</v>
      </c>
      <c r="N1221" s="39">
        <f t="shared" si="216"/>
        <v>0.0191082802547771</v>
      </c>
      <c r="O1221" s="558">
        <f t="shared" si="217"/>
        <v>7875</v>
      </c>
      <c r="P1221" s="559">
        <f t="shared" si="220"/>
        <v>660.536666666667</v>
      </c>
      <c r="Q1221" s="41">
        <f t="shared" si="218"/>
        <v>61.9253125</v>
      </c>
      <c r="R1221" s="1021">
        <f t="shared" si="219"/>
        <v>0.203821656050955</v>
      </c>
    </row>
    <row r="1222" spans="1:18">
      <c r="A1222" s="801">
        <v>45869</v>
      </c>
      <c r="B1222" s="670">
        <v>1490.25</v>
      </c>
      <c r="C1222" s="37">
        <v>3639</v>
      </c>
      <c r="D1222" s="37">
        <v>145</v>
      </c>
      <c r="E1222" s="37">
        <v>1</v>
      </c>
      <c r="F1222" s="670">
        <v>12464</v>
      </c>
      <c r="G1222" s="37">
        <v>36</v>
      </c>
      <c r="H1222" s="37">
        <v>1</v>
      </c>
      <c r="I1222" s="37">
        <v>4</v>
      </c>
      <c r="J1222" s="527">
        <f t="shared" si="222"/>
        <v>0.0398461115691124</v>
      </c>
      <c r="K1222" s="687">
        <f t="shared" si="223"/>
        <v>10.2775862068966</v>
      </c>
      <c r="L1222" s="41">
        <f t="shared" si="215"/>
        <v>409.521846661171</v>
      </c>
      <c r="M1222" s="702">
        <f t="shared" si="221"/>
        <v>8.36369736621372</v>
      </c>
      <c r="N1222" s="39">
        <f t="shared" si="216"/>
        <v>0.00689655172413793</v>
      </c>
      <c r="O1222" s="558">
        <f t="shared" si="217"/>
        <v>12464</v>
      </c>
      <c r="P1222" s="559">
        <f t="shared" si="220"/>
        <v>1490.25</v>
      </c>
      <c r="Q1222" s="41">
        <f t="shared" si="218"/>
        <v>41.3958333333333</v>
      </c>
      <c r="R1222" s="1021">
        <f t="shared" si="219"/>
        <v>0.248275862068966</v>
      </c>
    </row>
    <row r="1223" spans="1:18">
      <c r="A1223" s="801">
        <v>45870</v>
      </c>
      <c r="B1223" s="670">
        <v>1465.05</v>
      </c>
      <c r="C1223" s="37">
        <v>3688</v>
      </c>
      <c r="D1223" s="37">
        <v>127</v>
      </c>
      <c r="E1223" s="37">
        <v>4</v>
      </c>
      <c r="F1223" s="670">
        <v>53264</v>
      </c>
      <c r="G1223" s="37">
        <v>29</v>
      </c>
      <c r="H1223" s="37">
        <v>1</v>
      </c>
      <c r="I1223" s="37">
        <v>9</v>
      </c>
      <c r="J1223" s="527">
        <f t="shared" si="222"/>
        <v>0.0344360086767896</v>
      </c>
      <c r="K1223" s="687">
        <f t="shared" si="223"/>
        <v>11.5358267716535</v>
      </c>
      <c r="L1223" s="41">
        <f t="shared" si="215"/>
        <v>397.247830802603</v>
      </c>
      <c r="M1223" s="702">
        <f t="shared" si="221"/>
        <v>36.3564383468141</v>
      </c>
      <c r="N1223" s="39">
        <f t="shared" si="216"/>
        <v>0.031496062992126</v>
      </c>
      <c r="O1223" s="558">
        <f t="shared" si="217"/>
        <v>13316</v>
      </c>
      <c r="P1223" s="559">
        <f t="shared" si="220"/>
        <v>366.2625</v>
      </c>
      <c r="Q1223" s="41">
        <f t="shared" si="218"/>
        <v>50.5189655172414</v>
      </c>
      <c r="R1223" s="1021">
        <f t="shared" si="219"/>
        <v>0.228346456692913</v>
      </c>
    </row>
    <row r="1224" spans="1:18">
      <c r="A1224" s="801">
        <v>45871</v>
      </c>
      <c r="B1224" s="670">
        <v>1238.97</v>
      </c>
      <c r="C1224" s="37">
        <v>3196</v>
      </c>
      <c r="D1224" s="37">
        <v>128</v>
      </c>
      <c r="E1224" s="37">
        <v>1</v>
      </c>
      <c r="F1224" s="670">
        <v>10198</v>
      </c>
      <c r="G1224" s="37">
        <v>30</v>
      </c>
      <c r="H1224" s="37">
        <v>2</v>
      </c>
      <c r="I1224" s="37">
        <v>3</v>
      </c>
      <c r="J1224" s="527">
        <f t="shared" si="222"/>
        <v>0.0400500625782228</v>
      </c>
      <c r="K1224" s="687">
        <f t="shared" si="223"/>
        <v>9.679453125</v>
      </c>
      <c r="L1224" s="41">
        <f t="shared" si="215"/>
        <v>387.662703379224</v>
      </c>
      <c r="M1224" s="702">
        <f t="shared" si="221"/>
        <v>8.23103061413916</v>
      </c>
      <c r="N1224" s="39">
        <f t="shared" si="216"/>
        <v>0.0078125</v>
      </c>
      <c r="O1224" s="558">
        <f t="shared" si="217"/>
        <v>10198</v>
      </c>
      <c r="P1224" s="559">
        <f t="shared" si="220"/>
        <v>1238.97</v>
      </c>
      <c r="Q1224" s="41">
        <f t="shared" si="218"/>
        <v>41.299</v>
      </c>
      <c r="R1224" s="1021">
        <f t="shared" si="219"/>
        <v>0.234375</v>
      </c>
    </row>
    <row r="1225" spans="1:18">
      <c r="A1225" s="801">
        <v>45872</v>
      </c>
      <c r="B1225" s="670">
        <v>1474.68</v>
      </c>
      <c r="C1225" s="37">
        <v>3518</v>
      </c>
      <c r="D1225" s="37">
        <v>143</v>
      </c>
      <c r="E1225" s="37">
        <v>0</v>
      </c>
      <c r="F1225" s="670">
        <v>0</v>
      </c>
      <c r="G1225" s="37">
        <v>27</v>
      </c>
      <c r="H1225" s="37">
        <v>6</v>
      </c>
      <c r="I1225" s="37">
        <v>6</v>
      </c>
      <c r="J1225" s="527">
        <f t="shared" si="222"/>
        <v>0.0406480955088118</v>
      </c>
      <c r="K1225" s="687">
        <f t="shared" si="223"/>
        <v>10.3124475524476</v>
      </c>
      <c r="L1225" s="41">
        <f t="shared" si="215"/>
        <v>419.181353041501</v>
      </c>
      <c r="M1225" s="702">
        <f t="shared" si="221"/>
        <v>0</v>
      </c>
      <c r="N1225" s="39">
        <f t="shared" si="216"/>
        <v>0</v>
      </c>
      <c r="O1225" s="558">
        <f t="shared" si="217"/>
        <v>0</v>
      </c>
      <c r="P1225" s="559">
        <f t="shared" si="220"/>
        <v>0</v>
      </c>
      <c r="Q1225" s="41">
        <f t="shared" si="218"/>
        <v>54.6177777777778</v>
      </c>
      <c r="R1225" s="1021">
        <f t="shared" si="219"/>
        <v>0.188811188811189</v>
      </c>
    </row>
    <row r="1226" spans="1:18">
      <c r="A1226" s="801">
        <v>45873</v>
      </c>
      <c r="B1226" s="670">
        <v>1483.64</v>
      </c>
      <c r="C1226" s="37">
        <v>3583</v>
      </c>
      <c r="D1226" s="37">
        <v>161</v>
      </c>
      <c r="E1226" s="37">
        <v>3</v>
      </c>
      <c r="F1226" s="670">
        <v>22252</v>
      </c>
      <c r="G1226" s="37">
        <v>42</v>
      </c>
      <c r="H1226" s="37">
        <v>6</v>
      </c>
      <c r="I1226" s="37">
        <v>6</v>
      </c>
      <c r="J1226" s="527">
        <f t="shared" si="222"/>
        <v>0.0449344125034887</v>
      </c>
      <c r="K1226" s="687">
        <f t="shared" si="223"/>
        <v>9.21515527950311</v>
      </c>
      <c r="L1226" s="41">
        <f t="shared" si="215"/>
        <v>414.077588612894</v>
      </c>
      <c r="M1226" s="702">
        <f t="shared" si="221"/>
        <v>14.9982475533148</v>
      </c>
      <c r="N1226" s="39">
        <f t="shared" si="216"/>
        <v>0.0186335403726708</v>
      </c>
      <c r="O1226" s="558">
        <f t="shared" si="217"/>
        <v>7417.33333333333</v>
      </c>
      <c r="P1226" s="559">
        <f t="shared" si="220"/>
        <v>494.546666666667</v>
      </c>
      <c r="Q1226" s="41">
        <f t="shared" si="218"/>
        <v>35.3247619047619</v>
      </c>
      <c r="R1226" s="1021">
        <f t="shared" si="219"/>
        <v>0.260869565217391</v>
      </c>
    </row>
    <row r="1227" spans="1:18">
      <c r="A1227" s="801">
        <v>45874</v>
      </c>
      <c r="B1227" s="670">
        <v>1977.11</v>
      </c>
      <c r="C1227" s="37">
        <v>4992</v>
      </c>
      <c r="D1227" s="37">
        <v>191</v>
      </c>
      <c r="E1227" s="37">
        <v>1</v>
      </c>
      <c r="F1227" s="670">
        <v>12410</v>
      </c>
      <c r="G1227" s="37">
        <v>56</v>
      </c>
      <c r="H1227" s="37">
        <v>4</v>
      </c>
      <c r="I1227" s="37">
        <v>3</v>
      </c>
      <c r="J1227" s="527">
        <f t="shared" si="222"/>
        <v>0.038261217948718</v>
      </c>
      <c r="K1227" s="687">
        <f t="shared" si="223"/>
        <v>10.3513612565445</v>
      </c>
      <c r="L1227" s="41">
        <f t="shared" si="215"/>
        <v>396.055689102564</v>
      </c>
      <c r="M1227" s="702">
        <f t="shared" si="221"/>
        <v>6.27683841566731</v>
      </c>
      <c r="N1227" s="39">
        <f t="shared" si="216"/>
        <v>0.00523560209424084</v>
      </c>
      <c r="O1227" s="558">
        <f t="shared" si="217"/>
        <v>12410</v>
      </c>
      <c r="P1227" s="559">
        <f t="shared" si="220"/>
        <v>1977.11</v>
      </c>
      <c r="Q1227" s="41">
        <f t="shared" si="218"/>
        <v>35.3055357142857</v>
      </c>
      <c r="R1227" s="1021">
        <f t="shared" si="219"/>
        <v>0.293193717277487</v>
      </c>
    </row>
    <row r="1228" spans="1:18">
      <c r="A1228" s="801">
        <v>45875</v>
      </c>
      <c r="B1228" s="670">
        <v>1976.19</v>
      </c>
      <c r="C1228" s="37">
        <v>4870</v>
      </c>
      <c r="D1228" s="37">
        <v>210</v>
      </c>
      <c r="E1228" s="37">
        <v>0</v>
      </c>
      <c r="F1228" s="670">
        <v>0</v>
      </c>
      <c r="G1228" s="37">
        <v>33</v>
      </c>
      <c r="H1228" s="37">
        <v>7</v>
      </c>
      <c r="I1228" s="37">
        <v>9</v>
      </c>
      <c r="J1228" s="527">
        <f t="shared" si="222"/>
        <v>0.0431211498973306</v>
      </c>
      <c r="K1228" s="687">
        <f t="shared" si="223"/>
        <v>9.41042857142857</v>
      </c>
      <c r="L1228" s="41">
        <f t="shared" si="215"/>
        <v>405.788501026694</v>
      </c>
      <c r="M1228" s="702">
        <f t="shared" si="221"/>
        <v>0</v>
      </c>
      <c r="N1228" s="39">
        <f t="shared" si="216"/>
        <v>0</v>
      </c>
      <c r="O1228" s="558">
        <f t="shared" si="217"/>
        <v>0</v>
      </c>
      <c r="P1228" s="559">
        <f t="shared" si="220"/>
        <v>0</v>
      </c>
      <c r="Q1228" s="41">
        <f t="shared" si="218"/>
        <v>59.8845454545455</v>
      </c>
      <c r="R1228" s="1021">
        <f t="shared" si="219"/>
        <v>0.157142857142857</v>
      </c>
    </row>
    <row r="1229" spans="1:18">
      <c r="A1229" s="801">
        <v>45876</v>
      </c>
      <c r="B1229" s="670">
        <v>1975.2</v>
      </c>
      <c r="C1229" s="37">
        <v>4434</v>
      </c>
      <c r="D1229" s="37">
        <v>237</v>
      </c>
      <c r="E1229" s="37">
        <v>1</v>
      </c>
      <c r="F1229" s="670">
        <v>12464</v>
      </c>
      <c r="G1229" s="37">
        <v>58</v>
      </c>
      <c r="H1229" s="37">
        <v>6</v>
      </c>
      <c r="I1229" s="37">
        <v>8</v>
      </c>
      <c r="J1229" s="527">
        <f t="shared" si="222"/>
        <v>0.0534506089309878</v>
      </c>
      <c r="K1229" s="687">
        <f t="shared" si="223"/>
        <v>8.33417721518987</v>
      </c>
      <c r="L1229" s="41">
        <f t="shared" si="215"/>
        <v>445.466847090663</v>
      </c>
      <c r="M1229" s="702">
        <f t="shared" si="221"/>
        <v>6.3102470635885</v>
      </c>
      <c r="N1229" s="39">
        <f t="shared" si="216"/>
        <v>0.00421940928270042</v>
      </c>
      <c r="O1229" s="558">
        <f t="shared" si="217"/>
        <v>12464</v>
      </c>
      <c r="P1229" s="559">
        <f t="shared" si="220"/>
        <v>1975.2</v>
      </c>
      <c r="Q1229" s="41">
        <f t="shared" si="218"/>
        <v>34.0551724137931</v>
      </c>
      <c r="R1229" s="1021">
        <f t="shared" si="219"/>
        <v>0.244725738396624</v>
      </c>
    </row>
    <row r="1230" spans="1:18">
      <c r="A1230" s="801">
        <v>45877</v>
      </c>
      <c r="B1230" s="670">
        <v>1972.91</v>
      </c>
      <c r="C1230" s="37">
        <v>5033</v>
      </c>
      <c r="D1230" s="37">
        <v>167</v>
      </c>
      <c r="E1230" s="37">
        <v>2</v>
      </c>
      <c r="F1230" s="670">
        <v>19438</v>
      </c>
      <c r="G1230" s="37">
        <v>35</v>
      </c>
      <c r="H1230" s="37">
        <v>2</v>
      </c>
      <c r="I1230" s="37">
        <v>9</v>
      </c>
      <c r="J1230" s="527">
        <f t="shared" si="222"/>
        <v>0.0331810053645937</v>
      </c>
      <c r="K1230" s="687">
        <f t="shared" si="223"/>
        <v>11.8138323353293</v>
      </c>
      <c r="L1230" s="41">
        <f t="shared" si="215"/>
        <v>391.994834094973</v>
      </c>
      <c r="M1230" s="702">
        <f t="shared" si="221"/>
        <v>9.8524514549574</v>
      </c>
      <c r="N1230" s="39">
        <f t="shared" si="216"/>
        <v>0.0119760479041916</v>
      </c>
      <c r="O1230" s="558">
        <f t="shared" si="217"/>
        <v>9719</v>
      </c>
      <c r="P1230" s="559">
        <f t="shared" si="220"/>
        <v>986.455</v>
      </c>
      <c r="Q1230" s="41">
        <f t="shared" si="218"/>
        <v>56.3688571428571</v>
      </c>
      <c r="R1230" s="1021">
        <f t="shared" si="219"/>
        <v>0.209580838323353</v>
      </c>
    </row>
    <row r="1231" spans="1:18">
      <c r="A1231" s="801">
        <v>45878</v>
      </c>
      <c r="B1231" s="670">
        <v>1978.2</v>
      </c>
      <c r="C1231" s="37">
        <v>5063</v>
      </c>
      <c r="D1231" s="37">
        <v>153</v>
      </c>
      <c r="E1231" s="37">
        <v>3</v>
      </c>
      <c r="F1231" s="670">
        <v>38026</v>
      </c>
      <c r="G1231" s="37">
        <v>52</v>
      </c>
      <c r="H1231" s="37">
        <v>5</v>
      </c>
      <c r="I1231" s="37">
        <v>5</v>
      </c>
      <c r="J1231" s="527">
        <f t="shared" si="222"/>
        <v>0.0302192376061624</v>
      </c>
      <c r="K1231" s="687">
        <f t="shared" si="223"/>
        <v>12.9294117647059</v>
      </c>
      <c r="L1231" s="41">
        <f t="shared" si="215"/>
        <v>390.716966225558</v>
      </c>
      <c r="M1231" s="702">
        <f t="shared" si="221"/>
        <v>19.222525528258</v>
      </c>
      <c r="N1231" s="39">
        <f t="shared" si="216"/>
        <v>0.0196078431372549</v>
      </c>
      <c r="O1231" s="558">
        <f t="shared" si="217"/>
        <v>12675.3333333333</v>
      </c>
      <c r="P1231" s="559">
        <f t="shared" si="220"/>
        <v>659.4</v>
      </c>
      <c r="Q1231" s="41">
        <f t="shared" si="218"/>
        <v>38.0423076923077</v>
      </c>
      <c r="R1231" s="1021">
        <f t="shared" si="219"/>
        <v>0.339869281045752</v>
      </c>
    </row>
    <row r="1232" spans="1:18">
      <c r="A1232" s="801">
        <v>45879</v>
      </c>
      <c r="B1232" s="670">
        <v>1978.84</v>
      </c>
      <c r="C1232" s="37">
        <v>4749</v>
      </c>
      <c r="D1232" s="37">
        <v>188</v>
      </c>
      <c r="E1232" s="37">
        <v>2</v>
      </c>
      <c r="F1232" s="670">
        <v>40006</v>
      </c>
      <c r="G1232" s="37">
        <v>59</v>
      </c>
      <c r="H1232" s="37">
        <v>4</v>
      </c>
      <c r="I1232" s="37">
        <v>13</v>
      </c>
      <c r="J1232" s="527">
        <f t="shared" si="222"/>
        <v>0.0395872815329543</v>
      </c>
      <c r="K1232" s="687">
        <f t="shared" si="223"/>
        <v>10.5257446808511</v>
      </c>
      <c r="L1232" s="41">
        <f t="shared" si="215"/>
        <v>416.685618024847</v>
      </c>
      <c r="M1232" s="702">
        <f t="shared" si="221"/>
        <v>20.2168947464171</v>
      </c>
      <c r="N1232" s="39">
        <f t="shared" si="216"/>
        <v>0.0106382978723404</v>
      </c>
      <c r="O1232" s="558">
        <f t="shared" si="217"/>
        <v>20003</v>
      </c>
      <c r="P1232" s="559">
        <f t="shared" si="220"/>
        <v>989.42</v>
      </c>
      <c r="Q1232" s="41">
        <f t="shared" si="218"/>
        <v>33.5396610169492</v>
      </c>
      <c r="R1232" s="1021">
        <f t="shared" si="219"/>
        <v>0.313829787234043</v>
      </c>
    </row>
    <row r="1233" spans="1:18">
      <c r="A1233" s="801">
        <v>45880</v>
      </c>
      <c r="B1233" s="670">
        <v>1977.35</v>
      </c>
      <c r="C1233" s="37">
        <v>4549</v>
      </c>
      <c r="D1233" s="37">
        <v>210</v>
      </c>
      <c r="E1233" s="37">
        <v>4</v>
      </c>
      <c r="F1233" s="670">
        <v>61880</v>
      </c>
      <c r="G1233" s="37">
        <v>58</v>
      </c>
      <c r="H1233" s="37">
        <v>3</v>
      </c>
      <c r="I1233" s="37">
        <v>10</v>
      </c>
      <c r="J1233" s="527">
        <f t="shared" si="222"/>
        <v>0.0461639920861728</v>
      </c>
      <c r="K1233" s="687">
        <f t="shared" si="223"/>
        <v>9.41595238095238</v>
      </c>
      <c r="L1233" s="41">
        <f t="shared" si="215"/>
        <v>434.677951198066</v>
      </c>
      <c r="M1233" s="702">
        <f t="shared" si="221"/>
        <v>31.2944091840089</v>
      </c>
      <c r="N1233" s="39">
        <f t="shared" si="216"/>
        <v>0.019047619047619</v>
      </c>
      <c r="O1233" s="558">
        <f t="shared" si="217"/>
        <v>15470</v>
      </c>
      <c r="P1233" s="559">
        <f t="shared" si="220"/>
        <v>494.3375</v>
      </c>
      <c r="Q1233" s="41">
        <f t="shared" si="218"/>
        <v>34.0922413793103</v>
      </c>
      <c r="R1233" s="1021">
        <f t="shared" si="219"/>
        <v>0.276190476190476</v>
      </c>
    </row>
    <row r="1234" spans="1:18">
      <c r="A1234" s="801">
        <v>45881</v>
      </c>
      <c r="B1234" s="670">
        <v>1960.02</v>
      </c>
      <c r="C1234" s="37">
        <v>4958</v>
      </c>
      <c r="D1234" s="37">
        <v>202</v>
      </c>
      <c r="E1234" s="37">
        <v>4</v>
      </c>
      <c r="F1234" s="670">
        <v>47622</v>
      </c>
      <c r="G1234" s="37">
        <v>57</v>
      </c>
      <c r="H1234" s="37">
        <v>1</v>
      </c>
      <c r="I1234" s="37">
        <v>9</v>
      </c>
      <c r="J1234" s="527">
        <f t="shared" si="222"/>
        <v>0.0407422347720855</v>
      </c>
      <c r="K1234" s="687">
        <f t="shared" si="223"/>
        <v>9.70306930693069</v>
      </c>
      <c r="L1234" s="41">
        <f t="shared" si="215"/>
        <v>395.324727712787</v>
      </c>
      <c r="M1234" s="702">
        <f t="shared" si="221"/>
        <v>24.2966908500934</v>
      </c>
      <c r="N1234" s="39">
        <f t="shared" si="216"/>
        <v>0.0198019801980198</v>
      </c>
      <c r="O1234" s="558">
        <f t="shared" si="217"/>
        <v>11905.5</v>
      </c>
      <c r="P1234" s="559">
        <f t="shared" si="220"/>
        <v>490.005</v>
      </c>
      <c r="Q1234" s="41">
        <f t="shared" si="218"/>
        <v>34.3863157894737</v>
      </c>
      <c r="R1234" s="1021">
        <f t="shared" si="219"/>
        <v>0.282178217821782</v>
      </c>
    </row>
    <row r="1235" spans="1:18">
      <c r="A1235" s="801">
        <v>45882</v>
      </c>
      <c r="B1235" s="670">
        <v>1125.19</v>
      </c>
      <c r="C1235" s="37">
        <v>3155</v>
      </c>
      <c r="D1235" s="37">
        <v>106</v>
      </c>
      <c r="E1235" s="37">
        <v>0</v>
      </c>
      <c r="F1235" s="670">
        <v>0</v>
      </c>
      <c r="G1235" s="37">
        <v>27</v>
      </c>
      <c r="H1235" s="37">
        <v>2</v>
      </c>
      <c r="I1235" s="37">
        <v>3</v>
      </c>
      <c r="J1235" s="527">
        <f t="shared" si="222"/>
        <v>0.0335974643423138</v>
      </c>
      <c r="K1235" s="687">
        <f t="shared" si="223"/>
        <v>10.615</v>
      </c>
      <c r="L1235" s="41">
        <f t="shared" si="215"/>
        <v>356.637083993661</v>
      </c>
      <c r="M1235" s="702">
        <f t="shared" si="221"/>
        <v>0</v>
      </c>
      <c r="N1235" s="39">
        <f t="shared" si="216"/>
        <v>0</v>
      </c>
      <c r="O1235" s="558">
        <f t="shared" si="217"/>
        <v>0</v>
      </c>
      <c r="P1235" s="559">
        <f t="shared" si="220"/>
        <v>0</v>
      </c>
      <c r="Q1235" s="41">
        <f t="shared" si="218"/>
        <v>41.6737037037037</v>
      </c>
      <c r="R1235" s="1021">
        <f t="shared" si="219"/>
        <v>0.254716981132075</v>
      </c>
    </row>
    <row r="1236" spans="1:18">
      <c r="A1236" s="801">
        <v>45883</v>
      </c>
      <c r="B1236" s="670">
        <v>2126.51</v>
      </c>
      <c r="C1236" s="37">
        <v>5423</v>
      </c>
      <c r="D1236" s="37">
        <v>240</v>
      </c>
      <c r="E1236" s="37">
        <v>7</v>
      </c>
      <c r="F1236" s="670">
        <v>47525</v>
      </c>
      <c r="G1236" s="37">
        <v>48</v>
      </c>
      <c r="H1236" s="37">
        <v>4</v>
      </c>
      <c r="I1236" s="37">
        <v>6</v>
      </c>
      <c r="J1236" s="527">
        <f t="shared" si="222"/>
        <v>0.0442559468928637</v>
      </c>
      <c r="K1236" s="687">
        <f t="shared" si="223"/>
        <v>8.86045833333333</v>
      </c>
      <c r="L1236" s="41">
        <f t="shared" si="215"/>
        <v>392.127973446432</v>
      </c>
      <c r="M1236" s="702">
        <f t="shared" si="221"/>
        <v>22.3488250701854</v>
      </c>
      <c r="N1236" s="39">
        <f t="shared" si="216"/>
        <v>0.0291666666666667</v>
      </c>
      <c r="O1236" s="558">
        <f t="shared" si="217"/>
        <v>6789.28571428571</v>
      </c>
      <c r="P1236" s="559">
        <f t="shared" si="220"/>
        <v>303.787142857143</v>
      </c>
      <c r="Q1236" s="41">
        <f t="shared" si="218"/>
        <v>44.3022916666667</v>
      </c>
      <c r="R1236" s="1021">
        <f t="shared" si="219"/>
        <v>0.2</v>
      </c>
    </row>
    <row r="1237" spans="1:18">
      <c r="A1237" s="801">
        <v>45884</v>
      </c>
      <c r="B1237" s="670">
        <v>2688.98</v>
      </c>
      <c r="C1237" s="37">
        <v>7359</v>
      </c>
      <c r="D1237" s="37">
        <v>244</v>
      </c>
      <c r="E1237" s="37">
        <v>1</v>
      </c>
      <c r="F1237" s="670">
        <v>11652</v>
      </c>
      <c r="G1237" s="37">
        <v>59</v>
      </c>
      <c r="H1237" s="37">
        <v>3</v>
      </c>
      <c r="I1237" s="37">
        <v>5</v>
      </c>
      <c r="J1237" s="527">
        <f t="shared" si="222"/>
        <v>0.0331566788965892</v>
      </c>
      <c r="K1237" s="687">
        <f t="shared" si="223"/>
        <v>11.0204098360656</v>
      </c>
      <c r="L1237" s="41">
        <f t="shared" si="215"/>
        <v>365.40019024324</v>
      </c>
      <c r="M1237" s="702">
        <f t="shared" si="221"/>
        <v>4.33324160090443</v>
      </c>
      <c r="N1237" s="39">
        <f t="shared" si="216"/>
        <v>0.00409836065573771</v>
      </c>
      <c r="O1237" s="558">
        <f t="shared" si="217"/>
        <v>11652</v>
      </c>
      <c r="P1237" s="559">
        <f t="shared" si="220"/>
        <v>2688.98</v>
      </c>
      <c r="Q1237" s="41">
        <f t="shared" si="218"/>
        <v>45.5759322033898</v>
      </c>
      <c r="R1237" s="1021">
        <f t="shared" si="219"/>
        <v>0.241803278688525</v>
      </c>
    </row>
    <row r="1238" spans="1:18">
      <c r="A1238" s="801">
        <v>45885</v>
      </c>
      <c r="B1238" s="670">
        <v>2951.99</v>
      </c>
      <c r="C1238" s="37">
        <v>7253</v>
      </c>
      <c r="D1238" s="37">
        <v>336</v>
      </c>
      <c r="E1238" s="37">
        <v>5</v>
      </c>
      <c r="F1238" s="670">
        <v>56362</v>
      </c>
      <c r="G1238" s="37">
        <v>75</v>
      </c>
      <c r="H1238" s="37">
        <v>5</v>
      </c>
      <c r="I1238" s="37">
        <v>16</v>
      </c>
      <c r="J1238" s="527">
        <f t="shared" si="222"/>
        <v>0.0463256583482697</v>
      </c>
      <c r="K1238" s="687">
        <f t="shared" si="223"/>
        <v>8.78568452380952</v>
      </c>
      <c r="L1238" s="41">
        <f t="shared" si="215"/>
        <v>407.00261960568</v>
      </c>
      <c r="M1238" s="702">
        <f t="shared" si="221"/>
        <v>19.0928831059726</v>
      </c>
      <c r="N1238" s="39">
        <f t="shared" si="216"/>
        <v>0.0148809523809524</v>
      </c>
      <c r="O1238" s="558">
        <f t="shared" si="217"/>
        <v>11272.4</v>
      </c>
      <c r="P1238" s="559">
        <f t="shared" si="220"/>
        <v>590.398</v>
      </c>
      <c r="Q1238" s="41">
        <f t="shared" si="218"/>
        <v>39.3598666666667</v>
      </c>
      <c r="R1238" s="1021">
        <f t="shared" si="219"/>
        <v>0.223214285714286</v>
      </c>
    </row>
    <row r="1239" spans="1:18">
      <c r="A1239" s="801">
        <v>45886</v>
      </c>
      <c r="B1239" s="670">
        <v>2964.04</v>
      </c>
      <c r="C1239" s="37">
        <v>7497</v>
      </c>
      <c r="D1239" s="37">
        <v>299</v>
      </c>
      <c r="E1239" s="37">
        <v>3</v>
      </c>
      <c r="F1239" s="670">
        <v>28489</v>
      </c>
      <c r="G1239" s="37">
        <v>76</v>
      </c>
      <c r="H1239" s="37">
        <v>10</v>
      </c>
      <c r="I1239" s="37">
        <v>13</v>
      </c>
      <c r="J1239" s="527">
        <f t="shared" si="222"/>
        <v>0.0398826197145525</v>
      </c>
      <c r="K1239" s="687">
        <f t="shared" si="223"/>
        <v>9.91317725752508</v>
      </c>
      <c r="L1239" s="41">
        <f t="shared" si="215"/>
        <v>395.363478724823</v>
      </c>
      <c r="M1239" s="702">
        <f t="shared" si="221"/>
        <v>9.61154370386365</v>
      </c>
      <c r="N1239" s="39">
        <f t="shared" si="216"/>
        <v>0.0100334448160535</v>
      </c>
      <c r="O1239" s="558">
        <f t="shared" si="217"/>
        <v>9496.33333333333</v>
      </c>
      <c r="P1239" s="559">
        <f t="shared" si="220"/>
        <v>988.013333333333</v>
      </c>
      <c r="Q1239" s="41">
        <f t="shared" si="218"/>
        <v>39.0005263157895</v>
      </c>
      <c r="R1239" s="1021">
        <f t="shared" si="219"/>
        <v>0.254180602006689</v>
      </c>
    </row>
    <row r="1240" spans="1:18">
      <c r="A1240" s="801">
        <v>45887</v>
      </c>
      <c r="B1240" s="670">
        <v>2968.95</v>
      </c>
      <c r="C1240" s="37">
        <v>7865</v>
      </c>
      <c r="D1240" s="37">
        <v>243</v>
      </c>
      <c r="E1240" s="37">
        <v>2</v>
      </c>
      <c r="F1240" s="670">
        <v>12448</v>
      </c>
      <c r="G1240" s="37">
        <v>67</v>
      </c>
      <c r="H1240" s="37">
        <v>7</v>
      </c>
      <c r="I1240" s="37">
        <v>9</v>
      </c>
      <c r="J1240" s="527">
        <f t="shared" si="222"/>
        <v>0.0308963763509218</v>
      </c>
      <c r="K1240" s="687">
        <f t="shared" si="223"/>
        <v>12.2179012345679</v>
      </c>
      <c r="L1240" s="41">
        <f t="shared" si="215"/>
        <v>377.488874761602</v>
      </c>
      <c r="M1240" s="702">
        <f t="shared" si="221"/>
        <v>4.19272806884589</v>
      </c>
      <c r="N1240" s="39">
        <f t="shared" si="216"/>
        <v>0.00823045267489712</v>
      </c>
      <c r="O1240" s="558">
        <f t="shared" si="217"/>
        <v>6224</v>
      </c>
      <c r="P1240" s="559">
        <f t="shared" si="220"/>
        <v>1484.475</v>
      </c>
      <c r="Q1240" s="41">
        <f t="shared" si="218"/>
        <v>44.3126865671642</v>
      </c>
      <c r="R1240" s="1021">
        <f t="shared" si="219"/>
        <v>0.275720164609054</v>
      </c>
    </row>
    <row r="1241" spans="1:18">
      <c r="A1241" s="801">
        <v>45888</v>
      </c>
      <c r="B1241" s="670">
        <v>2945.41</v>
      </c>
      <c r="C1241" s="37">
        <v>7805</v>
      </c>
      <c r="D1241" s="37">
        <v>206</v>
      </c>
      <c r="E1241" s="37">
        <v>3</v>
      </c>
      <c r="F1241" s="670">
        <v>30190</v>
      </c>
      <c r="G1241" s="37">
        <v>53</v>
      </c>
      <c r="H1241" s="37">
        <v>2</v>
      </c>
      <c r="I1241" s="37">
        <v>7</v>
      </c>
      <c r="J1241" s="527">
        <f t="shared" si="222"/>
        <v>0.0263933376040999</v>
      </c>
      <c r="K1241" s="687">
        <f t="shared" si="223"/>
        <v>14.2981067961165</v>
      </c>
      <c r="L1241" s="41">
        <f t="shared" si="215"/>
        <v>377.374759769379</v>
      </c>
      <c r="M1241" s="702">
        <f t="shared" si="221"/>
        <v>10.2498463711334</v>
      </c>
      <c r="N1241" s="39">
        <f t="shared" si="216"/>
        <v>0.0145631067961165</v>
      </c>
      <c r="O1241" s="558">
        <f t="shared" si="217"/>
        <v>10063.3333333333</v>
      </c>
      <c r="P1241" s="559">
        <f t="shared" si="220"/>
        <v>981.803333333333</v>
      </c>
      <c r="Q1241" s="41">
        <f t="shared" si="218"/>
        <v>55.5737735849057</v>
      </c>
      <c r="R1241" s="1021">
        <f t="shared" si="219"/>
        <v>0.257281553398058</v>
      </c>
    </row>
    <row r="1242" spans="1:18">
      <c r="A1242" s="801">
        <v>45889</v>
      </c>
      <c r="B1242" s="670">
        <v>2956.52</v>
      </c>
      <c r="C1242" s="37">
        <v>7935</v>
      </c>
      <c r="D1242" s="37">
        <v>223</v>
      </c>
      <c r="E1242" s="37">
        <v>9</v>
      </c>
      <c r="F1242" s="670">
        <v>93863</v>
      </c>
      <c r="G1242" s="37">
        <v>70</v>
      </c>
      <c r="H1242" s="37">
        <v>7</v>
      </c>
      <c r="I1242" s="37">
        <v>11</v>
      </c>
      <c r="J1242" s="527">
        <f t="shared" si="222"/>
        <v>0.0281033396345306</v>
      </c>
      <c r="K1242" s="687">
        <f t="shared" si="223"/>
        <v>13.2579372197309</v>
      </c>
      <c r="L1242" s="41">
        <f t="shared" si="215"/>
        <v>372.592312539382</v>
      </c>
      <c r="M1242" s="702">
        <f t="shared" si="221"/>
        <v>31.7477980869401</v>
      </c>
      <c r="N1242" s="39">
        <f t="shared" si="216"/>
        <v>0.0403587443946188</v>
      </c>
      <c r="O1242" s="558">
        <f t="shared" si="217"/>
        <v>10429.2222222222</v>
      </c>
      <c r="P1242" s="559">
        <f t="shared" si="220"/>
        <v>328.502222222222</v>
      </c>
      <c r="Q1242" s="41">
        <f t="shared" si="218"/>
        <v>42.236</v>
      </c>
      <c r="R1242" s="1021">
        <f t="shared" si="219"/>
        <v>0.31390134529148</v>
      </c>
    </row>
    <row r="1243" spans="1:18">
      <c r="A1243" s="801">
        <v>45890</v>
      </c>
      <c r="B1243" s="670">
        <v>2966.84</v>
      </c>
      <c r="C1243" s="37">
        <v>7902</v>
      </c>
      <c r="D1243" s="37">
        <v>249</v>
      </c>
      <c r="E1243" s="37">
        <v>1</v>
      </c>
      <c r="F1243" s="670">
        <v>11252</v>
      </c>
      <c r="G1243" s="37">
        <v>57</v>
      </c>
      <c r="H1243" s="37">
        <v>6</v>
      </c>
      <c r="I1243" s="37">
        <v>12</v>
      </c>
      <c r="J1243" s="527">
        <f t="shared" si="222"/>
        <v>0.0315110098709188</v>
      </c>
      <c r="K1243" s="687">
        <f t="shared" si="223"/>
        <v>11.9150200803213</v>
      </c>
      <c r="L1243" s="41">
        <f t="shared" si="215"/>
        <v>375.454315363199</v>
      </c>
      <c r="M1243" s="702">
        <f t="shared" si="221"/>
        <v>3.7925873993879</v>
      </c>
      <c r="N1243" s="39">
        <f t="shared" si="216"/>
        <v>0.00401606425702811</v>
      </c>
      <c r="O1243" s="558">
        <f t="shared" si="217"/>
        <v>11252</v>
      </c>
      <c r="P1243" s="559">
        <f t="shared" si="220"/>
        <v>2966.84</v>
      </c>
      <c r="Q1243" s="41">
        <f t="shared" si="218"/>
        <v>52.0498245614035</v>
      </c>
      <c r="R1243" s="1021">
        <f t="shared" si="219"/>
        <v>0.228915662650602</v>
      </c>
    </row>
    <row r="1244" spans="1:18">
      <c r="A1244" s="801">
        <v>45891</v>
      </c>
      <c r="B1244" s="670">
        <v>2956.97</v>
      </c>
      <c r="C1244" s="37">
        <v>8146</v>
      </c>
      <c r="D1244" s="37">
        <v>239</v>
      </c>
      <c r="E1244" s="37">
        <v>0</v>
      </c>
      <c r="F1244" s="670">
        <v>0</v>
      </c>
      <c r="G1244" s="37">
        <v>60</v>
      </c>
      <c r="H1244" s="37">
        <v>4</v>
      </c>
      <c r="I1244" s="37">
        <v>7</v>
      </c>
      <c r="J1244" s="527">
        <f t="shared" si="222"/>
        <v>0.0293395531549227</v>
      </c>
      <c r="K1244" s="687">
        <f t="shared" si="223"/>
        <v>12.3722594142259</v>
      </c>
      <c r="L1244" s="41">
        <f t="shared" si="215"/>
        <v>362.996562730174</v>
      </c>
      <c r="M1244" s="702">
        <f t="shared" si="221"/>
        <v>0</v>
      </c>
      <c r="N1244" s="39">
        <f t="shared" si="216"/>
        <v>0</v>
      </c>
      <c r="O1244" s="558">
        <f t="shared" si="217"/>
        <v>0</v>
      </c>
      <c r="P1244" s="559">
        <f t="shared" si="220"/>
        <v>0</v>
      </c>
      <c r="Q1244" s="41">
        <f t="shared" si="218"/>
        <v>49.2828333333333</v>
      </c>
      <c r="R1244" s="1021">
        <f t="shared" si="219"/>
        <v>0.251046025104602</v>
      </c>
    </row>
    <row r="1245" spans="1:18">
      <c r="A1245" s="801">
        <v>45892</v>
      </c>
      <c r="B1245" s="670">
        <v>2948.02</v>
      </c>
      <c r="C1245" s="37">
        <v>8027</v>
      </c>
      <c r="D1245" s="37">
        <v>240</v>
      </c>
      <c r="E1245" s="37">
        <v>2</v>
      </c>
      <c r="F1245" s="670">
        <v>29088</v>
      </c>
      <c r="G1245" s="37">
        <v>70</v>
      </c>
      <c r="H1245" s="37">
        <v>10</v>
      </c>
      <c r="I1245" s="37">
        <v>6</v>
      </c>
      <c r="J1245" s="527">
        <f t="shared" si="222"/>
        <v>0.0298990905693285</v>
      </c>
      <c r="K1245" s="687">
        <f t="shared" si="223"/>
        <v>12.2834166666667</v>
      </c>
      <c r="L1245" s="41">
        <f t="shared" si="215"/>
        <v>367.262987417466</v>
      </c>
      <c r="M1245" s="702">
        <f t="shared" si="221"/>
        <v>9.86696155385649</v>
      </c>
      <c r="N1245" s="39">
        <f t="shared" si="216"/>
        <v>0.00833333333333333</v>
      </c>
      <c r="O1245" s="558">
        <f t="shared" si="217"/>
        <v>14544</v>
      </c>
      <c r="P1245" s="559">
        <f t="shared" si="220"/>
        <v>1474.01</v>
      </c>
      <c r="Q1245" s="41">
        <f t="shared" si="218"/>
        <v>42.1145714285714</v>
      </c>
      <c r="R1245" s="1021">
        <f t="shared" si="219"/>
        <v>0.291666666666667</v>
      </c>
    </row>
    <row r="1246" spans="1:18">
      <c r="A1246" s="801">
        <v>45893</v>
      </c>
      <c r="B1246" s="670">
        <v>2959.8</v>
      </c>
      <c r="C1246" s="37">
        <v>7291</v>
      </c>
      <c r="D1246" s="37">
        <v>322</v>
      </c>
      <c r="E1246" s="37">
        <v>1</v>
      </c>
      <c r="F1246" s="670">
        <v>13854</v>
      </c>
      <c r="G1246" s="37">
        <v>53</v>
      </c>
      <c r="H1246" s="37">
        <v>3</v>
      </c>
      <c r="I1246" s="37">
        <v>11</v>
      </c>
      <c r="J1246" s="527">
        <f t="shared" si="222"/>
        <v>0.0441640378548896</v>
      </c>
      <c r="K1246" s="687">
        <f t="shared" si="223"/>
        <v>9.19192546583851</v>
      </c>
      <c r="L1246" s="41">
        <f t="shared" si="215"/>
        <v>405.952544232616</v>
      </c>
      <c r="M1246" s="702">
        <f t="shared" si="221"/>
        <v>4.68072167038313</v>
      </c>
      <c r="N1246" s="39">
        <f t="shared" si="216"/>
        <v>0.0031055900621118</v>
      </c>
      <c r="O1246" s="558">
        <f t="shared" si="217"/>
        <v>13854</v>
      </c>
      <c r="P1246" s="559">
        <f t="shared" si="220"/>
        <v>2959.8</v>
      </c>
      <c r="Q1246" s="41">
        <f t="shared" si="218"/>
        <v>55.8452830188679</v>
      </c>
      <c r="R1246" s="1021">
        <f t="shared" si="219"/>
        <v>0.164596273291925</v>
      </c>
    </row>
    <row r="1247" spans="1:18">
      <c r="A1247" s="801">
        <v>45894</v>
      </c>
      <c r="B1247" s="670">
        <v>2951.74</v>
      </c>
      <c r="C1247" s="37">
        <v>7684</v>
      </c>
      <c r="D1247" s="37">
        <v>260</v>
      </c>
      <c r="E1247" s="37">
        <v>6</v>
      </c>
      <c r="F1247" s="670">
        <v>31030</v>
      </c>
      <c r="G1247" s="37">
        <v>38</v>
      </c>
      <c r="H1247" s="37">
        <v>4</v>
      </c>
      <c r="I1247" s="37">
        <v>6</v>
      </c>
      <c r="J1247" s="527">
        <f t="shared" si="222"/>
        <v>0.0338365434669443</v>
      </c>
      <c r="K1247" s="687">
        <f t="shared" si="223"/>
        <v>11.3528461538462</v>
      </c>
      <c r="L1247" s="41">
        <f t="shared" si="215"/>
        <v>384.141072358147</v>
      </c>
      <c r="M1247" s="702">
        <f t="shared" si="221"/>
        <v>10.512443507897</v>
      </c>
      <c r="N1247" s="39">
        <f t="shared" si="216"/>
        <v>0.0230769230769231</v>
      </c>
      <c r="O1247" s="558">
        <f t="shared" si="217"/>
        <v>5171.66666666667</v>
      </c>
      <c r="P1247" s="559">
        <f t="shared" si="220"/>
        <v>491.956666666667</v>
      </c>
      <c r="Q1247" s="41">
        <f t="shared" si="218"/>
        <v>77.6773684210526</v>
      </c>
      <c r="R1247" s="1021">
        <f t="shared" si="219"/>
        <v>0.146153846153846</v>
      </c>
    </row>
    <row r="1248" spans="1:18">
      <c r="A1248" s="801">
        <v>45895</v>
      </c>
      <c r="B1248" s="670">
        <v>2455.74</v>
      </c>
      <c r="C1248" s="37">
        <v>6176</v>
      </c>
      <c r="D1248" s="37">
        <v>264</v>
      </c>
      <c r="E1248" s="37">
        <v>4</v>
      </c>
      <c r="F1248" s="670">
        <v>57645.9</v>
      </c>
      <c r="G1248" s="37">
        <v>64</v>
      </c>
      <c r="H1248" s="37">
        <v>2</v>
      </c>
      <c r="I1248" s="37">
        <v>11</v>
      </c>
      <c r="J1248" s="527">
        <f t="shared" si="222"/>
        <v>0.0427461139896373</v>
      </c>
      <c r="K1248" s="687">
        <f t="shared" si="223"/>
        <v>9.30204545454545</v>
      </c>
      <c r="L1248" s="41">
        <f t="shared" si="215"/>
        <v>397.626295336788</v>
      </c>
      <c r="M1248" s="702">
        <f t="shared" si="221"/>
        <v>23.4739426812285</v>
      </c>
      <c r="N1248" s="39">
        <f t="shared" si="216"/>
        <v>0.0151515151515152</v>
      </c>
      <c r="O1248" s="558">
        <f t="shared" si="217"/>
        <v>14411.475</v>
      </c>
      <c r="P1248" s="559">
        <f t="shared" si="220"/>
        <v>613.935</v>
      </c>
      <c r="Q1248" s="41">
        <f t="shared" si="218"/>
        <v>38.3709375</v>
      </c>
      <c r="R1248" s="1021">
        <f t="shared" si="219"/>
        <v>0.242424242424242</v>
      </c>
    </row>
    <row r="1249" spans="1:18">
      <c r="A1249" s="801">
        <v>45896</v>
      </c>
      <c r="B1249" s="670">
        <v>2452.95</v>
      </c>
      <c r="C1249" s="37">
        <v>6410</v>
      </c>
      <c r="D1249" s="37">
        <v>203</v>
      </c>
      <c r="E1249" s="37">
        <v>4</v>
      </c>
      <c r="F1249" s="670">
        <v>49316</v>
      </c>
      <c r="G1249" s="37">
        <v>47</v>
      </c>
      <c r="H1249" s="37">
        <v>9</v>
      </c>
      <c r="I1249" s="37">
        <v>7</v>
      </c>
      <c r="J1249" s="527">
        <f t="shared" si="222"/>
        <v>0.0316692667706708</v>
      </c>
      <c r="K1249" s="687">
        <f t="shared" si="223"/>
        <v>12.0834975369458</v>
      </c>
      <c r="L1249" s="41">
        <f t="shared" si="215"/>
        <v>382.675507020281</v>
      </c>
      <c r="M1249" s="702">
        <f t="shared" si="221"/>
        <v>20.1047718053772</v>
      </c>
      <c r="N1249" s="39">
        <f t="shared" si="216"/>
        <v>0.0197044334975369</v>
      </c>
      <c r="O1249" s="558">
        <f t="shared" si="217"/>
        <v>12329</v>
      </c>
      <c r="P1249" s="559">
        <f t="shared" si="220"/>
        <v>613.2375</v>
      </c>
      <c r="Q1249" s="41">
        <f t="shared" si="218"/>
        <v>52.1904255319149</v>
      </c>
      <c r="R1249" s="1021">
        <f t="shared" si="219"/>
        <v>0.231527093596059</v>
      </c>
    </row>
    <row r="1250" spans="1:18">
      <c r="A1250" s="801">
        <v>45897</v>
      </c>
      <c r="B1250" s="670">
        <v>2464.74</v>
      </c>
      <c r="C1250" s="37">
        <v>6452</v>
      </c>
      <c r="D1250" s="37">
        <v>308</v>
      </c>
      <c r="E1250" s="37">
        <v>4</v>
      </c>
      <c r="F1250" s="670">
        <v>29811</v>
      </c>
      <c r="G1250" s="37">
        <v>64</v>
      </c>
      <c r="H1250" s="37">
        <v>7</v>
      </c>
      <c r="I1250" s="37">
        <v>10</v>
      </c>
      <c r="J1250" s="527">
        <f t="shared" si="222"/>
        <v>0.0477371357718537</v>
      </c>
      <c r="K1250" s="687">
        <f t="shared" si="223"/>
        <v>8.0024025974026</v>
      </c>
      <c r="L1250" s="41">
        <f t="shared" si="215"/>
        <v>382.011779293242</v>
      </c>
      <c r="M1250" s="702">
        <f t="shared" si="221"/>
        <v>12.0949877066141</v>
      </c>
      <c r="N1250" s="39">
        <f t="shared" si="216"/>
        <v>0.012987012987013</v>
      </c>
      <c r="O1250" s="558">
        <f t="shared" si="217"/>
        <v>7452.75</v>
      </c>
      <c r="P1250" s="559">
        <f t="shared" si="220"/>
        <v>616.185</v>
      </c>
      <c r="Q1250" s="41">
        <f t="shared" si="218"/>
        <v>38.5115625</v>
      </c>
      <c r="R1250" s="1021">
        <f t="shared" si="219"/>
        <v>0.207792207792208</v>
      </c>
    </row>
    <row r="1251" spans="1:18">
      <c r="A1251" s="801">
        <v>45898</v>
      </c>
      <c r="B1251" s="670">
        <v>2955.06</v>
      </c>
      <c r="C1251" s="37">
        <v>8192</v>
      </c>
      <c r="D1251" s="37">
        <v>215</v>
      </c>
      <c r="E1251" s="37">
        <v>2</v>
      </c>
      <c r="F1251" s="670">
        <v>34574</v>
      </c>
      <c r="G1251" s="37">
        <v>49</v>
      </c>
      <c r="H1251" s="37">
        <v>6</v>
      </c>
      <c r="I1251" s="37">
        <v>8</v>
      </c>
      <c r="J1251" s="527">
        <f t="shared" si="222"/>
        <v>0.0262451171875</v>
      </c>
      <c r="K1251" s="687">
        <f t="shared" si="223"/>
        <v>13.7444651162791</v>
      </c>
      <c r="L1251" s="41">
        <f t="shared" si="215"/>
        <v>360.72509765625</v>
      </c>
      <c r="M1251" s="702">
        <f t="shared" si="221"/>
        <v>11.6999316426739</v>
      </c>
      <c r="N1251" s="39">
        <f t="shared" si="216"/>
        <v>0.00930232558139535</v>
      </c>
      <c r="O1251" s="558">
        <f t="shared" si="217"/>
        <v>17287</v>
      </c>
      <c r="P1251" s="559">
        <f t="shared" si="220"/>
        <v>1477.53</v>
      </c>
      <c r="Q1251" s="41">
        <f t="shared" si="218"/>
        <v>60.3073469387755</v>
      </c>
      <c r="R1251" s="1021">
        <f t="shared" si="219"/>
        <v>0.227906976744186</v>
      </c>
    </row>
    <row r="1252" spans="1:18">
      <c r="A1252" s="801">
        <v>45899</v>
      </c>
      <c r="B1252" s="670">
        <v>2566.63</v>
      </c>
      <c r="C1252" s="37">
        <v>7356</v>
      </c>
      <c r="D1252" s="37">
        <v>190</v>
      </c>
      <c r="E1252" s="37">
        <v>2</v>
      </c>
      <c r="F1252" s="670">
        <v>14563.9</v>
      </c>
      <c r="G1252" s="37">
        <v>43</v>
      </c>
      <c r="H1252" s="37">
        <v>4</v>
      </c>
      <c r="I1252" s="37">
        <v>5</v>
      </c>
      <c r="J1252" s="527">
        <f t="shared" si="222"/>
        <v>0.0258292550299076</v>
      </c>
      <c r="K1252" s="687">
        <f t="shared" si="223"/>
        <v>13.5085789473684</v>
      </c>
      <c r="L1252" s="41">
        <f t="shared" si="215"/>
        <v>348.916530723219</v>
      </c>
      <c r="M1252" s="702">
        <f t="shared" si="221"/>
        <v>5.67432781507268</v>
      </c>
      <c r="N1252" s="39">
        <f t="shared" si="216"/>
        <v>0.0105263157894737</v>
      </c>
      <c r="O1252" s="558">
        <f t="shared" si="217"/>
        <v>7281.95</v>
      </c>
      <c r="P1252" s="559">
        <f t="shared" si="220"/>
        <v>1283.315</v>
      </c>
      <c r="Q1252" s="41">
        <f t="shared" si="218"/>
        <v>59.6890697674419</v>
      </c>
      <c r="R1252" s="1021">
        <f t="shared" si="219"/>
        <v>0.226315789473684</v>
      </c>
    </row>
    <row r="1253" spans="1:18">
      <c r="A1253" s="801">
        <v>45900</v>
      </c>
      <c r="B1253" s="670">
        <v>206.45</v>
      </c>
      <c r="C1253" s="37">
        <v>546</v>
      </c>
      <c r="D1253" s="37">
        <v>20</v>
      </c>
      <c r="E1253" s="37">
        <v>0</v>
      </c>
      <c r="F1253" s="670">
        <v>0</v>
      </c>
      <c r="G1253" s="37">
        <v>2</v>
      </c>
      <c r="H1253" s="37">
        <v>0</v>
      </c>
      <c r="I1253" s="37">
        <v>0</v>
      </c>
      <c r="J1253" s="527">
        <f t="shared" si="222"/>
        <v>0.0366300366300366</v>
      </c>
      <c r="K1253" s="687">
        <f t="shared" si="223"/>
        <v>10.3225</v>
      </c>
      <c r="L1253" s="41">
        <f t="shared" si="215"/>
        <v>378.113553113553</v>
      </c>
      <c r="M1253" s="702">
        <f t="shared" si="221"/>
        <v>0</v>
      </c>
      <c r="N1253" s="39">
        <f t="shared" si="216"/>
        <v>0</v>
      </c>
      <c r="O1253" s="558">
        <f t="shared" si="217"/>
        <v>0</v>
      </c>
      <c r="P1253" s="559">
        <f t="shared" si="220"/>
        <v>0</v>
      </c>
      <c r="Q1253" s="41">
        <f t="shared" si="218"/>
        <v>103.225</v>
      </c>
      <c r="R1253" s="1021">
        <f t="shared" si="219"/>
        <v>0.1</v>
      </c>
    </row>
    <row r="1254" spans="1:18">
      <c r="A1254" s="801">
        <v>45901</v>
      </c>
      <c r="B1254" s="670">
        <v>2953.65</v>
      </c>
      <c r="C1254" s="37">
        <v>8158</v>
      </c>
      <c r="D1254" s="37">
        <v>253</v>
      </c>
      <c r="E1254" s="37">
        <v>6</v>
      </c>
      <c r="F1254" s="670">
        <v>50993</v>
      </c>
      <c r="G1254" s="37">
        <v>48</v>
      </c>
      <c r="H1254" s="37">
        <v>4</v>
      </c>
      <c r="I1254" s="37">
        <v>9</v>
      </c>
      <c r="J1254" s="527">
        <f t="shared" si="222"/>
        <v>0.0310125030644766</v>
      </c>
      <c r="K1254" s="687">
        <f t="shared" si="223"/>
        <v>11.6745059288538</v>
      </c>
      <c r="L1254" s="41">
        <f t="shared" si="215"/>
        <v>362.055650894827</v>
      </c>
      <c r="M1254" s="702">
        <f t="shared" si="221"/>
        <v>17.2644016725069</v>
      </c>
      <c r="N1254" s="39">
        <f t="shared" si="216"/>
        <v>0.0237154150197628</v>
      </c>
      <c r="O1254" s="558">
        <f t="shared" si="217"/>
        <v>8498.83333333333</v>
      </c>
      <c r="P1254" s="559">
        <f t="shared" si="220"/>
        <v>492.275</v>
      </c>
      <c r="Q1254" s="41">
        <f t="shared" si="218"/>
        <v>61.534375</v>
      </c>
      <c r="R1254" s="1021">
        <f t="shared" si="219"/>
        <v>0.189723320158103</v>
      </c>
    </row>
    <row r="1255" spans="1:18">
      <c r="A1255" s="801">
        <v>45902</v>
      </c>
      <c r="B1255" s="670">
        <v>2960.91</v>
      </c>
      <c r="C1255" s="37">
        <v>7773</v>
      </c>
      <c r="D1255" s="37">
        <v>303</v>
      </c>
      <c r="E1255" s="37">
        <v>5</v>
      </c>
      <c r="F1255" s="670">
        <v>97561</v>
      </c>
      <c r="G1255" s="37">
        <v>86</v>
      </c>
      <c r="H1255" s="37">
        <v>10</v>
      </c>
      <c r="I1255" s="37">
        <v>7</v>
      </c>
      <c r="J1255" s="527">
        <f t="shared" si="222"/>
        <v>0.0389810883828638</v>
      </c>
      <c r="K1255" s="687">
        <f t="shared" si="223"/>
        <v>9.7719801980198</v>
      </c>
      <c r="L1255" s="41">
        <f t="shared" si="215"/>
        <v>380.922423774604</v>
      </c>
      <c r="M1255" s="702">
        <f t="shared" si="221"/>
        <v>32.9496675008697</v>
      </c>
      <c r="N1255" s="39">
        <f t="shared" si="216"/>
        <v>0.0165016501650165</v>
      </c>
      <c r="O1255" s="558">
        <f t="shared" si="217"/>
        <v>19512.2</v>
      </c>
      <c r="P1255" s="559">
        <f t="shared" si="220"/>
        <v>592.182</v>
      </c>
      <c r="Q1255" s="41">
        <f t="shared" si="218"/>
        <v>34.4291860465116</v>
      </c>
      <c r="R1255" s="1021">
        <f t="shared" si="219"/>
        <v>0.283828382838284</v>
      </c>
    </row>
    <row r="1256" spans="1:18">
      <c r="A1256" s="801">
        <v>45903</v>
      </c>
      <c r="B1256" s="670">
        <v>2955.21</v>
      </c>
      <c r="C1256" s="37">
        <v>8303</v>
      </c>
      <c r="D1256" s="37">
        <v>277</v>
      </c>
      <c r="E1256" s="37">
        <v>3</v>
      </c>
      <c r="F1256" s="670">
        <v>42682</v>
      </c>
      <c r="G1256" s="37">
        <v>60</v>
      </c>
      <c r="H1256" s="37">
        <v>9</v>
      </c>
      <c r="I1256" s="37">
        <v>9</v>
      </c>
      <c r="J1256" s="527">
        <f t="shared" si="222"/>
        <v>0.0333614356256775</v>
      </c>
      <c r="K1256" s="687">
        <f t="shared" si="223"/>
        <v>10.6686281588448</v>
      </c>
      <c r="L1256" s="41">
        <f t="shared" si="215"/>
        <v>355.92075153559</v>
      </c>
      <c r="M1256" s="702">
        <f t="shared" si="221"/>
        <v>14.4429668280765</v>
      </c>
      <c r="N1256" s="39">
        <f t="shared" si="216"/>
        <v>0.0108303249097473</v>
      </c>
      <c r="O1256" s="558">
        <f t="shared" si="217"/>
        <v>14227.3333333333</v>
      </c>
      <c r="P1256" s="559">
        <f t="shared" si="220"/>
        <v>985.07</v>
      </c>
      <c r="Q1256" s="41">
        <f t="shared" si="218"/>
        <v>49.2535</v>
      </c>
      <c r="R1256" s="1021">
        <f t="shared" si="219"/>
        <v>0.216606498194946</v>
      </c>
    </row>
    <row r="1257" spans="1:18">
      <c r="A1257" s="801">
        <v>45904</v>
      </c>
      <c r="B1257" s="670">
        <v>1976.98</v>
      </c>
      <c r="C1257" s="37">
        <v>5498</v>
      </c>
      <c r="D1257" s="37">
        <v>188</v>
      </c>
      <c r="E1257" s="37">
        <v>8</v>
      </c>
      <c r="F1257" s="670">
        <v>56783</v>
      </c>
      <c r="G1257" s="37">
        <v>34</v>
      </c>
      <c r="H1257" s="37">
        <v>3</v>
      </c>
      <c r="I1257" s="37">
        <v>4</v>
      </c>
      <c r="J1257" s="527">
        <f t="shared" si="222"/>
        <v>0.0341942524554383</v>
      </c>
      <c r="K1257" s="687">
        <f t="shared" si="223"/>
        <v>10.5158510638298</v>
      </c>
      <c r="L1257" s="41">
        <f t="shared" si="215"/>
        <v>359.581666060386</v>
      </c>
      <c r="M1257" s="702">
        <f t="shared" si="221"/>
        <v>28.7220912705237</v>
      </c>
      <c r="N1257" s="39">
        <f t="shared" si="216"/>
        <v>0.0425531914893617</v>
      </c>
      <c r="O1257" s="558">
        <f t="shared" si="217"/>
        <v>7097.875</v>
      </c>
      <c r="P1257" s="559">
        <f t="shared" si="220"/>
        <v>247.1225</v>
      </c>
      <c r="Q1257" s="41">
        <f t="shared" si="218"/>
        <v>58.1464705882353</v>
      </c>
      <c r="R1257" s="1021">
        <f t="shared" si="219"/>
        <v>0.180851063829787</v>
      </c>
    </row>
    <row r="1258" spans="1:18">
      <c r="A1258" s="801">
        <v>45905</v>
      </c>
      <c r="B1258" s="670">
        <v>1989.18</v>
      </c>
      <c r="C1258" s="37">
        <v>5642</v>
      </c>
      <c r="D1258" s="37">
        <v>161</v>
      </c>
      <c r="E1258" s="37">
        <v>1</v>
      </c>
      <c r="F1258" s="670">
        <v>1</v>
      </c>
      <c r="G1258" s="37">
        <v>23</v>
      </c>
      <c r="H1258" s="37">
        <v>7</v>
      </c>
      <c r="I1258" s="37">
        <v>8</v>
      </c>
      <c r="J1258" s="527">
        <f t="shared" si="222"/>
        <v>0.0285359801488834</v>
      </c>
      <c r="K1258" s="687">
        <f t="shared" si="223"/>
        <v>12.3551552795031</v>
      </c>
      <c r="L1258" s="41">
        <f t="shared" si="215"/>
        <v>352.566465792272</v>
      </c>
      <c r="M1258" s="702">
        <f t="shared" si="221"/>
        <v>0.000502719713650851</v>
      </c>
      <c r="N1258" s="39">
        <f t="shared" si="216"/>
        <v>0.0062111801242236</v>
      </c>
      <c r="O1258" s="558">
        <f t="shared" si="217"/>
        <v>1</v>
      </c>
      <c r="P1258" s="559">
        <f t="shared" si="220"/>
        <v>1989.18</v>
      </c>
      <c r="Q1258" s="41">
        <f t="shared" si="218"/>
        <v>86.4860869565217</v>
      </c>
      <c r="R1258" s="1021">
        <f t="shared" si="219"/>
        <v>0.142857142857143</v>
      </c>
    </row>
    <row r="1259" spans="1:18">
      <c r="A1259" s="801">
        <v>45906</v>
      </c>
      <c r="B1259" s="670">
        <v>2993.91</v>
      </c>
      <c r="C1259" s="37">
        <v>8819</v>
      </c>
      <c r="D1259" s="37">
        <v>240</v>
      </c>
      <c r="E1259" s="37">
        <v>5</v>
      </c>
      <c r="F1259" s="670">
        <v>89316</v>
      </c>
      <c r="G1259" s="37">
        <v>41</v>
      </c>
      <c r="H1259" s="37">
        <v>4</v>
      </c>
      <c r="I1259" s="37">
        <v>3</v>
      </c>
      <c r="J1259" s="527">
        <f t="shared" si="222"/>
        <v>0.0272139698378501</v>
      </c>
      <c r="K1259" s="687">
        <f t="shared" si="223"/>
        <v>12.474625</v>
      </c>
      <c r="L1259" s="41">
        <f t="shared" si="215"/>
        <v>339.484068488491</v>
      </c>
      <c r="M1259" s="702">
        <f t="shared" si="221"/>
        <v>29.8325600969969</v>
      </c>
      <c r="N1259" s="39">
        <f t="shared" si="216"/>
        <v>0.0208333333333333</v>
      </c>
      <c r="O1259" s="558">
        <f t="shared" si="217"/>
        <v>17863.2</v>
      </c>
      <c r="P1259" s="559">
        <f t="shared" si="220"/>
        <v>598.782</v>
      </c>
      <c r="Q1259" s="41">
        <f t="shared" si="218"/>
        <v>73.0221951219512</v>
      </c>
      <c r="R1259" s="1021">
        <f t="shared" si="219"/>
        <v>0.170833333333333</v>
      </c>
    </row>
    <row r="1260" spans="1:18">
      <c r="A1260" s="801">
        <v>45907</v>
      </c>
      <c r="B1260" s="670">
        <v>2998.51</v>
      </c>
      <c r="C1260" s="37">
        <v>8542</v>
      </c>
      <c r="D1260" s="37">
        <v>225</v>
      </c>
      <c r="E1260" s="37">
        <v>2</v>
      </c>
      <c r="F1260" s="670">
        <v>35490</v>
      </c>
      <c r="G1260" s="37">
        <v>48</v>
      </c>
      <c r="H1260" s="37">
        <v>4</v>
      </c>
      <c r="I1260" s="37">
        <v>9</v>
      </c>
      <c r="J1260" s="527">
        <f t="shared" si="222"/>
        <v>0.0263404354952002</v>
      </c>
      <c r="K1260" s="687">
        <f t="shared" si="223"/>
        <v>13.3267111111111</v>
      </c>
      <c r="L1260" s="41">
        <f t="shared" si="215"/>
        <v>351.03137438539</v>
      </c>
      <c r="M1260" s="702">
        <f t="shared" si="221"/>
        <v>11.8358784863149</v>
      </c>
      <c r="N1260" s="39">
        <f t="shared" si="216"/>
        <v>0.00888888888888889</v>
      </c>
      <c r="O1260" s="558">
        <f t="shared" si="217"/>
        <v>17745</v>
      </c>
      <c r="P1260" s="559">
        <f t="shared" si="220"/>
        <v>1499.255</v>
      </c>
      <c r="Q1260" s="41">
        <f t="shared" si="218"/>
        <v>62.4689583333333</v>
      </c>
      <c r="R1260" s="1021">
        <f t="shared" si="219"/>
        <v>0.213333333333333</v>
      </c>
    </row>
    <row r="1261" spans="1:18">
      <c r="A1261" s="801">
        <v>45908</v>
      </c>
      <c r="B1261" s="670">
        <v>2983.91</v>
      </c>
      <c r="C1261" s="37">
        <v>8381</v>
      </c>
      <c r="D1261" s="37">
        <v>269</v>
      </c>
      <c r="E1261" s="37">
        <v>3</v>
      </c>
      <c r="F1261" s="670">
        <v>20624</v>
      </c>
      <c r="G1261" s="37">
        <v>49</v>
      </c>
      <c r="H1261" s="37">
        <v>5</v>
      </c>
      <c r="I1261" s="37">
        <v>6</v>
      </c>
      <c r="J1261" s="527">
        <f t="shared" si="222"/>
        <v>0.0320964085431333</v>
      </c>
      <c r="K1261" s="687">
        <f t="shared" si="223"/>
        <v>11.0926022304833</v>
      </c>
      <c r="L1261" s="41">
        <f t="shared" si="215"/>
        <v>356.032692996063</v>
      </c>
      <c r="M1261" s="702">
        <f t="shared" si="221"/>
        <v>6.91173661403997</v>
      </c>
      <c r="N1261" s="39">
        <f t="shared" si="216"/>
        <v>0.0111524163568773</v>
      </c>
      <c r="O1261" s="558">
        <f t="shared" si="217"/>
        <v>6874.66666666667</v>
      </c>
      <c r="P1261" s="559">
        <f t="shared" si="220"/>
        <v>994.636666666667</v>
      </c>
      <c r="Q1261" s="41">
        <f t="shared" si="218"/>
        <v>60.8961224489796</v>
      </c>
      <c r="R1261" s="1021">
        <f t="shared" si="219"/>
        <v>0.182156133828996</v>
      </c>
    </row>
    <row r="1262" spans="1:18">
      <c r="A1262" s="801">
        <v>45909</v>
      </c>
      <c r="B1262" s="670">
        <v>1998.63</v>
      </c>
      <c r="C1262" s="37">
        <v>5471</v>
      </c>
      <c r="D1262" s="37">
        <v>222</v>
      </c>
      <c r="E1262" s="37">
        <v>0</v>
      </c>
      <c r="F1262" s="670">
        <v>0</v>
      </c>
      <c r="G1262" s="37">
        <v>31</v>
      </c>
      <c r="H1262" s="37">
        <v>4</v>
      </c>
      <c r="I1262" s="37">
        <v>6</v>
      </c>
      <c r="J1262" s="527">
        <f t="shared" si="222"/>
        <v>0.0405775909340157</v>
      </c>
      <c r="K1262" s="687">
        <f t="shared" si="223"/>
        <v>9.00283783783784</v>
      </c>
      <c r="L1262" s="41">
        <f t="shared" si="215"/>
        <v>365.313471029062</v>
      </c>
      <c r="M1262" s="702">
        <f t="shared" si="221"/>
        <v>0</v>
      </c>
      <c r="N1262" s="39">
        <f t="shared" si="216"/>
        <v>0</v>
      </c>
      <c r="O1262" s="558">
        <f t="shared" si="217"/>
        <v>0</v>
      </c>
      <c r="P1262" s="559">
        <f t="shared" si="220"/>
        <v>0</v>
      </c>
      <c r="Q1262" s="41">
        <f t="shared" si="218"/>
        <v>64.471935483871</v>
      </c>
      <c r="R1262" s="1021">
        <f t="shared" si="219"/>
        <v>0.13963963963964</v>
      </c>
    </row>
    <row r="1263" spans="1:18">
      <c r="A1263" s="801">
        <v>45910</v>
      </c>
      <c r="B1263" s="670">
        <v>2994.35</v>
      </c>
      <c r="C1263" s="37">
        <v>9029</v>
      </c>
      <c r="D1263" s="37">
        <v>299</v>
      </c>
      <c r="E1263" s="37">
        <v>14</v>
      </c>
      <c r="F1263" s="670">
        <v>179603</v>
      </c>
      <c r="G1263" s="37">
        <v>68</v>
      </c>
      <c r="H1263" s="37">
        <v>1</v>
      </c>
      <c r="I1263" s="37">
        <v>16</v>
      </c>
      <c r="J1263" s="527">
        <f t="shared" si="222"/>
        <v>0.0331155166685126</v>
      </c>
      <c r="K1263" s="687">
        <f t="shared" si="223"/>
        <v>10.0145484949833</v>
      </c>
      <c r="L1263" s="41">
        <f t="shared" si="215"/>
        <v>331.636947613246</v>
      </c>
      <c r="M1263" s="702">
        <f t="shared" si="221"/>
        <v>59.9806301868519</v>
      </c>
      <c r="N1263" s="39">
        <f t="shared" si="216"/>
        <v>0.0468227424749164</v>
      </c>
      <c r="O1263" s="558">
        <f t="shared" si="217"/>
        <v>12828.7857142857</v>
      </c>
      <c r="P1263" s="559">
        <f t="shared" si="220"/>
        <v>213.882142857143</v>
      </c>
      <c r="Q1263" s="41">
        <f t="shared" si="218"/>
        <v>44.0345588235294</v>
      </c>
      <c r="R1263" s="1021">
        <f t="shared" si="219"/>
        <v>0.22742474916388</v>
      </c>
    </row>
    <row r="1264" spans="1:18">
      <c r="A1264" s="801">
        <v>45911</v>
      </c>
      <c r="B1264" s="670">
        <v>1499.31</v>
      </c>
      <c r="C1264" s="37">
        <v>4721</v>
      </c>
      <c r="D1264" s="37">
        <v>97</v>
      </c>
      <c r="E1264" s="37">
        <v>2</v>
      </c>
      <c r="F1264" s="670">
        <v>12247</v>
      </c>
      <c r="G1264" s="37">
        <v>20</v>
      </c>
      <c r="H1264" s="37">
        <v>1</v>
      </c>
      <c r="I1264" s="37">
        <v>5</v>
      </c>
      <c r="J1264" s="527">
        <f t="shared" si="222"/>
        <v>0.0205464943867825</v>
      </c>
      <c r="K1264" s="687">
        <f t="shared" si="223"/>
        <v>15.4568041237113</v>
      </c>
      <c r="L1264" s="41">
        <f t="shared" si="215"/>
        <v>317.583139165431</v>
      </c>
      <c r="M1264" s="702">
        <f t="shared" si="221"/>
        <v>8.16842414177188</v>
      </c>
      <c r="N1264" s="39">
        <f t="shared" si="216"/>
        <v>0.0206185567010309</v>
      </c>
      <c r="O1264" s="558">
        <f t="shared" si="217"/>
        <v>6123.5</v>
      </c>
      <c r="P1264" s="559">
        <f t="shared" si="220"/>
        <v>749.655</v>
      </c>
      <c r="Q1264" s="41">
        <f t="shared" si="218"/>
        <v>74.9655</v>
      </c>
      <c r="R1264" s="1021">
        <f t="shared" si="219"/>
        <v>0.206185567010309</v>
      </c>
    </row>
    <row r="1265" spans="1:18">
      <c r="A1265" s="801">
        <v>45912</v>
      </c>
      <c r="B1265" s="670">
        <v>1498.92</v>
      </c>
      <c r="C1265" s="37">
        <v>4856</v>
      </c>
      <c r="D1265" s="37">
        <v>97</v>
      </c>
      <c r="E1265" s="37">
        <v>1</v>
      </c>
      <c r="F1265" s="670">
        <v>1</v>
      </c>
      <c r="G1265" s="37">
        <v>20</v>
      </c>
      <c r="H1265" s="37">
        <v>1</v>
      </c>
      <c r="I1265" s="37">
        <v>5</v>
      </c>
      <c r="J1265" s="527">
        <f t="shared" si="222"/>
        <v>0.0199752883031301</v>
      </c>
      <c r="K1265" s="687">
        <f t="shared" si="223"/>
        <v>15.4527835051546</v>
      </c>
      <c r="L1265" s="41">
        <f t="shared" ref="L1265:L1328" si="224">B1265/C1265*1000</f>
        <v>308.673805601318</v>
      </c>
      <c r="M1265" s="702">
        <f t="shared" si="221"/>
        <v>0.000667147012515678</v>
      </c>
      <c r="N1265" s="39">
        <f t="shared" ref="N1265:N1328" si="225">E1265/D1265</f>
        <v>0.0103092783505155</v>
      </c>
      <c r="O1265" s="558">
        <f t="shared" ref="O1265:O1328" si="226">IF(E1265=0,0,F1265/E1265)</f>
        <v>1</v>
      </c>
      <c r="P1265" s="559">
        <f t="shared" si="220"/>
        <v>1498.92</v>
      </c>
      <c r="Q1265" s="41">
        <f t="shared" ref="Q1265:Q1328" si="227">B1265/G1265</f>
        <v>74.946</v>
      </c>
      <c r="R1265" s="1021">
        <f t="shared" ref="R1265:R1328" si="228">G1265/D1265</f>
        <v>0.206185567010309</v>
      </c>
    </row>
    <row r="1266" spans="1:18">
      <c r="A1266" s="801">
        <v>45913</v>
      </c>
      <c r="B1266" s="670">
        <v>1499.18</v>
      </c>
      <c r="C1266" s="37">
        <v>5003</v>
      </c>
      <c r="D1266" s="37">
        <v>79</v>
      </c>
      <c r="E1266" s="37">
        <v>1</v>
      </c>
      <c r="F1266" s="670">
        <v>11434</v>
      </c>
      <c r="G1266" s="37">
        <v>17</v>
      </c>
      <c r="H1266" s="37">
        <v>2</v>
      </c>
      <c r="I1266" s="37">
        <v>3</v>
      </c>
      <c r="J1266" s="527">
        <f t="shared" si="222"/>
        <v>0.0157905256845892</v>
      </c>
      <c r="K1266" s="687">
        <f t="shared" si="223"/>
        <v>18.9769620253165</v>
      </c>
      <c r="L1266" s="41">
        <f t="shared" si="224"/>
        <v>299.656206276234</v>
      </c>
      <c r="M1266" s="702">
        <f t="shared" si="221"/>
        <v>7.62683600368201</v>
      </c>
      <c r="N1266" s="39">
        <f t="shared" si="225"/>
        <v>0.0126582278481013</v>
      </c>
      <c r="O1266" s="558">
        <f t="shared" si="226"/>
        <v>11434</v>
      </c>
      <c r="P1266" s="559">
        <f t="shared" si="220"/>
        <v>1499.18</v>
      </c>
      <c r="Q1266" s="41">
        <f t="shared" si="227"/>
        <v>88.1870588235294</v>
      </c>
      <c r="R1266" s="1021">
        <f t="shared" si="228"/>
        <v>0.215189873417722</v>
      </c>
    </row>
    <row r="1267" spans="1:18">
      <c r="A1267" s="801">
        <v>45914</v>
      </c>
      <c r="B1267" s="670">
        <v>1499.31</v>
      </c>
      <c r="C1267" s="37">
        <v>4969</v>
      </c>
      <c r="D1267" s="37">
        <v>96</v>
      </c>
      <c r="E1267" s="37">
        <v>0</v>
      </c>
      <c r="F1267" s="670">
        <v>0</v>
      </c>
      <c r="G1267" s="37">
        <v>19</v>
      </c>
      <c r="H1267" s="37">
        <v>3</v>
      </c>
      <c r="I1267" s="37">
        <v>2</v>
      </c>
      <c r="J1267" s="527">
        <f t="shared" si="222"/>
        <v>0.0193197826524452</v>
      </c>
      <c r="K1267" s="687">
        <f t="shared" si="223"/>
        <v>15.6178125</v>
      </c>
      <c r="L1267" s="41">
        <f t="shared" si="224"/>
        <v>301.732743006641</v>
      </c>
      <c r="M1267" s="702">
        <f t="shared" si="221"/>
        <v>0</v>
      </c>
      <c r="N1267" s="39">
        <f t="shared" si="225"/>
        <v>0</v>
      </c>
      <c r="O1267" s="558">
        <f t="shared" si="226"/>
        <v>0</v>
      </c>
      <c r="P1267" s="559">
        <f t="shared" si="220"/>
        <v>0</v>
      </c>
      <c r="Q1267" s="41">
        <f t="shared" si="227"/>
        <v>78.9110526315789</v>
      </c>
      <c r="R1267" s="1021">
        <f t="shared" si="228"/>
        <v>0.197916666666667</v>
      </c>
    </row>
    <row r="1268" spans="1:18">
      <c r="A1268" s="801">
        <v>45915</v>
      </c>
      <c r="B1268" s="670">
        <v>1498.99</v>
      </c>
      <c r="C1268" s="37">
        <v>4691</v>
      </c>
      <c r="D1268" s="37">
        <v>96</v>
      </c>
      <c r="E1268" s="37">
        <v>3</v>
      </c>
      <c r="F1268" s="670">
        <v>16730</v>
      </c>
      <c r="G1268" s="37">
        <v>7</v>
      </c>
      <c r="H1268" s="37">
        <v>2</v>
      </c>
      <c r="I1268" s="37">
        <v>3</v>
      </c>
      <c r="J1268" s="527">
        <f t="shared" si="222"/>
        <v>0.0204647196759753</v>
      </c>
      <c r="K1268" s="687">
        <f t="shared" si="223"/>
        <v>15.6144791666667</v>
      </c>
      <c r="L1268" s="41">
        <f t="shared" si="224"/>
        <v>319.545939032189</v>
      </c>
      <c r="M1268" s="702">
        <f t="shared" si="221"/>
        <v>11.160848304525</v>
      </c>
      <c r="N1268" s="39">
        <f t="shared" si="225"/>
        <v>0.03125</v>
      </c>
      <c r="O1268" s="558">
        <f t="shared" si="226"/>
        <v>5576.66666666667</v>
      </c>
      <c r="P1268" s="559">
        <f t="shared" ref="P1268:P1331" si="229">IF(E1268=0,0,B1268/E1268)</f>
        <v>499.663333333333</v>
      </c>
      <c r="Q1268" s="41">
        <f t="shared" si="227"/>
        <v>214.141428571429</v>
      </c>
      <c r="R1268" s="1021">
        <f t="shared" si="228"/>
        <v>0.0729166666666667</v>
      </c>
    </row>
    <row r="1269" spans="1:18">
      <c r="A1269" s="801">
        <v>45916</v>
      </c>
      <c r="B1269" s="670">
        <v>1499.13</v>
      </c>
      <c r="C1269" s="37">
        <v>4811</v>
      </c>
      <c r="D1269" s="37">
        <v>122</v>
      </c>
      <c r="E1269" s="37">
        <v>1</v>
      </c>
      <c r="F1269" s="670">
        <v>26880</v>
      </c>
      <c r="G1269" s="37">
        <v>25</v>
      </c>
      <c r="H1269" s="37">
        <v>1</v>
      </c>
      <c r="I1269" s="37">
        <v>2</v>
      </c>
      <c r="J1269" s="527">
        <f t="shared" si="222"/>
        <v>0.0253585533153191</v>
      </c>
      <c r="K1269" s="687">
        <f t="shared" si="223"/>
        <v>12.2879508196721</v>
      </c>
      <c r="L1269" s="41">
        <f t="shared" si="224"/>
        <v>311.604655996674</v>
      </c>
      <c r="M1269" s="702">
        <f t="shared" ref="M1269:M1332" si="230">F1269/B1269</f>
        <v>17.9303996317864</v>
      </c>
      <c r="N1269" s="39">
        <f t="shared" si="225"/>
        <v>0.00819672131147541</v>
      </c>
      <c r="O1269" s="558">
        <f t="shared" si="226"/>
        <v>26880</v>
      </c>
      <c r="P1269" s="559">
        <f t="shared" si="229"/>
        <v>1499.13</v>
      </c>
      <c r="Q1269" s="41">
        <f t="shared" si="227"/>
        <v>59.9652</v>
      </c>
      <c r="R1269" s="1021">
        <f t="shared" si="228"/>
        <v>0.204918032786885</v>
      </c>
    </row>
    <row r="1270" spans="1:18">
      <c r="A1270" s="801">
        <v>45917</v>
      </c>
      <c r="B1270" s="670">
        <v>1405.38</v>
      </c>
      <c r="C1270" s="37">
        <v>4239</v>
      </c>
      <c r="D1270" s="37">
        <v>122</v>
      </c>
      <c r="E1270" s="37">
        <v>3</v>
      </c>
      <c r="F1270" s="670">
        <v>22205</v>
      </c>
      <c r="G1270" s="37">
        <v>26</v>
      </c>
      <c r="H1270" s="37">
        <v>3</v>
      </c>
      <c r="I1270" s="37">
        <v>4</v>
      </c>
      <c r="J1270" s="527">
        <f t="shared" si="222"/>
        <v>0.0287803727294173</v>
      </c>
      <c r="K1270" s="687">
        <f t="shared" si="223"/>
        <v>11.5195081967213</v>
      </c>
      <c r="L1270" s="41">
        <f t="shared" si="224"/>
        <v>331.535739561217</v>
      </c>
      <c r="M1270" s="702">
        <f t="shared" si="230"/>
        <v>15.7999971537947</v>
      </c>
      <c r="N1270" s="39">
        <f t="shared" si="225"/>
        <v>0.0245901639344262</v>
      </c>
      <c r="O1270" s="558">
        <f t="shared" si="226"/>
        <v>7401.66666666667</v>
      </c>
      <c r="P1270" s="559">
        <f t="shared" si="229"/>
        <v>468.46</v>
      </c>
      <c r="Q1270" s="41">
        <f t="shared" si="227"/>
        <v>54.0530769230769</v>
      </c>
      <c r="R1270" s="1021">
        <f t="shared" si="228"/>
        <v>0.213114754098361</v>
      </c>
    </row>
    <row r="1271" spans="1:18">
      <c r="A1271" s="801">
        <v>45918</v>
      </c>
      <c r="B1271" s="670">
        <v>1345.16</v>
      </c>
      <c r="C1271" s="37">
        <v>3990</v>
      </c>
      <c r="D1271" s="37">
        <v>112</v>
      </c>
      <c r="E1271" s="37">
        <v>0</v>
      </c>
      <c r="F1271" s="670">
        <v>0</v>
      </c>
      <c r="G1271" s="37">
        <v>22</v>
      </c>
      <c r="H1271" s="37">
        <v>5</v>
      </c>
      <c r="I1271" s="37">
        <v>3</v>
      </c>
      <c r="J1271" s="527">
        <f t="shared" si="222"/>
        <v>0.0280701754385965</v>
      </c>
      <c r="K1271" s="687">
        <f t="shared" si="223"/>
        <v>12.0103571428571</v>
      </c>
      <c r="L1271" s="41">
        <f t="shared" si="224"/>
        <v>337.132832080201</v>
      </c>
      <c r="M1271" s="702">
        <f t="shared" si="230"/>
        <v>0</v>
      </c>
      <c r="N1271" s="39">
        <f t="shared" si="225"/>
        <v>0</v>
      </c>
      <c r="O1271" s="558">
        <f t="shared" si="226"/>
        <v>0</v>
      </c>
      <c r="P1271" s="559">
        <f t="shared" si="229"/>
        <v>0</v>
      </c>
      <c r="Q1271" s="41">
        <f t="shared" si="227"/>
        <v>61.1436363636364</v>
      </c>
      <c r="R1271" s="1021">
        <f t="shared" si="228"/>
        <v>0.196428571428571</v>
      </c>
    </row>
    <row r="1272" spans="1:18">
      <c r="A1272" s="801">
        <v>45919</v>
      </c>
      <c r="B1272" s="670">
        <v>1307.29</v>
      </c>
      <c r="C1272" s="37">
        <v>4219</v>
      </c>
      <c r="D1272" s="37">
        <v>124</v>
      </c>
      <c r="E1272" s="37">
        <v>0</v>
      </c>
      <c r="F1272" s="670">
        <v>0</v>
      </c>
      <c r="G1272" s="37">
        <v>35</v>
      </c>
      <c r="H1272" s="37">
        <v>7</v>
      </c>
      <c r="I1272" s="37">
        <v>6</v>
      </c>
      <c r="J1272" s="527">
        <f t="shared" si="222"/>
        <v>0.0293908509125385</v>
      </c>
      <c r="K1272" s="687">
        <f t="shared" si="223"/>
        <v>10.5426612903226</v>
      </c>
      <c r="L1272" s="41">
        <f t="shared" si="224"/>
        <v>309.857786205262</v>
      </c>
      <c r="M1272" s="702">
        <f t="shared" si="230"/>
        <v>0</v>
      </c>
      <c r="N1272" s="39">
        <f t="shared" si="225"/>
        <v>0</v>
      </c>
      <c r="O1272" s="558">
        <f t="shared" si="226"/>
        <v>0</v>
      </c>
      <c r="P1272" s="559">
        <f t="shared" si="229"/>
        <v>0</v>
      </c>
      <c r="Q1272" s="41">
        <f t="shared" si="227"/>
        <v>37.3511428571429</v>
      </c>
      <c r="R1272" s="1021">
        <f t="shared" si="228"/>
        <v>0.282258064516129</v>
      </c>
    </row>
    <row r="1273" spans="1:18">
      <c r="A1273" s="801">
        <v>45920</v>
      </c>
      <c r="B1273" s="670">
        <v>1496.22</v>
      </c>
      <c r="C1273" s="37">
        <v>5292</v>
      </c>
      <c r="D1273" s="37">
        <v>106</v>
      </c>
      <c r="E1273" s="37">
        <v>0</v>
      </c>
      <c r="F1273" s="670">
        <v>0</v>
      </c>
      <c r="G1273" s="37">
        <v>27</v>
      </c>
      <c r="H1273" s="37">
        <v>1</v>
      </c>
      <c r="I1273" s="37">
        <v>3</v>
      </c>
      <c r="J1273" s="527">
        <f t="shared" si="222"/>
        <v>0.0200302343159486</v>
      </c>
      <c r="K1273" s="687">
        <f t="shared" si="223"/>
        <v>14.1152830188679</v>
      </c>
      <c r="L1273" s="41">
        <f t="shared" si="224"/>
        <v>282.732426303855</v>
      </c>
      <c r="M1273" s="702">
        <f t="shared" si="230"/>
        <v>0</v>
      </c>
      <c r="N1273" s="39">
        <f t="shared" si="225"/>
        <v>0</v>
      </c>
      <c r="O1273" s="558">
        <f t="shared" si="226"/>
        <v>0</v>
      </c>
      <c r="P1273" s="559">
        <f t="shared" si="229"/>
        <v>0</v>
      </c>
      <c r="Q1273" s="41">
        <f t="shared" si="227"/>
        <v>55.4155555555556</v>
      </c>
      <c r="R1273" s="1021">
        <f t="shared" si="228"/>
        <v>0.254716981132075</v>
      </c>
    </row>
    <row r="1274" spans="1:18">
      <c r="A1274" s="801">
        <v>45921</v>
      </c>
      <c r="B1274" s="670">
        <v>1495.41</v>
      </c>
      <c r="C1274" s="37">
        <v>4751</v>
      </c>
      <c r="D1274" s="37">
        <v>123</v>
      </c>
      <c r="E1274" s="37">
        <v>0</v>
      </c>
      <c r="F1274" s="670">
        <v>0</v>
      </c>
      <c r="G1274" s="37">
        <v>26</v>
      </c>
      <c r="H1274" s="37">
        <v>1</v>
      </c>
      <c r="I1274" s="37">
        <v>2</v>
      </c>
      <c r="J1274" s="527">
        <f t="shared" si="222"/>
        <v>0.0258892864660072</v>
      </c>
      <c r="K1274" s="687">
        <f t="shared" si="223"/>
        <v>12.1578048780488</v>
      </c>
      <c r="L1274" s="41">
        <f t="shared" si="224"/>
        <v>314.756893285624</v>
      </c>
      <c r="M1274" s="702">
        <f t="shared" si="230"/>
        <v>0</v>
      </c>
      <c r="N1274" s="39">
        <f t="shared" si="225"/>
        <v>0</v>
      </c>
      <c r="O1274" s="558">
        <f t="shared" si="226"/>
        <v>0</v>
      </c>
      <c r="P1274" s="559">
        <f t="shared" si="229"/>
        <v>0</v>
      </c>
      <c r="Q1274" s="41">
        <f t="shared" si="227"/>
        <v>57.5157692307692</v>
      </c>
      <c r="R1274" s="1021">
        <f t="shared" si="228"/>
        <v>0.211382113821138</v>
      </c>
    </row>
    <row r="1275" spans="1:18">
      <c r="A1275" s="801">
        <v>45922</v>
      </c>
      <c r="B1275" s="670">
        <v>1357.06</v>
      </c>
      <c r="C1275" s="37">
        <v>4081</v>
      </c>
      <c r="D1275" s="37">
        <v>158</v>
      </c>
      <c r="E1275" s="37">
        <v>3</v>
      </c>
      <c r="F1275" s="670">
        <v>10735</v>
      </c>
      <c r="G1275" s="37">
        <v>43</v>
      </c>
      <c r="H1275" s="37">
        <v>3</v>
      </c>
      <c r="I1275" s="37">
        <v>3</v>
      </c>
      <c r="J1275" s="527">
        <f t="shared" si="222"/>
        <v>0.0387160009801519</v>
      </c>
      <c r="K1275" s="687">
        <f t="shared" si="223"/>
        <v>8.58898734177215</v>
      </c>
      <c r="L1275" s="41">
        <f t="shared" si="224"/>
        <v>332.531242342563</v>
      </c>
      <c r="M1275" s="702">
        <f t="shared" si="230"/>
        <v>7.91048295580151</v>
      </c>
      <c r="N1275" s="39">
        <f t="shared" si="225"/>
        <v>0.0189873417721519</v>
      </c>
      <c r="O1275" s="558">
        <f t="shared" si="226"/>
        <v>3578.33333333333</v>
      </c>
      <c r="P1275" s="559">
        <f t="shared" si="229"/>
        <v>452.353333333333</v>
      </c>
      <c r="Q1275" s="41">
        <f t="shared" si="227"/>
        <v>31.5595348837209</v>
      </c>
      <c r="R1275" s="1021">
        <f t="shared" si="228"/>
        <v>0.272151898734177</v>
      </c>
    </row>
    <row r="1276" spans="1:18">
      <c r="A1276" s="801">
        <v>45923</v>
      </c>
      <c r="B1276" s="670">
        <v>1284.35</v>
      </c>
      <c r="C1276" s="37">
        <v>4062</v>
      </c>
      <c r="D1276" s="37">
        <v>114</v>
      </c>
      <c r="E1276" s="37">
        <v>3</v>
      </c>
      <c r="F1276" s="670">
        <v>21721</v>
      </c>
      <c r="G1276" s="37">
        <v>15</v>
      </c>
      <c r="H1276" s="37">
        <v>0</v>
      </c>
      <c r="I1276" s="37">
        <v>5</v>
      </c>
      <c r="J1276" s="527">
        <f t="shared" si="222"/>
        <v>0.0280649926144756</v>
      </c>
      <c r="K1276" s="687">
        <f t="shared" si="223"/>
        <v>11.2662280701754</v>
      </c>
      <c r="L1276" s="41">
        <f t="shared" si="224"/>
        <v>316.186607582472</v>
      </c>
      <c r="M1276" s="702">
        <f t="shared" si="230"/>
        <v>16.9120566823685</v>
      </c>
      <c r="N1276" s="39">
        <f t="shared" si="225"/>
        <v>0.0263157894736842</v>
      </c>
      <c r="O1276" s="558">
        <f t="shared" si="226"/>
        <v>7240.33333333333</v>
      </c>
      <c r="P1276" s="559">
        <f t="shared" si="229"/>
        <v>428.116666666667</v>
      </c>
      <c r="Q1276" s="41">
        <f t="shared" si="227"/>
        <v>85.6233333333333</v>
      </c>
      <c r="R1276" s="1021">
        <f t="shared" si="228"/>
        <v>0.131578947368421</v>
      </c>
    </row>
    <row r="1277" spans="1:18">
      <c r="A1277" s="801">
        <v>45924</v>
      </c>
      <c r="B1277" s="670">
        <v>1303.46</v>
      </c>
      <c r="C1277" s="37">
        <v>4148</v>
      </c>
      <c r="D1277" s="37">
        <v>114</v>
      </c>
      <c r="E1277" s="37">
        <v>5</v>
      </c>
      <c r="F1277" s="670">
        <v>80406</v>
      </c>
      <c r="G1277" s="37">
        <v>29</v>
      </c>
      <c r="H1277" s="37">
        <v>2</v>
      </c>
      <c r="I1277" s="37">
        <v>4</v>
      </c>
      <c r="J1277" s="527">
        <f t="shared" si="222"/>
        <v>0.0274831243972999</v>
      </c>
      <c r="K1277" s="687">
        <f t="shared" si="223"/>
        <v>11.4338596491228</v>
      </c>
      <c r="L1277" s="41">
        <f t="shared" si="224"/>
        <v>314.23818707811</v>
      </c>
      <c r="M1277" s="702">
        <f t="shared" si="230"/>
        <v>61.6865880042349</v>
      </c>
      <c r="N1277" s="39">
        <f t="shared" si="225"/>
        <v>0.043859649122807</v>
      </c>
      <c r="O1277" s="558">
        <f t="shared" si="226"/>
        <v>16081.2</v>
      </c>
      <c r="P1277" s="559">
        <f t="shared" si="229"/>
        <v>260.692</v>
      </c>
      <c r="Q1277" s="41">
        <f t="shared" si="227"/>
        <v>44.9468965517241</v>
      </c>
      <c r="R1277" s="1021">
        <f t="shared" si="228"/>
        <v>0.254385964912281</v>
      </c>
    </row>
    <row r="1278" spans="1:18">
      <c r="A1278" s="801">
        <v>45925</v>
      </c>
      <c r="B1278" s="670">
        <v>1976</v>
      </c>
      <c r="C1278" s="37">
        <v>5950</v>
      </c>
      <c r="D1278" s="37">
        <v>171</v>
      </c>
      <c r="E1278" s="37">
        <v>1</v>
      </c>
      <c r="F1278" s="670">
        <v>1</v>
      </c>
      <c r="G1278" s="37">
        <v>40</v>
      </c>
      <c r="H1278" s="37">
        <v>4</v>
      </c>
      <c r="I1278" s="37">
        <v>9</v>
      </c>
      <c r="J1278" s="527">
        <f t="shared" si="222"/>
        <v>0.0287394957983193</v>
      </c>
      <c r="K1278" s="687">
        <f t="shared" si="223"/>
        <v>11.5555555555556</v>
      </c>
      <c r="L1278" s="41">
        <f t="shared" si="224"/>
        <v>332.100840336134</v>
      </c>
      <c r="M1278" s="702">
        <f t="shared" si="230"/>
        <v>0.000506072874493927</v>
      </c>
      <c r="N1278" s="39">
        <f t="shared" si="225"/>
        <v>0.00584795321637427</v>
      </c>
      <c r="O1278" s="558">
        <f t="shared" si="226"/>
        <v>1</v>
      </c>
      <c r="P1278" s="559">
        <f t="shared" si="229"/>
        <v>1976</v>
      </c>
      <c r="Q1278" s="41">
        <f t="shared" si="227"/>
        <v>49.4</v>
      </c>
      <c r="R1278" s="1021">
        <f t="shared" si="228"/>
        <v>0.233918128654971</v>
      </c>
    </row>
    <row r="1279" spans="1:18">
      <c r="A1279" s="801">
        <v>45926</v>
      </c>
      <c r="B1279" s="670">
        <v>1905.57</v>
      </c>
      <c r="C1279" s="37">
        <v>6090</v>
      </c>
      <c r="D1279" s="37">
        <v>150</v>
      </c>
      <c r="E1279" s="37">
        <v>1</v>
      </c>
      <c r="F1279" s="670">
        <v>6086</v>
      </c>
      <c r="G1279" s="37">
        <v>34</v>
      </c>
      <c r="H1279" s="37">
        <v>3</v>
      </c>
      <c r="I1279" s="37">
        <v>6</v>
      </c>
      <c r="J1279" s="527">
        <f t="shared" si="222"/>
        <v>0.0246305418719212</v>
      </c>
      <c r="K1279" s="687">
        <f t="shared" si="223"/>
        <v>12.7038</v>
      </c>
      <c r="L1279" s="41">
        <f t="shared" si="224"/>
        <v>312.901477832512</v>
      </c>
      <c r="M1279" s="702">
        <f t="shared" si="230"/>
        <v>3.19379503245748</v>
      </c>
      <c r="N1279" s="39">
        <f t="shared" si="225"/>
        <v>0.00666666666666667</v>
      </c>
      <c r="O1279" s="558">
        <f t="shared" si="226"/>
        <v>6086</v>
      </c>
      <c r="P1279" s="559">
        <f t="shared" si="229"/>
        <v>1905.57</v>
      </c>
      <c r="Q1279" s="41">
        <f t="shared" si="227"/>
        <v>56.0461764705882</v>
      </c>
      <c r="R1279" s="1021">
        <f t="shared" si="228"/>
        <v>0.226666666666667</v>
      </c>
    </row>
    <row r="1280" spans="1:18">
      <c r="A1280" s="801">
        <v>45927</v>
      </c>
      <c r="B1280" s="670">
        <v>2728.92</v>
      </c>
      <c r="C1280" s="37">
        <v>9297</v>
      </c>
      <c r="D1280" s="37">
        <v>198</v>
      </c>
      <c r="E1280" s="37">
        <v>0</v>
      </c>
      <c r="F1280" s="670">
        <v>0</v>
      </c>
      <c r="G1280" s="37">
        <v>43</v>
      </c>
      <c r="H1280" s="37">
        <v>2</v>
      </c>
      <c r="I1280" s="37">
        <v>6</v>
      </c>
      <c r="J1280" s="527">
        <f t="shared" si="222"/>
        <v>0.021297192642788</v>
      </c>
      <c r="K1280" s="687">
        <f t="shared" si="223"/>
        <v>13.7824242424242</v>
      </c>
      <c r="L1280" s="41">
        <f t="shared" si="224"/>
        <v>293.526944175541</v>
      </c>
      <c r="M1280" s="702">
        <f t="shared" si="230"/>
        <v>0</v>
      </c>
      <c r="N1280" s="39">
        <f t="shared" si="225"/>
        <v>0</v>
      </c>
      <c r="O1280" s="558">
        <f t="shared" si="226"/>
        <v>0</v>
      </c>
      <c r="P1280" s="559">
        <f t="shared" si="229"/>
        <v>0</v>
      </c>
      <c r="Q1280" s="41">
        <f t="shared" si="227"/>
        <v>63.4632558139535</v>
      </c>
      <c r="R1280" s="1021">
        <f t="shared" si="228"/>
        <v>0.217171717171717</v>
      </c>
    </row>
    <row r="1281" spans="1:18">
      <c r="A1281" s="801">
        <v>45928</v>
      </c>
      <c r="B1281" s="670">
        <v>2059.17</v>
      </c>
      <c r="C1281" s="37">
        <v>6576</v>
      </c>
      <c r="D1281" s="37">
        <v>150</v>
      </c>
      <c r="E1281" s="37">
        <v>1</v>
      </c>
      <c r="F1281" s="670">
        <v>6046</v>
      </c>
      <c r="G1281" s="37">
        <v>43</v>
      </c>
      <c r="H1281" s="37">
        <v>2</v>
      </c>
      <c r="I1281" s="37">
        <v>3</v>
      </c>
      <c r="J1281" s="527">
        <f t="shared" si="222"/>
        <v>0.0228102189781022</v>
      </c>
      <c r="K1281" s="687">
        <f t="shared" si="223"/>
        <v>13.7278</v>
      </c>
      <c r="L1281" s="41">
        <f t="shared" si="224"/>
        <v>313.134124087591</v>
      </c>
      <c r="M1281" s="702">
        <f t="shared" si="230"/>
        <v>2.9361344619434</v>
      </c>
      <c r="N1281" s="39">
        <f t="shared" si="225"/>
        <v>0.00666666666666667</v>
      </c>
      <c r="O1281" s="558">
        <f t="shared" si="226"/>
        <v>6046</v>
      </c>
      <c r="P1281" s="559">
        <f t="shared" si="229"/>
        <v>2059.17</v>
      </c>
      <c r="Q1281" s="41">
        <f t="shared" si="227"/>
        <v>47.8876744186047</v>
      </c>
      <c r="R1281" s="1021">
        <f t="shared" si="228"/>
        <v>0.286666666666667</v>
      </c>
    </row>
    <row r="1282" spans="1:18">
      <c r="A1282" s="801">
        <v>45929</v>
      </c>
      <c r="B1282" s="670">
        <v>1487.8</v>
      </c>
      <c r="C1282" s="37">
        <v>4711</v>
      </c>
      <c r="D1282" s="37">
        <v>97</v>
      </c>
      <c r="E1282" s="37">
        <v>2</v>
      </c>
      <c r="F1282" s="670">
        <v>23058</v>
      </c>
      <c r="G1282" s="37">
        <v>19</v>
      </c>
      <c r="H1282" s="37">
        <v>3</v>
      </c>
      <c r="I1282" s="37">
        <v>6</v>
      </c>
      <c r="J1282" s="527">
        <f t="shared" ref="J1282:J1345" si="231">D1282/C1282</f>
        <v>0.0205901082572702</v>
      </c>
      <c r="K1282" s="687">
        <f t="shared" ref="K1282:K1345" si="232">B1282/D1282</f>
        <v>15.3381443298969</v>
      </c>
      <c r="L1282" s="41">
        <f t="shared" si="224"/>
        <v>315.814052218213</v>
      </c>
      <c r="M1282" s="702">
        <f t="shared" si="230"/>
        <v>15.4980508132814</v>
      </c>
      <c r="N1282" s="39">
        <f t="shared" si="225"/>
        <v>0.0206185567010309</v>
      </c>
      <c r="O1282" s="558">
        <f t="shared" si="226"/>
        <v>11529</v>
      </c>
      <c r="P1282" s="559">
        <f t="shared" si="229"/>
        <v>743.9</v>
      </c>
      <c r="Q1282" s="41">
        <f t="shared" si="227"/>
        <v>78.3052631578947</v>
      </c>
      <c r="R1282" s="1021">
        <f t="shared" si="228"/>
        <v>0.195876288659794</v>
      </c>
    </row>
    <row r="1283" spans="1:18">
      <c r="A1283" s="801">
        <v>45930</v>
      </c>
      <c r="B1283" s="670">
        <v>1481.25</v>
      </c>
      <c r="C1283" s="37">
        <v>4909</v>
      </c>
      <c r="D1283" s="37">
        <v>88</v>
      </c>
      <c r="E1283" s="37">
        <v>1</v>
      </c>
      <c r="F1283" s="670">
        <v>9772</v>
      </c>
      <c r="G1283" s="37">
        <v>22</v>
      </c>
      <c r="H1283" s="37">
        <v>0</v>
      </c>
      <c r="I1283" s="37">
        <v>3</v>
      </c>
      <c r="J1283" s="527">
        <f t="shared" si="231"/>
        <v>0.0179262578936647</v>
      </c>
      <c r="K1283" s="687">
        <f t="shared" si="232"/>
        <v>16.8323863636364</v>
      </c>
      <c r="L1283" s="41">
        <f t="shared" si="224"/>
        <v>301.74169892035</v>
      </c>
      <c r="M1283" s="702">
        <f t="shared" si="230"/>
        <v>6.59713080168776</v>
      </c>
      <c r="N1283" s="39">
        <f t="shared" si="225"/>
        <v>0.0113636363636364</v>
      </c>
      <c r="O1283" s="558">
        <f t="shared" si="226"/>
        <v>9772</v>
      </c>
      <c r="P1283" s="559">
        <f t="shared" si="229"/>
        <v>1481.25</v>
      </c>
      <c r="Q1283" s="41">
        <f t="shared" si="227"/>
        <v>67.3295454545455</v>
      </c>
      <c r="R1283" s="1021">
        <f t="shared" si="228"/>
        <v>0.25</v>
      </c>
    </row>
    <row r="1284" spans="1:18">
      <c r="A1284" s="801">
        <v>45931</v>
      </c>
      <c r="B1284" s="670">
        <v>1499.14</v>
      </c>
      <c r="C1284" s="37">
        <v>5180</v>
      </c>
      <c r="D1284" s="37">
        <v>82</v>
      </c>
      <c r="E1284" s="37">
        <v>2</v>
      </c>
      <c r="F1284" s="670">
        <v>40689</v>
      </c>
      <c r="G1284" s="37">
        <v>15</v>
      </c>
      <c r="H1284" s="37">
        <v>1</v>
      </c>
      <c r="I1284" s="37">
        <v>2</v>
      </c>
      <c r="J1284" s="527">
        <f t="shared" si="231"/>
        <v>0.0158301158301158</v>
      </c>
      <c r="K1284" s="687">
        <f t="shared" si="232"/>
        <v>18.2821951219512</v>
      </c>
      <c r="L1284" s="41">
        <f t="shared" si="224"/>
        <v>289.409266409266</v>
      </c>
      <c r="M1284" s="702">
        <f t="shared" si="230"/>
        <v>27.1415611617327</v>
      </c>
      <c r="N1284" s="39">
        <f t="shared" si="225"/>
        <v>0.024390243902439</v>
      </c>
      <c r="O1284" s="558">
        <f t="shared" si="226"/>
        <v>20344.5</v>
      </c>
      <c r="P1284" s="559">
        <f t="shared" si="229"/>
        <v>749.57</v>
      </c>
      <c r="Q1284" s="41">
        <f t="shared" si="227"/>
        <v>99.9426666666667</v>
      </c>
      <c r="R1284" s="1021">
        <f t="shared" si="228"/>
        <v>0.182926829268293</v>
      </c>
    </row>
    <row r="1285" spans="1:18">
      <c r="A1285" s="801">
        <v>45932</v>
      </c>
      <c r="B1285" s="670">
        <v>1498.15</v>
      </c>
      <c r="C1285" s="37">
        <v>5263</v>
      </c>
      <c r="D1285" s="37">
        <v>94</v>
      </c>
      <c r="E1285" s="37">
        <v>0</v>
      </c>
      <c r="F1285" s="670">
        <v>0</v>
      </c>
      <c r="G1285" s="37">
        <v>26</v>
      </c>
      <c r="H1285" s="37">
        <v>3</v>
      </c>
      <c r="I1285" s="37">
        <v>4</v>
      </c>
      <c r="J1285" s="527">
        <f t="shared" si="231"/>
        <v>0.0178605358160745</v>
      </c>
      <c r="K1285" s="687">
        <f t="shared" si="232"/>
        <v>15.9377659574468</v>
      </c>
      <c r="L1285" s="41">
        <f t="shared" si="224"/>
        <v>284.657039711191</v>
      </c>
      <c r="M1285" s="702">
        <f t="shared" si="230"/>
        <v>0</v>
      </c>
      <c r="N1285" s="39">
        <f t="shared" si="225"/>
        <v>0</v>
      </c>
      <c r="O1285" s="558">
        <f t="shared" si="226"/>
        <v>0</v>
      </c>
      <c r="P1285" s="559">
        <f t="shared" si="229"/>
        <v>0</v>
      </c>
      <c r="Q1285" s="41">
        <f t="shared" si="227"/>
        <v>57.6211538461539</v>
      </c>
      <c r="R1285" s="1021">
        <f t="shared" si="228"/>
        <v>0.276595744680851</v>
      </c>
    </row>
    <row r="1286" spans="1:18">
      <c r="A1286" s="801">
        <v>45933</v>
      </c>
      <c r="B1286" s="670">
        <v>1664.75</v>
      </c>
      <c r="C1286" s="37">
        <v>5744</v>
      </c>
      <c r="D1286" s="37">
        <v>128</v>
      </c>
      <c r="E1286" s="37">
        <v>7</v>
      </c>
      <c r="F1286" s="670">
        <v>92368</v>
      </c>
      <c r="G1286" s="37">
        <v>26</v>
      </c>
      <c r="H1286" s="37">
        <v>6</v>
      </c>
      <c r="I1286" s="37">
        <v>4</v>
      </c>
      <c r="J1286" s="527">
        <f t="shared" si="231"/>
        <v>0.0222841225626741</v>
      </c>
      <c r="K1286" s="687">
        <f t="shared" si="232"/>
        <v>13.005859375</v>
      </c>
      <c r="L1286" s="41">
        <f t="shared" si="224"/>
        <v>289.824164345404</v>
      </c>
      <c r="M1286" s="702">
        <f t="shared" si="230"/>
        <v>55.4846072983932</v>
      </c>
      <c r="N1286" s="39">
        <f t="shared" si="225"/>
        <v>0.0546875</v>
      </c>
      <c r="O1286" s="558">
        <f t="shared" si="226"/>
        <v>13195.4285714286</v>
      </c>
      <c r="P1286" s="559">
        <f t="shared" si="229"/>
        <v>237.821428571429</v>
      </c>
      <c r="Q1286" s="41">
        <f t="shared" si="227"/>
        <v>64.0288461538462</v>
      </c>
      <c r="R1286" s="1021">
        <f t="shared" si="228"/>
        <v>0.203125</v>
      </c>
    </row>
    <row r="1287" spans="1:18">
      <c r="A1287" s="801">
        <v>45934</v>
      </c>
      <c r="B1287" s="670">
        <v>1997.33</v>
      </c>
      <c r="C1287" s="37">
        <v>6667</v>
      </c>
      <c r="D1287" s="37">
        <v>153</v>
      </c>
      <c r="E1287" s="37">
        <v>1</v>
      </c>
      <c r="F1287" s="670">
        <v>1</v>
      </c>
      <c r="G1287" s="37">
        <v>26</v>
      </c>
      <c r="H1287" s="37">
        <v>6</v>
      </c>
      <c r="I1287" s="37">
        <v>5</v>
      </c>
      <c r="J1287" s="527">
        <f t="shared" si="231"/>
        <v>0.0229488525573721</v>
      </c>
      <c r="K1287" s="687">
        <f t="shared" si="232"/>
        <v>13.0544444444444</v>
      </c>
      <c r="L1287" s="41">
        <f t="shared" si="224"/>
        <v>299.584520773961</v>
      </c>
      <c r="M1287" s="702">
        <f t="shared" si="230"/>
        <v>0.000500668392303726</v>
      </c>
      <c r="N1287" s="39">
        <f t="shared" si="225"/>
        <v>0.0065359477124183</v>
      </c>
      <c r="O1287" s="558">
        <f t="shared" si="226"/>
        <v>1</v>
      </c>
      <c r="P1287" s="559">
        <f t="shared" si="229"/>
        <v>1997.33</v>
      </c>
      <c r="Q1287" s="41">
        <f t="shared" si="227"/>
        <v>76.8203846153846</v>
      </c>
      <c r="R1287" s="1021">
        <f t="shared" si="228"/>
        <v>0.169934640522876</v>
      </c>
    </row>
    <row r="1288" spans="1:18">
      <c r="A1288" s="801">
        <v>45935</v>
      </c>
      <c r="B1288" s="670">
        <v>1996.28</v>
      </c>
      <c r="C1288" s="37">
        <v>6686</v>
      </c>
      <c r="D1288" s="37">
        <v>155</v>
      </c>
      <c r="E1288" s="37">
        <v>3</v>
      </c>
      <c r="F1288" s="670">
        <v>21070</v>
      </c>
      <c r="G1288" s="37">
        <v>35</v>
      </c>
      <c r="H1288" s="37">
        <v>5</v>
      </c>
      <c r="I1288" s="37">
        <v>6</v>
      </c>
      <c r="J1288" s="527">
        <f t="shared" si="231"/>
        <v>0.0231827699670954</v>
      </c>
      <c r="K1288" s="687">
        <f t="shared" si="232"/>
        <v>12.8792258064516</v>
      </c>
      <c r="L1288" s="41">
        <f t="shared" si="224"/>
        <v>298.576129225247</v>
      </c>
      <c r="M1288" s="702">
        <f t="shared" si="230"/>
        <v>10.5546316148035</v>
      </c>
      <c r="N1288" s="39">
        <f t="shared" si="225"/>
        <v>0.0193548387096774</v>
      </c>
      <c r="O1288" s="558">
        <f t="shared" si="226"/>
        <v>7023.33333333333</v>
      </c>
      <c r="P1288" s="559">
        <f t="shared" si="229"/>
        <v>665.426666666667</v>
      </c>
      <c r="Q1288" s="41">
        <f t="shared" si="227"/>
        <v>57.0365714285714</v>
      </c>
      <c r="R1288" s="1021">
        <f t="shared" si="228"/>
        <v>0.225806451612903</v>
      </c>
    </row>
    <row r="1289" spans="1:18">
      <c r="A1289" s="801">
        <v>45936</v>
      </c>
      <c r="B1289" s="670">
        <v>1998.55</v>
      </c>
      <c r="C1289" s="37">
        <v>6256</v>
      </c>
      <c r="D1289" s="37">
        <v>180</v>
      </c>
      <c r="E1289" s="37">
        <v>6</v>
      </c>
      <c r="F1289" s="670">
        <v>49891</v>
      </c>
      <c r="G1289" s="37">
        <v>64</v>
      </c>
      <c r="H1289" s="37">
        <v>9</v>
      </c>
      <c r="I1289" s="37">
        <v>7</v>
      </c>
      <c r="J1289" s="527">
        <f t="shared" si="231"/>
        <v>0.028772378516624</v>
      </c>
      <c r="K1289" s="687">
        <f t="shared" si="232"/>
        <v>11.1030555555556</v>
      </c>
      <c r="L1289" s="41">
        <f t="shared" si="224"/>
        <v>319.46131713555</v>
      </c>
      <c r="M1289" s="702">
        <f t="shared" si="230"/>
        <v>24.9635986089915</v>
      </c>
      <c r="N1289" s="39">
        <f t="shared" si="225"/>
        <v>0.0333333333333333</v>
      </c>
      <c r="O1289" s="558">
        <f t="shared" si="226"/>
        <v>8315.16666666667</v>
      </c>
      <c r="P1289" s="559">
        <f t="shared" si="229"/>
        <v>333.091666666667</v>
      </c>
      <c r="Q1289" s="41">
        <f t="shared" si="227"/>
        <v>31.22734375</v>
      </c>
      <c r="R1289" s="1021">
        <f t="shared" si="228"/>
        <v>0.355555555555556</v>
      </c>
    </row>
    <row r="1290" spans="1:18">
      <c r="A1290" s="801">
        <v>45937</v>
      </c>
      <c r="B1290" s="670">
        <v>1998.28</v>
      </c>
      <c r="C1290" s="37">
        <v>5725</v>
      </c>
      <c r="D1290" s="37">
        <v>227</v>
      </c>
      <c r="E1290" s="37">
        <v>5</v>
      </c>
      <c r="F1290" s="670">
        <v>60449</v>
      </c>
      <c r="G1290" s="37">
        <v>53</v>
      </c>
      <c r="H1290" s="37">
        <v>6</v>
      </c>
      <c r="I1290" s="37">
        <v>10</v>
      </c>
      <c r="J1290" s="527">
        <f t="shared" si="231"/>
        <v>0.0396506550218341</v>
      </c>
      <c r="K1290" s="687">
        <f t="shared" si="232"/>
        <v>8.80299559471366</v>
      </c>
      <c r="L1290" s="41">
        <f t="shared" si="224"/>
        <v>349.044541484716</v>
      </c>
      <c r="M1290" s="702">
        <f t="shared" si="230"/>
        <v>30.2505154432812</v>
      </c>
      <c r="N1290" s="39">
        <f t="shared" si="225"/>
        <v>0.0220264317180617</v>
      </c>
      <c r="O1290" s="558">
        <f t="shared" si="226"/>
        <v>12089.8</v>
      </c>
      <c r="P1290" s="559">
        <f t="shared" si="229"/>
        <v>399.656</v>
      </c>
      <c r="Q1290" s="41">
        <f t="shared" si="227"/>
        <v>37.7033962264151</v>
      </c>
      <c r="R1290" s="1021">
        <f t="shared" si="228"/>
        <v>0.233480176211454</v>
      </c>
    </row>
    <row r="1291" spans="1:18">
      <c r="A1291" s="801">
        <v>45938</v>
      </c>
      <c r="B1291" s="670">
        <v>1998.45</v>
      </c>
      <c r="C1291" s="37">
        <v>5196</v>
      </c>
      <c r="D1291" s="37">
        <v>278</v>
      </c>
      <c r="E1291" s="37">
        <v>8</v>
      </c>
      <c r="F1291" s="670">
        <v>85196</v>
      </c>
      <c r="G1291" s="37">
        <v>80</v>
      </c>
      <c r="H1291" s="37">
        <v>5</v>
      </c>
      <c r="I1291" s="37">
        <v>11</v>
      </c>
      <c r="J1291" s="527">
        <f t="shared" si="231"/>
        <v>0.0535026943802925</v>
      </c>
      <c r="K1291" s="687">
        <f t="shared" si="232"/>
        <v>7.1886690647482</v>
      </c>
      <c r="L1291" s="41">
        <f t="shared" si="224"/>
        <v>384.613163972286</v>
      </c>
      <c r="M1291" s="702">
        <f t="shared" si="230"/>
        <v>42.6310390552678</v>
      </c>
      <c r="N1291" s="39">
        <f t="shared" si="225"/>
        <v>0.0287769784172662</v>
      </c>
      <c r="O1291" s="558">
        <f t="shared" si="226"/>
        <v>10649.5</v>
      </c>
      <c r="P1291" s="559">
        <f t="shared" si="229"/>
        <v>249.80625</v>
      </c>
      <c r="Q1291" s="41">
        <f t="shared" si="227"/>
        <v>24.980625</v>
      </c>
      <c r="R1291" s="1021">
        <f t="shared" si="228"/>
        <v>0.287769784172662</v>
      </c>
    </row>
    <row r="1292" spans="1:18">
      <c r="A1292" s="801">
        <v>45939</v>
      </c>
      <c r="B1292" s="670">
        <v>2458.58</v>
      </c>
      <c r="C1292" s="37">
        <v>5585</v>
      </c>
      <c r="D1292" s="37">
        <v>398</v>
      </c>
      <c r="E1292" s="37">
        <v>9</v>
      </c>
      <c r="F1292" s="670">
        <v>63264</v>
      </c>
      <c r="G1292" s="37">
        <v>145</v>
      </c>
      <c r="H1292" s="37">
        <v>9</v>
      </c>
      <c r="I1292" s="37">
        <v>18</v>
      </c>
      <c r="J1292" s="527">
        <f t="shared" si="231"/>
        <v>0.0712623097582811</v>
      </c>
      <c r="K1292" s="687">
        <f t="shared" si="232"/>
        <v>6.17733668341709</v>
      </c>
      <c r="L1292" s="41">
        <f t="shared" si="224"/>
        <v>440.211280214861</v>
      </c>
      <c r="M1292" s="702">
        <f t="shared" si="230"/>
        <v>25.7319265592334</v>
      </c>
      <c r="N1292" s="39">
        <f t="shared" si="225"/>
        <v>0.0226130653266332</v>
      </c>
      <c r="O1292" s="558">
        <f t="shared" si="226"/>
        <v>7029.33333333333</v>
      </c>
      <c r="P1292" s="559">
        <f t="shared" si="229"/>
        <v>273.175555555556</v>
      </c>
      <c r="Q1292" s="41">
        <f t="shared" si="227"/>
        <v>16.955724137931</v>
      </c>
      <c r="R1292" s="1021">
        <f t="shared" si="228"/>
        <v>0.364321608040201</v>
      </c>
    </row>
    <row r="1293" spans="1:18">
      <c r="A1293" s="801">
        <v>45940</v>
      </c>
      <c r="B1293" s="670">
        <v>2435.82</v>
      </c>
      <c r="C1293" s="37">
        <v>5946</v>
      </c>
      <c r="D1293" s="37">
        <v>337</v>
      </c>
      <c r="E1293" s="37">
        <v>5</v>
      </c>
      <c r="F1293" s="670">
        <v>18735</v>
      </c>
      <c r="G1293" s="37">
        <v>111</v>
      </c>
      <c r="H1293" s="37">
        <v>9</v>
      </c>
      <c r="I1293" s="37">
        <v>17</v>
      </c>
      <c r="J1293" s="527">
        <f t="shared" si="231"/>
        <v>0.0566767574840229</v>
      </c>
      <c r="K1293" s="687">
        <f t="shared" si="232"/>
        <v>7.22795252225519</v>
      </c>
      <c r="L1293" s="41">
        <f t="shared" si="224"/>
        <v>409.656912209889</v>
      </c>
      <c r="M1293" s="702">
        <f t="shared" si="230"/>
        <v>7.69145503362317</v>
      </c>
      <c r="N1293" s="39">
        <f t="shared" si="225"/>
        <v>0.0148367952522255</v>
      </c>
      <c r="O1293" s="558">
        <f t="shared" si="226"/>
        <v>3747</v>
      </c>
      <c r="P1293" s="559">
        <f t="shared" si="229"/>
        <v>487.164</v>
      </c>
      <c r="Q1293" s="41">
        <f t="shared" si="227"/>
        <v>21.9443243243243</v>
      </c>
      <c r="R1293" s="1021">
        <f t="shared" si="228"/>
        <v>0.329376854599407</v>
      </c>
    </row>
    <row r="1294" spans="1:18">
      <c r="A1294" s="801">
        <v>45941</v>
      </c>
      <c r="B1294" s="670">
        <v>2443.89</v>
      </c>
      <c r="C1294" s="37">
        <v>6554</v>
      </c>
      <c r="D1294" s="37">
        <v>281</v>
      </c>
      <c r="E1294" s="37">
        <v>4</v>
      </c>
      <c r="F1294" s="670">
        <v>44463</v>
      </c>
      <c r="G1294" s="37">
        <v>109</v>
      </c>
      <c r="H1294" s="37">
        <v>8</v>
      </c>
      <c r="I1294" s="37">
        <v>11</v>
      </c>
      <c r="J1294" s="527">
        <f t="shared" si="231"/>
        <v>0.0428745804089106</v>
      </c>
      <c r="K1294" s="687">
        <f t="shared" si="232"/>
        <v>8.69711743772242</v>
      </c>
      <c r="L1294" s="41">
        <f t="shared" si="224"/>
        <v>372.885260909368</v>
      </c>
      <c r="M1294" s="702">
        <f t="shared" si="230"/>
        <v>18.1935357156009</v>
      </c>
      <c r="N1294" s="39">
        <f t="shared" si="225"/>
        <v>0.0142348754448399</v>
      </c>
      <c r="O1294" s="558">
        <f t="shared" si="226"/>
        <v>11115.75</v>
      </c>
      <c r="P1294" s="559">
        <f t="shared" si="229"/>
        <v>610.9725</v>
      </c>
      <c r="Q1294" s="41">
        <f t="shared" si="227"/>
        <v>22.4210091743119</v>
      </c>
      <c r="R1294" s="1021">
        <f t="shared" si="228"/>
        <v>0.387900355871886</v>
      </c>
    </row>
    <row r="1295" spans="1:18">
      <c r="A1295" s="801">
        <v>45942</v>
      </c>
      <c r="B1295" s="670">
        <v>1254.23</v>
      </c>
      <c r="C1295" s="37">
        <v>3696</v>
      </c>
      <c r="D1295" s="37">
        <v>135</v>
      </c>
      <c r="E1295" s="37">
        <v>5</v>
      </c>
      <c r="F1295" s="670">
        <v>49034</v>
      </c>
      <c r="G1295" s="37">
        <v>40</v>
      </c>
      <c r="H1295" s="37">
        <v>6</v>
      </c>
      <c r="I1295" s="37">
        <v>3</v>
      </c>
      <c r="J1295" s="527">
        <f t="shared" si="231"/>
        <v>0.036525974025974</v>
      </c>
      <c r="K1295" s="687">
        <f t="shared" si="232"/>
        <v>9.29059259259259</v>
      </c>
      <c r="L1295" s="41">
        <f t="shared" si="224"/>
        <v>339.347943722944</v>
      </c>
      <c r="M1295" s="702">
        <f t="shared" si="230"/>
        <v>39.0949028487598</v>
      </c>
      <c r="N1295" s="39">
        <f t="shared" si="225"/>
        <v>0.037037037037037</v>
      </c>
      <c r="O1295" s="558">
        <f t="shared" si="226"/>
        <v>9806.8</v>
      </c>
      <c r="P1295" s="559">
        <f t="shared" si="229"/>
        <v>250.846</v>
      </c>
      <c r="Q1295" s="41">
        <f t="shared" si="227"/>
        <v>31.35575</v>
      </c>
      <c r="R1295" s="1021">
        <f t="shared" si="228"/>
        <v>0.296296296296296</v>
      </c>
    </row>
    <row r="1296" spans="1:18">
      <c r="A1296" s="801">
        <v>45943</v>
      </c>
      <c r="B1296" s="670">
        <v>1561.95</v>
      </c>
      <c r="C1296" s="37">
        <v>4884</v>
      </c>
      <c r="D1296" s="37">
        <v>145</v>
      </c>
      <c r="E1296" s="37">
        <v>2</v>
      </c>
      <c r="F1296" s="670">
        <v>39685</v>
      </c>
      <c r="G1296" s="37">
        <v>38</v>
      </c>
      <c r="H1296" s="37">
        <v>7</v>
      </c>
      <c r="I1296" s="37">
        <v>9</v>
      </c>
      <c r="J1296" s="527">
        <f t="shared" si="231"/>
        <v>0.0296887796887797</v>
      </c>
      <c r="K1296" s="687">
        <f t="shared" si="232"/>
        <v>10.7720689655172</v>
      </c>
      <c r="L1296" s="41">
        <f t="shared" si="224"/>
        <v>319.809582309582</v>
      </c>
      <c r="M1296" s="702">
        <f t="shared" si="230"/>
        <v>25.4073433848715</v>
      </c>
      <c r="N1296" s="39">
        <f t="shared" si="225"/>
        <v>0.0137931034482759</v>
      </c>
      <c r="O1296" s="558">
        <f t="shared" si="226"/>
        <v>19842.5</v>
      </c>
      <c r="P1296" s="559">
        <f t="shared" si="229"/>
        <v>780.975</v>
      </c>
      <c r="Q1296" s="41">
        <f t="shared" si="227"/>
        <v>41.1039473684211</v>
      </c>
      <c r="R1296" s="1021">
        <f t="shared" si="228"/>
        <v>0.262068965517241</v>
      </c>
    </row>
    <row r="1297" spans="1:18">
      <c r="A1297" s="801">
        <v>45944</v>
      </c>
      <c r="B1297" s="670">
        <v>2925.71</v>
      </c>
      <c r="C1297" s="37">
        <v>6919</v>
      </c>
      <c r="D1297" s="37">
        <v>378</v>
      </c>
      <c r="E1297" s="37">
        <v>8</v>
      </c>
      <c r="F1297" s="670">
        <v>53671</v>
      </c>
      <c r="G1297" s="37">
        <v>145</v>
      </c>
      <c r="H1297" s="37">
        <v>11</v>
      </c>
      <c r="I1297" s="37">
        <v>15</v>
      </c>
      <c r="J1297" s="527">
        <f t="shared" si="231"/>
        <v>0.0546321722792311</v>
      </c>
      <c r="K1297" s="687">
        <f t="shared" si="232"/>
        <v>7.73997354497355</v>
      </c>
      <c r="L1297" s="41">
        <f t="shared" si="224"/>
        <v>422.851568145686</v>
      </c>
      <c r="M1297" s="702">
        <f t="shared" si="230"/>
        <v>18.3446069501078</v>
      </c>
      <c r="N1297" s="39">
        <f t="shared" si="225"/>
        <v>0.0211640211640212</v>
      </c>
      <c r="O1297" s="558">
        <f t="shared" si="226"/>
        <v>6708.875</v>
      </c>
      <c r="P1297" s="559">
        <f t="shared" si="229"/>
        <v>365.71375</v>
      </c>
      <c r="Q1297" s="41">
        <f t="shared" si="227"/>
        <v>20.1773103448276</v>
      </c>
      <c r="R1297" s="1021">
        <f t="shared" si="228"/>
        <v>0.383597883597884</v>
      </c>
    </row>
    <row r="1298" spans="1:18">
      <c r="A1298" s="801">
        <v>45945</v>
      </c>
      <c r="B1298" s="670">
        <v>2945.68</v>
      </c>
      <c r="C1298" s="37">
        <v>6033</v>
      </c>
      <c r="D1298" s="37">
        <v>431</v>
      </c>
      <c r="E1298" s="37">
        <v>34</v>
      </c>
      <c r="F1298" s="670">
        <v>355717</v>
      </c>
      <c r="G1298" s="37">
        <v>187</v>
      </c>
      <c r="H1298" s="37">
        <v>17</v>
      </c>
      <c r="I1298" s="37">
        <v>23</v>
      </c>
      <c r="J1298" s="527">
        <f t="shared" si="231"/>
        <v>0.0714404110724349</v>
      </c>
      <c r="K1298" s="687">
        <f t="shared" si="232"/>
        <v>6.83452436194896</v>
      </c>
      <c r="L1298" s="41">
        <f t="shared" si="224"/>
        <v>488.261229902204</v>
      </c>
      <c r="M1298" s="702">
        <f t="shared" si="230"/>
        <v>120.758874012113</v>
      </c>
      <c r="N1298" s="39">
        <f t="shared" si="225"/>
        <v>0.0788863109048724</v>
      </c>
      <c r="O1298" s="558">
        <f t="shared" si="226"/>
        <v>10462.2647058824</v>
      </c>
      <c r="P1298" s="559">
        <f t="shared" si="229"/>
        <v>86.6376470588235</v>
      </c>
      <c r="Q1298" s="41">
        <f t="shared" si="227"/>
        <v>15.7522994652406</v>
      </c>
      <c r="R1298" s="1021">
        <f t="shared" si="228"/>
        <v>0.433874709976798</v>
      </c>
    </row>
    <row r="1299" spans="1:18">
      <c r="A1299" s="801">
        <v>45946</v>
      </c>
      <c r="B1299" s="670">
        <v>3313.15</v>
      </c>
      <c r="C1299" s="37">
        <v>6556</v>
      </c>
      <c r="D1299" s="37">
        <v>478</v>
      </c>
      <c r="E1299" s="37">
        <v>24</v>
      </c>
      <c r="F1299" s="670">
        <v>167260</v>
      </c>
      <c r="G1299" s="37">
        <v>153</v>
      </c>
      <c r="H1299" s="37">
        <v>9</v>
      </c>
      <c r="I1299" s="37">
        <v>18</v>
      </c>
      <c r="J1299" s="527">
        <f t="shared" si="231"/>
        <v>0.0729103111653447</v>
      </c>
      <c r="K1299" s="687">
        <f t="shared" si="232"/>
        <v>6.93127615062761</v>
      </c>
      <c r="L1299" s="41">
        <f t="shared" si="224"/>
        <v>505.361500915192</v>
      </c>
      <c r="M1299" s="702">
        <f t="shared" si="230"/>
        <v>50.4836786743733</v>
      </c>
      <c r="N1299" s="39">
        <f t="shared" si="225"/>
        <v>0.0502092050209205</v>
      </c>
      <c r="O1299" s="558">
        <f t="shared" si="226"/>
        <v>6969.16666666667</v>
      </c>
      <c r="P1299" s="559">
        <f t="shared" si="229"/>
        <v>138.047916666667</v>
      </c>
      <c r="Q1299" s="41">
        <f t="shared" si="227"/>
        <v>21.6545751633987</v>
      </c>
      <c r="R1299" s="1021">
        <f t="shared" si="228"/>
        <v>0.320083682008368</v>
      </c>
    </row>
    <row r="1300" spans="1:18">
      <c r="A1300" s="801">
        <v>45947</v>
      </c>
      <c r="B1300" s="670">
        <v>3583.72</v>
      </c>
      <c r="C1300" s="37">
        <v>7927</v>
      </c>
      <c r="D1300" s="37">
        <v>412</v>
      </c>
      <c r="E1300" s="37">
        <v>20</v>
      </c>
      <c r="F1300" s="670">
        <v>130667</v>
      </c>
      <c r="G1300" s="37">
        <v>160</v>
      </c>
      <c r="H1300" s="37">
        <v>20</v>
      </c>
      <c r="I1300" s="37">
        <v>21</v>
      </c>
      <c r="J1300" s="527">
        <f t="shared" si="231"/>
        <v>0.0519742651696733</v>
      </c>
      <c r="K1300" s="687">
        <f t="shared" si="232"/>
        <v>8.69834951456311</v>
      </c>
      <c r="L1300" s="41">
        <f t="shared" si="224"/>
        <v>452.090324208402</v>
      </c>
      <c r="M1300" s="702">
        <f t="shared" si="230"/>
        <v>36.4612748763854</v>
      </c>
      <c r="N1300" s="39">
        <f t="shared" si="225"/>
        <v>0.0485436893203883</v>
      </c>
      <c r="O1300" s="558">
        <f t="shared" si="226"/>
        <v>6533.35</v>
      </c>
      <c r="P1300" s="559">
        <f t="shared" si="229"/>
        <v>179.186</v>
      </c>
      <c r="Q1300" s="41">
        <f t="shared" si="227"/>
        <v>22.39825</v>
      </c>
      <c r="R1300" s="1021">
        <f t="shared" si="228"/>
        <v>0.388349514563107</v>
      </c>
    </row>
    <row r="1301" spans="1:18">
      <c r="A1301" s="801">
        <v>45948</v>
      </c>
      <c r="B1301" s="670">
        <v>3837.7</v>
      </c>
      <c r="C1301" s="37">
        <v>10075</v>
      </c>
      <c r="D1301" s="37">
        <v>335</v>
      </c>
      <c r="E1301" s="37">
        <v>28</v>
      </c>
      <c r="F1301" s="670">
        <v>292039</v>
      </c>
      <c r="G1301" s="37">
        <v>104</v>
      </c>
      <c r="H1301" s="37">
        <v>10</v>
      </c>
      <c r="I1301" s="37">
        <v>14</v>
      </c>
      <c r="J1301" s="527">
        <f t="shared" si="231"/>
        <v>0.0332506203473945</v>
      </c>
      <c r="K1301" s="687">
        <f t="shared" si="232"/>
        <v>11.4558208955224</v>
      </c>
      <c r="L1301" s="41">
        <f t="shared" si="224"/>
        <v>380.913151364764</v>
      </c>
      <c r="M1301" s="702">
        <f t="shared" si="230"/>
        <v>76.0974020897934</v>
      </c>
      <c r="N1301" s="39">
        <f t="shared" si="225"/>
        <v>0.0835820895522388</v>
      </c>
      <c r="O1301" s="558">
        <f t="shared" si="226"/>
        <v>10429.9642857143</v>
      </c>
      <c r="P1301" s="559">
        <f t="shared" si="229"/>
        <v>137.060714285714</v>
      </c>
      <c r="Q1301" s="41">
        <f t="shared" si="227"/>
        <v>36.9009615384615</v>
      </c>
      <c r="R1301" s="1021">
        <f t="shared" si="228"/>
        <v>0.31044776119403</v>
      </c>
    </row>
    <row r="1302" spans="1:18">
      <c r="A1302" s="801">
        <v>45949</v>
      </c>
      <c r="B1302" s="670">
        <v>2882.19</v>
      </c>
      <c r="C1302" s="37">
        <v>7253</v>
      </c>
      <c r="D1302" s="37">
        <v>277</v>
      </c>
      <c r="E1302" s="37">
        <v>13</v>
      </c>
      <c r="F1302" s="670">
        <v>118965</v>
      </c>
      <c r="G1302" s="37">
        <v>62</v>
      </c>
      <c r="H1302" s="37">
        <v>5</v>
      </c>
      <c r="I1302" s="37">
        <v>20</v>
      </c>
      <c r="J1302" s="527">
        <f t="shared" si="231"/>
        <v>0.0381910933406866</v>
      </c>
      <c r="K1302" s="687">
        <f t="shared" si="232"/>
        <v>10.4050180505415</v>
      </c>
      <c r="L1302" s="41">
        <f t="shared" si="224"/>
        <v>397.37901557976</v>
      </c>
      <c r="M1302" s="702">
        <f t="shared" si="230"/>
        <v>41.2759047807396</v>
      </c>
      <c r="N1302" s="39">
        <f t="shared" si="225"/>
        <v>0.0469314079422383</v>
      </c>
      <c r="O1302" s="558">
        <f t="shared" si="226"/>
        <v>9151.15384615385</v>
      </c>
      <c r="P1302" s="559">
        <f t="shared" si="229"/>
        <v>221.706923076923</v>
      </c>
      <c r="Q1302" s="41">
        <f t="shared" si="227"/>
        <v>46.486935483871</v>
      </c>
      <c r="R1302" s="1021">
        <f t="shared" si="228"/>
        <v>0.223826714801444</v>
      </c>
    </row>
    <row r="1303" spans="1:18">
      <c r="A1303" s="801">
        <v>45950</v>
      </c>
      <c r="B1303" s="670">
        <v>3248.15</v>
      </c>
      <c r="C1303" s="37">
        <v>6977</v>
      </c>
      <c r="D1303" s="37">
        <v>372</v>
      </c>
      <c r="E1303" s="37">
        <v>35</v>
      </c>
      <c r="F1303" s="670">
        <v>325458</v>
      </c>
      <c r="G1303" s="37">
        <v>131</v>
      </c>
      <c r="H1303" s="37">
        <v>13</v>
      </c>
      <c r="I1303" s="37">
        <v>26</v>
      </c>
      <c r="J1303" s="527">
        <f t="shared" si="231"/>
        <v>0.0533180450050165</v>
      </c>
      <c r="K1303" s="687">
        <f t="shared" si="232"/>
        <v>8.73158602150538</v>
      </c>
      <c r="L1303" s="41">
        <f t="shared" si="224"/>
        <v>465.551096459796</v>
      </c>
      <c r="M1303" s="702">
        <f t="shared" si="230"/>
        <v>100.197958838108</v>
      </c>
      <c r="N1303" s="39">
        <f t="shared" si="225"/>
        <v>0.0940860215053763</v>
      </c>
      <c r="O1303" s="558">
        <f t="shared" si="226"/>
        <v>9298.8</v>
      </c>
      <c r="P1303" s="559">
        <f t="shared" si="229"/>
        <v>92.8042857142857</v>
      </c>
      <c r="Q1303" s="41">
        <f t="shared" si="227"/>
        <v>24.7950381679389</v>
      </c>
      <c r="R1303" s="1021">
        <f t="shared" si="228"/>
        <v>0.352150537634409</v>
      </c>
    </row>
    <row r="1304" spans="1:18">
      <c r="A1304" s="801">
        <v>45951</v>
      </c>
      <c r="B1304" s="670">
        <v>3168.59</v>
      </c>
      <c r="C1304" s="37">
        <v>6988</v>
      </c>
      <c r="D1304" s="37">
        <v>312</v>
      </c>
      <c r="E1304" s="37">
        <v>26</v>
      </c>
      <c r="F1304" s="670">
        <v>243714</v>
      </c>
      <c r="G1304" s="37">
        <v>116</v>
      </c>
      <c r="H1304" s="37">
        <v>4</v>
      </c>
      <c r="I1304" s="37">
        <v>26</v>
      </c>
      <c r="J1304" s="527">
        <f t="shared" si="231"/>
        <v>0.0446479679450487</v>
      </c>
      <c r="K1304" s="687">
        <f t="shared" si="232"/>
        <v>10.1557371794872</v>
      </c>
      <c r="L1304" s="41">
        <f t="shared" si="224"/>
        <v>453.433028048082</v>
      </c>
      <c r="M1304" s="702">
        <f t="shared" si="230"/>
        <v>76.9155996831398</v>
      </c>
      <c r="N1304" s="39">
        <f t="shared" si="225"/>
        <v>0.0833333333333333</v>
      </c>
      <c r="O1304" s="558">
        <f t="shared" si="226"/>
        <v>9373.61538461538</v>
      </c>
      <c r="P1304" s="559">
        <f t="shared" si="229"/>
        <v>121.868846153846</v>
      </c>
      <c r="Q1304" s="41">
        <f t="shared" si="227"/>
        <v>27.3154310344828</v>
      </c>
      <c r="R1304" s="1021">
        <f t="shared" si="228"/>
        <v>0.371794871794872</v>
      </c>
    </row>
    <row r="1305" spans="1:18">
      <c r="A1305" s="801">
        <v>45952</v>
      </c>
      <c r="B1305" s="670">
        <v>3043.38</v>
      </c>
      <c r="C1305" s="37">
        <v>7056</v>
      </c>
      <c r="D1305" s="37">
        <v>239</v>
      </c>
      <c r="E1305" s="37">
        <v>24</v>
      </c>
      <c r="F1305" s="670">
        <v>198504</v>
      </c>
      <c r="G1305" s="37">
        <v>119</v>
      </c>
      <c r="H1305" s="37">
        <v>9</v>
      </c>
      <c r="I1305" s="37">
        <v>19</v>
      </c>
      <c r="J1305" s="527">
        <f t="shared" si="231"/>
        <v>0.0338718820861678</v>
      </c>
      <c r="K1305" s="687">
        <f t="shared" si="232"/>
        <v>12.7338075313808</v>
      </c>
      <c r="L1305" s="41">
        <f t="shared" si="224"/>
        <v>431.318027210884</v>
      </c>
      <c r="M1305" s="702">
        <f t="shared" si="230"/>
        <v>65.2248486879719</v>
      </c>
      <c r="N1305" s="39">
        <f t="shared" si="225"/>
        <v>0.100418410041841</v>
      </c>
      <c r="O1305" s="558">
        <f t="shared" si="226"/>
        <v>8271</v>
      </c>
      <c r="P1305" s="559">
        <f t="shared" si="229"/>
        <v>126.8075</v>
      </c>
      <c r="Q1305" s="41">
        <f t="shared" si="227"/>
        <v>25.5746218487395</v>
      </c>
      <c r="R1305" s="1021">
        <f t="shared" si="228"/>
        <v>0.497907949790795</v>
      </c>
    </row>
    <row r="1306" spans="1:18">
      <c r="A1306" s="801">
        <v>45953</v>
      </c>
      <c r="B1306" s="670">
        <v>3151.08</v>
      </c>
      <c r="C1306" s="37">
        <v>7124</v>
      </c>
      <c r="D1306" s="37">
        <v>323</v>
      </c>
      <c r="E1306" s="37">
        <v>14</v>
      </c>
      <c r="F1306" s="670">
        <v>177911</v>
      </c>
      <c r="G1306" s="37">
        <v>90</v>
      </c>
      <c r="H1306" s="37">
        <v>8</v>
      </c>
      <c r="I1306" s="37">
        <v>20</v>
      </c>
      <c r="J1306" s="527">
        <f t="shared" si="231"/>
        <v>0.0453396967995508</v>
      </c>
      <c r="K1306" s="687">
        <f t="shared" si="232"/>
        <v>9.75566563467492</v>
      </c>
      <c r="L1306" s="41">
        <f t="shared" si="224"/>
        <v>442.318921953958</v>
      </c>
      <c r="M1306" s="702">
        <f t="shared" si="230"/>
        <v>56.4603247140663</v>
      </c>
      <c r="N1306" s="39">
        <f t="shared" si="225"/>
        <v>0.043343653250774</v>
      </c>
      <c r="O1306" s="558">
        <f t="shared" si="226"/>
        <v>12707.9285714286</v>
      </c>
      <c r="P1306" s="559">
        <f t="shared" si="229"/>
        <v>225.077142857143</v>
      </c>
      <c r="Q1306" s="41">
        <f t="shared" si="227"/>
        <v>35.012</v>
      </c>
      <c r="R1306" s="1021">
        <f t="shared" si="228"/>
        <v>0.278637770897833</v>
      </c>
    </row>
    <row r="1307" spans="1:18">
      <c r="A1307" s="801">
        <v>45954</v>
      </c>
      <c r="B1307" s="670">
        <v>2930.98</v>
      </c>
      <c r="C1307" s="37">
        <v>6973</v>
      </c>
      <c r="D1307" s="37">
        <v>227</v>
      </c>
      <c r="E1307" s="37">
        <v>6</v>
      </c>
      <c r="F1307" s="670">
        <v>53863</v>
      </c>
      <c r="G1307" s="37">
        <v>77</v>
      </c>
      <c r="H1307" s="37">
        <v>6</v>
      </c>
      <c r="I1307" s="37">
        <v>9</v>
      </c>
      <c r="J1307" s="527">
        <f t="shared" si="231"/>
        <v>0.0325541373870644</v>
      </c>
      <c r="K1307" s="687">
        <f t="shared" si="232"/>
        <v>12.9118061674009</v>
      </c>
      <c r="L1307" s="41">
        <f t="shared" si="224"/>
        <v>420.332711888714</v>
      </c>
      <c r="M1307" s="702">
        <f t="shared" si="230"/>
        <v>18.3771298337075</v>
      </c>
      <c r="N1307" s="39">
        <f t="shared" si="225"/>
        <v>0.026431718061674</v>
      </c>
      <c r="O1307" s="558">
        <f t="shared" si="226"/>
        <v>8977.16666666667</v>
      </c>
      <c r="P1307" s="559">
        <f t="shared" si="229"/>
        <v>488.496666666667</v>
      </c>
      <c r="Q1307" s="41">
        <f t="shared" si="227"/>
        <v>38.0646753246753</v>
      </c>
      <c r="R1307" s="1021">
        <f t="shared" si="228"/>
        <v>0.33920704845815</v>
      </c>
    </row>
    <row r="1308" spans="1:18">
      <c r="A1308" s="801">
        <v>45955</v>
      </c>
      <c r="B1308" s="670">
        <v>3588.49</v>
      </c>
      <c r="C1308" s="37">
        <v>9572</v>
      </c>
      <c r="D1308" s="37">
        <v>245</v>
      </c>
      <c r="E1308" s="37">
        <v>13</v>
      </c>
      <c r="F1308" s="670">
        <v>134617</v>
      </c>
      <c r="G1308" s="37">
        <v>74</v>
      </c>
      <c r="H1308" s="37">
        <v>10</v>
      </c>
      <c r="I1308" s="37">
        <v>11</v>
      </c>
      <c r="J1308" s="527">
        <f t="shared" si="231"/>
        <v>0.0255954868366068</v>
      </c>
      <c r="K1308" s="687">
        <f t="shared" si="232"/>
        <v>14.6468979591837</v>
      </c>
      <c r="L1308" s="41">
        <f t="shared" si="224"/>
        <v>374.894483911408</v>
      </c>
      <c r="M1308" s="702">
        <f t="shared" si="230"/>
        <v>37.5135502676613</v>
      </c>
      <c r="N1308" s="39">
        <f t="shared" si="225"/>
        <v>0.0530612244897959</v>
      </c>
      <c r="O1308" s="558">
        <f t="shared" si="226"/>
        <v>10355.1538461538</v>
      </c>
      <c r="P1308" s="559">
        <f t="shared" si="229"/>
        <v>276.037692307692</v>
      </c>
      <c r="Q1308" s="41">
        <f t="shared" si="227"/>
        <v>48.4931081081081</v>
      </c>
      <c r="R1308" s="1021">
        <f t="shared" si="228"/>
        <v>0.302040816326531</v>
      </c>
    </row>
    <row r="1309" spans="1:18">
      <c r="A1309" s="801">
        <v>45956</v>
      </c>
      <c r="B1309" s="670">
        <v>3455.65</v>
      </c>
      <c r="C1309" s="37">
        <v>8672</v>
      </c>
      <c r="D1309" s="37">
        <v>289</v>
      </c>
      <c r="E1309" s="37">
        <v>15</v>
      </c>
      <c r="F1309" s="670">
        <v>140299</v>
      </c>
      <c r="G1309" s="37">
        <v>100</v>
      </c>
      <c r="H1309" s="37">
        <v>3</v>
      </c>
      <c r="I1309" s="37">
        <v>20</v>
      </c>
      <c r="J1309" s="527">
        <f t="shared" si="231"/>
        <v>0.0333256457564576</v>
      </c>
      <c r="K1309" s="687">
        <f t="shared" si="232"/>
        <v>11.9572664359862</v>
      </c>
      <c r="L1309" s="41">
        <f t="shared" si="224"/>
        <v>398.483625461255</v>
      </c>
      <c r="M1309" s="702">
        <f t="shared" si="230"/>
        <v>40.5998871413482</v>
      </c>
      <c r="N1309" s="39">
        <f t="shared" si="225"/>
        <v>0.0519031141868512</v>
      </c>
      <c r="O1309" s="558">
        <f t="shared" si="226"/>
        <v>9353.26666666667</v>
      </c>
      <c r="P1309" s="559">
        <f t="shared" si="229"/>
        <v>230.376666666667</v>
      </c>
      <c r="Q1309" s="41">
        <f t="shared" si="227"/>
        <v>34.5565</v>
      </c>
      <c r="R1309" s="1021">
        <f t="shared" si="228"/>
        <v>0.346020761245675</v>
      </c>
    </row>
    <row r="1310" spans="1:18">
      <c r="A1310" s="801">
        <v>45957</v>
      </c>
      <c r="B1310" s="670">
        <v>2681.36</v>
      </c>
      <c r="C1310" s="37">
        <v>6248</v>
      </c>
      <c r="D1310" s="37">
        <v>251</v>
      </c>
      <c r="E1310" s="37">
        <v>12</v>
      </c>
      <c r="F1310" s="670">
        <v>89685</v>
      </c>
      <c r="G1310" s="37">
        <v>76</v>
      </c>
      <c r="H1310" s="37">
        <v>4</v>
      </c>
      <c r="I1310" s="37">
        <v>8</v>
      </c>
      <c r="J1310" s="527">
        <f t="shared" si="231"/>
        <v>0.0401728553137004</v>
      </c>
      <c r="K1310" s="687">
        <f t="shared" si="232"/>
        <v>10.6827091633466</v>
      </c>
      <c r="L1310" s="41">
        <f t="shared" si="224"/>
        <v>429.154929577465</v>
      </c>
      <c r="M1310" s="702">
        <f t="shared" si="230"/>
        <v>33.4475788405884</v>
      </c>
      <c r="N1310" s="39">
        <f t="shared" si="225"/>
        <v>0.047808764940239</v>
      </c>
      <c r="O1310" s="558">
        <f t="shared" si="226"/>
        <v>7473.75</v>
      </c>
      <c r="P1310" s="559">
        <f t="shared" si="229"/>
        <v>223.446666666667</v>
      </c>
      <c r="Q1310" s="41">
        <f t="shared" si="227"/>
        <v>35.281052631579</v>
      </c>
      <c r="R1310" s="1021">
        <f t="shared" si="228"/>
        <v>0.302788844621514</v>
      </c>
    </row>
    <row r="1311" spans="1:18">
      <c r="A1311" s="801">
        <v>45958</v>
      </c>
      <c r="B1311" s="670">
        <v>2430.03</v>
      </c>
      <c r="C1311" s="37">
        <v>5904</v>
      </c>
      <c r="D1311" s="37">
        <v>229</v>
      </c>
      <c r="E1311" s="37">
        <v>9</v>
      </c>
      <c r="F1311" s="670">
        <v>79887</v>
      </c>
      <c r="G1311" s="37">
        <v>65</v>
      </c>
      <c r="H1311" s="37">
        <v>3</v>
      </c>
      <c r="I1311" s="37">
        <v>8</v>
      </c>
      <c r="J1311" s="527">
        <f t="shared" si="231"/>
        <v>0.0387872628726287</v>
      </c>
      <c r="K1311" s="687">
        <f t="shared" si="232"/>
        <v>10.6114847161572</v>
      </c>
      <c r="L1311" s="41">
        <f t="shared" si="224"/>
        <v>411.590447154472</v>
      </c>
      <c r="M1311" s="702">
        <f t="shared" si="230"/>
        <v>32.874902778978</v>
      </c>
      <c r="N1311" s="39">
        <f t="shared" si="225"/>
        <v>0.0393013100436681</v>
      </c>
      <c r="O1311" s="558">
        <f t="shared" si="226"/>
        <v>8876.33333333333</v>
      </c>
      <c r="P1311" s="559">
        <f t="shared" si="229"/>
        <v>270.003333333333</v>
      </c>
      <c r="Q1311" s="41">
        <f t="shared" si="227"/>
        <v>37.3850769230769</v>
      </c>
      <c r="R1311" s="1021">
        <f t="shared" si="228"/>
        <v>0.283842794759825</v>
      </c>
    </row>
    <row r="1312" spans="1:18">
      <c r="A1312" s="801">
        <v>45959</v>
      </c>
      <c r="B1312" s="670">
        <v>2431.09</v>
      </c>
      <c r="C1312" s="37">
        <v>5810</v>
      </c>
      <c r="D1312" s="37">
        <v>202</v>
      </c>
      <c r="E1312" s="37">
        <v>6</v>
      </c>
      <c r="F1312" s="670">
        <v>69436</v>
      </c>
      <c r="G1312" s="37">
        <v>47</v>
      </c>
      <c r="H1312" s="37">
        <v>4</v>
      </c>
      <c r="I1312" s="37">
        <v>11</v>
      </c>
      <c r="J1312" s="527">
        <f t="shared" si="231"/>
        <v>0.0347676419965577</v>
      </c>
      <c r="K1312" s="687">
        <f t="shared" si="232"/>
        <v>12.035099009901</v>
      </c>
      <c r="L1312" s="41">
        <f t="shared" si="224"/>
        <v>418.432013769363</v>
      </c>
      <c r="M1312" s="702">
        <f t="shared" si="230"/>
        <v>28.5616739816296</v>
      </c>
      <c r="N1312" s="39">
        <f t="shared" si="225"/>
        <v>0.0297029702970297</v>
      </c>
      <c r="O1312" s="558">
        <f t="shared" si="226"/>
        <v>11572.6666666667</v>
      </c>
      <c r="P1312" s="559">
        <f t="shared" si="229"/>
        <v>405.181666666667</v>
      </c>
      <c r="Q1312" s="41">
        <f t="shared" si="227"/>
        <v>51.7253191489362</v>
      </c>
      <c r="R1312" s="1021">
        <f t="shared" si="228"/>
        <v>0.232673267326733</v>
      </c>
    </row>
    <row r="1313" spans="1:18">
      <c r="A1313" s="801">
        <v>45960</v>
      </c>
      <c r="B1313" s="670">
        <v>2416.89</v>
      </c>
      <c r="C1313" s="37">
        <v>5994</v>
      </c>
      <c r="D1313" s="37">
        <v>200</v>
      </c>
      <c r="E1313" s="37">
        <v>5</v>
      </c>
      <c r="F1313" s="670">
        <v>34594</v>
      </c>
      <c r="G1313" s="37">
        <v>61</v>
      </c>
      <c r="H1313" s="37">
        <v>3</v>
      </c>
      <c r="I1313" s="37">
        <v>8</v>
      </c>
      <c r="J1313" s="527">
        <f t="shared" si="231"/>
        <v>0.0333667000333667</v>
      </c>
      <c r="K1313" s="687">
        <f t="shared" si="232"/>
        <v>12.08445</v>
      </c>
      <c r="L1313" s="41">
        <f t="shared" si="224"/>
        <v>403.218218218218</v>
      </c>
      <c r="M1313" s="702">
        <f t="shared" si="230"/>
        <v>14.3134358617893</v>
      </c>
      <c r="N1313" s="39">
        <f t="shared" si="225"/>
        <v>0.025</v>
      </c>
      <c r="O1313" s="558">
        <f t="shared" si="226"/>
        <v>6918.8</v>
      </c>
      <c r="P1313" s="559">
        <f t="shared" si="229"/>
        <v>483.378</v>
      </c>
      <c r="Q1313" s="41">
        <f t="shared" si="227"/>
        <v>39.6211475409836</v>
      </c>
      <c r="R1313" s="1021">
        <f t="shared" si="228"/>
        <v>0.305</v>
      </c>
    </row>
    <row r="1314" spans="1:18">
      <c r="A1314" s="801">
        <v>45961</v>
      </c>
      <c r="B1314" s="670">
        <v>2415.78</v>
      </c>
      <c r="C1314" s="37">
        <v>6054</v>
      </c>
      <c r="D1314" s="37">
        <v>183</v>
      </c>
      <c r="E1314" s="37">
        <v>7</v>
      </c>
      <c r="F1314" s="670">
        <v>59965</v>
      </c>
      <c r="G1314" s="37">
        <v>49</v>
      </c>
      <c r="H1314" s="37">
        <v>9</v>
      </c>
      <c r="I1314" s="37">
        <v>7</v>
      </c>
      <c r="J1314" s="527">
        <f t="shared" si="231"/>
        <v>0.0302279484638256</v>
      </c>
      <c r="K1314" s="687">
        <f t="shared" si="232"/>
        <v>13.2009836065574</v>
      </c>
      <c r="L1314" s="41">
        <f t="shared" si="224"/>
        <v>399.038652130823</v>
      </c>
      <c r="M1314" s="702">
        <f t="shared" si="230"/>
        <v>24.8222106317628</v>
      </c>
      <c r="N1314" s="39">
        <f t="shared" si="225"/>
        <v>0.0382513661202186</v>
      </c>
      <c r="O1314" s="558">
        <f t="shared" si="226"/>
        <v>8566.42857142857</v>
      </c>
      <c r="P1314" s="559">
        <f t="shared" si="229"/>
        <v>345.111428571429</v>
      </c>
      <c r="Q1314" s="41">
        <f t="shared" si="227"/>
        <v>49.3016326530612</v>
      </c>
      <c r="R1314" s="1021">
        <f t="shared" si="228"/>
        <v>0.26775956284153</v>
      </c>
    </row>
    <row r="1315" spans="1:18">
      <c r="A1315" s="801">
        <v>45962</v>
      </c>
      <c r="B1315" s="670">
        <v>2375.62</v>
      </c>
      <c r="C1315" s="37">
        <v>6552</v>
      </c>
      <c r="D1315" s="37">
        <v>129</v>
      </c>
      <c r="E1315" s="37">
        <v>8</v>
      </c>
      <c r="F1315" s="670">
        <v>78552</v>
      </c>
      <c r="G1315" s="37">
        <v>31</v>
      </c>
      <c r="H1315" s="37">
        <v>6</v>
      </c>
      <c r="I1315" s="37">
        <v>7</v>
      </c>
      <c r="J1315" s="527">
        <f t="shared" si="231"/>
        <v>0.0196886446886447</v>
      </c>
      <c r="K1315" s="687">
        <f t="shared" si="232"/>
        <v>18.4156589147287</v>
      </c>
      <c r="L1315" s="41">
        <f t="shared" si="224"/>
        <v>362.579365079365</v>
      </c>
      <c r="M1315" s="702">
        <f t="shared" si="230"/>
        <v>33.0658943770468</v>
      </c>
      <c r="N1315" s="39">
        <f t="shared" si="225"/>
        <v>0.062015503875969</v>
      </c>
      <c r="O1315" s="558">
        <f t="shared" si="226"/>
        <v>9819</v>
      </c>
      <c r="P1315" s="559">
        <f t="shared" si="229"/>
        <v>296.9525</v>
      </c>
      <c r="Q1315" s="41">
        <f t="shared" si="227"/>
        <v>76.6329032258064</v>
      </c>
      <c r="R1315" s="1021">
        <f t="shared" si="228"/>
        <v>0.24031007751938</v>
      </c>
    </row>
    <row r="1316" spans="1:18">
      <c r="A1316" s="801">
        <v>45963</v>
      </c>
      <c r="B1316" s="670">
        <v>2411.32</v>
      </c>
      <c r="C1316" s="37">
        <v>6475</v>
      </c>
      <c r="D1316" s="37">
        <v>176</v>
      </c>
      <c r="E1316" s="37">
        <v>4</v>
      </c>
      <c r="F1316" s="670">
        <v>47202</v>
      </c>
      <c r="G1316" s="37">
        <v>37</v>
      </c>
      <c r="H1316" s="37">
        <v>1</v>
      </c>
      <c r="I1316" s="37">
        <v>7</v>
      </c>
      <c r="J1316" s="527">
        <f t="shared" si="231"/>
        <v>0.0271814671814672</v>
      </c>
      <c r="K1316" s="687">
        <f t="shared" si="232"/>
        <v>13.7006818181818</v>
      </c>
      <c r="L1316" s="41">
        <f t="shared" si="224"/>
        <v>372.404633204633</v>
      </c>
      <c r="M1316" s="702">
        <f t="shared" si="230"/>
        <v>19.5751704460627</v>
      </c>
      <c r="N1316" s="39">
        <f t="shared" si="225"/>
        <v>0.0227272727272727</v>
      </c>
      <c r="O1316" s="558">
        <f t="shared" si="226"/>
        <v>11800.5</v>
      </c>
      <c r="P1316" s="559">
        <f t="shared" si="229"/>
        <v>602.83</v>
      </c>
      <c r="Q1316" s="41">
        <f t="shared" si="227"/>
        <v>65.1708108108108</v>
      </c>
      <c r="R1316" s="1021">
        <f t="shared" si="228"/>
        <v>0.210227272727273</v>
      </c>
    </row>
    <row r="1317" spans="1:18">
      <c r="A1317" s="801">
        <v>45964</v>
      </c>
      <c r="B1317" s="670">
        <v>2412.84</v>
      </c>
      <c r="C1317" s="37">
        <v>5936</v>
      </c>
      <c r="D1317" s="37">
        <v>168</v>
      </c>
      <c r="E1317" s="37">
        <v>11</v>
      </c>
      <c r="F1317" s="670">
        <v>61133</v>
      </c>
      <c r="G1317" s="37">
        <v>44</v>
      </c>
      <c r="H1317" s="37">
        <v>2</v>
      </c>
      <c r="I1317" s="37">
        <v>10</v>
      </c>
      <c r="J1317" s="527">
        <f t="shared" si="231"/>
        <v>0.0283018867924528</v>
      </c>
      <c r="K1317" s="687">
        <f t="shared" si="232"/>
        <v>14.3621428571429</v>
      </c>
      <c r="L1317" s="41">
        <f t="shared" si="224"/>
        <v>406.475741239892</v>
      </c>
      <c r="M1317" s="702">
        <f t="shared" si="230"/>
        <v>25.3365328824124</v>
      </c>
      <c r="N1317" s="39">
        <f t="shared" si="225"/>
        <v>0.0654761904761905</v>
      </c>
      <c r="O1317" s="558">
        <f t="shared" si="226"/>
        <v>5557.54545454545</v>
      </c>
      <c r="P1317" s="559">
        <f t="shared" si="229"/>
        <v>219.349090909091</v>
      </c>
      <c r="Q1317" s="41">
        <f t="shared" si="227"/>
        <v>54.8372727272727</v>
      </c>
      <c r="R1317" s="1021">
        <f t="shared" si="228"/>
        <v>0.261904761904762</v>
      </c>
    </row>
    <row r="1318" spans="1:18">
      <c r="A1318" s="801">
        <v>45965</v>
      </c>
      <c r="B1318" s="670">
        <v>2841.81</v>
      </c>
      <c r="C1318" s="37">
        <v>6912</v>
      </c>
      <c r="D1318" s="37">
        <v>256</v>
      </c>
      <c r="E1318" s="37">
        <v>16</v>
      </c>
      <c r="F1318" s="670">
        <v>120534</v>
      </c>
      <c r="G1318" s="37">
        <v>62</v>
      </c>
      <c r="H1318" s="37">
        <v>8</v>
      </c>
      <c r="I1318" s="37">
        <v>5</v>
      </c>
      <c r="J1318" s="527">
        <f t="shared" si="231"/>
        <v>0.037037037037037</v>
      </c>
      <c r="K1318" s="687">
        <f t="shared" si="232"/>
        <v>11.1008203125</v>
      </c>
      <c r="L1318" s="41">
        <f t="shared" si="224"/>
        <v>411.141493055556</v>
      </c>
      <c r="M1318" s="702">
        <f t="shared" si="230"/>
        <v>42.4145175082078</v>
      </c>
      <c r="N1318" s="39">
        <f t="shared" si="225"/>
        <v>0.0625</v>
      </c>
      <c r="O1318" s="558">
        <f t="shared" si="226"/>
        <v>7533.375</v>
      </c>
      <c r="P1318" s="559">
        <f t="shared" si="229"/>
        <v>177.613125</v>
      </c>
      <c r="Q1318" s="41">
        <f t="shared" si="227"/>
        <v>45.8356451612903</v>
      </c>
      <c r="R1318" s="1021">
        <f t="shared" si="228"/>
        <v>0.2421875</v>
      </c>
    </row>
    <row r="1319" spans="1:18">
      <c r="A1319" s="801">
        <v>45966</v>
      </c>
      <c r="B1319" s="670">
        <v>2738.68</v>
      </c>
      <c r="C1319" s="38">
        <v>6708</v>
      </c>
      <c r="D1319" s="37">
        <v>225</v>
      </c>
      <c r="E1319" s="37">
        <v>10</v>
      </c>
      <c r="F1319" s="670">
        <v>49135</v>
      </c>
      <c r="G1319" s="37">
        <v>43</v>
      </c>
      <c r="H1319" s="37">
        <v>3</v>
      </c>
      <c r="I1319" s="37">
        <v>8</v>
      </c>
      <c r="J1319" s="527">
        <f t="shared" si="231"/>
        <v>0.0335420393559928</v>
      </c>
      <c r="K1319" s="687">
        <f t="shared" si="232"/>
        <v>12.1719111111111</v>
      </c>
      <c r="L1319" s="41">
        <f t="shared" si="224"/>
        <v>408.270721526535</v>
      </c>
      <c r="M1319" s="702">
        <f t="shared" si="230"/>
        <v>17.941124921495</v>
      </c>
      <c r="N1319" s="39">
        <f t="shared" si="225"/>
        <v>0.0444444444444444</v>
      </c>
      <c r="O1319" s="558">
        <f t="shared" si="226"/>
        <v>4913.5</v>
      </c>
      <c r="P1319" s="559">
        <f t="shared" si="229"/>
        <v>273.868</v>
      </c>
      <c r="Q1319" s="41">
        <f t="shared" si="227"/>
        <v>63.6902325581395</v>
      </c>
      <c r="R1319" s="1021">
        <f t="shared" si="228"/>
        <v>0.191111111111111</v>
      </c>
    </row>
    <row r="1320" spans="1:18">
      <c r="A1320" s="801">
        <v>45967</v>
      </c>
      <c r="B1320" s="670">
        <v>2772.92</v>
      </c>
      <c r="C1320" s="37">
        <v>7072</v>
      </c>
      <c r="D1320" s="37">
        <v>172</v>
      </c>
      <c r="E1320" s="37">
        <v>11</v>
      </c>
      <c r="F1320" s="670">
        <v>128148</v>
      </c>
      <c r="G1320" s="37">
        <v>54</v>
      </c>
      <c r="H1320" s="37">
        <v>2</v>
      </c>
      <c r="I1320" s="37">
        <v>12</v>
      </c>
      <c r="J1320" s="527">
        <f t="shared" si="231"/>
        <v>0.0243212669683258</v>
      </c>
      <c r="K1320" s="687">
        <f t="shared" si="232"/>
        <v>16.1216279069767</v>
      </c>
      <c r="L1320" s="41">
        <f t="shared" si="224"/>
        <v>392.098416289593</v>
      </c>
      <c r="M1320" s="702">
        <f t="shared" si="230"/>
        <v>46.2140992167102</v>
      </c>
      <c r="N1320" s="39">
        <f t="shared" si="225"/>
        <v>0.063953488372093</v>
      </c>
      <c r="O1320" s="558">
        <f t="shared" si="226"/>
        <v>11649.8181818182</v>
      </c>
      <c r="P1320" s="559">
        <f t="shared" si="229"/>
        <v>252.083636363636</v>
      </c>
      <c r="Q1320" s="41">
        <f t="shared" si="227"/>
        <v>51.3503703703704</v>
      </c>
      <c r="R1320" s="1021">
        <f t="shared" si="228"/>
        <v>0.313953488372093</v>
      </c>
    </row>
    <row r="1321" spans="1:18">
      <c r="A1321" s="801">
        <v>45968</v>
      </c>
      <c r="B1321" s="670">
        <v>2883.23</v>
      </c>
      <c r="C1321" s="37">
        <v>7353</v>
      </c>
      <c r="D1321" s="37">
        <v>191</v>
      </c>
      <c r="E1321" s="37">
        <v>12</v>
      </c>
      <c r="F1321" s="670">
        <v>117324</v>
      </c>
      <c r="G1321" s="37">
        <v>52</v>
      </c>
      <c r="H1321" s="37">
        <v>6</v>
      </c>
      <c r="I1321" s="37">
        <v>11</v>
      </c>
      <c r="J1321" s="527">
        <f t="shared" si="231"/>
        <v>0.0259757921936625</v>
      </c>
      <c r="K1321" s="687">
        <f t="shared" si="232"/>
        <v>15.095445026178</v>
      </c>
      <c r="L1321" s="41">
        <f t="shared" si="224"/>
        <v>392.116143070855</v>
      </c>
      <c r="M1321" s="702">
        <f t="shared" si="230"/>
        <v>40.6918629453772</v>
      </c>
      <c r="N1321" s="39">
        <f t="shared" si="225"/>
        <v>0.06282722513089</v>
      </c>
      <c r="O1321" s="558">
        <f t="shared" si="226"/>
        <v>9777</v>
      </c>
      <c r="P1321" s="559">
        <f t="shared" si="229"/>
        <v>240.269166666667</v>
      </c>
      <c r="Q1321" s="41">
        <f t="shared" si="227"/>
        <v>55.4467307692308</v>
      </c>
      <c r="R1321" s="1021">
        <f t="shared" si="228"/>
        <v>0.272251308900524</v>
      </c>
    </row>
    <row r="1322" spans="1:18">
      <c r="A1322" s="801">
        <v>45969</v>
      </c>
      <c r="B1322" s="670">
        <v>3820.12</v>
      </c>
      <c r="C1322" s="37">
        <v>10658</v>
      </c>
      <c r="D1322" s="37">
        <v>210</v>
      </c>
      <c r="E1322" s="37">
        <v>6</v>
      </c>
      <c r="F1322" s="670">
        <v>27492</v>
      </c>
      <c r="G1322" s="37">
        <v>54</v>
      </c>
      <c r="H1322" s="37">
        <v>6</v>
      </c>
      <c r="I1322" s="37">
        <v>6</v>
      </c>
      <c r="J1322" s="527">
        <f t="shared" si="231"/>
        <v>0.0197035091011447</v>
      </c>
      <c r="K1322" s="687">
        <f t="shared" si="232"/>
        <v>18.1910476190476</v>
      </c>
      <c r="L1322" s="41">
        <f t="shared" si="224"/>
        <v>358.427472321261</v>
      </c>
      <c r="M1322" s="702">
        <f t="shared" si="230"/>
        <v>7.19663256651623</v>
      </c>
      <c r="N1322" s="39">
        <f t="shared" si="225"/>
        <v>0.0285714285714286</v>
      </c>
      <c r="O1322" s="558">
        <f t="shared" si="226"/>
        <v>4582</v>
      </c>
      <c r="P1322" s="559">
        <f t="shared" si="229"/>
        <v>636.686666666667</v>
      </c>
      <c r="Q1322" s="41">
        <f t="shared" si="227"/>
        <v>70.742962962963</v>
      </c>
      <c r="R1322" s="1021">
        <f t="shared" si="228"/>
        <v>0.257142857142857</v>
      </c>
    </row>
    <row r="1323" spans="1:18">
      <c r="A1323" s="801">
        <v>45970</v>
      </c>
      <c r="B1323" s="670">
        <v>3845.33</v>
      </c>
      <c r="C1323" s="37">
        <v>8572</v>
      </c>
      <c r="D1323" s="37">
        <v>250</v>
      </c>
      <c r="E1323" s="37">
        <v>10</v>
      </c>
      <c r="F1323" s="670">
        <v>81131</v>
      </c>
      <c r="G1323" s="37">
        <v>128</v>
      </c>
      <c r="H1323" s="37">
        <v>15</v>
      </c>
      <c r="I1323" s="37">
        <v>17</v>
      </c>
      <c r="J1323" s="527">
        <f t="shared" si="231"/>
        <v>0.0291647223518432</v>
      </c>
      <c r="K1323" s="687">
        <f t="shared" si="232"/>
        <v>15.38132</v>
      </c>
      <c r="L1323" s="41">
        <f t="shared" si="224"/>
        <v>448.591927204853</v>
      </c>
      <c r="M1323" s="702">
        <f t="shared" si="230"/>
        <v>21.0985793156894</v>
      </c>
      <c r="N1323" s="39">
        <f t="shared" si="225"/>
        <v>0.04</v>
      </c>
      <c r="O1323" s="558">
        <f t="shared" si="226"/>
        <v>8113.1</v>
      </c>
      <c r="P1323" s="559">
        <f t="shared" si="229"/>
        <v>384.533</v>
      </c>
      <c r="Q1323" s="41">
        <f t="shared" si="227"/>
        <v>30.041640625</v>
      </c>
      <c r="R1323" s="1021">
        <f t="shared" si="228"/>
        <v>0.512</v>
      </c>
    </row>
    <row r="1324" spans="1:18">
      <c r="A1324" s="801">
        <v>45971</v>
      </c>
      <c r="B1324" s="670">
        <v>3238.23</v>
      </c>
      <c r="C1324" s="37">
        <v>7413</v>
      </c>
      <c r="D1324" s="37">
        <v>341</v>
      </c>
      <c r="E1324" s="37">
        <v>15</v>
      </c>
      <c r="F1324" s="670">
        <v>142792</v>
      </c>
      <c r="G1324" s="37">
        <v>86</v>
      </c>
      <c r="H1324" s="37">
        <v>10</v>
      </c>
      <c r="I1324" s="37">
        <v>17</v>
      </c>
      <c r="J1324" s="527">
        <f t="shared" si="231"/>
        <v>0.0460002697963038</v>
      </c>
      <c r="K1324" s="687">
        <f t="shared" si="232"/>
        <v>9.49627565982405</v>
      </c>
      <c r="L1324" s="41">
        <f t="shared" si="224"/>
        <v>436.831242411979</v>
      </c>
      <c r="M1324" s="702">
        <f t="shared" si="230"/>
        <v>44.0956942527245</v>
      </c>
      <c r="N1324" s="39">
        <f t="shared" si="225"/>
        <v>0.0439882697947214</v>
      </c>
      <c r="O1324" s="558">
        <f t="shared" si="226"/>
        <v>9519.46666666667</v>
      </c>
      <c r="P1324" s="559">
        <f t="shared" si="229"/>
        <v>215.882</v>
      </c>
      <c r="Q1324" s="41">
        <f t="shared" si="227"/>
        <v>37.6538372093023</v>
      </c>
      <c r="R1324" s="1021">
        <f t="shared" si="228"/>
        <v>0.252199413489736</v>
      </c>
    </row>
    <row r="1325" spans="1:18">
      <c r="A1325" s="801">
        <v>45972</v>
      </c>
      <c r="B1325" s="670">
        <v>3635.89</v>
      </c>
      <c r="C1325" s="37">
        <v>8722</v>
      </c>
      <c r="D1325" s="37">
        <v>340</v>
      </c>
      <c r="E1325" s="37">
        <v>28</v>
      </c>
      <c r="F1325" s="670">
        <v>242613</v>
      </c>
      <c r="G1325" s="37">
        <v>95</v>
      </c>
      <c r="H1325" s="37">
        <v>14</v>
      </c>
      <c r="I1325" s="37">
        <v>19</v>
      </c>
      <c r="J1325" s="527">
        <f t="shared" si="231"/>
        <v>0.038981884888787</v>
      </c>
      <c r="K1325" s="687">
        <f t="shared" si="232"/>
        <v>10.6937941176471</v>
      </c>
      <c r="L1325" s="41">
        <f t="shared" si="224"/>
        <v>416.864251318505</v>
      </c>
      <c r="M1325" s="702">
        <f t="shared" si="230"/>
        <v>66.727266226426</v>
      </c>
      <c r="N1325" s="39">
        <f t="shared" si="225"/>
        <v>0.0823529411764706</v>
      </c>
      <c r="O1325" s="558">
        <f t="shared" si="226"/>
        <v>8664.75</v>
      </c>
      <c r="P1325" s="559">
        <f t="shared" si="229"/>
        <v>129.853214285714</v>
      </c>
      <c r="Q1325" s="41">
        <f t="shared" si="227"/>
        <v>38.2725263157895</v>
      </c>
      <c r="R1325" s="1021">
        <f t="shared" si="228"/>
        <v>0.279411764705882</v>
      </c>
    </row>
    <row r="1326" spans="1:18">
      <c r="A1326" s="801">
        <v>45973</v>
      </c>
      <c r="B1326" s="670">
        <v>2457.36</v>
      </c>
      <c r="C1326" s="37">
        <v>6188</v>
      </c>
      <c r="D1326" s="37">
        <v>195</v>
      </c>
      <c r="E1326" s="37">
        <v>16</v>
      </c>
      <c r="F1326" s="670">
        <v>187732</v>
      </c>
      <c r="G1326" s="37">
        <v>51</v>
      </c>
      <c r="H1326" s="37">
        <v>2</v>
      </c>
      <c r="I1326" s="37">
        <v>11</v>
      </c>
      <c r="J1326" s="527">
        <f t="shared" si="231"/>
        <v>0.0315126050420168</v>
      </c>
      <c r="K1326" s="687">
        <f t="shared" si="232"/>
        <v>12.6018461538462</v>
      </c>
      <c r="L1326" s="41">
        <f t="shared" si="224"/>
        <v>397.117000646412</v>
      </c>
      <c r="M1326" s="702">
        <f t="shared" si="230"/>
        <v>76.3958068821825</v>
      </c>
      <c r="N1326" s="39">
        <f t="shared" si="225"/>
        <v>0.0820512820512821</v>
      </c>
      <c r="O1326" s="558">
        <f t="shared" si="226"/>
        <v>11733.25</v>
      </c>
      <c r="P1326" s="559">
        <f t="shared" si="229"/>
        <v>153.585</v>
      </c>
      <c r="Q1326" s="41">
        <f t="shared" si="227"/>
        <v>48.1835294117647</v>
      </c>
      <c r="R1326" s="1021">
        <f t="shared" si="228"/>
        <v>0.261538461538462</v>
      </c>
    </row>
    <row r="1327" spans="1:18">
      <c r="A1327" s="801">
        <v>45974</v>
      </c>
      <c r="B1327" s="670">
        <v>3126.49</v>
      </c>
      <c r="C1327" s="37">
        <v>8081</v>
      </c>
      <c r="D1327" s="37">
        <v>188</v>
      </c>
      <c r="E1327" s="37">
        <v>7</v>
      </c>
      <c r="F1327" s="670">
        <v>40674</v>
      </c>
      <c r="G1327" s="37">
        <v>50</v>
      </c>
      <c r="H1327" s="37">
        <v>3</v>
      </c>
      <c r="I1327" s="37">
        <v>9</v>
      </c>
      <c r="J1327" s="527">
        <f t="shared" si="231"/>
        <v>0.0232644474693726</v>
      </c>
      <c r="K1327" s="687">
        <f t="shared" si="232"/>
        <v>16.6302659574468</v>
      </c>
      <c r="L1327" s="41">
        <f t="shared" si="224"/>
        <v>386.893948768717</v>
      </c>
      <c r="M1327" s="702">
        <f t="shared" si="230"/>
        <v>13.0094770813276</v>
      </c>
      <c r="N1327" s="39">
        <f t="shared" si="225"/>
        <v>0.0372340425531915</v>
      </c>
      <c r="O1327" s="558">
        <f t="shared" si="226"/>
        <v>5810.57142857143</v>
      </c>
      <c r="P1327" s="559">
        <f t="shared" si="229"/>
        <v>446.641428571429</v>
      </c>
      <c r="Q1327" s="41">
        <f t="shared" si="227"/>
        <v>62.5298</v>
      </c>
      <c r="R1327" s="1021">
        <f t="shared" si="228"/>
        <v>0.265957446808511</v>
      </c>
    </row>
    <row r="1328" spans="1:18">
      <c r="A1328" s="801">
        <v>45975</v>
      </c>
      <c r="B1328" s="670">
        <v>2856.7</v>
      </c>
      <c r="C1328" s="37">
        <v>7309</v>
      </c>
      <c r="D1328" s="37">
        <v>204</v>
      </c>
      <c r="E1328" s="37">
        <v>5</v>
      </c>
      <c r="F1328" s="670">
        <v>46904</v>
      </c>
      <c r="G1328" s="37">
        <v>59</v>
      </c>
      <c r="H1328" s="37">
        <v>6</v>
      </c>
      <c r="I1328" s="37">
        <v>6</v>
      </c>
      <c r="J1328" s="527">
        <f t="shared" si="231"/>
        <v>0.0279107949103845</v>
      </c>
      <c r="K1328" s="687">
        <f t="shared" si="232"/>
        <v>14.003431372549</v>
      </c>
      <c r="L1328" s="41">
        <f t="shared" si="224"/>
        <v>390.846901080859</v>
      </c>
      <c r="M1328" s="702">
        <f t="shared" si="230"/>
        <v>16.4189449364652</v>
      </c>
      <c r="N1328" s="39">
        <f t="shared" si="225"/>
        <v>0.0245098039215686</v>
      </c>
      <c r="O1328" s="558">
        <f t="shared" si="226"/>
        <v>9380.8</v>
      </c>
      <c r="P1328" s="559">
        <f t="shared" si="229"/>
        <v>571.34</v>
      </c>
      <c r="Q1328" s="41">
        <f t="shared" si="227"/>
        <v>48.4186440677966</v>
      </c>
      <c r="R1328" s="1021">
        <f t="shared" si="228"/>
        <v>0.28921568627451</v>
      </c>
    </row>
    <row r="1329" spans="1:18">
      <c r="A1329" s="801">
        <v>45976</v>
      </c>
      <c r="B1329" s="670">
        <v>1460.24</v>
      </c>
      <c r="C1329" s="37">
        <v>3778</v>
      </c>
      <c r="D1329" s="37">
        <v>112</v>
      </c>
      <c r="E1329" s="37">
        <v>1</v>
      </c>
      <c r="F1329" s="670">
        <v>14802</v>
      </c>
      <c r="G1329" s="37">
        <v>19</v>
      </c>
      <c r="H1329" s="37">
        <v>1</v>
      </c>
      <c r="I1329" s="37">
        <v>5</v>
      </c>
      <c r="J1329" s="527">
        <f t="shared" si="231"/>
        <v>0.0296453149814717</v>
      </c>
      <c r="K1329" s="687">
        <f t="shared" si="232"/>
        <v>13.0378571428571</v>
      </c>
      <c r="L1329" s="41">
        <f t="shared" ref="L1329:L1342" si="233">B1329/C1329*1000</f>
        <v>386.51138168343</v>
      </c>
      <c r="M1329" s="702">
        <f t="shared" si="230"/>
        <v>10.1366898592012</v>
      </c>
      <c r="N1329" s="39">
        <f t="shared" ref="N1329:N1342" si="234">E1329/D1329</f>
        <v>0.00892857142857143</v>
      </c>
      <c r="O1329" s="558">
        <f t="shared" ref="O1329:O1342" si="235">IF(E1329=0,0,F1329/E1329)</f>
        <v>14802</v>
      </c>
      <c r="P1329" s="559">
        <f t="shared" si="229"/>
        <v>1460.24</v>
      </c>
      <c r="Q1329" s="41">
        <f t="shared" ref="Q1329:Q1342" si="236">B1329/G1329</f>
        <v>76.8547368421053</v>
      </c>
      <c r="R1329" s="1021">
        <f t="shared" ref="R1329:R1342" si="237">G1329/D1329</f>
        <v>0.169642857142857</v>
      </c>
    </row>
    <row r="1330" spans="1:18">
      <c r="A1330" s="801">
        <v>45977</v>
      </c>
      <c r="B1330" s="670">
        <v>1468.31</v>
      </c>
      <c r="C1330" s="37">
        <v>4575</v>
      </c>
      <c r="D1330" s="37">
        <v>99</v>
      </c>
      <c r="E1330" s="37">
        <v>0</v>
      </c>
      <c r="F1330" s="670">
        <v>0</v>
      </c>
      <c r="G1330" s="37">
        <v>6</v>
      </c>
      <c r="H1330" s="37">
        <v>1</v>
      </c>
      <c r="I1330" s="37">
        <v>10</v>
      </c>
      <c r="J1330" s="527">
        <f t="shared" si="231"/>
        <v>0.0216393442622951</v>
      </c>
      <c r="K1330" s="687">
        <f t="shared" si="232"/>
        <v>14.8314141414141</v>
      </c>
      <c r="L1330" s="41">
        <f t="shared" si="233"/>
        <v>320.942076502732</v>
      </c>
      <c r="M1330" s="702">
        <f t="shared" si="230"/>
        <v>0</v>
      </c>
      <c r="N1330" s="39">
        <f t="shared" si="234"/>
        <v>0</v>
      </c>
      <c r="O1330" s="558">
        <f t="shared" si="235"/>
        <v>0</v>
      </c>
      <c r="P1330" s="559">
        <f t="shared" si="229"/>
        <v>0</v>
      </c>
      <c r="Q1330" s="41">
        <f t="shared" si="236"/>
        <v>244.718333333333</v>
      </c>
      <c r="R1330" s="1021">
        <f t="shared" si="237"/>
        <v>0.0606060606060606</v>
      </c>
    </row>
    <row r="1331" spans="1:18">
      <c r="A1331" s="801">
        <v>45978</v>
      </c>
      <c r="B1331" s="670">
        <v>1019.59</v>
      </c>
      <c r="C1331" s="37">
        <v>3226</v>
      </c>
      <c r="D1331" s="37">
        <v>97</v>
      </c>
      <c r="E1331" s="37">
        <v>0</v>
      </c>
      <c r="F1331" s="670">
        <v>0</v>
      </c>
      <c r="G1331" s="37">
        <v>9</v>
      </c>
      <c r="H1331" s="37">
        <v>0</v>
      </c>
      <c r="I1331" s="37">
        <v>1</v>
      </c>
      <c r="J1331" s="527">
        <f t="shared" si="231"/>
        <v>0.0300681959082455</v>
      </c>
      <c r="K1331" s="687">
        <f t="shared" si="232"/>
        <v>10.5112371134021</v>
      </c>
      <c r="L1331" s="41">
        <f t="shared" si="233"/>
        <v>316.053936763794</v>
      </c>
      <c r="M1331" s="702">
        <f t="shared" si="230"/>
        <v>0</v>
      </c>
      <c r="N1331" s="39">
        <f t="shared" si="234"/>
        <v>0</v>
      </c>
      <c r="O1331" s="558">
        <f t="shared" si="235"/>
        <v>0</v>
      </c>
      <c r="P1331" s="559">
        <f t="shared" si="229"/>
        <v>0</v>
      </c>
      <c r="Q1331" s="41">
        <f t="shared" si="236"/>
        <v>113.287777777778</v>
      </c>
      <c r="R1331" s="1021">
        <f t="shared" si="237"/>
        <v>0.0927835051546392</v>
      </c>
    </row>
    <row r="1332" spans="1:18">
      <c r="A1332" s="801">
        <v>45979</v>
      </c>
      <c r="B1332" s="670">
        <v>783.73</v>
      </c>
      <c r="C1332" s="37">
        <v>2462</v>
      </c>
      <c r="D1332" s="37">
        <v>57</v>
      </c>
      <c r="E1332" s="37">
        <v>0</v>
      </c>
      <c r="F1332" s="670">
        <v>0</v>
      </c>
      <c r="G1332" s="37">
        <v>15</v>
      </c>
      <c r="H1332" s="37">
        <v>0</v>
      </c>
      <c r="I1332" s="37">
        <v>1</v>
      </c>
      <c r="J1332" s="527">
        <f t="shared" si="231"/>
        <v>0.0231519090170593</v>
      </c>
      <c r="K1332" s="687">
        <f t="shared" si="232"/>
        <v>13.749649122807</v>
      </c>
      <c r="L1332" s="41">
        <f t="shared" si="233"/>
        <v>318.330625507717</v>
      </c>
      <c r="M1332" s="702">
        <f t="shared" si="230"/>
        <v>0</v>
      </c>
      <c r="N1332" s="39">
        <f t="shared" si="234"/>
        <v>0</v>
      </c>
      <c r="O1332" s="558">
        <f t="shared" si="235"/>
        <v>0</v>
      </c>
      <c r="P1332" s="559">
        <f t="shared" ref="P1332:P1342" si="238">IF(E1332=0,0,B1332/E1332)</f>
        <v>0</v>
      </c>
      <c r="Q1332" s="41">
        <f t="shared" si="236"/>
        <v>52.2486666666667</v>
      </c>
      <c r="R1332" s="1021">
        <f t="shared" si="237"/>
        <v>0.263157894736842</v>
      </c>
    </row>
    <row r="1333" spans="1:18">
      <c r="A1333" s="801">
        <v>45980</v>
      </c>
      <c r="B1333" s="670">
        <v>765.38</v>
      </c>
      <c r="C1333" s="37">
        <v>2329</v>
      </c>
      <c r="D1333" s="37">
        <v>60</v>
      </c>
      <c r="E1333" s="37">
        <v>0</v>
      </c>
      <c r="F1333" s="670">
        <v>0</v>
      </c>
      <c r="G1333" s="37">
        <v>6</v>
      </c>
      <c r="H1333" s="37">
        <v>2</v>
      </c>
      <c r="I1333" s="37">
        <v>2</v>
      </c>
      <c r="J1333" s="527">
        <f t="shared" si="231"/>
        <v>0.025762129669386</v>
      </c>
      <c r="K1333" s="687">
        <f t="shared" si="232"/>
        <v>12.7563333333333</v>
      </c>
      <c r="L1333" s="41">
        <f t="shared" si="233"/>
        <v>328.630313439244</v>
      </c>
      <c r="M1333" s="702">
        <f t="shared" ref="M1333:M1396" si="239">F1333/B1333</f>
        <v>0</v>
      </c>
      <c r="N1333" s="39">
        <f t="shared" si="234"/>
        <v>0</v>
      </c>
      <c r="O1333" s="558">
        <f t="shared" si="235"/>
        <v>0</v>
      </c>
      <c r="P1333" s="559">
        <f t="shared" si="238"/>
        <v>0</v>
      </c>
      <c r="Q1333" s="41">
        <f t="shared" si="236"/>
        <v>127.563333333333</v>
      </c>
      <c r="R1333" s="1021">
        <f t="shared" si="237"/>
        <v>0.1</v>
      </c>
    </row>
    <row r="1334" spans="1:18">
      <c r="A1334" s="801">
        <v>45981</v>
      </c>
      <c r="B1334" s="670">
        <v>779.57</v>
      </c>
      <c r="C1334" s="37">
        <v>2567</v>
      </c>
      <c r="D1334" s="37">
        <v>56</v>
      </c>
      <c r="E1334" s="37">
        <v>0</v>
      </c>
      <c r="F1334" s="670">
        <v>0</v>
      </c>
      <c r="G1334" s="37">
        <v>7</v>
      </c>
      <c r="H1334" s="37">
        <v>1</v>
      </c>
      <c r="I1334" s="37">
        <v>1</v>
      </c>
      <c r="J1334" s="527">
        <f t="shared" si="231"/>
        <v>0.0218153486560187</v>
      </c>
      <c r="K1334" s="687">
        <f t="shared" si="232"/>
        <v>13.9208928571429</v>
      </c>
      <c r="L1334" s="41">
        <f t="shared" si="233"/>
        <v>303.689131281652</v>
      </c>
      <c r="M1334" s="702">
        <f t="shared" si="239"/>
        <v>0</v>
      </c>
      <c r="N1334" s="39">
        <f t="shared" si="234"/>
        <v>0</v>
      </c>
      <c r="O1334" s="558">
        <f t="shared" si="235"/>
        <v>0</v>
      </c>
      <c r="P1334" s="559">
        <f t="shared" si="238"/>
        <v>0</v>
      </c>
      <c r="Q1334" s="41">
        <f t="shared" si="236"/>
        <v>111.367142857143</v>
      </c>
      <c r="R1334" s="1021">
        <f t="shared" si="237"/>
        <v>0.125</v>
      </c>
    </row>
    <row r="1335" spans="1:18">
      <c r="A1335" s="801">
        <v>45982</v>
      </c>
      <c r="B1335" s="670">
        <v>823.26</v>
      </c>
      <c r="C1335" s="37">
        <v>2640</v>
      </c>
      <c r="D1335" s="37">
        <v>68</v>
      </c>
      <c r="E1335" s="37">
        <v>0</v>
      </c>
      <c r="F1335" s="670">
        <v>0</v>
      </c>
      <c r="G1335" s="37">
        <v>7</v>
      </c>
      <c r="H1335" s="37">
        <v>0</v>
      </c>
      <c r="I1335" s="37">
        <v>4</v>
      </c>
      <c r="J1335" s="527">
        <f t="shared" si="231"/>
        <v>0.0257575757575758</v>
      </c>
      <c r="K1335" s="687">
        <f t="shared" si="232"/>
        <v>12.1067647058824</v>
      </c>
      <c r="L1335" s="41">
        <f t="shared" si="233"/>
        <v>311.840909090909</v>
      </c>
      <c r="M1335" s="702">
        <f t="shared" si="239"/>
        <v>0</v>
      </c>
      <c r="N1335" s="39">
        <f t="shared" si="234"/>
        <v>0</v>
      </c>
      <c r="O1335" s="558">
        <f t="shared" si="235"/>
        <v>0</v>
      </c>
      <c r="P1335" s="559">
        <f t="shared" si="238"/>
        <v>0</v>
      </c>
      <c r="Q1335" s="41">
        <f t="shared" si="236"/>
        <v>117.608571428571</v>
      </c>
      <c r="R1335" s="1021">
        <f t="shared" si="237"/>
        <v>0.102941176470588</v>
      </c>
    </row>
    <row r="1336" spans="1:18">
      <c r="A1336" s="801">
        <v>45983</v>
      </c>
      <c r="B1336" s="670">
        <v>682.78</v>
      </c>
      <c r="C1336" s="37">
        <v>2143</v>
      </c>
      <c r="D1336" s="37">
        <v>56</v>
      </c>
      <c r="E1336" s="37">
        <v>0</v>
      </c>
      <c r="F1336" s="670">
        <v>0</v>
      </c>
      <c r="G1336" s="37">
        <v>14</v>
      </c>
      <c r="H1336" s="37">
        <v>1</v>
      </c>
      <c r="I1336" s="37">
        <v>3</v>
      </c>
      <c r="J1336" s="527">
        <f t="shared" si="231"/>
        <v>0.0261315912272515</v>
      </c>
      <c r="K1336" s="687">
        <f t="shared" si="232"/>
        <v>12.1925</v>
      </c>
      <c r="L1336" s="41">
        <f t="shared" si="233"/>
        <v>318.609426038264</v>
      </c>
      <c r="M1336" s="702">
        <f t="shared" si="239"/>
        <v>0</v>
      </c>
      <c r="N1336" s="39">
        <f t="shared" si="234"/>
        <v>0</v>
      </c>
      <c r="O1336" s="558">
        <f t="shared" si="235"/>
        <v>0</v>
      </c>
      <c r="P1336" s="559">
        <f t="shared" si="238"/>
        <v>0</v>
      </c>
      <c r="Q1336" s="41">
        <f t="shared" si="236"/>
        <v>48.77</v>
      </c>
      <c r="R1336" s="1021">
        <f t="shared" si="237"/>
        <v>0.25</v>
      </c>
    </row>
    <row r="1337" spans="1:18">
      <c r="A1337" s="801">
        <v>45984</v>
      </c>
      <c r="B1337" s="670">
        <v>684.16</v>
      </c>
      <c r="C1337" s="37">
        <v>2176</v>
      </c>
      <c r="D1337" s="37">
        <v>51</v>
      </c>
      <c r="E1337" s="37">
        <v>0</v>
      </c>
      <c r="F1337" s="670">
        <v>0</v>
      </c>
      <c r="G1337" s="37">
        <v>7</v>
      </c>
      <c r="H1337" s="37">
        <v>1</v>
      </c>
      <c r="I1337" s="37">
        <v>1</v>
      </c>
      <c r="J1337" s="527">
        <f t="shared" si="231"/>
        <v>0.0234375</v>
      </c>
      <c r="K1337" s="687">
        <f t="shared" si="232"/>
        <v>13.4149019607843</v>
      </c>
      <c r="L1337" s="41">
        <f t="shared" si="233"/>
        <v>314.411764705882</v>
      </c>
      <c r="M1337" s="702">
        <f t="shared" si="239"/>
        <v>0</v>
      </c>
      <c r="N1337" s="39">
        <f t="shared" si="234"/>
        <v>0</v>
      </c>
      <c r="O1337" s="558">
        <f t="shared" si="235"/>
        <v>0</v>
      </c>
      <c r="P1337" s="559">
        <f t="shared" si="238"/>
        <v>0</v>
      </c>
      <c r="Q1337" s="41">
        <f t="shared" si="236"/>
        <v>97.7371428571429</v>
      </c>
      <c r="R1337" s="1021">
        <f t="shared" si="237"/>
        <v>0.137254901960784</v>
      </c>
    </row>
    <row r="1338" spans="1:18">
      <c r="A1338" s="801">
        <v>45985</v>
      </c>
      <c r="B1338" s="670">
        <v>674.16</v>
      </c>
      <c r="C1338" s="37">
        <v>2267</v>
      </c>
      <c r="D1338" s="37">
        <v>60</v>
      </c>
      <c r="E1338" s="37">
        <v>0</v>
      </c>
      <c r="F1338" s="670">
        <v>0</v>
      </c>
      <c r="G1338" s="37">
        <v>6</v>
      </c>
      <c r="H1338" s="37">
        <v>0</v>
      </c>
      <c r="I1338" s="37">
        <v>0</v>
      </c>
      <c r="J1338" s="527">
        <f t="shared" si="231"/>
        <v>0.0264666960741067</v>
      </c>
      <c r="K1338" s="687">
        <f t="shared" si="232"/>
        <v>11.236</v>
      </c>
      <c r="L1338" s="41">
        <f t="shared" si="233"/>
        <v>297.379797088663</v>
      </c>
      <c r="M1338" s="702">
        <f t="shared" si="239"/>
        <v>0</v>
      </c>
      <c r="N1338" s="39">
        <f t="shared" si="234"/>
        <v>0</v>
      </c>
      <c r="O1338" s="558">
        <f t="shared" si="235"/>
        <v>0</v>
      </c>
      <c r="P1338" s="559">
        <f t="shared" si="238"/>
        <v>0</v>
      </c>
      <c r="Q1338" s="41">
        <f t="shared" si="236"/>
        <v>112.36</v>
      </c>
      <c r="R1338" s="1021">
        <f t="shared" si="237"/>
        <v>0.1</v>
      </c>
    </row>
    <row r="1339" spans="1:18">
      <c r="A1339" s="801">
        <v>45986</v>
      </c>
      <c r="B1339" s="670">
        <v>683.98</v>
      </c>
      <c r="C1339" s="37">
        <v>2212</v>
      </c>
      <c r="D1339" s="37">
        <v>35</v>
      </c>
      <c r="E1339" s="37">
        <v>0</v>
      </c>
      <c r="F1339" s="670">
        <v>0</v>
      </c>
      <c r="G1339" s="37">
        <v>4</v>
      </c>
      <c r="H1339" s="37">
        <v>0</v>
      </c>
      <c r="I1339" s="37">
        <v>0</v>
      </c>
      <c r="J1339" s="527">
        <f t="shared" si="231"/>
        <v>0.0158227848101266</v>
      </c>
      <c r="K1339" s="687">
        <f t="shared" si="232"/>
        <v>19.5422857142857</v>
      </c>
      <c r="L1339" s="41">
        <f t="shared" si="233"/>
        <v>309.213381555154</v>
      </c>
      <c r="M1339" s="702">
        <f t="shared" si="239"/>
        <v>0</v>
      </c>
      <c r="N1339" s="39">
        <f t="shared" si="234"/>
        <v>0</v>
      </c>
      <c r="O1339" s="558">
        <f t="shared" si="235"/>
        <v>0</v>
      </c>
      <c r="P1339" s="559">
        <f t="shared" si="238"/>
        <v>0</v>
      </c>
      <c r="Q1339" s="41">
        <f t="shared" si="236"/>
        <v>170.995</v>
      </c>
      <c r="R1339" s="1021">
        <f t="shared" si="237"/>
        <v>0.114285714285714</v>
      </c>
    </row>
    <row r="1340" spans="1:18">
      <c r="A1340" s="801">
        <v>45987</v>
      </c>
      <c r="B1340" s="670">
        <v>683.66</v>
      </c>
      <c r="C1340" s="37">
        <v>2372</v>
      </c>
      <c r="D1340" s="37">
        <v>52</v>
      </c>
      <c r="E1340" s="37">
        <v>0</v>
      </c>
      <c r="F1340" s="670">
        <v>0</v>
      </c>
      <c r="G1340" s="37">
        <v>9</v>
      </c>
      <c r="H1340" s="37">
        <v>1</v>
      </c>
      <c r="I1340" s="37">
        <v>1</v>
      </c>
      <c r="J1340" s="527">
        <f t="shared" si="231"/>
        <v>0.0219224283305228</v>
      </c>
      <c r="K1340" s="687">
        <f t="shared" si="232"/>
        <v>13.1473076923077</v>
      </c>
      <c r="L1340" s="41">
        <f t="shared" si="233"/>
        <v>288.220910623946</v>
      </c>
      <c r="M1340" s="702">
        <f t="shared" si="239"/>
        <v>0</v>
      </c>
      <c r="N1340" s="39">
        <f t="shared" si="234"/>
        <v>0</v>
      </c>
      <c r="O1340" s="558">
        <f t="shared" si="235"/>
        <v>0</v>
      </c>
      <c r="P1340" s="559">
        <f t="shared" si="238"/>
        <v>0</v>
      </c>
      <c r="Q1340" s="41">
        <f t="shared" si="236"/>
        <v>75.9622222222222</v>
      </c>
      <c r="R1340" s="1021">
        <f t="shared" si="237"/>
        <v>0.173076923076923</v>
      </c>
    </row>
    <row r="1341" spans="1:18">
      <c r="A1341" s="801">
        <v>45988</v>
      </c>
      <c r="B1341" s="670">
        <v>674.1</v>
      </c>
      <c r="C1341" s="37">
        <v>2382</v>
      </c>
      <c r="D1341" s="37">
        <v>57</v>
      </c>
      <c r="E1341" s="37">
        <v>0</v>
      </c>
      <c r="F1341" s="670">
        <v>0</v>
      </c>
      <c r="G1341" s="37">
        <v>9</v>
      </c>
      <c r="H1341" s="37">
        <v>0</v>
      </c>
      <c r="I1341" s="37">
        <v>0</v>
      </c>
      <c r="J1341" s="527">
        <f t="shared" si="231"/>
        <v>0.0239294710327456</v>
      </c>
      <c r="K1341" s="687">
        <f t="shared" si="232"/>
        <v>11.8263157894737</v>
      </c>
      <c r="L1341" s="41">
        <f t="shared" si="233"/>
        <v>282.997481108312</v>
      </c>
      <c r="M1341" s="702">
        <f t="shared" si="239"/>
        <v>0</v>
      </c>
      <c r="N1341" s="39">
        <f t="shared" si="234"/>
        <v>0</v>
      </c>
      <c r="O1341" s="558">
        <f t="shared" si="235"/>
        <v>0</v>
      </c>
      <c r="P1341" s="559">
        <f t="shared" si="238"/>
        <v>0</v>
      </c>
      <c r="Q1341" s="41">
        <f t="shared" si="236"/>
        <v>74.9</v>
      </c>
      <c r="R1341" s="1021">
        <f t="shared" si="237"/>
        <v>0.157894736842105</v>
      </c>
    </row>
    <row r="1342" spans="1:18">
      <c r="A1342" s="801">
        <v>45989</v>
      </c>
      <c r="B1342" s="670">
        <v>674.2</v>
      </c>
      <c r="C1342" s="37">
        <v>2269</v>
      </c>
      <c r="D1342" s="37">
        <v>42</v>
      </c>
      <c r="E1342" s="37">
        <v>0</v>
      </c>
      <c r="F1342" s="670">
        <v>0</v>
      </c>
      <c r="G1342" s="37">
        <v>3</v>
      </c>
      <c r="H1342" s="37">
        <v>2</v>
      </c>
      <c r="I1342" s="37">
        <v>2</v>
      </c>
      <c r="J1342" s="527">
        <f t="shared" si="231"/>
        <v>0.0185103569854561</v>
      </c>
      <c r="K1342" s="687">
        <f t="shared" si="232"/>
        <v>16.052380952381</v>
      </c>
      <c r="L1342" s="41">
        <f t="shared" si="233"/>
        <v>297.135301895108</v>
      </c>
      <c r="M1342" s="702">
        <f t="shared" si="239"/>
        <v>0</v>
      </c>
      <c r="N1342" s="39">
        <f t="shared" si="234"/>
        <v>0</v>
      </c>
      <c r="O1342" s="558">
        <f t="shared" si="235"/>
        <v>0</v>
      </c>
      <c r="P1342" s="559">
        <f t="shared" si="238"/>
        <v>0</v>
      </c>
      <c r="Q1342" s="41">
        <f t="shared" si="236"/>
        <v>224.733333333333</v>
      </c>
      <c r="R1342" s="1021">
        <f t="shared" si="237"/>
        <v>0.0714285714285714</v>
      </c>
    </row>
    <row r="1343" spans="1:18">
      <c r="A1343" s="801">
        <v>45990</v>
      </c>
      <c r="B1343" s="670">
        <v>677.87</v>
      </c>
      <c r="C1343" s="37">
        <v>2520</v>
      </c>
      <c r="D1343" s="37">
        <v>33</v>
      </c>
      <c r="E1343" s="37">
        <v>3</v>
      </c>
      <c r="F1343" s="670">
        <v>41741</v>
      </c>
      <c r="G1343" s="37">
        <v>11</v>
      </c>
      <c r="H1343" s="37">
        <v>2</v>
      </c>
      <c r="I1343" s="37">
        <v>2</v>
      </c>
      <c r="J1343" s="527">
        <f t="shared" si="231"/>
        <v>0.0130952380952381</v>
      </c>
      <c r="K1343" s="687">
        <f t="shared" si="232"/>
        <v>20.5415151515152</v>
      </c>
      <c r="L1343" s="41">
        <f t="shared" ref="L1343:L1406" si="240">B1343/C1343*1000</f>
        <v>268.996031746032</v>
      </c>
      <c r="M1343" s="702">
        <f t="shared" si="239"/>
        <v>61.5767034977208</v>
      </c>
      <c r="N1343" s="39">
        <f t="shared" ref="N1343:N1406" si="241">E1343/D1343</f>
        <v>0.0909090909090909</v>
      </c>
      <c r="O1343" s="558">
        <f t="shared" ref="O1343:O1406" si="242">IF(E1343=0,0,F1343/E1343)</f>
        <v>13913.6666666667</v>
      </c>
      <c r="P1343" s="559">
        <f t="shared" ref="P1343:P1406" si="243">IF(E1343=0,0,B1343/E1343)</f>
        <v>225.956666666667</v>
      </c>
      <c r="Q1343" s="41">
        <f t="shared" ref="Q1343:Q1406" si="244">B1343/G1343</f>
        <v>61.6245454545455</v>
      </c>
      <c r="R1343" s="1021">
        <f t="shared" ref="R1343:R1406" si="245">G1343/D1343</f>
        <v>0.333333333333333</v>
      </c>
    </row>
    <row r="1344" spans="1:18">
      <c r="A1344" s="801">
        <v>45991</v>
      </c>
      <c r="B1344" s="670">
        <v>681.07</v>
      </c>
      <c r="C1344" s="37">
        <v>2279</v>
      </c>
      <c r="D1344" s="37">
        <v>50</v>
      </c>
      <c r="E1344" s="37">
        <v>3</v>
      </c>
      <c r="F1344" s="670">
        <v>16760</v>
      </c>
      <c r="G1344" s="37">
        <v>4</v>
      </c>
      <c r="H1344" s="37">
        <v>0</v>
      </c>
      <c r="I1344" s="37">
        <v>2</v>
      </c>
      <c r="J1344" s="527">
        <f t="shared" si="231"/>
        <v>0.0219394471259324</v>
      </c>
      <c r="K1344" s="687">
        <f t="shared" si="232"/>
        <v>13.6214</v>
      </c>
      <c r="L1344" s="41">
        <f t="shared" si="240"/>
        <v>298.845985081176</v>
      </c>
      <c r="M1344" s="702">
        <f t="shared" si="239"/>
        <v>24.6083368816715</v>
      </c>
      <c r="N1344" s="39">
        <f t="shared" si="241"/>
        <v>0.06</v>
      </c>
      <c r="O1344" s="558">
        <f t="shared" si="242"/>
        <v>5586.66666666667</v>
      </c>
      <c r="P1344" s="559">
        <f t="shared" si="243"/>
        <v>227.023333333333</v>
      </c>
      <c r="Q1344" s="41">
        <f t="shared" si="244"/>
        <v>170.2675</v>
      </c>
      <c r="R1344" s="1021">
        <f t="shared" si="245"/>
        <v>0.08</v>
      </c>
    </row>
    <row r="1345" spans="1:18">
      <c r="A1345" s="801">
        <v>45992</v>
      </c>
      <c r="B1345" s="670">
        <v>676.19</v>
      </c>
      <c r="C1345" s="37">
        <v>2262</v>
      </c>
      <c r="D1345" s="37">
        <v>55</v>
      </c>
      <c r="E1345" s="37">
        <v>0</v>
      </c>
      <c r="F1345" s="670">
        <v>0</v>
      </c>
      <c r="G1345" s="37">
        <v>5</v>
      </c>
      <c r="H1345" s="37">
        <v>0</v>
      </c>
      <c r="I1345" s="37">
        <v>0</v>
      </c>
      <c r="J1345" s="527">
        <f t="shared" si="231"/>
        <v>0.024314765694076</v>
      </c>
      <c r="K1345" s="687">
        <f t="shared" si="232"/>
        <v>12.2943636363636</v>
      </c>
      <c r="L1345" s="41">
        <f t="shared" si="240"/>
        <v>298.934571175951</v>
      </c>
      <c r="M1345" s="702">
        <f t="shared" si="239"/>
        <v>0</v>
      </c>
      <c r="N1345" s="39">
        <f t="shared" si="241"/>
        <v>0</v>
      </c>
      <c r="O1345" s="558">
        <f t="shared" si="242"/>
        <v>0</v>
      </c>
      <c r="P1345" s="559">
        <f t="shared" si="243"/>
        <v>0</v>
      </c>
      <c r="Q1345" s="41">
        <f t="shared" si="244"/>
        <v>135.238</v>
      </c>
      <c r="R1345" s="1021">
        <f t="shared" si="245"/>
        <v>0.0909090909090909</v>
      </c>
    </row>
    <row r="1346" spans="1:18">
      <c r="A1346" s="801">
        <v>45993</v>
      </c>
      <c r="B1346" s="670">
        <v>1285.21</v>
      </c>
      <c r="C1346" s="37">
        <v>4354</v>
      </c>
      <c r="D1346" s="37">
        <v>91</v>
      </c>
      <c r="E1346" s="37">
        <v>0</v>
      </c>
      <c r="F1346" s="670">
        <v>0</v>
      </c>
      <c r="G1346" s="37">
        <v>16</v>
      </c>
      <c r="H1346" s="37">
        <v>3</v>
      </c>
      <c r="I1346" s="37">
        <v>1</v>
      </c>
      <c r="J1346" s="527">
        <f t="shared" ref="J1346:J1409" si="246">D1346/C1346</f>
        <v>0.0209003215434084</v>
      </c>
      <c r="K1346" s="687">
        <f t="shared" ref="K1346:K1409" si="247">B1346/D1346</f>
        <v>14.1231868131868</v>
      </c>
      <c r="L1346" s="41">
        <f t="shared" si="240"/>
        <v>295.179145613229</v>
      </c>
      <c r="M1346" s="702">
        <f t="shared" si="239"/>
        <v>0</v>
      </c>
      <c r="N1346" s="39">
        <f t="shared" si="241"/>
        <v>0</v>
      </c>
      <c r="O1346" s="558">
        <f t="shared" si="242"/>
        <v>0</v>
      </c>
      <c r="P1346" s="559">
        <f t="shared" si="243"/>
        <v>0</v>
      </c>
      <c r="Q1346" s="41">
        <f t="shared" si="244"/>
        <v>80.325625</v>
      </c>
      <c r="R1346" s="1021">
        <f t="shared" si="245"/>
        <v>0.175824175824176</v>
      </c>
    </row>
    <row r="1347" spans="1:18">
      <c r="A1347" s="801">
        <v>45994</v>
      </c>
      <c r="B1347" s="670">
        <v>1326.7</v>
      </c>
      <c r="C1347" s="37">
        <v>4608</v>
      </c>
      <c r="D1347" s="37">
        <v>88</v>
      </c>
      <c r="E1347" s="37">
        <v>0</v>
      </c>
      <c r="F1347" s="670">
        <v>0</v>
      </c>
      <c r="G1347" s="37">
        <v>15</v>
      </c>
      <c r="H1347" s="37">
        <v>1</v>
      </c>
      <c r="I1347" s="37">
        <v>4</v>
      </c>
      <c r="J1347" s="527">
        <f t="shared" si="246"/>
        <v>0.0190972222222222</v>
      </c>
      <c r="K1347" s="687">
        <f t="shared" si="247"/>
        <v>15.0761363636364</v>
      </c>
      <c r="L1347" s="41">
        <f t="shared" si="240"/>
        <v>287.912326388889</v>
      </c>
      <c r="M1347" s="702">
        <f t="shared" si="239"/>
        <v>0</v>
      </c>
      <c r="N1347" s="39">
        <f t="shared" si="241"/>
        <v>0</v>
      </c>
      <c r="O1347" s="558">
        <f t="shared" si="242"/>
        <v>0</v>
      </c>
      <c r="P1347" s="559">
        <f t="shared" si="243"/>
        <v>0</v>
      </c>
      <c r="Q1347" s="41">
        <f t="shared" si="244"/>
        <v>88.4466666666667</v>
      </c>
      <c r="R1347" s="1021">
        <f t="shared" si="245"/>
        <v>0.170454545454545</v>
      </c>
    </row>
    <row r="1348" spans="1:18">
      <c r="A1348" s="801">
        <v>45995</v>
      </c>
      <c r="B1348" s="670">
        <v>1349.82</v>
      </c>
      <c r="C1348" s="37">
        <v>4647</v>
      </c>
      <c r="D1348" s="37">
        <v>97</v>
      </c>
      <c r="E1348" s="37">
        <v>1</v>
      </c>
      <c r="F1348" s="670">
        <v>4042</v>
      </c>
      <c r="G1348" s="37">
        <v>12</v>
      </c>
      <c r="H1348" s="37">
        <v>1</v>
      </c>
      <c r="I1348" s="37">
        <v>3</v>
      </c>
      <c r="J1348" s="527">
        <f t="shared" si="246"/>
        <v>0.0208736819453411</v>
      </c>
      <c r="K1348" s="687">
        <f t="shared" si="247"/>
        <v>13.9156701030928</v>
      </c>
      <c r="L1348" s="41">
        <f t="shared" si="240"/>
        <v>290.47127178825</v>
      </c>
      <c r="M1348" s="702">
        <f t="shared" si="239"/>
        <v>2.9944733371857</v>
      </c>
      <c r="N1348" s="39">
        <f t="shared" si="241"/>
        <v>0.0103092783505155</v>
      </c>
      <c r="O1348" s="558">
        <f t="shared" si="242"/>
        <v>4042</v>
      </c>
      <c r="P1348" s="559">
        <f t="shared" si="243"/>
        <v>1349.82</v>
      </c>
      <c r="Q1348" s="41">
        <f t="shared" si="244"/>
        <v>112.485</v>
      </c>
      <c r="R1348" s="1021">
        <f t="shared" si="245"/>
        <v>0.123711340206186</v>
      </c>
    </row>
    <row r="1349" spans="1:18">
      <c r="A1349" s="801">
        <v>45996</v>
      </c>
      <c r="B1349" s="670">
        <v>1409.21</v>
      </c>
      <c r="C1349" s="37">
        <v>4707</v>
      </c>
      <c r="D1349" s="37">
        <v>102</v>
      </c>
      <c r="E1349" s="37">
        <v>0</v>
      </c>
      <c r="F1349" s="670">
        <v>0</v>
      </c>
      <c r="G1349" s="37">
        <v>12</v>
      </c>
      <c r="H1349" s="37">
        <v>0</v>
      </c>
      <c r="I1349" s="37">
        <v>4</v>
      </c>
      <c r="J1349" s="527">
        <f t="shared" si="246"/>
        <v>0.0216698534098152</v>
      </c>
      <c r="K1349" s="687">
        <f t="shared" si="247"/>
        <v>13.8157843137255</v>
      </c>
      <c r="L1349" s="41">
        <f t="shared" si="240"/>
        <v>299.386020820055</v>
      </c>
      <c r="M1349" s="702">
        <f t="shared" si="239"/>
        <v>0</v>
      </c>
      <c r="N1349" s="39">
        <f t="shared" si="241"/>
        <v>0</v>
      </c>
      <c r="O1349" s="558">
        <f t="shared" si="242"/>
        <v>0</v>
      </c>
      <c r="P1349" s="559">
        <f t="shared" si="243"/>
        <v>0</v>
      </c>
      <c r="Q1349" s="41">
        <f t="shared" si="244"/>
        <v>117.434166666667</v>
      </c>
      <c r="R1349" s="1021">
        <f t="shared" si="245"/>
        <v>0.117647058823529</v>
      </c>
    </row>
    <row r="1350" spans="1:18">
      <c r="A1350" s="801">
        <v>45997</v>
      </c>
      <c r="B1350" s="670">
        <v>1450.42</v>
      </c>
      <c r="C1350" s="37">
        <v>4859</v>
      </c>
      <c r="D1350" s="37">
        <v>105</v>
      </c>
      <c r="E1350" s="37">
        <v>0</v>
      </c>
      <c r="F1350" s="670">
        <v>0</v>
      </c>
      <c r="G1350" s="37">
        <v>16</v>
      </c>
      <c r="H1350" s="37">
        <v>2</v>
      </c>
      <c r="I1350" s="37">
        <v>2</v>
      </c>
      <c r="J1350" s="527">
        <f t="shared" si="246"/>
        <v>0.0216093846470467</v>
      </c>
      <c r="K1350" s="687">
        <f t="shared" si="247"/>
        <v>13.8135238095238</v>
      </c>
      <c r="L1350" s="41">
        <f t="shared" si="240"/>
        <v>298.501749331138</v>
      </c>
      <c r="M1350" s="702">
        <f t="shared" si="239"/>
        <v>0</v>
      </c>
      <c r="N1350" s="39">
        <f t="shared" si="241"/>
        <v>0</v>
      </c>
      <c r="O1350" s="558">
        <f t="shared" si="242"/>
        <v>0</v>
      </c>
      <c r="P1350" s="559">
        <f t="shared" si="243"/>
        <v>0</v>
      </c>
      <c r="Q1350" s="41">
        <f t="shared" si="244"/>
        <v>90.65125</v>
      </c>
      <c r="R1350" s="1021">
        <f t="shared" si="245"/>
        <v>0.152380952380952</v>
      </c>
    </row>
    <row r="1351" spans="1:18">
      <c r="A1351" s="801">
        <v>45998</v>
      </c>
      <c r="B1351" s="670">
        <v>1457.42</v>
      </c>
      <c r="C1351" s="37">
        <v>4966</v>
      </c>
      <c r="D1351" s="37">
        <v>101</v>
      </c>
      <c r="E1351" s="37">
        <v>0</v>
      </c>
      <c r="F1351" s="670">
        <v>0</v>
      </c>
      <c r="G1351" s="37">
        <v>25</v>
      </c>
      <c r="H1351" s="37">
        <v>2</v>
      </c>
      <c r="I1351" s="37">
        <v>2</v>
      </c>
      <c r="J1351" s="527">
        <f t="shared" si="246"/>
        <v>0.0203383004430125</v>
      </c>
      <c r="K1351" s="687">
        <f t="shared" si="247"/>
        <v>14.429900990099</v>
      </c>
      <c r="L1351" s="41">
        <f t="shared" si="240"/>
        <v>293.479661699557</v>
      </c>
      <c r="M1351" s="702">
        <f t="shared" si="239"/>
        <v>0</v>
      </c>
      <c r="N1351" s="39">
        <f t="shared" si="241"/>
        <v>0</v>
      </c>
      <c r="O1351" s="558">
        <f t="shared" si="242"/>
        <v>0</v>
      </c>
      <c r="P1351" s="559">
        <f t="shared" si="243"/>
        <v>0</v>
      </c>
      <c r="Q1351" s="41">
        <f t="shared" si="244"/>
        <v>58.2968</v>
      </c>
      <c r="R1351" s="1021">
        <f t="shared" si="245"/>
        <v>0.247524752475248</v>
      </c>
    </row>
    <row r="1352" spans="1:18">
      <c r="A1352" s="801">
        <v>45999</v>
      </c>
      <c r="B1352" s="670">
        <v>1322.49</v>
      </c>
      <c r="C1352" s="37">
        <v>4142</v>
      </c>
      <c r="D1352" s="37">
        <v>135</v>
      </c>
      <c r="E1352" s="37">
        <v>0</v>
      </c>
      <c r="F1352" s="670">
        <v>0</v>
      </c>
      <c r="G1352" s="37">
        <v>12</v>
      </c>
      <c r="H1352" s="37">
        <v>1</v>
      </c>
      <c r="I1352" s="37">
        <v>3</v>
      </c>
      <c r="J1352" s="527">
        <f t="shared" si="246"/>
        <v>0.0325929502655722</v>
      </c>
      <c r="K1352" s="687">
        <f t="shared" si="247"/>
        <v>9.79622222222222</v>
      </c>
      <c r="L1352" s="41">
        <f t="shared" si="240"/>
        <v>319.287783679382</v>
      </c>
      <c r="M1352" s="702">
        <f t="shared" si="239"/>
        <v>0</v>
      </c>
      <c r="N1352" s="39">
        <f t="shared" si="241"/>
        <v>0</v>
      </c>
      <c r="O1352" s="558">
        <f t="shared" si="242"/>
        <v>0</v>
      </c>
      <c r="P1352" s="559">
        <f t="shared" si="243"/>
        <v>0</v>
      </c>
      <c r="Q1352" s="41">
        <f t="shared" si="244"/>
        <v>110.2075</v>
      </c>
      <c r="R1352" s="1021">
        <f t="shared" si="245"/>
        <v>0.0888888888888889</v>
      </c>
    </row>
    <row r="1353" spans="1:18">
      <c r="A1353" s="801">
        <v>46000</v>
      </c>
      <c r="B1353" s="670">
        <v>1709.35</v>
      </c>
      <c r="C1353" s="37">
        <v>4439</v>
      </c>
      <c r="D1353" s="37">
        <v>255</v>
      </c>
      <c r="E1353" s="37">
        <v>0</v>
      </c>
      <c r="F1353" s="670">
        <v>0</v>
      </c>
      <c r="G1353" s="37">
        <v>36</v>
      </c>
      <c r="H1353" s="37">
        <v>0</v>
      </c>
      <c r="I1353" s="37">
        <v>10</v>
      </c>
      <c r="J1353" s="527">
        <f t="shared" si="246"/>
        <v>0.0574453705789592</v>
      </c>
      <c r="K1353" s="687">
        <f t="shared" si="247"/>
        <v>6.70333333333333</v>
      </c>
      <c r="L1353" s="41">
        <f t="shared" si="240"/>
        <v>385.075467447623</v>
      </c>
      <c r="M1353" s="702">
        <f t="shared" si="239"/>
        <v>0</v>
      </c>
      <c r="N1353" s="39">
        <f t="shared" si="241"/>
        <v>0</v>
      </c>
      <c r="O1353" s="558">
        <f t="shared" si="242"/>
        <v>0</v>
      </c>
      <c r="P1353" s="559">
        <f t="shared" si="243"/>
        <v>0</v>
      </c>
      <c r="Q1353" s="41">
        <f t="shared" si="244"/>
        <v>47.4819444444444</v>
      </c>
      <c r="R1353" s="1021">
        <f t="shared" si="245"/>
        <v>0.141176470588235</v>
      </c>
    </row>
    <row r="1354" spans="1:18">
      <c r="A1354" s="801">
        <v>46001</v>
      </c>
      <c r="B1354" s="670">
        <v>1754.21</v>
      </c>
      <c r="C1354" s="37">
        <v>5057</v>
      </c>
      <c r="D1354" s="37">
        <v>243</v>
      </c>
      <c r="E1354" s="37">
        <v>2</v>
      </c>
      <c r="F1354" s="670">
        <v>20100</v>
      </c>
      <c r="G1354" s="37">
        <v>36</v>
      </c>
      <c r="H1354" s="37">
        <v>4</v>
      </c>
      <c r="I1354" s="37">
        <v>8</v>
      </c>
      <c r="J1354" s="527">
        <f t="shared" si="246"/>
        <v>0.0480522048645442</v>
      </c>
      <c r="K1354" s="687">
        <f t="shared" si="247"/>
        <v>7.21897119341564</v>
      </c>
      <c r="L1354" s="41">
        <f t="shared" si="240"/>
        <v>346.887482697251</v>
      </c>
      <c r="M1354" s="702">
        <f t="shared" si="239"/>
        <v>11.45814925237</v>
      </c>
      <c r="N1354" s="39">
        <f t="shared" si="241"/>
        <v>0.00823045267489712</v>
      </c>
      <c r="O1354" s="558">
        <f t="shared" si="242"/>
        <v>10050</v>
      </c>
      <c r="P1354" s="559">
        <f t="shared" si="243"/>
        <v>877.105</v>
      </c>
      <c r="Q1354" s="41">
        <f t="shared" si="244"/>
        <v>48.7280555555556</v>
      </c>
      <c r="R1354" s="1021">
        <f t="shared" si="245"/>
        <v>0.148148148148148</v>
      </c>
    </row>
    <row r="1355" spans="1:18">
      <c r="A1355" s="801">
        <v>46002</v>
      </c>
      <c r="B1355" s="670">
        <v>1862.42</v>
      </c>
      <c r="C1355" s="37">
        <v>5226</v>
      </c>
      <c r="D1355" s="37">
        <v>244</v>
      </c>
      <c r="E1355" s="37">
        <v>0</v>
      </c>
      <c r="F1355" s="670">
        <v>0</v>
      </c>
      <c r="G1355" s="37">
        <v>41</v>
      </c>
      <c r="H1355" s="37">
        <v>5</v>
      </c>
      <c r="I1355" s="37">
        <v>11</v>
      </c>
      <c r="J1355" s="527">
        <f t="shared" si="246"/>
        <v>0.046689628779181</v>
      </c>
      <c r="K1355" s="687">
        <f t="shared" si="247"/>
        <v>7.63286885245902</v>
      </c>
      <c r="L1355" s="41">
        <f t="shared" si="240"/>
        <v>356.375813241485</v>
      </c>
      <c r="M1355" s="702">
        <f t="shared" si="239"/>
        <v>0</v>
      </c>
      <c r="N1355" s="39">
        <f t="shared" si="241"/>
        <v>0</v>
      </c>
      <c r="O1355" s="558">
        <f t="shared" si="242"/>
        <v>0</v>
      </c>
      <c r="P1355" s="559">
        <f t="shared" si="243"/>
        <v>0</v>
      </c>
      <c r="Q1355" s="41">
        <f t="shared" si="244"/>
        <v>45.4248780487805</v>
      </c>
      <c r="R1355" s="1021">
        <f t="shared" si="245"/>
        <v>0.168032786885246</v>
      </c>
    </row>
    <row r="1356" spans="1:18">
      <c r="A1356" s="801">
        <v>46003</v>
      </c>
      <c r="B1356" s="670">
        <v>1856.36</v>
      </c>
      <c r="C1356" s="37">
        <v>5532</v>
      </c>
      <c r="D1356" s="37">
        <v>220</v>
      </c>
      <c r="E1356" s="37">
        <v>3</v>
      </c>
      <c r="F1356" s="670">
        <v>18886</v>
      </c>
      <c r="G1356" s="37">
        <v>49</v>
      </c>
      <c r="H1356" s="37">
        <v>6</v>
      </c>
      <c r="I1356" s="37">
        <v>6</v>
      </c>
      <c r="J1356" s="527">
        <f t="shared" si="246"/>
        <v>0.0397686189443239</v>
      </c>
      <c r="K1356" s="687">
        <f t="shared" si="247"/>
        <v>8.438</v>
      </c>
      <c r="L1356" s="41">
        <f t="shared" si="240"/>
        <v>335.567606652205</v>
      </c>
      <c r="M1356" s="702">
        <f t="shared" si="239"/>
        <v>10.1736732099377</v>
      </c>
      <c r="N1356" s="39">
        <f t="shared" si="241"/>
        <v>0.0136363636363636</v>
      </c>
      <c r="O1356" s="558">
        <f t="shared" si="242"/>
        <v>6295.33333333333</v>
      </c>
      <c r="P1356" s="559">
        <f t="shared" si="243"/>
        <v>618.786666666667</v>
      </c>
      <c r="Q1356" s="41">
        <f t="shared" si="244"/>
        <v>37.8848979591837</v>
      </c>
      <c r="R1356" s="1021">
        <f t="shared" si="245"/>
        <v>0.222727272727273</v>
      </c>
    </row>
    <row r="1357" spans="1:18">
      <c r="A1357" s="801">
        <v>46004</v>
      </c>
      <c r="B1357" s="670">
        <v>2179.52</v>
      </c>
      <c r="C1357" s="37">
        <v>7253</v>
      </c>
      <c r="D1357" s="37">
        <v>208</v>
      </c>
      <c r="E1357" s="37">
        <v>1</v>
      </c>
      <c r="F1357" s="670">
        <v>9722</v>
      </c>
      <c r="G1357" s="37">
        <v>31</v>
      </c>
      <c r="H1357" s="37">
        <v>2</v>
      </c>
      <c r="I1357" s="37">
        <v>8</v>
      </c>
      <c r="J1357" s="527">
        <f t="shared" si="246"/>
        <v>0.0286777885013098</v>
      </c>
      <c r="K1357" s="687">
        <f t="shared" si="247"/>
        <v>10.4784615384615</v>
      </c>
      <c r="L1357" s="41">
        <f t="shared" si="240"/>
        <v>300.499103819109</v>
      </c>
      <c r="M1357" s="702">
        <f t="shared" si="239"/>
        <v>4.46061518132433</v>
      </c>
      <c r="N1357" s="39">
        <f t="shared" si="241"/>
        <v>0.00480769230769231</v>
      </c>
      <c r="O1357" s="558">
        <f t="shared" si="242"/>
        <v>9722</v>
      </c>
      <c r="P1357" s="559">
        <f t="shared" si="243"/>
        <v>2179.52</v>
      </c>
      <c r="Q1357" s="41">
        <f t="shared" si="244"/>
        <v>70.3070967741936</v>
      </c>
      <c r="R1357" s="1021">
        <f t="shared" si="245"/>
        <v>0.149038461538462</v>
      </c>
    </row>
    <row r="1358" spans="1:18">
      <c r="A1358" s="801">
        <v>46005</v>
      </c>
      <c r="B1358" s="670">
        <v>2004.71</v>
      </c>
      <c r="C1358" s="37">
        <v>6207</v>
      </c>
      <c r="D1358" s="37">
        <v>185</v>
      </c>
      <c r="E1358" s="37">
        <v>1</v>
      </c>
      <c r="F1358" s="670">
        <v>11082</v>
      </c>
      <c r="G1358" s="37">
        <v>25</v>
      </c>
      <c r="H1358" s="37">
        <v>0</v>
      </c>
      <c r="I1358" s="37">
        <v>6</v>
      </c>
      <c r="J1358" s="527">
        <f t="shared" si="246"/>
        <v>0.0298050588045755</v>
      </c>
      <c r="K1358" s="687">
        <f t="shared" si="247"/>
        <v>10.8362702702703</v>
      </c>
      <c r="L1358" s="41">
        <f t="shared" si="240"/>
        <v>322.975672627678</v>
      </c>
      <c r="M1358" s="702">
        <f t="shared" si="239"/>
        <v>5.52798160332417</v>
      </c>
      <c r="N1358" s="39">
        <f t="shared" si="241"/>
        <v>0.00540540540540541</v>
      </c>
      <c r="O1358" s="558">
        <f t="shared" si="242"/>
        <v>11082</v>
      </c>
      <c r="P1358" s="559">
        <f t="shared" si="243"/>
        <v>2004.71</v>
      </c>
      <c r="Q1358" s="41">
        <f t="shared" si="244"/>
        <v>80.1884</v>
      </c>
      <c r="R1358" s="1021">
        <f t="shared" si="245"/>
        <v>0.135135135135135</v>
      </c>
    </row>
    <row r="1359" spans="1:18">
      <c r="A1359" s="801">
        <v>46006</v>
      </c>
      <c r="B1359" s="670">
        <v>1677.79</v>
      </c>
      <c r="C1359" s="37">
        <v>4538</v>
      </c>
      <c r="D1359" s="37">
        <v>210</v>
      </c>
      <c r="E1359" s="37">
        <v>0</v>
      </c>
      <c r="F1359" s="670">
        <v>0</v>
      </c>
      <c r="G1359" s="37">
        <v>38</v>
      </c>
      <c r="H1359" s="37">
        <v>0</v>
      </c>
      <c r="I1359" s="37">
        <v>14</v>
      </c>
      <c r="J1359" s="527">
        <f t="shared" si="246"/>
        <v>0.0462758924636404</v>
      </c>
      <c r="K1359" s="687">
        <f t="shared" si="247"/>
        <v>7.98947619047619</v>
      </c>
      <c r="L1359" s="41">
        <f t="shared" si="240"/>
        <v>369.720141031291</v>
      </c>
      <c r="M1359" s="702">
        <f t="shared" si="239"/>
        <v>0</v>
      </c>
      <c r="N1359" s="39">
        <f t="shared" si="241"/>
        <v>0</v>
      </c>
      <c r="O1359" s="558">
        <f t="shared" si="242"/>
        <v>0</v>
      </c>
      <c r="P1359" s="559">
        <f t="shared" si="243"/>
        <v>0</v>
      </c>
      <c r="Q1359" s="41">
        <f t="shared" si="244"/>
        <v>44.1523684210526</v>
      </c>
      <c r="R1359" s="1021">
        <f t="shared" si="245"/>
        <v>0.180952380952381</v>
      </c>
    </row>
    <row r="1360" spans="1:18">
      <c r="A1360" s="801">
        <v>46007</v>
      </c>
      <c r="B1360" s="670">
        <v>1700.75</v>
      </c>
      <c r="C1360" s="37">
        <v>4684</v>
      </c>
      <c r="D1360" s="37">
        <v>198</v>
      </c>
      <c r="E1360" s="37">
        <v>1</v>
      </c>
      <c r="F1360" s="670">
        <v>11040</v>
      </c>
      <c r="G1360" s="37">
        <v>53</v>
      </c>
      <c r="H1360" s="37">
        <v>4</v>
      </c>
      <c r="I1360" s="37">
        <v>7</v>
      </c>
      <c r="J1360" s="527">
        <f t="shared" si="246"/>
        <v>0.0422715627668659</v>
      </c>
      <c r="K1360" s="687">
        <f t="shared" si="247"/>
        <v>8.58964646464647</v>
      </c>
      <c r="L1360" s="41">
        <f t="shared" si="240"/>
        <v>363.097779675491</v>
      </c>
      <c r="M1360" s="702">
        <f t="shared" si="239"/>
        <v>6.4912538585918</v>
      </c>
      <c r="N1360" s="39">
        <f t="shared" si="241"/>
        <v>0.00505050505050505</v>
      </c>
      <c r="O1360" s="558">
        <f t="shared" si="242"/>
        <v>11040</v>
      </c>
      <c r="P1360" s="559">
        <f t="shared" si="243"/>
        <v>1700.75</v>
      </c>
      <c r="Q1360" s="41">
        <f t="shared" si="244"/>
        <v>32.0896226415094</v>
      </c>
      <c r="R1360" s="1021">
        <f t="shared" si="245"/>
        <v>0.267676767676768</v>
      </c>
    </row>
    <row r="1361" spans="1:18">
      <c r="A1361" s="801">
        <v>46008</v>
      </c>
      <c r="B1361" s="670">
        <v>1649.75</v>
      </c>
      <c r="C1361" s="37">
        <v>4838</v>
      </c>
      <c r="D1361" s="37">
        <v>152</v>
      </c>
      <c r="E1361" s="37">
        <v>0</v>
      </c>
      <c r="F1361" s="670">
        <v>0</v>
      </c>
      <c r="G1361" s="37">
        <v>35</v>
      </c>
      <c r="H1361" s="37">
        <v>2</v>
      </c>
      <c r="I1361" s="37">
        <v>7</v>
      </c>
      <c r="J1361" s="527">
        <f t="shared" si="246"/>
        <v>0.031417941298057</v>
      </c>
      <c r="K1361" s="687">
        <f t="shared" si="247"/>
        <v>10.8536184210526</v>
      </c>
      <c r="L1361" s="41">
        <f t="shared" si="240"/>
        <v>340.998346424142</v>
      </c>
      <c r="M1361" s="702">
        <f t="shared" si="239"/>
        <v>0</v>
      </c>
      <c r="N1361" s="39">
        <f t="shared" si="241"/>
        <v>0</v>
      </c>
      <c r="O1361" s="558">
        <f t="shared" si="242"/>
        <v>0</v>
      </c>
      <c r="P1361" s="559">
        <f t="shared" si="243"/>
        <v>0</v>
      </c>
      <c r="Q1361" s="41">
        <f t="shared" si="244"/>
        <v>47.1357142857143</v>
      </c>
      <c r="R1361" s="1021">
        <f t="shared" si="245"/>
        <v>0.230263157894737</v>
      </c>
    </row>
    <row r="1362" spans="1:18">
      <c r="A1362" s="801">
        <v>46009</v>
      </c>
      <c r="B1362" s="670">
        <v>1785.13</v>
      </c>
      <c r="C1362" s="37">
        <v>5113</v>
      </c>
      <c r="D1362" s="37">
        <v>210</v>
      </c>
      <c r="E1362" s="37">
        <v>6</v>
      </c>
      <c r="F1362" s="670">
        <v>44880</v>
      </c>
      <c r="G1362" s="37">
        <v>52</v>
      </c>
      <c r="H1362" s="37">
        <v>1</v>
      </c>
      <c r="I1362" s="37">
        <v>7</v>
      </c>
      <c r="J1362" s="527">
        <f t="shared" si="246"/>
        <v>0.04107177782124</v>
      </c>
      <c r="K1362" s="687">
        <f t="shared" si="247"/>
        <v>8.50061904761905</v>
      </c>
      <c r="L1362" s="41">
        <f t="shared" si="240"/>
        <v>349.13553686681</v>
      </c>
      <c r="M1362" s="702">
        <f t="shared" si="239"/>
        <v>25.1410261437542</v>
      </c>
      <c r="N1362" s="39">
        <f t="shared" si="241"/>
        <v>0.0285714285714286</v>
      </c>
      <c r="O1362" s="558">
        <f t="shared" si="242"/>
        <v>7480</v>
      </c>
      <c r="P1362" s="559">
        <f t="shared" si="243"/>
        <v>297.521666666667</v>
      </c>
      <c r="Q1362" s="41">
        <f t="shared" si="244"/>
        <v>34.3294230769231</v>
      </c>
      <c r="R1362" s="1021">
        <f t="shared" si="245"/>
        <v>0.247619047619048</v>
      </c>
    </row>
    <row r="1363" spans="1:18">
      <c r="A1363" s="801">
        <v>46010</v>
      </c>
      <c r="B1363" s="670">
        <v>1641.15</v>
      </c>
      <c r="C1363" s="37">
        <v>5033</v>
      </c>
      <c r="D1363" s="37">
        <v>155</v>
      </c>
      <c r="E1363" s="37">
        <v>4</v>
      </c>
      <c r="F1363" s="670">
        <v>31530</v>
      </c>
      <c r="G1363" s="37">
        <v>37</v>
      </c>
      <c r="H1363" s="37">
        <v>5</v>
      </c>
      <c r="I1363" s="37">
        <v>4</v>
      </c>
      <c r="J1363" s="527">
        <f t="shared" si="246"/>
        <v>0.03079674150606</v>
      </c>
      <c r="K1363" s="687">
        <f t="shared" si="247"/>
        <v>10.588064516129</v>
      </c>
      <c r="L1363" s="41">
        <f t="shared" si="240"/>
        <v>326.077885952712</v>
      </c>
      <c r="M1363" s="702">
        <f t="shared" si="239"/>
        <v>19.2121378301801</v>
      </c>
      <c r="N1363" s="39">
        <f t="shared" si="241"/>
        <v>0.0258064516129032</v>
      </c>
      <c r="O1363" s="558">
        <f t="shared" si="242"/>
        <v>7882.5</v>
      </c>
      <c r="P1363" s="559">
        <f t="shared" si="243"/>
        <v>410.2875</v>
      </c>
      <c r="Q1363" s="41">
        <f t="shared" si="244"/>
        <v>44.3554054054054</v>
      </c>
      <c r="R1363" s="1021">
        <f t="shared" si="245"/>
        <v>0.238709677419355</v>
      </c>
    </row>
    <row r="1364" spans="1:18">
      <c r="A1364" s="801">
        <v>46011</v>
      </c>
      <c r="B1364" s="670">
        <v>1938.43</v>
      </c>
      <c r="C1364" s="37">
        <v>6602</v>
      </c>
      <c r="D1364" s="37">
        <v>127</v>
      </c>
      <c r="E1364" s="37">
        <v>0</v>
      </c>
      <c r="F1364" s="670">
        <v>0</v>
      </c>
      <c r="G1364" s="37">
        <v>40</v>
      </c>
      <c r="H1364" s="37">
        <v>1</v>
      </c>
      <c r="I1364" s="37">
        <v>3</v>
      </c>
      <c r="J1364" s="527">
        <f t="shared" si="246"/>
        <v>0.0192365949712208</v>
      </c>
      <c r="K1364" s="687">
        <f t="shared" si="247"/>
        <v>15.2632283464567</v>
      </c>
      <c r="L1364" s="41">
        <f t="shared" si="240"/>
        <v>293.612541654044</v>
      </c>
      <c r="M1364" s="702">
        <f t="shared" si="239"/>
        <v>0</v>
      </c>
      <c r="N1364" s="39">
        <f t="shared" si="241"/>
        <v>0</v>
      </c>
      <c r="O1364" s="558">
        <f t="shared" si="242"/>
        <v>0</v>
      </c>
      <c r="P1364" s="559">
        <f t="shared" si="243"/>
        <v>0</v>
      </c>
      <c r="Q1364" s="41">
        <f t="shared" si="244"/>
        <v>48.46075</v>
      </c>
      <c r="R1364" s="1021">
        <f t="shared" si="245"/>
        <v>0.31496062992126</v>
      </c>
    </row>
    <row r="1365" spans="1:18">
      <c r="A1365" s="801">
        <v>46012</v>
      </c>
      <c r="B1365" s="670">
        <v>1943.77</v>
      </c>
      <c r="C1365" s="37">
        <v>6087</v>
      </c>
      <c r="D1365" s="37">
        <v>173</v>
      </c>
      <c r="E1365" s="37">
        <v>2</v>
      </c>
      <c r="F1365" s="670">
        <v>18520</v>
      </c>
      <c r="G1365" s="37">
        <v>38</v>
      </c>
      <c r="H1365" s="37">
        <v>1</v>
      </c>
      <c r="I1365" s="37">
        <v>9</v>
      </c>
      <c r="J1365" s="527">
        <f t="shared" si="246"/>
        <v>0.0284212255626746</v>
      </c>
      <c r="K1365" s="687">
        <f t="shared" si="247"/>
        <v>11.2356647398844</v>
      </c>
      <c r="L1365" s="41">
        <f t="shared" si="240"/>
        <v>319.331361918843</v>
      </c>
      <c r="M1365" s="702">
        <f t="shared" si="239"/>
        <v>9.5278762405017</v>
      </c>
      <c r="N1365" s="39">
        <f t="shared" si="241"/>
        <v>0.0115606936416185</v>
      </c>
      <c r="O1365" s="558">
        <f t="shared" si="242"/>
        <v>9260</v>
      </c>
      <c r="P1365" s="559">
        <f t="shared" si="243"/>
        <v>971.885</v>
      </c>
      <c r="Q1365" s="41">
        <f t="shared" si="244"/>
        <v>51.1518421052632</v>
      </c>
      <c r="R1365" s="1021">
        <f t="shared" si="245"/>
        <v>0.219653179190751</v>
      </c>
    </row>
    <row r="1366" spans="1:18">
      <c r="A1366" s="801">
        <v>46013</v>
      </c>
      <c r="B1366" s="670">
        <v>1590.94</v>
      </c>
      <c r="C1366" s="37">
        <v>4502</v>
      </c>
      <c r="D1366" s="37">
        <v>154</v>
      </c>
      <c r="E1366" s="37">
        <v>1</v>
      </c>
      <c r="F1366" s="670">
        <v>10812</v>
      </c>
      <c r="G1366" s="37">
        <v>36</v>
      </c>
      <c r="H1366" s="37">
        <v>3</v>
      </c>
      <c r="I1366" s="37">
        <v>5</v>
      </c>
      <c r="J1366" s="527">
        <f t="shared" si="246"/>
        <v>0.0342070191026211</v>
      </c>
      <c r="K1366" s="687">
        <f t="shared" si="247"/>
        <v>10.3307792207792</v>
      </c>
      <c r="L1366" s="41">
        <f t="shared" si="240"/>
        <v>353.385162150155</v>
      </c>
      <c r="M1366" s="702">
        <f t="shared" si="239"/>
        <v>6.79598224948772</v>
      </c>
      <c r="N1366" s="39">
        <f t="shared" si="241"/>
        <v>0.00649350649350649</v>
      </c>
      <c r="O1366" s="558">
        <f t="shared" si="242"/>
        <v>10812</v>
      </c>
      <c r="P1366" s="559">
        <f t="shared" si="243"/>
        <v>1590.94</v>
      </c>
      <c r="Q1366" s="41">
        <f t="shared" si="244"/>
        <v>44.1927777777778</v>
      </c>
      <c r="R1366" s="1021">
        <f t="shared" si="245"/>
        <v>0.233766233766234</v>
      </c>
    </row>
    <row r="1367" spans="1:18">
      <c r="A1367" s="801">
        <v>46014</v>
      </c>
      <c r="B1367" s="670">
        <v>1620.6</v>
      </c>
      <c r="C1367" s="37">
        <v>4709</v>
      </c>
      <c r="D1367" s="37">
        <v>167</v>
      </c>
      <c r="E1367" s="37">
        <v>0</v>
      </c>
      <c r="F1367" s="670">
        <v>0</v>
      </c>
      <c r="G1367" s="37">
        <v>42</v>
      </c>
      <c r="H1367" s="37">
        <v>1</v>
      </c>
      <c r="I1367" s="37">
        <v>7</v>
      </c>
      <c r="J1367" s="527">
        <f t="shared" si="246"/>
        <v>0.0354640050966235</v>
      </c>
      <c r="K1367" s="687">
        <f t="shared" si="247"/>
        <v>9.70419161676647</v>
      </c>
      <c r="L1367" s="41">
        <f t="shared" si="240"/>
        <v>344.149500955617</v>
      </c>
      <c r="M1367" s="702">
        <f t="shared" si="239"/>
        <v>0</v>
      </c>
      <c r="N1367" s="39">
        <f t="shared" si="241"/>
        <v>0</v>
      </c>
      <c r="O1367" s="558">
        <f t="shared" si="242"/>
        <v>0</v>
      </c>
      <c r="P1367" s="559">
        <f t="shared" si="243"/>
        <v>0</v>
      </c>
      <c r="Q1367" s="41">
        <f t="shared" si="244"/>
        <v>38.5857142857143</v>
      </c>
      <c r="R1367" s="1021">
        <f t="shared" si="245"/>
        <v>0.251497005988024</v>
      </c>
    </row>
    <row r="1368" spans="1:18">
      <c r="A1368" s="801">
        <v>46015</v>
      </c>
      <c r="B1368" s="670">
        <v>1626.59</v>
      </c>
      <c r="C1368" s="37">
        <v>5041</v>
      </c>
      <c r="D1368" s="37">
        <v>137</v>
      </c>
      <c r="E1368" s="37">
        <v>0</v>
      </c>
      <c r="F1368" s="670">
        <v>0</v>
      </c>
      <c r="G1368" s="37">
        <v>14</v>
      </c>
      <c r="H1368" s="37">
        <v>2</v>
      </c>
      <c r="I1368" s="37">
        <v>6</v>
      </c>
      <c r="J1368" s="527">
        <f t="shared" si="246"/>
        <v>0.0271771473913906</v>
      </c>
      <c r="K1368" s="687">
        <f t="shared" si="247"/>
        <v>11.8729197080292</v>
      </c>
      <c r="L1368" s="41">
        <f t="shared" si="240"/>
        <v>322.672088871256</v>
      </c>
      <c r="M1368" s="702">
        <f t="shared" si="239"/>
        <v>0</v>
      </c>
      <c r="N1368" s="39">
        <f t="shared" si="241"/>
        <v>0</v>
      </c>
      <c r="O1368" s="558">
        <f t="shared" si="242"/>
        <v>0</v>
      </c>
      <c r="P1368" s="559">
        <f t="shared" si="243"/>
        <v>0</v>
      </c>
      <c r="Q1368" s="41">
        <f t="shared" si="244"/>
        <v>116.185</v>
      </c>
      <c r="R1368" s="1021">
        <f t="shared" si="245"/>
        <v>0.102189781021898</v>
      </c>
    </row>
    <row r="1369" spans="1:18">
      <c r="A1369" s="801">
        <v>46016</v>
      </c>
      <c r="B1369" s="670">
        <v>1570.32</v>
      </c>
      <c r="C1369" s="37">
        <v>4788</v>
      </c>
      <c r="D1369" s="37">
        <v>146</v>
      </c>
      <c r="E1369" s="37">
        <v>1</v>
      </c>
      <c r="F1369" s="670">
        <v>20134</v>
      </c>
      <c r="G1369" s="37">
        <v>21</v>
      </c>
      <c r="H1369" s="37">
        <v>0</v>
      </c>
      <c r="I1369" s="37">
        <v>5</v>
      </c>
      <c r="J1369" s="527">
        <f t="shared" si="246"/>
        <v>0.0304928989139515</v>
      </c>
      <c r="K1369" s="687">
        <f t="shared" si="247"/>
        <v>10.7556164383562</v>
      </c>
      <c r="L1369" s="41">
        <f t="shared" si="240"/>
        <v>327.96992481203</v>
      </c>
      <c r="M1369" s="702">
        <f t="shared" si="239"/>
        <v>12.8215905038463</v>
      </c>
      <c r="N1369" s="39">
        <f t="shared" si="241"/>
        <v>0.00684931506849315</v>
      </c>
      <c r="O1369" s="558">
        <f t="shared" si="242"/>
        <v>20134</v>
      </c>
      <c r="P1369" s="559">
        <f t="shared" si="243"/>
        <v>1570.32</v>
      </c>
      <c r="Q1369" s="41">
        <f t="shared" si="244"/>
        <v>74.7771428571428</v>
      </c>
      <c r="R1369" s="1021">
        <f t="shared" si="245"/>
        <v>0.143835616438356</v>
      </c>
    </row>
    <row r="1370" spans="1:18">
      <c r="A1370" s="801">
        <v>46017</v>
      </c>
      <c r="B1370" s="670">
        <v>1743.57</v>
      </c>
      <c r="C1370" s="37">
        <v>5233</v>
      </c>
      <c r="D1370" s="37">
        <v>155</v>
      </c>
      <c r="E1370" s="37">
        <v>2</v>
      </c>
      <c r="F1370" s="670">
        <v>50753</v>
      </c>
      <c r="G1370" s="37">
        <v>19</v>
      </c>
      <c r="H1370" s="37">
        <v>6</v>
      </c>
      <c r="I1370" s="37">
        <v>2</v>
      </c>
      <c r="J1370" s="527">
        <f t="shared" si="246"/>
        <v>0.0296197210013377</v>
      </c>
      <c r="K1370" s="687">
        <f t="shared" si="247"/>
        <v>11.2488387096774</v>
      </c>
      <c r="L1370" s="41">
        <f t="shared" si="240"/>
        <v>333.187464169692</v>
      </c>
      <c r="M1370" s="702">
        <f t="shared" si="239"/>
        <v>29.1086678481506</v>
      </c>
      <c r="N1370" s="39">
        <f t="shared" si="241"/>
        <v>0.0129032258064516</v>
      </c>
      <c r="O1370" s="558">
        <f t="shared" si="242"/>
        <v>25376.5</v>
      </c>
      <c r="P1370" s="559">
        <f t="shared" si="243"/>
        <v>871.785</v>
      </c>
      <c r="Q1370" s="41">
        <f t="shared" si="244"/>
        <v>91.7668421052632</v>
      </c>
      <c r="R1370" s="1021">
        <f t="shared" si="245"/>
        <v>0.12258064516129</v>
      </c>
    </row>
    <row r="1371" spans="1:18">
      <c r="A1371" s="801">
        <v>46018</v>
      </c>
      <c r="B1371" s="670">
        <v>2243.32</v>
      </c>
      <c r="C1371" s="37">
        <v>7278</v>
      </c>
      <c r="D1371" s="37">
        <v>162</v>
      </c>
      <c r="E1371" s="37">
        <v>0</v>
      </c>
      <c r="F1371" s="670">
        <v>0</v>
      </c>
      <c r="G1371" s="37">
        <v>18</v>
      </c>
      <c r="H1371" s="37">
        <v>2</v>
      </c>
      <c r="I1371" s="37">
        <v>5</v>
      </c>
      <c r="J1371" s="527">
        <f t="shared" si="246"/>
        <v>0.0222588623248145</v>
      </c>
      <c r="K1371" s="687">
        <f t="shared" si="247"/>
        <v>13.8476543209877</v>
      </c>
      <c r="L1371" s="41">
        <f t="shared" si="240"/>
        <v>308.233031052487</v>
      </c>
      <c r="M1371" s="702">
        <f t="shared" si="239"/>
        <v>0</v>
      </c>
      <c r="N1371" s="39">
        <f t="shared" si="241"/>
        <v>0</v>
      </c>
      <c r="O1371" s="558">
        <f t="shared" si="242"/>
        <v>0</v>
      </c>
      <c r="P1371" s="559">
        <f t="shared" si="243"/>
        <v>0</v>
      </c>
      <c r="Q1371" s="41">
        <f t="shared" si="244"/>
        <v>124.628888888889</v>
      </c>
      <c r="R1371" s="1021">
        <f t="shared" si="245"/>
        <v>0.111111111111111</v>
      </c>
    </row>
    <row r="1372" spans="1:18">
      <c r="A1372" s="801">
        <v>46019</v>
      </c>
      <c r="B1372" s="670">
        <v>2044.01</v>
      </c>
      <c r="C1372" s="37">
        <v>6414</v>
      </c>
      <c r="D1372" s="37">
        <v>190</v>
      </c>
      <c r="E1372" s="37">
        <v>0</v>
      </c>
      <c r="F1372" s="670">
        <v>0</v>
      </c>
      <c r="G1372" s="37">
        <v>32</v>
      </c>
      <c r="H1372" s="37">
        <v>5</v>
      </c>
      <c r="I1372" s="37">
        <v>3</v>
      </c>
      <c r="J1372" s="527">
        <f t="shared" si="246"/>
        <v>0.0296227003429997</v>
      </c>
      <c r="K1372" s="687">
        <f t="shared" si="247"/>
        <v>10.7579473684211</v>
      </c>
      <c r="L1372" s="41">
        <f t="shared" si="240"/>
        <v>318.679451200499</v>
      </c>
      <c r="M1372" s="702">
        <f t="shared" si="239"/>
        <v>0</v>
      </c>
      <c r="N1372" s="39">
        <f t="shared" si="241"/>
        <v>0</v>
      </c>
      <c r="O1372" s="558">
        <f t="shared" si="242"/>
        <v>0</v>
      </c>
      <c r="P1372" s="559">
        <f t="shared" si="243"/>
        <v>0</v>
      </c>
      <c r="Q1372" s="41">
        <f t="shared" si="244"/>
        <v>63.8753125</v>
      </c>
      <c r="R1372" s="1021">
        <f t="shared" si="245"/>
        <v>0.168421052631579</v>
      </c>
    </row>
    <row r="1373" spans="1:18">
      <c r="A1373" s="801">
        <v>46020</v>
      </c>
      <c r="B1373" s="670">
        <v>1591.24</v>
      </c>
      <c r="C1373" s="37">
        <v>4471</v>
      </c>
      <c r="D1373" s="37">
        <v>155</v>
      </c>
      <c r="E1373" s="37">
        <v>4</v>
      </c>
      <c r="F1373" s="670">
        <v>65360</v>
      </c>
      <c r="G1373" s="37">
        <v>30</v>
      </c>
      <c r="H1373" s="37">
        <v>4</v>
      </c>
      <c r="I1373" s="37">
        <v>9</v>
      </c>
      <c r="J1373" s="527">
        <f t="shared" si="246"/>
        <v>0.034667859539253</v>
      </c>
      <c r="K1373" s="687">
        <f t="shared" si="247"/>
        <v>10.266064516129</v>
      </c>
      <c r="L1373" s="41">
        <f t="shared" si="240"/>
        <v>355.90248266607</v>
      </c>
      <c r="M1373" s="702">
        <f t="shared" si="239"/>
        <v>41.0748849953495</v>
      </c>
      <c r="N1373" s="39">
        <f t="shared" si="241"/>
        <v>0.0258064516129032</v>
      </c>
      <c r="O1373" s="558">
        <f t="shared" si="242"/>
        <v>16340</v>
      </c>
      <c r="P1373" s="559">
        <f t="shared" si="243"/>
        <v>397.81</v>
      </c>
      <c r="Q1373" s="41">
        <f t="shared" si="244"/>
        <v>53.0413333333333</v>
      </c>
      <c r="R1373" s="1021">
        <f t="shared" si="245"/>
        <v>0.193548387096774</v>
      </c>
    </row>
    <row r="1374" spans="1:18">
      <c r="A1374" s="801">
        <v>46021</v>
      </c>
      <c r="B1374" s="670">
        <v>1590.09</v>
      </c>
      <c r="C1374" s="37">
        <v>4335</v>
      </c>
      <c r="D1374" s="37">
        <v>157</v>
      </c>
      <c r="E1374" s="37">
        <v>1</v>
      </c>
      <c r="F1374" s="670">
        <v>11585</v>
      </c>
      <c r="G1374" s="37">
        <v>34</v>
      </c>
      <c r="H1374" s="37">
        <v>4</v>
      </c>
      <c r="I1374" s="37">
        <v>6</v>
      </c>
      <c r="J1374" s="527">
        <f t="shared" si="246"/>
        <v>0.0362168396770473</v>
      </c>
      <c r="K1374" s="687">
        <f t="shared" si="247"/>
        <v>10.1279617834395</v>
      </c>
      <c r="L1374" s="41">
        <f t="shared" si="240"/>
        <v>366.80276816609</v>
      </c>
      <c r="M1374" s="702">
        <f t="shared" si="239"/>
        <v>7.28575112100573</v>
      </c>
      <c r="N1374" s="39">
        <f t="shared" si="241"/>
        <v>0.00636942675159236</v>
      </c>
      <c r="O1374" s="558">
        <f t="shared" si="242"/>
        <v>11585</v>
      </c>
      <c r="P1374" s="559">
        <f t="shared" si="243"/>
        <v>1590.09</v>
      </c>
      <c r="Q1374" s="41">
        <f t="shared" si="244"/>
        <v>46.7673529411765</v>
      </c>
      <c r="R1374" s="1021">
        <f t="shared" si="245"/>
        <v>0.21656050955414</v>
      </c>
    </row>
    <row r="1375" spans="1:18">
      <c r="A1375" s="801">
        <v>46022</v>
      </c>
      <c r="B1375" s="670">
        <v>1850.21</v>
      </c>
      <c r="C1375" s="37">
        <v>5104</v>
      </c>
      <c r="D1375" s="37">
        <v>148</v>
      </c>
      <c r="E1375" s="37">
        <v>0</v>
      </c>
      <c r="F1375" s="670">
        <v>0</v>
      </c>
      <c r="G1375" s="37">
        <v>34</v>
      </c>
      <c r="H1375" s="37">
        <v>3</v>
      </c>
      <c r="I1375" s="37">
        <v>5</v>
      </c>
      <c r="J1375" s="527">
        <f t="shared" si="246"/>
        <v>0.0289968652037618</v>
      </c>
      <c r="K1375" s="687">
        <f t="shared" si="247"/>
        <v>12.5014189189189</v>
      </c>
      <c r="L1375" s="41">
        <f t="shared" si="240"/>
        <v>362.501959247649</v>
      </c>
      <c r="M1375" s="702">
        <f t="shared" si="239"/>
        <v>0</v>
      </c>
      <c r="N1375" s="39">
        <f t="shared" si="241"/>
        <v>0</v>
      </c>
      <c r="O1375" s="558">
        <f t="shared" si="242"/>
        <v>0</v>
      </c>
      <c r="P1375" s="559">
        <f t="shared" si="243"/>
        <v>0</v>
      </c>
      <c r="Q1375" s="41">
        <f t="shared" si="244"/>
        <v>54.4179411764706</v>
      </c>
      <c r="R1375" s="1021">
        <f t="shared" si="245"/>
        <v>0.22972972972973</v>
      </c>
    </row>
    <row r="1376" spans="1:18">
      <c r="A1376" s="801">
        <v>46023</v>
      </c>
      <c r="B1376" s="670">
        <v>2470.51</v>
      </c>
      <c r="C1376" s="37">
        <v>7461</v>
      </c>
      <c r="D1376" s="37">
        <v>214</v>
      </c>
      <c r="E1376" s="37">
        <v>0</v>
      </c>
      <c r="F1376" s="670">
        <v>0</v>
      </c>
      <c r="G1376" s="37">
        <v>48</v>
      </c>
      <c r="H1376" s="37">
        <v>4</v>
      </c>
      <c r="I1376" s="37">
        <v>10</v>
      </c>
      <c r="J1376" s="527">
        <f t="shared" si="246"/>
        <v>0.0286824822409865</v>
      </c>
      <c r="K1376" s="687">
        <f t="shared" si="247"/>
        <v>11.5444392523364</v>
      </c>
      <c r="L1376" s="41">
        <f t="shared" si="240"/>
        <v>331.123173837287</v>
      </c>
      <c r="M1376" s="702">
        <f t="shared" si="239"/>
        <v>0</v>
      </c>
      <c r="N1376" s="39">
        <f t="shared" si="241"/>
        <v>0</v>
      </c>
      <c r="O1376" s="558">
        <f t="shared" si="242"/>
        <v>0</v>
      </c>
      <c r="P1376" s="559">
        <f t="shared" si="243"/>
        <v>0</v>
      </c>
      <c r="Q1376" s="41">
        <f t="shared" si="244"/>
        <v>51.4689583333333</v>
      </c>
      <c r="R1376" s="1021">
        <f t="shared" si="245"/>
        <v>0.224299065420561</v>
      </c>
    </row>
    <row r="1377" spans="1:18">
      <c r="A1377" s="801">
        <v>46024</v>
      </c>
      <c r="B1377" s="670">
        <v>2442.04</v>
      </c>
      <c r="C1377" s="37">
        <v>6069</v>
      </c>
      <c r="D1377" s="37">
        <v>312</v>
      </c>
      <c r="E1377" s="37">
        <v>1</v>
      </c>
      <c r="F1377" s="670">
        <v>11985</v>
      </c>
      <c r="G1377" s="37">
        <v>45</v>
      </c>
      <c r="H1377" s="37">
        <v>13</v>
      </c>
      <c r="I1377" s="37">
        <v>12</v>
      </c>
      <c r="J1377" s="527">
        <f t="shared" si="246"/>
        <v>0.0514087988136431</v>
      </c>
      <c r="K1377" s="687">
        <f t="shared" si="247"/>
        <v>7.82705128205128</v>
      </c>
      <c r="L1377" s="41">
        <f t="shared" si="240"/>
        <v>402.379304663042</v>
      </c>
      <c r="M1377" s="702">
        <f t="shared" si="239"/>
        <v>4.90778201831256</v>
      </c>
      <c r="N1377" s="39">
        <f t="shared" si="241"/>
        <v>0.00320512820512821</v>
      </c>
      <c r="O1377" s="558">
        <f t="shared" si="242"/>
        <v>11985</v>
      </c>
      <c r="P1377" s="559">
        <f t="shared" si="243"/>
        <v>2442.04</v>
      </c>
      <c r="Q1377" s="41">
        <f t="shared" si="244"/>
        <v>54.2675555555556</v>
      </c>
      <c r="R1377" s="1021">
        <f t="shared" si="245"/>
        <v>0.144230769230769</v>
      </c>
    </row>
    <row r="1378" spans="1:18">
      <c r="A1378" s="801">
        <v>46025</v>
      </c>
      <c r="B1378" s="670">
        <v>1474.08</v>
      </c>
      <c r="C1378" s="37">
        <v>3214</v>
      </c>
      <c r="D1378" s="37">
        <v>200</v>
      </c>
      <c r="E1378" s="37">
        <v>3</v>
      </c>
      <c r="F1378" s="670">
        <v>52326</v>
      </c>
      <c r="G1378" s="37">
        <v>38</v>
      </c>
      <c r="H1378" s="37">
        <v>10</v>
      </c>
      <c r="I1378" s="37">
        <v>7</v>
      </c>
      <c r="J1378" s="527">
        <f t="shared" si="246"/>
        <v>0.0622277535780958</v>
      </c>
      <c r="K1378" s="687">
        <f t="shared" si="247"/>
        <v>7.3704</v>
      </c>
      <c r="L1378" s="41">
        <f t="shared" si="240"/>
        <v>458.643434971998</v>
      </c>
      <c r="M1378" s="702">
        <f t="shared" si="239"/>
        <v>35.4973949853468</v>
      </c>
      <c r="N1378" s="39">
        <f t="shared" si="241"/>
        <v>0.015</v>
      </c>
      <c r="O1378" s="558">
        <f t="shared" si="242"/>
        <v>17442</v>
      </c>
      <c r="P1378" s="559">
        <f t="shared" si="243"/>
        <v>491.36</v>
      </c>
      <c r="Q1378" s="41">
        <f t="shared" si="244"/>
        <v>38.7915789473684</v>
      </c>
      <c r="R1378" s="1021">
        <f t="shared" si="245"/>
        <v>0.19</v>
      </c>
    </row>
    <row r="1379" spans="1:18">
      <c r="A1379" s="801">
        <v>46026</v>
      </c>
      <c r="B1379" s="670">
        <v>1466.25</v>
      </c>
      <c r="C1379" s="37">
        <v>2812</v>
      </c>
      <c r="D1379" s="37">
        <v>224</v>
      </c>
      <c r="E1379" s="37">
        <v>4</v>
      </c>
      <c r="F1379" s="670">
        <v>52096</v>
      </c>
      <c r="G1379" s="37">
        <v>33</v>
      </c>
      <c r="H1379" s="37">
        <v>9</v>
      </c>
      <c r="I1379" s="37">
        <v>12</v>
      </c>
      <c r="J1379" s="527">
        <f t="shared" si="246"/>
        <v>0.0796586059743954</v>
      </c>
      <c r="K1379" s="687">
        <f t="shared" si="247"/>
        <v>6.54575892857143</v>
      </c>
      <c r="L1379" s="41">
        <f t="shared" si="240"/>
        <v>521.426031294452</v>
      </c>
      <c r="M1379" s="702">
        <f t="shared" si="239"/>
        <v>35.5300937766411</v>
      </c>
      <c r="N1379" s="39">
        <f t="shared" si="241"/>
        <v>0.0178571428571429</v>
      </c>
      <c r="O1379" s="558">
        <f t="shared" si="242"/>
        <v>13024</v>
      </c>
      <c r="P1379" s="559">
        <f t="shared" si="243"/>
        <v>366.5625</v>
      </c>
      <c r="Q1379" s="41">
        <f t="shared" si="244"/>
        <v>44.4318181818182</v>
      </c>
      <c r="R1379" s="1021">
        <f t="shared" si="245"/>
        <v>0.147321428571429</v>
      </c>
    </row>
    <row r="1380" spans="1:18">
      <c r="A1380" s="801">
        <v>46027</v>
      </c>
      <c r="B1380" s="670">
        <v>1974.56</v>
      </c>
      <c r="C1380" s="37">
        <v>4293</v>
      </c>
      <c r="D1380" s="37">
        <v>301</v>
      </c>
      <c r="E1380" s="37">
        <v>1</v>
      </c>
      <c r="F1380" s="670">
        <v>21794</v>
      </c>
      <c r="G1380" s="37">
        <v>65</v>
      </c>
      <c r="H1380" s="37">
        <v>7</v>
      </c>
      <c r="I1380" s="37">
        <v>14</v>
      </c>
      <c r="J1380" s="527">
        <f t="shared" si="246"/>
        <v>0.0701141392965292</v>
      </c>
      <c r="K1380" s="687">
        <f t="shared" si="247"/>
        <v>6.56</v>
      </c>
      <c r="L1380" s="41">
        <f t="shared" si="240"/>
        <v>459.948753785232</v>
      </c>
      <c r="M1380" s="702">
        <f t="shared" si="239"/>
        <v>11.0373956729601</v>
      </c>
      <c r="N1380" s="39">
        <f t="shared" si="241"/>
        <v>0.00332225913621262</v>
      </c>
      <c r="O1380" s="558">
        <f t="shared" si="242"/>
        <v>21794</v>
      </c>
      <c r="P1380" s="559">
        <f t="shared" si="243"/>
        <v>1974.56</v>
      </c>
      <c r="Q1380" s="41">
        <f t="shared" si="244"/>
        <v>30.3778461538462</v>
      </c>
      <c r="R1380" s="1021">
        <f t="shared" si="245"/>
        <v>0.215946843853821</v>
      </c>
    </row>
    <row r="1381" spans="1:18">
      <c r="A1381" s="801">
        <v>46028</v>
      </c>
      <c r="B1381" s="670">
        <v>2166.91</v>
      </c>
      <c r="C1381" s="37">
        <v>4712</v>
      </c>
      <c r="D1381" s="37">
        <v>310</v>
      </c>
      <c r="E1381" s="37">
        <v>3</v>
      </c>
      <c r="F1381" s="670">
        <v>32838</v>
      </c>
      <c r="G1381" s="37">
        <v>67</v>
      </c>
      <c r="H1381" s="37">
        <v>11</v>
      </c>
      <c r="I1381" s="37">
        <v>5</v>
      </c>
      <c r="J1381" s="527">
        <f t="shared" si="246"/>
        <v>0.0657894736842105</v>
      </c>
      <c r="K1381" s="687">
        <f t="shared" si="247"/>
        <v>6.99003225806452</v>
      </c>
      <c r="L1381" s="41">
        <f t="shared" si="240"/>
        <v>459.870543293718</v>
      </c>
      <c r="M1381" s="702">
        <f t="shared" si="239"/>
        <v>15.1542980557568</v>
      </c>
      <c r="N1381" s="39">
        <f t="shared" si="241"/>
        <v>0.00967741935483871</v>
      </c>
      <c r="O1381" s="558">
        <f t="shared" si="242"/>
        <v>10946</v>
      </c>
      <c r="P1381" s="559">
        <f t="shared" si="243"/>
        <v>722.303333333333</v>
      </c>
      <c r="Q1381" s="41">
        <f t="shared" si="244"/>
        <v>32.3419402985075</v>
      </c>
      <c r="R1381" s="1021">
        <f t="shared" si="245"/>
        <v>0.216129032258065</v>
      </c>
    </row>
    <row r="1382" spans="1:18">
      <c r="A1382" s="801">
        <v>46029</v>
      </c>
      <c r="B1382" s="670">
        <v>2314.91</v>
      </c>
      <c r="C1382" s="37">
        <v>5588</v>
      </c>
      <c r="D1382" s="37">
        <v>277</v>
      </c>
      <c r="E1382" s="37">
        <v>3</v>
      </c>
      <c r="F1382" s="670">
        <v>26268</v>
      </c>
      <c r="G1382" s="37">
        <v>55</v>
      </c>
      <c r="H1382" s="37">
        <v>5</v>
      </c>
      <c r="I1382" s="37">
        <v>10</v>
      </c>
      <c r="J1382" s="527">
        <f t="shared" si="246"/>
        <v>0.0495705082319256</v>
      </c>
      <c r="K1382" s="687">
        <f t="shared" si="247"/>
        <v>8.35707581227437</v>
      </c>
      <c r="L1382" s="41">
        <f t="shared" si="240"/>
        <v>414.264495347172</v>
      </c>
      <c r="M1382" s="702">
        <f t="shared" si="239"/>
        <v>11.3473093986375</v>
      </c>
      <c r="N1382" s="39">
        <f t="shared" si="241"/>
        <v>0.0108303249097473</v>
      </c>
      <c r="O1382" s="558">
        <f t="shared" si="242"/>
        <v>8756</v>
      </c>
      <c r="P1382" s="559">
        <f t="shared" si="243"/>
        <v>771.636666666667</v>
      </c>
      <c r="Q1382" s="41">
        <f t="shared" si="244"/>
        <v>42.0892727272727</v>
      </c>
      <c r="R1382" s="1021">
        <f t="shared" si="245"/>
        <v>0.1985559566787</v>
      </c>
    </row>
    <row r="1383" spans="1:18">
      <c r="A1383" s="801">
        <v>46030</v>
      </c>
      <c r="B1383" s="670">
        <v>2287.76</v>
      </c>
      <c r="C1383" s="37">
        <v>5562</v>
      </c>
      <c r="D1383" s="37">
        <v>279</v>
      </c>
      <c r="E1383" s="37">
        <v>1</v>
      </c>
      <c r="F1383" s="670">
        <v>46660</v>
      </c>
      <c r="G1383" s="37">
        <v>44</v>
      </c>
      <c r="H1383" s="37">
        <v>3</v>
      </c>
      <c r="I1383" s="37">
        <v>15</v>
      </c>
      <c r="J1383" s="527">
        <f t="shared" si="246"/>
        <v>0.0501618122977346</v>
      </c>
      <c r="K1383" s="687">
        <f t="shared" si="247"/>
        <v>8.19985663082437</v>
      </c>
      <c r="L1383" s="41">
        <f t="shared" si="240"/>
        <v>411.319669183747</v>
      </c>
      <c r="M1383" s="702">
        <f t="shared" si="239"/>
        <v>20.3954960310522</v>
      </c>
      <c r="N1383" s="39">
        <f t="shared" si="241"/>
        <v>0.003584229390681</v>
      </c>
      <c r="O1383" s="558">
        <f t="shared" si="242"/>
        <v>46660</v>
      </c>
      <c r="P1383" s="559">
        <f t="shared" si="243"/>
        <v>2287.76</v>
      </c>
      <c r="Q1383" s="41">
        <f t="shared" si="244"/>
        <v>51.9945454545455</v>
      </c>
      <c r="R1383" s="1021">
        <f t="shared" si="245"/>
        <v>0.157706093189964</v>
      </c>
    </row>
    <row r="1384" spans="1:18">
      <c r="A1384" s="801">
        <v>46031</v>
      </c>
      <c r="B1384" s="670">
        <v>2073.46</v>
      </c>
      <c r="C1384" s="37">
        <v>5213</v>
      </c>
      <c r="D1384" s="37">
        <v>220</v>
      </c>
      <c r="E1384" s="37">
        <v>2</v>
      </c>
      <c r="F1384" s="670">
        <v>29126</v>
      </c>
      <c r="G1384" s="37">
        <v>51</v>
      </c>
      <c r="H1384" s="37">
        <v>12</v>
      </c>
      <c r="I1384" s="37">
        <v>7</v>
      </c>
      <c r="J1384" s="527">
        <f t="shared" si="246"/>
        <v>0.0422021868405908</v>
      </c>
      <c r="K1384" s="687">
        <f t="shared" si="247"/>
        <v>9.42481818181818</v>
      </c>
      <c r="L1384" s="41">
        <f t="shared" si="240"/>
        <v>397.747937847688</v>
      </c>
      <c r="M1384" s="702">
        <f t="shared" si="239"/>
        <v>14.0470517878329</v>
      </c>
      <c r="N1384" s="39">
        <f t="shared" si="241"/>
        <v>0.00909090909090909</v>
      </c>
      <c r="O1384" s="558">
        <f t="shared" si="242"/>
        <v>14563</v>
      </c>
      <c r="P1384" s="559">
        <f t="shared" si="243"/>
        <v>1036.73</v>
      </c>
      <c r="Q1384" s="41">
        <f t="shared" si="244"/>
        <v>40.6560784313725</v>
      </c>
      <c r="R1384" s="1021">
        <f t="shared" si="245"/>
        <v>0.231818181818182</v>
      </c>
    </row>
    <row r="1385" spans="1:18">
      <c r="A1385" s="801">
        <v>46032</v>
      </c>
      <c r="B1385" s="670">
        <v>158.7</v>
      </c>
      <c r="C1385" s="37">
        <v>303</v>
      </c>
      <c r="D1385" s="37">
        <v>22</v>
      </c>
      <c r="E1385" s="37">
        <v>1</v>
      </c>
      <c r="F1385" s="670">
        <v>17356</v>
      </c>
      <c r="G1385" s="37">
        <v>6</v>
      </c>
      <c r="H1385" s="37">
        <v>0</v>
      </c>
      <c r="I1385" s="37">
        <v>0</v>
      </c>
      <c r="J1385" s="527">
        <f t="shared" si="246"/>
        <v>0.0726072607260726</v>
      </c>
      <c r="K1385" s="687">
        <f t="shared" si="247"/>
        <v>7.21363636363636</v>
      </c>
      <c r="L1385" s="41">
        <f t="shared" si="240"/>
        <v>523.762376237624</v>
      </c>
      <c r="M1385" s="702">
        <f t="shared" si="239"/>
        <v>109.363579080025</v>
      </c>
      <c r="N1385" s="39">
        <f t="shared" si="241"/>
        <v>0.0454545454545455</v>
      </c>
      <c r="O1385" s="558">
        <f t="shared" si="242"/>
        <v>17356</v>
      </c>
      <c r="P1385" s="559">
        <f t="shared" si="243"/>
        <v>158.7</v>
      </c>
      <c r="Q1385" s="41">
        <f t="shared" si="244"/>
        <v>26.45</v>
      </c>
      <c r="R1385" s="1021">
        <f t="shared" si="245"/>
        <v>0.272727272727273</v>
      </c>
    </row>
    <row r="1386" spans="1:18">
      <c r="A1386" s="801">
        <v>46033</v>
      </c>
      <c r="B1386" s="670">
        <v>0</v>
      </c>
      <c r="C1386" s="37">
        <v>0</v>
      </c>
      <c r="D1386" s="37">
        <v>0</v>
      </c>
      <c r="E1386" s="37">
        <v>0</v>
      </c>
      <c r="F1386" s="670">
        <v>0</v>
      </c>
      <c r="G1386" s="37">
        <v>0</v>
      </c>
      <c r="H1386" s="37">
        <v>0</v>
      </c>
      <c r="I1386" s="37">
        <v>0</v>
      </c>
      <c r="J1386" s="527" t="e">
        <f t="shared" si="246"/>
        <v>#DIV/0!</v>
      </c>
      <c r="K1386" s="687" t="e">
        <f t="shared" si="247"/>
        <v>#DIV/0!</v>
      </c>
      <c r="L1386" s="41" t="e">
        <f t="shared" si="240"/>
        <v>#DIV/0!</v>
      </c>
      <c r="M1386" s="702" t="e">
        <f t="shared" si="239"/>
        <v>#DIV/0!</v>
      </c>
      <c r="N1386" s="39" t="e">
        <f t="shared" si="241"/>
        <v>#DIV/0!</v>
      </c>
      <c r="O1386" s="558">
        <f t="shared" si="242"/>
        <v>0</v>
      </c>
      <c r="P1386" s="559">
        <f t="shared" si="243"/>
        <v>0</v>
      </c>
      <c r="Q1386" s="41" t="e">
        <f t="shared" si="244"/>
        <v>#DIV/0!</v>
      </c>
      <c r="R1386" s="1021" t="e">
        <f t="shared" si="245"/>
        <v>#DIV/0!</v>
      </c>
    </row>
    <row r="1387" spans="1:18">
      <c r="A1387" s="801">
        <v>46034</v>
      </c>
      <c r="B1387" s="670">
        <v>1462.58</v>
      </c>
      <c r="C1387" s="37">
        <v>3763</v>
      </c>
      <c r="D1387" s="37">
        <v>168</v>
      </c>
      <c r="E1387" s="37">
        <v>0</v>
      </c>
      <c r="F1387" s="670">
        <v>0</v>
      </c>
      <c r="G1387" s="37">
        <v>55</v>
      </c>
      <c r="H1387" s="37">
        <v>0</v>
      </c>
      <c r="I1387" s="37">
        <v>6</v>
      </c>
      <c r="J1387" s="527">
        <f t="shared" si="246"/>
        <v>0.0446452298697847</v>
      </c>
      <c r="K1387" s="687">
        <f t="shared" si="247"/>
        <v>8.70583333333333</v>
      </c>
      <c r="L1387" s="41">
        <f t="shared" si="240"/>
        <v>388.673930374701</v>
      </c>
      <c r="M1387" s="702">
        <f t="shared" si="239"/>
        <v>0</v>
      </c>
      <c r="N1387" s="39">
        <f t="shared" si="241"/>
        <v>0</v>
      </c>
      <c r="O1387" s="558">
        <f t="shared" si="242"/>
        <v>0</v>
      </c>
      <c r="P1387" s="559">
        <f t="shared" si="243"/>
        <v>0</v>
      </c>
      <c r="Q1387" s="41">
        <f t="shared" si="244"/>
        <v>26.5923636363636</v>
      </c>
      <c r="R1387" s="1021">
        <f t="shared" si="245"/>
        <v>0.327380952380952</v>
      </c>
    </row>
    <row r="1388" spans="1:18">
      <c r="A1388" s="801">
        <v>46035</v>
      </c>
      <c r="B1388" s="670">
        <v>1817.99</v>
      </c>
      <c r="C1388" s="37">
        <v>4644</v>
      </c>
      <c r="D1388" s="37">
        <v>200</v>
      </c>
      <c r="E1388" s="37">
        <v>0</v>
      </c>
      <c r="F1388" s="670">
        <v>0</v>
      </c>
      <c r="G1388" s="37">
        <v>41</v>
      </c>
      <c r="H1388" s="37">
        <v>4</v>
      </c>
      <c r="I1388" s="37">
        <v>8</v>
      </c>
      <c r="J1388" s="527">
        <f t="shared" si="246"/>
        <v>0.0430663221360896</v>
      </c>
      <c r="K1388" s="687">
        <f t="shared" si="247"/>
        <v>9.08995</v>
      </c>
      <c r="L1388" s="41">
        <f t="shared" si="240"/>
        <v>391.470714900947</v>
      </c>
      <c r="M1388" s="702">
        <f t="shared" si="239"/>
        <v>0</v>
      </c>
      <c r="N1388" s="39">
        <f t="shared" si="241"/>
        <v>0</v>
      </c>
      <c r="O1388" s="558">
        <f t="shared" si="242"/>
        <v>0</v>
      </c>
      <c r="P1388" s="559">
        <f t="shared" si="243"/>
        <v>0</v>
      </c>
      <c r="Q1388" s="41">
        <f t="shared" si="244"/>
        <v>44.3412195121951</v>
      </c>
      <c r="R1388" s="1021">
        <f t="shared" si="245"/>
        <v>0.205</v>
      </c>
    </row>
    <row r="1389" spans="1:18">
      <c r="A1389" s="801">
        <v>46036</v>
      </c>
      <c r="B1389" s="670">
        <v>1923.09</v>
      </c>
      <c r="C1389" s="37">
        <v>4805</v>
      </c>
      <c r="D1389" s="37">
        <v>226</v>
      </c>
      <c r="E1389" s="37">
        <v>1</v>
      </c>
      <c r="F1389" s="670">
        <v>22454</v>
      </c>
      <c r="G1389" s="37">
        <v>40</v>
      </c>
      <c r="H1389" s="37">
        <v>4</v>
      </c>
      <c r="I1389" s="37">
        <v>8</v>
      </c>
      <c r="J1389" s="527">
        <f t="shared" si="246"/>
        <v>0.0470343392299688</v>
      </c>
      <c r="K1389" s="687">
        <f t="shared" si="247"/>
        <v>8.50924778761062</v>
      </c>
      <c r="L1389" s="41">
        <f t="shared" si="240"/>
        <v>400.226847034339</v>
      </c>
      <c r="M1389" s="702">
        <f t="shared" si="239"/>
        <v>11.6760006031959</v>
      </c>
      <c r="N1389" s="39">
        <f t="shared" si="241"/>
        <v>0.00442477876106195</v>
      </c>
      <c r="O1389" s="558">
        <f t="shared" si="242"/>
        <v>22454</v>
      </c>
      <c r="P1389" s="559">
        <f t="shared" si="243"/>
        <v>1923.09</v>
      </c>
      <c r="Q1389" s="41">
        <f t="shared" si="244"/>
        <v>48.07725</v>
      </c>
      <c r="R1389" s="1021">
        <f t="shared" si="245"/>
        <v>0.176991150442478</v>
      </c>
    </row>
    <row r="1390" spans="1:18">
      <c r="A1390" s="801">
        <v>46037</v>
      </c>
      <c r="B1390" s="670">
        <v>1887.12</v>
      </c>
      <c r="C1390" s="37">
        <v>4944</v>
      </c>
      <c r="D1390" s="37">
        <v>170</v>
      </c>
      <c r="E1390" s="37">
        <v>3</v>
      </c>
      <c r="F1390" s="670">
        <v>25964</v>
      </c>
      <c r="G1390" s="37">
        <v>39</v>
      </c>
      <c r="H1390" s="37">
        <v>0</v>
      </c>
      <c r="I1390" s="37">
        <v>4</v>
      </c>
      <c r="J1390" s="527">
        <f t="shared" si="246"/>
        <v>0.0343851132686084</v>
      </c>
      <c r="K1390" s="687">
        <f t="shared" si="247"/>
        <v>11.1007058823529</v>
      </c>
      <c r="L1390" s="41">
        <f t="shared" si="240"/>
        <v>381.699029126214</v>
      </c>
      <c r="M1390" s="702">
        <f t="shared" si="239"/>
        <v>13.7585315189283</v>
      </c>
      <c r="N1390" s="39">
        <f t="shared" si="241"/>
        <v>0.0176470588235294</v>
      </c>
      <c r="O1390" s="558">
        <f t="shared" si="242"/>
        <v>8654.66666666667</v>
      </c>
      <c r="P1390" s="559">
        <f t="shared" si="243"/>
        <v>629.04</v>
      </c>
      <c r="Q1390" s="41">
        <f t="shared" si="244"/>
        <v>48.3876923076923</v>
      </c>
      <c r="R1390" s="1021">
        <f t="shared" si="245"/>
        <v>0.229411764705882</v>
      </c>
    </row>
    <row r="1391" spans="1:18">
      <c r="A1391" s="801">
        <v>46038</v>
      </c>
      <c r="B1391" s="670">
        <v>2078.93</v>
      </c>
      <c r="C1391" s="37">
        <v>5347</v>
      </c>
      <c r="D1391" s="37">
        <v>235</v>
      </c>
      <c r="E1391" s="37">
        <v>1</v>
      </c>
      <c r="F1391" s="670">
        <v>10414</v>
      </c>
      <c r="G1391" s="37">
        <v>36</v>
      </c>
      <c r="H1391" s="37">
        <v>2</v>
      </c>
      <c r="I1391" s="37">
        <v>13</v>
      </c>
      <c r="J1391" s="527">
        <f t="shared" si="246"/>
        <v>0.0439498784365065</v>
      </c>
      <c r="K1391" s="687">
        <f t="shared" si="247"/>
        <v>8.84651063829787</v>
      </c>
      <c r="L1391" s="41">
        <f t="shared" si="240"/>
        <v>388.803067140453</v>
      </c>
      <c r="M1391" s="702">
        <f t="shared" si="239"/>
        <v>5.00930767269701</v>
      </c>
      <c r="N1391" s="39">
        <f t="shared" si="241"/>
        <v>0.00425531914893617</v>
      </c>
      <c r="O1391" s="558">
        <f t="shared" si="242"/>
        <v>10414</v>
      </c>
      <c r="P1391" s="559">
        <f t="shared" si="243"/>
        <v>2078.93</v>
      </c>
      <c r="Q1391" s="41">
        <f t="shared" si="244"/>
        <v>57.7480555555556</v>
      </c>
      <c r="R1391" s="1021">
        <f t="shared" si="245"/>
        <v>0.153191489361702</v>
      </c>
    </row>
    <row r="1392" spans="1:18">
      <c r="A1392" s="801">
        <v>46039</v>
      </c>
      <c r="B1392" s="670">
        <v>2524.89</v>
      </c>
      <c r="C1392" s="37">
        <v>7294</v>
      </c>
      <c r="D1392" s="37">
        <v>244</v>
      </c>
      <c r="E1392" s="37">
        <v>1</v>
      </c>
      <c r="F1392" s="670">
        <v>14015</v>
      </c>
      <c r="G1392" s="37">
        <v>27</v>
      </c>
      <c r="H1392" s="37">
        <v>2</v>
      </c>
      <c r="I1392" s="37">
        <v>5</v>
      </c>
      <c r="J1392" s="527">
        <f t="shared" si="246"/>
        <v>0.0334521524540718</v>
      </c>
      <c r="K1392" s="687">
        <f t="shared" si="247"/>
        <v>10.3479098360656</v>
      </c>
      <c r="L1392" s="41">
        <f t="shared" si="240"/>
        <v>346.159857417055</v>
      </c>
      <c r="M1392" s="702">
        <f t="shared" si="239"/>
        <v>5.55073686378416</v>
      </c>
      <c r="N1392" s="39">
        <f t="shared" si="241"/>
        <v>0.00409836065573771</v>
      </c>
      <c r="O1392" s="558">
        <f t="shared" si="242"/>
        <v>14015</v>
      </c>
      <c r="P1392" s="559">
        <f t="shared" si="243"/>
        <v>2524.89</v>
      </c>
      <c r="Q1392" s="41">
        <f t="shared" si="244"/>
        <v>93.5144444444444</v>
      </c>
      <c r="R1392" s="1021">
        <f t="shared" si="245"/>
        <v>0.110655737704918</v>
      </c>
    </row>
    <row r="1393" spans="1:18">
      <c r="A1393" s="801">
        <v>46040</v>
      </c>
      <c r="B1393" s="670">
        <v>2289.79</v>
      </c>
      <c r="C1393" s="37">
        <v>6307</v>
      </c>
      <c r="D1393" s="37">
        <v>231</v>
      </c>
      <c r="E1393" s="37">
        <v>4</v>
      </c>
      <c r="F1393" s="670">
        <v>60949</v>
      </c>
      <c r="G1393" s="37">
        <v>41</v>
      </c>
      <c r="H1393" s="37">
        <v>2</v>
      </c>
      <c r="I1393" s="37">
        <v>12</v>
      </c>
      <c r="J1393" s="527">
        <f t="shared" si="246"/>
        <v>0.0366259711431743</v>
      </c>
      <c r="K1393" s="687">
        <f t="shared" si="247"/>
        <v>9.91251082251082</v>
      </c>
      <c r="L1393" s="41">
        <f t="shared" si="240"/>
        <v>363.055335341684</v>
      </c>
      <c r="M1393" s="702">
        <f t="shared" si="239"/>
        <v>26.6177247695204</v>
      </c>
      <c r="N1393" s="39">
        <f t="shared" si="241"/>
        <v>0.0173160173160173</v>
      </c>
      <c r="O1393" s="558">
        <f t="shared" si="242"/>
        <v>15237.25</v>
      </c>
      <c r="P1393" s="559">
        <f t="shared" si="243"/>
        <v>572.4475</v>
      </c>
      <c r="Q1393" s="41">
        <f t="shared" si="244"/>
        <v>55.8485365853658</v>
      </c>
      <c r="R1393" s="1021">
        <f t="shared" si="245"/>
        <v>0.177489177489178</v>
      </c>
    </row>
    <row r="1394" spans="1:18">
      <c r="A1394" s="801">
        <v>46041</v>
      </c>
      <c r="B1394" s="670">
        <v>1767.01</v>
      </c>
      <c r="C1394" s="37">
        <v>4375</v>
      </c>
      <c r="D1394" s="37">
        <v>179</v>
      </c>
      <c r="E1394" s="37">
        <v>0</v>
      </c>
      <c r="F1394" s="670">
        <v>0</v>
      </c>
      <c r="G1394" s="37">
        <v>32</v>
      </c>
      <c r="H1394" s="37">
        <v>2</v>
      </c>
      <c r="I1394" s="37">
        <v>6</v>
      </c>
      <c r="J1394" s="527">
        <f t="shared" si="246"/>
        <v>0.0409142857142857</v>
      </c>
      <c r="K1394" s="687">
        <f t="shared" si="247"/>
        <v>9.87156424581006</v>
      </c>
      <c r="L1394" s="41">
        <f t="shared" si="240"/>
        <v>403.888</v>
      </c>
      <c r="M1394" s="702">
        <f t="shared" si="239"/>
        <v>0</v>
      </c>
      <c r="N1394" s="39">
        <f t="shared" si="241"/>
        <v>0</v>
      </c>
      <c r="O1394" s="558">
        <f t="shared" si="242"/>
        <v>0</v>
      </c>
      <c r="P1394" s="559">
        <f t="shared" si="243"/>
        <v>0</v>
      </c>
      <c r="Q1394" s="41">
        <f t="shared" si="244"/>
        <v>55.2190625</v>
      </c>
      <c r="R1394" s="1021">
        <f t="shared" si="245"/>
        <v>0.17877094972067</v>
      </c>
    </row>
    <row r="1395" spans="1:18">
      <c r="A1395" s="801">
        <v>46042</v>
      </c>
      <c r="B1395" s="670">
        <v>1773.44</v>
      </c>
      <c r="C1395" s="37">
        <v>4542</v>
      </c>
      <c r="D1395" s="37">
        <v>195</v>
      </c>
      <c r="E1395" s="37">
        <v>1</v>
      </c>
      <c r="F1395" s="670">
        <v>4192</v>
      </c>
      <c r="G1395" s="37">
        <v>37</v>
      </c>
      <c r="H1395" s="37">
        <v>2</v>
      </c>
      <c r="I1395" s="37">
        <v>12</v>
      </c>
      <c r="J1395" s="527">
        <f t="shared" si="246"/>
        <v>0.0429326287978864</v>
      </c>
      <c r="K1395" s="687">
        <f t="shared" si="247"/>
        <v>9.0945641025641</v>
      </c>
      <c r="L1395" s="41">
        <f t="shared" si="240"/>
        <v>390.453544693967</v>
      </c>
      <c r="M1395" s="702">
        <f t="shared" si="239"/>
        <v>2.36376759292674</v>
      </c>
      <c r="N1395" s="39">
        <f t="shared" si="241"/>
        <v>0.00512820512820513</v>
      </c>
      <c r="O1395" s="558">
        <f t="shared" si="242"/>
        <v>4192</v>
      </c>
      <c r="P1395" s="559">
        <f t="shared" si="243"/>
        <v>1773.44</v>
      </c>
      <c r="Q1395" s="41">
        <f t="shared" si="244"/>
        <v>47.9308108108108</v>
      </c>
      <c r="R1395" s="1021">
        <f t="shared" si="245"/>
        <v>0.18974358974359</v>
      </c>
    </row>
    <row r="1396" spans="1:18">
      <c r="A1396" s="801">
        <v>46043</v>
      </c>
      <c r="B1396" s="670">
        <v>1909.47</v>
      </c>
      <c r="C1396" s="37">
        <v>4396</v>
      </c>
      <c r="D1396" s="37">
        <v>204</v>
      </c>
      <c r="E1396" s="37">
        <v>8</v>
      </c>
      <c r="F1396" s="670">
        <v>52587</v>
      </c>
      <c r="G1396" s="37">
        <v>44</v>
      </c>
      <c r="H1396" s="37">
        <v>3</v>
      </c>
      <c r="I1396" s="37">
        <v>7</v>
      </c>
      <c r="J1396" s="527">
        <f t="shared" si="246"/>
        <v>0.0464058234758872</v>
      </c>
      <c r="K1396" s="687">
        <f t="shared" si="247"/>
        <v>9.36014705882353</v>
      </c>
      <c r="L1396" s="41">
        <f t="shared" si="240"/>
        <v>434.365332120109</v>
      </c>
      <c r="M1396" s="702">
        <f t="shared" si="239"/>
        <v>27.5401027510252</v>
      </c>
      <c r="N1396" s="39">
        <f t="shared" si="241"/>
        <v>0.0392156862745098</v>
      </c>
      <c r="O1396" s="558">
        <f t="shared" si="242"/>
        <v>6573.375</v>
      </c>
      <c r="P1396" s="559">
        <f t="shared" si="243"/>
        <v>238.68375</v>
      </c>
      <c r="Q1396" s="41">
        <f t="shared" si="244"/>
        <v>43.3970454545455</v>
      </c>
      <c r="R1396" s="1021">
        <f t="shared" si="245"/>
        <v>0.215686274509804</v>
      </c>
    </row>
    <row r="1397" spans="1:18">
      <c r="A1397" s="801">
        <v>46044</v>
      </c>
      <c r="B1397" s="670">
        <v>2037.88</v>
      </c>
      <c r="C1397" s="37">
        <v>4997</v>
      </c>
      <c r="D1397" s="37">
        <v>163</v>
      </c>
      <c r="E1397" s="37">
        <v>2</v>
      </c>
      <c r="F1397" s="670">
        <v>11156</v>
      </c>
      <c r="G1397" s="37">
        <v>61</v>
      </c>
      <c r="H1397" s="37">
        <v>8</v>
      </c>
      <c r="I1397" s="37">
        <v>11</v>
      </c>
      <c r="J1397" s="527">
        <f t="shared" si="246"/>
        <v>0.0326195717430458</v>
      </c>
      <c r="K1397" s="687">
        <f t="shared" si="247"/>
        <v>12.5023312883436</v>
      </c>
      <c r="L1397" s="41">
        <f t="shared" si="240"/>
        <v>407.820692415449</v>
      </c>
      <c r="M1397" s="702">
        <f t="shared" ref="M1397:M1461" si="248">F1397/B1397</f>
        <v>5.47431644650323</v>
      </c>
      <c r="N1397" s="39">
        <f t="shared" si="241"/>
        <v>0.0122699386503067</v>
      </c>
      <c r="O1397" s="558">
        <f t="shared" si="242"/>
        <v>5578</v>
      </c>
      <c r="P1397" s="559">
        <f t="shared" si="243"/>
        <v>1018.94</v>
      </c>
      <c r="Q1397" s="41">
        <f t="shared" si="244"/>
        <v>33.407868852459</v>
      </c>
      <c r="R1397" s="1021">
        <f t="shared" si="245"/>
        <v>0.374233128834356</v>
      </c>
    </row>
    <row r="1398" spans="1:18">
      <c r="A1398" s="801">
        <v>46045</v>
      </c>
      <c r="B1398" s="670">
        <v>1436.84</v>
      </c>
      <c r="C1398" s="37">
        <v>4027</v>
      </c>
      <c r="D1398" s="37">
        <v>140</v>
      </c>
      <c r="E1398" s="37">
        <v>2</v>
      </c>
      <c r="F1398" s="670">
        <v>15412</v>
      </c>
      <c r="G1398" s="37">
        <v>32</v>
      </c>
      <c r="H1398" s="37">
        <v>1</v>
      </c>
      <c r="I1398" s="37">
        <v>8</v>
      </c>
      <c r="J1398" s="527">
        <f t="shared" si="246"/>
        <v>0.0347653339955302</v>
      </c>
      <c r="K1398" s="687">
        <f t="shared" si="247"/>
        <v>10.2631428571429</v>
      </c>
      <c r="L1398" s="41">
        <f t="shared" si="240"/>
        <v>356.801589272411</v>
      </c>
      <c r="M1398" s="702">
        <f t="shared" si="248"/>
        <v>10.7263160825144</v>
      </c>
      <c r="N1398" s="39">
        <f t="shared" si="241"/>
        <v>0.0142857142857143</v>
      </c>
      <c r="O1398" s="558">
        <f t="shared" si="242"/>
        <v>7706</v>
      </c>
      <c r="P1398" s="559">
        <f t="shared" si="243"/>
        <v>718.42</v>
      </c>
      <c r="Q1398" s="41">
        <f t="shared" si="244"/>
        <v>44.90125</v>
      </c>
      <c r="R1398" s="1021">
        <f t="shared" si="245"/>
        <v>0.228571428571429</v>
      </c>
    </row>
    <row r="1399" spans="1:18">
      <c r="A1399" s="801">
        <v>46046</v>
      </c>
      <c r="B1399" s="670">
        <v>2269.22</v>
      </c>
      <c r="C1399" s="37">
        <v>6487</v>
      </c>
      <c r="D1399" s="37">
        <v>206</v>
      </c>
      <c r="E1399" s="37">
        <v>1</v>
      </c>
      <c r="F1399" s="670">
        <v>4198</v>
      </c>
      <c r="G1399" s="37">
        <v>54</v>
      </c>
      <c r="H1399" s="37">
        <v>7</v>
      </c>
      <c r="I1399" s="37">
        <v>6</v>
      </c>
      <c r="J1399" s="527">
        <f t="shared" si="246"/>
        <v>0.0317558193309696</v>
      </c>
      <c r="K1399" s="687">
        <f t="shared" si="247"/>
        <v>11.0156310679612</v>
      </c>
      <c r="L1399" s="41">
        <f t="shared" si="240"/>
        <v>349.810390010791</v>
      </c>
      <c r="M1399" s="702">
        <f t="shared" si="248"/>
        <v>1.84997488123672</v>
      </c>
      <c r="N1399" s="39">
        <f t="shared" si="241"/>
        <v>0.00485436893203883</v>
      </c>
      <c r="O1399" s="558">
        <f t="shared" si="242"/>
        <v>4198</v>
      </c>
      <c r="P1399" s="559">
        <f t="shared" si="243"/>
        <v>2269.22</v>
      </c>
      <c r="Q1399" s="41">
        <f t="shared" si="244"/>
        <v>42.0225925925926</v>
      </c>
      <c r="R1399" s="1021">
        <f t="shared" si="245"/>
        <v>0.262135922330097</v>
      </c>
    </row>
    <row r="1400" spans="1:18">
      <c r="A1400" s="801">
        <v>46047</v>
      </c>
      <c r="B1400" s="670">
        <v>2127.15</v>
      </c>
      <c r="C1400" s="37">
        <v>5578</v>
      </c>
      <c r="D1400" s="37">
        <v>198</v>
      </c>
      <c r="E1400" s="37">
        <v>1</v>
      </c>
      <c r="F1400" s="670">
        <v>11354</v>
      </c>
      <c r="G1400" s="37">
        <v>39</v>
      </c>
      <c r="H1400" s="37">
        <v>3</v>
      </c>
      <c r="I1400" s="37">
        <v>9</v>
      </c>
      <c r="J1400" s="527">
        <f t="shared" si="246"/>
        <v>0.0354965937612047</v>
      </c>
      <c r="K1400" s="687">
        <f t="shared" si="247"/>
        <v>10.7431818181818</v>
      </c>
      <c r="L1400" s="41">
        <f t="shared" si="240"/>
        <v>381.346360702761</v>
      </c>
      <c r="M1400" s="702">
        <f t="shared" si="248"/>
        <v>5.33765836917942</v>
      </c>
      <c r="N1400" s="39">
        <f t="shared" si="241"/>
        <v>0.00505050505050505</v>
      </c>
      <c r="O1400" s="558">
        <f t="shared" si="242"/>
        <v>11354</v>
      </c>
      <c r="P1400" s="559">
        <f t="shared" si="243"/>
        <v>2127.15</v>
      </c>
      <c r="Q1400" s="41">
        <f t="shared" si="244"/>
        <v>54.5423076923077</v>
      </c>
      <c r="R1400" s="1021">
        <f t="shared" si="245"/>
        <v>0.196969696969697</v>
      </c>
    </row>
    <row r="1401" spans="1:18">
      <c r="A1401" s="801">
        <v>46048</v>
      </c>
      <c r="B1401" s="670">
        <v>1852.3</v>
      </c>
      <c r="C1401" s="37">
        <v>4418</v>
      </c>
      <c r="D1401" s="37">
        <v>217</v>
      </c>
      <c r="E1401" s="37">
        <v>2</v>
      </c>
      <c r="F1401" s="670">
        <v>27452</v>
      </c>
      <c r="G1401" s="37">
        <v>40</v>
      </c>
      <c r="H1401" s="37">
        <v>3</v>
      </c>
      <c r="I1401" s="37">
        <v>7</v>
      </c>
      <c r="J1401" s="527">
        <f t="shared" si="246"/>
        <v>0.049117247623359</v>
      </c>
      <c r="K1401" s="687">
        <f t="shared" si="247"/>
        <v>8.53594470046083</v>
      </c>
      <c r="L1401" s="41">
        <f t="shared" si="240"/>
        <v>419.262109551833</v>
      </c>
      <c r="M1401" s="702">
        <f t="shared" si="248"/>
        <v>14.8204934405874</v>
      </c>
      <c r="N1401" s="39">
        <f t="shared" si="241"/>
        <v>0.00921658986175115</v>
      </c>
      <c r="O1401" s="558">
        <f t="shared" si="242"/>
        <v>13726</v>
      </c>
      <c r="P1401" s="559">
        <f t="shared" si="243"/>
        <v>926.15</v>
      </c>
      <c r="Q1401" s="41">
        <f t="shared" si="244"/>
        <v>46.3075</v>
      </c>
      <c r="R1401" s="1021">
        <f t="shared" si="245"/>
        <v>0.184331797235023</v>
      </c>
    </row>
    <row r="1402" spans="1:18">
      <c r="A1402" s="801">
        <v>46049</v>
      </c>
      <c r="B1402" s="670">
        <v>1846.57</v>
      </c>
      <c r="C1402" s="37">
        <v>4555</v>
      </c>
      <c r="D1402" s="37">
        <v>215</v>
      </c>
      <c r="E1402" s="37">
        <v>2</v>
      </c>
      <c r="F1402" s="670">
        <v>20484</v>
      </c>
      <c r="G1402" s="37">
        <v>47</v>
      </c>
      <c r="H1402" s="37">
        <v>1</v>
      </c>
      <c r="I1402" s="37">
        <v>10</v>
      </c>
      <c r="J1402" s="527">
        <f t="shared" si="246"/>
        <v>0.0472008781558727</v>
      </c>
      <c r="K1402" s="687">
        <f t="shared" si="247"/>
        <v>8.5886976744186</v>
      </c>
      <c r="L1402" s="41">
        <f t="shared" si="240"/>
        <v>405.394072447859</v>
      </c>
      <c r="M1402" s="702">
        <f t="shared" si="248"/>
        <v>11.09299945304</v>
      </c>
      <c r="N1402" s="39">
        <f t="shared" si="241"/>
        <v>0.00930232558139535</v>
      </c>
      <c r="O1402" s="558">
        <f t="shared" si="242"/>
        <v>10242</v>
      </c>
      <c r="P1402" s="559">
        <f t="shared" si="243"/>
        <v>923.285</v>
      </c>
      <c r="Q1402" s="41">
        <f t="shared" si="244"/>
        <v>39.2887234042553</v>
      </c>
      <c r="R1402" s="1021">
        <f t="shared" si="245"/>
        <v>0.218604651162791</v>
      </c>
    </row>
    <row r="1403" spans="1:18">
      <c r="A1403" s="801">
        <v>46050</v>
      </c>
      <c r="B1403" s="670">
        <v>1483.85</v>
      </c>
      <c r="C1403" s="37">
        <v>3863</v>
      </c>
      <c r="D1403" s="37">
        <v>166</v>
      </c>
      <c r="E1403" s="37">
        <v>2</v>
      </c>
      <c r="F1403" s="670">
        <v>13895</v>
      </c>
      <c r="G1403" s="37">
        <v>37</v>
      </c>
      <c r="H1403" s="37">
        <v>2</v>
      </c>
      <c r="I1403" s="37">
        <v>8</v>
      </c>
      <c r="J1403" s="527">
        <f t="shared" si="246"/>
        <v>0.0429717835878851</v>
      </c>
      <c r="K1403" s="687">
        <f t="shared" si="247"/>
        <v>8.93885542168675</v>
      </c>
      <c r="L1403" s="41">
        <f t="shared" si="240"/>
        <v>384.118560704116</v>
      </c>
      <c r="M1403" s="702">
        <f t="shared" si="248"/>
        <v>9.36415405869866</v>
      </c>
      <c r="N1403" s="39">
        <f t="shared" si="241"/>
        <v>0.0120481927710843</v>
      </c>
      <c r="O1403" s="558">
        <f t="shared" si="242"/>
        <v>6947.5</v>
      </c>
      <c r="P1403" s="559">
        <f t="shared" si="243"/>
        <v>741.925</v>
      </c>
      <c r="Q1403" s="41">
        <f t="shared" si="244"/>
        <v>40.1040540540541</v>
      </c>
      <c r="R1403" s="1021">
        <f t="shared" si="245"/>
        <v>0.22289156626506</v>
      </c>
    </row>
    <row r="1404" spans="1:18">
      <c r="A1404" s="801">
        <v>46051</v>
      </c>
      <c r="B1404" s="670">
        <v>1459.44</v>
      </c>
      <c r="C1404" s="37">
        <v>4055</v>
      </c>
      <c r="D1404" s="37">
        <v>128</v>
      </c>
      <c r="E1404" s="37">
        <v>1</v>
      </c>
      <c r="F1404" s="670">
        <v>9297</v>
      </c>
      <c r="G1404" s="37">
        <v>37</v>
      </c>
      <c r="H1404" s="37">
        <v>4</v>
      </c>
      <c r="I1404" s="37">
        <v>7</v>
      </c>
      <c r="J1404" s="527">
        <f t="shared" si="246"/>
        <v>0.0315659679408138</v>
      </c>
      <c r="K1404" s="687">
        <f t="shared" si="247"/>
        <v>11.401875</v>
      </c>
      <c r="L1404" s="41">
        <f t="shared" si="240"/>
        <v>359.911220715166</v>
      </c>
      <c r="M1404" s="702">
        <f t="shared" si="248"/>
        <v>6.37025160335471</v>
      </c>
      <c r="N1404" s="39">
        <f t="shared" si="241"/>
        <v>0.0078125</v>
      </c>
      <c r="O1404" s="558">
        <f t="shared" si="242"/>
        <v>9297</v>
      </c>
      <c r="P1404" s="559">
        <f t="shared" si="243"/>
        <v>1459.44</v>
      </c>
      <c r="Q1404" s="41">
        <f t="shared" si="244"/>
        <v>39.4443243243243</v>
      </c>
      <c r="R1404" s="1021">
        <f t="shared" si="245"/>
        <v>0.2890625</v>
      </c>
    </row>
    <row r="1405" spans="1:18">
      <c r="A1405" s="801">
        <v>46052</v>
      </c>
      <c r="B1405" s="670">
        <v>1467.79</v>
      </c>
      <c r="C1405" s="37">
        <v>4296</v>
      </c>
      <c r="D1405" s="37">
        <v>117</v>
      </c>
      <c r="E1405" s="37">
        <v>3</v>
      </c>
      <c r="F1405" s="670">
        <v>24178</v>
      </c>
      <c r="G1405" s="37">
        <v>27</v>
      </c>
      <c r="H1405" s="37">
        <v>2</v>
      </c>
      <c r="I1405" s="37">
        <v>3</v>
      </c>
      <c r="J1405" s="527">
        <f t="shared" si="246"/>
        <v>0.0272346368715084</v>
      </c>
      <c r="K1405" s="687">
        <f t="shared" si="247"/>
        <v>12.5452136752137</v>
      </c>
      <c r="L1405" s="41">
        <f t="shared" si="240"/>
        <v>341.664338919925</v>
      </c>
      <c r="M1405" s="702">
        <f t="shared" si="248"/>
        <v>16.4723836516123</v>
      </c>
      <c r="N1405" s="39">
        <f t="shared" si="241"/>
        <v>0.0256410256410256</v>
      </c>
      <c r="O1405" s="558">
        <f t="shared" si="242"/>
        <v>8059.33333333333</v>
      </c>
      <c r="P1405" s="559">
        <f t="shared" si="243"/>
        <v>489.263333333333</v>
      </c>
      <c r="Q1405" s="41">
        <f t="shared" si="244"/>
        <v>54.3625925925926</v>
      </c>
      <c r="R1405" s="1021">
        <f t="shared" si="245"/>
        <v>0.230769230769231</v>
      </c>
    </row>
    <row r="1406" spans="1:18">
      <c r="A1406" s="801">
        <v>46053</v>
      </c>
      <c r="B1406" s="670">
        <v>1460.84</v>
      </c>
      <c r="C1406" s="37">
        <v>4566</v>
      </c>
      <c r="D1406" s="37">
        <v>101</v>
      </c>
      <c r="E1406" s="37">
        <v>0</v>
      </c>
      <c r="F1406" s="670">
        <v>0</v>
      </c>
      <c r="G1406" s="37">
        <v>12</v>
      </c>
      <c r="H1406" s="37">
        <v>2</v>
      </c>
      <c r="I1406" s="37">
        <v>5</v>
      </c>
      <c r="J1406" s="527">
        <f t="shared" si="246"/>
        <v>0.022120017520806</v>
      </c>
      <c r="K1406" s="687">
        <f t="shared" si="247"/>
        <v>14.4637623762376</v>
      </c>
      <c r="L1406" s="41">
        <f t="shared" si="240"/>
        <v>319.93867717915</v>
      </c>
      <c r="M1406" s="702">
        <f t="shared" si="248"/>
        <v>0</v>
      </c>
      <c r="N1406" s="39">
        <f t="shared" si="241"/>
        <v>0</v>
      </c>
      <c r="O1406" s="558">
        <f t="shared" si="242"/>
        <v>0</v>
      </c>
      <c r="P1406" s="559">
        <f t="shared" si="243"/>
        <v>0</v>
      </c>
      <c r="Q1406" s="41">
        <f t="shared" si="244"/>
        <v>121.736666666667</v>
      </c>
      <c r="R1406" s="1021">
        <f t="shared" si="245"/>
        <v>0.118811881188119</v>
      </c>
    </row>
    <row r="1407" spans="1:18">
      <c r="A1407" s="801">
        <v>46054</v>
      </c>
      <c r="B1407" s="670">
        <v>1477.27</v>
      </c>
      <c r="C1407" s="37">
        <v>4085</v>
      </c>
      <c r="D1407" s="37">
        <v>126</v>
      </c>
      <c r="E1407" s="37">
        <v>2</v>
      </c>
      <c r="F1407" s="670">
        <v>18594</v>
      </c>
      <c r="G1407" s="37">
        <v>32</v>
      </c>
      <c r="H1407" s="37">
        <v>3</v>
      </c>
      <c r="I1407" s="37">
        <v>2</v>
      </c>
      <c r="J1407" s="527">
        <f t="shared" si="246"/>
        <v>0.0308445532435741</v>
      </c>
      <c r="K1407" s="687">
        <f t="shared" si="247"/>
        <v>11.7243650793651</v>
      </c>
      <c r="L1407" s="41">
        <f t="shared" ref="L1407:L1470" si="249">B1407/C1407*1000</f>
        <v>361.632802937577</v>
      </c>
      <c r="M1407" s="702">
        <f t="shared" si="248"/>
        <v>12.5867309293494</v>
      </c>
      <c r="N1407" s="39">
        <f t="shared" ref="N1407:N1470" si="250">E1407/D1407</f>
        <v>0.0158730158730159</v>
      </c>
      <c r="O1407" s="558">
        <f t="shared" ref="O1407:O1470" si="251">IF(E1407=0,0,F1407/E1407)</f>
        <v>9297</v>
      </c>
      <c r="P1407" s="559">
        <f t="shared" ref="P1407:P1470" si="252">IF(E1407=0,0,B1407/E1407)</f>
        <v>738.635</v>
      </c>
      <c r="Q1407" s="41">
        <f t="shared" ref="Q1407:Q1470" si="253">B1407/G1407</f>
        <v>46.1646875</v>
      </c>
      <c r="R1407" s="1021">
        <f t="shared" ref="R1407:R1470" si="254">G1407/D1407</f>
        <v>0.253968253968254</v>
      </c>
    </row>
    <row r="1408" spans="1:18">
      <c r="A1408" s="801">
        <v>46055</v>
      </c>
      <c r="B1408" s="670">
        <v>1472.77</v>
      </c>
      <c r="C1408" s="37">
        <v>4196</v>
      </c>
      <c r="D1408" s="37">
        <v>137</v>
      </c>
      <c r="E1408" s="37">
        <v>0</v>
      </c>
      <c r="F1408" s="670">
        <v>0</v>
      </c>
      <c r="G1408" s="37">
        <v>29</v>
      </c>
      <c r="H1408" s="37">
        <v>5</v>
      </c>
      <c r="I1408" s="37">
        <v>7</v>
      </c>
      <c r="J1408" s="527">
        <f t="shared" si="246"/>
        <v>0.032650142993327</v>
      </c>
      <c r="K1408" s="687">
        <f t="shared" si="247"/>
        <v>10.7501459854015</v>
      </c>
      <c r="L1408" s="41">
        <f t="shared" si="249"/>
        <v>350.993803622498</v>
      </c>
      <c r="M1408" s="702">
        <f t="shared" si="248"/>
        <v>0</v>
      </c>
      <c r="N1408" s="39">
        <f t="shared" si="250"/>
        <v>0</v>
      </c>
      <c r="O1408" s="558">
        <f t="shared" si="251"/>
        <v>0</v>
      </c>
      <c r="P1408" s="559">
        <f t="shared" si="252"/>
        <v>0</v>
      </c>
      <c r="Q1408" s="41">
        <f t="shared" si="253"/>
        <v>50.7851724137931</v>
      </c>
      <c r="R1408" s="1021">
        <f t="shared" si="254"/>
        <v>0.211678832116788</v>
      </c>
    </row>
    <row r="1409" spans="1:18">
      <c r="A1409" s="801">
        <v>46056</v>
      </c>
      <c r="B1409" s="670">
        <v>1462.27</v>
      </c>
      <c r="C1409" s="37">
        <v>4050</v>
      </c>
      <c r="D1409" s="37">
        <v>141</v>
      </c>
      <c r="E1409" s="37">
        <v>1</v>
      </c>
      <c r="F1409" s="670">
        <v>19731</v>
      </c>
      <c r="G1409" s="37">
        <v>24</v>
      </c>
      <c r="H1409" s="37">
        <v>2</v>
      </c>
      <c r="I1409" s="37">
        <v>6</v>
      </c>
      <c r="J1409" s="527">
        <f t="shared" si="246"/>
        <v>0.0348148148148148</v>
      </c>
      <c r="K1409" s="687">
        <f t="shared" si="247"/>
        <v>10.3707092198582</v>
      </c>
      <c r="L1409" s="41">
        <f t="shared" si="249"/>
        <v>361.054320987654</v>
      </c>
      <c r="M1409" s="702">
        <f t="shared" si="248"/>
        <v>13.4934040908998</v>
      </c>
      <c r="N1409" s="39">
        <f t="shared" si="250"/>
        <v>0.00709219858156028</v>
      </c>
      <c r="O1409" s="558">
        <f t="shared" si="251"/>
        <v>19731</v>
      </c>
      <c r="P1409" s="559">
        <f t="shared" si="252"/>
        <v>1462.27</v>
      </c>
      <c r="Q1409" s="41">
        <f t="shared" si="253"/>
        <v>60.9279166666667</v>
      </c>
      <c r="R1409" s="1021">
        <f t="shared" si="254"/>
        <v>0.170212765957447</v>
      </c>
    </row>
    <row r="1410" spans="1:18">
      <c r="A1410" s="801">
        <v>46057</v>
      </c>
      <c r="B1410" s="670">
        <v>1465.27</v>
      </c>
      <c r="C1410" s="37">
        <v>4289</v>
      </c>
      <c r="D1410" s="37">
        <v>127</v>
      </c>
      <c r="E1410" s="37">
        <v>0</v>
      </c>
      <c r="F1410" s="670">
        <v>0</v>
      </c>
      <c r="G1410" s="37">
        <v>32</v>
      </c>
      <c r="H1410" s="37">
        <v>2</v>
      </c>
      <c r="I1410" s="37">
        <v>9</v>
      </c>
      <c r="J1410" s="527">
        <f t="shared" ref="J1410:J1473" si="255">D1410/C1410</f>
        <v>0.0296106318489158</v>
      </c>
      <c r="K1410" s="687">
        <f t="shared" ref="K1410:K1473" si="256">B1410/D1410</f>
        <v>11.5375590551181</v>
      </c>
      <c r="L1410" s="41">
        <f t="shared" si="249"/>
        <v>341.634413616228</v>
      </c>
      <c r="M1410" s="702">
        <f t="shared" si="248"/>
        <v>0</v>
      </c>
      <c r="N1410" s="39">
        <f t="shared" si="250"/>
        <v>0</v>
      </c>
      <c r="O1410" s="558">
        <f t="shared" si="251"/>
        <v>0</v>
      </c>
      <c r="P1410" s="559">
        <f t="shared" si="252"/>
        <v>0</v>
      </c>
      <c r="Q1410" s="41">
        <f t="shared" si="253"/>
        <v>45.7896875</v>
      </c>
      <c r="R1410" s="1021">
        <f t="shared" si="254"/>
        <v>0.251968503937008</v>
      </c>
    </row>
    <row r="1411" spans="1:18">
      <c r="A1411" s="801">
        <v>46058</v>
      </c>
      <c r="B1411" s="670">
        <v>1464.04</v>
      </c>
      <c r="C1411" s="37">
        <v>4208</v>
      </c>
      <c r="D1411" s="37">
        <v>136</v>
      </c>
      <c r="E1411" s="37">
        <v>0</v>
      </c>
      <c r="F1411" s="670">
        <v>0</v>
      </c>
      <c r="G1411" s="37">
        <v>14</v>
      </c>
      <c r="H1411" s="37">
        <v>3</v>
      </c>
      <c r="I1411" s="37">
        <v>3</v>
      </c>
      <c r="J1411" s="527">
        <f t="shared" si="255"/>
        <v>0.032319391634981</v>
      </c>
      <c r="K1411" s="687">
        <f t="shared" si="256"/>
        <v>10.765</v>
      </c>
      <c r="L1411" s="41">
        <f t="shared" si="249"/>
        <v>347.91825095057</v>
      </c>
      <c r="M1411" s="702">
        <f t="shared" si="248"/>
        <v>0</v>
      </c>
      <c r="N1411" s="39">
        <f t="shared" si="250"/>
        <v>0</v>
      </c>
      <c r="O1411" s="558">
        <f t="shared" si="251"/>
        <v>0</v>
      </c>
      <c r="P1411" s="559">
        <f t="shared" si="252"/>
        <v>0</v>
      </c>
      <c r="Q1411" s="41">
        <f t="shared" si="253"/>
        <v>104.574285714286</v>
      </c>
      <c r="R1411" s="1021">
        <f t="shared" si="254"/>
        <v>0.102941176470588</v>
      </c>
    </row>
    <row r="1412" spans="1:18">
      <c r="A1412" s="801">
        <v>46059</v>
      </c>
      <c r="B1412" s="670">
        <v>1478.55</v>
      </c>
      <c r="C1412" s="37">
        <v>4058</v>
      </c>
      <c r="D1412" s="37">
        <v>149</v>
      </c>
      <c r="E1412" s="37">
        <v>1</v>
      </c>
      <c r="F1412" s="670">
        <v>4766</v>
      </c>
      <c r="G1412" s="37">
        <v>25</v>
      </c>
      <c r="H1412" s="37">
        <v>2</v>
      </c>
      <c r="I1412" s="37">
        <v>4</v>
      </c>
      <c r="J1412" s="527">
        <f t="shared" si="255"/>
        <v>0.0367175948743223</v>
      </c>
      <c r="K1412" s="687">
        <f t="shared" si="256"/>
        <v>9.92315436241611</v>
      </c>
      <c r="L1412" s="41">
        <f t="shared" si="249"/>
        <v>364.354361754559</v>
      </c>
      <c r="M1412" s="702">
        <f t="shared" si="248"/>
        <v>3.2234283588651</v>
      </c>
      <c r="N1412" s="39">
        <f t="shared" si="250"/>
        <v>0.00671140939597315</v>
      </c>
      <c r="O1412" s="558">
        <f t="shared" si="251"/>
        <v>4766</v>
      </c>
      <c r="P1412" s="559">
        <f t="shared" si="252"/>
        <v>1478.55</v>
      </c>
      <c r="Q1412" s="41">
        <f t="shared" si="253"/>
        <v>59.142</v>
      </c>
      <c r="R1412" s="1021">
        <f t="shared" si="254"/>
        <v>0.167785234899329</v>
      </c>
    </row>
    <row r="1413" spans="1:18">
      <c r="A1413" s="801">
        <v>46060</v>
      </c>
      <c r="B1413" s="670">
        <v>1266.35</v>
      </c>
      <c r="C1413" s="37">
        <v>3795</v>
      </c>
      <c r="D1413" s="37">
        <v>103</v>
      </c>
      <c r="E1413" s="37">
        <v>0</v>
      </c>
      <c r="F1413" s="670">
        <v>0</v>
      </c>
      <c r="G1413" s="37">
        <v>18</v>
      </c>
      <c r="H1413" s="37">
        <v>3</v>
      </c>
      <c r="I1413" s="37">
        <v>4</v>
      </c>
      <c r="J1413" s="527">
        <f t="shared" si="255"/>
        <v>0.0271409749670619</v>
      </c>
      <c r="K1413" s="687">
        <f t="shared" si="256"/>
        <v>12.2946601941748</v>
      </c>
      <c r="L1413" s="41">
        <f t="shared" si="249"/>
        <v>333.68906455863</v>
      </c>
      <c r="M1413" s="702">
        <f t="shared" si="248"/>
        <v>0</v>
      </c>
      <c r="N1413" s="39">
        <f t="shared" si="250"/>
        <v>0</v>
      </c>
      <c r="O1413" s="558">
        <f t="shared" si="251"/>
        <v>0</v>
      </c>
      <c r="P1413" s="559">
        <f t="shared" si="252"/>
        <v>0</v>
      </c>
      <c r="Q1413" s="41">
        <f t="shared" si="253"/>
        <v>70.3527777777778</v>
      </c>
      <c r="R1413" s="1021">
        <f t="shared" si="254"/>
        <v>0.174757281553398</v>
      </c>
    </row>
    <row r="1414" spans="1:18">
      <c r="A1414" s="801">
        <v>46061</v>
      </c>
      <c r="B1414" s="670">
        <v>1557.72</v>
      </c>
      <c r="C1414" s="37">
        <v>4626</v>
      </c>
      <c r="D1414" s="37">
        <v>147</v>
      </c>
      <c r="E1414" s="37">
        <v>1</v>
      </c>
      <c r="F1414" s="670">
        <v>4612</v>
      </c>
      <c r="G1414" s="37">
        <v>23</v>
      </c>
      <c r="H1414" s="37">
        <v>2</v>
      </c>
      <c r="I1414" s="37">
        <v>3</v>
      </c>
      <c r="J1414" s="527">
        <f t="shared" si="255"/>
        <v>0.0317769130998703</v>
      </c>
      <c r="K1414" s="687">
        <f t="shared" si="256"/>
        <v>10.5967346938776</v>
      </c>
      <c r="L1414" s="41">
        <f t="shared" si="249"/>
        <v>336.731517509728</v>
      </c>
      <c r="M1414" s="702">
        <f t="shared" si="248"/>
        <v>2.96073748812367</v>
      </c>
      <c r="N1414" s="39">
        <f t="shared" si="250"/>
        <v>0.00680272108843537</v>
      </c>
      <c r="O1414" s="558">
        <f t="shared" si="251"/>
        <v>4612</v>
      </c>
      <c r="P1414" s="559">
        <f t="shared" si="252"/>
        <v>1557.72</v>
      </c>
      <c r="Q1414" s="41">
        <f t="shared" si="253"/>
        <v>67.7269565217391</v>
      </c>
      <c r="R1414" s="1021">
        <f t="shared" si="254"/>
        <v>0.156462585034014</v>
      </c>
    </row>
    <row r="1415" spans="1:18">
      <c r="A1415" s="801">
        <v>46062</v>
      </c>
      <c r="B1415" s="670">
        <v>1460.13</v>
      </c>
      <c r="C1415" s="37">
        <v>4291</v>
      </c>
      <c r="D1415" s="37">
        <v>133</v>
      </c>
      <c r="E1415" s="37">
        <v>0</v>
      </c>
      <c r="F1415" s="670">
        <v>0</v>
      </c>
      <c r="G1415" s="37">
        <v>19</v>
      </c>
      <c r="H1415" s="37">
        <v>4</v>
      </c>
      <c r="I1415" s="37">
        <v>4</v>
      </c>
      <c r="J1415" s="527">
        <f t="shared" si="255"/>
        <v>0.0309951060358891</v>
      </c>
      <c r="K1415" s="687">
        <f t="shared" si="256"/>
        <v>10.9784210526316</v>
      </c>
      <c r="L1415" s="41">
        <f t="shared" si="249"/>
        <v>340.277324632953</v>
      </c>
      <c r="M1415" s="702">
        <f t="shared" si="248"/>
        <v>0</v>
      </c>
      <c r="N1415" s="39">
        <f t="shared" si="250"/>
        <v>0</v>
      </c>
      <c r="O1415" s="558">
        <f t="shared" si="251"/>
        <v>0</v>
      </c>
      <c r="P1415" s="559">
        <f t="shared" si="252"/>
        <v>0</v>
      </c>
      <c r="Q1415" s="41">
        <f t="shared" si="253"/>
        <v>76.8489473684211</v>
      </c>
      <c r="R1415" s="1021">
        <f t="shared" si="254"/>
        <v>0.142857142857143</v>
      </c>
    </row>
    <row r="1416" spans="1:18">
      <c r="A1416" s="801">
        <v>46063</v>
      </c>
      <c r="B1416" s="670">
        <v>783.51</v>
      </c>
      <c r="C1416" s="37">
        <v>2311</v>
      </c>
      <c r="D1416" s="37">
        <v>68</v>
      </c>
      <c r="E1416" s="37">
        <v>2</v>
      </c>
      <c r="F1416" s="670">
        <v>7576</v>
      </c>
      <c r="G1416" s="37">
        <v>17</v>
      </c>
      <c r="H1416" s="37">
        <v>1</v>
      </c>
      <c r="I1416" s="37">
        <v>2</v>
      </c>
      <c r="J1416" s="527">
        <f t="shared" si="255"/>
        <v>0.0294244915620943</v>
      </c>
      <c r="K1416" s="687">
        <f t="shared" si="256"/>
        <v>11.5222058823529</v>
      </c>
      <c r="L1416" s="41">
        <f t="shared" si="249"/>
        <v>339.035049762008</v>
      </c>
      <c r="M1416" s="702">
        <f t="shared" si="248"/>
        <v>9.66930862401246</v>
      </c>
      <c r="N1416" s="39">
        <f t="shared" si="250"/>
        <v>0.0294117647058824</v>
      </c>
      <c r="O1416" s="558">
        <f t="shared" si="251"/>
        <v>3788</v>
      </c>
      <c r="P1416" s="559">
        <f t="shared" si="252"/>
        <v>391.755</v>
      </c>
      <c r="Q1416" s="41">
        <f t="shared" si="253"/>
        <v>46.0888235294118</v>
      </c>
      <c r="R1416" s="1021">
        <f t="shared" si="254"/>
        <v>0.25</v>
      </c>
    </row>
    <row r="1417" spans="1:18">
      <c r="A1417" s="801">
        <v>46064</v>
      </c>
      <c r="B1417" s="670">
        <v>976.77</v>
      </c>
      <c r="C1417" s="37">
        <v>3042</v>
      </c>
      <c r="D1417" s="37">
        <v>82</v>
      </c>
      <c r="E1417" s="37">
        <v>0</v>
      </c>
      <c r="F1417" s="670">
        <v>0</v>
      </c>
      <c r="G1417" s="37">
        <v>9</v>
      </c>
      <c r="H1417" s="37">
        <v>2</v>
      </c>
      <c r="I1417" s="37">
        <v>1</v>
      </c>
      <c r="J1417" s="527">
        <f t="shared" si="255"/>
        <v>0.0269559500328731</v>
      </c>
      <c r="K1417" s="687">
        <f t="shared" si="256"/>
        <v>11.9118292682927</v>
      </c>
      <c r="L1417" s="41">
        <f t="shared" si="249"/>
        <v>321.094674556213</v>
      </c>
      <c r="M1417" s="702">
        <f t="shared" si="248"/>
        <v>0</v>
      </c>
      <c r="N1417" s="39">
        <f t="shared" si="250"/>
        <v>0</v>
      </c>
      <c r="O1417" s="558">
        <f t="shared" si="251"/>
        <v>0</v>
      </c>
      <c r="P1417" s="559">
        <f t="shared" si="252"/>
        <v>0</v>
      </c>
      <c r="Q1417" s="41">
        <f t="shared" si="253"/>
        <v>108.53</v>
      </c>
      <c r="R1417" s="1021">
        <f t="shared" si="254"/>
        <v>0.109756097560976</v>
      </c>
    </row>
    <row r="1418" spans="1:18">
      <c r="A1418" s="801">
        <v>46065</v>
      </c>
      <c r="B1418" s="670">
        <v>966.46</v>
      </c>
      <c r="C1418" s="37">
        <v>3016</v>
      </c>
      <c r="D1418" s="37">
        <v>109</v>
      </c>
      <c r="E1418" s="37">
        <v>1</v>
      </c>
      <c r="F1418" s="670">
        <v>14074</v>
      </c>
      <c r="G1418" s="37">
        <v>20</v>
      </c>
      <c r="H1418" s="37">
        <v>1</v>
      </c>
      <c r="I1418" s="37">
        <v>3</v>
      </c>
      <c r="J1418" s="527">
        <f t="shared" si="255"/>
        <v>0.0361405835543767</v>
      </c>
      <c r="K1418" s="687">
        <f t="shared" si="256"/>
        <v>8.86660550458716</v>
      </c>
      <c r="L1418" s="41">
        <f t="shared" si="249"/>
        <v>320.444297082228</v>
      </c>
      <c r="M1418" s="702">
        <f t="shared" si="248"/>
        <v>14.5624236905821</v>
      </c>
      <c r="N1418" s="39">
        <f t="shared" si="250"/>
        <v>0.00917431192660551</v>
      </c>
      <c r="O1418" s="558">
        <f t="shared" si="251"/>
        <v>14074</v>
      </c>
      <c r="P1418" s="559">
        <f t="shared" si="252"/>
        <v>966.46</v>
      </c>
      <c r="Q1418" s="41">
        <f t="shared" si="253"/>
        <v>48.323</v>
      </c>
      <c r="R1418" s="1021">
        <f t="shared" si="254"/>
        <v>0.18348623853211</v>
      </c>
    </row>
    <row r="1419" spans="1:18">
      <c r="A1419" s="801">
        <v>46066</v>
      </c>
      <c r="B1419" s="670">
        <v>0</v>
      </c>
      <c r="C1419" s="37">
        <v>0</v>
      </c>
      <c r="D1419" s="37">
        <v>0</v>
      </c>
      <c r="E1419" s="37">
        <v>0</v>
      </c>
      <c r="F1419" s="670">
        <v>0</v>
      </c>
      <c r="G1419" s="37">
        <v>0</v>
      </c>
      <c r="H1419" s="37">
        <v>0</v>
      </c>
      <c r="I1419" s="37">
        <v>0</v>
      </c>
      <c r="J1419" s="527" t="e">
        <f t="shared" si="255"/>
        <v>#DIV/0!</v>
      </c>
      <c r="K1419" s="687" t="e">
        <f t="shared" si="256"/>
        <v>#DIV/0!</v>
      </c>
      <c r="L1419" s="41" t="e">
        <f t="shared" si="249"/>
        <v>#DIV/0!</v>
      </c>
      <c r="M1419" s="702" t="e">
        <f t="shared" si="248"/>
        <v>#DIV/0!</v>
      </c>
      <c r="N1419" s="39" t="e">
        <f t="shared" si="250"/>
        <v>#DIV/0!</v>
      </c>
      <c r="O1419" s="558">
        <f t="shared" si="251"/>
        <v>0</v>
      </c>
      <c r="P1419" s="559">
        <f t="shared" si="252"/>
        <v>0</v>
      </c>
      <c r="Q1419" s="41" t="e">
        <f t="shared" si="253"/>
        <v>#DIV/0!</v>
      </c>
      <c r="R1419" s="1021" t="e">
        <f t="shared" si="254"/>
        <v>#DIV/0!</v>
      </c>
    </row>
    <row r="1420" spans="1:18">
      <c r="A1420" s="801">
        <v>46067</v>
      </c>
      <c r="B1420" s="670">
        <v>718.95</v>
      </c>
      <c r="C1420" s="37">
        <v>2290</v>
      </c>
      <c r="D1420" s="37">
        <v>60</v>
      </c>
      <c r="E1420" s="37">
        <v>1</v>
      </c>
      <c r="F1420" s="670">
        <v>15252</v>
      </c>
      <c r="G1420" s="37">
        <v>20</v>
      </c>
      <c r="H1420" s="37">
        <v>2</v>
      </c>
      <c r="I1420" s="37">
        <v>0</v>
      </c>
      <c r="J1420" s="527">
        <f t="shared" si="255"/>
        <v>0.0262008733624454</v>
      </c>
      <c r="K1420" s="687">
        <f t="shared" si="256"/>
        <v>11.9825</v>
      </c>
      <c r="L1420" s="41">
        <f t="shared" si="249"/>
        <v>313.951965065502</v>
      </c>
      <c r="M1420" s="702">
        <f t="shared" si="248"/>
        <v>21.2142708116002</v>
      </c>
      <c r="N1420" s="39">
        <f t="shared" si="250"/>
        <v>0.0166666666666667</v>
      </c>
      <c r="O1420" s="558">
        <f t="shared" si="251"/>
        <v>15252</v>
      </c>
      <c r="P1420" s="559">
        <f t="shared" si="252"/>
        <v>718.95</v>
      </c>
      <c r="Q1420" s="41">
        <f t="shared" si="253"/>
        <v>35.9475</v>
      </c>
      <c r="R1420" s="1021">
        <f t="shared" si="254"/>
        <v>0.333333333333333</v>
      </c>
    </row>
    <row r="1421" spans="1:18">
      <c r="A1421" s="801">
        <v>46068</v>
      </c>
      <c r="B1421" s="670">
        <v>934.01</v>
      </c>
      <c r="C1421" s="37">
        <v>2731</v>
      </c>
      <c r="D1421" s="37">
        <v>87</v>
      </c>
      <c r="E1421" s="37">
        <v>0</v>
      </c>
      <c r="F1421" s="670">
        <v>0</v>
      </c>
      <c r="G1421" s="37">
        <v>15</v>
      </c>
      <c r="H1421" s="37">
        <v>2</v>
      </c>
      <c r="I1421" s="37">
        <v>4</v>
      </c>
      <c r="J1421" s="527">
        <f t="shared" si="255"/>
        <v>0.0318564628341267</v>
      </c>
      <c r="K1421" s="687">
        <f t="shared" si="256"/>
        <v>10.7357471264368</v>
      </c>
      <c r="L1421" s="41">
        <f t="shared" si="249"/>
        <v>342.002929329916</v>
      </c>
      <c r="M1421" s="702">
        <f t="shared" si="248"/>
        <v>0</v>
      </c>
      <c r="N1421" s="39">
        <f t="shared" si="250"/>
        <v>0</v>
      </c>
      <c r="O1421" s="558">
        <f t="shared" si="251"/>
        <v>0</v>
      </c>
      <c r="P1421" s="559">
        <f t="shared" si="252"/>
        <v>0</v>
      </c>
      <c r="Q1421" s="41">
        <f t="shared" si="253"/>
        <v>62.2673333333333</v>
      </c>
      <c r="R1421" s="1021">
        <f t="shared" si="254"/>
        <v>0.172413793103448</v>
      </c>
    </row>
    <row r="1422" spans="1:18">
      <c r="A1422" s="801">
        <v>46069</v>
      </c>
      <c r="B1422" s="670">
        <v>992.92</v>
      </c>
      <c r="C1422" s="37">
        <v>3435</v>
      </c>
      <c r="D1422" s="37">
        <v>78</v>
      </c>
      <c r="E1422" s="37">
        <v>0</v>
      </c>
      <c r="F1422" s="670">
        <v>0</v>
      </c>
      <c r="G1422" s="37">
        <v>24</v>
      </c>
      <c r="H1422" s="37">
        <v>0</v>
      </c>
      <c r="I1422" s="37">
        <v>0</v>
      </c>
      <c r="J1422" s="527">
        <f t="shared" si="255"/>
        <v>0.022707423580786</v>
      </c>
      <c r="K1422" s="687">
        <f t="shared" si="256"/>
        <v>12.7297435897436</v>
      </c>
      <c r="L1422" s="41">
        <f t="shared" si="249"/>
        <v>289.059679767103</v>
      </c>
      <c r="M1422" s="702">
        <f t="shared" si="248"/>
        <v>0</v>
      </c>
      <c r="N1422" s="39">
        <f t="shared" si="250"/>
        <v>0</v>
      </c>
      <c r="O1422" s="558">
        <f t="shared" si="251"/>
        <v>0</v>
      </c>
      <c r="P1422" s="559">
        <f t="shared" si="252"/>
        <v>0</v>
      </c>
      <c r="Q1422" s="41">
        <f t="shared" si="253"/>
        <v>41.3716666666667</v>
      </c>
      <c r="R1422" s="1021">
        <f t="shared" si="254"/>
        <v>0.307692307692308</v>
      </c>
    </row>
    <row r="1423" spans="1:18">
      <c r="A1423" s="801">
        <v>46070</v>
      </c>
      <c r="B1423" s="670">
        <v>1080.64</v>
      </c>
      <c r="C1423" s="37">
        <v>3792</v>
      </c>
      <c r="D1423" s="37">
        <v>103</v>
      </c>
      <c r="E1423" s="37">
        <v>0</v>
      </c>
      <c r="F1423" s="670">
        <v>0</v>
      </c>
      <c r="G1423" s="37">
        <v>29</v>
      </c>
      <c r="H1423" s="37">
        <v>1</v>
      </c>
      <c r="I1423" s="37">
        <v>5</v>
      </c>
      <c r="J1423" s="527">
        <f t="shared" si="255"/>
        <v>0.027162447257384</v>
      </c>
      <c r="K1423" s="687">
        <f t="shared" si="256"/>
        <v>10.4916504854369</v>
      </c>
      <c r="L1423" s="41">
        <f t="shared" si="249"/>
        <v>284.978902953586</v>
      </c>
      <c r="M1423" s="702">
        <f t="shared" si="248"/>
        <v>0</v>
      </c>
      <c r="N1423" s="39">
        <f t="shared" si="250"/>
        <v>0</v>
      </c>
      <c r="O1423" s="558">
        <f t="shared" si="251"/>
        <v>0</v>
      </c>
      <c r="P1423" s="559">
        <f t="shared" si="252"/>
        <v>0</v>
      </c>
      <c r="Q1423" s="41">
        <f t="shared" si="253"/>
        <v>37.2634482758621</v>
      </c>
      <c r="R1423" s="1021">
        <f t="shared" si="254"/>
        <v>0.281553398058252</v>
      </c>
    </row>
    <row r="1424" spans="1:18">
      <c r="A1424" s="801">
        <v>46071</v>
      </c>
      <c r="B1424" s="670">
        <v>1235.22</v>
      </c>
      <c r="C1424" s="37">
        <v>3957</v>
      </c>
      <c r="D1424" s="37">
        <v>130</v>
      </c>
      <c r="E1424" s="37">
        <v>2</v>
      </c>
      <c r="F1424" s="670">
        <v>17092</v>
      </c>
      <c r="G1424" s="37">
        <v>34</v>
      </c>
      <c r="H1424" s="37">
        <v>2</v>
      </c>
      <c r="I1424" s="37">
        <v>3</v>
      </c>
      <c r="J1424" s="527">
        <f t="shared" si="255"/>
        <v>0.0328531715946424</v>
      </c>
      <c r="K1424" s="687">
        <f t="shared" si="256"/>
        <v>9.50169230769231</v>
      </c>
      <c r="L1424" s="41">
        <f t="shared" si="249"/>
        <v>312.160727824109</v>
      </c>
      <c r="M1424" s="702">
        <f t="shared" si="248"/>
        <v>13.8372111850521</v>
      </c>
      <c r="N1424" s="39">
        <f t="shared" si="250"/>
        <v>0.0153846153846154</v>
      </c>
      <c r="O1424" s="558">
        <f t="shared" si="251"/>
        <v>8546</v>
      </c>
      <c r="P1424" s="559">
        <f t="shared" si="252"/>
        <v>617.61</v>
      </c>
      <c r="Q1424" s="41">
        <f t="shared" si="253"/>
        <v>36.33</v>
      </c>
      <c r="R1424" s="1021">
        <f t="shared" si="254"/>
        <v>0.261538461538462</v>
      </c>
    </row>
    <row r="1425" spans="1:18">
      <c r="A1425" s="801">
        <v>46072</v>
      </c>
      <c r="B1425" s="670">
        <v>1286.01</v>
      </c>
      <c r="C1425" s="37">
        <v>3914</v>
      </c>
      <c r="D1425" s="37">
        <v>157</v>
      </c>
      <c r="E1425" s="37">
        <v>1</v>
      </c>
      <c r="F1425" s="670">
        <v>9504</v>
      </c>
      <c r="G1425" s="37">
        <v>20</v>
      </c>
      <c r="H1425" s="37">
        <v>2</v>
      </c>
      <c r="I1425" s="37">
        <v>5</v>
      </c>
      <c r="J1425" s="527">
        <f t="shared" si="255"/>
        <v>0.040112416964742</v>
      </c>
      <c r="K1425" s="687">
        <f t="shared" si="256"/>
        <v>8.19114649681529</v>
      </c>
      <c r="L1425" s="41">
        <f t="shared" si="249"/>
        <v>328.56668369954</v>
      </c>
      <c r="M1425" s="702">
        <f t="shared" si="248"/>
        <v>7.39030023094688</v>
      </c>
      <c r="N1425" s="39">
        <f t="shared" si="250"/>
        <v>0.00636942675159236</v>
      </c>
      <c r="O1425" s="558">
        <f t="shared" si="251"/>
        <v>9504</v>
      </c>
      <c r="P1425" s="559">
        <f t="shared" si="252"/>
        <v>1286.01</v>
      </c>
      <c r="Q1425" s="41">
        <f t="shared" si="253"/>
        <v>64.3005</v>
      </c>
      <c r="R1425" s="1021">
        <f t="shared" si="254"/>
        <v>0.127388535031847</v>
      </c>
    </row>
    <row r="1426" spans="1:18">
      <c r="A1426" s="801">
        <v>46073</v>
      </c>
      <c r="B1426" s="670">
        <v>1210.12</v>
      </c>
      <c r="C1426" s="37">
        <v>3851</v>
      </c>
      <c r="D1426" s="37">
        <v>142</v>
      </c>
      <c r="E1426" s="37">
        <v>0</v>
      </c>
      <c r="F1426" s="670">
        <v>0</v>
      </c>
      <c r="G1426" s="37">
        <v>29</v>
      </c>
      <c r="H1426" s="37">
        <v>0</v>
      </c>
      <c r="I1426" s="37">
        <v>4</v>
      </c>
      <c r="J1426" s="527">
        <f t="shared" si="255"/>
        <v>0.0368735393404311</v>
      </c>
      <c r="K1426" s="687">
        <f t="shared" si="256"/>
        <v>8.52197183098592</v>
      </c>
      <c r="L1426" s="41">
        <f t="shared" si="249"/>
        <v>314.235263567904</v>
      </c>
      <c r="M1426" s="702">
        <f t="shared" si="248"/>
        <v>0</v>
      </c>
      <c r="N1426" s="39">
        <f t="shared" si="250"/>
        <v>0</v>
      </c>
      <c r="O1426" s="558">
        <f t="shared" si="251"/>
        <v>0</v>
      </c>
      <c r="P1426" s="559">
        <f t="shared" si="252"/>
        <v>0</v>
      </c>
      <c r="Q1426" s="41">
        <f t="shared" si="253"/>
        <v>41.728275862069</v>
      </c>
      <c r="R1426" s="1021">
        <f t="shared" si="254"/>
        <v>0.204225352112676</v>
      </c>
    </row>
    <row r="1427" spans="1:18">
      <c r="A1427" s="801">
        <v>46074</v>
      </c>
      <c r="B1427" s="670">
        <v>1271.92</v>
      </c>
      <c r="C1427" s="37">
        <v>4019</v>
      </c>
      <c r="D1427" s="37">
        <v>165</v>
      </c>
      <c r="E1427" s="37">
        <v>4</v>
      </c>
      <c r="F1427" s="670">
        <v>44639</v>
      </c>
      <c r="G1427" s="37">
        <v>45</v>
      </c>
      <c r="H1427" s="37">
        <v>3</v>
      </c>
      <c r="I1427" s="37">
        <v>12</v>
      </c>
      <c r="J1427" s="527">
        <f t="shared" si="255"/>
        <v>0.0410549888031849</v>
      </c>
      <c r="K1427" s="687">
        <f t="shared" si="256"/>
        <v>7.70860606060606</v>
      </c>
      <c r="L1427" s="41">
        <f t="shared" si="249"/>
        <v>316.476735506345</v>
      </c>
      <c r="M1427" s="702">
        <f t="shared" si="248"/>
        <v>35.0957607396692</v>
      </c>
      <c r="N1427" s="39">
        <f t="shared" si="250"/>
        <v>0.0242424242424242</v>
      </c>
      <c r="O1427" s="558">
        <f t="shared" si="251"/>
        <v>11159.75</v>
      </c>
      <c r="P1427" s="559">
        <f t="shared" si="252"/>
        <v>317.98</v>
      </c>
      <c r="Q1427" s="41">
        <f t="shared" si="253"/>
        <v>28.2648888888889</v>
      </c>
      <c r="R1427" s="1021">
        <f t="shared" si="254"/>
        <v>0.272727272727273</v>
      </c>
    </row>
    <row r="1428" spans="1:18">
      <c r="A1428" s="801">
        <v>46075</v>
      </c>
      <c r="B1428" s="670">
        <v>1379.69</v>
      </c>
      <c r="C1428" s="37">
        <v>4342</v>
      </c>
      <c r="D1428" s="37">
        <v>156</v>
      </c>
      <c r="E1428" s="37">
        <v>2</v>
      </c>
      <c r="F1428" s="670">
        <v>20662</v>
      </c>
      <c r="G1428" s="37">
        <v>31</v>
      </c>
      <c r="H1428" s="37">
        <v>1</v>
      </c>
      <c r="I1428" s="37">
        <v>6</v>
      </c>
      <c r="J1428" s="527">
        <f t="shared" si="255"/>
        <v>0.0359281437125748</v>
      </c>
      <c r="K1428" s="687">
        <f t="shared" si="256"/>
        <v>8.84416666666667</v>
      </c>
      <c r="L1428" s="41">
        <f t="shared" si="249"/>
        <v>317.754491017964</v>
      </c>
      <c r="M1428" s="702">
        <f t="shared" si="248"/>
        <v>14.9758279033696</v>
      </c>
      <c r="N1428" s="39">
        <f t="shared" si="250"/>
        <v>0.0128205128205128</v>
      </c>
      <c r="O1428" s="558">
        <f t="shared" si="251"/>
        <v>10331</v>
      </c>
      <c r="P1428" s="559">
        <f t="shared" si="252"/>
        <v>689.845</v>
      </c>
      <c r="Q1428" s="41">
        <f t="shared" si="253"/>
        <v>44.5061290322581</v>
      </c>
      <c r="R1428" s="1021">
        <f t="shared" si="254"/>
        <v>0.198717948717949</v>
      </c>
    </row>
    <row r="1429" spans="1:18">
      <c r="A1429" s="801">
        <v>46076</v>
      </c>
      <c r="B1429" s="670">
        <v>1460.76</v>
      </c>
      <c r="C1429" s="37">
        <v>4221</v>
      </c>
      <c r="D1429" s="37">
        <v>238</v>
      </c>
      <c r="E1429" s="37">
        <v>2</v>
      </c>
      <c r="F1429" s="670">
        <v>16632</v>
      </c>
      <c r="G1429" s="37">
        <v>38</v>
      </c>
      <c r="H1429" s="37">
        <v>8</v>
      </c>
      <c r="I1429" s="37">
        <v>9</v>
      </c>
      <c r="J1429" s="527">
        <f t="shared" si="255"/>
        <v>0.0563847429519071</v>
      </c>
      <c r="K1429" s="687">
        <f t="shared" si="256"/>
        <v>6.13764705882353</v>
      </c>
      <c r="L1429" s="41">
        <f t="shared" si="249"/>
        <v>346.069651741294</v>
      </c>
      <c r="M1429" s="702">
        <f t="shared" si="248"/>
        <v>11.3858539390454</v>
      </c>
      <c r="N1429" s="39">
        <f t="shared" si="250"/>
        <v>0.00840336134453781</v>
      </c>
      <c r="O1429" s="558">
        <f t="shared" si="251"/>
        <v>8316</v>
      </c>
      <c r="P1429" s="559">
        <f t="shared" si="252"/>
        <v>730.38</v>
      </c>
      <c r="Q1429" s="41">
        <f t="shared" si="253"/>
        <v>38.4410526315789</v>
      </c>
      <c r="R1429" s="1021">
        <f t="shared" si="254"/>
        <v>0.159663865546218</v>
      </c>
    </row>
    <row r="1430" spans="1:18">
      <c r="A1430" s="801">
        <v>46077</v>
      </c>
      <c r="B1430" s="670">
        <v>1954.03</v>
      </c>
      <c r="C1430" s="37">
        <v>5241</v>
      </c>
      <c r="D1430" s="37">
        <v>264</v>
      </c>
      <c r="E1430" s="37">
        <v>2</v>
      </c>
      <c r="F1430" s="670">
        <v>25878</v>
      </c>
      <c r="G1430" s="37">
        <v>70</v>
      </c>
      <c r="H1430" s="37">
        <v>4</v>
      </c>
      <c r="I1430" s="37">
        <v>14</v>
      </c>
      <c r="J1430" s="527">
        <f t="shared" si="255"/>
        <v>0.0503720663995421</v>
      </c>
      <c r="K1430" s="687">
        <f t="shared" si="256"/>
        <v>7.40162878787879</v>
      </c>
      <c r="L1430" s="41">
        <f t="shared" si="249"/>
        <v>372.835336767792</v>
      </c>
      <c r="M1430" s="702">
        <f t="shared" si="248"/>
        <v>13.2433995383899</v>
      </c>
      <c r="N1430" s="39">
        <f t="shared" si="250"/>
        <v>0.00757575757575758</v>
      </c>
      <c r="O1430" s="558">
        <f t="shared" si="251"/>
        <v>12939</v>
      </c>
      <c r="P1430" s="559">
        <f t="shared" si="252"/>
        <v>977.015</v>
      </c>
      <c r="Q1430" s="41">
        <f t="shared" si="253"/>
        <v>27.9147142857143</v>
      </c>
      <c r="R1430" s="1021">
        <f t="shared" si="254"/>
        <v>0.265151515151515</v>
      </c>
    </row>
    <row r="1431" spans="1:18">
      <c r="A1431" s="801">
        <v>46078</v>
      </c>
      <c r="B1431" s="670">
        <v>1966.08</v>
      </c>
      <c r="C1431" s="37">
        <v>5066</v>
      </c>
      <c r="D1431" s="37">
        <v>250</v>
      </c>
      <c r="E1431" s="37">
        <v>2</v>
      </c>
      <c r="F1431" s="670">
        <v>37546</v>
      </c>
      <c r="G1431" s="37">
        <v>70</v>
      </c>
      <c r="H1431" s="37">
        <v>2</v>
      </c>
      <c r="I1431" s="37">
        <v>10</v>
      </c>
      <c r="J1431" s="527">
        <f t="shared" si="255"/>
        <v>0.0493485984998026</v>
      </c>
      <c r="K1431" s="687">
        <f t="shared" si="256"/>
        <v>7.86432</v>
      </c>
      <c r="L1431" s="41">
        <f t="shared" si="249"/>
        <v>388.093170153968</v>
      </c>
      <c r="M1431" s="702">
        <f t="shared" si="248"/>
        <v>19.0968831380208</v>
      </c>
      <c r="N1431" s="39">
        <f t="shared" si="250"/>
        <v>0.008</v>
      </c>
      <c r="O1431" s="558">
        <f t="shared" si="251"/>
        <v>18773</v>
      </c>
      <c r="P1431" s="559">
        <f t="shared" si="252"/>
        <v>983.04</v>
      </c>
      <c r="Q1431" s="41">
        <f t="shared" si="253"/>
        <v>28.0868571428571</v>
      </c>
      <c r="R1431" s="1021">
        <f t="shared" si="254"/>
        <v>0.28</v>
      </c>
    </row>
    <row r="1432" spans="1:18">
      <c r="A1432" s="801">
        <v>46079</v>
      </c>
      <c r="B1432" s="670">
        <v>1964.75</v>
      </c>
      <c r="C1432" s="37">
        <v>5158</v>
      </c>
      <c r="D1432" s="37">
        <v>283</v>
      </c>
      <c r="E1432" s="37">
        <v>1</v>
      </c>
      <c r="F1432" s="670">
        <v>9380</v>
      </c>
      <c r="G1432" s="37">
        <v>66</v>
      </c>
      <c r="H1432" s="37">
        <v>1</v>
      </c>
      <c r="I1432" s="37">
        <v>5</v>
      </c>
      <c r="J1432" s="527">
        <f t="shared" si="255"/>
        <v>0.0548662272198527</v>
      </c>
      <c r="K1432" s="687">
        <f t="shared" si="256"/>
        <v>6.94257950530035</v>
      </c>
      <c r="L1432" s="41">
        <f t="shared" si="249"/>
        <v>380.913144629701</v>
      </c>
      <c r="M1432" s="702">
        <f t="shared" si="248"/>
        <v>4.77414429316707</v>
      </c>
      <c r="N1432" s="39">
        <f t="shared" si="250"/>
        <v>0.00353356890459364</v>
      </c>
      <c r="O1432" s="558">
        <f t="shared" si="251"/>
        <v>9380</v>
      </c>
      <c r="P1432" s="559">
        <f t="shared" si="252"/>
        <v>1964.75</v>
      </c>
      <c r="Q1432" s="41">
        <f t="shared" si="253"/>
        <v>29.7689393939394</v>
      </c>
      <c r="R1432" s="1021">
        <f t="shared" si="254"/>
        <v>0.23321554770318</v>
      </c>
    </row>
    <row r="1433" spans="1:18">
      <c r="A1433" s="801">
        <v>46080</v>
      </c>
      <c r="B1433" s="670">
        <v>1962.45</v>
      </c>
      <c r="C1433" s="37">
        <v>4652</v>
      </c>
      <c r="D1433" s="38">
        <v>272</v>
      </c>
      <c r="E1433" s="37">
        <v>0</v>
      </c>
      <c r="F1433" s="670">
        <v>0</v>
      </c>
      <c r="G1433" s="37">
        <v>65</v>
      </c>
      <c r="H1433" s="37">
        <v>5</v>
      </c>
      <c r="I1433" s="37">
        <v>3</v>
      </c>
      <c r="J1433" s="527">
        <f t="shared" si="255"/>
        <v>0.058469475494411</v>
      </c>
      <c r="K1433" s="687">
        <f t="shared" si="256"/>
        <v>7.21488970588235</v>
      </c>
      <c r="L1433" s="41">
        <f t="shared" si="249"/>
        <v>421.850816852966</v>
      </c>
      <c r="M1433" s="702">
        <f t="shared" si="248"/>
        <v>0</v>
      </c>
      <c r="N1433" s="39">
        <f t="shared" si="250"/>
        <v>0</v>
      </c>
      <c r="O1433" s="558">
        <f t="shared" si="251"/>
        <v>0</v>
      </c>
      <c r="P1433" s="559">
        <f t="shared" si="252"/>
        <v>0</v>
      </c>
      <c r="Q1433" s="41">
        <f t="shared" si="253"/>
        <v>30.1915384615385</v>
      </c>
      <c r="R1433" s="1021">
        <f t="shared" si="254"/>
        <v>0.238970588235294</v>
      </c>
    </row>
    <row r="1434" spans="1:18">
      <c r="A1434" s="801">
        <v>46081</v>
      </c>
      <c r="B1434" s="670">
        <v>1967.02</v>
      </c>
      <c r="C1434" s="37">
        <v>5329</v>
      </c>
      <c r="D1434" s="37">
        <v>253</v>
      </c>
      <c r="E1434" s="37">
        <v>2</v>
      </c>
      <c r="F1434" s="670">
        <v>12064</v>
      </c>
      <c r="G1434" s="37">
        <v>62</v>
      </c>
      <c r="H1434" s="37">
        <v>7</v>
      </c>
      <c r="I1434" s="37">
        <v>13</v>
      </c>
      <c r="J1434" s="527">
        <f t="shared" si="255"/>
        <v>0.0474760743103772</v>
      </c>
      <c r="K1434" s="687">
        <f t="shared" si="256"/>
        <v>7.77478260869565</v>
      </c>
      <c r="L1434" s="41">
        <f t="shared" si="249"/>
        <v>369.116156877463</v>
      </c>
      <c r="M1434" s="702">
        <f t="shared" si="248"/>
        <v>6.13313540279204</v>
      </c>
      <c r="N1434" s="39">
        <f t="shared" si="250"/>
        <v>0.00790513833992095</v>
      </c>
      <c r="O1434" s="558">
        <f t="shared" si="251"/>
        <v>6032</v>
      </c>
      <c r="P1434" s="559">
        <f t="shared" si="252"/>
        <v>983.51</v>
      </c>
      <c r="Q1434" s="41">
        <f t="shared" si="253"/>
        <v>31.7261290322581</v>
      </c>
      <c r="R1434" s="1021">
        <f t="shared" si="254"/>
        <v>0.245059288537549</v>
      </c>
    </row>
    <row r="1435" spans="1:18">
      <c r="A1435" s="801">
        <v>46082</v>
      </c>
      <c r="B1435" s="670">
        <v>1950.95</v>
      </c>
      <c r="C1435" s="37">
        <v>5645</v>
      </c>
      <c r="D1435" s="37">
        <v>247</v>
      </c>
      <c r="E1435" s="37">
        <v>3</v>
      </c>
      <c r="F1435" s="670">
        <v>27094</v>
      </c>
      <c r="G1435" s="37">
        <v>56</v>
      </c>
      <c r="H1435" s="37">
        <v>3</v>
      </c>
      <c r="I1435" s="37">
        <v>11</v>
      </c>
      <c r="J1435" s="527">
        <f t="shared" si="255"/>
        <v>0.0437555358724535</v>
      </c>
      <c r="K1435" s="687">
        <f t="shared" si="256"/>
        <v>7.89858299595142</v>
      </c>
      <c r="L1435" s="41">
        <f t="shared" si="249"/>
        <v>345.606731620903</v>
      </c>
      <c r="M1435" s="702">
        <f t="shared" si="248"/>
        <v>13.887593223814</v>
      </c>
      <c r="N1435" s="39">
        <f t="shared" si="250"/>
        <v>0.0121457489878543</v>
      </c>
      <c r="O1435" s="558">
        <f t="shared" si="251"/>
        <v>9031.33333333333</v>
      </c>
      <c r="P1435" s="559">
        <f t="shared" si="252"/>
        <v>650.316666666667</v>
      </c>
      <c r="Q1435" s="41">
        <f t="shared" si="253"/>
        <v>34.8383928571429</v>
      </c>
      <c r="R1435" s="1021">
        <f t="shared" si="254"/>
        <v>0.226720647773279</v>
      </c>
    </row>
    <row r="1436" spans="1:18">
      <c r="A1436" s="801">
        <v>46083</v>
      </c>
      <c r="B1436" s="670">
        <v>1945.65</v>
      </c>
      <c r="C1436" s="37">
        <v>5181</v>
      </c>
      <c r="D1436" s="37">
        <v>262</v>
      </c>
      <c r="E1436" s="37">
        <v>5</v>
      </c>
      <c r="F1436" s="670">
        <v>34458</v>
      </c>
      <c r="G1436" s="37">
        <v>78</v>
      </c>
      <c r="H1436" s="37">
        <v>5</v>
      </c>
      <c r="I1436" s="37">
        <v>4</v>
      </c>
      <c r="J1436" s="527">
        <f t="shared" si="255"/>
        <v>0.050569388149006</v>
      </c>
      <c r="K1436" s="687">
        <f t="shared" si="256"/>
        <v>7.42614503816794</v>
      </c>
      <c r="L1436" s="41">
        <f t="shared" si="249"/>
        <v>375.535610885929</v>
      </c>
      <c r="M1436" s="702">
        <f t="shared" si="248"/>
        <v>17.710276771259</v>
      </c>
      <c r="N1436" s="39">
        <f t="shared" si="250"/>
        <v>0.0190839694656489</v>
      </c>
      <c r="O1436" s="558">
        <f t="shared" si="251"/>
        <v>6891.6</v>
      </c>
      <c r="P1436" s="559">
        <f t="shared" si="252"/>
        <v>389.13</v>
      </c>
      <c r="Q1436" s="41">
        <f t="shared" si="253"/>
        <v>24.9442307692308</v>
      </c>
      <c r="R1436" s="1021">
        <f t="shared" si="254"/>
        <v>0.297709923664122</v>
      </c>
    </row>
    <row r="1437" spans="1:18">
      <c r="A1437" s="801">
        <v>46084</v>
      </c>
      <c r="B1437" s="670">
        <v>1907.6</v>
      </c>
      <c r="C1437" s="37">
        <v>5927</v>
      </c>
      <c r="D1437" s="37">
        <v>178</v>
      </c>
      <c r="E1437" s="37">
        <v>5</v>
      </c>
      <c r="F1437" s="670">
        <v>40100</v>
      </c>
      <c r="G1437" s="37">
        <v>36</v>
      </c>
      <c r="H1437" s="37">
        <v>7</v>
      </c>
      <c r="I1437" s="37">
        <v>4</v>
      </c>
      <c r="J1437" s="527">
        <f t="shared" si="255"/>
        <v>0.030032056689725</v>
      </c>
      <c r="K1437" s="687">
        <f t="shared" si="256"/>
        <v>10.7168539325843</v>
      </c>
      <c r="L1437" s="41">
        <f t="shared" si="249"/>
        <v>321.849164838873</v>
      </c>
      <c r="M1437" s="702">
        <f t="shared" si="248"/>
        <v>21.0211784441183</v>
      </c>
      <c r="N1437" s="39">
        <f t="shared" si="250"/>
        <v>0.0280898876404494</v>
      </c>
      <c r="O1437" s="558">
        <f t="shared" si="251"/>
        <v>8020</v>
      </c>
      <c r="P1437" s="559">
        <f t="shared" si="252"/>
        <v>381.52</v>
      </c>
      <c r="Q1437" s="41">
        <f t="shared" si="253"/>
        <v>52.9888888888889</v>
      </c>
      <c r="R1437" s="1021">
        <f t="shared" si="254"/>
        <v>0.202247191011236</v>
      </c>
    </row>
    <row r="1438" spans="1:18">
      <c r="A1438" s="801">
        <v>46085</v>
      </c>
      <c r="B1438" s="670">
        <v>2305.78</v>
      </c>
      <c r="C1438" s="37">
        <v>6158</v>
      </c>
      <c r="D1438" s="37">
        <v>250</v>
      </c>
      <c r="E1438" s="37">
        <v>9</v>
      </c>
      <c r="F1438" s="670">
        <v>108686</v>
      </c>
      <c r="G1438" s="37">
        <v>74</v>
      </c>
      <c r="H1438" s="37">
        <v>3</v>
      </c>
      <c r="I1438" s="37">
        <v>12</v>
      </c>
      <c r="J1438" s="527">
        <f t="shared" si="255"/>
        <v>0.04059759662228</v>
      </c>
      <c r="K1438" s="687">
        <f t="shared" si="256"/>
        <v>9.22312</v>
      </c>
      <c r="L1438" s="41">
        <f t="shared" si="249"/>
        <v>374.436505358883</v>
      </c>
      <c r="M1438" s="702">
        <f t="shared" si="248"/>
        <v>47.1363269696155</v>
      </c>
      <c r="N1438" s="39">
        <f t="shared" si="250"/>
        <v>0.036</v>
      </c>
      <c r="O1438" s="558">
        <f t="shared" si="251"/>
        <v>12076.2222222222</v>
      </c>
      <c r="P1438" s="559">
        <f t="shared" si="252"/>
        <v>256.197777777778</v>
      </c>
      <c r="Q1438" s="41">
        <f t="shared" si="253"/>
        <v>31.1591891891892</v>
      </c>
      <c r="R1438" s="1021">
        <f t="shared" si="254"/>
        <v>0.296</v>
      </c>
    </row>
    <row r="1439" spans="1:18">
      <c r="A1439" s="801">
        <v>46086</v>
      </c>
      <c r="B1439" s="670">
        <v>2171.95</v>
      </c>
      <c r="C1439" s="37">
        <v>6038</v>
      </c>
      <c r="D1439" s="37">
        <v>259</v>
      </c>
      <c r="E1439" s="37">
        <v>1</v>
      </c>
      <c r="F1439" s="670">
        <v>8476</v>
      </c>
      <c r="G1439" s="37">
        <v>82</v>
      </c>
      <c r="H1439" s="37">
        <v>6</v>
      </c>
      <c r="I1439" s="37">
        <v>12</v>
      </c>
      <c r="J1439" s="527">
        <f t="shared" si="255"/>
        <v>0.0428949983438225</v>
      </c>
      <c r="K1439" s="687">
        <f t="shared" si="256"/>
        <v>8.38590733590734</v>
      </c>
      <c r="L1439" s="41">
        <f t="shared" si="249"/>
        <v>359.713481285194</v>
      </c>
      <c r="M1439" s="702">
        <f t="shared" si="248"/>
        <v>3.90248394300053</v>
      </c>
      <c r="N1439" s="39">
        <f t="shared" si="250"/>
        <v>0.00386100386100386</v>
      </c>
      <c r="O1439" s="558">
        <f t="shared" si="251"/>
        <v>8476</v>
      </c>
      <c r="P1439" s="559">
        <f t="shared" si="252"/>
        <v>2171.95</v>
      </c>
      <c r="Q1439" s="41">
        <f t="shared" si="253"/>
        <v>26.4871951219512</v>
      </c>
      <c r="R1439" s="1021">
        <f t="shared" si="254"/>
        <v>0.316602316602317</v>
      </c>
    </row>
    <row r="1440" spans="1:18">
      <c r="A1440" s="801">
        <v>46087</v>
      </c>
      <c r="B1440" s="670">
        <v>1969.54</v>
      </c>
      <c r="C1440" s="37">
        <v>5678</v>
      </c>
      <c r="D1440" s="37">
        <v>211</v>
      </c>
      <c r="E1440" s="37">
        <v>1</v>
      </c>
      <c r="F1440" s="670">
        <v>14932</v>
      </c>
      <c r="G1440" s="37">
        <v>59</v>
      </c>
      <c r="H1440" s="37">
        <v>9</v>
      </c>
      <c r="I1440" s="37">
        <v>8</v>
      </c>
      <c r="J1440" s="527">
        <f t="shared" si="255"/>
        <v>0.0371609721733005</v>
      </c>
      <c r="K1440" s="687">
        <f t="shared" si="256"/>
        <v>9.33431279620853</v>
      </c>
      <c r="L1440" s="41">
        <f t="shared" si="249"/>
        <v>346.872138076788</v>
      </c>
      <c r="M1440" s="702">
        <f t="shared" si="248"/>
        <v>7.58146572296069</v>
      </c>
      <c r="N1440" s="39">
        <f t="shared" si="250"/>
        <v>0.004739336492891</v>
      </c>
      <c r="O1440" s="558">
        <f t="shared" si="251"/>
        <v>14932</v>
      </c>
      <c r="P1440" s="559">
        <f t="shared" si="252"/>
        <v>1969.54</v>
      </c>
      <c r="Q1440" s="41">
        <f t="shared" si="253"/>
        <v>33.3820338983051</v>
      </c>
      <c r="R1440" s="1021">
        <f t="shared" si="254"/>
        <v>0.279620853080569</v>
      </c>
    </row>
    <row r="1441" spans="1:18">
      <c r="A1441" s="801">
        <v>46088</v>
      </c>
      <c r="B1441" s="670">
        <v>2648.02</v>
      </c>
      <c r="C1441" s="37">
        <v>8811</v>
      </c>
      <c r="D1441" s="37">
        <v>285</v>
      </c>
      <c r="E1441" s="37">
        <v>2</v>
      </c>
      <c r="F1441" s="670">
        <v>29318</v>
      </c>
      <c r="G1441" s="37">
        <v>41</v>
      </c>
      <c r="H1441" s="37">
        <v>4</v>
      </c>
      <c r="I1441" s="37">
        <v>9</v>
      </c>
      <c r="J1441" s="527">
        <f t="shared" si="255"/>
        <v>0.0323459312223357</v>
      </c>
      <c r="K1441" s="687">
        <f t="shared" si="256"/>
        <v>9.29129824561404</v>
      </c>
      <c r="L1441" s="41">
        <f t="shared" si="249"/>
        <v>300.53569401884</v>
      </c>
      <c r="M1441" s="702">
        <f t="shared" si="248"/>
        <v>11.0716686429861</v>
      </c>
      <c r="N1441" s="39">
        <f t="shared" si="250"/>
        <v>0.00701754385964912</v>
      </c>
      <c r="O1441" s="558">
        <f t="shared" si="251"/>
        <v>14659</v>
      </c>
      <c r="P1441" s="559">
        <f t="shared" si="252"/>
        <v>1324.01</v>
      </c>
      <c r="Q1441" s="41">
        <f t="shared" si="253"/>
        <v>64.5858536585366</v>
      </c>
      <c r="R1441" s="1021">
        <f t="shared" si="254"/>
        <v>0.143859649122807</v>
      </c>
    </row>
    <row r="1442" spans="1:18">
      <c r="A1442" s="801">
        <v>46089</v>
      </c>
      <c r="B1442" s="670">
        <v>2792.03</v>
      </c>
      <c r="C1442" s="37">
        <v>8534</v>
      </c>
      <c r="D1442" s="37">
        <v>331</v>
      </c>
      <c r="E1442" s="37">
        <v>2</v>
      </c>
      <c r="F1442" s="670">
        <v>18705</v>
      </c>
      <c r="G1442" s="37">
        <v>78</v>
      </c>
      <c r="H1442" s="37">
        <v>2</v>
      </c>
      <c r="I1442" s="37">
        <v>12</v>
      </c>
      <c r="J1442" s="527">
        <f t="shared" si="255"/>
        <v>0.0387860323412233</v>
      </c>
      <c r="K1442" s="687">
        <f t="shared" si="256"/>
        <v>8.43513595166163</v>
      </c>
      <c r="L1442" s="41">
        <f t="shared" si="249"/>
        <v>327.165455823764</v>
      </c>
      <c r="M1442" s="702">
        <f t="shared" si="248"/>
        <v>6.6994265820926</v>
      </c>
      <c r="N1442" s="39">
        <f t="shared" si="250"/>
        <v>0.00604229607250755</v>
      </c>
      <c r="O1442" s="558">
        <f t="shared" si="251"/>
        <v>9352.5</v>
      </c>
      <c r="P1442" s="559">
        <f t="shared" si="252"/>
        <v>1396.015</v>
      </c>
      <c r="Q1442" s="41">
        <f t="shared" si="253"/>
        <v>35.7952564102564</v>
      </c>
      <c r="R1442" s="1021">
        <f t="shared" si="254"/>
        <v>0.235649546827795</v>
      </c>
    </row>
    <row r="1443" spans="1:18">
      <c r="A1443" s="801">
        <v>46090</v>
      </c>
      <c r="B1443" s="670">
        <v>2154.15</v>
      </c>
      <c r="C1443" s="37">
        <v>5868</v>
      </c>
      <c r="D1443" s="37">
        <v>295</v>
      </c>
      <c r="E1443" s="37">
        <v>8</v>
      </c>
      <c r="F1443" s="670">
        <v>89823</v>
      </c>
      <c r="G1443" s="37">
        <v>84</v>
      </c>
      <c r="H1443" s="37">
        <v>6</v>
      </c>
      <c r="I1443" s="37">
        <v>10</v>
      </c>
      <c r="J1443" s="527">
        <f t="shared" si="255"/>
        <v>0.0502726653033402</v>
      </c>
      <c r="K1443" s="687">
        <f t="shared" si="256"/>
        <v>7.30220338983051</v>
      </c>
      <c r="L1443" s="41">
        <f t="shared" si="249"/>
        <v>367.101226993865</v>
      </c>
      <c r="M1443" s="702">
        <f t="shared" si="248"/>
        <v>41.6976533667572</v>
      </c>
      <c r="N1443" s="39">
        <f t="shared" si="250"/>
        <v>0.0271186440677966</v>
      </c>
      <c r="O1443" s="558">
        <f t="shared" si="251"/>
        <v>11227.875</v>
      </c>
      <c r="P1443" s="559">
        <f t="shared" si="252"/>
        <v>269.26875</v>
      </c>
      <c r="Q1443" s="41">
        <f t="shared" si="253"/>
        <v>25.6446428571429</v>
      </c>
      <c r="R1443" s="1021">
        <f t="shared" si="254"/>
        <v>0.284745762711864</v>
      </c>
    </row>
    <row r="1444" spans="1:18">
      <c r="A1444" s="801">
        <v>46091</v>
      </c>
      <c r="B1444" s="670">
        <v>2254.63</v>
      </c>
      <c r="C1444" s="37">
        <v>6149</v>
      </c>
      <c r="D1444" s="37">
        <v>272</v>
      </c>
      <c r="E1444" s="37">
        <v>5</v>
      </c>
      <c r="F1444" s="670">
        <v>70742</v>
      </c>
      <c r="G1444" s="37">
        <v>54</v>
      </c>
      <c r="H1444" s="37">
        <v>4</v>
      </c>
      <c r="I1444" s="37">
        <v>11</v>
      </c>
      <c r="J1444" s="527">
        <f t="shared" si="255"/>
        <v>0.0442348349325093</v>
      </c>
      <c r="K1444" s="687">
        <f t="shared" si="256"/>
        <v>8.28908088235294</v>
      </c>
      <c r="L1444" s="41">
        <f t="shared" si="249"/>
        <v>366.666124573101</v>
      </c>
      <c r="M1444" s="702">
        <f t="shared" si="248"/>
        <v>31.376323387873</v>
      </c>
      <c r="N1444" s="39">
        <f t="shared" si="250"/>
        <v>0.0183823529411765</v>
      </c>
      <c r="O1444" s="558">
        <f t="shared" si="251"/>
        <v>14148.4</v>
      </c>
      <c r="P1444" s="559">
        <f t="shared" si="252"/>
        <v>450.926</v>
      </c>
      <c r="Q1444" s="41">
        <f t="shared" si="253"/>
        <v>41.7524074074074</v>
      </c>
      <c r="R1444" s="1021">
        <f t="shared" si="254"/>
        <v>0.198529411764706</v>
      </c>
    </row>
    <row r="1445" spans="1:18">
      <c r="A1445" s="801">
        <v>46092</v>
      </c>
      <c r="B1445" s="670">
        <v>2265.6</v>
      </c>
      <c r="C1445" s="37">
        <v>6367</v>
      </c>
      <c r="D1445" s="37">
        <v>276</v>
      </c>
      <c r="E1445" s="37">
        <v>2</v>
      </c>
      <c r="F1445" s="670">
        <v>29495</v>
      </c>
      <c r="G1445" s="37">
        <v>63</v>
      </c>
      <c r="H1445" s="37">
        <v>2</v>
      </c>
      <c r="I1445" s="37">
        <v>10</v>
      </c>
      <c r="J1445" s="527">
        <f t="shared" si="255"/>
        <v>0.0433485157845139</v>
      </c>
      <c r="K1445" s="687">
        <f t="shared" si="256"/>
        <v>8.20869565217391</v>
      </c>
      <c r="L1445" s="41">
        <f t="shared" si="249"/>
        <v>355.834773048531</v>
      </c>
      <c r="M1445" s="702">
        <f t="shared" si="248"/>
        <v>13.0186264124294</v>
      </c>
      <c r="N1445" s="39">
        <f t="shared" si="250"/>
        <v>0.0072463768115942</v>
      </c>
      <c r="O1445" s="558">
        <f t="shared" si="251"/>
        <v>14747.5</v>
      </c>
      <c r="P1445" s="559">
        <f t="shared" si="252"/>
        <v>1132.8</v>
      </c>
      <c r="Q1445" s="41">
        <f t="shared" si="253"/>
        <v>35.9619047619048</v>
      </c>
      <c r="R1445" s="1021">
        <f t="shared" si="254"/>
        <v>0.228260869565217</v>
      </c>
    </row>
    <row r="1446" spans="1:18">
      <c r="A1446" s="801">
        <v>46093</v>
      </c>
      <c r="B1446" s="670">
        <v>2297</v>
      </c>
      <c r="C1446" s="37">
        <v>6830</v>
      </c>
      <c r="D1446" s="37">
        <v>264</v>
      </c>
      <c r="E1446" s="37">
        <v>1</v>
      </c>
      <c r="F1446" s="670">
        <v>9326</v>
      </c>
      <c r="G1446" s="37">
        <v>62</v>
      </c>
      <c r="H1446" s="37">
        <v>5</v>
      </c>
      <c r="I1446" s="37">
        <v>13</v>
      </c>
      <c r="J1446" s="527">
        <f t="shared" si="255"/>
        <v>0.0386530014641288</v>
      </c>
      <c r="K1446" s="687">
        <f t="shared" si="256"/>
        <v>8.70075757575758</v>
      </c>
      <c r="L1446" s="41">
        <f t="shared" si="249"/>
        <v>336.310395314788</v>
      </c>
      <c r="M1446" s="702">
        <f t="shared" si="248"/>
        <v>4.06007836308228</v>
      </c>
      <c r="N1446" s="39">
        <f t="shared" si="250"/>
        <v>0.00378787878787879</v>
      </c>
      <c r="O1446" s="558">
        <f t="shared" si="251"/>
        <v>9326</v>
      </c>
      <c r="P1446" s="559">
        <f t="shared" si="252"/>
        <v>2297</v>
      </c>
      <c r="Q1446" s="41">
        <f t="shared" si="253"/>
        <v>37.0483870967742</v>
      </c>
      <c r="R1446" s="1021">
        <f t="shared" si="254"/>
        <v>0.234848484848485</v>
      </c>
    </row>
    <row r="1447" spans="1:18">
      <c r="A1447" s="801">
        <v>46094</v>
      </c>
      <c r="B1447" s="670">
        <v>2406.2</v>
      </c>
      <c r="C1447" s="37">
        <v>7092</v>
      </c>
      <c r="D1447" s="37">
        <v>261</v>
      </c>
      <c r="E1447" s="37">
        <v>3</v>
      </c>
      <c r="F1447" s="670">
        <v>30424</v>
      </c>
      <c r="G1447" s="37">
        <v>52</v>
      </c>
      <c r="H1447" s="37">
        <v>2</v>
      </c>
      <c r="I1447" s="37">
        <v>7</v>
      </c>
      <c r="J1447" s="527">
        <f t="shared" si="255"/>
        <v>0.0368020304568528</v>
      </c>
      <c r="K1447" s="687">
        <f t="shared" si="256"/>
        <v>9.21915708812261</v>
      </c>
      <c r="L1447" s="41">
        <f t="shared" si="249"/>
        <v>339.283699943598</v>
      </c>
      <c r="M1447" s="702">
        <f t="shared" si="248"/>
        <v>12.64400299227</v>
      </c>
      <c r="N1447" s="39">
        <f t="shared" si="250"/>
        <v>0.0114942528735632</v>
      </c>
      <c r="O1447" s="558">
        <f t="shared" si="251"/>
        <v>10141.3333333333</v>
      </c>
      <c r="P1447" s="559">
        <f t="shared" si="252"/>
        <v>802.066666666667</v>
      </c>
      <c r="Q1447" s="41">
        <f t="shared" si="253"/>
        <v>46.2730769230769</v>
      </c>
      <c r="R1447" s="1021">
        <f t="shared" si="254"/>
        <v>0.199233716475096</v>
      </c>
    </row>
    <row r="1448" spans="1:18">
      <c r="A1448" s="801">
        <v>46095</v>
      </c>
      <c r="B1448" s="670">
        <v>2905.26</v>
      </c>
      <c r="C1448" s="37">
        <v>9752</v>
      </c>
      <c r="D1448" s="37">
        <v>257</v>
      </c>
      <c r="E1448" s="37">
        <v>1</v>
      </c>
      <c r="F1448" s="670">
        <v>14096</v>
      </c>
      <c r="G1448" s="37">
        <v>81</v>
      </c>
      <c r="H1448" s="37">
        <v>8</v>
      </c>
      <c r="I1448" s="37">
        <v>10</v>
      </c>
      <c r="J1448" s="527">
        <f t="shared" si="255"/>
        <v>0.0263535684987695</v>
      </c>
      <c r="K1448" s="687">
        <f t="shared" si="256"/>
        <v>11.304513618677</v>
      </c>
      <c r="L1448" s="41">
        <f t="shared" si="249"/>
        <v>297.914273995078</v>
      </c>
      <c r="M1448" s="702">
        <f t="shared" si="248"/>
        <v>4.85188933176377</v>
      </c>
      <c r="N1448" s="39">
        <f t="shared" si="250"/>
        <v>0.00389105058365759</v>
      </c>
      <c r="O1448" s="558">
        <f t="shared" si="251"/>
        <v>14096</v>
      </c>
      <c r="P1448" s="559">
        <f t="shared" si="252"/>
        <v>2905.26</v>
      </c>
      <c r="Q1448" s="41">
        <f t="shared" si="253"/>
        <v>35.8674074074074</v>
      </c>
      <c r="R1448" s="1021">
        <f t="shared" si="254"/>
        <v>0.315175097276265</v>
      </c>
    </row>
    <row r="1449" spans="1:18">
      <c r="A1449" s="801">
        <v>46096</v>
      </c>
      <c r="B1449" s="670">
        <v>2454.03</v>
      </c>
      <c r="C1449" s="37">
        <v>7926</v>
      </c>
      <c r="D1449" s="37">
        <v>291</v>
      </c>
      <c r="E1449" s="37">
        <v>5</v>
      </c>
      <c r="F1449" s="670">
        <v>47105</v>
      </c>
      <c r="G1449" s="37">
        <v>52</v>
      </c>
      <c r="H1449" s="37">
        <v>4</v>
      </c>
      <c r="I1449" s="37">
        <v>16</v>
      </c>
      <c r="J1449" s="527">
        <f t="shared" si="255"/>
        <v>0.0367146101438304</v>
      </c>
      <c r="K1449" s="687">
        <f t="shared" si="256"/>
        <v>8.43309278350516</v>
      </c>
      <c r="L1449" s="41">
        <f t="shared" si="249"/>
        <v>309.617713853142</v>
      </c>
      <c r="M1449" s="702">
        <f t="shared" si="248"/>
        <v>19.194956866868</v>
      </c>
      <c r="N1449" s="39">
        <f t="shared" si="250"/>
        <v>0.0171821305841924</v>
      </c>
      <c r="O1449" s="558">
        <f t="shared" si="251"/>
        <v>9421</v>
      </c>
      <c r="P1449" s="559">
        <f t="shared" si="252"/>
        <v>490.806</v>
      </c>
      <c r="Q1449" s="41">
        <f t="shared" si="253"/>
        <v>47.1928846153846</v>
      </c>
      <c r="R1449" s="1021">
        <f t="shared" si="254"/>
        <v>0.178694158075601</v>
      </c>
    </row>
    <row r="1450" spans="1:18">
      <c r="A1450" s="801">
        <v>46097</v>
      </c>
      <c r="B1450" s="670">
        <v>2216.57</v>
      </c>
      <c r="C1450" s="37">
        <v>6113</v>
      </c>
      <c r="D1450" s="37">
        <v>282</v>
      </c>
      <c r="E1450" s="37">
        <v>14</v>
      </c>
      <c r="F1450" s="670">
        <v>132377</v>
      </c>
      <c r="G1450" s="37">
        <v>57</v>
      </c>
      <c r="H1450" s="37">
        <v>1</v>
      </c>
      <c r="I1450" s="37">
        <v>5</v>
      </c>
      <c r="J1450" s="527">
        <f t="shared" si="255"/>
        <v>0.0461311958122035</v>
      </c>
      <c r="K1450" s="687">
        <f t="shared" si="256"/>
        <v>7.86017730496454</v>
      </c>
      <c r="L1450" s="41">
        <f t="shared" si="249"/>
        <v>362.599378373957</v>
      </c>
      <c r="M1450" s="702">
        <f t="shared" si="248"/>
        <v>59.7215517669192</v>
      </c>
      <c r="N1450" s="39">
        <f t="shared" si="250"/>
        <v>0.049645390070922</v>
      </c>
      <c r="O1450" s="558">
        <f t="shared" si="251"/>
        <v>9455.5</v>
      </c>
      <c r="P1450" s="559">
        <f t="shared" si="252"/>
        <v>158.326428571429</v>
      </c>
      <c r="Q1450" s="41">
        <f t="shared" si="253"/>
        <v>38.8871929824561</v>
      </c>
      <c r="R1450" s="1021">
        <f t="shared" si="254"/>
        <v>0.202127659574468</v>
      </c>
    </row>
    <row r="1451" spans="1:18">
      <c r="A1451" s="801">
        <v>46098</v>
      </c>
      <c r="B1451" s="670">
        <v>916.12</v>
      </c>
      <c r="C1451" s="37">
        <v>2763</v>
      </c>
      <c r="D1451" s="37">
        <v>107</v>
      </c>
      <c r="E1451" s="37">
        <v>2</v>
      </c>
      <c r="F1451" s="670">
        <v>20552</v>
      </c>
      <c r="G1451" s="37">
        <v>30</v>
      </c>
      <c r="H1451" s="37">
        <v>2</v>
      </c>
      <c r="I1451" s="37">
        <v>6</v>
      </c>
      <c r="J1451" s="527">
        <f t="shared" si="255"/>
        <v>0.0387260224393775</v>
      </c>
      <c r="K1451" s="687">
        <f t="shared" si="256"/>
        <v>8.5618691588785</v>
      </c>
      <c r="L1451" s="41">
        <f t="shared" si="249"/>
        <v>331.567137169743</v>
      </c>
      <c r="M1451" s="702">
        <f t="shared" si="248"/>
        <v>22.4337423045016</v>
      </c>
      <c r="N1451" s="39">
        <f t="shared" si="250"/>
        <v>0.0186915887850467</v>
      </c>
      <c r="O1451" s="558">
        <f t="shared" si="251"/>
        <v>10276</v>
      </c>
      <c r="P1451" s="559">
        <f t="shared" si="252"/>
        <v>458.06</v>
      </c>
      <c r="Q1451" s="41">
        <f t="shared" si="253"/>
        <v>30.5373333333333</v>
      </c>
      <c r="R1451" s="1021">
        <f t="shared" si="254"/>
        <v>0.280373831775701</v>
      </c>
    </row>
    <row r="1452" spans="1:18">
      <c r="A1452" s="801">
        <v>46099</v>
      </c>
      <c r="B1452" s="670">
        <v>1894.53</v>
      </c>
      <c r="C1452" s="37">
        <v>5613</v>
      </c>
      <c r="D1452" s="37">
        <v>168</v>
      </c>
      <c r="E1452" s="37">
        <v>6</v>
      </c>
      <c r="F1452" s="670">
        <v>63667</v>
      </c>
      <c r="G1452" s="37">
        <v>35</v>
      </c>
      <c r="H1452" s="37">
        <v>2</v>
      </c>
      <c r="I1452" s="37">
        <v>7</v>
      </c>
      <c r="J1452" s="527">
        <f t="shared" si="255"/>
        <v>0.0299305184393373</v>
      </c>
      <c r="K1452" s="687">
        <f t="shared" si="256"/>
        <v>11.2769642857143</v>
      </c>
      <c r="L1452" s="41">
        <f t="shared" si="249"/>
        <v>337.525387493319</v>
      </c>
      <c r="M1452" s="702">
        <f t="shared" si="248"/>
        <v>33.6056963996347</v>
      </c>
      <c r="N1452" s="39">
        <f t="shared" si="250"/>
        <v>0.0357142857142857</v>
      </c>
      <c r="O1452" s="558">
        <f t="shared" si="251"/>
        <v>10611.1666666667</v>
      </c>
      <c r="P1452" s="559">
        <f t="shared" si="252"/>
        <v>315.755</v>
      </c>
      <c r="Q1452" s="41">
        <f t="shared" si="253"/>
        <v>54.1294285714286</v>
      </c>
      <c r="R1452" s="1021">
        <f t="shared" si="254"/>
        <v>0.208333333333333</v>
      </c>
    </row>
    <row r="1453" spans="1:18">
      <c r="A1453" s="801">
        <v>46100</v>
      </c>
      <c r="B1453" s="670">
        <v>2371.51</v>
      </c>
      <c r="C1453" s="37">
        <v>7770</v>
      </c>
      <c r="D1453" s="37">
        <v>203</v>
      </c>
      <c r="E1453" s="37">
        <v>2</v>
      </c>
      <c r="F1453" s="670">
        <v>19940</v>
      </c>
      <c r="G1453" s="37">
        <v>65</v>
      </c>
      <c r="H1453" s="37">
        <v>3</v>
      </c>
      <c r="I1453" s="37">
        <v>5</v>
      </c>
      <c r="J1453" s="527">
        <f t="shared" si="255"/>
        <v>0.0261261261261261</v>
      </c>
      <c r="K1453" s="687">
        <f t="shared" si="256"/>
        <v>11.682315270936</v>
      </c>
      <c r="L1453" s="41">
        <f t="shared" si="249"/>
        <v>305.213642213642</v>
      </c>
      <c r="M1453" s="702">
        <f t="shared" si="248"/>
        <v>8.40814502152637</v>
      </c>
      <c r="N1453" s="39">
        <f t="shared" si="250"/>
        <v>0.00985221674876847</v>
      </c>
      <c r="O1453" s="558">
        <f t="shared" si="251"/>
        <v>9970</v>
      </c>
      <c r="P1453" s="559">
        <f t="shared" si="252"/>
        <v>1185.755</v>
      </c>
      <c r="Q1453" s="41">
        <f t="shared" si="253"/>
        <v>36.4847692307692</v>
      </c>
      <c r="R1453" s="1021">
        <f t="shared" si="254"/>
        <v>0.320197044334975</v>
      </c>
    </row>
    <row r="1454" spans="1:18">
      <c r="A1454" s="801">
        <v>46101</v>
      </c>
      <c r="B1454" s="670">
        <v>2426.11</v>
      </c>
      <c r="C1454" s="37">
        <v>6976</v>
      </c>
      <c r="D1454" s="37">
        <v>299</v>
      </c>
      <c r="E1454" s="37">
        <v>0</v>
      </c>
      <c r="F1454" s="670">
        <v>0</v>
      </c>
      <c r="G1454" s="37">
        <v>66</v>
      </c>
      <c r="H1454" s="37">
        <v>9</v>
      </c>
      <c r="I1454" s="37">
        <v>7</v>
      </c>
      <c r="J1454" s="527">
        <f t="shared" si="255"/>
        <v>0.0428612385321101</v>
      </c>
      <c r="K1454" s="687">
        <f t="shared" si="256"/>
        <v>8.11408026755853</v>
      </c>
      <c r="L1454" s="41">
        <f t="shared" si="249"/>
        <v>347.779529816514</v>
      </c>
      <c r="M1454" s="702">
        <f t="shared" si="248"/>
        <v>0</v>
      </c>
      <c r="N1454" s="39">
        <f t="shared" si="250"/>
        <v>0</v>
      </c>
      <c r="O1454" s="558">
        <f t="shared" si="251"/>
        <v>0</v>
      </c>
      <c r="P1454" s="559">
        <f t="shared" si="252"/>
        <v>0</v>
      </c>
      <c r="Q1454" s="41">
        <f t="shared" si="253"/>
        <v>36.7592424242424</v>
      </c>
      <c r="R1454" s="1021">
        <f t="shared" si="254"/>
        <v>0.220735785953177</v>
      </c>
    </row>
    <row r="1455" spans="1:18">
      <c r="A1455" s="801">
        <v>46102</v>
      </c>
      <c r="B1455" s="670">
        <v>1266.97</v>
      </c>
      <c r="C1455" s="37">
        <v>3973</v>
      </c>
      <c r="D1455" s="37">
        <v>132</v>
      </c>
      <c r="E1455" s="37">
        <v>0</v>
      </c>
      <c r="F1455" s="670">
        <v>0</v>
      </c>
      <c r="G1455" s="37">
        <v>31</v>
      </c>
      <c r="H1455" s="37">
        <v>3</v>
      </c>
      <c r="I1455" s="37">
        <v>4</v>
      </c>
      <c r="J1455" s="527">
        <f t="shared" si="255"/>
        <v>0.0332242637805185</v>
      </c>
      <c r="K1455" s="687">
        <f t="shared" si="256"/>
        <v>9.59825757575758</v>
      </c>
      <c r="L1455" s="41">
        <f t="shared" si="249"/>
        <v>318.89504153033</v>
      </c>
      <c r="M1455" s="1082">
        <v>37</v>
      </c>
      <c r="N1455" s="39">
        <f t="shared" si="250"/>
        <v>0</v>
      </c>
      <c r="O1455" s="558">
        <f t="shared" si="251"/>
        <v>0</v>
      </c>
      <c r="P1455" s="559">
        <f t="shared" si="252"/>
        <v>0</v>
      </c>
      <c r="Q1455" s="41">
        <f t="shared" si="253"/>
        <v>40.87</v>
      </c>
      <c r="R1455" s="1021">
        <f t="shared" si="254"/>
        <v>0.234848484848485</v>
      </c>
    </row>
    <row r="1456" spans="1:18">
      <c r="A1456" s="801">
        <v>46103</v>
      </c>
      <c r="B1456" s="670">
        <v>1269.66</v>
      </c>
      <c r="C1456" s="37">
        <v>3697</v>
      </c>
      <c r="D1456" s="37">
        <v>174</v>
      </c>
      <c r="E1456" s="37">
        <v>1</v>
      </c>
      <c r="F1456" s="670">
        <v>18473</v>
      </c>
      <c r="G1456" s="37">
        <v>38</v>
      </c>
      <c r="H1456" s="37">
        <v>4</v>
      </c>
      <c r="I1456" s="37">
        <v>7</v>
      </c>
      <c r="J1456" s="527">
        <f t="shared" si="255"/>
        <v>0.0470651879902624</v>
      </c>
      <c r="K1456" s="687">
        <f t="shared" si="256"/>
        <v>7.29689655172414</v>
      </c>
      <c r="L1456" s="41">
        <f t="shared" si="249"/>
        <v>343.429807952394</v>
      </c>
      <c r="M1456" s="702">
        <f t="shared" si="248"/>
        <v>14.5495644503253</v>
      </c>
      <c r="N1456" s="39">
        <f t="shared" si="250"/>
        <v>0.00574712643678161</v>
      </c>
      <c r="O1456" s="558">
        <f t="shared" si="251"/>
        <v>18473</v>
      </c>
      <c r="P1456" s="559">
        <f t="shared" si="252"/>
        <v>1269.66</v>
      </c>
      <c r="Q1456" s="41">
        <f t="shared" si="253"/>
        <v>33.4121052631579</v>
      </c>
      <c r="R1456" s="1021">
        <f t="shared" si="254"/>
        <v>0.218390804597701</v>
      </c>
    </row>
    <row r="1457" spans="1:18">
      <c r="A1457" s="801">
        <v>46104</v>
      </c>
      <c r="B1457" s="670">
        <v>1255.59</v>
      </c>
      <c r="C1457" s="37">
        <v>3458</v>
      </c>
      <c r="D1457" s="38">
        <v>152</v>
      </c>
      <c r="E1457" s="37">
        <v>1</v>
      </c>
      <c r="F1457" s="670">
        <v>9069</v>
      </c>
      <c r="G1457" s="37">
        <v>34</v>
      </c>
      <c r="H1457" s="37">
        <v>1</v>
      </c>
      <c r="I1457" s="37">
        <v>4</v>
      </c>
      <c r="J1457" s="527">
        <f t="shared" si="255"/>
        <v>0.043956043956044</v>
      </c>
      <c r="K1457" s="687">
        <f t="shared" si="256"/>
        <v>8.26046052631579</v>
      </c>
      <c r="L1457" s="41">
        <f t="shared" si="249"/>
        <v>363.097165991903</v>
      </c>
      <c r="M1457" s="702">
        <f t="shared" si="248"/>
        <v>7.22289919480085</v>
      </c>
      <c r="N1457" s="39">
        <f t="shared" si="250"/>
        <v>0.00657894736842105</v>
      </c>
      <c r="O1457" s="558">
        <f t="shared" si="251"/>
        <v>9069</v>
      </c>
      <c r="P1457" s="559">
        <f t="shared" si="252"/>
        <v>1255.59</v>
      </c>
      <c r="Q1457" s="41">
        <f t="shared" si="253"/>
        <v>36.9291176470588</v>
      </c>
      <c r="R1457" s="1021">
        <f t="shared" si="254"/>
        <v>0.223684210526316</v>
      </c>
    </row>
    <row r="1458" spans="1:18">
      <c r="A1458" s="801">
        <v>46105</v>
      </c>
      <c r="B1458" s="670">
        <v>1269.8</v>
      </c>
      <c r="C1458" s="37">
        <v>3386</v>
      </c>
      <c r="D1458" s="37">
        <v>137</v>
      </c>
      <c r="E1458" s="37">
        <v>2</v>
      </c>
      <c r="F1458" s="670">
        <v>16836</v>
      </c>
      <c r="G1458" s="37">
        <v>31</v>
      </c>
      <c r="H1458" s="37">
        <v>2</v>
      </c>
      <c r="I1458" s="37">
        <v>4</v>
      </c>
      <c r="J1458" s="527">
        <f t="shared" si="255"/>
        <v>0.0404607206142942</v>
      </c>
      <c r="K1458" s="687">
        <f t="shared" si="256"/>
        <v>9.26861313868613</v>
      </c>
      <c r="L1458" s="41">
        <f t="shared" si="249"/>
        <v>375.014766686356</v>
      </c>
      <c r="M1458" s="702">
        <f t="shared" si="248"/>
        <v>13.2587809103796</v>
      </c>
      <c r="N1458" s="39">
        <f t="shared" si="250"/>
        <v>0.0145985401459854</v>
      </c>
      <c r="O1458" s="558">
        <f t="shared" si="251"/>
        <v>8418</v>
      </c>
      <c r="P1458" s="559">
        <f t="shared" si="252"/>
        <v>634.9</v>
      </c>
      <c r="Q1458" s="41">
        <f t="shared" si="253"/>
        <v>40.9612903225806</v>
      </c>
      <c r="R1458" s="1021">
        <f t="shared" si="254"/>
        <v>0.226277372262774</v>
      </c>
    </row>
    <row r="1459" spans="1:18">
      <c r="A1459" s="801">
        <v>46106</v>
      </c>
      <c r="B1459" s="670">
        <v>1262.2</v>
      </c>
      <c r="C1459" s="37">
        <v>3870</v>
      </c>
      <c r="D1459" s="37">
        <v>105</v>
      </c>
      <c r="E1459" s="37">
        <v>0</v>
      </c>
      <c r="F1459" s="670">
        <v>0</v>
      </c>
      <c r="G1459" s="37">
        <v>46</v>
      </c>
      <c r="H1459" s="37">
        <v>3</v>
      </c>
      <c r="I1459" s="37">
        <v>5</v>
      </c>
      <c r="J1459" s="527">
        <f t="shared" si="255"/>
        <v>0.0271317829457364</v>
      </c>
      <c r="K1459" s="687">
        <f t="shared" si="256"/>
        <v>12.0209523809524</v>
      </c>
      <c r="L1459" s="41">
        <f t="shared" si="249"/>
        <v>326.149870801034</v>
      </c>
      <c r="M1459" s="702">
        <f t="shared" si="248"/>
        <v>0</v>
      </c>
      <c r="N1459" s="39">
        <f t="shared" si="250"/>
        <v>0</v>
      </c>
      <c r="O1459" s="558">
        <f t="shared" si="251"/>
        <v>0</v>
      </c>
      <c r="P1459" s="559">
        <f t="shared" si="252"/>
        <v>0</v>
      </c>
      <c r="Q1459" s="41">
        <f t="shared" si="253"/>
        <v>27.4391304347826</v>
      </c>
      <c r="R1459" s="1021">
        <f t="shared" si="254"/>
        <v>0.438095238095238</v>
      </c>
    </row>
    <row r="1460" spans="1:18">
      <c r="A1460" s="801">
        <v>46107</v>
      </c>
      <c r="B1460" s="670">
        <v>1272.71</v>
      </c>
      <c r="C1460" s="37">
        <v>3779</v>
      </c>
      <c r="D1460" s="37">
        <v>118</v>
      </c>
      <c r="E1460" s="37">
        <v>1</v>
      </c>
      <c r="F1460" s="670">
        <v>10797</v>
      </c>
      <c r="G1460" s="37">
        <v>33</v>
      </c>
      <c r="H1460" s="37">
        <v>2</v>
      </c>
      <c r="I1460" s="37">
        <v>3</v>
      </c>
      <c r="J1460" s="527">
        <f t="shared" si="255"/>
        <v>0.0312251918496957</v>
      </c>
      <c r="K1460" s="687">
        <f t="shared" si="256"/>
        <v>10.7856779661017</v>
      </c>
      <c r="L1460" s="41">
        <f t="shared" si="249"/>
        <v>336.784863720561</v>
      </c>
      <c r="M1460" s="702">
        <f t="shared" si="248"/>
        <v>8.48347227569517</v>
      </c>
      <c r="N1460" s="39">
        <f t="shared" si="250"/>
        <v>0.00847457627118644</v>
      </c>
      <c r="O1460" s="558">
        <f t="shared" si="251"/>
        <v>10797</v>
      </c>
      <c r="P1460" s="559">
        <f t="shared" si="252"/>
        <v>1272.71</v>
      </c>
      <c r="Q1460" s="41">
        <f t="shared" si="253"/>
        <v>38.5669696969697</v>
      </c>
      <c r="R1460" s="1021">
        <f t="shared" si="254"/>
        <v>0.279661016949153</v>
      </c>
    </row>
    <row r="1461" spans="1:18">
      <c r="A1461" s="801">
        <v>46108</v>
      </c>
      <c r="B1461" s="670">
        <v>1260.27</v>
      </c>
      <c r="C1461" s="37">
        <v>3857</v>
      </c>
      <c r="D1461" s="37">
        <v>99</v>
      </c>
      <c r="E1461" s="37">
        <v>3</v>
      </c>
      <c r="F1461" s="670">
        <v>38208</v>
      </c>
      <c r="G1461" s="37">
        <v>24</v>
      </c>
      <c r="H1461" s="37">
        <v>1</v>
      </c>
      <c r="I1461" s="37">
        <v>2</v>
      </c>
      <c r="J1461" s="527">
        <f t="shared" si="255"/>
        <v>0.02566761731916</v>
      </c>
      <c r="K1461" s="687">
        <f t="shared" si="256"/>
        <v>12.73</v>
      </c>
      <c r="L1461" s="41">
        <f t="shared" si="249"/>
        <v>326.748768472906</v>
      </c>
      <c r="M1461" s="702">
        <f t="shared" si="248"/>
        <v>30.3173129567474</v>
      </c>
      <c r="N1461" s="39">
        <f t="shared" si="250"/>
        <v>0.0303030303030303</v>
      </c>
      <c r="O1461" s="558">
        <f t="shared" si="251"/>
        <v>12736</v>
      </c>
      <c r="P1461" s="559">
        <f t="shared" si="252"/>
        <v>420.09</v>
      </c>
      <c r="Q1461" s="41">
        <f t="shared" si="253"/>
        <v>52.51125</v>
      </c>
      <c r="R1461" s="1021">
        <f t="shared" si="254"/>
        <v>0.242424242424242</v>
      </c>
    </row>
    <row r="1462" spans="1:18">
      <c r="A1462" s="801">
        <v>46109</v>
      </c>
      <c r="B1462" s="670">
        <v>1247.77</v>
      </c>
      <c r="C1462" s="37">
        <v>4159</v>
      </c>
      <c r="D1462" s="37">
        <v>101</v>
      </c>
      <c r="E1462" s="37">
        <v>1</v>
      </c>
      <c r="F1462" s="670">
        <v>21594</v>
      </c>
      <c r="G1462" s="37">
        <v>16</v>
      </c>
      <c r="H1462" s="37">
        <v>4</v>
      </c>
      <c r="I1462" s="37">
        <v>5</v>
      </c>
      <c r="J1462" s="527">
        <f t="shared" si="255"/>
        <v>0.0242846838182255</v>
      </c>
      <c r="K1462" s="687">
        <f t="shared" si="256"/>
        <v>12.3541584158416</v>
      </c>
      <c r="L1462" s="41">
        <f t="shared" si="249"/>
        <v>300.016830968983</v>
      </c>
      <c r="M1462" s="702">
        <f t="shared" ref="M1462:M1503" si="257">F1462/B1462</f>
        <v>17.3060740360804</v>
      </c>
      <c r="N1462" s="39">
        <f t="shared" si="250"/>
        <v>0.0099009900990099</v>
      </c>
      <c r="O1462" s="558">
        <f t="shared" si="251"/>
        <v>21594</v>
      </c>
      <c r="P1462" s="559">
        <f t="shared" si="252"/>
        <v>1247.77</v>
      </c>
      <c r="Q1462" s="41">
        <f t="shared" si="253"/>
        <v>77.985625</v>
      </c>
      <c r="R1462" s="1021">
        <f t="shared" si="254"/>
        <v>0.158415841584158</v>
      </c>
    </row>
    <row r="1463" spans="1:18">
      <c r="A1463" s="801">
        <v>46110</v>
      </c>
      <c r="B1463" s="670">
        <v>1266.66</v>
      </c>
      <c r="C1463" s="37">
        <v>4011</v>
      </c>
      <c r="D1463" s="37">
        <v>114</v>
      </c>
      <c r="E1463" s="37">
        <v>2</v>
      </c>
      <c r="F1463" s="670">
        <v>16836</v>
      </c>
      <c r="G1463" s="37">
        <v>14</v>
      </c>
      <c r="H1463" s="37">
        <v>1</v>
      </c>
      <c r="I1463" s="37">
        <v>3</v>
      </c>
      <c r="J1463" s="527">
        <f t="shared" si="255"/>
        <v>0.0284218399401645</v>
      </c>
      <c r="K1463" s="687">
        <f t="shared" si="256"/>
        <v>11.1110526315789</v>
      </c>
      <c r="L1463" s="41">
        <f t="shared" si="249"/>
        <v>315.796559461481</v>
      </c>
      <c r="M1463" s="702">
        <f t="shared" si="257"/>
        <v>13.2916489034153</v>
      </c>
      <c r="N1463" s="39">
        <f t="shared" si="250"/>
        <v>0.0175438596491228</v>
      </c>
      <c r="O1463" s="558">
        <f t="shared" si="251"/>
        <v>8418</v>
      </c>
      <c r="P1463" s="559">
        <f t="shared" si="252"/>
        <v>633.33</v>
      </c>
      <c r="Q1463" s="41">
        <f t="shared" si="253"/>
        <v>90.4757142857143</v>
      </c>
      <c r="R1463" s="1021">
        <f t="shared" si="254"/>
        <v>0.12280701754386</v>
      </c>
    </row>
    <row r="1464" spans="1:18">
      <c r="A1464" s="801">
        <v>46111</v>
      </c>
      <c r="B1464" s="670">
        <v>1278.59</v>
      </c>
      <c r="C1464" s="37">
        <v>3733</v>
      </c>
      <c r="D1464" s="37">
        <v>151</v>
      </c>
      <c r="E1464" s="37">
        <v>3</v>
      </c>
      <c r="F1464" s="670">
        <v>25766</v>
      </c>
      <c r="G1464" s="37">
        <v>47</v>
      </c>
      <c r="H1464" s="37">
        <v>2</v>
      </c>
      <c r="I1464" s="37">
        <v>4</v>
      </c>
      <c r="J1464" s="527">
        <f t="shared" si="255"/>
        <v>0.0404500401821591</v>
      </c>
      <c r="K1464" s="687">
        <f t="shared" si="256"/>
        <v>8.46748344370861</v>
      </c>
      <c r="L1464" s="41">
        <f t="shared" si="249"/>
        <v>342.51004553978</v>
      </c>
      <c r="M1464" s="702">
        <f t="shared" si="257"/>
        <v>20.1518860619902</v>
      </c>
      <c r="N1464" s="39">
        <f t="shared" si="250"/>
        <v>0.0198675496688742</v>
      </c>
      <c r="O1464" s="558">
        <f t="shared" si="251"/>
        <v>8588.66666666667</v>
      </c>
      <c r="P1464" s="559">
        <f t="shared" si="252"/>
        <v>426.196666666667</v>
      </c>
      <c r="Q1464" s="41">
        <f t="shared" si="253"/>
        <v>27.2040425531915</v>
      </c>
      <c r="R1464" s="1021">
        <f t="shared" si="254"/>
        <v>0.311258278145695</v>
      </c>
    </row>
    <row r="1465" spans="1:18">
      <c r="A1465" s="801">
        <v>46112</v>
      </c>
      <c r="B1465" s="670">
        <v>1213.24</v>
      </c>
      <c r="C1465" s="37">
        <v>3383</v>
      </c>
      <c r="D1465" s="37">
        <v>125</v>
      </c>
      <c r="E1465" s="37">
        <v>1</v>
      </c>
      <c r="F1465" s="670">
        <v>10797</v>
      </c>
      <c r="G1465" s="37">
        <v>37</v>
      </c>
      <c r="H1465" s="37">
        <v>4</v>
      </c>
      <c r="I1465" s="37">
        <v>5</v>
      </c>
      <c r="J1465" s="527">
        <f t="shared" si="255"/>
        <v>0.0369494531480934</v>
      </c>
      <c r="K1465" s="687">
        <f t="shared" si="256"/>
        <v>9.70592</v>
      </c>
      <c r="L1465" s="41">
        <f t="shared" si="249"/>
        <v>358.628436299143</v>
      </c>
      <c r="M1465" s="702">
        <f t="shared" si="257"/>
        <v>8.89931093600607</v>
      </c>
      <c r="N1465" s="39">
        <f t="shared" si="250"/>
        <v>0.008</v>
      </c>
      <c r="O1465" s="558">
        <f t="shared" si="251"/>
        <v>10797</v>
      </c>
      <c r="P1465" s="559">
        <f t="shared" si="252"/>
        <v>1213.24</v>
      </c>
      <c r="Q1465" s="41">
        <f t="shared" si="253"/>
        <v>32.7902702702703</v>
      </c>
      <c r="R1465" s="1021">
        <f t="shared" si="254"/>
        <v>0.296</v>
      </c>
    </row>
    <row r="1466" spans="1:18">
      <c r="A1466" s="801">
        <v>46113</v>
      </c>
      <c r="B1466" s="670">
        <v>1271.92</v>
      </c>
      <c r="C1466" s="37">
        <v>4016</v>
      </c>
      <c r="D1466" s="37">
        <v>140</v>
      </c>
      <c r="E1466" s="37">
        <v>1</v>
      </c>
      <c r="F1466" s="670">
        <v>7857</v>
      </c>
      <c r="G1466" s="37">
        <v>28</v>
      </c>
      <c r="H1466" s="37">
        <v>3</v>
      </c>
      <c r="I1466" s="37">
        <v>7</v>
      </c>
      <c r="J1466" s="527">
        <f t="shared" si="255"/>
        <v>0.0348605577689243</v>
      </c>
      <c r="K1466" s="687">
        <f t="shared" si="256"/>
        <v>9.08514285714286</v>
      </c>
      <c r="L1466" s="41">
        <f t="shared" si="249"/>
        <v>316.713147410359</v>
      </c>
      <c r="M1466" s="702">
        <f t="shared" si="257"/>
        <v>6.17727530033335</v>
      </c>
      <c r="N1466" s="39">
        <f t="shared" si="250"/>
        <v>0.00714285714285714</v>
      </c>
      <c r="O1466" s="558">
        <f t="shared" si="251"/>
        <v>7857</v>
      </c>
      <c r="P1466" s="559">
        <f t="shared" si="252"/>
        <v>1271.92</v>
      </c>
      <c r="Q1466" s="41">
        <f t="shared" si="253"/>
        <v>45.4257142857143</v>
      </c>
      <c r="R1466" s="1021">
        <f t="shared" si="254"/>
        <v>0.2</v>
      </c>
    </row>
    <row r="1467" spans="1:18">
      <c r="A1467" s="801">
        <v>46114</v>
      </c>
      <c r="B1467" s="670">
        <v>1259.35</v>
      </c>
      <c r="C1467" s="37">
        <v>3791</v>
      </c>
      <c r="D1467" s="37">
        <v>151</v>
      </c>
      <c r="E1467" s="37">
        <v>1</v>
      </c>
      <c r="F1467" s="670">
        <v>10797</v>
      </c>
      <c r="G1467" s="37">
        <v>40</v>
      </c>
      <c r="H1467" s="37">
        <v>1</v>
      </c>
      <c r="I1467" s="37">
        <v>4</v>
      </c>
      <c r="J1467" s="527">
        <f t="shared" si="255"/>
        <v>0.0398311791084147</v>
      </c>
      <c r="K1467" s="687">
        <f t="shared" si="256"/>
        <v>8.34006622516556</v>
      </c>
      <c r="L1467" s="41">
        <f t="shared" si="249"/>
        <v>332.194671590609</v>
      </c>
      <c r="M1467" s="702">
        <f t="shared" si="257"/>
        <v>8.57347044110057</v>
      </c>
      <c r="N1467" s="39">
        <f t="shared" si="250"/>
        <v>0.00662251655629139</v>
      </c>
      <c r="O1467" s="558">
        <f t="shared" si="251"/>
        <v>10797</v>
      </c>
      <c r="P1467" s="559">
        <f t="shared" si="252"/>
        <v>1259.35</v>
      </c>
      <c r="Q1467" s="41">
        <f t="shared" si="253"/>
        <v>31.48375</v>
      </c>
      <c r="R1467" s="1021">
        <f t="shared" si="254"/>
        <v>0.264900662251656</v>
      </c>
    </row>
    <row r="1468" spans="1:18">
      <c r="A1468" s="801">
        <v>46115</v>
      </c>
      <c r="B1468" s="670">
        <v>1249.93</v>
      </c>
      <c r="C1468" s="37">
        <v>3945</v>
      </c>
      <c r="D1468" s="37">
        <v>114</v>
      </c>
      <c r="E1468" s="37">
        <v>1</v>
      </c>
      <c r="F1468" s="670">
        <v>8326</v>
      </c>
      <c r="G1468" s="37">
        <v>48</v>
      </c>
      <c r="H1468" s="37">
        <v>2</v>
      </c>
      <c r="I1468" s="37">
        <v>4</v>
      </c>
      <c r="J1468" s="527">
        <f t="shared" si="255"/>
        <v>0.0288973384030418</v>
      </c>
      <c r="K1468" s="687">
        <f t="shared" si="256"/>
        <v>10.964298245614</v>
      </c>
      <c r="L1468" s="41">
        <f t="shared" si="249"/>
        <v>316.839036755387</v>
      </c>
      <c r="M1468" s="702">
        <f t="shared" si="257"/>
        <v>6.66117302568944</v>
      </c>
      <c r="N1468" s="39">
        <f t="shared" si="250"/>
        <v>0.0087719298245614</v>
      </c>
      <c r="O1468" s="558">
        <f t="shared" si="251"/>
        <v>8326</v>
      </c>
      <c r="P1468" s="559">
        <f t="shared" si="252"/>
        <v>1249.93</v>
      </c>
      <c r="Q1468" s="41">
        <f t="shared" si="253"/>
        <v>26.0402083333333</v>
      </c>
      <c r="R1468" s="1021">
        <f t="shared" si="254"/>
        <v>0.421052631578947</v>
      </c>
    </row>
    <row r="1469" spans="1:18">
      <c r="A1469" s="801">
        <v>46116</v>
      </c>
      <c r="B1469" s="670">
        <v>1250.65</v>
      </c>
      <c r="C1469" s="37">
        <v>4426</v>
      </c>
      <c r="D1469" s="37">
        <v>106</v>
      </c>
      <c r="E1469" s="37">
        <v>0</v>
      </c>
      <c r="F1469" s="670">
        <v>0</v>
      </c>
      <c r="G1469" s="37">
        <v>22</v>
      </c>
      <c r="H1469" s="37">
        <v>3</v>
      </c>
      <c r="I1469" s="37">
        <v>2</v>
      </c>
      <c r="J1469" s="527">
        <f t="shared" si="255"/>
        <v>0.0239493899683687</v>
      </c>
      <c r="K1469" s="687">
        <f t="shared" si="256"/>
        <v>11.7985849056604</v>
      </c>
      <c r="L1469" s="41">
        <f t="shared" si="249"/>
        <v>282.568910980569</v>
      </c>
      <c r="M1469" s="702">
        <f t="shared" si="257"/>
        <v>0</v>
      </c>
      <c r="N1469" s="39">
        <f t="shared" si="250"/>
        <v>0</v>
      </c>
      <c r="O1469" s="558">
        <f t="shared" si="251"/>
        <v>0</v>
      </c>
      <c r="P1469" s="559">
        <f t="shared" si="252"/>
        <v>0</v>
      </c>
      <c r="Q1469" s="41">
        <f t="shared" si="253"/>
        <v>56.8477272727273</v>
      </c>
      <c r="R1469" s="1021">
        <f t="shared" si="254"/>
        <v>0.207547169811321</v>
      </c>
    </row>
    <row r="1470" spans="1:18">
      <c r="A1470" s="801">
        <v>46117</v>
      </c>
      <c r="B1470" s="670">
        <v>1269.9</v>
      </c>
      <c r="C1470" s="37">
        <v>4187</v>
      </c>
      <c r="D1470" s="37">
        <v>110</v>
      </c>
      <c r="E1470" s="37">
        <v>2</v>
      </c>
      <c r="F1470" s="670">
        <v>19202</v>
      </c>
      <c r="G1470" s="37">
        <v>15</v>
      </c>
      <c r="H1470" s="37">
        <v>1</v>
      </c>
      <c r="I1470" s="37">
        <v>4</v>
      </c>
      <c r="J1470" s="527">
        <f t="shared" si="255"/>
        <v>0.0262717936470026</v>
      </c>
      <c r="K1470" s="687">
        <f t="shared" si="256"/>
        <v>11.5445454545455</v>
      </c>
      <c r="L1470" s="41">
        <f t="shared" si="249"/>
        <v>303.29591593026</v>
      </c>
      <c r="M1470" s="702">
        <f t="shared" si="257"/>
        <v>15.1208756595007</v>
      </c>
      <c r="N1470" s="39">
        <f t="shared" si="250"/>
        <v>0.0181818181818182</v>
      </c>
      <c r="O1470" s="558">
        <f t="shared" si="251"/>
        <v>9601</v>
      </c>
      <c r="P1470" s="559">
        <f t="shared" si="252"/>
        <v>634.95</v>
      </c>
      <c r="Q1470" s="41">
        <f t="shared" si="253"/>
        <v>84.66</v>
      </c>
      <c r="R1470" s="1021">
        <f t="shared" si="254"/>
        <v>0.136363636363636</v>
      </c>
    </row>
    <row r="1471" spans="1:18">
      <c r="A1471" s="801">
        <v>46118</v>
      </c>
      <c r="B1471" s="670">
        <v>1279.32</v>
      </c>
      <c r="C1471" s="37">
        <v>3707</v>
      </c>
      <c r="D1471" s="37">
        <v>132</v>
      </c>
      <c r="E1471" s="37">
        <v>0</v>
      </c>
      <c r="F1471" s="670">
        <v>0</v>
      </c>
      <c r="G1471" s="37">
        <v>20</v>
      </c>
      <c r="H1471" s="37">
        <v>1</v>
      </c>
      <c r="I1471" s="37">
        <v>4</v>
      </c>
      <c r="J1471" s="527">
        <f t="shared" si="255"/>
        <v>0.0356083086053412</v>
      </c>
      <c r="K1471" s="687">
        <f t="shared" si="256"/>
        <v>9.69181818181818</v>
      </c>
      <c r="L1471" s="41">
        <f t="shared" ref="L1471:L1503" si="258">B1471/C1471*1000</f>
        <v>345.109252765039</v>
      </c>
      <c r="M1471" s="702">
        <f t="shared" si="257"/>
        <v>0</v>
      </c>
      <c r="N1471" s="39">
        <f t="shared" ref="N1471:N1503" si="259">E1471/D1471</f>
        <v>0</v>
      </c>
      <c r="O1471" s="558">
        <f t="shared" ref="O1471:O1503" si="260">IF(E1471=0,0,F1471/E1471)</f>
        <v>0</v>
      </c>
      <c r="P1471" s="559">
        <f t="shared" ref="P1471:P1503" si="261">IF(E1471=0,0,B1471/E1471)</f>
        <v>0</v>
      </c>
      <c r="Q1471" s="41">
        <f t="shared" ref="Q1471:Q1503" si="262">B1471/G1471</f>
        <v>63.966</v>
      </c>
      <c r="R1471" s="1021">
        <f t="shared" ref="R1471:R1503" si="263">G1471/D1471</f>
        <v>0.151515151515152</v>
      </c>
    </row>
    <row r="1472" spans="1:18">
      <c r="A1472" s="801">
        <v>46119</v>
      </c>
      <c r="B1472" s="670">
        <v>592.82</v>
      </c>
      <c r="C1472" s="37">
        <v>1140</v>
      </c>
      <c r="D1472" s="37">
        <v>69</v>
      </c>
      <c r="E1472" s="37">
        <v>3</v>
      </c>
      <c r="F1472" s="670">
        <v>31592</v>
      </c>
      <c r="G1472" s="37">
        <v>14</v>
      </c>
      <c r="H1472" s="37">
        <v>1</v>
      </c>
      <c r="I1472" s="37">
        <v>2</v>
      </c>
      <c r="J1472" s="527">
        <f t="shared" si="255"/>
        <v>0.0605263157894737</v>
      </c>
      <c r="K1472" s="687">
        <f t="shared" si="256"/>
        <v>8.59159420289855</v>
      </c>
      <c r="L1472" s="41">
        <f t="shared" si="258"/>
        <v>520.017543859649</v>
      </c>
      <c r="M1472" s="702">
        <f t="shared" si="257"/>
        <v>53.2910495597314</v>
      </c>
      <c r="N1472" s="39">
        <f t="shared" si="259"/>
        <v>0.0434782608695652</v>
      </c>
      <c r="O1472" s="558">
        <f t="shared" si="260"/>
        <v>10530.6666666667</v>
      </c>
      <c r="P1472" s="559">
        <f t="shared" si="261"/>
        <v>197.606666666667</v>
      </c>
      <c r="Q1472" s="41">
        <f t="shared" si="262"/>
        <v>42.3442857142857</v>
      </c>
      <c r="R1472" s="1021">
        <f t="shared" si="263"/>
        <v>0.202898550724638</v>
      </c>
    </row>
    <row r="1473" spans="1:18">
      <c r="A1473" s="801">
        <v>46120</v>
      </c>
      <c r="B1473" s="670">
        <v>796.39</v>
      </c>
      <c r="C1473" s="37">
        <v>452</v>
      </c>
      <c r="D1473" s="37">
        <v>134</v>
      </c>
      <c r="E1473" s="37">
        <v>1</v>
      </c>
      <c r="F1473" s="670">
        <v>10169.01</v>
      </c>
      <c r="G1473" s="37">
        <v>30</v>
      </c>
      <c r="H1473" s="37">
        <v>0</v>
      </c>
      <c r="I1473" s="37">
        <v>4</v>
      </c>
      <c r="J1473" s="527">
        <f t="shared" si="255"/>
        <v>0.29646017699115</v>
      </c>
      <c r="K1473" s="687">
        <f t="shared" si="256"/>
        <v>5.94320895522388</v>
      </c>
      <c r="L1473" s="41">
        <f t="shared" si="258"/>
        <v>1761.92477876106</v>
      </c>
      <c r="M1473" s="702">
        <f t="shared" si="257"/>
        <v>12.7688820803877</v>
      </c>
      <c r="N1473" s="39">
        <f t="shared" si="259"/>
        <v>0.00746268656716418</v>
      </c>
      <c r="O1473" s="558">
        <f t="shared" si="260"/>
        <v>10169.01</v>
      </c>
      <c r="P1473" s="559">
        <f t="shared" si="261"/>
        <v>796.39</v>
      </c>
      <c r="Q1473" s="41">
        <f t="shared" si="262"/>
        <v>26.5463333333333</v>
      </c>
      <c r="R1473" s="1021">
        <f t="shared" si="263"/>
        <v>0.223880597014925</v>
      </c>
    </row>
    <row r="1474" spans="1:18">
      <c r="A1474" s="801">
        <v>46121</v>
      </c>
      <c r="B1474" s="670">
        <v>998.53</v>
      </c>
      <c r="C1474" s="37">
        <v>568</v>
      </c>
      <c r="D1474" s="37">
        <v>195</v>
      </c>
      <c r="E1474" s="37">
        <v>0</v>
      </c>
      <c r="F1474" s="670">
        <v>0</v>
      </c>
      <c r="G1474" s="37">
        <v>41</v>
      </c>
      <c r="H1474" s="37">
        <v>4</v>
      </c>
      <c r="I1474" s="37">
        <v>7</v>
      </c>
      <c r="J1474" s="527">
        <f t="shared" ref="J1474:J1503" si="264">D1474/C1474</f>
        <v>0.34330985915493</v>
      </c>
      <c r="K1474" s="687">
        <f t="shared" ref="K1474:K1503" si="265">B1474/D1474</f>
        <v>5.12066666666667</v>
      </c>
      <c r="L1474" s="41">
        <f t="shared" si="258"/>
        <v>1757.97535211268</v>
      </c>
      <c r="M1474" s="702">
        <f t="shared" si="257"/>
        <v>0</v>
      </c>
      <c r="N1474" s="39">
        <f t="shared" si="259"/>
        <v>0</v>
      </c>
      <c r="O1474" s="558">
        <f t="shared" si="260"/>
        <v>0</v>
      </c>
      <c r="P1474" s="559">
        <f t="shared" si="261"/>
        <v>0</v>
      </c>
      <c r="Q1474" s="41">
        <f t="shared" si="262"/>
        <v>24.3543902439024</v>
      </c>
      <c r="R1474" s="1021">
        <f t="shared" si="263"/>
        <v>0.21025641025641</v>
      </c>
    </row>
    <row r="1475" spans="1:18">
      <c r="A1475" s="801">
        <v>46122</v>
      </c>
      <c r="B1475" s="670">
        <v>869.58</v>
      </c>
      <c r="C1475" s="37">
        <v>493</v>
      </c>
      <c r="D1475" s="37">
        <v>196</v>
      </c>
      <c r="E1475" s="37">
        <v>5</v>
      </c>
      <c r="F1475" s="670">
        <v>46807.03</v>
      </c>
      <c r="G1475" s="37">
        <v>32</v>
      </c>
      <c r="H1475" s="37">
        <v>3</v>
      </c>
      <c r="I1475" s="37">
        <v>8</v>
      </c>
      <c r="J1475" s="527">
        <f t="shared" si="264"/>
        <v>0.397565922920892</v>
      </c>
      <c r="K1475" s="687">
        <f t="shared" si="265"/>
        <v>4.43663265306123</v>
      </c>
      <c r="L1475" s="41">
        <f t="shared" si="258"/>
        <v>1763.85395537525</v>
      </c>
      <c r="M1475" s="702">
        <f t="shared" si="257"/>
        <v>53.8271694381195</v>
      </c>
      <c r="N1475" s="39">
        <f t="shared" si="259"/>
        <v>0.0255102040816327</v>
      </c>
      <c r="O1475" s="558">
        <f t="shared" si="260"/>
        <v>9361.406</v>
      </c>
      <c r="P1475" s="559">
        <f t="shared" si="261"/>
        <v>173.916</v>
      </c>
      <c r="Q1475" s="41">
        <f t="shared" si="262"/>
        <v>27.174375</v>
      </c>
      <c r="R1475" s="1021">
        <f t="shared" si="263"/>
        <v>0.163265306122449</v>
      </c>
    </row>
    <row r="1476" spans="1:18">
      <c r="A1476" s="801">
        <v>46123</v>
      </c>
      <c r="B1476" s="670">
        <v>979.33</v>
      </c>
      <c r="C1476" s="37">
        <v>551</v>
      </c>
      <c r="D1476" s="37">
        <v>160</v>
      </c>
      <c r="E1476" s="37">
        <v>4</v>
      </c>
      <c r="F1476" s="670">
        <v>41374.01</v>
      </c>
      <c r="G1476" s="37">
        <v>32</v>
      </c>
      <c r="H1476" s="37">
        <v>0</v>
      </c>
      <c r="I1476" s="37">
        <v>7</v>
      </c>
      <c r="J1476" s="527">
        <f t="shared" si="264"/>
        <v>0.29038112522686</v>
      </c>
      <c r="K1476" s="687">
        <f t="shared" si="265"/>
        <v>6.1208125</v>
      </c>
      <c r="L1476" s="41">
        <f t="shared" si="258"/>
        <v>1777.36842105263</v>
      </c>
      <c r="M1476" s="702">
        <f t="shared" si="257"/>
        <v>42.24726088244</v>
      </c>
      <c r="N1476" s="39">
        <f t="shared" si="259"/>
        <v>0.025</v>
      </c>
      <c r="O1476" s="558">
        <f t="shared" si="260"/>
        <v>10343.5025</v>
      </c>
      <c r="P1476" s="559">
        <f t="shared" si="261"/>
        <v>244.8325</v>
      </c>
      <c r="Q1476" s="41">
        <f t="shared" si="262"/>
        <v>30.6040625</v>
      </c>
      <c r="R1476" s="1021">
        <f t="shared" si="263"/>
        <v>0.2</v>
      </c>
    </row>
    <row r="1477" spans="1:18">
      <c r="A1477" s="801">
        <v>46124</v>
      </c>
      <c r="B1477" s="670">
        <v>993.25</v>
      </c>
      <c r="C1477" s="37">
        <v>569</v>
      </c>
      <c r="D1477" s="37">
        <v>210</v>
      </c>
      <c r="E1477" s="37">
        <v>0</v>
      </c>
      <c r="F1477" s="670">
        <v>0</v>
      </c>
      <c r="G1477" s="37">
        <v>38</v>
      </c>
      <c r="H1477" s="37">
        <v>3</v>
      </c>
      <c r="I1477" s="37">
        <v>6</v>
      </c>
      <c r="J1477" s="527">
        <f t="shared" si="264"/>
        <v>0.369068541300527</v>
      </c>
      <c r="K1477" s="687">
        <f t="shared" si="265"/>
        <v>4.7297619047619</v>
      </c>
      <c r="L1477" s="41">
        <f t="shared" si="258"/>
        <v>1745.60632688928</v>
      </c>
      <c r="M1477" s="702">
        <f t="shared" si="257"/>
        <v>0</v>
      </c>
      <c r="N1477" s="39">
        <f t="shared" si="259"/>
        <v>0</v>
      </c>
      <c r="O1477" s="558">
        <f t="shared" si="260"/>
        <v>0</v>
      </c>
      <c r="P1477" s="559">
        <f t="shared" si="261"/>
        <v>0</v>
      </c>
      <c r="Q1477" s="41">
        <f t="shared" si="262"/>
        <v>26.1381578947368</v>
      </c>
      <c r="R1477" s="1021">
        <f t="shared" si="263"/>
        <v>0.180952380952381</v>
      </c>
    </row>
    <row r="1478" spans="1:18">
      <c r="A1478" s="801">
        <v>46125</v>
      </c>
      <c r="B1478" s="670">
        <v>998.62</v>
      </c>
      <c r="C1478" s="37">
        <v>563</v>
      </c>
      <c r="D1478" s="37">
        <v>192</v>
      </c>
      <c r="E1478" s="37">
        <v>0</v>
      </c>
      <c r="F1478" s="670">
        <v>0</v>
      </c>
      <c r="G1478" s="37">
        <v>32</v>
      </c>
      <c r="H1478" s="37">
        <v>2</v>
      </c>
      <c r="I1478" s="37">
        <v>8</v>
      </c>
      <c r="J1478" s="527">
        <f t="shared" si="264"/>
        <v>0.341030195381883</v>
      </c>
      <c r="K1478" s="687">
        <f t="shared" si="265"/>
        <v>5.20114583333333</v>
      </c>
      <c r="L1478" s="41">
        <f t="shared" si="258"/>
        <v>1773.74777975133</v>
      </c>
      <c r="M1478" s="702">
        <f t="shared" si="257"/>
        <v>0</v>
      </c>
      <c r="N1478" s="39">
        <f t="shared" si="259"/>
        <v>0</v>
      </c>
      <c r="O1478" s="558">
        <f t="shared" si="260"/>
        <v>0</v>
      </c>
      <c r="P1478" s="559">
        <f t="shared" si="261"/>
        <v>0</v>
      </c>
      <c r="Q1478" s="41">
        <f t="shared" si="262"/>
        <v>31.206875</v>
      </c>
      <c r="R1478" s="1021">
        <f t="shared" si="263"/>
        <v>0.166666666666667</v>
      </c>
    </row>
    <row r="1479" spans="1:18">
      <c r="A1479" s="801">
        <v>46126</v>
      </c>
      <c r="B1479" s="670">
        <v>995.59</v>
      </c>
      <c r="C1479" s="37">
        <v>562</v>
      </c>
      <c r="D1479" s="37">
        <v>204</v>
      </c>
      <c r="E1479" s="37">
        <v>7</v>
      </c>
      <c r="F1479" s="670">
        <v>58774</v>
      </c>
      <c r="G1479" s="37">
        <v>47</v>
      </c>
      <c r="H1479" s="37">
        <v>3</v>
      </c>
      <c r="I1479" s="37">
        <v>5</v>
      </c>
      <c r="J1479" s="527">
        <f t="shared" si="264"/>
        <v>0.362989323843416</v>
      </c>
      <c r="K1479" s="687">
        <f t="shared" si="265"/>
        <v>4.8803431372549</v>
      </c>
      <c r="L1479" s="41">
        <f t="shared" si="258"/>
        <v>1771.51245551601</v>
      </c>
      <c r="M1479" s="702">
        <f t="shared" si="257"/>
        <v>59.0343414457759</v>
      </c>
      <c r="N1479" s="39">
        <f t="shared" si="259"/>
        <v>0.0343137254901961</v>
      </c>
      <c r="O1479" s="558">
        <f t="shared" si="260"/>
        <v>8396.28571428571</v>
      </c>
      <c r="P1479" s="559">
        <f t="shared" si="261"/>
        <v>142.227142857143</v>
      </c>
      <c r="Q1479" s="41">
        <f t="shared" si="262"/>
        <v>21.1827659574468</v>
      </c>
      <c r="R1479" s="1021">
        <f t="shared" si="263"/>
        <v>0.230392156862745</v>
      </c>
    </row>
    <row r="1480" spans="1:18">
      <c r="A1480" s="801">
        <v>46127</v>
      </c>
      <c r="B1480" s="670">
        <v>998.65</v>
      </c>
      <c r="C1480" s="37">
        <v>567</v>
      </c>
      <c r="D1480" s="37">
        <v>179</v>
      </c>
      <c r="E1480" s="37">
        <v>3</v>
      </c>
      <c r="F1480" s="670">
        <v>22366</v>
      </c>
      <c r="G1480" s="37">
        <v>32</v>
      </c>
      <c r="H1480" s="37">
        <v>6</v>
      </c>
      <c r="I1480" s="37">
        <v>7</v>
      </c>
      <c r="J1480" s="527">
        <f t="shared" si="264"/>
        <v>0.315696649029982</v>
      </c>
      <c r="K1480" s="687">
        <f t="shared" si="265"/>
        <v>5.57905027932961</v>
      </c>
      <c r="L1480" s="41">
        <f t="shared" si="258"/>
        <v>1761.28747795414</v>
      </c>
      <c r="M1480" s="702">
        <f t="shared" si="257"/>
        <v>22.3962349171381</v>
      </c>
      <c r="N1480" s="39">
        <f t="shared" si="259"/>
        <v>0.0167597765363128</v>
      </c>
      <c r="O1480" s="558">
        <f t="shared" si="260"/>
        <v>7455.33333333333</v>
      </c>
      <c r="P1480" s="559">
        <f t="shared" si="261"/>
        <v>332.883333333333</v>
      </c>
      <c r="Q1480" s="41">
        <f t="shared" si="262"/>
        <v>31.2078125</v>
      </c>
      <c r="R1480" s="1021">
        <f t="shared" si="263"/>
        <v>0.17877094972067</v>
      </c>
    </row>
    <row r="1481" spans="1:18">
      <c r="A1481" s="801">
        <v>46128</v>
      </c>
      <c r="B1481" s="670">
        <v>795.62</v>
      </c>
      <c r="C1481" s="37">
        <v>456</v>
      </c>
      <c r="D1481" s="37">
        <v>164</v>
      </c>
      <c r="E1481" s="37">
        <v>2</v>
      </c>
      <c r="F1481" s="670">
        <v>34304</v>
      </c>
      <c r="G1481" s="37">
        <v>36</v>
      </c>
      <c r="H1481" s="37">
        <v>4</v>
      </c>
      <c r="I1481" s="37">
        <v>0</v>
      </c>
      <c r="J1481" s="527">
        <f t="shared" si="264"/>
        <v>0.359649122807018</v>
      </c>
      <c r="K1481" s="687">
        <f t="shared" si="265"/>
        <v>4.85134146341463</v>
      </c>
      <c r="L1481" s="41">
        <f t="shared" si="258"/>
        <v>1744.78070175439</v>
      </c>
      <c r="M1481" s="702">
        <f t="shared" si="257"/>
        <v>43.116060430859</v>
      </c>
      <c r="N1481" s="39">
        <f t="shared" si="259"/>
        <v>0.0121951219512195</v>
      </c>
      <c r="O1481" s="558">
        <f t="shared" si="260"/>
        <v>17152</v>
      </c>
      <c r="P1481" s="559">
        <f t="shared" si="261"/>
        <v>397.81</v>
      </c>
      <c r="Q1481" s="41">
        <f t="shared" si="262"/>
        <v>22.1005555555556</v>
      </c>
      <c r="R1481" s="1021">
        <f t="shared" si="263"/>
        <v>0.219512195121951</v>
      </c>
    </row>
    <row r="1482" spans="1:18">
      <c r="A1482" s="801">
        <v>46129</v>
      </c>
      <c r="B1482" s="670">
        <v>796.83</v>
      </c>
      <c r="C1482" s="37">
        <v>459</v>
      </c>
      <c r="D1482" s="37">
        <v>128</v>
      </c>
      <c r="E1482" s="37">
        <v>2</v>
      </c>
      <c r="F1482" s="670">
        <v>20421.02</v>
      </c>
      <c r="G1482" s="37">
        <v>45</v>
      </c>
      <c r="H1482" s="37">
        <v>3</v>
      </c>
      <c r="I1482" s="37">
        <v>5</v>
      </c>
      <c r="J1482" s="527">
        <f t="shared" si="264"/>
        <v>0.278867102396514</v>
      </c>
      <c r="K1482" s="687">
        <f t="shared" si="265"/>
        <v>6.225234375</v>
      </c>
      <c r="L1482" s="41">
        <f t="shared" si="258"/>
        <v>1736.01307189542</v>
      </c>
      <c r="M1482" s="702">
        <f t="shared" si="257"/>
        <v>25.6278252575832</v>
      </c>
      <c r="N1482" s="39">
        <f t="shared" si="259"/>
        <v>0.015625</v>
      </c>
      <c r="O1482" s="558">
        <f t="shared" si="260"/>
        <v>10210.51</v>
      </c>
      <c r="P1482" s="559">
        <f t="shared" si="261"/>
        <v>398.415</v>
      </c>
      <c r="Q1482" s="41">
        <f t="shared" si="262"/>
        <v>17.7073333333333</v>
      </c>
      <c r="R1482" s="1021">
        <f t="shared" si="263"/>
        <v>0.3515625</v>
      </c>
    </row>
    <row r="1483" spans="1:18">
      <c r="A1483" s="801">
        <v>46130</v>
      </c>
      <c r="B1483" s="670">
        <v>782.43</v>
      </c>
      <c r="C1483" s="37">
        <v>441</v>
      </c>
      <c r="D1483" s="37">
        <v>126</v>
      </c>
      <c r="E1483" s="37">
        <v>4</v>
      </c>
      <c r="F1483" s="670">
        <v>68884.01</v>
      </c>
      <c r="G1483" s="37">
        <v>37</v>
      </c>
      <c r="H1483" s="37">
        <v>0</v>
      </c>
      <c r="I1483" s="37">
        <v>4</v>
      </c>
      <c r="J1483" s="527">
        <f t="shared" si="264"/>
        <v>0.285714285714286</v>
      </c>
      <c r="K1483" s="687">
        <f t="shared" si="265"/>
        <v>6.2097619047619</v>
      </c>
      <c r="L1483" s="41">
        <f t="shared" si="258"/>
        <v>1774.21768707483</v>
      </c>
      <c r="M1483" s="702">
        <f t="shared" si="257"/>
        <v>88.0385593599427</v>
      </c>
      <c r="N1483" s="39">
        <f t="shared" si="259"/>
        <v>0.0317460317460317</v>
      </c>
      <c r="O1483" s="558">
        <f t="shared" si="260"/>
        <v>17221.0025</v>
      </c>
      <c r="P1483" s="559">
        <f t="shared" si="261"/>
        <v>195.6075</v>
      </c>
      <c r="Q1483" s="41">
        <f t="shared" si="262"/>
        <v>21.1467567567568</v>
      </c>
      <c r="R1483" s="1021">
        <f t="shared" si="263"/>
        <v>0.293650793650794</v>
      </c>
    </row>
    <row r="1484" spans="1:18">
      <c r="A1484" s="801">
        <v>46131</v>
      </c>
      <c r="B1484" s="670">
        <v>794.34</v>
      </c>
      <c r="C1484" s="37">
        <v>452</v>
      </c>
      <c r="D1484" s="37">
        <v>118</v>
      </c>
      <c r="E1484" s="37">
        <v>1</v>
      </c>
      <c r="F1484" s="670">
        <v>26664.99</v>
      </c>
      <c r="G1484" s="37">
        <v>36</v>
      </c>
      <c r="H1484" s="37">
        <v>5</v>
      </c>
      <c r="I1484" s="37">
        <v>2</v>
      </c>
      <c r="J1484" s="527">
        <f t="shared" si="264"/>
        <v>0.261061946902655</v>
      </c>
      <c r="K1484" s="687">
        <f t="shared" si="265"/>
        <v>6.73169491525424</v>
      </c>
      <c r="L1484" s="41">
        <f t="shared" si="258"/>
        <v>1757.38938053097</v>
      </c>
      <c r="M1484" s="702">
        <f t="shared" si="257"/>
        <v>33.5687363093889</v>
      </c>
      <c r="N1484" s="39">
        <f t="shared" si="259"/>
        <v>0.00847457627118644</v>
      </c>
      <c r="O1484" s="558">
        <f t="shared" si="260"/>
        <v>26664.99</v>
      </c>
      <c r="P1484" s="559">
        <f t="shared" si="261"/>
        <v>794.34</v>
      </c>
      <c r="Q1484" s="41">
        <f t="shared" si="262"/>
        <v>22.065</v>
      </c>
      <c r="R1484" s="1021">
        <f t="shared" si="263"/>
        <v>0.305084745762712</v>
      </c>
    </row>
    <row r="1485" spans="1:18">
      <c r="A1485" s="801">
        <v>46132</v>
      </c>
      <c r="B1485" s="670">
        <v>1319.69</v>
      </c>
      <c r="C1485" s="37">
        <v>748</v>
      </c>
      <c r="D1485" s="37">
        <v>270</v>
      </c>
      <c r="E1485" s="37">
        <v>4</v>
      </c>
      <c r="F1485" s="670">
        <v>40622</v>
      </c>
      <c r="G1485" s="37">
        <v>48</v>
      </c>
      <c r="H1485" s="37">
        <v>5</v>
      </c>
      <c r="I1485" s="37">
        <v>9</v>
      </c>
      <c r="J1485" s="527">
        <f t="shared" si="264"/>
        <v>0.36096256684492</v>
      </c>
      <c r="K1485" s="687">
        <f t="shared" si="265"/>
        <v>4.88774074074074</v>
      </c>
      <c r="L1485" s="41">
        <f t="shared" si="258"/>
        <v>1764.29144385027</v>
      </c>
      <c r="M1485" s="702">
        <f t="shared" si="257"/>
        <v>30.7814714061636</v>
      </c>
      <c r="N1485" s="39">
        <f t="shared" si="259"/>
        <v>0.0148148148148148</v>
      </c>
      <c r="O1485" s="558">
        <f t="shared" si="260"/>
        <v>10155.5</v>
      </c>
      <c r="P1485" s="559">
        <f t="shared" si="261"/>
        <v>329.9225</v>
      </c>
      <c r="Q1485" s="41">
        <f t="shared" si="262"/>
        <v>27.4935416666667</v>
      </c>
      <c r="R1485" s="1021">
        <f t="shared" si="263"/>
        <v>0.177777777777778</v>
      </c>
    </row>
    <row r="1486" spans="1:18">
      <c r="A1486" s="801">
        <v>46133</v>
      </c>
      <c r="B1486" s="670">
        <v>1173.08</v>
      </c>
      <c r="C1486" s="37">
        <v>665</v>
      </c>
      <c r="D1486" s="37">
        <v>163</v>
      </c>
      <c r="E1486" s="37">
        <v>3</v>
      </c>
      <c r="F1486" s="670">
        <v>85134</v>
      </c>
      <c r="G1486" s="37">
        <v>36</v>
      </c>
      <c r="H1486" s="37">
        <v>3</v>
      </c>
      <c r="I1486" s="37">
        <v>7</v>
      </c>
      <c r="J1486" s="527">
        <f t="shared" si="264"/>
        <v>0.245112781954887</v>
      </c>
      <c r="K1486" s="687">
        <f t="shared" si="265"/>
        <v>7.19680981595092</v>
      </c>
      <c r="L1486" s="41">
        <f t="shared" si="258"/>
        <v>1764.03007518797</v>
      </c>
      <c r="M1486" s="702">
        <f t="shared" si="257"/>
        <v>72.5730555460838</v>
      </c>
      <c r="N1486" s="39">
        <f t="shared" si="259"/>
        <v>0.0184049079754601</v>
      </c>
      <c r="O1486" s="558">
        <f t="shared" si="260"/>
        <v>28378</v>
      </c>
      <c r="P1486" s="559">
        <f t="shared" si="261"/>
        <v>391.026666666667</v>
      </c>
      <c r="Q1486" s="41">
        <f t="shared" si="262"/>
        <v>32.5855555555556</v>
      </c>
      <c r="R1486" s="1021">
        <f t="shared" si="263"/>
        <v>0.220858895705521</v>
      </c>
    </row>
    <row r="1487" spans="1:18">
      <c r="A1487" s="801">
        <v>46134</v>
      </c>
      <c r="B1487" s="670">
        <v>1125.35</v>
      </c>
      <c r="C1487" s="37">
        <v>640</v>
      </c>
      <c r="D1487" s="37">
        <v>167</v>
      </c>
      <c r="E1487" s="37">
        <v>4</v>
      </c>
      <c r="F1487" s="670">
        <v>44242</v>
      </c>
      <c r="G1487" s="37">
        <v>63</v>
      </c>
      <c r="H1487" s="37">
        <v>0</v>
      </c>
      <c r="I1487" s="37">
        <v>6</v>
      </c>
      <c r="J1487" s="527">
        <f t="shared" si="264"/>
        <v>0.2609375</v>
      </c>
      <c r="K1487" s="687">
        <f t="shared" si="265"/>
        <v>6.73862275449102</v>
      </c>
      <c r="L1487" s="41">
        <f t="shared" si="258"/>
        <v>1758.359375</v>
      </c>
      <c r="M1487" s="702">
        <f t="shared" si="257"/>
        <v>39.3139912027369</v>
      </c>
      <c r="N1487" s="39">
        <f t="shared" si="259"/>
        <v>0.0239520958083832</v>
      </c>
      <c r="O1487" s="558">
        <f t="shared" si="260"/>
        <v>11060.5</v>
      </c>
      <c r="P1487" s="559">
        <f t="shared" si="261"/>
        <v>281.3375</v>
      </c>
      <c r="Q1487" s="41">
        <f t="shared" si="262"/>
        <v>17.8626984126984</v>
      </c>
      <c r="R1487" s="1021">
        <f t="shared" si="263"/>
        <v>0.377245508982036</v>
      </c>
    </row>
    <row r="1488" spans="1:18">
      <c r="A1488" s="801">
        <v>46135</v>
      </c>
      <c r="B1488" s="670">
        <v>974.43</v>
      </c>
      <c r="C1488" s="37">
        <v>564</v>
      </c>
      <c r="D1488" s="37">
        <v>146</v>
      </c>
      <c r="E1488" s="37">
        <v>3</v>
      </c>
      <c r="F1488" s="670">
        <v>33268</v>
      </c>
      <c r="G1488" s="37">
        <v>53</v>
      </c>
      <c r="H1488" s="37">
        <v>2</v>
      </c>
      <c r="I1488" s="37">
        <v>4</v>
      </c>
      <c r="J1488" s="527">
        <f t="shared" si="264"/>
        <v>0.25886524822695</v>
      </c>
      <c r="K1488" s="687">
        <f t="shared" si="265"/>
        <v>6.67417808219178</v>
      </c>
      <c r="L1488" s="41">
        <f t="shared" si="258"/>
        <v>1727.71276595745</v>
      </c>
      <c r="M1488" s="702">
        <f t="shared" si="257"/>
        <v>34.1409849860944</v>
      </c>
      <c r="N1488" s="39">
        <f t="shared" si="259"/>
        <v>0.0205479452054795</v>
      </c>
      <c r="O1488" s="558">
        <f t="shared" si="260"/>
        <v>11089.3333333333</v>
      </c>
      <c r="P1488" s="559">
        <f t="shared" si="261"/>
        <v>324.81</v>
      </c>
      <c r="Q1488" s="41">
        <f t="shared" si="262"/>
        <v>18.3854716981132</v>
      </c>
      <c r="R1488" s="1021">
        <f t="shared" si="263"/>
        <v>0.363013698630137</v>
      </c>
    </row>
    <row r="1489" spans="1:18">
      <c r="A1489" s="801">
        <v>46136</v>
      </c>
      <c r="B1489" s="670">
        <v>920.74</v>
      </c>
      <c r="C1489" s="37">
        <v>536</v>
      </c>
      <c r="D1489" s="37">
        <v>133</v>
      </c>
      <c r="E1489" s="37">
        <v>7</v>
      </c>
      <c r="F1489" s="670">
        <v>40006</v>
      </c>
      <c r="G1489" s="37">
        <v>37</v>
      </c>
      <c r="H1489" s="37">
        <v>1</v>
      </c>
      <c r="I1489" s="37">
        <v>5</v>
      </c>
      <c r="J1489" s="527">
        <f t="shared" si="264"/>
        <v>0.248134328358209</v>
      </c>
      <c r="K1489" s="687">
        <f t="shared" si="265"/>
        <v>6.92285714285714</v>
      </c>
      <c r="L1489" s="41">
        <f t="shared" si="258"/>
        <v>1717.79850746269</v>
      </c>
      <c r="M1489" s="702">
        <f t="shared" si="257"/>
        <v>43.4498338293112</v>
      </c>
      <c r="N1489" s="39">
        <f t="shared" si="259"/>
        <v>0.0526315789473684</v>
      </c>
      <c r="O1489" s="558">
        <f t="shared" si="260"/>
        <v>5715.14285714286</v>
      </c>
      <c r="P1489" s="559">
        <f t="shared" si="261"/>
        <v>131.534285714286</v>
      </c>
      <c r="Q1489" s="41">
        <f t="shared" si="262"/>
        <v>24.8848648648649</v>
      </c>
      <c r="R1489" s="1021">
        <f t="shared" si="263"/>
        <v>0.278195488721804</v>
      </c>
    </row>
    <row r="1490" spans="1:18">
      <c r="A1490" s="801">
        <v>46137</v>
      </c>
      <c r="B1490" s="670">
        <v>957.33</v>
      </c>
      <c r="C1490" s="37">
        <v>550</v>
      </c>
      <c r="D1490" s="37">
        <v>145</v>
      </c>
      <c r="E1490" s="37">
        <v>2</v>
      </c>
      <c r="F1490" s="670">
        <v>21388</v>
      </c>
      <c r="G1490" s="37">
        <v>34</v>
      </c>
      <c r="H1490" s="37">
        <v>3</v>
      </c>
      <c r="I1490" s="37">
        <v>1</v>
      </c>
      <c r="J1490" s="527">
        <f t="shared" si="264"/>
        <v>0.263636363636364</v>
      </c>
      <c r="K1490" s="687">
        <f t="shared" si="265"/>
        <v>6.60227586206897</v>
      </c>
      <c r="L1490" s="41">
        <f t="shared" si="258"/>
        <v>1740.6</v>
      </c>
      <c r="M1490" s="702">
        <f t="shared" si="257"/>
        <v>22.3413034167946</v>
      </c>
      <c r="N1490" s="39">
        <f t="shared" si="259"/>
        <v>0.0137931034482759</v>
      </c>
      <c r="O1490" s="558">
        <f t="shared" si="260"/>
        <v>10694</v>
      </c>
      <c r="P1490" s="559">
        <f t="shared" si="261"/>
        <v>478.665</v>
      </c>
      <c r="Q1490" s="41">
        <f t="shared" si="262"/>
        <v>28.1567647058824</v>
      </c>
      <c r="R1490" s="1021">
        <f t="shared" si="263"/>
        <v>0.23448275862069</v>
      </c>
    </row>
    <row r="1491" spans="1:18">
      <c r="A1491" s="801">
        <v>46138</v>
      </c>
      <c r="B1491" s="670">
        <v>1262.87</v>
      </c>
      <c r="C1491" s="37">
        <v>726</v>
      </c>
      <c r="D1491" s="37">
        <v>190</v>
      </c>
      <c r="E1491" s="37">
        <v>4</v>
      </c>
      <c r="F1491" s="670">
        <v>42748</v>
      </c>
      <c r="G1491" s="37">
        <v>46</v>
      </c>
      <c r="H1491" s="37">
        <v>2</v>
      </c>
      <c r="I1491" s="37">
        <v>5</v>
      </c>
      <c r="J1491" s="527">
        <f t="shared" si="264"/>
        <v>0.261707988980716</v>
      </c>
      <c r="K1491" s="687">
        <f t="shared" si="265"/>
        <v>6.64668421052632</v>
      </c>
      <c r="L1491" s="41">
        <f t="shared" si="258"/>
        <v>1739.49035812672</v>
      </c>
      <c r="M1491" s="702">
        <f t="shared" si="257"/>
        <v>33.8498816188523</v>
      </c>
      <c r="N1491" s="39">
        <f t="shared" si="259"/>
        <v>0.0210526315789474</v>
      </c>
      <c r="O1491" s="558">
        <f t="shared" si="260"/>
        <v>10687</v>
      </c>
      <c r="P1491" s="559">
        <f t="shared" si="261"/>
        <v>315.7175</v>
      </c>
      <c r="Q1491" s="41">
        <f t="shared" si="262"/>
        <v>27.4536956521739</v>
      </c>
      <c r="R1491" s="1021">
        <f t="shared" si="263"/>
        <v>0.242105263157895</v>
      </c>
    </row>
    <row r="1492" spans="1:18">
      <c r="A1492" s="801">
        <v>46139</v>
      </c>
      <c r="B1492" s="670">
        <v>1168.83</v>
      </c>
      <c r="C1492" s="37">
        <v>670</v>
      </c>
      <c r="D1492" s="37">
        <v>165</v>
      </c>
      <c r="E1492" s="37">
        <v>4</v>
      </c>
      <c r="F1492" s="670">
        <v>27473.01</v>
      </c>
      <c r="G1492" s="954">
        <v>25</v>
      </c>
      <c r="H1492" s="589">
        <v>1</v>
      </c>
      <c r="I1492" s="589">
        <v>4</v>
      </c>
      <c r="J1492" s="527">
        <f t="shared" si="264"/>
        <v>0.246268656716418</v>
      </c>
      <c r="K1492" s="687">
        <f t="shared" si="265"/>
        <v>7.08381818181818</v>
      </c>
      <c r="L1492" s="41">
        <f t="shared" si="258"/>
        <v>1744.5223880597</v>
      </c>
      <c r="M1492" s="702">
        <f t="shared" si="257"/>
        <v>23.5047098380432</v>
      </c>
      <c r="N1492" s="39">
        <f t="shared" si="259"/>
        <v>0.0242424242424242</v>
      </c>
      <c r="O1492" s="558">
        <f t="shared" si="260"/>
        <v>6868.2525</v>
      </c>
      <c r="P1492" s="559">
        <f t="shared" si="261"/>
        <v>292.2075</v>
      </c>
      <c r="Q1492" s="41">
        <f t="shared" si="262"/>
        <v>46.7532</v>
      </c>
      <c r="R1492" s="1021">
        <f t="shared" si="263"/>
        <v>0.151515151515152</v>
      </c>
    </row>
    <row r="1493" spans="1:18">
      <c r="A1493" s="801">
        <v>46140</v>
      </c>
      <c r="B1493" s="670">
        <v>1103.67</v>
      </c>
      <c r="C1493" s="37">
        <v>639</v>
      </c>
      <c r="D1493" s="37">
        <v>180</v>
      </c>
      <c r="E1493" s="37">
        <v>1</v>
      </c>
      <c r="F1493" s="670">
        <v>12105.02</v>
      </c>
      <c r="G1493" s="37">
        <v>10</v>
      </c>
      <c r="H1493" s="37">
        <v>6</v>
      </c>
      <c r="I1493" s="37">
        <v>8</v>
      </c>
      <c r="J1493" s="527">
        <f t="shared" si="264"/>
        <v>0.28169014084507</v>
      </c>
      <c r="K1493" s="687">
        <f t="shared" si="265"/>
        <v>6.1315</v>
      </c>
      <c r="L1493" s="41">
        <f t="shared" si="258"/>
        <v>1727.18309859155</v>
      </c>
      <c r="M1493" s="702">
        <f t="shared" si="257"/>
        <v>10.967970498428</v>
      </c>
      <c r="N1493" s="39">
        <f t="shared" si="259"/>
        <v>0.00555555555555556</v>
      </c>
      <c r="O1493" s="558">
        <f t="shared" si="260"/>
        <v>12105.02</v>
      </c>
      <c r="P1493" s="559">
        <f t="shared" si="261"/>
        <v>1103.67</v>
      </c>
      <c r="Q1493" s="41">
        <f t="shared" si="262"/>
        <v>110.367</v>
      </c>
      <c r="R1493" s="1021">
        <f t="shared" si="263"/>
        <v>0.0555555555555556</v>
      </c>
    </row>
    <row r="1494" spans="1:18">
      <c r="A1494" s="801">
        <v>46141</v>
      </c>
      <c r="B1494" s="670">
        <v>1019.09</v>
      </c>
      <c r="C1494" s="37">
        <v>581</v>
      </c>
      <c r="D1494" s="37">
        <v>147</v>
      </c>
      <c r="E1494" s="37">
        <v>1</v>
      </c>
      <c r="F1494" s="670">
        <v>6264</v>
      </c>
      <c r="G1494" s="37">
        <v>17</v>
      </c>
      <c r="H1494" s="37">
        <v>1</v>
      </c>
      <c r="I1494" s="37">
        <v>5</v>
      </c>
      <c r="J1494" s="527">
        <f t="shared" si="264"/>
        <v>0.253012048192771</v>
      </c>
      <c r="K1494" s="687">
        <f t="shared" si="265"/>
        <v>6.93258503401361</v>
      </c>
      <c r="L1494" s="41">
        <f t="shared" si="258"/>
        <v>1754.02753872633</v>
      </c>
      <c r="M1494" s="702">
        <f t="shared" si="257"/>
        <v>6.14666025571834</v>
      </c>
      <c r="N1494" s="39">
        <f t="shared" si="259"/>
        <v>0.00680272108843537</v>
      </c>
      <c r="O1494" s="558">
        <f t="shared" si="260"/>
        <v>6264</v>
      </c>
      <c r="P1494" s="559">
        <f t="shared" si="261"/>
        <v>1019.09</v>
      </c>
      <c r="Q1494" s="41">
        <f t="shared" si="262"/>
        <v>59.9464705882353</v>
      </c>
      <c r="R1494" s="1021">
        <f t="shared" si="263"/>
        <v>0.115646258503401</v>
      </c>
    </row>
    <row r="1495" spans="1:18">
      <c r="A1495" s="801">
        <v>46142</v>
      </c>
      <c r="B1495" s="670">
        <v>993.84</v>
      </c>
      <c r="C1495" s="37">
        <v>563</v>
      </c>
      <c r="D1495" s="37">
        <v>151</v>
      </c>
      <c r="E1495" s="37">
        <v>4</v>
      </c>
      <c r="F1495" s="670">
        <v>50492</v>
      </c>
      <c r="G1495" s="37">
        <v>21</v>
      </c>
      <c r="H1495" s="37">
        <v>1</v>
      </c>
      <c r="I1495" s="37">
        <v>2</v>
      </c>
      <c r="J1495" s="527">
        <f t="shared" si="264"/>
        <v>0.268206039076377</v>
      </c>
      <c r="K1495" s="687">
        <f t="shared" si="265"/>
        <v>6.58172185430464</v>
      </c>
      <c r="L1495" s="41">
        <f t="shared" si="258"/>
        <v>1765.25754884547</v>
      </c>
      <c r="M1495" s="702">
        <f t="shared" si="257"/>
        <v>50.8049585446349</v>
      </c>
      <c r="N1495" s="39">
        <f t="shared" si="259"/>
        <v>0.0264900662251656</v>
      </c>
      <c r="O1495" s="558">
        <f t="shared" si="260"/>
        <v>12623</v>
      </c>
      <c r="P1495" s="559">
        <f t="shared" si="261"/>
        <v>248.46</v>
      </c>
      <c r="Q1495" s="41">
        <f t="shared" si="262"/>
        <v>47.3257142857143</v>
      </c>
      <c r="R1495" s="1021">
        <f t="shared" si="263"/>
        <v>0.139072847682119</v>
      </c>
    </row>
    <row r="1496" spans="1:18">
      <c r="A1496" s="801">
        <v>46143</v>
      </c>
      <c r="B1496" s="670">
        <v>884.92</v>
      </c>
      <c r="C1496" s="37">
        <v>512</v>
      </c>
      <c r="D1496" s="37">
        <v>126</v>
      </c>
      <c r="E1496" s="37">
        <v>0</v>
      </c>
      <c r="F1496" s="670">
        <v>0</v>
      </c>
      <c r="G1496" s="37">
        <v>9</v>
      </c>
      <c r="H1496" s="37">
        <v>1</v>
      </c>
      <c r="I1496" s="37">
        <v>4</v>
      </c>
      <c r="J1496" s="527">
        <f t="shared" si="264"/>
        <v>0.24609375</v>
      </c>
      <c r="K1496" s="687">
        <f t="shared" si="265"/>
        <v>7.0231746031746</v>
      </c>
      <c r="L1496" s="41">
        <f t="shared" si="258"/>
        <v>1728.359375</v>
      </c>
      <c r="M1496" s="702">
        <f t="shared" si="257"/>
        <v>0</v>
      </c>
      <c r="N1496" s="39">
        <f t="shared" si="259"/>
        <v>0</v>
      </c>
      <c r="O1496" s="558">
        <f t="shared" si="260"/>
        <v>0</v>
      </c>
      <c r="P1496" s="559">
        <f t="shared" si="261"/>
        <v>0</v>
      </c>
      <c r="Q1496" s="41">
        <f t="shared" si="262"/>
        <v>98.3244444444444</v>
      </c>
      <c r="R1496" s="1021">
        <f t="shared" si="263"/>
        <v>0.0714285714285714</v>
      </c>
    </row>
    <row r="1497" spans="1:18">
      <c r="A1497" s="801">
        <v>46144</v>
      </c>
      <c r="B1497" s="670">
        <v>1042.96</v>
      </c>
      <c r="C1497" s="37">
        <v>599</v>
      </c>
      <c r="D1497" s="37">
        <v>195</v>
      </c>
      <c r="E1497" s="37">
        <v>5</v>
      </c>
      <c r="F1497" s="670">
        <v>112651.02</v>
      </c>
      <c r="G1497" s="37">
        <v>27</v>
      </c>
      <c r="H1497" s="37">
        <v>1</v>
      </c>
      <c r="I1497" s="37">
        <v>9</v>
      </c>
      <c r="J1497" s="527">
        <f t="shared" si="264"/>
        <v>0.325542570951586</v>
      </c>
      <c r="K1497" s="687">
        <f t="shared" si="265"/>
        <v>5.34851282051282</v>
      </c>
      <c r="L1497" s="41">
        <f t="shared" si="258"/>
        <v>1741.16861435726</v>
      </c>
      <c r="M1497" s="702">
        <f t="shared" si="257"/>
        <v>108.010872900207</v>
      </c>
      <c r="N1497" s="39">
        <f t="shared" si="259"/>
        <v>0.0256410256410256</v>
      </c>
      <c r="O1497" s="558">
        <f t="shared" si="260"/>
        <v>22530.204</v>
      </c>
      <c r="P1497" s="559">
        <f t="shared" si="261"/>
        <v>208.592</v>
      </c>
      <c r="Q1497" s="41">
        <f t="shared" si="262"/>
        <v>38.6281481481481</v>
      </c>
      <c r="R1497" s="1021">
        <f t="shared" si="263"/>
        <v>0.138461538461538</v>
      </c>
    </row>
    <row r="1498" spans="1:18">
      <c r="A1498" s="801">
        <v>46145</v>
      </c>
      <c r="B1498" s="670">
        <v>1094.24</v>
      </c>
      <c r="C1498" s="37">
        <v>636</v>
      </c>
      <c r="D1498" s="37">
        <v>165</v>
      </c>
      <c r="E1498" s="37">
        <v>0</v>
      </c>
      <c r="F1498" s="670">
        <v>0</v>
      </c>
      <c r="G1498" s="37">
        <v>22</v>
      </c>
      <c r="H1498" s="37">
        <v>2</v>
      </c>
      <c r="I1498" s="37">
        <v>4</v>
      </c>
      <c r="J1498" s="527">
        <f t="shared" si="264"/>
        <v>0.259433962264151</v>
      </c>
      <c r="K1498" s="687">
        <f t="shared" si="265"/>
        <v>6.63175757575758</v>
      </c>
      <c r="L1498" s="41">
        <f t="shared" si="258"/>
        <v>1720.50314465409</v>
      </c>
      <c r="M1498" s="702">
        <f t="shared" si="257"/>
        <v>0</v>
      </c>
      <c r="N1498" s="39">
        <f t="shared" si="259"/>
        <v>0</v>
      </c>
      <c r="O1498" s="558">
        <f t="shared" si="260"/>
        <v>0</v>
      </c>
      <c r="P1498" s="559">
        <f t="shared" si="261"/>
        <v>0</v>
      </c>
      <c r="Q1498" s="41">
        <f t="shared" si="262"/>
        <v>49.7381818181818</v>
      </c>
      <c r="R1498" s="1021">
        <f t="shared" si="263"/>
        <v>0.133333333333333</v>
      </c>
    </row>
    <row r="1499" spans="1:18">
      <c r="A1499" s="801">
        <v>46146</v>
      </c>
      <c r="B1499" s="670">
        <v>920.56</v>
      </c>
      <c r="C1499" s="1083">
        <v>537</v>
      </c>
      <c r="D1499" s="1083">
        <v>157</v>
      </c>
      <c r="E1499" s="1083">
        <v>6</v>
      </c>
      <c r="F1499" s="670">
        <v>86694</v>
      </c>
      <c r="G1499" s="1083">
        <v>19</v>
      </c>
      <c r="H1499" s="37">
        <v>1</v>
      </c>
      <c r="I1499" s="37">
        <v>4</v>
      </c>
      <c r="J1499" s="527">
        <f t="shared" si="264"/>
        <v>0.292364990689013</v>
      </c>
      <c r="K1499" s="687">
        <f t="shared" si="265"/>
        <v>5.86343949044586</v>
      </c>
      <c r="L1499" s="41">
        <f t="shared" si="258"/>
        <v>1714.26443202979</v>
      </c>
      <c r="M1499" s="702">
        <f t="shared" si="257"/>
        <v>94.1752846093682</v>
      </c>
      <c r="N1499" s="39">
        <f t="shared" si="259"/>
        <v>0.0382165605095541</v>
      </c>
      <c r="O1499" s="558">
        <f t="shared" si="260"/>
        <v>14449</v>
      </c>
      <c r="P1499" s="559">
        <f t="shared" si="261"/>
        <v>153.426666666667</v>
      </c>
      <c r="Q1499" s="41">
        <f t="shared" si="262"/>
        <v>48.4505263157895</v>
      </c>
      <c r="R1499" s="1021">
        <f t="shared" si="263"/>
        <v>0.121019108280255</v>
      </c>
    </row>
    <row r="1500" spans="1:18">
      <c r="A1500" s="801">
        <v>46147</v>
      </c>
      <c r="B1500" s="670">
        <v>1188.57</v>
      </c>
      <c r="C1500" s="37">
        <v>677</v>
      </c>
      <c r="D1500" s="37">
        <v>207</v>
      </c>
      <c r="E1500" s="37">
        <v>0</v>
      </c>
      <c r="F1500" s="670">
        <v>0</v>
      </c>
      <c r="G1500" s="37">
        <v>13</v>
      </c>
      <c r="H1500" s="37">
        <v>0</v>
      </c>
      <c r="I1500" s="37">
        <v>3</v>
      </c>
      <c r="J1500" s="527">
        <f t="shared" si="264"/>
        <v>0.30576070901034</v>
      </c>
      <c r="K1500" s="687">
        <f t="shared" si="265"/>
        <v>5.74188405797101</v>
      </c>
      <c r="L1500" s="41">
        <f t="shared" si="258"/>
        <v>1755.64254062038</v>
      </c>
      <c r="M1500" s="702">
        <f t="shared" si="257"/>
        <v>0</v>
      </c>
      <c r="N1500" s="39">
        <f t="shared" si="259"/>
        <v>0</v>
      </c>
      <c r="O1500" s="558">
        <f t="shared" si="260"/>
        <v>0</v>
      </c>
      <c r="P1500" s="559">
        <f t="shared" si="261"/>
        <v>0</v>
      </c>
      <c r="Q1500" s="41">
        <f t="shared" si="262"/>
        <v>91.4284615384615</v>
      </c>
      <c r="R1500" s="1021">
        <f t="shared" si="263"/>
        <v>0.0628019323671498</v>
      </c>
    </row>
    <row r="1501" spans="1:18">
      <c r="A1501" s="801">
        <v>46148</v>
      </c>
      <c r="B1501" s="670">
        <v>1191</v>
      </c>
      <c r="C1501" s="37">
        <v>678</v>
      </c>
      <c r="D1501" s="37">
        <v>161</v>
      </c>
      <c r="E1501" s="37">
        <v>1</v>
      </c>
      <c r="F1501" s="670">
        <v>9452</v>
      </c>
      <c r="G1501" s="37">
        <v>16</v>
      </c>
      <c r="H1501" s="37">
        <v>1</v>
      </c>
      <c r="I1501" s="37">
        <v>2</v>
      </c>
      <c r="J1501" s="527">
        <f t="shared" si="264"/>
        <v>0.237463126843658</v>
      </c>
      <c r="K1501" s="687">
        <f t="shared" si="265"/>
        <v>7.39751552795031</v>
      </c>
      <c r="L1501" s="41">
        <f t="shared" si="258"/>
        <v>1756.63716814159</v>
      </c>
      <c r="M1501" s="702">
        <f t="shared" si="257"/>
        <v>7.93618807724601</v>
      </c>
      <c r="N1501" s="39">
        <f t="shared" si="259"/>
        <v>0.0062111801242236</v>
      </c>
      <c r="O1501" s="558">
        <f t="shared" si="260"/>
        <v>9452</v>
      </c>
      <c r="P1501" s="559">
        <f t="shared" si="261"/>
        <v>1191</v>
      </c>
      <c r="Q1501" s="41">
        <f t="shared" si="262"/>
        <v>74.4375</v>
      </c>
      <c r="R1501" s="1021">
        <f t="shared" si="263"/>
        <v>0.0993788819875776</v>
      </c>
    </row>
    <row r="1502" spans="1:18">
      <c r="A1502" s="801">
        <v>46149</v>
      </c>
      <c r="B1502" s="670">
        <v>1184.81</v>
      </c>
      <c r="C1502" s="37">
        <v>662</v>
      </c>
      <c r="D1502" s="37">
        <v>194</v>
      </c>
      <c r="E1502" s="37">
        <v>0</v>
      </c>
      <c r="F1502" s="670">
        <v>0</v>
      </c>
      <c r="G1502" s="37">
        <v>25</v>
      </c>
      <c r="H1502" s="37">
        <v>0</v>
      </c>
      <c r="I1502" s="37">
        <v>8</v>
      </c>
      <c r="J1502" s="527">
        <f t="shared" si="264"/>
        <v>0.293051359516616</v>
      </c>
      <c r="K1502" s="687">
        <f t="shared" si="265"/>
        <v>6.10726804123711</v>
      </c>
      <c r="L1502" s="41">
        <f t="shared" si="258"/>
        <v>1789.74320241692</v>
      </c>
      <c r="M1502" s="702">
        <f t="shared" si="257"/>
        <v>0</v>
      </c>
      <c r="N1502" s="39">
        <f t="shared" si="259"/>
        <v>0</v>
      </c>
      <c r="O1502" s="558">
        <f t="shared" si="260"/>
        <v>0</v>
      </c>
      <c r="P1502" s="559">
        <f t="shared" si="261"/>
        <v>0</v>
      </c>
      <c r="Q1502" s="41">
        <f t="shared" si="262"/>
        <v>47.3924</v>
      </c>
      <c r="R1502" s="1021">
        <f t="shared" si="263"/>
        <v>0.128865979381443</v>
      </c>
    </row>
    <row r="1503" spans="1:18">
      <c r="A1503" s="801">
        <v>46150</v>
      </c>
      <c r="B1503" s="670">
        <v>1180.15</v>
      </c>
      <c r="C1503" s="37">
        <v>671</v>
      </c>
      <c r="D1503" s="37">
        <v>159</v>
      </c>
      <c r="E1503" s="37">
        <v>3</v>
      </c>
      <c r="F1503" s="670">
        <v>27950</v>
      </c>
      <c r="G1503" s="37">
        <v>25</v>
      </c>
      <c r="H1503" s="37">
        <v>3</v>
      </c>
      <c r="I1503" s="37">
        <v>2</v>
      </c>
      <c r="J1503" s="527">
        <f t="shared" si="264"/>
        <v>0.236959761549925</v>
      </c>
      <c r="K1503" s="687">
        <f t="shared" si="265"/>
        <v>7.42232704402516</v>
      </c>
      <c r="L1503" s="41">
        <f t="shared" si="258"/>
        <v>1758.79284649776</v>
      </c>
      <c r="M1503" s="702">
        <f t="shared" si="257"/>
        <v>23.6834300724484</v>
      </c>
      <c r="N1503" s="39">
        <f t="shared" si="259"/>
        <v>0.0188679245283019</v>
      </c>
      <c r="O1503" s="558">
        <f t="shared" si="260"/>
        <v>9316.66666666667</v>
      </c>
      <c r="P1503" s="559">
        <f t="shared" si="261"/>
        <v>393.383333333333</v>
      </c>
      <c r="Q1503" s="41">
        <f t="shared" si="262"/>
        <v>47.206</v>
      </c>
      <c r="R1503" s="1021">
        <f t="shared" si="263"/>
        <v>0.157232704402516</v>
      </c>
    </row>
  </sheetData>
  <sheetProtection formatCells="0" insertHyperlinks="0" autoFilter="0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03"/>
  <sheetViews>
    <sheetView workbookViewId="0">
      <pane xSplit="1" ySplit="1" topLeftCell="B1497" activePane="bottomRight" state="frozen"/>
      <selection/>
      <selection pane="topRight"/>
      <selection pane="bottomLeft"/>
      <selection pane="bottomRight" activeCell="P1518" sqref="P1518"/>
    </sheetView>
  </sheetViews>
  <sheetFormatPr defaultColWidth="9" defaultRowHeight="13.8"/>
  <cols>
    <col min="1" max="1" width="23.3796296296296" style="37" customWidth="1"/>
    <col min="2" max="2" width="11.1296296296296" style="670" customWidth="1"/>
    <col min="3" max="3" width="12.5185185185185" style="37" customWidth="1"/>
    <col min="4" max="4" width="10.6296296296296" style="37"/>
    <col min="5" max="5" width="12.8796296296296" style="37" customWidth="1"/>
    <col min="6" max="6" width="13.75" style="670" customWidth="1"/>
    <col min="7" max="7" width="11" style="37" customWidth="1"/>
    <col min="8" max="8" width="10" style="37" customWidth="1"/>
    <col min="9" max="9" width="9" style="37"/>
    <col min="10" max="10" width="8.62962962962963" style="672"/>
    <col min="11" max="11" width="12.8796296296296" style="911"/>
    <col min="12" max="12" width="12.8796296296296" style="671"/>
    <col min="13" max="13" width="9.37962962962963" style="672"/>
    <col min="14" max="14" width="11.75" style="670" customWidth="1"/>
    <col min="15" max="15" width="11.6574074074074" style="670"/>
    <col min="16" max="16" width="12.8796296296296" style="670"/>
    <col min="17" max="17" width="12.6296296296296" style="675"/>
    <col min="18" max="18" width="9.37962962962963"/>
    <col min="19" max="19" width="12.6296296296296"/>
  </cols>
  <sheetData>
    <row r="1" s="1" customFormat="1" ht="62.4" spans="1:19">
      <c r="A1" s="676" t="s">
        <v>68</v>
      </c>
      <c r="B1" s="677" t="s">
        <v>1</v>
      </c>
      <c r="C1" s="676" t="s">
        <v>2</v>
      </c>
      <c r="D1" s="676" t="s">
        <v>3</v>
      </c>
      <c r="E1" s="676" t="s">
        <v>4</v>
      </c>
      <c r="F1" s="677" t="s">
        <v>71</v>
      </c>
      <c r="G1" s="676" t="s">
        <v>6</v>
      </c>
      <c r="H1" s="676" t="s">
        <v>7</v>
      </c>
      <c r="I1" s="676" t="s">
        <v>8</v>
      </c>
      <c r="J1" s="680" t="s">
        <v>9</v>
      </c>
      <c r="K1" s="936" t="s">
        <v>10</v>
      </c>
      <c r="L1" s="678" t="s">
        <v>12</v>
      </c>
      <c r="M1" s="680" t="s">
        <v>13</v>
      </c>
      <c r="N1" s="677" t="s">
        <v>14</v>
      </c>
      <c r="O1" s="677" t="s">
        <v>15</v>
      </c>
      <c r="P1" s="677" t="s">
        <v>16</v>
      </c>
      <c r="Q1" s="683" t="s">
        <v>72</v>
      </c>
      <c r="R1" s="937" t="s">
        <v>35</v>
      </c>
      <c r="S1" s="937" t="s">
        <v>73</v>
      </c>
    </row>
    <row r="2" spans="1:19">
      <c r="A2" s="684">
        <v>44197</v>
      </c>
      <c r="B2" s="685">
        <v>110.86</v>
      </c>
      <c r="C2" s="690">
        <v>5918</v>
      </c>
      <c r="D2" s="686">
        <v>80</v>
      </c>
      <c r="E2" s="686">
        <v>0</v>
      </c>
      <c r="F2" s="685">
        <v>0</v>
      </c>
      <c r="G2" s="686">
        <v>2</v>
      </c>
      <c r="H2" s="686">
        <v>0</v>
      </c>
      <c r="I2" s="686">
        <v>0</v>
      </c>
      <c r="J2" s="688">
        <f>D2/C2</f>
        <v>0.0135180804325786</v>
      </c>
      <c r="K2" s="902">
        <v>1.39</v>
      </c>
      <c r="L2" s="686">
        <f>F2/B2</f>
        <v>0</v>
      </c>
      <c r="M2" s="688">
        <v>0</v>
      </c>
      <c r="N2" s="685" t="e">
        <f t="shared" ref="N2:N13" si="0">F2/E2</f>
        <v>#DIV/0!</v>
      </c>
      <c r="O2" s="685" t="e">
        <f t="shared" ref="O2:O13" si="1">B2/E2</f>
        <v>#DIV/0!</v>
      </c>
      <c r="P2" s="685">
        <f t="shared" ref="P2:P13" si="2">B2/G2</f>
        <v>55.43</v>
      </c>
    </row>
    <row r="3" spans="1:19">
      <c r="A3" s="684">
        <v>44198</v>
      </c>
      <c r="B3" s="685">
        <v>99.61</v>
      </c>
      <c r="C3" s="690">
        <v>6436</v>
      </c>
      <c r="D3" s="686">
        <v>77</v>
      </c>
      <c r="E3" s="686">
        <v>0</v>
      </c>
      <c r="F3" s="685">
        <v>0</v>
      </c>
      <c r="G3" s="686">
        <v>1</v>
      </c>
      <c r="H3" s="686">
        <v>3</v>
      </c>
      <c r="I3" s="686">
        <v>1</v>
      </c>
      <c r="J3" s="688">
        <f>D3/C3</f>
        <v>0.011963952765693</v>
      </c>
      <c r="K3" s="902">
        <v>1.29</v>
      </c>
      <c r="L3" s="686">
        <v>0</v>
      </c>
      <c r="M3" s="688">
        <v>0</v>
      </c>
      <c r="N3" s="685" t="e">
        <f t="shared" si="0"/>
        <v>#DIV/0!</v>
      </c>
      <c r="O3" s="685" t="e">
        <f t="shared" si="1"/>
        <v>#DIV/0!</v>
      </c>
      <c r="P3" s="685">
        <f t="shared" si="2"/>
        <v>99.61</v>
      </c>
    </row>
    <row r="4" spans="1:19">
      <c r="A4" s="684">
        <v>44199</v>
      </c>
      <c r="B4" s="685">
        <v>130.39</v>
      </c>
      <c r="C4" s="690">
        <v>6733</v>
      </c>
      <c r="D4" s="686">
        <v>87</v>
      </c>
      <c r="E4" s="686">
        <v>0</v>
      </c>
      <c r="F4" s="685">
        <v>0</v>
      </c>
      <c r="G4" s="686">
        <v>1</v>
      </c>
      <c r="H4" s="686">
        <v>0</v>
      </c>
      <c r="I4" s="686">
        <v>2</v>
      </c>
      <c r="J4" s="688">
        <f t="shared" ref="J4:J12" si="3">D4/C4</f>
        <v>0.0129214317540472</v>
      </c>
      <c r="K4" s="902">
        <v>1.5</v>
      </c>
      <c r="L4" s="686">
        <v>0</v>
      </c>
      <c r="M4" s="688">
        <v>0</v>
      </c>
      <c r="N4" s="685" t="e">
        <f t="shared" si="0"/>
        <v>#DIV/0!</v>
      </c>
      <c r="O4" s="685" t="e">
        <f t="shared" si="1"/>
        <v>#DIV/0!</v>
      </c>
      <c r="P4" s="685">
        <f t="shared" si="2"/>
        <v>130.39</v>
      </c>
    </row>
    <row r="5" spans="1:19">
      <c r="A5" s="684">
        <v>44200</v>
      </c>
      <c r="B5" s="685">
        <v>96.83</v>
      </c>
      <c r="C5" s="690">
        <v>6249</v>
      </c>
      <c r="D5" s="686">
        <v>72</v>
      </c>
      <c r="E5" s="686">
        <v>0</v>
      </c>
      <c r="F5" s="685">
        <v>0</v>
      </c>
      <c r="G5" s="686">
        <v>1</v>
      </c>
      <c r="H5" s="686">
        <v>0</v>
      </c>
      <c r="I5" s="686">
        <v>0</v>
      </c>
      <c r="J5" s="688">
        <f t="shared" si="3"/>
        <v>0.0115218434949592</v>
      </c>
      <c r="K5" s="902">
        <v>1.34</v>
      </c>
      <c r="L5" s="686">
        <v>0</v>
      </c>
      <c r="M5" s="688">
        <v>0</v>
      </c>
      <c r="N5" s="685" t="e">
        <f t="shared" si="0"/>
        <v>#DIV/0!</v>
      </c>
      <c r="O5" s="685" t="e">
        <f t="shared" si="1"/>
        <v>#DIV/0!</v>
      </c>
      <c r="P5" s="685">
        <f t="shared" si="2"/>
        <v>96.83</v>
      </c>
    </row>
    <row r="6" spans="1:19">
      <c r="A6" s="684">
        <v>44201</v>
      </c>
      <c r="B6" s="685">
        <v>123.41</v>
      </c>
      <c r="C6" s="690">
        <v>5251</v>
      </c>
      <c r="D6" s="686">
        <v>89</v>
      </c>
      <c r="E6" s="686">
        <v>0</v>
      </c>
      <c r="F6" s="685">
        <v>0</v>
      </c>
      <c r="G6" s="686">
        <v>1</v>
      </c>
      <c r="H6" s="686">
        <v>0</v>
      </c>
      <c r="I6" s="686">
        <v>0</v>
      </c>
      <c r="J6" s="688">
        <f t="shared" si="3"/>
        <v>0.0169491525423729</v>
      </c>
      <c r="K6" s="902">
        <v>1.39</v>
      </c>
      <c r="L6" s="686">
        <v>0</v>
      </c>
      <c r="M6" s="688">
        <v>0</v>
      </c>
      <c r="N6" s="685" t="e">
        <f t="shared" si="0"/>
        <v>#DIV/0!</v>
      </c>
      <c r="O6" s="685" t="e">
        <f t="shared" si="1"/>
        <v>#DIV/0!</v>
      </c>
      <c r="P6" s="685">
        <f t="shared" si="2"/>
        <v>123.41</v>
      </c>
    </row>
    <row r="7" spans="1:19">
      <c r="A7" s="684">
        <v>44202</v>
      </c>
      <c r="B7" s="685">
        <v>236.6</v>
      </c>
      <c r="C7" s="690">
        <v>3547</v>
      </c>
      <c r="D7" s="686">
        <v>132</v>
      </c>
      <c r="E7" s="686">
        <v>0</v>
      </c>
      <c r="F7" s="685">
        <v>0</v>
      </c>
      <c r="G7" s="686">
        <v>2</v>
      </c>
      <c r="H7" s="686">
        <v>1</v>
      </c>
      <c r="I7" s="686">
        <v>1</v>
      </c>
      <c r="J7" s="688">
        <f t="shared" si="3"/>
        <v>0.0372145475049337</v>
      </c>
      <c r="K7" s="902">
        <v>1.79</v>
      </c>
      <c r="L7" s="686">
        <v>0</v>
      </c>
      <c r="M7" s="688">
        <v>0</v>
      </c>
      <c r="N7" s="685" t="e">
        <f t="shared" si="0"/>
        <v>#DIV/0!</v>
      </c>
      <c r="O7" s="685" t="e">
        <f t="shared" si="1"/>
        <v>#DIV/0!</v>
      </c>
      <c r="P7" s="685">
        <f t="shared" si="2"/>
        <v>118.3</v>
      </c>
    </row>
    <row r="8" spans="1:19">
      <c r="A8" s="684">
        <v>44203</v>
      </c>
      <c r="B8" s="685">
        <v>300</v>
      </c>
      <c r="C8" s="690">
        <v>2606</v>
      </c>
      <c r="D8" s="686">
        <v>124</v>
      </c>
      <c r="E8" s="686">
        <v>0</v>
      </c>
      <c r="F8" s="685">
        <v>0</v>
      </c>
      <c r="G8" s="686">
        <v>1</v>
      </c>
      <c r="H8" s="686">
        <v>0</v>
      </c>
      <c r="I8" s="686">
        <v>0</v>
      </c>
      <c r="J8" s="688">
        <f t="shared" si="3"/>
        <v>0.0475825019186493</v>
      </c>
      <c r="K8" s="902">
        <v>2.42</v>
      </c>
      <c r="L8" s="686">
        <v>0</v>
      </c>
      <c r="M8" s="688">
        <v>0</v>
      </c>
      <c r="N8" s="685" t="e">
        <f t="shared" si="0"/>
        <v>#DIV/0!</v>
      </c>
      <c r="O8" s="685" t="e">
        <f t="shared" si="1"/>
        <v>#DIV/0!</v>
      </c>
      <c r="P8" s="685">
        <f t="shared" si="2"/>
        <v>300</v>
      </c>
    </row>
    <row r="9" spans="1:19">
      <c r="A9" s="684">
        <v>44204</v>
      </c>
      <c r="B9" s="685">
        <v>449.36</v>
      </c>
      <c r="C9" s="690">
        <v>6075</v>
      </c>
      <c r="D9" s="686">
        <v>195</v>
      </c>
      <c r="E9" s="686">
        <v>1</v>
      </c>
      <c r="F9" s="685">
        <v>200</v>
      </c>
      <c r="G9" s="686">
        <v>1</v>
      </c>
      <c r="H9" s="686">
        <v>0</v>
      </c>
      <c r="I9" s="686">
        <v>0</v>
      </c>
      <c r="J9" s="688">
        <f t="shared" si="3"/>
        <v>0.0320987654320988</v>
      </c>
      <c r="K9" s="902">
        <v>2.3</v>
      </c>
      <c r="L9" s="686">
        <v>0.45</v>
      </c>
      <c r="M9" s="688">
        <f t="shared" ref="M9:M15" si="4">E9/D9</f>
        <v>0.00512820512820513</v>
      </c>
      <c r="N9" s="685">
        <f t="shared" si="0"/>
        <v>200</v>
      </c>
      <c r="O9" s="685">
        <f t="shared" si="1"/>
        <v>449.36</v>
      </c>
      <c r="P9" s="685">
        <f t="shared" si="2"/>
        <v>449.36</v>
      </c>
    </row>
    <row r="10" spans="1:19">
      <c r="A10" s="684">
        <v>44205</v>
      </c>
      <c r="B10" s="685">
        <v>415.34</v>
      </c>
      <c r="C10" s="690">
        <v>7328</v>
      </c>
      <c r="D10" s="686">
        <v>234</v>
      </c>
      <c r="E10" s="686">
        <v>0</v>
      </c>
      <c r="F10" s="685">
        <v>0</v>
      </c>
      <c r="G10" s="686">
        <v>5</v>
      </c>
      <c r="H10" s="686">
        <v>1</v>
      </c>
      <c r="I10" s="686">
        <v>0</v>
      </c>
      <c r="J10" s="688">
        <f t="shared" si="3"/>
        <v>0.0319323144104803</v>
      </c>
      <c r="K10" s="902">
        <v>1.77</v>
      </c>
      <c r="L10" s="686">
        <v>0</v>
      </c>
      <c r="M10" s="688">
        <f t="shared" si="4"/>
        <v>0</v>
      </c>
      <c r="N10" s="685" t="e">
        <f t="shared" si="0"/>
        <v>#DIV/0!</v>
      </c>
      <c r="O10" s="685" t="e">
        <f t="shared" si="1"/>
        <v>#DIV/0!</v>
      </c>
      <c r="P10" s="685">
        <f t="shared" si="2"/>
        <v>83.068</v>
      </c>
    </row>
    <row r="11" ht="14.65" customHeight="1" spans="1:19">
      <c r="A11" s="684">
        <v>44206</v>
      </c>
      <c r="B11" s="685">
        <v>450</v>
      </c>
      <c r="C11" s="690">
        <v>8236</v>
      </c>
      <c r="D11" s="686">
        <v>277</v>
      </c>
      <c r="E11" s="686">
        <v>0</v>
      </c>
      <c r="F11" s="685">
        <v>0</v>
      </c>
      <c r="G11" s="686">
        <v>2</v>
      </c>
      <c r="H11" s="686">
        <v>2</v>
      </c>
      <c r="I11" s="686">
        <v>0</v>
      </c>
      <c r="J11" s="688">
        <f t="shared" si="3"/>
        <v>0.0336328314715882</v>
      </c>
      <c r="K11" s="902">
        <v>1.62</v>
      </c>
      <c r="L11" s="686">
        <v>0</v>
      </c>
      <c r="M11" s="688">
        <f t="shared" si="4"/>
        <v>0</v>
      </c>
      <c r="N11" s="685" t="e">
        <f t="shared" si="0"/>
        <v>#DIV/0!</v>
      </c>
      <c r="O11" s="685" t="e">
        <f t="shared" si="1"/>
        <v>#DIV/0!</v>
      </c>
      <c r="P11" s="685">
        <f t="shared" si="2"/>
        <v>225</v>
      </c>
    </row>
    <row r="12" spans="1:19">
      <c r="A12" s="684">
        <v>44207</v>
      </c>
      <c r="B12" s="685">
        <v>436.22</v>
      </c>
      <c r="C12" s="690">
        <v>16851</v>
      </c>
      <c r="D12" s="686">
        <v>297</v>
      </c>
      <c r="E12" s="686">
        <v>0</v>
      </c>
      <c r="F12" s="685">
        <v>0</v>
      </c>
      <c r="G12" s="686">
        <v>5</v>
      </c>
      <c r="H12" s="686">
        <v>3</v>
      </c>
      <c r="I12" s="686">
        <v>1</v>
      </c>
      <c r="J12" s="688">
        <f t="shared" si="3"/>
        <v>0.0176250667616165</v>
      </c>
      <c r="K12" s="902">
        <v>1.47</v>
      </c>
      <c r="L12" s="686">
        <v>0</v>
      </c>
      <c r="M12" s="688">
        <f t="shared" si="4"/>
        <v>0</v>
      </c>
      <c r="N12" s="685" t="e">
        <f t="shared" si="0"/>
        <v>#DIV/0!</v>
      </c>
      <c r="O12" s="685" t="e">
        <f t="shared" si="1"/>
        <v>#DIV/0!</v>
      </c>
      <c r="P12" s="685">
        <f t="shared" si="2"/>
        <v>87.244</v>
      </c>
    </row>
    <row r="13" spans="1:19">
      <c r="A13" s="684">
        <v>44208</v>
      </c>
      <c r="B13" s="670">
        <v>333.5</v>
      </c>
      <c r="C13" s="38">
        <v>19534</v>
      </c>
      <c r="D13" s="938">
        <v>222</v>
      </c>
      <c r="E13" s="686">
        <v>0</v>
      </c>
      <c r="F13" s="685">
        <v>0</v>
      </c>
      <c r="G13" s="938">
        <v>2</v>
      </c>
      <c r="H13" s="938">
        <v>3</v>
      </c>
      <c r="I13" s="938">
        <v>1</v>
      </c>
      <c r="J13" s="672">
        <f t="shared" ref="J13:J31" si="5">D13/C13</f>
        <v>0.0113647998361831</v>
      </c>
      <c r="K13" s="939">
        <v>1.95</v>
      </c>
      <c r="L13" s="686">
        <v>0</v>
      </c>
      <c r="M13" s="688">
        <f t="shared" si="4"/>
        <v>0</v>
      </c>
      <c r="N13" s="685" t="e">
        <f t="shared" si="0"/>
        <v>#DIV/0!</v>
      </c>
      <c r="O13" s="685" t="e">
        <f t="shared" si="1"/>
        <v>#DIV/0!</v>
      </c>
      <c r="P13" s="670">
        <f t="shared" si="2"/>
        <v>166.75</v>
      </c>
    </row>
    <row r="14" spans="1:19">
      <c r="A14" s="684">
        <v>44209</v>
      </c>
      <c r="B14" s="670">
        <v>150</v>
      </c>
      <c r="C14" s="38">
        <v>6603</v>
      </c>
      <c r="D14" s="938">
        <v>77</v>
      </c>
      <c r="E14" s="686">
        <v>0</v>
      </c>
      <c r="F14" s="685">
        <v>0</v>
      </c>
      <c r="G14" s="938">
        <v>1</v>
      </c>
      <c r="H14" s="938">
        <v>1</v>
      </c>
      <c r="I14" s="938">
        <v>0</v>
      </c>
      <c r="J14" s="672">
        <f t="shared" si="5"/>
        <v>0.0116613660457368</v>
      </c>
      <c r="K14" s="939">
        <v>1.5</v>
      </c>
      <c r="L14" s="686">
        <v>0</v>
      </c>
      <c r="M14" s="688">
        <f t="shared" si="4"/>
        <v>0</v>
      </c>
      <c r="N14" s="685" t="e">
        <f t="shared" ref="N14:N26" si="6">F14/E14</f>
        <v>#DIV/0!</v>
      </c>
      <c r="O14" s="685" t="e">
        <f t="shared" ref="O14:O31" si="7">B14/E14</f>
        <v>#DIV/0!</v>
      </c>
      <c r="P14" s="670">
        <f t="shared" ref="P14:P19" si="8">B14/G14</f>
        <v>150</v>
      </c>
    </row>
    <row r="15" spans="1:19">
      <c r="A15" s="684">
        <v>44210</v>
      </c>
      <c r="B15" s="670">
        <v>150</v>
      </c>
      <c r="C15" s="38">
        <v>6592</v>
      </c>
      <c r="D15" s="938">
        <v>71</v>
      </c>
      <c r="E15" s="938">
        <v>0</v>
      </c>
      <c r="F15" s="670">
        <v>0</v>
      </c>
      <c r="G15" s="938">
        <v>1</v>
      </c>
      <c r="H15" s="938">
        <v>0</v>
      </c>
      <c r="I15" s="938">
        <v>1</v>
      </c>
      <c r="J15" s="672">
        <f t="shared" si="5"/>
        <v>0.0107706310679612</v>
      </c>
      <c r="K15" s="939">
        <v>2.11</v>
      </c>
      <c r="L15" s="938">
        <v>0</v>
      </c>
      <c r="M15" s="672">
        <f t="shared" si="4"/>
        <v>0</v>
      </c>
      <c r="N15" s="670" t="e">
        <f t="shared" si="6"/>
        <v>#DIV/0!</v>
      </c>
      <c r="O15" s="670" t="e">
        <f t="shared" si="7"/>
        <v>#DIV/0!</v>
      </c>
      <c r="P15" s="670">
        <f t="shared" si="8"/>
        <v>150</v>
      </c>
    </row>
    <row r="16" spans="1:19">
      <c r="A16" s="684">
        <v>44211</v>
      </c>
      <c r="B16" s="670">
        <v>300</v>
      </c>
      <c r="C16" s="38">
        <v>12239</v>
      </c>
      <c r="D16" s="938">
        <v>152</v>
      </c>
      <c r="E16" s="37">
        <v>0</v>
      </c>
      <c r="F16" s="670">
        <v>0</v>
      </c>
      <c r="G16" s="938">
        <v>1</v>
      </c>
      <c r="H16" s="938">
        <v>0</v>
      </c>
      <c r="I16" s="938">
        <v>0</v>
      </c>
      <c r="J16" s="672">
        <f t="shared" si="5"/>
        <v>0.0124193153035379</v>
      </c>
      <c r="K16" s="939">
        <v>1.97</v>
      </c>
      <c r="L16" s="938">
        <v>0</v>
      </c>
      <c r="M16" s="672">
        <v>0</v>
      </c>
      <c r="N16" s="670" t="e">
        <f t="shared" si="6"/>
        <v>#DIV/0!</v>
      </c>
      <c r="O16" s="670" t="e">
        <f t="shared" si="7"/>
        <v>#DIV/0!</v>
      </c>
      <c r="P16" s="670">
        <f t="shared" si="8"/>
        <v>300</v>
      </c>
    </row>
    <row r="17" spans="1:16">
      <c r="A17" s="684">
        <v>44212</v>
      </c>
      <c r="B17" s="670">
        <v>300</v>
      </c>
      <c r="C17" s="38">
        <v>8888</v>
      </c>
      <c r="D17" s="938">
        <v>159</v>
      </c>
      <c r="E17" s="37">
        <v>0</v>
      </c>
      <c r="F17" s="670">
        <v>0</v>
      </c>
      <c r="G17" s="938">
        <v>5</v>
      </c>
      <c r="H17" s="938">
        <v>0</v>
      </c>
      <c r="I17" s="938">
        <v>0</v>
      </c>
      <c r="J17" s="672">
        <f t="shared" si="5"/>
        <v>0.0178892889288929</v>
      </c>
      <c r="K17" s="939">
        <v>1.89</v>
      </c>
      <c r="L17" s="940">
        <v>0</v>
      </c>
      <c r="M17" s="672">
        <v>0</v>
      </c>
      <c r="N17" s="670" t="e">
        <f t="shared" si="6"/>
        <v>#DIV/0!</v>
      </c>
      <c r="O17" s="670" t="e">
        <f t="shared" si="7"/>
        <v>#DIV/0!</v>
      </c>
      <c r="P17" s="670">
        <f t="shared" si="8"/>
        <v>60</v>
      </c>
    </row>
    <row r="18" spans="1:16">
      <c r="A18" s="684">
        <v>44213</v>
      </c>
      <c r="B18" s="670">
        <v>300</v>
      </c>
      <c r="C18" s="38">
        <v>13642</v>
      </c>
      <c r="D18" s="938">
        <v>216</v>
      </c>
      <c r="E18" s="37">
        <v>0</v>
      </c>
      <c r="F18" s="670">
        <v>0</v>
      </c>
      <c r="G18" s="938">
        <v>3</v>
      </c>
      <c r="H18" s="37">
        <v>1</v>
      </c>
      <c r="I18" s="938">
        <v>0</v>
      </c>
      <c r="J18" s="672">
        <f t="shared" si="5"/>
        <v>0.0158334555050579</v>
      </c>
      <c r="K18" s="939">
        <v>1.39</v>
      </c>
      <c r="L18" s="941">
        <v>0</v>
      </c>
      <c r="M18" s="672">
        <v>0</v>
      </c>
      <c r="N18" s="670" t="e">
        <f t="shared" si="6"/>
        <v>#DIV/0!</v>
      </c>
      <c r="O18" s="670" t="e">
        <f t="shared" si="7"/>
        <v>#DIV/0!</v>
      </c>
      <c r="P18" s="670">
        <f t="shared" si="8"/>
        <v>100</v>
      </c>
    </row>
    <row r="19" spans="1:16">
      <c r="A19" s="684">
        <v>44214</v>
      </c>
      <c r="B19" s="670">
        <v>300</v>
      </c>
      <c r="C19" s="38">
        <v>15538</v>
      </c>
      <c r="D19" s="938">
        <v>203</v>
      </c>
      <c r="E19" s="37">
        <v>0</v>
      </c>
      <c r="F19" s="670">
        <v>0</v>
      </c>
      <c r="G19" s="938">
        <v>3</v>
      </c>
      <c r="H19" s="37">
        <v>0</v>
      </c>
      <c r="I19" s="938">
        <v>0</v>
      </c>
      <c r="J19" s="672">
        <f t="shared" si="5"/>
        <v>0.0130647444973613</v>
      </c>
      <c r="K19" s="911">
        <f>B19/D19</f>
        <v>1.47783251231527</v>
      </c>
      <c r="L19" s="37">
        <f>F19/B19</f>
        <v>0</v>
      </c>
      <c r="M19" s="672">
        <f>E19/D19</f>
        <v>0</v>
      </c>
      <c r="N19" s="670" t="e">
        <f t="shared" si="6"/>
        <v>#DIV/0!</v>
      </c>
      <c r="O19" s="670" t="e">
        <f t="shared" si="7"/>
        <v>#DIV/0!</v>
      </c>
      <c r="P19" s="670">
        <f t="shared" si="8"/>
        <v>100</v>
      </c>
    </row>
    <row r="20" spans="1:16">
      <c r="A20" s="684">
        <v>44215</v>
      </c>
      <c r="B20" s="670">
        <v>300</v>
      </c>
      <c r="C20" s="38">
        <v>16331</v>
      </c>
      <c r="D20" s="938">
        <v>141</v>
      </c>
      <c r="E20" s="37">
        <v>0</v>
      </c>
      <c r="F20" s="670">
        <v>0</v>
      </c>
      <c r="G20" s="938">
        <v>0</v>
      </c>
      <c r="H20" s="37">
        <v>2</v>
      </c>
      <c r="I20" s="37">
        <v>1</v>
      </c>
      <c r="J20" s="672">
        <f t="shared" si="5"/>
        <v>0.00863388647357786</v>
      </c>
      <c r="K20" s="911">
        <f t="shared" ref="K20:K31" si="9">B20/D20</f>
        <v>2.12765957446808</v>
      </c>
      <c r="L20" s="37">
        <f t="shared" ref="L20:L31" si="10">F20/B20</f>
        <v>0</v>
      </c>
      <c r="M20" s="672">
        <f t="shared" ref="M20:M26" si="11">E20/D20</f>
        <v>0</v>
      </c>
      <c r="N20" s="670" t="e">
        <f t="shared" si="6"/>
        <v>#DIV/0!</v>
      </c>
      <c r="O20" s="670" t="e">
        <f t="shared" si="7"/>
        <v>#DIV/0!</v>
      </c>
      <c r="P20" s="670" t="e">
        <f t="shared" ref="P20:P26" si="12">B20/G20</f>
        <v>#DIV/0!</v>
      </c>
    </row>
    <row r="21" spans="1:16">
      <c r="A21" s="684">
        <v>44216</v>
      </c>
      <c r="B21" s="670">
        <v>300</v>
      </c>
      <c r="C21" s="38">
        <v>16383</v>
      </c>
      <c r="D21" s="938">
        <v>155</v>
      </c>
      <c r="E21" s="37">
        <v>0</v>
      </c>
      <c r="F21" s="670">
        <v>0</v>
      </c>
      <c r="G21" s="37">
        <v>3</v>
      </c>
      <c r="H21" s="37">
        <v>1</v>
      </c>
      <c r="I21" s="37">
        <v>1</v>
      </c>
      <c r="J21" s="672">
        <f t="shared" si="5"/>
        <v>0.00946102667399133</v>
      </c>
      <c r="K21" s="911">
        <f t="shared" si="9"/>
        <v>1.93548387096774</v>
      </c>
      <c r="L21" s="37">
        <f t="shared" si="10"/>
        <v>0</v>
      </c>
      <c r="M21" s="672">
        <f t="shared" si="11"/>
        <v>0</v>
      </c>
      <c r="N21" s="670" t="e">
        <f t="shared" si="6"/>
        <v>#DIV/0!</v>
      </c>
      <c r="O21" s="670" t="e">
        <f t="shared" si="7"/>
        <v>#DIV/0!</v>
      </c>
      <c r="P21" s="670">
        <f t="shared" si="12"/>
        <v>100</v>
      </c>
    </row>
    <row r="22" spans="1:16">
      <c r="A22" s="684">
        <v>44217</v>
      </c>
      <c r="B22" s="670">
        <v>296.95</v>
      </c>
      <c r="C22" s="38">
        <v>18441</v>
      </c>
      <c r="D22" s="938">
        <v>173</v>
      </c>
      <c r="E22" s="37">
        <v>0</v>
      </c>
      <c r="F22" s="670">
        <v>0</v>
      </c>
      <c r="G22" s="37">
        <v>0</v>
      </c>
      <c r="H22" s="37">
        <v>0</v>
      </c>
      <c r="I22" s="37">
        <v>0</v>
      </c>
      <c r="J22" s="672">
        <f t="shared" si="5"/>
        <v>0.00938126999620411</v>
      </c>
      <c r="K22" s="911">
        <f t="shared" si="9"/>
        <v>1.71647398843931</v>
      </c>
      <c r="L22" s="37">
        <f t="shared" si="10"/>
        <v>0</v>
      </c>
      <c r="M22" s="672">
        <f t="shared" si="11"/>
        <v>0</v>
      </c>
      <c r="N22" s="670" t="e">
        <f t="shared" si="6"/>
        <v>#DIV/0!</v>
      </c>
      <c r="O22" s="670" t="e">
        <f t="shared" si="7"/>
        <v>#DIV/0!</v>
      </c>
      <c r="P22" s="670" t="e">
        <f t="shared" si="12"/>
        <v>#DIV/0!</v>
      </c>
    </row>
    <row r="23" spans="1:16">
      <c r="A23" s="684">
        <v>44218</v>
      </c>
      <c r="B23" s="670">
        <v>257.3</v>
      </c>
      <c r="C23" s="38">
        <v>13320</v>
      </c>
      <c r="D23" s="938">
        <v>213</v>
      </c>
      <c r="E23" s="37">
        <v>0</v>
      </c>
      <c r="F23" s="670">
        <v>0</v>
      </c>
      <c r="G23" s="37">
        <v>4</v>
      </c>
      <c r="H23" s="37">
        <v>0</v>
      </c>
      <c r="I23" s="37">
        <v>0</v>
      </c>
      <c r="J23" s="672">
        <f t="shared" si="5"/>
        <v>0.015990990990991</v>
      </c>
      <c r="K23" s="911">
        <f t="shared" si="9"/>
        <v>1.20798122065728</v>
      </c>
      <c r="L23" s="37">
        <f t="shared" si="10"/>
        <v>0</v>
      </c>
      <c r="M23" s="672">
        <f t="shared" si="11"/>
        <v>0</v>
      </c>
      <c r="N23" s="670" t="e">
        <f t="shared" si="6"/>
        <v>#DIV/0!</v>
      </c>
      <c r="O23" s="670" t="e">
        <f t="shared" si="7"/>
        <v>#DIV/0!</v>
      </c>
      <c r="P23" s="670">
        <f t="shared" si="12"/>
        <v>64.325</v>
      </c>
    </row>
    <row r="24" spans="1:16">
      <c r="A24" s="684">
        <v>44219</v>
      </c>
      <c r="B24" s="670">
        <v>271.28</v>
      </c>
      <c r="C24" s="38">
        <v>14263</v>
      </c>
      <c r="D24" s="938">
        <v>237</v>
      </c>
      <c r="E24" s="37">
        <v>0</v>
      </c>
      <c r="F24" s="670">
        <v>0</v>
      </c>
      <c r="G24" s="37">
        <v>3</v>
      </c>
      <c r="H24" s="37">
        <v>0</v>
      </c>
      <c r="I24" s="37">
        <v>0</v>
      </c>
      <c r="J24" s="672">
        <f t="shared" si="5"/>
        <v>0.0166164201079717</v>
      </c>
      <c r="K24" s="911">
        <f t="shared" si="9"/>
        <v>1.14464135021097</v>
      </c>
      <c r="L24" s="37">
        <f t="shared" si="10"/>
        <v>0</v>
      </c>
      <c r="M24" s="672">
        <f t="shared" si="11"/>
        <v>0</v>
      </c>
      <c r="N24" s="670" t="e">
        <f t="shared" si="6"/>
        <v>#DIV/0!</v>
      </c>
      <c r="O24" s="670" t="e">
        <f t="shared" si="7"/>
        <v>#DIV/0!</v>
      </c>
      <c r="P24" s="670">
        <f t="shared" si="12"/>
        <v>90.4266666666667</v>
      </c>
    </row>
    <row r="25" spans="1:16">
      <c r="A25" s="684">
        <v>44220</v>
      </c>
      <c r="B25" s="670">
        <v>200.22</v>
      </c>
      <c r="C25" s="38">
        <v>8266</v>
      </c>
      <c r="D25" s="938">
        <v>167</v>
      </c>
      <c r="E25" s="37">
        <v>0</v>
      </c>
      <c r="F25" s="670">
        <v>0</v>
      </c>
      <c r="G25" s="37">
        <v>2</v>
      </c>
      <c r="H25" s="37">
        <v>0</v>
      </c>
      <c r="I25" s="37">
        <v>0</v>
      </c>
      <c r="J25" s="672">
        <f t="shared" si="5"/>
        <v>0.0202032421969514</v>
      </c>
      <c r="K25" s="911">
        <f t="shared" si="9"/>
        <v>1.19892215568862</v>
      </c>
      <c r="L25" s="37">
        <f t="shared" si="10"/>
        <v>0</v>
      </c>
      <c r="M25" s="672">
        <f t="shared" si="11"/>
        <v>0</v>
      </c>
      <c r="N25" s="670" t="e">
        <f t="shared" si="6"/>
        <v>#DIV/0!</v>
      </c>
      <c r="O25" s="670" t="e">
        <f t="shared" si="7"/>
        <v>#DIV/0!</v>
      </c>
      <c r="P25" s="670">
        <f t="shared" si="12"/>
        <v>100.11</v>
      </c>
    </row>
    <row r="26" spans="1:16">
      <c r="A26" s="684">
        <v>44221</v>
      </c>
      <c r="B26" s="670">
        <v>0</v>
      </c>
      <c r="C26" s="38">
        <v>2</v>
      </c>
      <c r="D26" s="938">
        <v>0</v>
      </c>
      <c r="E26" s="37">
        <v>0</v>
      </c>
      <c r="F26" s="670">
        <v>0</v>
      </c>
      <c r="G26" s="37">
        <v>0</v>
      </c>
      <c r="H26" s="37">
        <v>0</v>
      </c>
      <c r="I26" s="37">
        <v>0</v>
      </c>
      <c r="J26" s="672">
        <f t="shared" si="5"/>
        <v>0</v>
      </c>
      <c r="K26" s="670">
        <v>0</v>
      </c>
      <c r="L26" s="41" t="e">
        <f t="shared" si="10"/>
        <v>#DIV/0!</v>
      </c>
      <c r="M26" s="672" t="e">
        <f t="shared" si="11"/>
        <v>#DIV/0!</v>
      </c>
      <c r="N26" s="670" t="e">
        <f t="shared" si="6"/>
        <v>#DIV/0!</v>
      </c>
      <c r="O26" s="670" t="e">
        <f t="shared" si="7"/>
        <v>#DIV/0!</v>
      </c>
      <c r="P26" s="670" t="e">
        <f t="shared" si="12"/>
        <v>#DIV/0!</v>
      </c>
    </row>
    <row r="27" spans="1:16">
      <c r="A27" s="684">
        <v>44222</v>
      </c>
      <c r="B27" s="670">
        <v>0</v>
      </c>
      <c r="C27" s="38">
        <v>0</v>
      </c>
      <c r="D27" s="938">
        <v>0</v>
      </c>
      <c r="E27" s="37">
        <v>0</v>
      </c>
      <c r="F27" s="670">
        <v>0</v>
      </c>
      <c r="G27" s="37">
        <v>0</v>
      </c>
      <c r="H27" s="37">
        <v>0</v>
      </c>
      <c r="I27" s="37">
        <v>0</v>
      </c>
      <c r="J27" s="672" t="e">
        <f t="shared" si="5"/>
        <v>#DIV/0!</v>
      </c>
      <c r="K27" s="670">
        <v>0</v>
      </c>
      <c r="L27" s="41" t="e">
        <f t="shared" si="10"/>
        <v>#DIV/0!</v>
      </c>
      <c r="M27" s="672" t="e">
        <f t="shared" ref="M27:N31" si="13">E27/D27</f>
        <v>#DIV/0!</v>
      </c>
      <c r="N27" s="670" t="e">
        <f t="shared" si="13"/>
        <v>#DIV/0!</v>
      </c>
      <c r="O27" s="670" t="e">
        <f t="shared" si="7"/>
        <v>#DIV/0!</v>
      </c>
      <c r="P27" s="670" t="e">
        <f t="shared" ref="P27:P33" si="14">B27/G27</f>
        <v>#DIV/0!</v>
      </c>
    </row>
    <row r="28" spans="1:16">
      <c r="A28" s="684">
        <v>44223</v>
      </c>
      <c r="B28" s="670">
        <v>0</v>
      </c>
      <c r="C28" s="38">
        <v>0</v>
      </c>
      <c r="D28" s="938">
        <v>0</v>
      </c>
      <c r="E28" s="37">
        <v>0</v>
      </c>
      <c r="F28" s="670">
        <v>0</v>
      </c>
      <c r="G28" s="37">
        <v>0</v>
      </c>
      <c r="H28" s="37">
        <v>0</v>
      </c>
      <c r="I28" s="37">
        <v>0</v>
      </c>
      <c r="J28" s="672" t="e">
        <f t="shared" si="5"/>
        <v>#DIV/0!</v>
      </c>
      <c r="K28" s="670">
        <v>0</v>
      </c>
      <c r="L28" s="41" t="e">
        <f t="shared" si="10"/>
        <v>#DIV/0!</v>
      </c>
      <c r="M28" s="672" t="e">
        <f t="shared" si="13"/>
        <v>#DIV/0!</v>
      </c>
      <c r="N28" s="670" t="e">
        <f t="shared" si="13"/>
        <v>#DIV/0!</v>
      </c>
      <c r="O28" s="670" t="e">
        <f t="shared" si="7"/>
        <v>#DIV/0!</v>
      </c>
      <c r="P28" s="670" t="e">
        <f t="shared" si="14"/>
        <v>#DIV/0!</v>
      </c>
    </row>
    <row r="29" spans="1:16">
      <c r="A29" s="684">
        <v>44224</v>
      </c>
      <c r="B29" s="670">
        <v>276.73</v>
      </c>
      <c r="C29" s="38">
        <v>16117</v>
      </c>
      <c r="D29" s="938">
        <v>177</v>
      </c>
      <c r="E29" s="37">
        <v>0</v>
      </c>
      <c r="F29" s="670">
        <v>0</v>
      </c>
      <c r="G29" s="37">
        <v>0</v>
      </c>
      <c r="H29" s="37">
        <v>0</v>
      </c>
      <c r="I29" s="37">
        <v>0</v>
      </c>
      <c r="J29" s="672">
        <f t="shared" si="5"/>
        <v>0.010982192715766</v>
      </c>
      <c r="K29" s="670">
        <f t="shared" si="9"/>
        <v>1.56344632768362</v>
      </c>
      <c r="L29" s="41">
        <f t="shared" si="10"/>
        <v>0</v>
      </c>
      <c r="M29" s="672">
        <f t="shared" si="13"/>
        <v>0</v>
      </c>
      <c r="N29" s="670" t="e">
        <f t="shared" si="13"/>
        <v>#DIV/0!</v>
      </c>
      <c r="O29" s="670" t="e">
        <f t="shared" si="7"/>
        <v>#DIV/0!</v>
      </c>
      <c r="P29" s="670" t="e">
        <f t="shared" si="14"/>
        <v>#DIV/0!</v>
      </c>
    </row>
    <row r="30" spans="1:16">
      <c r="A30" s="684">
        <v>44225</v>
      </c>
      <c r="B30" s="670">
        <v>300</v>
      </c>
      <c r="C30" s="38">
        <v>15678</v>
      </c>
      <c r="D30" s="938">
        <v>129</v>
      </c>
      <c r="E30" s="37">
        <v>0</v>
      </c>
      <c r="F30" s="670">
        <v>0</v>
      </c>
      <c r="G30" s="37">
        <v>2</v>
      </c>
      <c r="H30" s="37">
        <v>0</v>
      </c>
      <c r="I30" s="37">
        <v>1</v>
      </c>
      <c r="J30" s="672">
        <f t="shared" si="5"/>
        <v>0.00822809031764256</v>
      </c>
      <c r="K30" s="670">
        <f t="shared" si="9"/>
        <v>2.32558139534884</v>
      </c>
      <c r="L30" s="41">
        <f t="shared" si="10"/>
        <v>0</v>
      </c>
      <c r="M30" s="672">
        <f t="shared" si="13"/>
        <v>0</v>
      </c>
      <c r="N30" s="670" t="e">
        <f t="shared" si="13"/>
        <v>#DIV/0!</v>
      </c>
      <c r="O30" s="670" t="e">
        <f t="shared" si="7"/>
        <v>#DIV/0!</v>
      </c>
      <c r="P30" s="670">
        <f t="shared" si="14"/>
        <v>150</v>
      </c>
    </row>
    <row r="31" spans="1:16">
      <c r="A31" s="684">
        <v>44226</v>
      </c>
      <c r="B31" s="670">
        <v>94.91</v>
      </c>
      <c r="C31" s="38">
        <v>6764</v>
      </c>
      <c r="D31" s="938">
        <v>69</v>
      </c>
      <c r="E31" s="37">
        <v>0</v>
      </c>
      <c r="F31" s="670">
        <v>0</v>
      </c>
      <c r="G31" s="37">
        <v>0</v>
      </c>
      <c r="H31" s="37">
        <v>0</v>
      </c>
      <c r="I31" s="37">
        <v>0</v>
      </c>
      <c r="J31" s="672">
        <f t="shared" si="5"/>
        <v>0.0102010644589001</v>
      </c>
      <c r="K31" s="670">
        <f t="shared" si="9"/>
        <v>1.37550724637681</v>
      </c>
      <c r="L31" s="41">
        <f t="shared" si="10"/>
        <v>0</v>
      </c>
      <c r="M31" s="672">
        <f t="shared" si="13"/>
        <v>0</v>
      </c>
      <c r="N31" s="670" t="e">
        <f t="shared" si="13"/>
        <v>#DIV/0!</v>
      </c>
      <c r="O31" s="670" t="e">
        <f t="shared" si="7"/>
        <v>#DIV/0!</v>
      </c>
      <c r="P31" s="670" t="e">
        <f t="shared" si="14"/>
        <v>#DIV/0!</v>
      </c>
    </row>
    <row r="32" spans="1:16">
      <c r="A32" s="684">
        <v>44227</v>
      </c>
      <c r="B32" s="670">
        <v>0</v>
      </c>
      <c r="C32" s="38">
        <v>0</v>
      </c>
      <c r="D32" s="938">
        <v>0</v>
      </c>
      <c r="E32" s="37">
        <v>0</v>
      </c>
      <c r="F32" s="670">
        <v>0</v>
      </c>
      <c r="G32" s="37">
        <v>0</v>
      </c>
      <c r="H32" s="37">
        <v>0</v>
      </c>
      <c r="I32" s="37">
        <v>0</v>
      </c>
      <c r="J32" s="672" t="e">
        <f t="shared" ref="J32:J81" si="15">D32/C32</f>
        <v>#DIV/0!</v>
      </c>
      <c r="K32" s="670">
        <v>0</v>
      </c>
      <c r="L32" s="41" t="e">
        <f t="shared" ref="L32:L96" si="16">F32/B32</f>
        <v>#DIV/0!</v>
      </c>
      <c r="M32" s="672" t="e">
        <f t="shared" ref="M32:M96" si="17">E32/D32</f>
        <v>#DIV/0!</v>
      </c>
      <c r="N32" s="670" t="e">
        <f t="shared" ref="N32:N96" si="18">F32/E32</f>
        <v>#DIV/0!</v>
      </c>
      <c r="O32" s="670" t="e">
        <f t="shared" ref="O32:O96" si="19">B32/E32</f>
        <v>#DIV/0!</v>
      </c>
      <c r="P32" s="670" t="e">
        <f t="shared" si="14"/>
        <v>#DIV/0!</v>
      </c>
    </row>
    <row r="33" spans="1:16">
      <c r="A33" s="684">
        <f t="shared" ref="A33:A49" si="20">A32+1</f>
        <v>44228</v>
      </c>
      <c r="B33" s="685">
        <v>188.02</v>
      </c>
      <c r="C33" s="690">
        <v>7543</v>
      </c>
      <c r="D33" s="686">
        <v>131</v>
      </c>
      <c r="E33" s="686">
        <v>0</v>
      </c>
      <c r="F33" s="685">
        <v>0</v>
      </c>
      <c r="G33" s="686">
        <v>2</v>
      </c>
      <c r="H33" s="686">
        <v>0</v>
      </c>
      <c r="I33" s="686">
        <v>0</v>
      </c>
      <c r="J33" s="672">
        <f t="shared" si="15"/>
        <v>0.0173670953201644</v>
      </c>
      <c r="K33" s="670">
        <f t="shared" ref="K33:K81" si="21">B33/D33</f>
        <v>1.43526717557252</v>
      </c>
      <c r="L33" s="942">
        <f t="shared" si="16"/>
        <v>0</v>
      </c>
      <c r="M33" s="672">
        <f t="shared" si="17"/>
        <v>0</v>
      </c>
      <c r="N33" s="670" t="e">
        <f t="shared" si="18"/>
        <v>#DIV/0!</v>
      </c>
      <c r="O33" s="670" t="e">
        <f t="shared" si="19"/>
        <v>#DIV/0!</v>
      </c>
      <c r="P33" s="685">
        <f t="shared" si="14"/>
        <v>94.01</v>
      </c>
    </row>
    <row r="34" spans="1:16">
      <c r="A34" s="684">
        <f t="shared" si="20"/>
        <v>44229</v>
      </c>
      <c r="B34" s="685">
        <v>300</v>
      </c>
      <c r="C34" s="690">
        <v>12623</v>
      </c>
      <c r="D34" s="686">
        <v>188</v>
      </c>
      <c r="E34" s="686">
        <v>0</v>
      </c>
      <c r="F34" s="685">
        <v>0</v>
      </c>
      <c r="G34" s="686">
        <v>3</v>
      </c>
      <c r="H34" s="686">
        <v>4</v>
      </c>
      <c r="I34" s="686">
        <v>1</v>
      </c>
      <c r="J34" s="672">
        <f t="shared" si="15"/>
        <v>0.0148934484670839</v>
      </c>
      <c r="K34" s="670">
        <f t="shared" si="21"/>
        <v>1.59574468085106</v>
      </c>
      <c r="L34" s="942">
        <f t="shared" si="16"/>
        <v>0</v>
      </c>
      <c r="M34" s="672">
        <f t="shared" si="17"/>
        <v>0</v>
      </c>
      <c r="N34" s="670" t="e">
        <f t="shared" si="18"/>
        <v>#DIV/0!</v>
      </c>
      <c r="O34" s="670" t="e">
        <f t="shared" si="19"/>
        <v>#DIV/0!</v>
      </c>
      <c r="P34" s="685">
        <f t="shared" ref="P34:P68" si="22">B34/G34</f>
        <v>100</v>
      </c>
    </row>
    <row r="35" spans="1:16">
      <c r="A35" s="684">
        <f t="shared" si="20"/>
        <v>44230</v>
      </c>
      <c r="B35" s="685">
        <v>300</v>
      </c>
      <c r="C35" s="690">
        <v>12677</v>
      </c>
      <c r="D35" s="686">
        <v>175</v>
      </c>
      <c r="E35" s="686">
        <v>0</v>
      </c>
      <c r="F35" s="685">
        <v>0</v>
      </c>
      <c r="G35" s="686">
        <v>1</v>
      </c>
      <c r="H35" s="686">
        <v>1</v>
      </c>
      <c r="I35" s="686">
        <v>1</v>
      </c>
      <c r="J35" s="672">
        <f t="shared" si="15"/>
        <v>0.0138045278851463</v>
      </c>
      <c r="K35" s="670">
        <f t="shared" si="21"/>
        <v>1.71428571428571</v>
      </c>
      <c r="L35" s="942">
        <f t="shared" si="16"/>
        <v>0</v>
      </c>
      <c r="M35" s="672">
        <f t="shared" si="17"/>
        <v>0</v>
      </c>
      <c r="N35" s="670" t="e">
        <f t="shared" si="18"/>
        <v>#DIV/0!</v>
      </c>
      <c r="O35" s="670" t="e">
        <f t="shared" si="19"/>
        <v>#DIV/0!</v>
      </c>
      <c r="P35" s="685">
        <f t="shared" si="22"/>
        <v>300</v>
      </c>
    </row>
    <row r="36" spans="1:16">
      <c r="A36" s="684">
        <f t="shared" si="20"/>
        <v>44231</v>
      </c>
      <c r="B36" s="685">
        <v>300</v>
      </c>
      <c r="C36" s="690">
        <v>15785</v>
      </c>
      <c r="D36" s="686">
        <v>162</v>
      </c>
      <c r="E36" s="686">
        <v>0</v>
      </c>
      <c r="F36" s="685">
        <v>0</v>
      </c>
      <c r="G36" s="686">
        <v>2</v>
      </c>
      <c r="H36" s="686">
        <v>4</v>
      </c>
      <c r="I36" s="686">
        <v>1</v>
      </c>
      <c r="J36" s="672">
        <f t="shared" si="15"/>
        <v>0.0102629078238834</v>
      </c>
      <c r="K36" s="670">
        <f t="shared" si="21"/>
        <v>1.85185185185185</v>
      </c>
      <c r="L36" s="942">
        <f t="shared" si="16"/>
        <v>0</v>
      </c>
      <c r="M36" s="672">
        <f t="shared" si="17"/>
        <v>0</v>
      </c>
      <c r="N36" s="670" t="e">
        <f t="shared" si="18"/>
        <v>#DIV/0!</v>
      </c>
      <c r="O36" s="670" t="e">
        <f t="shared" si="19"/>
        <v>#DIV/0!</v>
      </c>
      <c r="P36" s="685">
        <f t="shared" si="22"/>
        <v>150</v>
      </c>
    </row>
    <row r="37" spans="1:16">
      <c r="A37" s="684">
        <f t="shared" si="20"/>
        <v>44232</v>
      </c>
      <c r="B37" s="685">
        <v>300</v>
      </c>
      <c r="C37" s="690">
        <v>15287</v>
      </c>
      <c r="D37" s="686">
        <v>152</v>
      </c>
      <c r="E37" s="686">
        <v>1</v>
      </c>
      <c r="F37" s="685">
        <v>6000</v>
      </c>
      <c r="G37" s="686">
        <v>3</v>
      </c>
      <c r="H37" s="686">
        <v>2</v>
      </c>
      <c r="I37" s="686">
        <v>0</v>
      </c>
      <c r="J37" s="672">
        <f t="shared" si="15"/>
        <v>0.00994308889906457</v>
      </c>
      <c r="K37" s="670">
        <f t="shared" si="21"/>
        <v>1.97368421052632</v>
      </c>
      <c r="L37" s="942">
        <f t="shared" si="16"/>
        <v>20</v>
      </c>
      <c r="M37" s="672">
        <f t="shared" si="17"/>
        <v>0.00657894736842105</v>
      </c>
      <c r="N37" s="670">
        <f t="shared" si="18"/>
        <v>6000</v>
      </c>
      <c r="O37" s="670">
        <f t="shared" si="19"/>
        <v>300</v>
      </c>
      <c r="P37" s="685">
        <f t="shared" si="22"/>
        <v>100</v>
      </c>
    </row>
    <row r="38" spans="1:16">
      <c r="A38" s="684">
        <f t="shared" si="20"/>
        <v>44233</v>
      </c>
      <c r="B38" s="685">
        <v>291.1</v>
      </c>
      <c r="C38" s="690">
        <v>16307</v>
      </c>
      <c r="D38" s="686">
        <v>148</v>
      </c>
      <c r="E38" s="686">
        <v>0</v>
      </c>
      <c r="F38" s="685">
        <v>0</v>
      </c>
      <c r="G38" s="686">
        <v>1</v>
      </c>
      <c r="H38" s="686">
        <v>0</v>
      </c>
      <c r="I38" s="686">
        <v>0</v>
      </c>
      <c r="J38" s="672">
        <f t="shared" si="15"/>
        <v>0.00907585699392899</v>
      </c>
      <c r="K38" s="670">
        <f t="shared" si="21"/>
        <v>1.96689189189189</v>
      </c>
      <c r="L38" s="942">
        <f t="shared" si="16"/>
        <v>0</v>
      </c>
      <c r="M38" s="672">
        <f t="shared" si="17"/>
        <v>0</v>
      </c>
      <c r="N38" s="670" t="e">
        <f t="shared" si="18"/>
        <v>#DIV/0!</v>
      </c>
      <c r="O38" s="670" t="e">
        <f t="shared" si="19"/>
        <v>#DIV/0!</v>
      </c>
      <c r="P38" s="685">
        <f t="shared" si="22"/>
        <v>291.1</v>
      </c>
    </row>
    <row r="39" spans="1:16">
      <c r="A39" s="684">
        <f t="shared" si="20"/>
        <v>44234</v>
      </c>
      <c r="B39" s="685">
        <v>295.57</v>
      </c>
      <c r="C39" s="690">
        <v>15673</v>
      </c>
      <c r="D39" s="686">
        <v>129</v>
      </c>
      <c r="E39" s="686">
        <v>0</v>
      </c>
      <c r="F39" s="685">
        <v>0</v>
      </c>
      <c r="G39" s="686">
        <v>4</v>
      </c>
      <c r="H39" s="686">
        <v>4</v>
      </c>
      <c r="I39" s="686">
        <v>0</v>
      </c>
      <c r="J39" s="672">
        <f t="shared" si="15"/>
        <v>0.0082307152427742</v>
      </c>
      <c r="K39" s="670">
        <f t="shared" si="21"/>
        <v>2.29124031007752</v>
      </c>
      <c r="L39" s="942">
        <f t="shared" si="16"/>
        <v>0</v>
      </c>
      <c r="M39" s="672">
        <f t="shared" si="17"/>
        <v>0</v>
      </c>
      <c r="N39" s="670" t="e">
        <f t="shared" si="18"/>
        <v>#DIV/0!</v>
      </c>
      <c r="O39" s="670" t="e">
        <f t="shared" si="19"/>
        <v>#DIV/0!</v>
      </c>
      <c r="P39" s="685">
        <f t="shared" si="22"/>
        <v>73.8925</v>
      </c>
    </row>
    <row r="40" spans="1:16">
      <c r="A40" s="684">
        <f t="shared" si="20"/>
        <v>44235</v>
      </c>
      <c r="B40" s="685">
        <v>293.48</v>
      </c>
      <c r="C40" s="690">
        <v>23805</v>
      </c>
      <c r="D40" s="686">
        <v>149</v>
      </c>
      <c r="E40" s="686">
        <v>0</v>
      </c>
      <c r="F40" s="685">
        <v>0</v>
      </c>
      <c r="G40" s="686">
        <v>2</v>
      </c>
      <c r="H40" s="686">
        <v>1</v>
      </c>
      <c r="I40" s="686">
        <v>0</v>
      </c>
      <c r="J40" s="672">
        <f t="shared" si="15"/>
        <v>0.00625918924595673</v>
      </c>
      <c r="K40" s="670">
        <f t="shared" si="21"/>
        <v>1.9696644295302</v>
      </c>
      <c r="L40" s="942">
        <f t="shared" si="16"/>
        <v>0</v>
      </c>
      <c r="M40" s="672">
        <f t="shared" si="17"/>
        <v>0</v>
      </c>
      <c r="N40" s="670" t="e">
        <f t="shared" si="18"/>
        <v>#DIV/0!</v>
      </c>
      <c r="O40" s="670" t="e">
        <f t="shared" si="19"/>
        <v>#DIV/0!</v>
      </c>
      <c r="P40" s="685">
        <f t="shared" si="22"/>
        <v>146.74</v>
      </c>
    </row>
    <row r="41" spans="1:16">
      <c r="A41" s="684">
        <f t="shared" si="20"/>
        <v>44236</v>
      </c>
      <c r="B41" s="685">
        <v>300</v>
      </c>
      <c r="C41" s="690">
        <v>22151</v>
      </c>
      <c r="D41" s="686">
        <v>157</v>
      </c>
      <c r="E41" s="686">
        <v>0</v>
      </c>
      <c r="F41" s="685">
        <v>0</v>
      </c>
      <c r="G41" s="686">
        <v>2</v>
      </c>
      <c r="H41" s="686">
        <v>3</v>
      </c>
      <c r="I41" s="686">
        <v>1</v>
      </c>
      <c r="J41" s="672">
        <f t="shared" si="15"/>
        <v>0.00708771613019728</v>
      </c>
      <c r="K41" s="670">
        <f t="shared" si="21"/>
        <v>1.91082802547771</v>
      </c>
      <c r="L41" s="942">
        <f t="shared" si="16"/>
        <v>0</v>
      </c>
      <c r="M41" s="672">
        <f t="shared" si="17"/>
        <v>0</v>
      </c>
      <c r="N41" s="670" t="e">
        <f t="shared" si="18"/>
        <v>#DIV/0!</v>
      </c>
      <c r="O41" s="670" t="e">
        <f t="shared" si="19"/>
        <v>#DIV/0!</v>
      </c>
      <c r="P41" s="685">
        <f t="shared" si="22"/>
        <v>150</v>
      </c>
    </row>
    <row r="42" spans="1:16">
      <c r="A42" s="684">
        <f t="shared" si="20"/>
        <v>44237</v>
      </c>
      <c r="B42" s="685">
        <v>300</v>
      </c>
      <c r="C42" s="690">
        <v>13365</v>
      </c>
      <c r="D42" s="686">
        <v>131</v>
      </c>
      <c r="E42" s="686">
        <v>0</v>
      </c>
      <c r="F42" s="685">
        <v>0</v>
      </c>
      <c r="G42" s="686">
        <v>4</v>
      </c>
      <c r="H42" s="686">
        <v>4</v>
      </c>
      <c r="I42" s="686">
        <v>1</v>
      </c>
      <c r="J42" s="672">
        <f t="shared" si="15"/>
        <v>0.00980172091283202</v>
      </c>
      <c r="K42" s="670">
        <f t="shared" si="21"/>
        <v>2.29007633587786</v>
      </c>
      <c r="L42" s="942">
        <f t="shared" si="16"/>
        <v>0</v>
      </c>
      <c r="M42" s="672">
        <f t="shared" si="17"/>
        <v>0</v>
      </c>
      <c r="N42" s="670" t="e">
        <f t="shared" si="18"/>
        <v>#DIV/0!</v>
      </c>
      <c r="O42" s="670" t="e">
        <f t="shared" si="19"/>
        <v>#DIV/0!</v>
      </c>
      <c r="P42" s="685">
        <f t="shared" si="22"/>
        <v>75</v>
      </c>
    </row>
    <row r="43" spans="1:16">
      <c r="A43" s="684">
        <f t="shared" si="20"/>
        <v>44238</v>
      </c>
      <c r="B43" s="685">
        <v>18.65</v>
      </c>
      <c r="C43" s="686">
        <v>590</v>
      </c>
      <c r="D43" s="686">
        <v>7</v>
      </c>
      <c r="E43" s="686">
        <v>0</v>
      </c>
      <c r="F43" s="685">
        <v>0</v>
      </c>
      <c r="G43" s="686">
        <v>0</v>
      </c>
      <c r="H43" s="686">
        <v>0</v>
      </c>
      <c r="I43" s="686">
        <v>0</v>
      </c>
      <c r="J43" s="672">
        <f t="shared" si="15"/>
        <v>0.011864406779661</v>
      </c>
      <c r="K43" s="670">
        <f t="shared" si="21"/>
        <v>2.66428571428571</v>
      </c>
      <c r="L43" s="942">
        <f t="shared" si="16"/>
        <v>0</v>
      </c>
      <c r="M43" s="672">
        <f t="shared" si="17"/>
        <v>0</v>
      </c>
      <c r="N43" s="670" t="e">
        <f t="shared" si="18"/>
        <v>#DIV/0!</v>
      </c>
      <c r="O43" s="670" t="e">
        <f t="shared" si="19"/>
        <v>#DIV/0!</v>
      </c>
      <c r="P43" s="685" t="e">
        <f t="shared" si="22"/>
        <v>#DIV/0!</v>
      </c>
    </row>
    <row r="44" spans="1:16">
      <c r="A44" s="684">
        <f t="shared" si="20"/>
        <v>44239</v>
      </c>
      <c r="B44" s="685">
        <v>0</v>
      </c>
      <c r="C44" s="686">
        <v>0</v>
      </c>
      <c r="D44" s="686">
        <v>0</v>
      </c>
      <c r="E44" s="686">
        <v>0</v>
      </c>
      <c r="F44" s="685">
        <v>0</v>
      </c>
      <c r="G44" s="686">
        <v>0</v>
      </c>
      <c r="H44" s="686">
        <v>0</v>
      </c>
      <c r="I44" s="686">
        <v>0</v>
      </c>
      <c r="J44" s="672" t="e">
        <f t="shared" si="15"/>
        <v>#DIV/0!</v>
      </c>
      <c r="K44" s="670">
        <v>0</v>
      </c>
      <c r="L44" s="942" t="e">
        <f t="shared" si="16"/>
        <v>#DIV/0!</v>
      </c>
      <c r="M44" s="672" t="e">
        <f t="shared" si="17"/>
        <v>#DIV/0!</v>
      </c>
      <c r="N44" s="670" t="e">
        <f t="shared" si="18"/>
        <v>#DIV/0!</v>
      </c>
      <c r="O44" s="670" t="e">
        <f t="shared" si="19"/>
        <v>#DIV/0!</v>
      </c>
      <c r="P44" s="685" t="e">
        <f t="shared" si="22"/>
        <v>#DIV/0!</v>
      </c>
    </row>
    <row r="45" spans="1:16">
      <c r="A45" s="684">
        <f t="shared" si="20"/>
        <v>44240</v>
      </c>
      <c r="B45" s="685">
        <v>0</v>
      </c>
      <c r="C45" s="686">
        <v>0</v>
      </c>
      <c r="D45" s="686">
        <v>0</v>
      </c>
      <c r="E45" s="686">
        <v>0</v>
      </c>
      <c r="F45" s="685">
        <v>0</v>
      </c>
      <c r="G45" s="686">
        <v>0</v>
      </c>
      <c r="H45" s="686">
        <v>0</v>
      </c>
      <c r="I45" s="686">
        <v>0</v>
      </c>
      <c r="J45" s="672" t="e">
        <f t="shared" si="15"/>
        <v>#DIV/0!</v>
      </c>
      <c r="K45" s="670">
        <v>0</v>
      </c>
      <c r="L45" s="942" t="e">
        <f t="shared" si="16"/>
        <v>#DIV/0!</v>
      </c>
      <c r="M45" s="672" t="e">
        <f t="shared" si="17"/>
        <v>#DIV/0!</v>
      </c>
      <c r="N45" s="670" t="e">
        <f t="shared" si="18"/>
        <v>#DIV/0!</v>
      </c>
      <c r="O45" s="670" t="e">
        <f t="shared" si="19"/>
        <v>#DIV/0!</v>
      </c>
      <c r="P45" s="685" t="e">
        <f t="shared" si="22"/>
        <v>#DIV/0!</v>
      </c>
    </row>
    <row r="46" spans="1:16">
      <c r="A46" s="684">
        <f t="shared" si="20"/>
        <v>44241</v>
      </c>
      <c r="B46" s="685">
        <v>0</v>
      </c>
      <c r="C46" s="686">
        <v>0</v>
      </c>
      <c r="D46" s="686">
        <v>0</v>
      </c>
      <c r="E46" s="686">
        <v>0</v>
      </c>
      <c r="F46" s="685">
        <v>0</v>
      </c>
      <c r="G46" s="686">
        <v>0</v>
      </c>
      <c r="H46" s="686">
        <v>0</v>
      </c>
      <c r="I46" s="686">
        <v>0</v>
      </c>
      <c r="J46" s="672" t="e">
        <f t="shared" si="15"/>
        <v>#DIV/0!</v>
      </c>
      <c r="K46" s="670">
        <v>0</v>
      </c>
      <c r="L46" s="942" t="e">
        <f t="shared" si="16"/>
        <v>#DIV/0!</v>
      </c>
      <c r="M46" s="672" t="e">
        <f t="shared" si="17"/>
        <v>#DIV/0!</v>
      </c>
      <c r="N46" s="670" t="e">
        <f t="shared" si="18"/>
        <v>#DIV/0!</v>
      </c>
      <c r="O46" s="670" t="e">
        <f t="shared" si="19"/>
        <v>#DIV/0!</v>
      </c>
      <c r="P46" s="685" t="e">
        <f t="shared" si="22"/>
        <v>#DIV/0!</v>
      </c>
    </row>
    <row r="47" spans="1:16">
      <c r="A47" s="684">
        <f t="shared" si="20"/>
        <v>44242</v>
      </c>
      <c r="B47" s="685">
        <v>0</v>
      </c>
      <c r="C47" s="686">
        <v>0</v>
      </c>
      <c r="D47" s="686">
        <v>0</v>
      </c>
      <c r="E47" s="686">
        <v>0</v>
      </c>
      <c r="F47" s="685">
        <v>0</v>
      </c>
      <c r="G47" s="686">
        <v>0</v>
      </c>
      <c r="H47" s="686">
        <v>0</v>
      </c>
      <c r="I47" s="686">
        <v>0</v>
      </c>
      <c r="J47" s="672" t="e">
        <f t="shared" si="15"/>
        <v>#DIV/0!</v>
      </c>
      <c r="K47" s="670">
        <v>0</v>
      </c>
      <c r="L47" s="942" t="e">
        <f t="shared" si="16"/>
        <v>#DIV/0!</v>
      </c>
      <c r="M47" s="672" t="e">
        <f t="shared" si="17"/>
        <v>#DIV/0!</v>
      </c>
      <c r="N47" s="670" t="e">
        <f t="shared" si="18"/>
        <v>#DIV/0!</v>
      </c>
      <c r="O47" s="670" t="e">
        <f t="shared" si="19"/>
        <v>#DIV/0!</v>
      </c>
      <c r="P47" s="685" t="e">
        <f t="shared" si="22"/>
        <v>#DIV/0!</v>
      </c>
    </row>
    <row r="48" spans="1:16">
      <c r="A48" s="684">
        <f t="shared" si="20"/>
        <v>44243</v>
      </c>
      <c r="B48" s="685">
        <v>0</v>
      </c>
      <c r="C48" s="686">
        <v>0</v>
      </c>
      <c r="D48" s="686">
        <v>0</v>
      </c>
      <c r="E48" s="686">
        <v>0</v>
      </c>
      <c r="F48" s="685">
        <v>0</v>
      </c>
      <c r="G48" s="686">
        <v>0</v>
      </c>
      <c r="H48" s="686">
        <v>0</v>
      </c>
      <c r="I48" s="686">
        <v>0</v>
      </c>
      <c r="J48" s="672" t="e">
        <f t="shared" si="15"/>
        <v>#DIV/0!</v>
      </c>
      <c r="K48" s="670">
        <v>0</v>
      </c>
      <c r="L48" s="942" t="e">
        <f t="shared" si="16"/>
        <v>#DIV/0!</v>
      </c>
      <c r="M48" s="672" t="e">
        <f t="shared" si="17"/>
        <v>#DIV/0!</v>
      </c>
      <c r="N48" s="670" t="e">
        <f t="shared" si="18"/>
        <v>#DIV/0!</v>
      </c>
      <c r="O48" s="670" t="e">
        <f t="shared" si="19"/>
        <v>#DIV/0!</v>
      </c>
      <c r="P48" s="685" t="e">
        <f t="shared" si="22"/>
        <v>#DIV/0!</v>
      </c>
    </row>
    <row r="49" spans="1:16">
      <c r="A49" s="684">
        <f t="shared" si="20"/>
        <v>44244</v>
      </c>
      <c r="B49" s="685">
        <v>0</v>
      </c>
      <c r="C49" s="686">
        <v>0</v>
      </c>
      <c r="D49" s="686">
        <v>0</v>
      </c>
      <c r="E49" s="686">
        <v>0</v>
      </c>
      <c r="F49" s="685">
        <v>0</v>
      </c>
      <c r="G49" s="686">
        <v>0</v>
      </c>
      <c r="H49" s="686">
        <v>0</v>
      </c>
      <c r="I49" s="686">
        <v>0</v>
      </c>
      <c r="J49" s="672" t="e">
        <f t="shared" si="15"/>
        <v>#DIV/0!</v>
      </c>
      <c r="K49" s="670">
        <v>0</v>
      </c>
      <c r="L49" s="942" t="e">
        <f t="shared" si="16"/>
        <v>#DIV/0!</v>
      </c>
      <c r="M49" s="672" t="e">
        <f t="shared" si="17"/>
        <v>#DIV/0!</v>
      </c>
      <c r="N49" s="670" t="e">
        <f t="shared" si="18"/>
        <v>#DIV/0!</v>
      </c>
      <c r="O49" s="670" t="e">
        <f t="shared" si="19"/>
        <v>#DIV/0!</v>
      </c>
      <c r="P49" s="685" t="e">
        <f t="shared" si="22"/>
        <v>#DIV/0!</v>
      </c>
    </row>
    <row r="50" spans="1:16">
      <c r="A50" s="684">
        <f t="shared" ref="A50:A95" si="23">A49+1</f>
        <v>44245</v>
      </c>
      <c r="B50" s="943">
        <v>298.9</v>
      </c>
      <c r="C50" s="38">
        <v>11984</v>
      </c>
      <c r="D50" s="938">
        <v>187</v>
      </c>
      <c r="E50" s="686">
        <v>0</v>
      </c>
      <c r="F50" s="685">
        <v>0</v>
      </c>
      <c r="G50" s="938">
        <v>9</v>
      </c>
      <c r="H50" s="686">
        <v>1</v>
      </c>
      <c r="I50" s="686">
        <v>0</v>
      </c>
      <c r="J50" s="672">
        <f t="shared" si="15"/>
        <v>0.0156041388518024</v>
      </c>
      <c r="K50" s="670">
        <f t="shared" si="21"/>
        <v>1.59839572192513</v>
      </c>
      <c r="L50" s="942">
        <f t="shared" si="16"/>
        <v>0</v>
      </c>
      <c r="M50" s="672">
        <f t="shared" si="17"/>
        <v>0</v>
      </c>
      <c r="N50" s="670" t="e">
        <f t="shared" si="18"/>
        <v>#DIV/0!</v>
      </c>
      <c r="O50" s="670" t="e">
        <f t="shared" si="19"/>
        <v>#DIV/0!</v>
      </c>
      <c r="P50" s="685">
        <f t="shared" si="22"/>
        <v>33.2111111111111</v>
      </c>
    </row>
    <row r="51" spans="1:16">
      <c r="A51" s="684">
        <f t="shared" si="23"/>
        <v>44246</v>
      </c>
      <c r="B51" s="943">
        <v>300</v>
      </c>
      <c r="C51" s="38">
        <v>18239</v>
      </c>
      <c r="D51" s="938">
        <v>176</v>
      </c>
      <c r="E51" s="686">
        <v>0</v>
      </c>
      <c r="F51" s="685">
        <v>0</v>
      </c>
      <c r="G51" s="938">
        <v>1</v>
      </c>
      <c r="H51" s="938">
        <v>2</v>
      </c>
      <c r="I51" s="938">
        <v>0</v>
      </c>
      <c r="J51" s="672">
        <f t="shared" si="15"/>
        <v>0.00964965184494764</v>
      </c>
      <c r="K51" s="670">
        <f t="shared" si="21"/>
        <v>1.70454545454545</v>
      </c>
      <c r="L51" s="942">
        <f t="shared" si="16"/>
        <v>0</v>
      </c>
      <c r="M51" s="672">
        <f t="shared" si="17"/>
        <v>0</v>
      </c>
      <c r="N51" s="670" t="e">
        <f t="shared" si="18"/>
        <v>#DIV/0!</v>
      </c>
      <c r="O51" s="670" t="e">
        <f t="shared" si="19"/>
        <v>#DIV/0!</v>
      </c>
      <c r="P51" s="685">
        <f t="shared" si="22"/>
        <v>300</v>
      </c>
    </row>
    <row r="52" spans="1:16">
      <c r="A52" s="684">
        <f t="shared" si="23"/>
        <v>44247</v>
      </c>
      <c r="B52" s="943">
        <v>300</v>
      </c>
      <c r="C52" s="38">
        <v>9241</v>
      </c>
      <c r="D52" s="938">
        <v>157</v>
      </c>
      <c r="E52" s="686">
        <v>0</v>
      </c>
      <c r="F52" s="685">
        <v>0</v>
      </c>
      <c r="G52" s="938">
        <v>3</v>
      </c>
      <c r="H52" s="938">
        <v>1</v>
      </c>
      <c r="I52" s="938">
        <v>0</v>
      </c>
      <c r="J52" s="672">
        <f t="shared" si="15"/>
        <v>0.0169895033005086</v>
      </c>
      <c r="K52" s="670">
        <f t="shared" si="21"/>
        <v>1.91082802547771</v>
      </c>
      <c r="L52" s="942">
        <f t="shared" si="16"/>
        <v>0</v>
      </c>
      <c r="M52" s="672">
        <f t="shared" si="17"/>
        <v>0</v>
      </c>
      <c r="N52" s="670" t="e">
        <f t="shared" si="18"/>
        <v>#DIV/0!</v>
      </c>
      <c r="O52" s="670" t="e">
        <f t="shared" si="19"/>
        <v>#DIV/0!</v>
      </c>
      <c r="P52" s="685">
        <f t="shared" si="22"/>
        <v>100</v>
      </c>
    </row>
    <row r="53" spans="1:16">
      <c r="A53" s="684">
        <f t="shared" si="23"/>
        <v>44248</v>
      </c>
      <c r="B53" s="670">
        <v>297.43</v>
      </c>
      <c r="C53" s="38">
        <v>12656</v>
      </c>
      <c r="D53" s="938">
        <v>146</v>
      </c>
      <c r="E53" s="686">
        <v>0</v>
      </c>
      <c r="F53" s="685">
        <v>0</v>
      </c>
      <c r="G53" s="938">
        <v>12</v>
      </c>
      <c r="H53" s="938">
        <v>0</v>
      </c>
      <c r="I53" s="938">
        <v>0</v>
      </c>
      <c r="J53" s="672">
        <f t="shared" si="15"/>
        <v>0.0115360303413401</v>
      </c>
      <c r="K53" s="670">
        <f t="shared" si="21"/>
        <v>2.03719178082192</v>
      </c>
      <c r="L53" s="942">
        <f t="shared" si="16"/>
        <v>0</v>
      </c>
      <c r="M53" s="672">
        <f t="shared" si="17"/>
        <v>0</v>
      </c>
      <c r="N53" s="670" t="e">
        <f t="shared" si="18"/>
        <v>#DIV/0!</v>
      </c>
      <c r="O53" s="670" t="e">
        <f t="shared" si="19"/>
        <v>#DIV/0!</v>
      </c>
      <c r="P53" s="685">
        <f t="shared" si="22"/>
        <v>24.7858333333333</v>
      </c>
    </row>
    <row r="54" spans="1:16">
      <c r="A54" s="684">
        <f t="shared" si="23"/>
        <v>44249</v>
      </c>
      <c r="B54" s="670">
        <v>300</v>
      </c>
      <c r="C54" s="38">
        <v>21201</v>
      </c>
      <c r="D54" s="938">
        <v>191</v>
      </c>
      <c r="E54" s="938">
        <v>0</v>
      </c>
      <c r="F54" s="943">
        <v>0</v>
      </c>
      <c r="G54" s="938">
        <v>5</v>
      </c>
      <c r="H54" s="938">
        <v>9</v>
      </c>
      <c r="I54" s="938">
        <v>2</v>
      </c>
      <c r="J54" s="672">
        <f t="shared" si="15"/>
        <v>0.00900900900900901</v>
      </c>
      <c r="K54" s="670">
        <f t="shared" si="21"/>
        <v>1.57068062827225</v>
      </c>
      <c r="L54" s="942">
        <f t="shared" si="16"/>
        <v>0</v>
      </c>
      <c r="M54" s="672">
        <f t="shared" si="17"/>
        <v>0</v>
      </c>
      <c r="N54" s="670" t="e">
        <f t="shared" si="18"/>
        <v>#DIV/0!</v>
      </c>
      <c r="O54" s="670" t="e">
        <f t="shared" si="19"/>
        <v>#DIV/0!</v>
      </c>
      <c r="P54" s="685">
        <f t="shared" si="22"/>
        <v>60</v>
      </c>
    </row>
    <row r="55" spans="1:16">
      <c r="A55" s="684">
        <f t="shared" si="23"/>
        <v>44250</v>
      </c>
      <c r="B55" s="670">
        <v>279.38</v>
      </c>
      <c r="C55" s="38">
        <v>22519</v>
      </c>
      <c r="D55" s="938">
        <v>176</v>
      </c>
      <c r="E55" s="938">
        <v>0</v>
      </c>
      <c r="F55" s="943">
        <v>0</v>
      </c>
      <c r="G55" s="938">
        <v>1</v>
      </c>
      <c r="H55" s="938">
        <v>1</v>
      </c>
      <c r="I55" s="938">
        <v>0</v>
      </c>
      <c r="J55" s="672">
        <f t="shared" si="15"/>
        <v>0.00781562236333763</v>
      </c>
      <c r="K55" s="670">
        <f t="shared" si="21"/>
        <v>1.58738636363636</v>
      </c>
      <c r="L55" s="942">
        <f t="shared" si="16"/>
        <v>0</v>
      </c>
      <c r="M55" s="672">
        <f t="shared" si="17"/>
        <v>0</v>
      </c>
      <c r="N55" s="670" t="e">
        <f t="shared" si="18"/>
        <v>#DIV/0!</v>
      </c>
      <c r="O55" s="670" t="e">
        <f t="shared" si="19"/>
        <v>#DIV/0!</v>
      </c>
      <c r="P55" s="685">
        <f t="shared" si="22"/>
        <v>279.38</v>
      </c>
    </row>
    <row r="56" spans="1:16">
      <c r="A56" s="684">
        <f t="shared" si="23"/>
        <v>44251</v>
      </c>
      <c r="B56" s="670">
        <v>266.56</v>
      </c>
      <c r="C56" s="38">
        <v>22296</v>
      </c>
      <c r="D56" s="938">
        <v>209</v>
      </c>
      <c r="E56" s="938">
        <v>0</v>
      </c>
      <c r="F56" s="943">
        <v>0</v>
      </c>
      <c r="G56" s="938">
        <v>5</v>
      </c>
      <c r="H56" s="938">
        <v>0</v>
      </c>
      <c r="I56" s="938">
        <v>0</v>
      </c>
      <c r="J56" s="672">
        <f t="shared" si="15"/>
        <v>0.00937387872264083</v>
      </c>
      <c r="K56" s="670">
        <f t="shared" si="21"/>
        <v>1.27540669856459</v>
      </c>
      <c r="L56" s="942">
        <f t="shared" si="16"/>
        <v>0</v>
      </c>
      <c r="M56" s="672">
        <f t="shared" si="17"/>
        <v>0</v>
      </c>
      <c r="N56" s="670" t="e">
        <f t="shared" si="18"/>
        <v>#DIV/0!</v>
      </c>
      <c r="O56" s="670" t="e">
        <f t="shared" si="19"/>
        <v>#DIV/0!</v>
      </c>
      <c r="P56" s="685">
        <f t="shared" si="22"/>
        <v>53.312</v>
      </c>
    </row>
    <row r="57" spans="1:16">
      <c r="A57" s="684">
        <f t="shared" si="23"/>
        <v>44252</v>
      </c>
      <c r="B57" s="670">
        <v>285.34</v>
      </c>
      <c r="C57" s="38">
        <v>19618</v>
      </c>
      <c r="D57" s="938">
        <v>176</v>
      </c>
      <c r="E57" s="938">
        <v>0</v>
      </c>
      <c r="F57" s="943">
        <v>0</v>
      </c>
      <c r="G57" s="938">
        <v>4</v>
      </c>
      <c r="H57" s="938">
        <v>1</v>
      </c>
      <c r="I57" s="938">
        <v>0</v>
      </c>
      <c r="J57" s="672">
        <f t="shared" si="15"/>
        <v>0.00897135283922928</v>
      </c>
      <c r="K57" s="670">
        <f t="shared" si="21"/>
        <v>1.62125</v>
      </c>
      <c r="L57" s="942">
        <f t="shared" si="16"/>
        <v>0</v>
      </c>
      <c r="M57" s="672">
        <f t="shared" si="17"/>
        <v>0</v>
      </c>
      <c r="N57" s="670" t="e">
        <f t="shared" si="18"/>
        <v>#DIV/0!</v>
      </c>
      <c r="O57" s="670" t="e">
        <f t="shared" si="19"/>
        <v>#DIV/0!</v>
      </c>
      <c r="P57" s="685">
        <f t="shared" si="22"/>
        <v>71.335</v>
      </c>
    </row>
    <row r="58" spans="1:16">
      <c r="A58" s="684">
        <f t="shared" si="23"/>
        <v>44253</v>
      </c>
      <c r="B58" s="670">
        <v>253.63</v>
      </c>
      <c r="C58" s="38">
        <v>18313</v>
      </c>
      <c r="D58" s="938">
        <v>166</v>
      </c>
      <c r="E58" s="938">
        <v>0</v>
      </c>
      <c r="F58" s="943">
        <v>0</v>
      </c>
      <c r="G58" s="938">
        <v>1</v>
      </c>
      <c r="H58" s="938">
        <v>0</v>
      </c>
      <c r="I58" s="938">
        <v>0</v>
      </c>
      <c r="J58" s="672">
        <f t="shared" si="15"/>
        <v>0.00906459891880085</v>
      </c>
      <c r="K58" s="670">
        <f t="shared" si="21"/>
        <v>1.52789156626506</v>
      </c>
      <c r="L58" s="942">
        <f t="shared" si="16"/>
        <v>0</v>
      </c>
      <c r="M58" s="672">
        <f t="shared" si="17"/>
        <v>0</v>
      </c>
      <c r="N58" s="670" t="e">
        <f t="shared" si="18"/>
        <v>#DIV/0!</v>
      </c>
      <c r="O58" s="670" t="e">
        <f t="shared" si="19"/>
        <v>#DIV/0!</v>
      </c>
      <c r="P58" s="685">
        <f t="shared" si="22"/>
        <v>253.63</v>
      </c>
    </row>
    <row r="59" spans="1:16">
      <c r="A59" s="684">
        <f t="shared" si="23"/>
        <v>44254</v>
      </c>
      <c r="B59" s="670">
        <v>291.27</v>
      </c>
      <c r="C59" s="38">
        <v>18977</v>
      </c>
      <c r="D59" s="938">
        <v>190</v>
      </c>
      <c r="E59" s="938">
        <v>0</v>
      </c>
      <c r="F59" s="943">
        <v>0</v>
      </c>
      <c r="G59" s="938">
        <v>6</v>
      </c>
      <c r="H59" s="938">
        <v>1</v>
      </c>
      <c r="I59" s="938">
        <v>0</v>
      </c>
      <c r="J59" s="672">
        <f t="shared" si="15"/>
        <v>0.0100121199346577</v>
      </c>
      <c r="K59" s="670">
        <f t="shared" si="21"/>
        <v>1.533</v>
      </c>
      <c r="L59" s="942">
        <f t="shared" si="16"/>
        <v>0</v>
      </c>
      <c r="M59" s="672">
        <f t="shared" si="17"/>
        <v>0</v>
      </c>
      <c r="N59" s="670" t="e">
        <f t="shared" si="18"/>
        <v>#DIV/0!</v>
      </c>
      <c r="O59" s="670" t="e">
        <f t="shared" si="19"/>
        <v>#DIV/0!</v>
      </c>
      <c r="P59" s="685">
        <f t="shared" si="22"/>
        <v>48.545</v>
      </c>
    </row>
    <row r="60" spans="1:16">
      <c r="A60" s="684">
        <f t="shared" si="23"/>
        <v>44255</v>
      </c>
      <c r="B60" s="670">
        <v>300</v>
      </c>
      <c r="C60" s="38">
        <v>15687</v>
      </c>
      <c r="D60" s="938">
        <v>143</v>
      </c>
      <c r="E60" s="938">
        <v>0</v>
      </c>
      <c r="F60" s="943">
        <v>0</v>
      </c>
      <c r="G60" s="938">
        <v>5</v>
      </c>
      <c r="H60" s="938">
        <v>0</v>
      </c>
      <c r="I60" s="938">
        <v>0</v>
      </c>
      <c r="J60" s="672">
        <f t="shared" si="15"/>
        <v>0.00911582839293683</v>
      </c>
      <c r="K60" s="670">
        <f t="shared" si="21"/>
        <v>2.0979020979021</v>
      </c>
      <c r="L60" s="942">
        <f t="shared" si="16"/>
        <v>0</v>
      </c>
      <c r="M60" s="672">
        <f t="shared" si="17"/>
        <v>0</v>
      </c>
      <c r="N60" s="670" t="e">
        <f t="shared" si="18"/>
        <v>#DIV/0!</v>
      </c>
      <c r="O60" s="670" t="e">
        <f t="shared" si="19"/>
        <v>#DIV/0!</v>
      </c>
      <c r="P60" s="685">
        <f t="shared" si="22"/>
        <v>60</v>
      </c>
    </row>
    <row r="61" spans="1:16">
      <c r="A61" s="684">
        <f t="shared" si="23"/>
        <v>44256</v>
      </c>
      <c r="B61" s="670">
        <v>281.95</v>
      </c>
      <c r="C61" s="38">
        <v>18716</v>
      </c>
      <c r="D61" s="938">
        <v>163</v>
      </c>
      <c r="E61" s="938">
        <v>0</v>
      </c>
      <c r="F61" s="943">
        <v>0</v>
      </c>
      <c r="G61" s="938">
        <v>1</v>
      </c>
      <c r="H61" s="938">
        <v>2</v>
      </c>
      <c r="I61" s="938">
        <v>0</v>
      </c>
      <c r="J61" s="672">
        <f t="shared" si="15"/>
        <v>0.00870912588159863</v>
      </c>
      <c r="K61" s="670">
        <f t="shared" si="21"/>
        <v>1.72975460122699</v>
      </c>
      <c r="L61" s="942">
        <f t="shared" si="16"/>
        <v>0</v>
      </c>
      <c r="M61" s="672">
        <f t="shared" si="17"/>
        <v>0</v>
      </c>
      <c r="N61" s="670" t="e">
        <f t="shared" si="18"/>
        <v>#DIV/0!</v>
      </c>
      <c r="O61" s="670" t="e">
        <f t="shared" si="19"/>
        <v>#DIV/0!</v>
      </c>
      <c r="P61" s="685">
        <f t="shared" si="22"/>
        <v>281.95</v>
      </c>
    </row>
    <row r="62" spans="1:16">
      <c r="A62" s="684">
        <f t="shared" si="23"/>
        <v>44257</v>
      </c>
      <c r="B62" s="670">
        <v>298.63</v>
      </c>
      <c r="C62" s="38">
        <v>13998</v>
      </c>
      <c r="D62" s="938">
        <v>184</v>
      </c>
      <c r="E62" s="938">
        <v>0</v>
      </c>
      <c r="F62" s="943">
        <v>0</v>
      </c>
      <c r="G62" s="938">
        <v>2</v>
      </c>
      <c r="H62" s="938">
        <v>2</v>
      </c>
      <c r="I62" s="938">
        <v>0</v>
      </c>
      <c r="J62" s="672">
        <f t="shared" si="15"/>
        <v>0.0131447349621374</v>
      </c>
      <c r="K62" s="670">
        <f t="shared" si="21"/>
        <v>1.62298913043478</v>
      </c>
      <c r="L62" s="942">
        <f t="shared" si="16"/>
        <v>0</v>
      </c>
      <c r="M62" s="672">
        <f t="shared" si="17"/>
        <v>0</v>
      </c>
      <c r="N62" s="670" t="e">
        <f t="shared" si="18"/>
        <v>#DIV/0!</v>
      </c>
      <c r="O62" s="670" t="e">
        <f t="shared" si="19"/>
        <v>#DIV/0!</v>
      </c>
      <c r="P62" s="685">
        <f t="shared" si="22"/>
        <v>149.315</v>
      </c>
    </row>
    <row r="63" spans="1:16">
      <c r="A63" s="684">
        <f t="shared" si="23"/>
        <v>44258</v>
      </c>
      <c r="B63" s="670">
        <v>300</v>
      </c>
      <c r="C63" s="38">
        <v>11084</v>
      </c>
      <c r="D63" s="938">
        <v>187</v>
      </c>
      <c r="E63" s="938">
        <v>0</v>
      </c>
      <c r="F63" s="943">
        <v>0</v>
      </c>
      <c r="G63" s="938">
        <v>7</v>
      </c>
      <c r="H63" s="938">
        <v>0</v>
      </c>
      <c r="I63" s="938">
        <v>1</v>
      </c>
      <c r="J63" s="672">
        <f t="shared" si="15"/>
        <v>0.0168711656441718</v>
      </c>
      <c r="K63" s="670">
        <f t="shared" si="21"/>
        <v>1.60427807486631</v>
      </c>
      <c r="L63" s="942">
        <f t="shared" si="16"/>
        <v>0</v>
      </c>
      <c r="M63" s="672">
        <f t="shared" si="17"/>
        <v>0</v>
      </c>
      <c r="N63" s="670" t="e">
        <f t="shared" si="18"/>
        <v>#DIV/0!</v>
      </c>
      <c r="O63" s="670" t="e">
        <f t="shared" si="19"/>
        <v>#DIV/0!</v>
      </c>
      <c r="P63" s="685">
        <f t="shared" si="22"/>
        <v>42.8571428571429</v>
      </c>
    </row>
    <row r="64" spans="1:16">
      <c r="A64" s="684">
        <f t="shared" si="23"/>
        <v>44259</v>
      </c>
      <c r="B64" s="670">
        <v>300</v>
      </c>
      <c r="C64" s="38">
        <v>17958</v>
      </c>
      <c r="D64" s="938">
        <v>178</v>
      </c>
      <c r="E64" s="938">
        <v>0</v>
      </c>
      <c r="F64" s="943">
        <v>0</v>
      </c>
      <c r="G64" s="938">
        <v>4</v>
      </c>
      <c r="H64" s="938">
        <v>0</v>
      </c>
      <c r="I64" s="938">
        <v>1</v>
      </c>
      <c r="J64" s="672">
        <f t="shared" si="15"/>
        <v>0.00991201692838846</v>
      </c>
      <c r="K64" s="670">
        <f t="shared" si="21"/>
        <v>1.68539325842697</v>
      </c>
      <c r="L64" s="942">
        <f t="shared" si="16"/>
        <v>0</v>
      </c>
      <c r="M64" s="672">
        <f t="shared" si="17"/>
        <v>0</v>
      </c>
      <c r="N64" s="670" t="e">
        <f t="shared" si="18"/>
        <v>#DIV/0!</v>
      </c>
      <c r="O64" s="670" t="e">
        <f t="shared" si="19"/>
        <v>#DIV/0!</v>
      </c>
      <c r="P64" s="685">
        <f t="shared" si="22"/>
        <v>75</v>
      </c>
    </row>
    <row r="65" spans="1:16">
      <c r="A65" s="684">
        <f t="shared" si="23"/>
        <v>44260</v>
      </c>
      <c r="B65" s="670">
        <v>300</v>
      </c>
      <c r="C65" s="38">
        <v>13577</v>
      </c>
      <c r="D65" s="938">
        <v>185</v>
      </c>
      <c r="E65" s="938">
        <v>0</v>
      </c>
      <c r="F65" s="943">
        <v>0</v>
      </c>
      <c r="G65" s="938">
        <v>6</v>
      </c>
      <c r="H65" s="938">
        <v>1</v>
      </c>
      <c r="I65" s="938">
        <v>0</v>
      </c>
      <c r="J65" s="672">
        <f t="shared" si="15"/>
        <v>0.0136259851218973</v>
      </c>
      <c r="K65" s="670">
        <f t="shared" si="21"/>
        <v>1.62162162162162</v>
      </c>
      <c r="L65" s="942">
        <f t="shared" si="16"/>
        <v>0</v>
      </c>
      <c r="M65" s="672">
        <f t="shared" si="17"/>
        <v>0</v>
      </c>
      <c r="N65" s="670" t="e">
        <f t="shared" si="18"/>
        <v>#DIV/0!</v>
      </c>
      <c r="O65" s="670" t="e">
        <f t="shared" si="19"/>
        <v>#DIV/0!</v>
      </c>
      <c r="P65" s="685">
        <f t="shared" si="22"/>
        <v>50</v>
      </c>
    </row>
    <row r="66" spans="1:16">
      <c r="A66" s="684">
        <f t="shared" si="23"/>
        <v>44261</v>
      </c>
      <c r="B66" s="670">
        <v>300</v>
      </c>
      <c r="C66" s="38">
        <v>12058</v>
      </c>
      <c r="D66" s="938">
        <v>179</v>
      </c>
      <c r="E66" s="938">
        <v>0</v>
      </c>
      <c r="F66" s="943">
        <v>0</v>
      </c>
      <c r="G66" s="938">
        <v>7</v>
      </c>
      <c r="H66" s="938">
        <v>3</v>
      </c>
      <c r="I66" s="938">
        <v>2</v>
      </c>
      <c r="J66" s="672">
        <f t="shared" si="15"/>
        <v>0.0148449162381821</v>
      </c>
      <c r="K66" s="670">
        <f t="shared" si="21"/>
        <v>1.67597765363128</v>
      </c>
      <c r="L66" s="942">
        <f t="shared" si="16"/>
        <v>0</v>
      </c>
      <c r="M66" s="672">
        <f t="shared" si="17"/>
        <v>0</v>
      </c>
      <c r="N66" s="670" t="e">
        <f t="shared" si="18"/>
        <v>#DIV/0!</v>
      </c>
      <c r="O66" s="670" t="e">
        <f t="shared" si="19"/>
        <v>#DIV/0!</v>
      </c>
      <c r="P66" s="685">
        <f t="shared" si="22"/>
        <v>42.8571428571429</v>
      </c>
    </row>
    <row r="67" spans="1:16">
      <c r="A67" s="684">
        <f t="shared" si="23"/>
        <v>44262</v>
      </c>
      <c r="B67" s="670">
        <v>300</v>
      </c>
      <c r="C67" s="38">
        <v>11038</v>
      </c>
      <c r="D67" s="938">
        <v>161</v>
      </c>
      <c r="E67" s="938">
        <v>0</v>
      </c>
      <c r="F67" s="943">
        <v>0</v>
      </c>
      <c r="G67" s="938">
        <v>3</v>
      </c>
      <c r="H67" s="938">
        <v>3</v>
      </c>
      <c r="I67" s="938">
        <v>0</v>
      </c>
      <c r="J67" s="672">
        <f t="shared" si="15"/>
        <v>0.0145859757202392</v>
      </c>
      <c r="K67" s="670">
        <f t="shared" si="21"/>
        <v>1.86335403726708</v>
      </c>
      <c r="L67" s="942">
        <f t="shared" si="16"/>
        <v>0</v>
      </c>
      <c r="M67" s="672">
        <f t="shared" si="17"/>
        <v>0</v>
      </c>
      <c r="N67" s="670" t="e">
        <f t="shared" si="18"/>
        <v>#DIV/0!</v>
      </c>
      <c r="O67" s="670" t="e">
        <f t="shared" si="19"/>
        <v>#DIV/0!</v>
      </c>
      <c r="P67" s="685">
        <f t="shared" si="22"/>
        <v>100</v>
      </c>
    </row>
    <row r="68" spans="1:16">
      <c r="A68" s="684">
        <f t="shared" si="23"/>
        <v>44263</v>
      </c>
      <c r="B68" s="670">
        <v>300</v>
      </c>
      <c r="C68" s="38">
        <v>11568</v>
      </c>
      <c r="D68" s="938">
        <v>131</v>
      </c>
      <c r="E68" s="938">
        <v>0</v>
      </c>
      <c r="F68" s="943">
        <v>0</v>
      </c>
      <c r="G68" s="938">
        <v>3</v>
      </c>
      <c r="H68" s="938">
        <v>2</v>
      </c>
      <c r="I68" s="938">
        <v>0</v>
      </c>
      <c r="J68" s="672">
        <f t="shared" si="15"/>
        <v>0.0113243430152144</v>
      </c>
      <c r="K68" s="670">
        <f t="shared" si="21"/>
        <v>2.29007633587786</v>
      </c>
      <c r="L68" s="942">
        <f t="shared" si="16"/>
        <v>0</v>
      </c>
      <c r="M68" s="672">
        <f t="shared" si="17"/>
        <v>0</v>
      </c>
      <c r="N68" s="670" t="e">
        <f t="shared" si="18"/>
        <v>#DIV/0!</v>
      </c>
      <c r="O68" s="670" t="e">
        <f t="shared" si="19"/>
        <v>#DIV/0!</v>
      </c>
      <c r="P68" s="685">
        <f t="shared" si="22"/>
        <v>100</v>
      </c>
    </row>
    <row r="69" spans="1:16">
      <c r="A69" s="684">
        <f t="shared" si="23"/>
        <v>44264</v>
      </c>
      <c r="B69" s="670">
        <v>300</v>
      </c>
      <c r="C69" s="38">
        <v>11352</v>
      </c>
      <c r="D69" s="938">
        <v>167</v>
      </c>
      <c r="E69" s="938">
        <v>0</v>
      </c>
      <c r="F69" s="943">
        <v>0</v>
      </c>
      <c r="G69" s="938">
        <v>2</v>
      </c>
      <c r="H69" s="938">
        <v>2</v>
      </c>
      <c r="I69" s="938">
        <v>0</v>
      </c>
      <c r="J69" s="672">
        <f t="shared" si="15"/>
        <v>0.0147110641296688</v>
      </c>
      <c r="K69" s="670">
        <f t="shared" si="21"/>
        <v>1.79640718562874</v>
      </c>
      <c r="L69" s="942">
        <f t="shared" si="16"/>
        <v>0</v>
      </c>
      <c r="M69" s="672">
        <f t="shared" si="17"/>
        <v>0</v>
      </c>
      <c r="N69" s="670" t="e">
        <f t="shared" si="18"/>
        <v>#DIV/0!</v>
      </c>
      <c r="O69" s="670" t="e">
        <f t="shared" si="19"/>
        <v>#DIV/0!</v>
      </c>
      <c r="P69" s="685">
        <f t="shared" ref="P69:P166" si="24">B69/G69</f>
        <v>150</v>
      </c>
    </row>
    <row r="70" spans="1:16">
      <c r="A70" s="684">
        <f t="shared" si="23"/>
        <v>44265</v>
      </c>
      <c r="B70" s="670">
        <v>300</v>
      </c>
      <c r="C70" s="38">
        <v>12671</v>
      </c>
      <c r="D70" s="938">
        <v>162</v>
      </c>
      <c r="E70" s="938">
        <v>0</v>
      </c>
      <c r="F70" s="943">
        <v>0</v>
      </c>
      <c r="G70" s="938">
        <v>0</v>
      </c>
      <c r="H70" s="938">
        <v>4</v>
      </c>
      <c r="I70" s="938">
        <v>0</v>
      </c>
      <c r="J70" s="672">
        <f t="shared" si="15"/>
        <v>0.0127850998342672</v>
      </c>
      <c r="K70" s="670">
        <f t="shared" si="21"/>
        <v>1.85185185185185</v>
      </c>
      <c r="L70" s="942">
        <f t="shared" si="16"/>
        <v>0</v>
      </c>
      <c r="M70" s="672">
        <f t="shared" si="17"/>
        <v>0</v>
      </c>
      <c r="N70" s="670" t="e">
        <f t="shared" si="18"/>
        <v>#DIV/0!</v>
      </c>
      <c r="O70" s="670" t="e">
        <f t="shared" si="19"/>
        <v>#DIV/0!</v>
      </c>
      <c r="P70" s="685" t="e">
        <f t="shared" si="24"/>
        <v>#DIV/0!</v>
      </c>
    </row>
    <row r="71" spans="1:16">
      <c r="A71" s="684">
        <f t="shared" si="23"/>
        <v>44266</v>
      </c>
      <c r="B71" s="670">
        <v>593.01</v>
      </c>
      <c r="C71" s="38">
        <v>22031</v>
      </c>
      <c r="D71" s="938">
        <v>317</v>
      </c>
      <c r="E71" s="938">
        <v>0</v>
      </c>
      <c r="F71" s="943">
        <v>0</v>
      </c>
      <c r="G71" s="938">
        <v>7</v>
      </c>
      <c r="H71" s="938">
        <v>2</v>
      </c>
      <c r="I71" s="938">
        <v>0</v>
      </c>
      <c r="J71" s="672">
        <f t="shared" si="15"/>
        <v>0.0143888157596115</v>
      </c>
      <c r="K71" s="670">
        <f t="shared" si="21"/>
        <v>1.87069400630915</v>
      </c>
      <c r="L71" s="942">
        <f t="shared" si="16"/>
        <v>0</v>
      </c>
      <c r="M71" s="672">
        <f t="shared" si="17"/>
        <v>0</v>
      </c>
      <c r="N71" s="670" t="e">
        <f t="shared" si="18"/>
        <v>#DIV/0!</v>
      </c>
      <c r="O71" s="670" t="e">
        <f t="shared" si="19"/>
        <v>#DIV/0!</v>
      </c>
      <c r="P71" s="685">
        <f t="shared" si="24"/>
        <v>84.7157142857143</v>
      </c>
    </row>
    <row r="72" spans="1:16">
      <c r="A72" s="684">
        <f t="shared" si="23"/>
        <v>44267</v>
      </c>
      <c r="B72" s="670">
        <v>568.56</v>
      </c>
      <c r="C72" s="38">
        <v>25652</v>
      </c>
      <c r="D72" s="938">
        <v>322</v>
      </c>
      <c r="E72" s="938">
        <v>0</v>
      </c>
      <c r="F72" s="943">
        <v>0</v>
      </c>
      <c r="G72" s="938">
        <v>11</v>
      </c>
      <c r="H72" s="938">
        <v>2</v>
      </c>
      <c r="I72" s="938">
        <v>2</v>
      </c>
      <c r="J72" s="672">
        <f t="shared" si="15"/>
        <v>0.0125526274754405</v>
      </c>
      <c r="K72" s="670">
        <f t="shared" si="21"/>
        <v>1.76571428571429</v>
      </c>
      <c r="L72" s="942">
        <f t="shared" si="16"/>
        <v>0</v>
      </c>
      <c r="M72" s="672">
        <f t="shared" si="17"/>
        <v>0</v>
      </c>
      <c r="N72" s="670" t="e">
        <f t="shared" si="18"/>
        <v>#DIV/0!</v>
      </c>
      <c r="O72" s="670" t="e">
        <f t="shared" si="19"/>
        <v>#DIV/0!</v>
      </c>
      <c r="P72" s="685">
        <f t="shared" si="24"/>
        <v>51.6872727272727</v>
      </c>
    </row>
    <row r="73" spans="1:16">
      <c r="A73" s="684">
        <f t="shared" si="23"/>
        <v>44268</v>
      </c>
      <c r="B73" s="670">
        <v>600</v>
      </c>
      <c r="C73" s="38">
        <v>23776</v>
      </c>
      <c r="D73" s="938">
        <v>357</v>
      </c>
      <c r="E73" s="938">
        <v>0</v>
      </c>
      <c r="F73" s="943">
        <v>0</v>
      </c>
      <c r="G73" s="938">
        <v>6</v>
      </c>
      <c r="H73" s="938">
        <v>3</v>
      </c>
      <c r="I73" s="938">
        <v>0</v>
      </c>
      <c r="J73" s="672">
        <f t="shared" si="15"/>
        <v>0.0150151413189771</v>
      </c>
      <c r="K73" s="670">
        <f t="shared" si="21"/>
        <v>1.68067226890756</v>
      </c>
      <c r="L73" s="942">
        <f t="shared" si="16"/>
        <v>0</v>
      </c>
      <c r="M73" s="672">
        <f t="shared" si="17"/>
        <v>0</v>
      </c>
      <c r="N73" s="670" t="e">
        <f t="shared" si="18"/>
        <v>#DIV/0!</v>
      </c>
      <c r="O73" s="670" t="e">
        <f t="shared" si="19"/>
        <v>#DIV/0!</v>
      </c>
      <c r="P73" s="685">
        <f t="shared" si="24"/>
        <v>100</v>
      </c>
    </row>
    <row r="74" spans="1:16">
      <c r="A74" s="684">
        <f t="shared" si="23"/>
        <v>44269</v>
      </c>
      <c r="B74" s="670">
        <v>571.51</v>
      </c>
      <c r="C74" s="38">
        <v>30037</v>
      </c>
      <c r="D74" s="938">
        <v>335</v>
      </c>
      <c r="E74" s="938">
        <v>0</v>
      </c>
      <c r="F74" s="943">
        <v>0</v>
      </c>
      <c r="G74" s="938">
        <v>2</v>
      </c>
      <c r="H74" s="938">
        <v>1</v>
      </c>
      <c r="I74" s="938">
        <v>0</v>
      </c>
      <c r="J74" s="672">
        <f t="shared" si="15"/>
        <v>0.0111529114092619</v>
      </c>
      <c r="K74" s="670">
        <f t="shared" si="21"/>
        <v>1.706</v>
      </c>
      <c r="L74" s="942">
        <f t="shared" si="16"/>
        <v>0</v>
      </c>
      <c r="M74" s="672">
        <f t="shared" si="17"/>
        <v>0</v>
      </c>
      <c r="N74" s="670" t="e">
        <f t="shared" si="18"/>
        <v>#DIV/0!</v>
      </c>
      <c r="O74" s="670" t="e">
        <f t="shared" si="19"/>
        <v>#DIV/0!</v>
      </c>
      <c r="P74" s="685">
        <f t="shared" si="24"/>
        <v>285.755</v>
      </c>
    </row>
    <row r="75" spans="1:16">
      <c r="A75" s="684">
        <f t="shared" si="23"/>
        <v>44270</v>
      </c>
      <c r="B75" s="670">
        <v>598.3</v>
      </c>
      <c r="C75" s="38">
        <v>25320</v>
      </c>
      <c r="D75" s="938">
        <v>325</v>
      </c>
      <c r="E75" s="938">
        <v>0</v>
      </c>
      <c r="F75" s="943">
        <v>0</v>
      </c>
      <c r="G75" s="938">
        <v>9</v>
      </c>
      <c r="H75" s="938">
        <v>4</v>
      </c>
      <c r="I75" s="938">
        <v>0</v>
      </c>
      <c r="J75" s="672">
        <f t="shared" si="15"/>
        <v>0.0128357030015798</v>
      </c>
      <c r="K75" s="670">
        <f t="shared" si="21"/>
        <v>1.84092307692308</v>
      </c>
      <c r="L75" s="942">
        <f t="shared" si="16"/>
        <v>0</v>
      </c>
      <c r="M75" s="672">
        <f t="shared" si="17"/>
        <v>0</v>
      </c>
      <c r="N75" s="670" t="e">
        <f t="shared" si="18"/>
        <v>#DIV/0!</v>
      </c>
      <c r="O75" s="670" t="e">
        <f t="shared" si="19"/>
        <v>#DIV/0!</v>
      </c>
      <c r="P75" s="943">
        <f t="shared" si="24"/>
        <v>66.4777777777778</v>
      </c>
    </row>
    <row r="76" spans="1:16">
      <c r="A76" s="684">
        <f t="shared" si="23"/>
        <v>44271</v>
      </c>
      <c r="B76" s="670">
        <v>557.74</v>
      </c>
      <c r="C76" s="38">
        <v>31879</v>
      </c>
      <c r="D76" s="938">
        <v>363</v>
      </c>
      <c r="E76" s="938">
        <v>0</v>
      </c>
      <c r="F76" s="943">
        <v>0</v>
      </c>
      <c r="G76" s="938">
        <v>14</v>
      </c>
      <c r="H76" s="938">
        <v>3</v>
      </c>
      <c r="I76" s="938">
        <v>1</v>
      </c>
      <c r="J76" s="672">
        <f t="shared" si="15"/>
        <v>0.0113868063615546</v>
      </c>
      <c r="K76" s="670">
        <f t="shared" si="21"/>
        <v>1.5364738292011</v>
      </c>
      <c r="L76" s="942">
        <f t="shared" si="16"/>
        <v>0</v>
      </c>
      <c r="M76" s="672">
        <f t="shared" si="17"/>
        <v>0</v>
      </c>
      <c r="N76" s="670" t="e">
        <f t="shared" si="18"/>
        <v>#DIV/0!</v>
      </c>
      <c r="O76" s="670" t="e">
        <f t="shared" si="19"/>
        <v>#DIV/0!</v>
      </c>
      <c r="P76" s="943">
        <f t="shared" si="24"/>
        <v>39.8385714285714</v>
      </c>
    </row>
    <row r="77" spans="1:16">
      <c r="A77" s="684">
        <f t="shared" si="23"/>
        <v>44272</v>
      </c>
      <c r="B77" s="670">
        <v>470.62</v>
      </c>
      <c r="C77" s="38">
        <v>40183</v>
      </c>
      <c r="D77" s="938">
        <v>357</v>
      </c>
      <c r="E77" s="938">
        <v>0</v>
      </c>
      <c r="F77" s="943">
        <v>0</v>
      </c>
      <c r="G77" s="938">
        <v>19</v>
      </c>
      <c r="H77" s="938">
        <v>1</v>
      </c>
      <c r="I77" s="938">
        <v>2</v>
      </c>
      <c r="J77" s="672">
        <f t="shared" si="15"/>
        <v>0.00888435408008362</v>
      </c>
      <c r="K77" s="670">
        <f t="shared" si="21"/>
        <v>1.31826330532213</v>
      </c>
      <c r="L77" s="942">
        <f t="shared" si="16"/>
        <v>0</v>
      </c>
      <c r="M77" s="672">
        <f t="shared" si="17"/>
        <v>0</v>
      </c>
      <c r="N77" s="670" t="e">
        <f t="shared" si="18"/>
        <v>#DIV/0!</v>
      </c>
      <c r="O77" s="670" t="e">
        <f t="shared" si="19"/>
        <v>#DIV/0!</v>
      </c>
      <c r="P77" s="943">
        <f t="shared" si="24"/>
        <v>24.7694736842105</v>
      </c>
    </row>
    <row r="78" spans="1:16">
      <c r="A78" s="684">
        <f t="shared" si="23"/>
        <v>44273</v>
      </c>
      <c r="B78" s="670">
        <v>453.8</v>
      </c>
      <c r="C78" s="38">
        <v>30368</v>
      </c>
      <c r="D78" s="938">
        <v>290</v>
      </c>
      <c r="E78" s="938">
        <v>0</v>
      </c>
      <c r="F78" s="943">
        <v>0</v>
      </c>
      <c r="G78" s="938">
        <v>9</v>
      </c>
      <c r="H78" s="938">
        <v>0</v>
      </c>
      <c r="I78" s="938">
        <v>2</v>
      </c>
      <c r="J78" s="672">
        <f t="shared" si="15"/>
        <v>0.0095495258166491</v>
      </c>
      <c r="K78" s="670">
        <f t="shared" si="21"/>
        <v>1.5648275862069</v>
      </c>
      <c r="L78" s="942">
        <f t="shared" si="16"/>
        <v>0</v>
      </c>
      <c r="M78" s="672">
        <f t="shared" si="17"/>
        <v>0</v>
      </c>
      <c r="N78" s="670" t="e">
        <f t="shared" si="18"/>
        <v>#DIV/0!</v>
      </c>
      <c r="O78" s="670" t="e">
        <f t="shared" si="19"/>
        <v>#DIV/0!</v>
      </c>
      <c r="P78" s="943">
        <f t="shared" si="24"/>
        <v>50.4222222222222</v>
      </c>
    </row>
    <row r="79" spans="1:16">
      <c r="A79" s="684">
        <f t="shared" si="23"/>
        <v>44274</v>
      </c>
      <c r="B79" s="670">
        <v>427.83</v>
      </c>
      <c r="C79" s="38">
        <v>25397</v>
      </c>
      <c r="D79" s="938">
        <v>270</v>
      </c>
      <c r="E79" s="938">
        <v>0</v>
      </c>
      <c r="F79" s="943">
        <v>0</v>
      </c>
      <c r="G79" s="938">
        <v>8</v>
      </c>
      <c r="H79" s="938">
        <v>2</v>
      </c>
      <c r="I79" s="938">
        <v>0</v>
      </c>
      <c r="J79" s="672">
        <f t="shared" si="15"/>
        <v>0.0106311769106587</v>
      </c>
      <c r="K79" s="670">
        <f t="shared" si="21"/>
        <v>1.58455555555556</v>
      </c>
      <c r="L79" s="942">
        <f t="shared" si="16"/>
        <v>0</v>
      </c>
      <c r="M79" s="672">
        <f t="shared" si="17"/>
        <v>0</v>
      </c>
      <c r="N79" s="670" t="e">
        <f t="shared" si="18"/>
        <v>#DIV/0!</v>
      </c>
      <c r="O79" s="670" t="e">
        <f t="shared" si="19"/>
        <v>#DIV/0!</v>
      </c>
      <c r="P79" s="943">
        <f t="shared" si="24"/>
        <v>53.47875</v>
      </c>
    </row>
    <row r="80" spans="1:16">
      <c r="A80" s="684">
        <f t="shared" si="23"/>
        <v>44275</v>
      </c>
      <c r="B80" s="670">
        <v>462.42</v>
      </c>
      <c r="C80" s="38">
        <v>22624</v>
      </c>
      <c r="D80" s="938">
        <v>295</v>
      </c>
      <c r="E80" s="938">
        <v>0</v>
      </c>
      <c r="F80" s="943">
        <v>0</v>
      </c>
      <c r="G80" s="938">
        <v>7</v>
      </c>
      <c r="H80" s="938">
        <v>1</v>
      </c>
      <c r="I80" s="938">
        <v>0</v>
      </c>
      <c r="J80" s="672">
        <f t="shared" si="15"/>
        <v>0.0130392503536068</v>
      </c>
      <c r="K80" s="670">
        <f t="shared" si="21"/>
        <v>1.56752542372881</v>
      </c>
      <c r="L80" s="942">
        <f t="shared" si="16"/>
        <v>0</v>
      </c>
      <c r="M80" s="672">
        <f t="shared" si="17"/>
        <v>0</v>
      </c>
      <c r="N80" s="670" t="e">
        <f t="shared" si="18"/>
        <v>#DIV/0!</v>
      </c>
      <c r="O80" s="670" t="e">
        <f t="shared" si="19"/>
        <v>#DIV/0!</v>
      </c>
      <c r="P80" s="943">
        <f t="shared" si="24"/>
        <v>66.06</v>
      </c>
    </row>
    <row r="81" spans="1:16">
      <c r="A81" s="684">
        <f t="shared" si="23"/>
        <v>44276</v>
      </c>
      <c r="B81" s="670">
        <v>443.92</v>
      </c>
      <c r="C81" s="38">
        <v>24657</v>
      </c>
      <c r="D81" s="938">
        <v>291</v>
      </c>
      <c r="E81" s="938">
        <v>0</v>
      </c>
      <c r="F81" s="943">
        <v>0</v>
      </c>
      <c r="G81" s="938">
        <v>7</v>
      </c>
      <c r="H81" s="938">
        <v>2</v>
      </c>
      <c r="I81" s="938">
        <v>0</v>
      </c>
      <c r="J81" s="672">
        <f t="shared" si="15"/>
        <v>0.0118019223749848</v>
      </c>
      <c r="K81" s="670">
        <f t="shared" si="21"/>
        <v>1.52549828178694</v>
      </c>
      <c r="L81" s="942">
        <f t="shared" si="16"/>
        <v>0</v>
      </c>
      <c r="M81" s="672">
        <f t="shared" si="17"/>
        <v>0</v>
      </c>
      <c r="N81" s="670" t="e">
        <f t="shared" si="18"/>
        <v>#DIV/0!</v>
      </c>
      <c r="O81" s="670" t="e">
        <f t="shared" si="19"/>
        <v>#DIV/0!</v>
      </c>
      <c r="P81" s="943">
        <f t="shared" si="24"/>
        <v>63.4171428571429</v>
      </c>
    </row>
    <row r="82" spans="1:16">
      <c r="A82" s="684">
        <f t="shared" si="23"/>
        <v>44277</v>
      </c>
      <c r="B82" s="670">
        <v>422.02</v>
      </c>
      <c r="C82" s="42">
        <v>29886</v>
      </c>
      <c r="D82" s="42">
        <v>265</v>
      </c>
      <c r="E82" s="938">
        <v>0</v>
      </c>
      <c r="F82" s="670">
        <v>0</v>
      </c>
      <c r="G82" s="938">
        <v>6</v>
      </c>
      <c r="H82" s="938">
        <v>3</v>
      </c>
      <c r="I82" s="938">
        <v>0</v>
      </c>
      <c r="J82" s="672">
        <v>0.0089</v>
      </c>
      <c r="K82" s="670">
        <v>1.59</v>
      </c>
      <c r="L82" s="942">
        <f t="shared" si="16"/>
        <v>0</v>
      </c>
      <c r="M82" s="672">
        <f t="shared" si="17"/>
        <v>0</v>
      </c>
      <c r="N82" s="670" t="e">
        <f t="shared" si="18"/>
        <v>#DIV/0!</v>
      </c>
      <c r="O82" s="670" t="e">
        <f t="shared" si="19"/>
        <v>#DIV/0!</v>
      </c>
      <c r="P82" s="943">
        <f t="shared" si="24"/>
        <v>70.3366666666667</v>
      </c>
    </row>
    <row r="83" spans="1:16">
      <c r="A83" s="684">
        <f t="shared" si="23"/>
        <v>44278</v>
      </c>
      <c r="B83" s="670">
        <v>422.29</v>
      </c>
      <c r="C83" s="42">
        <v>32761</v>
      </c>
      <c r="D83" s="42">
        <v>282</v>
      </c>
      <c r="E83" s="938">
        <v>2</v>
      </c>
      <c r="F83" s="670">
        <v>10449</v>
      </c>
      <c r="G83" s="938">
        <v>9</v>
      </c>
      <c r="H83" s="938">
        <v>4</v>
      </c>
      <c r="I83" s="938">
        <v>1</v>
      </c>
      <c r="J83" s="672">
        <v>0.0154</v>
      </c>
      <c r="K83" s="670">
        <v>1.28</v>
      </c>
      <c r="L83" s="942">
        <f t="shared" si="16"/>
        <v>24.7436595704374</v>
      </c>
      <c r="M83" s="672">
        <f t="shared" si="17"/>
        <v>0.00709219858156028</v>
      </c>
      <c r="N83" s="670">
        <f t="shared" si="18"/>
        <v>5224.5</v>
      </c>
      <c r="O83" s="670">
        <f t="shared" si="19"/>
        <v>211.145</v>
      </c>
      <c r="P83" s="943">
        <f t="shared" si="24"/>
        <v>46.9211111111111</v>
      </c>
    </row>
    <row r="84" spans="1:16">
      <c r="A84" s="684">
        <f t="shared" si="23"/>
        <v>44279</v>
      </c>
      <c r="B84" s="670">
        <v>484.63</v>
      </c>
      <c r="C84" s="42">
        <v>24550</v>
      </c>
      <c r="D84" s="42">
        <v>321</v>
      </c>
      <c r="E84" s="37">
        <v>0</v>
      </c>
      <c r="F84" s="670">
        <v>0</v>
      </c>
      <c r="G84" s="938">
        <v>0</v>
      </c>
      <c r="H84" s="37">
        <v>4</v>
      </c>
      <c r="I84" s="37">
        <v>0</v>
      </c>
      <c r="J84" s="672">
        <v>0.0131</v>
      </c>
      <c r="K84" s="670">
        <v>1.51</v>
      </c>
      <c r="L84" s="942">
        <f t="shared" si="16"/>
        <v>0</v>
      </c>
      <c r="M84" s="672">
        <f t="shared" si="17"/>
        <v>0</v>
      </c>
      <c r="N84" s="670" t="e">
        <f t="shared" si="18"/>
        <v>#DIV/0!</v>
      </c>
      <c r="O84" s="670" t="e">
        <f t="shared" si="19"/>
        <v>#DIV/0!</v>
      </c>
      <c r="P84" s="943" t="e">
        <f t="shared" si="24"/>
        <v>#DIV/0!</v>
      </c>
    </row>
    <row r="85" spans="1:16">
      <c r="A85" s="684">
        <f t="shared" si="23"/>
        <v>44280</v>
      </c>
      <c r="B85" s="670">
        <v>485.44</v>
      </c>
      <c r="C85" s="42">
        <v>25538</v>
      </c>
      <c r="D85" s="42">
        <v>361</v>
      </c>
      <c r="E85" s="37">
        <v>0</v>
      </c>
      <c r="F85" s="670">
        <v>0</v>
      </c>
      <c r="G85" s="938">
        <v>6</v>
      </c>
      <c r="H85" s="37">
        <v>7</v>
      </c>
      <c r="I85" s="37">
        <v>2</v>
      </c>
      <c r="J85" s="672">
        <v>0.0141</v>
      </c>
      <c r="K85" s="670">
        <v>1.34</v>
      </c>
      <c r="L85" s="942">
        <f t="shared" si="16"/>
        <v>0</v>
      </c>
      <c r="M85" s="672">
        <f t="shared" si="17"/>
        <v>0</v>
      </c>
      <c r="N85" s="670" t="e">
        <f t="shared" si="18"/>
        <v>#DIV/0!</v>
      </c>
      <c r="O85" s="670" t="e">
        <f t="shared" si="19"/>
        <v>#DIV/0!</v>
      </c>
      <c r="P85" s="943">
        <f t="shared" si="24"/>
        <v>80.9066666666667</v>
      </c>
    </row>
    <row r="86" spans="1:16">
      <c r="A86" s="684">
        <f t="shared" si="23"/>
        <v>44281</v>
      </c>
      <c r="B86" s="670">
        <v>457.5</v>
      </c>
      <c r="C86" s="42">
        <v>34836</v>
      </c>
      <c r="D86" s="42">
        <v>356</v>
      </c>
      <c r="E86" s="37">
        <v>1</v>
      </c>
      <c r="F86" s="670">
        <v>1</v>
      </c>
      <c r="G86" s="37">
        <v>2</v>
      </c>
      <c r="H86" s="37">
        <v>3</v>
      </c>
      <c r="I86" s="37">
        <v>2</v>
      </c>
      <c r="J86" s="672">
        <v>0.0102</v>
      </c>
      <c r="K86" s="670">
        <v>1.29</v>
      </c>
      <c r="L86" s="942">
        <f t="shared" si="16"/>
        <v>0.00218579234972678</v>
      </c>
      <c r="M86" s="672">
        <f t="shared" si="17"/>
        <v>0.00280898876404494</v>
      </c>
      <c r="N86" s="670">
        <f t="shared" si="18"/>
        <v>1</v>
      </c>
      <c r="O86" s="670">
        <f t="shared" si="19"/>
        <v>457.5</v>
      </c>
      <c r="P86" s="943">
        <f t="shared" si="24"/>
        <v>228.75</v>
      </c>
    </row>
    <row r="87" spans="1:16">
      <c r="A87" s="684">
        <f t="shared" si="23"/>
        <v>44282</v>
      </c>
      <c r="B87" s="670">
        <v>474.78</v>
      </c>
      <c r="C87" s="42">
        <v>29830</v>
      </c>
      <c r="D87" s="42">
        <v>353</v>
      </c>
      <c r="E87" s="37">
        <v>0</v>
      </c>
      <c r="F87" s="670">
        <v>0</v>
      </c>
      <c r="G87" s="37">
        <v>9</v>
      </c>
      <c r="H87" s="37">
        <v>1</v>
      </c>
      <c r="I87" s="37">
        <v>1</v>
      </c>
      <c r="J87" s="672">
        <v>0.0118</v>
      </c>
      <c r="K87" s="670">
        <v>1.34</v>
      </c>
      <c r="L87" s="942">
        <f t="shared" si="16"/>
        <v>0</v>
      </c>
      <c r="M87" s="672">
        <f t="shared" si="17"/>
        <v>0</v>
      </c>
      <c r="N87" s="670" t="e">
        <f t="shared" si="18"/>
        <v>#DIV/0!</v>
      </c>
      <c r="O87" s="670" t="e">
        <f t="shared" si="19"/>
        <v>#DIV/0!</v>
      </c>
      <c r="P87" s="943">
        <f t="shared" si="24"/>
        <v>52.7533333333333</v>
      </c>
    </row>
    <row r="88" spans="1:16">
      <c r="A88" s="684">
        <f t="shared" si="23"/>
        <v>44283</v>
      </c>
      <c r="B88" s="670">
        <v>493.28</v>
      </c>
      <c r="C88" s="42">
        <v>24937</v>
      </c>
      <c r="D88" s="42">
        <v>385</v>
      </c>
      <c r="E88" s="37">
        <v>0</v>
      </c>
      <c r="F88" s="670">
        <v>0</v>
      </c>
      <c r="G88" s="37">
        <v>11</v>
      </c>
      <c r="H88" s="37">
        <v>4</v>
      </c>
      <c r="I88" s="37">
        <v>1</v>
      </c>
      <c r="J88" s="672">
        <v>0.0154</v>
      </c>
      <c r="K88" s="670">
        <v>1.28</v>
      </c>
      <c r="L88" s="942">
        <f t="shared" si="16"/>
        <v>0</v>
      </c>
      <c r="M88" s="672">
        <f t="shared" si="17"/>
        <v>0</v>
      </c>
      <c r="N88" s="670" t="e">
        <f t="shared" si="18"/>
        <v>#DIV/0!</v>
      </c>
      <c r="O88" s="670" t="e">
        <f t="shared" si="19"/>
        <v>#DIV/0!</v>
      </c>
      <c r="P88" s="943">
        <f t="shared" si="24"/>
        <v>44.8436363636364</v>
      </c>
    </row>
    <row r="89" spans="1:16">
      <c r="A89" s="684">
        <f t="shared" si="23"/>
        <v>44284</v>
      </c>
      <c r="B89" s="670">
        <v>500</v>
      </c>
      <c r="C89" s="38">
        <v>27841</v>
      </c>
      <c r="D89" s="944">
        <v>298</v>
      </c>
      <c r="E89" s="37">
        <v>0</v>
      </c>
      <c r="F89" s="943">
        <v>0</v>
      </c>
      <c r="G89" s="37">
        <v>2</v>
      </c>
      <c r="H89" s="37">
        <v>1</v>
      </c>
      <c r="I89" s="37">
        <v>0</v>
      </c>
      <c r="J89" s="672">
        <v>0.0107</v>
      </c>
      <c r="K89" s="670">
        <v>1.68</v>
      </c>
      <c r="L89" s="942">
        <f t="shared" si="16"/>
        <v>0</v>
      </c>
      <c r="M89" s="672">
        <f t="shared" si="17"/>
        <v>0</v>
      </c>
      <c r="N89" s="670" t="e">
        <f t="shared" si="18"/>
        <v>#DIV/0!</v>
      </c>
      <c r="O89" s="670" t="e">
        <f t="shared" si="19"/>
        <v>#DIV/0!</v>
      </c>
      <c r="P89" s="943">
        <f t="shared" si="24"/>
        <v>250</v>
      </c>
    </row>
    <row r="90" spans="1:16">
      <c r="A90" s="684">
        <f t="shared" si="23"/>
        <v>44285</v>
      </c>
      <c r="B90" s="670">
        <v>500</v>
      </c>
      <c r="C90" s="38">
        <v>21271</v>
      </c>
      <c r="D90" s="944">
        <v>251</v>
      </c>
      <c r="E90" s="37">
        <v>0</v>
      </c>
      <c r="F90" s="943">
        <v>0</v>
      </c>
      <c r="G90" s="37">
        <v>2</v>
      </c>
      <c r="H90" s="37">
        <v>2</v>
      </c>
      <c r="I90" s="37">
        <v>2</v>
      </c>
      <c r="J90" s="672">
        <v>0.0118</v>
      </c>
      <c r="K90" s="670">
        <v>1.99</v>
      </c>
      <c r="L90" s="942">
        <f t="shared" si="16"/>
        <v>0</v>
      </c>
      <c r="M90" s="672">
        <f t="shared" si="17"/>
        <v>0</v>
      </c>
      <c r="N90" s="670" t="e">
        <f t="shared" si="18"/>
        <v>#DIV/0!</v>
      </c>
      <c r="O90" s="670" t="e">
        <f t="shared" si="19"/>
        <v>#DIV/0!</v>
      </c>
      <c r="P90" s="943">
        <f t="shared" si="24"/>
        <v>250</v>
      </c>
    </row>
    <row r="91" spans="1:16">
      <c r="A91" s="684">
        <f t="shared" si="23"/>
        <v>44286</v>
      </c>
      <c r="B91" s="670">
        <v>470.72</v>
      </c>
      <c r="C91" s="38">
        <v>24105</v>
      </c>
      <c r="D91" s="944">
        <v>289</v>
      </c>
      <c r="E91" s="37">
        <v>0</v>
      </c>
      <c r="F91" s="943">
        <v>0</v>
      </c>
      <c r="G91" s="37">
        <v>13</v>
      </c>
      <c r="H91" s="37">
        <v>6</v>
      </c>
      <c r="I91" s="37">
        <v>2</v>
      </c>
      <c r="J91" s="672">
        <v>0.0146</v>
      </c>
      <c r="K91" s="670">
        <v>1.64</v>
      </c>
      <c r="L91" s="942">
        <f t="shared" si="16"/>
        <v>0</v>
      </c>
      <c r="M91" s="672">
        <f t="shared" si="17"/>
        <v>0</v>
      </c>
      <c r="N91" s="670" t="e">
        <f t="shared" si="18"/>
        <v>#DIV/0!</v>
      </c>
      <c r="O91" s="670" t="e">
        <f t="shared" si="19"/>
        <v>#DIV/0!</v>
      </c>
      <c r="P91" s="943">
        <f t="shared" si="24"/>
        <v>36.2092307692308</v>
      </c>
    </row>
    <row r="92" spans="1:16">
      <c r="A92" s="684">
        <f t="shared" si="23"/>
        <v>44287</v>
      </c>
      <c r="B92" s="670">
        <v>550.73</v>
      </c>
      <c r="C92" s="38">
        <v>18435</v>
      </c>
      <c r="D92" s="944">
        <v>333</v>
      </c>
      <c r="E92" s="37">
        <v>0</v>
      </c>
      <c r="F92" s="943">
        <v>0</v>
      </c>
      <c r="G92" s="37">
        <v>9</v>
      </c>
      <c r="H92" s="37">
        <v>4</v>
      </c>
      <c r="I92" s="37">
        <v>2</v>
      </c>
      <c r="J92" s="672">
        <v>0.0181</v>
      </c>
      <c r="K92" s="670">
        <v>1.65</v>
      </c>
      <c r="L92" s="942">
        <f t="shared" si="16"/>
        <v>0</v>
      </c>
      <c r="M92" s="672">
        <f t="shared" si="17"/>
        <v>0</v>
      </c>
      <c r="N92" s="670" t="e">
        <f t="shared" si="18"/>
        <v>#DIV/0!</v>
      </c>
      <c r="O92" s="670" t="e">
        <f t="shared" si="19"/>
        <v>#DIV/0!</v>
      </c>
      <c r="P92" s="943">
        <f t="shared" si="24"/>
        <v>61.1922222222222</v>
      </c>
    </row>
    <row r="93" spans="1:16">
      <c r="A93" s="684">
        <f t="shared" si="23"/>
        <v>44288</v>
      </c>
      <c r="B93" s="670">
        <v>546.65</v>
      </c>
      <c r="C93" s="38">
        <v>20623</v>
      </c>
      <c r="D93" s="944">
        <v>335</v>
      </c>
      <c r="E93" s="37">
        <v>0</v>
      </c>
      <c r="F93" s="943">
        <v>0</v>
      </c>
      <c r="G93" s="37">
        <v>6</v>
      </c>
      <c r="H93" s="37">
        <v>5</v>
      </c>
      <c r="I93" s="37">
        <v>0</v>
      </c>
      <c r="J93" s="672">
        <v>0.0162</v>
      </c>
      <c r="K93" s="670">
        <v>1.63</v>
      </c>
      <c r="L93" s="942">
        <f t="shared" si="16"/>
        <v>0</v>
      </c>
      <c r="M93" s="672">
        <f t="shared" si="17"/>
        <v>0</v>
      </c>
      <c r="N93" s="670" t="e">
        <f t="shared" si="18"/>
        <v>#DIV/0!</v>
      </c>
      <c r="O93" s="670" t="e">
        <f t="shared" si="19"/>
        <v>#DIV/0!</v>
      </c>
      <c r="P93" s="943">
        <f t="shared" si="24"/>
        <v>91.1083333333333</v>
      </c>
    </row>
    <row r="94" spans="1:16">
      <c r="A94" s="684">
        <f t="shared" si="23"/>
        <v>44289</v>
      </c>
      <c r="B94" s="670">
        <v>579.76</v>
      </c>
      <c r="C94" s="38">
        <v>27406</v>
      </c>
      <c r="D94" s="944">
        <v>361</v>
      </c>
      <c r="E94" s="37">
        <v>0</v>
      </c>
      <c r="F94" s="943">
        <v>0</v>
      </c>
      <c r="G94" s="37">
        <v>6</v>
      </c>
      <c r="H94" s="37">
        <v>4</v>
      </c>
      <c r="I94" s="37">
        <v>0</v>
      </c>
      <c r="J94" s="672">
        <v>0.0132</v>
      </c>
      <c r="K94" s="670">
        <v>1.61</v>
      </c>
      <c r="L94" s="942">
        <f t="shared" si="16"/>
        <v>0</v>
      </c>
      <c r="M94" s="672">
        <f t="shared" si="17"/>
        <v>0</v>
      </c>
      <c r="N94" s="670" t="e">
        <f t="shared" si="18"/>
        <v>#DIV/0!</v>
      </c>
      <c r="O94" s="670" t="e">
        <f t="shared" si="19"/>
        <v>#DIV/0!</v>
      </c>
      <c r="P94" s="943">
        <f t="shared" si="24"/>
        <v>96.6266666666667</v>
      </c>
    </row>
    <row r="95" spans="1:16">
      <c r="A95" s="684">
        <f t="shared" si="23"/>
        <v>44290</v>
      </c>
      <c r="B95" s="670">
        <v>554.23</v>
      </c>
      <c r="C95" s="38">
        <v>20786</v>
      </c>
      <c r="D95" s="944">
        <v>368</v>
      </c>
      <c r="E95" s="37">
        <v>0</v>
      </c>
      <c r="F95" s="943">
        <v>0</v>
      </c>
      <c r="G95" s="37">
        <v>7</v>
      </c>
      <c r="H95" s="37">
        <v>3</v>
      </c>
      <c r="I95" s="37">
        <v>2</v>
      </c>
      <c r="J95" s="672">
        <v>0.0177</v>
      </c>
      <c r="K95" s="670">
        <v>1.51</v>
      </c>
      <c r="L95" s="942">
        <f t="shared" si="16"/>
        <v>0</v>
      </c>
      <c r="M95" s="672">
        <f t="shared" si="17"/>
        <v>0</v>
      </c>
      <c r="N95" s="670" t="e">
        <f t="shared" si="18"/>
        <v>#DIV/0!</v>
      </c>
      <c r="O95" s="670" t="e">
        <f t="shared" si="19"/>
        <v>#DIV/0!</v>
      </c>
      <c r="P95" s="943">
        <f t="shared" si="24"/>
        <v>79.1757142857143</v>
      </c>
    </row>
    <row r="96" spans="1:16">
      <c r="A96" s="684">
        <f t="shared" ref="A96:A144" si="25">A95+1</f>
        <v>44291</v>
      </c>
      <c r="B96" s="670">
        <v>726.8</v>
      </c>
      <c r="C96" s="38">
        <v>16962</v>
      </c>
      <c r="D96" s="944">
        <v>429</v>
      </c>
      <c r="E96" s="37">
        <v>0</v>
      </c>
      <c r="F96" s="943">
        <v>0</v>
      </c>
      <c r="G96" s="37">
        <v>17</v>
      </c>
      <c r="H96" s="37">
        <v>9</v>
      </c>
      <c r="I96" s="37">
        <v>0</v>
      </c>
      <c r="J96" s="672">
        <v>0.0253</v>
      </c>
      <c r="K96" s="670">
        <v>2.53</v>
      </c>
      <c r="L96" s="942">
        <f t="shared" si="16"/>
        <v>0</v>
      </c>
      <c r="M96" s="672">
        <f t="shared" si="17"/>
        <v>0</v>
      </c>
      <c r="N96" s="670" t="e">
        <f t="shared" si="18"/>
        <v>#DIV/0!</v>
      </c>
      <c r="O96" s="670" t="e">
        <f t="shared" si="19"/>
        <v>#DIV/0!</v>
      </c>
      <c r="P96" s="943">
        <f t="shared" si="24"/>
        <v>42.7529411764706</v>
      </c>
    </row>
    <row r="97" spans="1:16">
      <c r="A97" s="684">
        <f t="shared" si="25"/>
        <v>44292</v>
      </c>
      <c r="B97" s="670">
        <v>656.33</v>
      </c>
      <c r="C97" s="38">
        <v>23909</v>
      </c>
      <c r="D97" s="944">
        <v>406</v>
      </c>
      <c r="E97" s="37">
        <v>0</v>
      </c>
      <c r="F97" s="943">
        <v>0</v>
      </c>
      <c r="G97" s="37">
        <v>10</v>
      </c>
      <c r="H97" s="37">
        <v>6</v>
      </c>
      <c r="I97" s="37">
        <v>2</v>
      </c>
      <c r="J97" s="672">
        <v>0.017</v>
      </c>
      <c r="K97" s="670">
        <v>1.7</v>
      </c>
      <c r="L97" s="942">
        <f t="shared" ref="L97:L126" si="26">F97/B97</f>
        <v>0</v>
      </c>
      <c r="M97" s="672">
        <f t="shared" ref="M97:M160" si="27">E97/D97</f>
        <v>0</v>
      </c>
      <c r="N97" s="670" t="e">
        <f t="shared" ref="N97:N167" si="28">F97/E97</f>
        <v>#DIV/0!</v>
      </c>
      <c r="O97" s="670" t="e">
        <f t="shared" ref="O97:O166" si="29">B97/E97</f>
        <v>#DIV/0!</v>
      </c>
      <c r="P97" s="943">
        <f t="shared" si="24"/>
        <v>65.633</v>
      </c>
    </row>
    <row r="98" spans="1:16">
      <c r="A98" s="684">
        <f t="shared" si="25"/>
        <v>44293</v>
      </c>
      <c r="B98" s="670">
        <v>564.95</v>
      </c>
      <c r="C98" s="38">
        <v>30903</v>
      </c>
      <c r="D98" s="944">
        <v>352</v>
      </c>
      <c r="E98" s="37">
        <v>0</v>
      </c>
      <c r="F98" s="943">
        <v>0</v>
      </c>
      <c r="G98" s="37">
        <v>7</v>
      </c>
      <c r="H98" s="37">
        <v>0</v>
      </c>
      <c r="I98" s="37">
        <v>1</v>
      </c>
      <c r="J98" s="672">
        <v>0.0114</v>
      </c>
      <c r="K98" s="670">
        <v>1.14</v>
      </c>
      <c r="L98" s="942">
        <f t="shared" si="26"/>
        <v>0</v>
      </c>
      <c r="M98" s="672">
        <f t="shared" si="27"/>
        <v>0</v>
      </c>
      <c r="N98" s="670" t="e">
        <f t="shared" si="28"/>
        <v>#DIV/0!</v>
      </c>
      <c r="O98" s="670" t="e">
        <f t="shared" si="29"/>
        <v>#DIV/0!</v>
      </c>
      <c r="P98" s="943">
        <f t="shared" si="24"/>
        <v>80.7071428571429</v>
      </c>
    </row>
    <row r="99" spans="1:16">
      <c r="A99" s="684">
        <f t="shared" si="25"/>
        <v>44294</v>
      </c>
      <c r="B99" s="670">
        <v>499.06</v>
      </c>
      <c r="C99" s="38">
        <v>10471</v>
      </c>
      <c r="D99" s="944">
        <v>232</v>
      </c>
      <c r="E99" s="37">
        <v>0</v>
      </c>
      <c r="F99" s="943">
        <v>0</v>
      </c>
      <c r="G99" s="37">
        <v>3</v>
      </c>
      <c r="H99" s="37">
        <v>1</v>
      </c>
      <c r="I99" s="37">
        <v>0</v>
      </c>
      <c r="J99" s="672">
        <v>0.0222</v>
      </c>
      <c r="K99" s="670">
        <v>2.22</v>
      </c>
      <c r="L99" s="942">
        <f t="shared" si="26"/>
        <v>0</v>
      </c>
      <c r="M99" s="672">
        <f t="shared" si="27"/>
        <v>0</v>
      </c>
      <c r="N99" s="670" t="e">
        <f t="shared" si="28"/>
        <v>#DIV/0!</v>
      </c>
      <c r="O99" s="670" t="e">
        <f t="shared" si="29"/>
        <v>#DIV/0!</v>
      </c>
      <c r="P99" s="943">
        <f t="shared" si="24"/>
        <v>166.353333333333</v>
      </c>
    </row>
    <row r="100" spans="1:16">
      <c r="A100" s="684">
        <f t="shared" si="25"/>
        <v>44295</v>
      </c>
      <c r="B100" s="670">
        <v>500</v>
      </c>
      <c r="C100" s="38">
        <v>11049</v>
      </c>
      <c r="D100" s="944">
        <v>211</v>
      </c>
      <c r="E100" s="37">
        <v>0</v>
      </c>
      <c r="F100" s="943">
        <v>0</v>
      </c>
      <c r="G100" s="37">
        <v>7</v>
      </c>
      <c r="H100" s="37">
        <v>1</v>
      </c>
      <c r="I100" s="37">
        <v>0</v>
      </c>
      <c r="J100" s="672">
        <v>0.0191</v>
      </c>
      <c r="K100" s="670">
        <v>1.91</v>
      </c>
      <c r="L100" s="942">
        <f t="shared" si="26"/>
        <v>0</v>
      </c>
      <c r="M100" s="672">
        <f t="shared" si="27"/>
        <v>0</v>
      </c>
      <c r="N100" s="670" t="e">
        <f t="shared" si="28"/>
        <v>#DIV/0!</v>
      </c>
      <c r="O100" s="670" t="e">
        <f t="shared" si="29"/>
        <v>#DIV/0!</v>
      </c>
      <c r="P100" s="943">
        <f t="shared" si="24"/>
        <v>71.4285714285714</v>
      </c>
    </row>
    <row r="101" spans="1:16">
      <c r="A101" s="684">
        <f t="shared" si="25"/>
        <v>44296</v>
      </c>
      <c r="B101" s="670">
        <v>500</v>
      </c>
      <c r="C101" s="38">
        <v>13900</v>
      </c>
      <c r="D101" s="944">
        <v>287</v>
      </c>
      <c r="E101" s="37">
        <v>0</v>
      </c>
      <c r="F101" s="943">
        <v>0</v>
      </c>
      <c r="G101" s="37">
        <v>15</v>
      </c>
      <c r="H101" s="37">
        <v>3</v>
      </c>
      <c r="I101" s="37">
        <v>0</v>
      </c>
      <c r="J101" s="672">
        <v>0.0206</v>
      </c>
      <c r="K101" s="670">
        <v>2.06</v>
      </c>
      <c r="L101" s="942">
        <f t="shared" si="26"/>
        <v>0</v>
      </c>
      <c r="M101" s="672">
        <f t="shared" si="27"/>
        <v>0</v>
      </c>
      <c r="N101" s="670" t="e">
        <f t="shared" si="28"/>
        <v>#DIV/0!</v>
      </c>
      <c r="O101" s="670" t="e">
        <f t="shared" si="29"/>
        <v>#DIV/0!</v>
      </c>
      <c r="P101" s="943">
        <f t="shared" si="24"/>
        <v>33.3333333333333</v>
      </c>
    </row>
    <row r="102" spans="1:16">
      <c r="A102" s="684">
        <f t="shared" si="25"/>
        <v>44297</v>
      </c>
      <c r="B102" s="670">
        <v>500</v>
      </c>
      <c r="C102" s="38">
        <v>12659</v>
      </c>
      <c r="D102" s="944">
        <v>285</v>
      </c>
      <c r="E102" s="37">
        <v>0</v>
      </c>
      <c r="F102" s="943">
        <v>0</v>
      </c>
      <c r="G102" s="37">
        <v>15</v>
      </c>
      <c r="H102" s="37">
        <v>2</v>
      </c>
      <c r="I102" s="37">
        <v>2</v>
      </c>
      <c r="J102" s="672">
        <v>0.0225</v>
      </c>
      <c r="K102" s="670">
        <v>2.25</v>
      </c>
      <c r="L102" s="942">
        <f t="shared" si="26"/>
        <v>0</v>
      </c>
      <c r="M102" s="672">
        <f t="shared" si="27"/>
        <v>0</v>
      </c>
      <c r="N102" s="670" t="e">
        <f t="shared" si="28"/>
        <v>#DIV/0!</v>
      </c>
      <c r="O102" s="670" t="e">
        <f t="shared" si="29"/>
        <v>#DIV/0!</v>
      </c>
      <c r="P102" s="943">
        <f t="shared" si="24"/>
        <v>33.3333333333333</v>
      </c>
    </row>
    <row r="103" spans="1:16">
      <c r="A103" s="684">
        <f t="shared" si="25"/>
        <v>44298</v>
      </c>
      <c r="B103" s="670">
        <v>300</v>
      </c>
      <c r="C103" s="38">
        <v>10387</v>
      </c>
      <c r="D103" s="944">
        <v>183</v>
      </c>
      <c r="E103" s="37">
        <v>0</v>
      </c>
      <c r="F103" s="943">
        <v>0</v>
      </c>
      <c r="G103" s="37">
        <v>6</v>
      </c>
      <c r="H103" s="37">
        <v>0</v>
      </c>
      <c r="I103" s="37">
        <v>0</v>
      </c>
      <c r="J103" s="672">
        <v>0.0176</v>
      </c>
      <c r="K103" s="670">
        <v>1.64</v>
      </c>
      <c r="L103" s="942">
        <f t="shared" si="26"/>
        <v>0</v>
      </c>
      <c r="M103" s="672">
        <f t="shared" si="27"/>
        <v>0</v>
      </c>
      <c r="N103" s="670" t="e">
        <f t="shared" si="28"/>
        <v>#DIV/0!</v>
      </c>
      <c r="O103" s="670" t="e">
        <f t="shared" si="29"/>
        <v>#DIV/0!</v>
      </c>
      <c r="P103" s="943">
        <f t="shared" si="24"/>
        <v>50</v>
      </c>
    </row>
    <row r="104" spans="1:16">
      <c r="A104" s="684">
        <f t="shared" si="25"/>
        <v>44299</v>
      </c>
      <c r="B104" s="670">
        <v>298.48</v>
      </c>
      <c r="C104" s="38">
        <v>10020</v>
      </c>
      <c r="D104" s="944">
        <v>185</v>
      </c>
      <c r="E104" s="37">
        <v>0</v>
      </c>
      <c r="F104" s="943">
        <v>0</v>
      </c>
      <c r="G104" s="37">
        <v>3</v>
      </c>
      <c r="H104" s="37">
        <v>0</v>
      </c>
      <c r="I104" s="37">
        <v>1</v>
      </c>
      <c r="J104" s="672">
        <v>0.0185</v>
      </c>
      <c r="K104" s="670">
        <v>1.61</v>
      </c>
      <c r="L104" s="942">
        <f t="shared" si="26"/>
        <v>0</v>
      </c>
      <c r="M104" s="672">
        <f t="shared" si="27"/>
        <v>0</v>
      </c>
      <c r="N104" s="670" t="e">
        <f t="shared" si="28"/>
        <v>#DIV/0!</v>
      </c>
      <c r="O104" s="670" t="e">
        <f t="shared" si="29"/>
        <v>#DIV/0!</v>
      </c>
      <c r="P104" s="943">
        <f t="shared" si="24"/>
        <v>99.4933333333333</v>
      </c>
    </row>
    <row r="105" spans="1:16">
      <c r="A105" s="684">
        <f t="shared" si="25"/>
        <v>44300</v>
      </c>
      <c r="B105" s="670">
        <v>300</v>
      </c>
      <c r="C105" s="38">
        <v>8877</v>
      </c>
      <c r="D105" s="944">
        <v>172</v>
      </c>
      <c r="E105" s="37">
        <v>2</v>
      </c>
      <c r="F105" s="943">
        <v>0.2</v>
      </c>
      <c r="G105" s="37">
        <v>9</v>
      </c>
      <c r="H105" s="37">
        <v>6</v>
      </c>
      <c r="I105" s="37">
        <v>1</v>
      </c>
      <c r="J105" s="672">
        <v>0.0194</v>
      </c>
      <c r="K105" s="670">
        <v>1.74</v>
      </c>
      <c r="L105" s="942">
        <f t="shared" si="26"/>
        <v>0.000666666666666667</v>
      </c>
      <c r="M105" s="672">
        <f t="shared" si="27"/>
        <v>0.0116279069767442</v>
      </c>
      <c r="N105" s="670">
        <f t="shared" si="28"/>
        <v>0.1</v>
      </c>
      <c r="O105" s="670">
        <f t="shared" si="29"/>
        <v>150</v>
      </c>
      <c r="P105" s="943">
        <f t="shared" si="24"/>
        <v>33.3333333333333</v>
      </c>
    </row>
    <row r="106" spans="1:16">
      <c r="A106" s="684">
        <f t="shared" si="25"/>
        <v>44301</v>
      </c>
      <c r="B106" s="670">
        <v>300</v>
      </c>
      <c r="C106" s="38">
        <v>8176</v>
      </c>
      <c r="D106" s="944">
        <v>187</v>
      </c>
      <c r="E106" s="37">
        <v>0</v>
      </c>
      <c r="F106" s="943">
        <v>0</v>
      </c>
      <c r="G106" s="37">
        <v>4</v>
      </c>
      <c r="H106" s="37">
        <v>1</v>
      </c>
      <c r="I106" s="37">
        <v>1</v>
      </c>
      <c r="J106" s="672">
        <v>0.0229</v>
      </c>
      <c r="K106" s="670">
        <v>1.6</v>
      </c>
      <c r="L106" s="942">
        <f t="shared" si="26"/>
        <v>0</v>
      </c>
      <c r="M106" s="672">
        <f t="shared" si="27"/>
        <v>0</v>
      </c>
      <c r="N106" s="670" t="e">
        <f t="shared" si="28"/>
        <v>#DIV/0!</v>
      </c>
      <c r="O106" s="670" t="e">
        <f t="shared" si="29"/>
        <v>#DIV/0!</v>
      </c>
      <c r="P106" s="943">
        <f t="shared" si="24"/>
        <v>75</v>
      </c>
    </row>
    <row r="107" spans="1:16">
      <c r="A107" s="684">
        <f t="shared" si="25"/>
        <v>44302</v>
      </c>
      <c r="B107" s="670">
        <v>300</v>
      </c>
      <c r="C107" s="38">
        <v>7470</v>
      </c>
      <c r="D107" s="944">
        <v>185</v>
      </c>
      <c r="E107" s="37">
        <v>0</v>
      </c>
      <c r="F107" s="943">
        <v>0</v>
      </c>
      <c r="G107" s="37">
        <v>3</v>
      </c>
      <c r="H107" s="37">
        <v>3</v>
      </c>
      <c r="I107" s="37">
        <v>0</v>
      </c>
      <c r="J107" s="672">
        <v>0.0248</v>
      </c>
      <c r="K107" s="670">
        <v>1.62</v>
      </c>
      <c r="L107" s="942">
        <f t="shared" si="26"/>
        <v>0</v>
      </c>
      <c r="M107" s="672">
        <f t="shared" si="27"/>
        <v>0</v>
      </c>
      <c r="N107" s="670" t="e">
        <f t="shared" si="28"/>
        <v>#DIV/0!</v>
      </c>
      <c r="O107" s="670" t="e">
        <f t="shared" si="29"/>
        <v>#DIV/0!</v>
      </c>
      <c r="P107" s="943">
        <f t="shared" si="24"/>
        <v>100</v>
      </c>
    </row>
    <row r="108" spans="1:16">
      <c r="A108" s="684">
        <f t="shared" si="25"/>
        <v>44303</v>
      </c>
      <c r="B108" s="670">
        <v>298.7</v>
      </c>
      <c r="C108" s="38">
        <v>8383</v>
      </c>
      <c r="D108" s="944">
        <v>186</v>
      </c>
      <c r="E108" s="37">
        <v>0</v>
      </c>
      <c r="F108" s="943">
        <v>0</v>
      </c>
      <c r="G108" s="37">
        <v>3</v>
      </c>
      <c r="H108" s="37">
        <v>1</v>
      </c>
      <c r="I108" s="37">
        <v>1</v>
      </c>
      <c r="J108" s="672">
        <v>0.0222</v>
      </c>
      <c r="K108" s="670">
        <v>1.61</v>
      </c>
      <c r="L108" s="942">
        <f t="shared" si="26"/>
        <v>0</v>
      </c>
      <c r="M108" s="672">
        <f t="shared" si="27"/>
        <v>0</v>
      </c>
      <c r="N108" s="670" t="e">
        <f t="shared" si="28"/>
        <v>#DIV/0!</v>
      </c>
      <c r="O108" s="670" t="e">
        <f t="shared" si="29"/>
        <v>#DIV/0!</v>
      </c>
      <c r="P108" s="943">
        <f t="shared" si="24"/>
        <v>99.5666666666667</v>
      </c>
    </row>
    <row r="109" spans="1:16">
      <c r="A109" s="684">
        <f t="shared" si="25"/>
        <v>44304</v>
      </c>
      <c r="B109" s="670">
        <v>300</v>
      </c>
      <c r="C109" s="38">
        <v>8398</v>
      </c>
      <c r="D109" s="944">
        <v>187</v>
      </c>
      <c r="E109" s="37">
        <v>0</v>
      </c>
      <c r="F109" s="943">
        <v>0</v>
      </c>
      <c r="G109" s="37">
        <v>0</v>
      </c>
      <c r="H109" s="37">
        <v>5</v>
      </c>
      <c r="I109" s="37">
        <v>0</v>
      </c>
      <c r="J109" s="672">
        <v>0.0223</v>
      </c>
      <c r="K109" s="670">
        <v>1.6</v>
      </c>
      <c r="L109" s="942">
        <f t="shared" si="26"/>
        <v>0</v>
      </c>
      <c r="M109" s="672">
        <f t="shared" si="27"/>
        <v>0</v>
      </c>
      <c r="N109" s="670" t="e">
        <f t="shared" si="28"/>
        <v>#DIV/0!</v>
      </c>
      <c r="O109" s="670" t="e">
        <f t="shared" si="29"/>
        <v>#DIV/0!</v>
      </c>
      <c r="P109" s="943" t="e">
        <f t="shared" si="24"/>
        <v>#DIV/0!</v>
      </c>
    </row>
    <row r="110" spans="1:16">
      <c r="A110" s="684">
        <f t="shared" si="25"/>
        <v>44305</v>
      </c>
      <c r="B110" s="670">
        <v>300</v>
      </c>
      <c r="C110" s="38">
        <v>10662</v>
      </c>
      <c r="D110" s="944">
        <v>190</v>
      </c>
      <c r="E110" s="37">
        <v>0</v>
      </c>
      <c r="F110" s="943">
        <v>0</v>
      </c>
      <c r="G110" s="37">
        <v>4</v>
      </c>
      <c r="H110" s="37">
        <v>3</v>
      </c>
      <c r="I110" s="37">
        <v>1</v>
      </c>
      <c r="J110" s="672">
        <v>0.0178</v>
      </c>
      <c r="K110" s="670">
        <v>1.58</v>
      </c>
      <c r="L110" s="942">
        <f t="shared" si="26"/>
        <v>0</v>
      </c>
      <c r="M110" s="672">
        <f t="shared" si="27"/>
        <v>0</v>
      </c>
      <c r="N110" s="670" t="e">
        <f t="shared" si="28"/>
        <v>#DIV/0!</v>
      </c>
      <c r="O110" s="670" t="e">
        <f t="shared" si="29"/>
        <v>#DIV/0!</v>
      </c>
      <c r="P110" s="943">
        <f t="shared" si="24"/>
        <v>75</v>
      </c>
    </row>
    <row r="111" spans="1:16">
      <c r="A111" s="684">
        <f t="shared" si="25"/>
        <v>44306</v>
      </c>
      <c r="B111" s="670">
        <v>300</v>
      </c>
      <c r="C111" s="38">
        <v>6545</v>
      </c>
      <c r="D111" s="944">
        <v>171</v>
      </c>
      <c r="E111" s="37">
        <v>0</v>
      </c>
      <c r="F111" s="943">
        <v>0</v>
      </c>
      <c r="G111" s="37">
        <v>6</v>
      </c>
      <c r="H111" s="37">
        <v>7</v>
      </c>
      <c r="I111" s="37">
        <v>0</v>
      </c>
      <c r="J111" s="672">
        <v>0.0261</v>
      </c>
      <c r="K111" s="670">
        <v>1.75</v>
      </c>
      <c r="L111" s="942">
        <f t="shared" si="26"/>
        <v>0</v>
      </c>
      <c r="M111" s="672">
        <f t="shared" si="27"/>
        <v>0</v>
      </c>
      <c r="N111" s="670" t="e">
        <f t="shared" si="28"/>
        <v>#DIV/0!</v>
      </c>
      <c r="O111" s="670" t="e">
        <f t="shared" si="29"/>
        <v>#DIV/0!</v>
      </c>
      <c r="P111" s="943">
        <f t="shared" si="24"/>
        <v>50</v>
      </c>
    </row>
    <row r="112" spans="1:16">
      <c r="A112" s="684">
        <f t="shared" si="25"/>
        <v>44307</v>
      </c>
      <c r="B112" s="670">
        <v>300</v>
      </c>
      <c r="C112" s="38">
        <v>5604</v>
      </c>
      <c r="D112" s="944">
        <v>161</v>
      </c>
      <c r="E112" s="37">
        <v>0</v>
      </c>
      <c r="F112" s="943">
        <v>0</v>
      </c>
      <c r="G112" s="37">
        <v>5</v>
      </c>
      <c r="H112" s="37">
        <v>2</v>
      </c>
      <c r="I112" s="37">
        <v>1</v>
      </c>
      <c r="J112" s="672">
        <v>0.0287</v>
      </c>
      <c r="K112" s="670">
        <v>1.86</v>
      </c>
      <c r="L112" s="942">
        <f t="shared" si="26"/>
        <v>0</v>
      </c>
      <c r="M112" s="672">
        <f t="shared" si="27"/>
        <v>0</v>
      </c>
      <c r="N112" s="670" t="e">
        <f t="shared" si="28"/>
        <v>#DIV/0!</v>
      </c>
      <c r="O112" s="670" t="e">
        <f t="shared" si="29"/>
        <v>#DIV/0!</v>
      </c>
      <c r="P112" s="943">
        <f t="shared" si="24"/>
        <v>60</v>
      </c>
    </row>
    <row r="113" spans="1:16">
      <c r="A113" s="684">
        <f t="shared" si="25"/>
        <v>44308</v>
      </c>
      <c r="B113" s="670">
        <v>300</v>
      </c>
      <c r="C113" s="38">
        <v>6885</v>
      </c>
      <c r="D113" s="944">
        <v>192</v>
      </c>
      <c r="E113" s="37">
        <v>0</v>
      </c>
      <c r="F113" s="943">
        <v>0</v>
      </c>
      <c r="G113" s="37">
        <v>4</v>
      </c>
      <c r="H113" s="37">
        <v>2</v>
      </c>
      <c r="I113" s="37">
        <v>1</v>
      </c>
      <c r="J113" s="672">
        <v>0.0279</v>
      </c>
      <c r="K113" s="670">
        <v>1.56</v>
      </c>
      <c r="L113" s="942">
        <f t="shared" si="26"/>
        <v>0</v>
      </c>
      <c r="M113" s="672">
        <f t="shared" si="27"/>
        <v>0</v>
      </c>
      <c r="N113" s="670" t="e">
        <f t="shared" si="28"/>
        <v>#DIV/0!</v>
      </c>
      <c r="O113" s="670" t="e">
        <f t="shared" si="29"/>
        <v>#DIV/0!</v>
      </c>
      <c r="P113" s="943">
        <f t="shared" si="24"/>
        <v>75</v>
      </c>
    </row>
    <row r="114" spans="1:16">
      <c r="A114" s="684">
        <f t="shared" si="25"/>
        <v>44309</v>
      </c>
      <c r="B114" s="670">
        <v>300</v>
      </c>
      <c r="C114" s="38">
        <v>6222</v>
      </c>
      <c r="D114" s="944">
        <v>167</v>
      </c>
      <c r="E114" s="37">
        <v>0</v>
      </c>
      <c r="F114" s="943">
        <v>0</v>
      </c>
      <c r="G114" s="37">
        <v>0</v>
      </c>
      <c r="H114" s="37">
        <v>1</v>
      </c>
      <c r="I114" s="37">
        <v>1</v>
      </c>
      <c r="J114" s="672">
        <v>0.0268</v>
      </c>
      <c r="K114" s="670">
        <v>1.8</v>
      </c>
      <c r="L114" s="942">
        <f t="shared" si="26"/>
        <v>0</v>
      </c>
      <c r="M114" s="672">
        <f t="shared" si="27"/>
        <v>0</v>
      </c>
      <c r="N114" s="670" t="e">
        <f t="shared" si="28"/>
        <v>#DIV/0!</v>
      </c>
      <c r="O114" s="670" t="e">
        <f t="shared" si="29"/>
        <v>#DIV/0!</v>
      </c>
      <c r="P114" s="943" t="e">
        <f t="shared" si="24"/>
        <v>#DIV/0!</v>
      </c>
    </row>
    <row r="115" spans="1:16">
      <c r="A115" s="684">
        <f t="shared" si="25"/>
        <v>44310</v>
      </c>
      <c r="B115" s="670">
        <v>300</v>
      </c>
      <c r="C115" s="38">
        <v>6426</v>
      </c>
      <c r="D115" s="944">
        <v>144</v>
      </c>
      <c r="E115" s="37">
        <v>0</v>
      </c>
      <c r="F115" s="943">
        <v>0</v>
      </c>
      <c r="G115" s="37">
        <v>2</v>
      </c>
      <c r="H115" s="37">
        <v>3</v>
      </c>
      <c r="I115" s="37">
        <v>0</v>
      </c>
      <c r="J115" s="672">
        <v>0.0224</v>
      </c>
      <c r="K115" s="670">
        <v>2.08</v>
      </c>
      <c r="L115" s="942">
        <f t="shared" si="26"/>
        <v>0</v>
      </c>
      <c r="M115" s="672">
        <f t="shared" si="27"/>
        <v>0</v>
      </c>
      <c r="N115" s="670" t="e">
        <f t="shared" si="28"/>
        <v>#DIV/0!</v>
      </c>
      <c r="O115" s="670" t="e">
        <f t="shared" si="29"/>
        <v>#DIV/0!</v>
      </c>
      <c r="P115" s="943">
        <f t="shared" si="24"/>
        <v>150</v>
      </c>
    </row>
    <row r="116" spans="1:16">
      <c r="A116" s="684">
        <f t="shared" si="25"/>
        <v>44311</v>
      </c>
      <c r="B116" s="670">
        <v>300</v>
      </c>
      <c r="C116" s="38">
        <v>12026</v>
      </c>
      <c r="D116" s="944">
        <v>171</v>
      </c>
      <c r="E116" s="37">
        <v>0</v>
      </c>
      <c r="F116" s="943">
        <v>0</v>
      </c>
      <c r="G116" s="37">
        <v>6</v>
      </c>
      <c r="H116" s="37">
        <v>3</v>
      </c>
      <c r="I116" s="37">
        <v>0</v>
      </c>
      <c r="J116" s="672">
        <v>0.0142</v>
      </c>
      <c r="K116" s="670">
        <v>1.75</v>
      </c>
      <c r="L116" s="942">
        <f t="shared" si="26"/>
        <v>0</v>
      </c>
      <c r="M116" s="672">
        <f t="shared" si="27"/>
        <v>0</v>
      </c>
      <c r="N116" s="670" t="e">
        <f t="shared" si="28"/>
        <v>#DIV/0!</v>
      </c>
      <c r="O116" s="670" t="e">
        <f t="shared" si="29"/>
        <v>#DIV/0!</v>
      </c>
      <c r="P116" s="943">
        <f t="shared" si="24"/>
        <v>50</v>
      </c>
    </row>
    <row r="117" spans="1:16">
      <c r="A117" s="684">
        <f t="shared" si="25"/>
        <v>44312</v>
      </c>
      <c r="B117" s="670">
        <v>300</v>
      </c>
      <c r="C117" s="38">
        <v>11566</v>
      </c>
      <c r="D117" s="944">
        <v>181</v>
      </c>
      <c r="E117" s="37">
        <v>0</v>
      </c>
      <c r="F117" s="943">
        <v>0</v>
      </c>
      <c r="G117" s="37">
        <v>9</v>
      </c>
      <c r="H117" s="37">
        <v>5</v>
      </c>
      <c r="I117" s="37">
        <v>2</v>
      </c>
      <c r="J117" s="672">
        <v>0.0156</v>
      </c>
      <c r="K117" s="670">
        <v>1.66</v>
      </c>
      <c r="L117" s="942">
        <f t="shared" si="26"/>
        <v>0</v>
      </c>
      <c r="M117" s="672">
        <f t="shared" si="27"/>
        <v>0</v>
      </c>
      <c r="N117" s="670" t="e">
        <f t="shared" si="28"/>
        <v>#DIV/0!</v>
      </c>
      <c r="O117" s="670" t="e">
        <f t="shared" si="29"/>
        <v>#DIV/0!</v>
      </c>
      <c r="P117" s="943">
        <f t="shared" si="24"/>
        <v>33.3333333333333</v>
      </c>
    </row>
    <row r="118" spans="1:16">
      <c r="A118" s="684">
        <f t="shared" si="25"/>
        <v>44313</v>
      </c>
      <c r="B118" s="670">
        <v>300</v>
      </c>
      <c r="C118" s="38">
        <v>13292</v>
      </c>
      <c r="D118" s="944">
        <v>194</v>
      </c>
      <c r="E118" s="37">
        <v>0</v>
      </c>
      <c r="F118" s="943">
        <v>0</v>
      </c>
      <c r="G118" s="37">
        <v>3</v>
      </c>
      <c r="H118" s="37">
        <v>3</v>
      </c>
      <c r="I118" s="37">
        <v>0</v>
      </c>
      <c r="J118" s="672">
        <v>0.0146</v>
      </c>
      <c r="K118" s="670">
        <v>1.55</v>
      </c>
      <c r="L118" s="942">
        <f t="shared" si="26"/>
        <v>0</v>
      </c>
      <c r="M118" s="672">
        <f t="shared" si="27"/>
        <v>0</v>
      </c>
      <c r="N118" s="670" t="e">
        <f t="shared" si="28"/>
        <v>#DIV/0!</v>
      </c>
      <c r="O118" s="670" t="e">
        <f t="shared" si="29"/>
        <v>#DIV/0!</v>
      </c>
      <c r="P118" s="943">
        <f t="shared" si="24"/>
        <v>100</v>
      </c>
    </row>
    <row r="119" spans="1:16">
      <c r="A119" s="684">
        <f t="shared" si="25"/>
        <v>44314</v>
      </c>
      <c r="B119" s="670">
        <v>300</v>
      </c>
      <c r="C119" s="38">
        <v>12390</v>
      </c>
      <c r="D119" s="944">
        <v>155</v>
      </c>
      <c r="E119" s="37">
        <v>0</v>
      </c>
      <c r="F119" s="943">
        <v>0</v>
      </c>
      <c r="G119" s="37">
        <v>7</v>
      </c>
      <c r="H119" s="37">
        <v>2</v>
      </c>
      <c r="I119" s="37">
        <v>0</v>
      </c>
      <c r="J119" s="672">
        <v>0.0125</v>
      </c>
      <c r="K119" s="670">
        <v>1.94</v>
      </c>
      <c r="L119" s="942">
        <f t="shared" si="26"/>
        <v>0</v>
      </c>
      <c r="M119" s="672">
        <f t="shared" si="27"/>
        <v>0</v>
      </c>
      <c r="N119" s="670" t="e">
        <f t="shared" si="28"/>
        <v>#DIV/0!</v>
      </c>
      <c r="O119" s="670" t="e">
        <f t="shared" si="29"/>
        <v>#DIV/0!</v>
      </c>
      <c r="P119" s="943">
        <f t="shared" si="24"/>
        <v>42.8571428571429</v>
      </c>
    </row>
    <row r="120" spans="1:16">
      <c r="A120" s="684">
        <f t="shared" si="25"/>
        <v>44315</v>
      </c>
      <c r="B120" s="670">
        <v>300</v>
      </c>
      <c r="C120" s="38">
        <v>14661</v>
      </c>
      <c r="D120" s="944">
        <v>178</v>
      </c>
      <c r="E120" s="37">
        <v>0</v>
      </c>
      <c r="F120" s="943">
        <v>0</v>
      </c>
      <c r="G120" s="37">
        <v>3</v>
      </c>
      <c r="H120" s="37">
        <v>2</v>
      </c>
      <c r="I120" s="37">
        <v>1</v>
      </c>
      <c r="J120" s="672">
        <v>0.0121</v>
      </c>
      <c r="K120" s="670">
        <v>1.69</v>
      </c>
      <c r="L120" s="942">
        <f t="shared" si="26"/>
        <v>0</v>
      </c>
      <c r="M120" s="672">
        <f t="shared" si="27"/>
        <v>0</v>
      </c>
      <c r="N120" s="670" t="e">
        <f t="shared" si="28"/>
        <v>#DIV/0!</v>
      </c>
      <c r="O120" s="670" t="e">
        <f t="shared" si="29"/>
        <v>#DIV/0!</v>
      </c>
      <c r="P120" s="943">
        <f t="shared" si="24"/>
        <v>100</v>
      </c>
    </row>
    <row r="121" spans="1:16">
      <c r="A121" s="684">
        <f t="shared" si="25"/>
        <v>44316</v>
      </c>
      <c r="B121" s="670">
        <v>300</v>
      </c>
      <c r="C121" s="38">
        <v>18887</v>
      </c>
      <c r="D121" s="944">
        <v>175</v>
      </c>
      <c r="E121" s="37">
        <v>1</v>
      </c>
      <c r="F121" s="943">
        <v>17068</v>
      </c>
      <c r="G121" s="37">
        <v>6</v>
      </c>
      <c r="H121" s="37">
        <v>0</v>
      </c>
      <c r="I121" s="37">
        <v>0</v>
      </c>
      <c r="J121" s="672">
        <v>0.0093</v>
      </c>
      <c r="K121" s="670">
        <v>1.71</v>
      </c>
      <c r="L121" s="942">
        <f t="shared" si="26"/>
        <v>56.8933333333333</v>
      </c>
      <c r="M121" s="672">
        <f t="shared" si="27"/>
        <v>0.00571428571428571</v>
      </c>
      <c r="N121" s="670">
        <f t="shared" si="28"/>
        <v>17068</v>
      </c>
      <c r="O121" s="670">
        <f t="shared" si="29"/>
        <v>300</v>
      </c>
      <c r="P121" s="943">
        <f t="shared" si="24"/>
        <v>50</v>
      </c>
    </row>
    <row r="122" spans="1:16">
      <c r="A122" s="684">
        <f t="shared" si="25"/>
        <v>44317</v>
      </c>
      <c r="B122" s="670">
        <v>300</v>
      </c>
      <c r="C122" s="38">
        <v>19411</v>
      </c>
      <c r="D122" s="944">
        <v>166</v>
      </c>
      <c r="E122" s="37">
        <v>0</v>
      </c>
      <c r="F122" s="943">
        <v>0</v>
      </c>
      <c r="G122" s="37">
        <v>2</v>
      </c>
      <c r="H122" s="37">
        <v>0</v>
      </c>
      <c r="I122" s="37">
        <v>2</v>
      </c>
      <c r="J122" s="672">
        <v>0.0086</v>
      </c>
      <c r="K122" s="670">
        <v>1.81</v>
      </c>
      <c r="L122" s="942">
        <f t="shared" si="26"/>
        <v>0</v>
      </c>
      <c r="M122" s="672">
        <f t="shared" si="27"/>
        <v>0</v>
      </c>
      <c r="N122" s="670" t="e">
        <f t="shared" si="28"/>
        <v>#DIV/0!</v>
      </c>
      <c r="O122" s="670" t="e">
        <f t="shared" si="29"/>
        <v>#DIV/0!</v>
      </c>
      <c r="P122" s="943">
        <f t="shared" si="24"/>
        <v>150</v>
      </c>
    </row>
    <row r="123" spans="1:16">
      <c r="A123" s="684">
        <f t="shared" si="25"/>
        <v>44318</v>
      </c>
      <c r="B123" s="670">
        <v>300</v>
      </c>
      <c r="C123" s="38">
        <v>14775</v>
      </c>
      <c r="D123" s="944">
        <v>183</v>
      </c>
      <c r="E123" s="37">
        <v>0</v>
      </c>
      <c r="F123" s="943">
        <v>0</v>
      </c>
      <c r="G123" s="37">
        <v>4</v>
      </c>
      <c r="H123" s="37">
        <v>0</v>
      </c>
      <c r="I123" s="37">
        <v>1</v>
      </c>
      <c r="J123" s="672">
        <v>0.0124</v>
      </c>
      <c r="K123" s="670">
        <v>1.64</v>
      </c>
      <c r="L123" s="942">
        <f t="shared" si="26"/>
        <v>0</v>
      </c>
      <c r="M123" s="672">
        <f t="shared" si="27"/>
        <v>0</v>
      </c>
      <c r="N123" s="670" t="e">
        <f t="shared" si="28"/>
        <v>#DIV/0!</v>
      </c>
      <c r="O123" s="670" t="e">
        <f t="shared" si="29"/>
        <v>#DIV/0!</v>
      </c>
      <c r="P123" s="943">
        <f t="shared" si="24"/>
        <v>75</v>
      </c>
    </row>
    <row r="124" spans="1:16">
      <c r="A124" s="684">
        <f t="shared" si="25"/>
        <v>44319</v>
      </c>
      <c r="B124" s="670">
        <v>300</v>
      </c>
      <c r="C124" s="38">
        <v>12663</v>
      </c>
      <c r="D124" s="944">
        <v>192</v>
      </c>
      <c r="E124" s="37">
        <v>1</v>
      </c>
      <c r="F124" s="943">
        <v>3000</v>
      </c>
      <c r="G124" s="37">
        <v>1</v>
      </c>
      <c r="H124" s="37">
        <v>3</v>
      </c>
      <c r="I124" s="37">
        <v>1</v>
      </c>
      <c r="J124" s="672">
        <v>0.0152</v>
      </c>
      <c r="K124" s="670">
        <v>1.56</v>
      </c>
      <c r="L124" s="942">
        <f t="shared" si="26"/>
        <v>10</v>
      </c>
      <c r="M124" s="672">
        <f t="shared" si="27"/>
        <v>0.00520833333333333</v>
      </c>
      <c r="N124" s="670">
        <f t="shared" si="28"/>
        <v>3000</v>
      </c>
      <c r="O124" s="670">
        <f t="shared" si="29"/>
        <v>300</v>
      </c>
      <c r="P124" s="943">
        <f t="shared" si="24"/>
        <v>300</v>
      </c>
    </row>
    <row r="125" spans="1:16">
      <c r="A125" s="684">
        <f t="shared" si="25"/>
        <v>44320</v>
      </c>
      <c r="B125" s="670">
        <v>300</v>
      </c>
      <c r="C125" s="38">
        <v>12228</v>
      </c>
      <c r="D125" s="944">
        <v>183</v>
      </c>
      <c r="E125" s="37">
        <v>0</v>
      </c>
      <c r="F125" s="943">
        <v>0</v>
      </c>
      <c r="G125" s="37">
        <v>7</v>
      </c>
      <c r="H125" s="37">
        <v>1</v>
      </c>
      <c r="I125" s="37">
        <v>3</v>
      </c>
      <c r="J125" s="672">
        <v>0.015</v>
      </c>
      <c r="K125" s="670">
        <v>1.64</v>
      </c>
      <c r="L125" s="942">
        <f t="shared" si="26"/>
        <v>0</v>
      </c>
      <c r="M125" s="672">
        <f t="shared" si="27"/>
        <v>0</v>
      </c>
      <c r="N125" s="670" t="e">
        <f t="shared" si="28"/>
        <v>#DIV/0!</v>
      </c>
      <c r="O125" s="670" t="e">
        <f t="shared" si="29"/>
        <v>#DIV/0!</v>
      </c>
      <c r="P125" s="943">
        <f t="shared" si="24"/>
        <v>42.8571428571429</v>
      </c>
    </row>
    <row r="126" spans="1:16">
      <c r="A126" s="684">
        <f t="shared" si="25"/>
        <v>44321</v>
      </c>
      <c r="B126" s="670">
        <v>300</v>
      </c>
      <c r="C126" s="38">
        <v>11940</v>
      </c>
      <c r="D126" s="944">
        <v>205</v>
      </c>
      <c r="E126" s="37">
        <v>0</v>
      </c>
      <c r="F126" s="943">
        <v>0</v>
      </c>
      <c r="G126" s="37">
        <v>3</v>
      </c>
      <c r="H126" s="37">
        <v>1</v>
      </c>
      <c r="I126" s="37">
        <v>1</v>
      </c>
      <c r="J126" s="672">
        <v>0.0172</v>
      </c>
      <c r="K126" s="670">
        <v>1.46</v>
      </c>
      <c r="L126" s="942">
        <f t="shared" si="26"/>
        <v>0</v>
      </c>
      <c r="M126" s="672">
        <f t="shared" si="27"/>
        <v>0</v>
      </c>
      <c r="N126" s="670" t="e">
        <f t="shared" si="28"/>
        <v>#DIV/0!</v>
      </c>
      <c r="O126" s="670" t="e">
        <f t="shared" si="29"/>
        <v>#DIV/0!</v>
      </c>
      <c r="P126" s="943">
        <f t="shared" si="24"/>
        <v>100</v>
      </c>
    </row>
    <row r="127" spans="1:16">
      <c r="A127" s="684">
        <f t="shared" si="25"/>
        <v>44322</v>
      </c>
      <c r="B127" s="670">
        <v>397.42</v>
      </c>
      <c r="C127" s="38">
        <v>19656</v>
      </c>
      <c r="D127" s="944">
        <v>256</v>
      </c>
      <c r="E127" s="37">
        <v>0</v>
      </c>
      <c r="F127" s="943">
        <v>0</v>
      </c>
      <c r="G127" s="37">
        <v>5</v>
      </c>
      <c r="H127" s="37">
        <v>0</v>
      </c>
      <c r="I127" s="37">
        <v>0</v>
      </c>
      <c r="J127" s="672">
        <v>0.013</v>
      </c>
      <c r="K127" s="670">
        <v>1.55</v>
      </c>
      <c r="L127" s="942">
        <f t="shared" ref="L127:L138" si="30">F127/B127</f>
        <v>0</v>
      </c>
      <c r="M127" s="672">
        <f t="shared" si="27"/>
        <v>0</v>
      </c>
      <c r="N127" s="670" t="e">
        <f t="shared" si="28"/>
        <v>#DIV/0!</v>
      </c>
      <c r="O127" s="670" t="e">
        <f t="shared" si="29"/>
        <v>#DIV/0!</v>
      </c>
      <c r="P127" s="943">
        <f t="shared" si="24"/>
        <v>79.484</v>
      </c>
    </row>
    <row r="128" spans="1:16">
      <c r="A128" s="684">
        <f t="shared" si="25"/>
        <v>44323</v>
      </c>
      <c r="B128" s="670">
        <v>529.77</v>
      </c>
      <c r="C128" s="38">
        <v>24959</v>
      </c>
      <c r="D128" s="944">
        <v>333</v>
      </c>
      <c r="E128" s="37">
        <v>0</v>
      </c>
      <c r="F128" s="943">
        <v>0</v>
      </c>
      <c r="G128" s="37">
        <v>5</v>
      </c>
      <c r="H128" s="37">
        <v>0</v>
      </c>
      <c r="I128" s="37">
        <v>1</v>
      </c>
      <c r="J128" s="672">
        <v>0.0133</v>
      </c>
      <c r="K128" s="670">
        <v>1.59</v>
      </c>
      <c r="L128" s="942">
        <f t="shared" si="30"/>
        <v>0</v>
      </c>
      <c r="M128" s="672">
        <f t="shared" si="27"/>
        <v>0</v>
      </c>
      <c r="N128" s="670" t="e">
        <f t="shared" si="28"/>
        <v>#DIV/0!</v>
      </c>
      <c r="O128" s="670" t="e">
        <f t="shared" si="29"/>
        <v>#DIV/0!</v>
      </c>
      <c r="P128" s="943">
        <f t="shared" si="24"/>
        <v>105.954</v>
      </c>
    </row>
    <row r="129" spans="1:16">
      <c r="A129" s="684">
        <f t="shared" si="25"/>
        <v>44324</v>
      </c>
      <c r="B129" s="670">
        <v>559.78</v>
      </c>
      <c r="C129" s="38">
        <v>23115</v>
      </c>
      <c r="D129" s="944">
        <v>326</v>
      </c>
      <c r="E129" s="37">
        <v>0</v>
      </c>
      <c r="F129" s="943">
        <v>0</v>
      </c>
      <c r="G129" s="37">
        <v>5</v>
      </c>
      <c r="H129" s="37">
        <v>0</v>
      </c>
      <c r="I129" s="37">
        <v>1</v>
      </c>
      <c r="J129" s="672">
        <v>0.0141</v>
      </c>
      <c r="K129" s="670">
        <v>1.72</v>
      </c>
      <c r="L129" s="942">
        <f t="shared" si="30"/>
        <v>0</v>
      </c>
      <c r="M129" s="672">
        <f t="shared" si="27"/>
        <v>0</v>
      </c>
      <c r="N129" s="670" t="e">
        <f t="shared" si="28"/>
        <v>#DIV/0!</v>
      </c>
      <c r="O129" s="670" t="e">
        <f t="shared" si="29"/>
        <v>#DIV/0!</v>
      </c>
      <c r="P129" s="943">
        <f t="shared" si="24"/>
        <v>111.956</v>
      </c>
    </row>
    <row r="130" spans="1:16">
      <c r="A130" s="684">
        <f t="shared" si="25"/>
        <v>44325</v>
      </c>
      <c r="B130" s="670">
        <v>476.54</v>
      </c>
      <c r="C130" s="38">
        <v>25144</v>
      </c>
      <c r="D130" s="944">
        <v>305</v>
      </c>
      <c r="E130" s="37">
        <v>0</v>
      </c>
      <c r="F130" s="943">
        <v>0</v>
      </c>
      <c r="G130" s="37">
        <v>9</v>
      </c>
      <c r="H130" s="37">
        <v>0</v>
      </c>
      <c r="I130" s="37">
        <v>0</v>
      </c>
      <c r="J130" s="672">
        <v>0.0121</v>
      </c>
      <c r="K130" s="670">
        <v>1.56</v>
      </c>
      <c r="L130" s="942">
        <f t="shared" si="30"/>
        <v>0</v>
      </c>
      <c r="M130" s="672">
        <f t="shared" si="27"/>
        <v>0</v>
      </c>
      <c r="N130" s="670" t="e">
        <f t="shared" si="28"/>
        <v>#DIV/0!</v>
      </c>
      <c r="O130" s="670" t="e">
        <f t="shared" si="29"/>
        <v>#DIV/0!</v>
      </c>
      <c r="P130" s="943">
        <f t="shared" si="24"/>
        <v>52.9488888888889</v>
      </c>
    </row>
    <row r="131" spans="1:16">
      <c r="A131" s="684">
        <f t="shared" si="25"/>
        <v>44326</v>
      </c>
      <c r="B131" s="670">
        <v>592.11</v>
      </c>
      <c r="C131" s="38">
        <v>32012</v>
      </c>
      <c r="D131" s="944">
        <v>312</v>
      </c>
      <c r="E131" s="37">
        <v>0</v>
      </c>
      <c r="F131" s="943">
        <v>0</v>
      </c>
      <c r="G131" s="37">
        <v>9</v>
      </c>
      <c r="H131" s="37">
        <v>1</v>
      </c>
      <c r="I131" s="37">
        <v>3</v>
      </c>
      <c r="J131" s="672">
        <v>0.0097</v>
      </c>
      <c r="K131" s="670">
        <v>1.9</v>
      </c>
      <c r="L131" s="942">
        <f t="shared" si="30"/>
        <v>0</v>
      </c>
      <c r="M131" s="672">
        <f t="shared" si="27"/>
        <v>0</v>
      </c>
      <c r="N131" s="670" t="e">
        <f t="shared" si="28"/>
        <v>#DIV/0!</v>
      </c>
      <c r="O131" s="670" t="e">
        <f t="shared" si="29"/>
        <v>#DIV/0!</v>
      </c>
      <c r="P131" s="943">
        <f t="shared" si="24"/>
        <v>65.79</v>
      </c>
    </row>
    <row r="132" spans="1:16">
      <c r="A132" s="684">
        <f t="shared" si="25"/>
        <v>44327</v>
      </c>
      <c r="B132" s="670">
        <v>600</v>
      </c>
      <c r="C132" s="38">
        <v>21751</v>
      </c>
      <c r="D132" s="944">
        <v>287</v>
      </c>
      <c r="E132" s="37">
        <v>0</v>
      </c>
      <c r="F132" s="943">
        <v>0</v>
      </c>
      <c r="G132" s="37">
        <v>3</v>
      </c>
      <c r="H132" s="37">
        <v>1</v>
      </c>
      <c r="I132" s="37">
        <v>0</v>
      </c>
      <c r="J132" s="672">
        <v>0.0132</v>
      </c>
      <c r="K132" s="670">
        <v>2.09</v>
      </c>
      <c r="L132" s="942">
        <f t="shared" si="30"/>
        <v>0</v>
      </c>
      <c r="M132" s="672">
        <f t="shared" si="27"/>
        <v>0</v>
      </c>
      <c r="N132" s="670" t="e">
        <f t="shared" si="28"/>
        <v>#DIV/0!</v>
      </c>
      <c r="O132" s="670" t="e">
        <f t="shared" si="29"/>
        <v>#DIV/0!</v>
      </c>
      <c r="P132" s="943">
        <f t="shared" si="24"/>
        <v>200</v>
      </c>
    </row>
    <row r="133" spans="1:16">
      <c r="A133" s="684">
        <f t="shared" si="25"/>
        <v>44328</v>
      </c>
      <c r="B133" s="670">
        <v>600</v>
      </c>
      <c r="C133" s="38">
        <v>36293</v>
      </c>
      <c r="D133" s="944">
        <v>269</v>
      </c>
      <c r="E133" s="37">
        <v>0</v>
      </c>
      <c r="F133" s="943">
        <v>0</v>
      </c>
      <c r="G133" s="37">
        <v>2</v>
      </c>
      <c r="H133" s="37">
        <v>2</v>
      </c>
      <c r="I133" s="37">
        <v>1</v>
      </c>
      <c r="J133" s="672">
        <v>0.0074</v>
      </c>
      <c r="K133" s="670">
        <v>2.23</v>
      </c>
      <c r="L133" s="942">
        <f t="shared" si="30"/>
        <v>0</v>
      </c>
      <c r="M133" s="672">
        <f t="shared" si="27"/>
        <v>0</v>
      </c>
      <c r="N133" s="670" t="e">
        <f t="shared" si="28"/>
        <v>#DIV/0!</v>
      </c>
      <c r="O133" s="670" t="e">
        <f t="shared" si="29"/>
        <v>#DIV/0!</v>
      </c>
      <c r="P133" s="943">
        <f t="shared" si="24"/>
        <v>300</v>
      </c>
    </row>
    <row r="134" spans="1:16">
      <c r="A134" s="684">
        <f t="shared" si="25"/>
        <v>44329</v>
      </c>
      <c r="B134" s="670">
        <v>600</v>
      </c>
      <c r="C134" s="38">
        <v>27589</v>
      </c>
      <c r="D134" s="944">
        <v>301</v>
      </c>
      <c r="E134" s="37">
        <v>0</v>
      </c>
      <c r="F134" s="943">
        <v>0</v>
      </c>
      <c r="G134" s="37">
        <v>3</v>
      </c>
      <c r="H134" s="37">
        <v>1</v>
      </c>
      <c r="I134" s="37">
        <v>2</v>
      </c>
      <c r="J134" s="672">
        <v>0.0109</v>
      </c>
      <c r="K134" s="670">
        <v>1.99</v>
      </c>
      <c r="L134" s="942">
        <f t="shared" si="30"/>
        <v>0</v>
      </c>
      <c r="M134" s="672">
        <f t="shared" si="27"/>
        <v>0</v>
      </c>
      <c r="N134" s="670" t="e">
        <f t="shared" si="28"/>
        <v>#DIV/0!</v>
      </c>
      <c r="O134" s="670" t="e">
        <f t="shared" si="29"/>
        <v>#DIV/0!</v>
      </c>
      <c r="P134" s="943">
        <f t="shared" si="24"/>
        <v>200</v>
      </c>
    </row>
    <row r="135" spans="1:16">
      <c r="A135" s="684">
        <f t="shared" si="25"/>
        <v>44330</v>
      </c>
      <c r="B135" s="670">
        <v>600</v>
      </c>
      <c r="C135" s="38">
        <v>23654</v>
      </c>
      <c r="D135" s="944">
        <v>267</v>
      </c>
      <c r="E135" s="37">
        <v>0</v>
      </c>
      <c r="F135" s="943">
        <v>0</v>
      </c>
      <c r="G135" s="37">
        <v>0</v>
      </c>
      <c r="H135" s="37">
        <v>2</v>
      </c>
      <c r="I135" s="37">
        <v>0</v>
      </c>
      <c r="J135" s="672">
        <v>0.0113</v>
      </c>
      <c r="K135" s="670">
        <v>2.25</v>
      </c>
      <c r="L135" s="942">
        <f t="shared" si="30"/>
        <v>0</v>
      </c>
      <c r="M135" s="672">
        <f t="shared" si="27"/>
        <v>0</v>
      </c>
      <c r="N135" s="670" t="e">
        <f t="shared" si="28"/>
        <v>#DIV/0!</v>
      </c>
      <c r="O135" s="670" t="e">
        <f t="shared" si="29"/>
        <v>#DIV/0!</v>
      </c>
      <c r="P135" s="943" t="e">
        <f t="shared" si="24"/>
        <v>#DIV/0!</v>
      </c>
    </row>
    <row r="136" spans="1:16">
      <c r="A136" s="684">
        <f t="shared" si="25"/>
        <v>44331</v>
      </c>
      <c r="B136" s="670">
        <v>598.69</v>
      </c>
      <c r="C136" s="38">
        <v>20635</v>
      </c>
      <c r="D136" s="944">
        <v>311</v>
      </c>
      <c r="E136" s="37">
        <v>0</v>
      </c>
      <c r="F136" s="943">
        <v>0</v>
      </c>
      <c r="G136" s="37">
        <v>2</v>
      </c>
      <c r="H136" s="37">
        <v>2</v>
      </c>
      <c r="I136" s="37">
        <v>0</v>
      </c>
      <c r="J136" s="672">
        <v>0.0151</v>
      </c>
      <c r="K136" s="670">
        <v>1.93</v>
      </c>
      <c r="L136" s="942">
        <f t="shared" si="30"/>
        <v>0</v>
      </c>
      <c r="M136" s="672">
        <f t="shared" si="27"/>
        <v>0</v>
      </c>
      <c r="N136" s="670" t="e">
        <f t="shared" si="28"/>
        <v>#DIV/0!</v>
      </c>
      <c r="O136" s="670" t="e">
        <f t="shared" si="29"/>
        <v>#DIV/0!</v>
      </c>
      <c r="P136" s="943">
        <f t="shared" si="24"/>
        <v>299.345</v>
      </c>
    </row>
    <row r="137" spans="1:16">
      <c r="A137" s="684">
        <f t="shared" si="25"/>
        <v>44332</v>
      </c>
      <c r="B137" s="670">
        <v>600</v>
      </c>
      <c r="C137" s="38">
        <v>22315</v>
      </c>
      <c r="D137" s="944">
        <v>329</v>
      </c>
      <c r="E137" s="37">
        <v>0</v>
      </c>
      <c r="F137" s="943">
        <v>0</v>
      </c>
      <c r="G137" s="37">
        <v>3</v>
      </c>
      <c r="H137" s="37">
        <v>3</v>
      </c>
      <c r="I137" s="37">
        <v>0</v>
      </c>
      <c r="J137" s="672">
        <v>0.0147</v>
      </c>
      <c r="K137" s="670">
        <v>1.82</v>
      </c>
      <c r="L137" s="942">
        <f t="shared" si="30"/>
        <v>0</v>
      </c>
      <c r="M137" s="672">
        <f t="shared" si="27"/>
        <v>0</v>
      </c>
      <c r="N137" s="670" t="e">
        <f t="shared" si="28"/>
        <v>#DIV/0!</v>
      </c>
      <c r="O137" s="670" t="e">
        <f t="shared" si="29"/>
        <v>#DIV/0!</v>
      </c>
      <c r="P137" s="943">
        <f t="shared" si="24"/>
        <v>200</v>
      </c>
    </row>
    <row r="138" spans="1:16">
      <c r="A138" s="684">
        <f t="shared" si="25"/>
        <v>44333</v>
      </c>
      <c r="B138" s="670">
        <v>600</v>
      </c>
      <c r="C138" s="38">
        <v>25812</v>
      </c>
      <c r="D138" s="944">
        <v>321</v>
      </c>
      <c r="E138" s="37">
        <v>2</v>
      </c>
      <c r="F138" s="943">
        <v>3001</v>
      </c>
      <c r="G138" s="37">
        <v>5</v>
      </c>
      <c r="H138" s="37">
        <v>2</v>
      </c>
      <c r="I138" s="37">
        <v>1</v>
      </c>
      <c r="J138" s="672">
        <v>0.0124</v>
      </c>
      <c r="K138" s="670">
        <v>1.87</v>
      </c>
      <c r="L138" s="942">
        <f t="shared" si="30"/>
        <v>5.00166666666667</v>
      </c>
      <c r="M138" s="672">
        <f t="shared" si="27"/>
        <v>0.00623052959501558</v>
      </c>
      <c r="N138" s="670">
        <f t="shared" si="28"/>
        <v>1500.5</v>
      </c>
      <c r="O138" s="670">
        <f t="shared" si="29"/>
        <v>300</v>
      </c>
      <c r="P138" s="943">
        <f t="shared" si="24"/>
        <v>120</v>
      </c>
    </row>
    <row r="139" spans="1:16">
      <c r="A139" s="684">
        <f t="shared" si="25"/>
        <v>44334</v>
      </c>
      <c r="B139" s="670">
        <v>506.04</v>
      </c>
      <c r="C139" s="38">
        <v>28439</v>
      </c>
      <c r="D139" s="944">
        <v>303</v>
      </c>
      <c r="E139" s="37">
        <v>0</v>
      </c>
      <c r="F139" s="943">
        <v>0</v>
      </c>
      <c r="G139" s="37">
        <v>6</v>
      </c>
      <c r="H139" s="37">
        <v>0</v>
      </c>
      <c r="I139" s="37">
        <v>0</v>
      </c>
      <c r="J139" s="672">
        <v>0.0107</v>
      </c>
      <c r="K139" s="670">
        <v>1.67</v>
      </c>
      <c r="L139" s="942">
        <f t="shared" ref="L139:L206" si="31">F139/B139</f>
        <v>0</v>
      </c>
      <c r="M139" s="672">
        <f t="shared" si="27"/>
        <v>0</v>
      </c>
      <c r="N139" s="670" t="e">
        <f t="shared" si="28"/>
        <v>#DIV/0!</v>
      </c>
      <c r="O139" s="670" t="e">
        <f t="shared" si="29"/>
        <v>#DIV/0!</v>
      </c>
      <c r="P139" s="943">
        <f t="shared" si="24"/>
        <v>84.34</v>
      </c>
    </row>
    <row r="140" spans="1:16">
      <c r="A140" s="684">
        <f t="shared" si="25"/>
        <v>44335</v>
      </c>
      <c r="B140" s="670">
        <v>580.37</v>
      </c>
      <c r="C140" s="38">
        <v>20783</v>
      </c>
      <c r="D140" s="944">
        <v>321</v>
      </c>
      <c r="E140" s="37">
        <v>0</v>
      </c>
      <c r="F140" s="943">
        <v>0</v>
      </c>
      <c r="G140" s="37">
        <v>4</v>
      </c>
      <c r="H140" s="37">
        <v>5</v>
      </c>
      <c r="I140" s="37">
        <v>0</v>
      </c>
      <c r="J140" s="672">
        <v>0.0154</v>
      </c>
      <c r="K140" s="670">
        <v>1.81</v>
      </c>
      <c r="L140" s="942">
        <f t="shared" si="31"/>
        <v>0</v>
      </c>
      <c r="M140" s="672">
        <f t="shared" si="27"/>
        <v>0</v>
      </c>
      <c r="N140" s="670" t="e">
        <f t="shared" si="28"/>
        <v>#DIV/0!</v>
      </c>
      <c r="O140" s="670" t="e">
        <f t="shared" si="29"/>
        <v>#DIV/0!</v>
      </c>
      <c r="P140" s="943">
        <f t="shared" si="24"/>
        <v>145.0925</v>
      </c>
    </row>
    <row r="141" spans="1:16">
      <c r="A141" s="684">
        <f t="shared" si="25"/>
        <v>44336</v>
      </c>
      <c r="B141" s="670">
        <v>337.93</v>
      </c>
      <c r="C141" s="38">
        <v>19294</v>
      </c>
      <c r="D141" s="944">
        <v>260</v>
      </c>
      <c r="E141" s="37">
        <v>0</v>
      </c>
      <c r="F141" s="943">
        <v>0</v>
      </c>
      <c r="G141" s="37">
        <v>2</v>
      </c>
      <c r="H141" s="37">
        <v>1</v>
      </c>
      <c r="I141" s="37">
        <v>0</v>
      </c>
      <c r="J141" s="672">
        <v>0.0135</v>
      </c>
      <c r="K141" s="670">
        <v>1.3</v>
      </c>
      <c r="L141" s="942">
        <f t="shared" si="31"/>
        <v>0</v>
      </c>
      <c r="M141" s="672">
        <f t="shared" si="27"/>
        <v>0</v>
      </c>
      <c r="N141" s="670" t="e">
        <f t="shared" si="28"/>
        <v>#DIV/0!</v>
      </c>
      <c r="O141" s="670" t="e">
        <f t="shared" si="29"/>
        <v>#DIV/0!</v>
      </c>
      <c r="P141" s="943">
        <f t="shared" si="24"/>
        <v>168.965</v>
      </c>
    </row>
    <row r="142" spans="1:16">
      <c r="A142" s="684">
        <f t="shared" si="25"/>
        <v>44337</v>
      </c>
      <c r="B142" s="670">
        <v>305.25</v>
      </c>
      <c r="C142" s="38">
        <v>17252</v>
      </c>
      <c r="D142" s="944">
        <v>251</v>
      </c>
      <c r="E142" s="37">
        <v>0</v>
      </c>
      <c r="F142" s="943">
        <v>0</v>
      </c>
      <c r="G142" s="37">
        <v>3</v>
      </c>
      <c r="H142" s="37">
        <v>3</v>
      </c>
      <c r="I142" s="37">
        <v>0</v>
      </c>
      <c r="J142" s="672">
        <v>0.0145</v>
      </c>
      <c r="K142" s="670">
        <v>1.22</v>
      </c>
      <c r="L142" s="942">
        <f t="shared" si="31"/>
        <v>0</v>
      </c>
      <c r="M142" s="672">
        <f t="shared" si="27"/>
        <v>0</v>
      </c>
      <c r="N142" s="670" t="e">
        <f t="shared" si="28"/>
        <v>#DIV/0!</v>
      </c>
      <c r="O142" s="670" t="e">
        <f t="shared" si="29"/>
        <v>#DIV/0!</v>
      </c>
      <c r="P142" s="943">
        <f t="shared" si="24"/>
        <v>101.75</v>
      </c>
    </row>
    <row r="143" spans="1:16">
      <c r="A143" s="684">
        <f t="shared" si="25"/>
        <v>44338</v>
      </c>
      <c r="B143" s="670">
        <v>458.86</v>
      </c>
      <c r="C143" s="38">
        <v>16282</v>
      </c>
      <c r="D143" s="944">
        <v>272</v>
      </c>
      <c r="E143" s="37">
        <v>0</v>
      </c>
      <c r="F143" s="943">
        <v>0</v>
      </c>
      <c r="G143" s="37">
        <v>8</v>
      </c>
      <c r="H143" s="37">
        <v>3</v>
      </c>
      <c r="I143" s="37">
        <v>1</v>
      </c>
      <c r="J143" s="672">
        <v>0.0167</v>
      </c>
      <c r="K143" s="670">
        <v>1.69</v>
      </c>
      <c r="L143" s="942">
        <f t="shared" si="31"/>
        <v>0</v>
      </c>
      <c r="M143" s="672">
        <f t="shared" si="27"/>
        <v>0</v>
      </c>
      <c r="N143" s="670" t="e">
        <f t="shared" si="28"/>
        <v>#DIV/0!</v>
      </c>
      <c r="O143" s="670" t="e">
        <f t="shared" si="29"/>
        <v>#DIV/0!</v>
      </c>
      <c r="P143" s="943">
        <f t="shared" si="24"/>
        <v>57.3575</v>
      </c>
    </row>
    <row r="144" spans="1:16">
      <c r="A144" s="684">
        <f t="shared" si="25"/>
        <v>44339</v>
      </c>
      <c r="B144" s="670">
        <v>410.31</v>
      </c>
      <c r="C144" s="38">
        <v>18803</v>
      </c>
      <c r="D144" s="944">
        <v>264</v>
      </c>
      <c r="E144" s="37">
        <v>0</v>
      </c>
      <c r="F144" s="943">
        <v>0</v>
      </c>
      <c r="G144" s="37">
        <v>2</v>
      </c>
      <c r="H144" s="37">
        <v>0</v>
      </c>
      <c r="I144" s="37">
        <v>0</v>
      </c>
      <c r="J144" s="672">
        <v>0.014</v>
      </c>
      <c r="K144" s="670">
        <v>1.55</v>
      </c>
      <c r="L144" s="942">
        <f t="shared" si="31"/>
        <v>0</v>
      </c>
      <c r="M144" s="672">
        <f t="shared" si="27"/>
        <v>0</v>
      </c>
      <c r="N144" s="670" t="e">
        <f t="shared" si="28"/>
        <v>#DIV/0!</v>
      </c>
      <c r="O144" s="670" t="e">
        <f t="shared" si="29"/>
        <v>#DIV/0!</v>
      </c>
      <c r="P144" s="943">
        <f t="shared" si="24"/>
        <v>205.155</v>
      </c>
    </row>
    <row r="145" spans="1:16">
      <c r="A145" s="684">
        <f t="shared" ref="A145:A208" si="32">A144+1</f>
        <v>44340</v>
      </c>
      <c r="B145" s="670">
        <v>473.51</v>
      </c>
      <c r="C145" s="38">
        <v>22322</v>
      </c>
      <c r="D145" s="944">
        <v>308</v>
      </c>
      <c r="E145" s="37">
        <v>0</v>
      </c>
      <c r="F145" s="943">
        <v>0</v>
      </c>
      <c r="G145" s="37">
        <v>3</v>
      </c>
      <c r="H145" s="37">
        <v>0</v>
      </c>
      <c r="I145" s="37">
        <v>0</v>
      </c>
      <c r="J145" s="672">
        <v>0.0138</v>
      </c>
      <c r="K145" s="670">
        <v>1.54</v>
      </c>
      <c r="L145" s="942">
        <f t="shared" si="31"/>
        <v>0</v>
      </c>
      <c r="M145" s="672">
        <f t="shared" si="27"/>
        <v>0</v>
      </c>
      <c r="N145" s="670" t="e">
        <f t="shared" si="28"/>
        <v>#DIV/0!</v>
      </c>
      <c r="O145" s="670" t="e">
        <f t="shared" si="29"/>
        <v>#DIV/0!</v>
      </c>
      <c r="P145" s="943">
        <f t="shared" si="24"/>
        <v>157.836666666667</v>
      </c>
    </row>
    <row r="146" spans="1:16">
      <c r="A146" s="684">
        <f t="shared" si="32"/>
        <v>44341</v>
      </c>
      <c r="B146" s="670">
        <v>511.77</v>
      </c>
      <c r="C146" s="38">
        <v>23453</v>
      </c>
      <c r="D146" s="944">
        <v>337</v>
      </c>
      <c r="E146" s="37">
        <v>0</v>
      </c>
      <c r="F146" s="943">
        <v>0</v>
      </c>
      <c r="G146" s="37">
        <v>5</v>
      </c>
      <c r="H146" s="37">
        <v>1</v>
      </c>
      <c r="I146" s="37">
        <v>1</v>
      </c>
      <c r="J146" s="672">
        <v>0.0144</v>
      </c>
      <c r="K146" s="670">
        <v>1.52</v>
      </c>
      <c r="L146" s="942">
        <f t="shared" si="31"/>
        <v>0</v>
      </c>
      <c r="M146" s="672">
        <f t="shared" si="27"/>
        <v>0</v>
      </c>
      <c r="N146" s="670" t="e">
        <f t="shared" si="28"/>
        <v>#DIV/0!</v>
      </c>
      <c r="O146" s="670" t="e">
        <f t="shared" si="29"/>
        <v>#DIV/0!</v>
      </c>
      <c r="P146" s="943">
        <f t="shared" si="24"/>
        <v>102.354</v>
      </c>
    </row>
    <row r="147" spans="1:16">
      <c r="A147" s="684">
        <f t="shared" si="32"/>
        <v>44342</v>
      </c>
      <c r="B147" s="670">
        <v>483.11</v>
      </c>
      <c r="C147" s="38">
        <v>25608</v>
      </c>
      <c r="D147" s="944">
        <v>316</v>
      </c>
      <c r="E147" s="37">
        <v>0</v>
      </c>
      <c r="F147" s="943">
        <v>0</v>
      </c>
      <c r="G147" s="37">
        <v>6</v>
      </c>
      <c r="H147" s="37">
        <v>2</v>
      </c>
      <c r="I147" s="37">
        <v>1</v>
      </c>
      <c r="J147" s="672">
        <v>0.0123</v>
      </c>
      <c r="K147" s="670">
        <v>1.53</v>
      </c>
      <c r="L147" s="942">
        <f t="shared" si="31"/>
        <v>0</v>
      </c>
      <c r="M147" s="672">
        <f t="shared" si="27"/>
        <v>0</v>
      </c>
      <c r="N147" s="670" t="e">
        <f t="shared" si="28"/>
        <v>#DIV/0!</v>
      </c>
      <c r="O147" s="670" t="e">
        <f t="shared" si="29"/>
        <v>#DIV/0!</v>
      </c>
      <c r="P147" s="943">
        <f t="shared" si="24"/>
        <v>80.5183333333333</v>
      </c>
    </row>
    <row r="148" spans="1:16">
      <c r="A148" s="684">
        <f t="shared" si="32"/>
        <v>44343</v>
      </c>
      <c r="B148" s="670">
        <v>528.9</v>
      </c>
      <c r="C148" s="38">
        <v>25047</v>
      </c>
      <c r="D148" s="944">
        <v>319</v>
      </c>
      <c r="E148" s="37">
        <v>0</v>
      </c>
      <c r="F148" s="943">
        <v>0</v>
      </c>
      <c r="G148" s="37">
        <v>12</v>
      </c>
      <c r="H148" s="37">
        <v>4</v>
      </c>
      <c r="I148" s="37">
        <v>0</v>
      </c>
      <c r="J148" s="672">
        <v>0.0127</v>
      </c>
      <c r="K148" s="670">
        <v>1.66</v>
      </c>
      <c r="L148" s="942">
        <f t="shared" si="31"/>
        <v>0</v>
      </c>
      <c r="M148" s="672">
        <f t="shared" si="27"/>
        <v>0</v>
      </c>
      <c r="N148" s="670" t="e">
        <f t="shared" si="28"/>
        <v>#DIV/0!</v>
      </c>
      <c r="O148" s="670" t="e">
        <f t="shared" si="29"/>
        <v>#DIV/0!</v>
      </c>
      <c r="P148" s="943">
        <f t="shared" si="24"/>
        <v>44.075</v>
      </c>
    </row>
    <row r="149" spans="1:16">
      <c r="A149" s="684">
        <f t="shared" si="32"/>
        <v>44344</v>
      </c>
      <c r="B149" s="670">
        <v>411.98</v>
      </c>
      <c r="C149" s="38">
        <v>31538</v>
      </c>
      <c r="D149" s="944">
        <v>275</v>
      </c>
      <c r="E149" s="37">
        <v>0</v>
      </c>
      <c r="F149" s="943">
        <v>0</v>
      </c>
      <c r="G149" s="37">
        <v>7</v>
      </c>
      <c r="H149" s="37">
        <v>5</v>
      </c>
      <c r="I149" s="37">
        <v>1</v>
      </c>
      <c r="J149" s="672">
        <v>0.0087</v>
      </c>
      <c r="K149" s="670">
        <v>1.61</v>
      </c>
      <c r="L149" s="942">
        <f t="shared" si="31"/>
        <v>0</v>
      </c>
      <c r="M149" s="672">
        <f t="shared" si="27"/>
        <v>0</v>
      </c>
      <c r="N149" s="670" t="e">
        <f t="shared" si="28"/>
        <v>#DIV/0!</v>
      </c>
      <c r="O149" s="670" t="e">
        <f t="shared" si="29"/>
        <v>#DIV/0!</v>
      </c>
      <c r="P149" s="943">
        <f t="shared" si="24"/>
        <v>58.8542857142857</v>
      </c>
    </row>
    <row r="150" spans="1:16">
      <c r="A150" s="684">
        <f t="shared" si="32"/>
        <v>44345</v>
      </c>
      <c r="B150" s="670">
        <v>375.76</v>
      </c>
      <c r="C150" s="38">
        <v>33048</v>
      </c>
      <c r="D150" s="944">
        <v>281</v>
      </c>
      <c r="E150" s="37">
        <v>0</v>
      </c>
      <c r="F150" s="943">
        <v>0</v>
      </c>
      <c r="G150" s="37">
        <v>5</v>
      </c>
      <c r="H150" s="37">
        <v>0</v>
      </c>
      <c r="I150" s="37">
        <v>2</v>
      </c>
      <c r="J150" s="672">
        <v>0.0085</v>
      </c>
      <c r="K150" s="670">
        <v>1.34</v>
      </c>
      <c r="L150" s="942">
        <f t="shared" si="31"/>
        <v>0</v>
      </c>
      <c r="M150" s="672">
        <f t="shared" si="27"/>
        <v>0</v>
      </c>
      <c r="N150" s="670" t="e">
        <f t="shared" si="28"/>
        <v>#DIV/0!</v>
      </c>
      <c r="O150" s="670" t="e">
        <f t="shared" si="29"/>
        <v>#DIV/0!</v>
      </c>
      <c r="P150" s="943">
        <f t="shared" si="24"/>
        <v>75.152</v>
      </c>
    </row>
    <row r="151" spans="1:16">
      <c r="A151" s="684">
        <f t="shared" si="32"/>
        <v>44346</v>
      </c>
      <c r="B151" s="670">
        <v>489.07</v>
      </c>
      <c r="C151" s="38">
        <v>24436</v>
      </c>
      <c r="D151" s="944">
        <v>346</v>
      </c>
      <c r="E151" s="37">
        <v>0</v>
      </c>
      <c r="F151" s="943">
        <v>0</v>
      </c>
      <c r="G151" s="37">
        <v>4</v>
      </c>
      <c r="H151" s="37">
        <v>2</v>
      </c>
      <c r="I151" s="37">
        <v>2</v>
      </c>
      <c r="J151" s="672">
        <v>0.0142</v>
      </c>
      <c r="K151" s="670">
        <v>1.41</v>
      </c>
      <c r="L151" s="942">
        <f t="shared" si="31"/>
        <v>0</v>
      </c>
      <c r="M151" s="672">
        <f t="shared" si="27"/>
        <v>0</v>
      </c>
      <c r="N151" s="670" t="e">
        <f t="shared" si="28"/>
        <v>#DIV/0!</v>
      </c>
      <c r="O151" s="670" t="e">
        <f t="shared" si="29"/>
        <v>#DIV/0!</v>
      </c>
      <c r="P151" s="943">
        <f t="shared" si="24"/>
        <v>122.2675</v>
      </c>
    </row>
    <row r="152" spans="1:16">
      <c r="A152" s="684">
        <f t="shared" si="32"/>
        <v>44347</v>
      </c>
      <c r="B152" s="670">
        <v>400</v>
      </c>
      <c r="C152" s="38">
        <v>16719</v>
      </c>
      <c r="D152" s="944">
        <v>255</v>
      </c>
      <c r="E152" s="37">
        <v>0</v>
      </c>
      <c r="F152" s="943">
        <v>0</v>
      </c>
      <c r="G152" s="37">
        <v>3</v>
      </c>
      <c r="H152" s="37">
        <v>1</v>
      </c>
      <c r="I152" s="37">
        <v>0</v>
      </c>
      <c r="J152" s="672">
        <v>0.0153</v>
      </c>
      <c r="K152" s="670">
        <v>1.57</v>
      </c>
      <c r="L152" s="942">
        <f t="shared" si="31"/>
        <v>0</v>
      </c>
      <c r="M152" s="672">
        <f t="shared" si="27"/>
        <v>0</v>
      </c>
      <c r="N152" s="670" t="e">
        <f t="shared" si="28"/>
        <v>#DIV/0!</v>
      </c>
      <c r="O152" s="670" t="e">
        <f t="shared" si="29"/>
        <v>#DIV/0!</v>
      </c>
      <c r="P152" s="943">
        <f t="shared" si="24"/>
        <v>133.333333333333</v>
      </c>
    </row>
    <row r="153" spans="1:16">
      <c r="A153" s="684">
        <f t="shared" si="32"/>
        <v>44348</v>
      </c>
      <c r="B153" s="670">
        <v>400</v>
      </c>
      <c r="C153" s="38">
        <v>13738</v>
      </c>
      <c r="D153" s="944">
        <v>231</v>
      </c>
      <c r="E153" s="37">
        <v>0</v>
      </c>
      <c r="F153" s="943">
        <v>0</v>
      </c>
      <c r="G153" s="37">
        <v>5</v>
      </c>
      <c r="H153" s="37">
        <v>1</v>
      </c>
      <c r="I153" s="37">
        <v>0</v>
      </c>
      <c r="J153" s="672">
        <v>0.0168</v>
      </c>
      <c r="K153" s="670">
        <v>1.73</v>
      </c>
      <c r="L153" s="942">
        <f t="shared" si="31"/>
        <v>0</v>
      </c>
      <c r="M153" s="672">
        <f t="shared" si="27"/>
        <v>0</v>
      </c>
      <c r="N153" s="670" t="e">
        <f t="shared" si="28"/>
        <v>#DIV/0!</v>
      </c>
      <c r="O153" s="670" t="e">
        <f t="shared" si="29"/>
        <v>#DIV/0!</v>
      </c>
      <c r="P153" s="943">
        <f t="shared" si="24"/>
        <v>80</v>
      </c>
    </row>
    <row r="154" spans="1:16">
      <c r="A154" s="684">
        <f t="shared" si="32"/>
        <v>44349</v>
      </c>
      <c r="B154" s="670">
        <v>400</v>
      </c>
      <c r="C154" s="38">
        <v>14539</v>
      </c>
      <c r="D154" s="944">
        <v>247</v>
      </c>
      <c r="E154" s="37">
        <v>0</v>
      </c>
      <c r="F154" s="943">
        <v>0</v>
      </c>
      <c r="G154" s="37">
        <v>8</v>
      </c>
      <c r="H154" s="37">
        <v>2</v>
      </c>
      <c r="I154" s="37">
        <v>2</v>
      </c>
      <c r="J154" s="672">
        <v>0.017</v>
      </c>
      <c r="K154" s="670">
        <v>1.62</v>
      </c>
      <c r="L154" s="942">
        <f t="shared" si="31"/>
        <v>0</v>
      </c>
      <c r="M154" s="672">
        <f t="shared" si="27"/>
        <v>0</v>
      </c>
      <c r="N154" s="670" t="e">
        <f t="shared" si="28"/>
        <v>#DIV/0!</v>
      </c>
      <c r="O154" s="670" t="e">
        <f t="shared" si="29"/>
        <v>#DIV/0!</v>
      </c>
      <c r="P154" s="943">
        <f t="shared" si="24"/>
        <v>50</v>
      </c>
    </row>
    <row r="155" spans="1:16">
      <c r="A155" s="684">
        <f t="shared" si="32"/>
        <v>44350</v>
      </c>
      <c r="B155" s="670">
        <v>400</v>
      </c>
      <c r="C155" s="38">
        <v>14326</v>
      </c>
      <c r="D155" s="944">
        <v>225</v>
      </c>
      <c r="E155" s="37">
        <v>0</v>
      </c>
      <c r="F155" s="943">
        <v>0</v>
      </c>
      <c r="G155" s="37">
        <v>4</v>
      </c>
      <c r="H155" s="37">
        <v>2</v>
      </c>
      <c r="I155" s="37">
        <v>0</v>
      </c>
      <c r="J155" s="672">
        <v>0.0157</v>
      </c>
      <c r="K155" s="670">
        <v>1.78</v>
      </c>
      <c r="L155" s="942">
        <f t="shared" si="31"/>
        <v>0</v>
      </c>
      <c r="M155" s="672">
        <f t="shared" si="27"/>
        <v>0</v>
      </c>
      <c r="N155" s="670" t="e">
        <f t="shared" si="28"/>
        <v>#DIV/0!</v>
      </c>
      <c r="O155" s="670" t="e">
        <f t="shared" si="29"/>
        <v>#DIV/0!</v>
      </c>
      <c r="P155" s="943">
        <f t="shared" si="24"/>
        <v>100</v>
      </c>
    </row>
    <row r="156" spans="1:16">
      <c r="A156" s="684">
        <f t="shared" si="32"/>
        <v>44351</v>
      </c>
      <c r="B156" s="670">
        <v>399.06</v>
      </c>
      <c r="C156" s="38">
        <v>18010</v>
      </c>
      <c r="D156" s="944">
        <v>250</v>
      </c>
      <c r="E156" s="37">
        <v>0</v>
      </c>
      <c r="F156" s="943">
        <v>0</v>
      </c>
      <c r="G156" s="37">
        <v>4</v>
      </c>
      <c r="H156" s="37">
        <v>5</v>
      </c>
      <c r="I156" s="37">
        <v>2</v>
      </c>
      <c r="J156" s="672">
        <v>0.0139</v>
      </c>
      <c r="K156" s="670">
        <v>1.6</v>
      </c>
      <c r="L156" s="942">
        <f t="shared" si="31"/>
        <v>0</v>
      </c>
      <c r="M156" s="672">
        <f t="shared" si="27"/>
        <v>0</v>
      </c>
      <c r="N156" s="670" t="e">
        <f t="shared" si="28"/>
        <v>#DIV/0!</v>
      </c>
      <c r="O156" s="670" t="e">
        <f t="shared" si="29"/>
        <v>#DIV/0!</v>
      </c>
      <c r="P156" s="943">
        <f t="shared" si="24"/>
        <v>99.765</v>
      </c>
    </row>
    <row r="157" spans="1:16">
      <c r="A157" s="684">
        <f t="shared" si="32"/>
        <v>44352</v>
      </c>
      <c r="B157" s="670">
        <v>400</v>
      </c>
      <c r="C157" s="38">
        <v>14482</v>
      </c>
      <c r="D157" s="944">
        <v>248</v>
      </c>
      <c r="E157" s="37">
        <v>0</v>
      </c>
      <c r="F157" s="943">
        <v>0</v>
      </c>
      <c r="G157" s="37">
        <v>6</v>
      </c>
      <c r="H157" s="37">
        <v>2</v>
      </c>
      <c r="I157" s="37">
        <v>2</v>
      </c>
      <c r="J157" s="672">
        <v>0.0171</v>
      </c>
      <c r="K157" s="670">
        <v>1.61</v>
      </c>
      <c r="L157" s="942">
        <f t="shared" si="31"/>
        <v>0</v>
      </c>
      <c r="M157" s="672">
        <f t="shared" si="27"/>
        <v>0</v>
      </c>
      <c r="N157" s="670" t="e">
        <f t="shared" si="28"/>
        <v>#DIV/0!</v>
      </c>
      <c r="O157" s="670" t="e">
        <f t="shared" si="29"/>
        <v>#DIV/0!</v>
      </c>
      <c r="P157" s="943">
        <f t="shared" si="24"/>
        <v>66.6666666666667</v>
      </c>
    </row>
    <row r="158" spans="1:16">
      <c r="A158" s="684">
        <f t="shared" si="32"/>
        <v>44353</v>
      </c>
      <c r="B158" s="670">
        <v>399.1</v>
      </c>
      <c r="C158" s="38">
        <v>11810</v>
      </c>
      <c r="D158" s="944">
        <v>225</v>
      </c>
      <c r="E158" s="37">
        <v>0</v>
      </c>
      <c r="F158" s="943">
        <v>0</v>
      </c>
      <c r="G158" s="37">
        <v>7</v>
      </c>
      <c r="H158" s="37">
        <v>1</v>
      </c>
      <c r="I158" s="37">
        <v>1</v>
      </c>
      <c r="J158" s="672">
        <v>0.0191</v>
      </c>
      <c r="K158" s="670">
        <v>1.77</v>
      </c>
      <c r="L158" s="942">
        <f t="shared" si="31"/>
        <v>0</v>
      </c>
      <c r="M158" s="672">
        <f t="shared" si="27"/>
        <v>0</v>
      </c>
      <c r="N158" s="670" t="e">
        <f t="shared" si="28"/>
        <v>#DIV/0!</v>
      </c>
      <c r="O158" s="670" t="e">
        <f t="shared" si="29"/>
        <v>#DIV/0!</v>
      </c>
      <c r="P158" s="943">
        <f t="shared" si="24"/>
        <v>57.0142857142857</v>
      </c>
    </row>
    <row r="159" spans="1:16">
      <c r="A159" s="684">
        <f t="shared" si="32"/>
        <v>44354</v>
      </c>
      <c r="B159" s="670">
        <v>400</v>
      </c>
      <c r="C159" s="38">
        <v>14856</v>
      </c>
      <c r="D159" s="944">
        <v>227</v>
      </c>
      <c r="E159" s="37">
        <v>0</v>
      </c>
      <c r="F159" s="943">
        <v>0</v>
      </c>
      <c r="G159" s="37">
        <v>2</v>
      </c>
      <c r="H159" s="37">
        <v>4</v>
      </c>
      <c r="I159" s="37">
        <v>3</v>
      </c>
      <c r="J159" s="672">
        <v>0.0153</v>
      </c>
      <c r="K159" s="670">
        <v>1.76</v>
      </c>
      <c r="L159" s="942">
        <f t="shared" si="31"/>
        <v>0</v>
      </c>
      <c r="M159" s="672">
        <f t="shared" si="27"/>
        <v>0</v>
      </c>
      <c r="N159" s="670" t="e">
        <f t="shared" si="28"/>
        <v>#DIV/0!</v>
      </c>
      <c r="O159" s="670" t="e">
        <f t="shared" si="29"/>
        <v>#DIV/0!</v>
      </c>
      <c r="P159" s="943">
        <f t="shared" si="24"/>
        <v>200</v>
      </c>
    </row>
    <row r="160" spans="1:16">
      <c r="A160" s="684">
        <f t="shared" si="32"/>
        <v>44355</v>
      </c>
      <c r="B160" s="670">
        <v>397.58</v>
      </c>
      <c r="C160" s="38">
        <v>15508</v>
      </c>
      <c r="D160" s="944">
        <v>225</v>
      </c>
      <c r="E160" s="37">
        <v>0</v>
      </c>
      <c r="F160" s="943">
        <v>0</v>
      </c>
      <c r="G160" s="37">
        <v>7</v>
      </c>
      <c r="H160" s="37">
        <v>3</v>
      </c>
      <c r="I160" s="37">
        <v>0</v>
      </c>
      <c r="J160" s="672">
        <v>0.0145</v>
      </c>
      <c r="K160" s="670">
        <v>1.76</v>
      </c>
      <c r="L160" s="942">
        <f t="shared" si="31"/>
        <v>0</v>
      </c>
      <c r="M160" s="672">
        <f t="shared" si="27"/>
        <v>0</v>
      </c>
      <c r="N160" s="670" t="e">
        <f t="shared" si="28"/>
        <v>#DIV/0!</v>
      </c>
      <c r="O160" s="670" t="e">
        <f t="shared" si="29"/>
        <v>#DIV/0!</v>
      </c>
      <c r="P160" s="943">
        <f t="shared" si="24"/>
        <v>56.7971428571429</v>
      </c>
    </row>
    <row r="161" spans="1:16">
      <c r="A161" s="684">
        <f t="shared" si="32"/>
        <v>44356</v>
      </c>
      <c r="B161" s="670">
        <v>400</v>
      </c>
      <c r="C161" s="38">
        <v>12946</v>
      </c>
      <c r="D161" s="944">
        <v>235</v>
      </c>
      <c r="E161" s="37">
        <v>0</v>
      </c>
      <c r="F161" s="943">
        <v>0</v>
      </c>
      <c r="G161" s="37">
        <v>2</v>
      </c>
      <c r="H161" s="37">
        <v>2</v>
      </c>
      <c r="I161" s="37">
        <v>1</v>
      </c>
      <c r="J161" s="672">
        <v>0.0182</v>
      </c>
      <c r="K161" s="670">
        <v>1.7</v>
      </c>
      <c r="L161" s="942">
        <f t="shared" si="31"/>
        <v>0</v>
      </c>
      <c r="M161" s="672">
        <f t="shared" ref="M161:M224" si="33">E161/D161</f>
        <v>0</v>
      </c>
      <c r="N161" s="670" t="e">
        <f t="shared" si="28"/>
        <v>#DIV/0!</v>
      </c>
      <c r="O161" s="670" t="e">
        <f t="shared" si="29"/>
        <v>#DIV/0!</v>
      </c>
      <c r="P161" s="943">
        <f t="shared" si="24"/>
        <v>200</v>
      </c>
    </row>
    <row r="162" spans="1:16">
      <c r="A162" s="684">
        <f t="shared" si="32"/>
        <v>44357</v>
      </c>
      <c r="B162" s="670">
        <v>392.45</v>
      </c>
      <c r="C162" s="38">
        <v>13544</v>
      </c>
      <c r="D162" s="944">
        <v>253</v>
      </c>
      <c r="E162" s="37">
        <v>0</v>
      </c>
      <c r="F162" s="943">
        <v>0</v>
      </c>
      <c r="G162" s="37">
        <v>3</v>
      </c>
      <c r="H162" s="37">
        <v>0</v>
      </c>
      <c r="I162" s="37">
        <v>3</v>
      </c>
      <c r="J162" s="672">
        <v>0.0187</v>
      </c>
      <c r="K162" s="670">
        <v>1.55</v>
      </c>
      <c r="L162" s="942">
        <f t="shared" si="31"/>
        <v>0</v>
      </c>
      <c r="M162" s="672">
        <f t="shared" si="33"/>
        <v>0</v>
      </c>
      <c r="N162" s="670" t="e">
        <f t="shared" si="28"/>
        <v>#DIV/0!</v>
      </c>
      <c r="O162" s="670" t="e">
        <f t="shared" si="29"/>
        <v>#DIV/0!</v>
      </c>
      <c r="P162" s="943">
        <f t="shared" si="24"/>
        <v>130.816666666667</v>
      </c>
    </row>
    <row r="163" spans="1:16">
      <c r="A163" s="684">
        <f t="shared" si="32"/>
        <v>44358</v>
      </c>
      <c r="B163" s="670">
        <v>374.42</v>
      </c>
      <c r="C163" s="38">
        <v>14120</v>
      </c>
      <c r="D163" s="944">
        <v>209</v>
      </c>
      <c r="E163" s="37">
        <v>0</v>
      </c>
      <c r="F163" s="943">
        <v>0</v>
      </c>
      <c r="G163" s="37">
        <v>0</v>
      </c>
      <c r="H163" s="37">
        <v>2</v>
      </c>
      <c r="I163" s="37">
        <v>1</v>
      </c>
      <c r="J163" s="672">
        <v>0.0148</v>
      </c>
      <c r="K163" s="670">
        <v>1.79</v>
      </c>
      <c r="L163" s="942">
        <f t="shared" si="31"/>
        <v>0</v>
      </c>
      <c r="M163" s="672">
        <f t="shared" si="33"/>
        <v>0</v>
      </c>
      <c r="N163" s="670" t="e">
        <f t="shared" si="28"/>
        <v>#DIV/0!</v>
      </c>
      <c r="O163" s="670" t="e">
        <f t="shared" si="29"/>
        <v>#DIV/0!</v>
      </c>
      <c r="P163" s="943" t="e">
        <f t="shared" si="24"/>
        <v>#DIV/0!</v>
      </c>
    </row>
    <row r="164" spans="1:16">
      <c r="A164" s="684">
        <f t="shared" si="32"/>
        <v>44359</v>
      </c>
      <c r="B164" s="670">
        <v>396.35</v>
      </c>
      <c r="C164" s="38">
        <v>10088</v>
      </c>
      <c r="D164" s="944">
        <v>212</v>
      </c>
      <c r="E164" s="37">
        <v>0</v>
      </c>
      <c r="F164" s="943">
        <v>0</v>
      </c>
      <c r="G164" s="37">
        <v>5</v>
      </c>
      <c r="H164" s="37">
        <v>2</v>
      </c>
      <c r="I164" s="37">
        <v>0</v>
      </c>
      <c r="J164" s="672">
        <v>0.021</v>
      </c>
      <c r="K164" s="670">
        <v>1.87</v>
      </c>
      <c r="L164" s="942">
        <f t="shared" si="31"/>
        <v>0</v>
      </c>
      <c r="M164" s="672">
        <f t="shared" si="33"/>
        <v>0</v>
      </c>
      <c r="N164" s="670" t="e">
        <f t="shared" si="28"/>
        <v>#DIV/0!</v>
      </c>
      <c r="O164" s="670" t="e">
        <f t="shared" si="29"/>
        <v>#DIV/0!</v>
      </c>
      <c r="P164" s="943">
        <f t="shared" si="24"/>
        <v>79.27</v>
      </c>
    </row>
    <row r="165" spans="1:16">
      <c r="A165" s="684">
        <f t="shared" si="32"/>
        <v>44360</v>
      </c>
      <c r="B165" s="670">
        <v>400</v>
      </c>
      <c r="C165" s="38">
        <v>9777</v>
      </c>
      <c r="D165" s="944">
        <v>217</v>
      </c>
      <c r="E165" s="37">
        <v>0</v>
      </c>
      <c r="F165" s="943">
        <v>0</v>
      </c>
      <c r="G165" s="37">
        <v>4</v>
      </c>
      <c r="H165" s="37">
        <v>5</v>
      </c>
      <c r="I165" s="37">
        <v>4</v>
      </c>
      <c r="J165" s="672">
        <v>0.0222</v>
      </c>
      <c r="K165" s="670">
        <v>1.84</v>
      </c>
      <c r="L165" s="942">
        <f t="shared" si="31"/>
        <v>0</v>
      </c>
      <c r="M165" s="672">
        <f t="shared" si="33"/>
        <v>0</v>
      </c>
      <c r="N165" s="670" t="e">
        <f t="shared" si="28"/>
        <v>#DIV/0!</v>
      </c>
      <c r="O165" s="670" t="e">
        <f t="shared" si="29"/>
        <v>#DIV/0!</v>
      </c>
      <c r="P165" s="943">
        <f t="shared" si="24"/>
        <v>100</v>
      </c>
    </row>
    <row r="166" spans="1:16">
      <c r="A166" s="684">
        <f t="shared" si="32"/>
        <v>44361</v>
      </c>
      <c r="B166" s="670">
        <v>244.01</v>
      </c>
      <c r="C166" s="38">
        <v>7345</v>
      </c>
      <c r="D166" s="944">
        <v>152</v>
      </c>
      <c r="E166" s="37">
        <v>0</v>
      </c>
      <c r="F166" s="943">
        <v>0</v>
      </c>
      <c r="G166" s="37">
        <v>0</v>
      </c>
      <c r="H166" s="37">
        <v>0</v>
      </c>
      <c r="I166" s="37">
        <v>0</v>
      </c>
      <c r="J166" s="672">
        <v>0.0207</v>
      </c>
      <c r="K166" s="670">
        <v>1.61</v>
      </c>
      <c r="L166" s="942">
        <f t="shared" si="31"/>
        <v>0</v>
      </c>
      <c r="M166" s="672">
        <f t="shared" si="33"/>
        <v>0</v>
      </c>
      <c r="N166" s="670" t="e">
        <f t="shared" si="28"/>
        <v>#DIV/0!</v>
      </c>
      <c r="O166" s="670" t="e">
        <f t="shared" si="29"/>
        <v>#DIV/0!</v>
      </c>
      <c r="P166" s="943" t="e">
        <f t="shared" si="24"/>
        <v>#DIV/0!</v>
      </c>
    </row>
    <row r="167" spans="1:16">
      <c r="A167" s="684">
        <f t="shared" si="32"/>
        <v>44362</v>
      </c>
      <c r="B167" s="670" t="s">
        <v>18</v>
      </c>
      <c r="C167" s="41" t="s">
        <v>18</v>
      </c>
      <c r="D167" s="41" t="s">
        <v>18</v>
      </c>
      <c r="E167" s="41" t="s">
        <v>18</v>
      </c>
      <c r="F167" s="670" t="s">
        <v>18</v>
      </c>
      <c r="G167" s="41" t="s">
        <v>18</v>
      </c>
      <c r="H167" s="41" t="s">
        <v>18</v>
      </c>
      <c r="I167" s="41" t="s">
        <v>18</v>
      </c>
      <c r="J167" s="41" t="s">
        <v>18</v>
      </c>
      <c r="K167" s="670" t="s">
        <v>18</v>
      </c>
      <c r="L167" s="942" t="e">
        <f t="shared" si="31"/>
        <v>#VALUE!</v>
      </c>
      <c r="M167" s="672" t="e">
        <f t="shared" si="33"/>
        <v>#VALUE!</v>
      </c>
      <c r="N167" s="670" t="e">
        <f t="shared" si="28"/>
        <v>#VALUE!</v>
      </c>
      <c r="O167" s="670" t="e">
        <f t="shared" ref="O167:O250" si="34">B167/E167</f>
        <v>#VALUE!</v>
      </c>
      <c r="P167" s="943" t="e">
        <f t="shared" ref="P167:P252" si="35">B167/G167</f>
        <v>#VALUE!</v>
      </c>
    </row>
    <row r="168" spans="1:16">
      <c r="A168" s="684">
        <f t="shared" si="32"/>
        <v>44363</v>
      </c>
      <c r="B168" s="670">
        <v>357.53</v>
      </c>
      <c r="C168" s="38">
        <v>9556</v>
      </c>
      <c r="D168" s="944">
        <v>216</v>
      </c>
      <c r="E168" s="37">
        <v>0</v>
      </c>
      <c r="F168" s="943">
        <v>0</v>
      </c>
      <c r="G168" s="37">
        <v>4</v>
      </c>
      <c r="H168" s="37">
        <v>0</v>
      </c>
      <c r="I168" s="37">
        <v>1</v>
      </c>
      <c r="J168" s="672">
        <v>0.0226</v>
      </c>
      <c r="K168" s="670">
        <v>1.66</v>
      </c>
      <c r="L168" s="942">
        <f t="shared" si="31"/>
        <v>0</v>
      </c>
      <c r="M168" s="672">
        <f t="shared" si="33"/>
        <v>0</v>
      </c>
      <c r="N168" s="670" t="e">
        <f t="shared" ref="N168:N250" si="36">F168/E168</f>
        <v>#DIV/0!</v>
      </c>
      <c r="O168" s="670" t="e">
        <f t="shared" si="34"/>
        <v>#DIV/0!</v>
      </c>
      <c r="P168" s="943">
        <f t="shared" si="35"/>
        <v>89.3825</v>
      </c>
    </row>
    <row r="169" spans="1:16">
      <c r="A169" s="684">
        <f t="shared" si="32"/>
        <v>44364</v>
      </c>
      <c r="B169" s="670">
        <v>501.6</v>
      </c>
      <c r="C169" s="38">
        <v>13608</v>
      </c>
      <c r="D169" s="944">
        <v>299</v>
      </c>
      <c r="E169" s="37">
        <v>0</v>
      </c>
      <c r="F169" s="943">
        <v>0</v>
      </c>
      <c r="G169" s="37">
        <v>7</v>
      </c>
      <c r="H169" s="37">
        <v>1</v>
      </c>
      <c r="I169" s="37">
        <v>2</v>
      </c>
      <c r="J169" s="672">
        <v>0.022</v>
      </c>
      <c r="K169" s="670">
        <v>1.68</v>
      </c>
      <c r="L169" s="942">
        <f t="shared" si="31"/>
        <v>0</v>
      </c>
      <c r="M169" s="672">
        <f t="shared" si="33"/>
        <v>0</v>
      </c>
      <c r="N169" s="670" t="e">
        <f t="shared" si="36"/>
        <v>#DIV/0!</v>
      </c>
      <c r="O169" s="670" t="e">
        <f t="shared" si="34"/>
        <v>#DIV/0!</v>
      </c>
      <c r="P169" s="943">
        <f t="shared" si="35"/>
        <v>71.6571428571429</v>
      </c>
    </row>
    <row r="170" spans="1:16">
      <c r="A170" s="684">
        <f t="shared" si="32"/>
        <v>44365</v>
      </c>
      <c r="B170" s="670">
        <v>522.36</v>
      </c>
      <c r="C170" s="38">
        <v>10297</v>
      </c>
      <c r="D170" s="944">
        <v>258</v>
      </c>
      <c r="E170" s="37">
        <v>0</v>
      </c>
      <c r="F170" s="943">
        <v>0</v>
      </c>
      <c r="G170" s="37">
        <v>4</v>
      </c>
      <c r="H170" s="37">
        <v>3</v>
      </c>
      <c r="I170" s="37">
        <v>2</v>
      </c>
      <c r="J170" s="672">
        <v>0.0251</v>
      </c>
      <c r="K170" s="670">
        <v>2.02</v>
      </c>
      <c r="L170" s="942">
        <f t="shared" si="31"/>
        <v>0</v>
      </c>
      <c r="M170" s="672">
        <f t="shared" si="33"/>
        <v>0</v>
      </c>
      <c r="N170" s="670" t="e">
        <f t="shared" si="36"/>
        <v>#DIV/0!</v>
      </c>
      <c r="O170" s="670" t="e">
        <f t="shared" si="34"/>
        <v>#DIV/0!</v>
      </c>
      <c r="P170" s="943">
        <f t="shared" si="35"/>
        <v>130.59</v>
      </c>
    </row>
    <row r="171" spans="1:16">
      <c r="A171" s="684">
        <f t="shared" si="32"/>
        <v>44366</v>
      </c>
      <c r="B171" s="670">
        <v>459.7</v>
      </c>
      <c r="C171" s="38">
        <v>14195</v>
      </c>
      <c r="D171" s="944">
        <v>261</v>
      </c>
      <c r="E171" s="37">
        <v>0</v>
      </c>
      <c r="F171" s="943">
        <v>0</v>
      </c>
      <c r="G171" s="37">
        <v>1</v>
      </c>
      <c r="H171" s="37">
        <v>2</v>
      </c>
      <c r="I171" s="37">
        <v>1</v>
      </c>
      <c r="J171" s="672">
        <v>0.0184</v>
      </c>
      <c r="K171" s="670">
        <v>1.76</v>
      </c>
      <c r="L171" s="942">
        <f t="shared" si="31"/>
        <v>0</v>
      </c>
      <c r="M171" s="672">
        <f t="shared" si="33"/>
        <v>0</v>
      </c>
      <c r="N171" s="670" t="e">
        <f t="shared" si="36"/>
        <v>#DIV/0!</v>
      </c>
      <c r="O171" s="670" t="e">
        <f t="shared" si="34"/>
        <v>#DIV/0!</v>
      </c>
      <c r="P171" s="943">
        <f t="shared" si="35"/>
        <v>459.7</v>
      </c>
    </row>
    <row r="172" spans="1:16">
      <c r="A172" s="684">
        <f t="shared" si="32"/>
        <v>44367</v>
      </c>
      <c r="B172" s="670">
        <v>559.26</v>
      </c>
      <c r="C172" s="38">
        <v>14061</v>
      </c>
      <c r="D172" s="944">
        <v>280</v>
      </c>
      <c r="E172" s="37">
        <v>0</v>
      </c>
      <c r="F172" s="943">
        <v>0</v>
      </c>
      <c r="G172" s="37">
        <v>3</v>
      </c>
      <c r="H172" s="37">
        <v>3</v>
      </c>
      <c r="I172" s="37">
        <v>3</v>
      </c>
      <c r="J172" s="672">
        <v>0.0199</v>
      </c>
      <c r="K172" s="670">
        <v>2</v>
      </c>
      <c r="L172" s="942">
        <f t="shared" si="31"/>
        <v>0</v>
      </c>
      <c r="M172" s="672">
        <f t="shared" si="33"/>
        <v>0</v>
      </c>
      <c r="N172" s="670" t="e">
        <f t="shared" si="36"/>
        <v>#DIV/0!</v>
      </c>
      <c r="O172" s="670" t="e">
        <f t="shared" si="34"/>
        <v>#DIV/0!</v>
      </c>
      <c r="P172" s="943">
        <f t="shared" si="35"/>
        <v>186.42</v>
      </c>
    </row>
    <row r="173" spans="1:16">
      <c r="A173" s="684">
        <f t="shared" si="32"/>
        <v>44368</v>
      </c>
      <c r="B173" s="670">
        <v>492.33</v>
      </c>
      <c r="C173" s="38">
        <v>31387</v>
      </c>
      <c r="D173" s="944">
        <v>285</v>
      </c>
      <c r="E173" s="37">
        <v>0</v>
      </c>
      <c r="F173" s="943">
        <v>0</v>
      </c>
      <c r="G173" s="37">
        <v>5</v>
      </c>
      <c r="H173" s="37">
        <v>4</v>
      </c>
      <c r="I173" s="37">
        <v>2</v>
      </c>
      <c r="J173" s="672">
        <v>0.0091</v>
      </c>
      <c r="K173" s="670">
        <v>1.73</v>
      </c>
      <c r="L173" s="942">
        <f t="shared" si="31"/>
        <v>0</v>
      </c>
      <c r="M173" s="672">
        <f t="shared" si="33"/>
        <v>0</v>
      </c>
      <c r="N173" s="670" t="e">
        <f t="shared" si="36"/>
        <v>#DIV/0!</v>
      </c>
      <c r="O173" s="670" t="e">
        <f t="shared" si="34"/>
        <v>#DIV/0!</v>
      </c>
      <c r="P173" s="943">
        <f t="shared" si="35"/>
        <v>98.466</v>
      </c>
    </row>
    <row r="174" spans="1:16">
      <c r="A174" s="684">
        <f t="shared" si="32"/>
        <v>44369</v>
      </c>
      <c r="B174" s="670">
        <v>815.14</v>
      </c>
      <c r="C174" s="38">
        <v>36340</v>
      </c>
      <c r="D174" s="944">
        <v>376</v>
      </c>
      <c r="E174" s="37">
        <v>1</v>
      </c>
      <c r="F174" s="943">
        <v>4200</v>
      </c>
      <c r="G174" s="37">
        <v>9</v>
      </c>
      <c r="H174" s="37">
        <v>1</v>
      </c>
      <c r="I174" s="37">
        <v>2</v>
      </c>
      <c r="J174" s="672">
        <v>0.0103</v>
      </c>
      <c r="K174" s="670">
        <v>2.17</v>
      </c>
      <c r="L174" s="942">
        <f t="shared" si="31"/>
        <v>5.15248914296931</v>
      </c>
      <c r="M174" s="672">
        <f t="shared" si="33"/>
        <v>0.00265957446808511</v>
      </c>
      <c r="N174" s="670">
        <f t="shared" si="36"/>
        <v>4200</v>
      </c>
      <c r="O174" s="670">
        <f t="shared" si="34"/>
        <v>815.14</v>
      </c>
      <c r="P174" s="943">
        <f t="shared" si="35"/>
        <v>90.5711111111111</v>
      </c>
    </row>
    <row r="175" spans="1:16">
      <c r="A175" s="684">
        <f t="shared" si="32"/>
        <v>44370</v>
      </c>
      <c r="B175" s="670">
        <v>797.4</v>
      </c>
      <c r="C175" s="38">
        <v>38216</v>
      </c>
      <c r="D175" s="944">
        <v>365</v>
      </c>
      <c r="E175" s="37">
        <v>0</v>
      </c>
      <c r="F175" s="943">
        <v>0</v>
      </c>
      <c r="G175" s="37">
        <v>10</v>
      </c>
      <c r="H175" s="37">
        <v>2</v>
      </c>
      <c r="I175" s="37">
        <v>1</v>
      </c>
      <c r="J175" s="672">
        <v>0.0096</v>
      </c>
      <c r="K175" s="670">
        <v>2.18</v>
      </c>
      <c r="L175" s="942">
        <f t="shared" si="31"/>
        <v>0</v>
      </c>
      <c r="M175" s="672">
        <f t="shared" si="33"/>
        <v>0</v>
      </c>
      <c r="N175" s="670" t="e">
        <f t="shared" si="36"/>
        <v>#DIV/0!</v>
      </c>
      <c r="O175" s="670" t="e">
        <f t="shared" si="34"/>
        <v>#DIV/0!</v>
      </c>
      <c r="P175" s="943">
        <f t="shared" si="35"/>
        <v>79.74</v>
      </c>
    </row>
    <row r="176" spans="1:16">
      <c r="A176" s="684">
        <f t="shared" si="32"/>
        <v>44371</v>
      </c>
      <c r="B176" s="670">
        <v>849.32</v>
      </c>
      <c r="C176" s="38">
        <v>37379</v>
      </c>
      <c r="D176" s="944">
        <v>394</v>
      </c>
      <c r="E176" s="37">
        <v>0</v>
      </c>
      <c r="F176" s="943">
        <v>0</v>
      </c>
      <c r="G176" s="37">
        <v>8</v>
      </c>
      <c r="H176" s="37">
        <v>4</v>
      </c>
      <c r="I176" s="37">
        <v>1</v>
      </c>
      <c r="J176" s="672">
        <v>0.0105</v>
      </c>
      <c r="K176" s="670">
        <v>2.16</v>
      </c>
      <c r="L176" s="942">
        <f t="shared" si="31"/>
        <v>0</v>
      </c>
      <c r="M176" s="672">
        <f t="shared" si="33"/>
        <v>0</v>
      </c>
      <c r="N176" s="670" t="e">
        <f t="shared" si="36"/>
        <v>#DIV/0!</v>
      </c>
      <c r="O176" s="670" t="e">
        <f t="shared" si="34"/>
        <v>#DIV/0!</v>
      </c>
      <c r="P176" s="943">
        <f t="shared" si="35"/>
        <v>106.165</v>
      </c>
    </row>
    <row r="177" spans="1:16">
      <c r="A177" s="684">
        <f t="shared" si="32"/>
        <v>44372</v>
      </c>
      <c r="B177" s="670">
        <v>895.74</v>
      </c>
      <c r="C177" s="38">
        <v>35425</v>
      </c>
      <c r="D177" s="944">
        <v>409</v>
      </c>
      <c r="E177" s="37">
        <v>0</v>
      </c>
      <c r="F177" s="943">
        <v>0</v>
      </c>
      <c r="G177" s="37">
        <v>5</v>
      </c>
      <c r="H177" s="37">
        <v>2</v>
      </c>
      <c r="I177" s="37">
        <v>0</v>
      </c>
      <c r="J177" s="672">
        <v>0.0115</v>
      </c>
      <c r="K177" s="670">
        <v>2.19</v>
      </c>
      <c r="L177" s="942">
        <f t="shared" si="31"/>
        <v>0</v>
      </c>
      <c r="M177" s="672">
        <f t="shared" si="33"/>
        <v>0</v>
      </c>
      <c r="N177" s="670" t="e">
        <f t="shared" si="36"/>
        <v>#DIV/0!</v>
      </c>
      <c r="O177" s="670" t="e">
        <f t="shared" si="34"/>
        <v>#DIV/0!</v>
      </c>
      <c r="P177" s="943">
        <f t="shared" si="35"/>
        <v>179.148</v>
      </c>
    </row>
    <row r="178" spans="1:16">
      <c r="A178" s="684">
        <f t="shared" si="32"/>
        <v>44373</v>
      </c>
      <c r="B178" s="670">
        <v>900</v>
      </c>
      <c r="C178" s="38">
        <v>26554</v>
      </c>
      <c r="D178" s="944">
        <v>383</v>
      </c>
      <c r="E178" s="37">
        <v>0</v>
      </c>
      <c r="F178" s="943">
        <v>0</v>
      </c>
      <c r="G178" s="37">
        <v>11</v>
      </c>
      <c r="H178" s="37">
        <v>3</v>
      </c>
      <c r="I178" s="37">
        <v>3</v>
      </c>
      <c r="J178" s="672">
        <v>0.0144</v>
      </c>
      <c r="K178" s="670">
        <v>2.35</v>
      </c>
      <c r="L178" s="942">
        <f t="shared" si="31"/>
        <v>0</v>
      </c>
      <c r="M178" s="672">
        <f t="shared" si="33"/>
        <v>0</v>
      </c>
      <c r="N178" s="670" t="e">
        <f t="shared" si="36"/>
        <v>#DIV/0!</v>
      </c>
      <c r="O178" s="670" t="e">
        <f t="shared" si="34"/>
        <v>#DIV/0!</v>
      </c>
      <c r="P178" s="943">
        <f t="shared" si="35"/>
        <v>81.8181818181818</v>
      </c>
    </row>
    <row r="179" spans="1:16">
      <c r="A179" s="684">
        <f t="shared" si="32"/>
        <v>44374</v>
      </c>
      <c r="B179" s="670">
        <v>900</v>
      </c>
      <c r="C179" s="38">
        <v>32522</v>
      </c>
      <c r="D179" s="944">
        <v>394</v>
      </c>
      <c r="E179" s="37">
        <v>0</v>
      </c>
      <c r="F179" s="943">
        <v>0</v>
      </c>
      <c r="G179" s="37">
        <v>4</v>
      </c>
      <c r="H179" s="37">
        <v>4</v>
      </c>
      <c r="I179" s="37">
        <v>3</v>
      </c>
      <c r="J179" s="672">
        <v>0.0121</v>
      </c>
      <c r="K179" s="670">
        <v>2.28</v>
      </c>
      <c r="L179" s="942">
        <f t="shared" si="31"/>
        <v>0</v>
      </c>
      <c r="M179" s="672">
        <f t="shared" si="33"/>
        <v>0</v>
      </c>
      <c r="N179" s="670" t="e">
        <f t="shared" si="36"/>
        <v>#DIV/0!</v>
      </c>
      <c r="O179" s="670" t="e">
        <f t="shared" si="34"/>
        <v>#DIV/0!</v>
      </c>
      <c r="P179" s="943">
        <f t="shared" si="35"/>
        <v>225</v>
      </c>
    </row>
    <row r="180" spans="1:16">
      <c r="A180" s="684">
        <f t="shared" si="32"/>
        <v>44375</v>
      </c>
      <c r="B180" s="670">
        <v>600</v>
      </c>
      <c r="C180" s="38">
        <v>23518</v>
      </c>
      <c r="D180" s="944">
        <v>270</v>
      </c>
      <c r="E180" s="37">
        <v>0</v>
      </c>
      <c r="F180" s="943">
        <v>0</v>
      </c>
      <c r="G180" s="37">
        <v>4</v>
      </c>
      <c r="H180" s="37">
        <v>1</v>
      </c>
      <c r="I180" s="37">
        <v>1</v>
      </c>
      <c r="J180" s="672">
        <v>0.0115</v>
      </c>
      <c r="K180" s="670">
        <v>2.22</v>
      </c>
      <c r="L180" s="942">
        <f t="shared" si="31"/>
        <v>0</v>
      </c>
      <c r="M180" s="672">
        <f t="shared" si="33"/>
        <v>0</v>
      </c>
      <c r="N180" s="670" t="e">
        <f t="shared" si="36"/>
        <v>#DIV/0!</v>
      </c>
      <c r="O180" s="670" t="e">
        <f t="shared" si="34"/>
        <v>#DIV/0!</v>
      </c>
      <c r="P180" s="943">
        <f t="shared" si="35"/>
        <v>150</v>
      </c>
    </row>
    <row r="181" spans="1:16">
      <c r="A181" s="684">
        <f t="shared" si="32"/>
        <v>44376</v>
      </c>
      <c r="B181" s="670">
        <v>600</v>
      </c>
      <c r="C181" s="38">
        <v>26145</v>
      </c>
      <c r="D181" s="944">
        <v>250</v>
      </c>
      <c r="E181" s="37">
        <v>0</v>
      </c>
      <c r="F181" s="943">
        <v>0</v>
      </c>
      <c r="G181" s="37">
        <v>1</v>
      </c>
      <c r="H181" s="37">
        <v>1</v>
      </c>
      <c r="I181" s="37">
        <v>1</v>
      </c>
      <c r="J181" s="672">
        <v>0.0096</v>
      </c>
      <c r="K181" s="670">
        <v>2.4</v>
      </c>
      <c r="L181" s="942">
        <f t="shared" si="31"/>
        <v>0</v>
      </c>
      <c r="M181" s="672">
        <f t="shared" si="33"/>
        <v>0</v>
      </c>
      <c r="N181" s="670" t="e">
        <f t="shared" si="36"/>
        <v>#DIV/0!</v>
      </c>
      <c r="O181" s="670" t="e">
        <f t="shared" si="34"/>
        <v>#DIV/0!</v>
      </c>
      <c r="P181" s="943">
        <f t="shared" si="35"/>
        <v>600</v>
      </c>
    </row>
    <row r="182" spans="1:16">
      <c r="A182" s="684">
        <f t="shared" si="32"/>
        <v>44377</v>
      </c>
      <c r="B182" s="670">
        <v>700</v>
      </c>
      <c r="C182" s="38">
        <v>19567</v>
      </c>
      <c r="D182" s="944">
        <v>296</v>
      </c>
      <c r="E182" s="37">
        <v>0</v>
      </c>
      <c r="F182" s="943">
        <v>0</v>
      </c>
      <c r="G182" s="37">
        <v>2</v>
      </c>
      <c r="H182" s="37">
        <v>0</v>
      </c>
      <c r="I182" s="37">
        <v>1</v>
      </c>
      <c r="J182" s="672">
        <v>0.0151</v>
      </c>
      <c r="K182" s="670">
        <v>2.36</v>
      </c>
      <c r="L182" s="942">
        <f t="shared" si="31"/>
        <v>0</v>
      </c>
      <c r="M182" s="672">
        <f t="shared" si="33"/>
        <v>0</v>
      </c>
      <c r="N182" s="670" t="e">
        <f t="shared" si="36"/>
        <v>#DIV/0!</v>
      </c>
      <c r="O182" s="670" t="e">
        <f t="shared" si="34"/>
        <v>#DIV/0!</v>
      </c>
      <c r="P182" s="943">
        <f t="shared" si="35"/>
        <v>350</v>
      </c>
    </row>
    <row r="183" spans="1:16">
      <c r="A183" s="684">
        <f t="shared" si="32"/>
        <v>44378</v>
      </c>
      <c r="B183" s="670">
        <v>400</v>
      </c>
      <c r="C183" s="38">
        <v>8975</v>
      </c>
      <c r="D183" s="944">
        <v>152</v>
      </c>
      <c r="E183" s="37">
        <v>0</v>
      </c>
      <c r="F183" s="943">
        <v>0</v>
      </c>
      <c r="G183" s="37">
        <v>4</v>
      </c>
      <c r="H183" s="37">
        <v>1</v>
      </c>
      <c r="I183" s="37">
        <v>0</v>
      </c>
      <c r="J183" s="672">
        <v>0.0169</v>
      </c>
      <c r="K183" s="670">
        <v>2.63</v>
      </c>
      <c r="L183" s="942">
        <f t="shared" si="31"/>
        <v>0</v>
      </c>
      <c r="M183" s="672">
        <f t="shared" si="33"/>
        <v>0</v>
      </c>
      <c r="N183" s="670" t="e">
        <f t="shared" si="36"/>
        <v>#DIV/0!</v>
      </c>
      <c r="O183" s="670" t="e">
        <f t="shared" si="34"/>
        <v>#DIV/0!</v>
      </c>
      <c r="P183" s="943">
        <f t="shared" si="35"/>
        <v>100</v>
      </c>
    </row>
    <row r="184" spans="1:16">
      <c r="A184" s="684">
        <f t="shared" si="32"/>
        <v>44379</v>
      </c>
      <c r="B184" s="670">
        <v>400</v>
      </c>
      <c r="C184" s="38">
        <v>7501</v>
      </c>
      <c r="D184" s="944">
        <v>187</v>
      </c>
      <c r="E184" s="37">
        <v>0</v>
      </c>
      <c r="F184" s="943">
        <v>0</v>
      </c>
      <c r="G184" s="37">
        <v>4</v>
      </c>
      <c r="H184" s="37">
        <v>0</v>
      </c>
      <c r="I184" s="37">
        <v>1</v>
      </c>
      <c r="J184" s="672">
        <v>0.0249</v>
      </c>
      <c r="K184" s="670">
        <v>2.14</v>
      </c>
      <c r="L184" s="942">
        <f t="shared" si="31"/>
        <v>0</v>
      </c>
      <c r="M184" s="672">
        <f t="shared" si="33"/>
        <v>0</v>
      </c>
      <c r="N184" s="670" t="e">
        <f t="shared" si="36"/>
        <v>#DIV/0!</v>
      </c>
      <c r="O184" s="670" t="e">
        <f t="shared" si="34"/>
        <v>#DIV/0!</v>
      </c>
      <c r="P184" s="943">
        <f t="shared" si="35"/>
        <v>100</v>
      </c>
    </row>
    <row r="185" spans="1:16">
      <c r="A185" s="684">
        <f t="shared" si="32"/>
        <v>44380</v>
      </c>
      <c r="B185" s="670">
        <v>400</v>
      </c>
      <c r="C185" s="38">
        <v>7036</v>
      </c>
      <c r="D185" s="944">
        <v>159</v>
      </c>
      <c r="E185" s="37">
        <v>0</v>
      </c>
      <c r="F185" s="943">
        <v>0</v>
      </c>
      <c r="G185" s="37">
        <v>3</v>
      </c>
      <c r="H185" s="37">
        <v>4</v>
      </c>
      <c r="I185" s="37">
        <v>1</v>
      </c>
      <c r="J185" s="672">
        <v>0.02</v>
      </c>
      <c r="K185" s="670">
        <v>2.52</v>
      </c>
      <c r="L185" s="942">
        <f t="shared" si="31"/>
        <v>0</v>
      </c>
      <c r="M185" s="672">
        <f t="shared" si="33"/>
        <v>0</v>
      </c>
      <c r="N185" s="670" t="e">
        <f t="shared" si="36"/>
        <v>#DIV/0!</v>
      </c>
      <c r="O185" s="670" t="e">
        <f t="shared" si="34"/>
        <v>#DIV/0!</v>
      </c>
      <c r="P185" s="943">
        <f t="shared" si="35"/>
        <v>133.333333333333</v>
      </c>
    </row>
    <row r="186" spans="1:16">
      <c r="A186" s="684">
        <f t="shared" si="32"/>
        <v>44381</v>
      </c>
      <c r="B186" s="670">
        <v>400</v>
      </c>
      <c r="C186" s="38">
        <v>4553</v>
      </c>
      <c r="D186" s="944">
        <v>165</v>
      </c>
      <c r="E186" s="37">
        <v>0</v>
      </c>
      <c r="F186" s="943">
        <v>0</v>
      </c>
      <c r="G186" s="37">
        <v>2</v>
      </c>
      <c r="H186" s="37">
        <v>1</v>
      </c>
      <c r="I186" s="37">
        <v>0</v>
      </c>
      <c r="J186" s="672">
        <v>0.0362</v>
      </c>
      <c r="K186" s="670">
        <v>2.42</v>
      </c>
      <c r="L186" s="942">
        <f t="shared" si="31"/>
        <v>0</v>
      </c>
      <c r="M186" s="672">
        <f t="shared" si="33"/>
        <v>0</v>
      </c>
      <c r="N186" s="670" t="e">
        <f t="shared" si="36"/>
        <v>#DIV/0!</v>
      </c>
      <c r="O186" s="670" t="e">
        <f t="shared" si="34"/>
        <v>#DIV/0!</v>
      </c>
      <c r="P186" s="943">
        <f t="shared" si="35"/>
        <v>200</v>
      </c>
    </row>
    <row r="187" spans="1:16">
      <c r="A187" s="684">
        <f t="shared" si="32"/>
        <v>44382</v>
      </c>
      <c r="B187" s="670">
        <v>400</v>
      </c>
      <c r="C187" s="38">
        <v>6616</v>
      </c>
      <c r="D187" s="944">
        <v>166</v>
      </c>
      <c r="E187" s="37">
        <v>0</v>
      </c>
      <c r="F187" s="943">
        <v>0</v>
      </c>
      <c r="G187" s="37">
        <v>3</v>
      </c>
      <c r="H187" s="37">
        <v>1</v>
      </c>
      <c r="I187" s="37">
        <v>0</v>
      </c>
      <c r="J187" s="672">
        <v>0.0251</v>
      </c>
      <c r="K187" s="670">
        <v>2.42</v>
      </c>
      <c r="L187" s="942">
        <f t="shared" si="31"/>
        <v>0</v>
      </c>
      <c r="M187" s="672">
        <f t="shared" si="33"/>
        <v>0</v>
      </c>
      <c r="N187" s="670" t="e">
        <f t="shared" si="36"/>
        <v>#DIV/0!</v>
      </c>
      <c r="O187" s="670" t="e">
        <f t="shared" si="34"/>
        <v>#DIV/0!</v>
      </c>
      <c r="P187" s="943">
        <f t="shared" si="35"/>
        <v>133.333333333333</v>
      </c>
    </row>
    <row r="188" spans="1:16">
      <c r="A188" s="684">
        <f t="shared" si="32"/>
        <v>44383</v>
      </c>
      <c r="B188" s="670">
        <v>600</v>
      </c>
      <c r="C188" s="38">
        <v>8078</v>
      </c>
      <c r="D188" s="944">
        <v>241</v>
      </c>
      <c r="E188" s="37">
        <v>0</v>
      </c>
      <c r="F188" s="943">
        <v>0</v>
      </c>
      <c r="G188" s="37">
        <v>4</v>
      </c>
      <c r="H188" s="37">
        <v>3</v>
      </c>
      <c r="I188" s="37">
        <v>1</v>
      </c>
      <c r="J188" s="672">
        <v>0.0298</v>
      </c>
      <c r="K188" s="670">
        <v>2.49</v>
      </c>
      <c r="L188" s="942">
        <f t="shared" si="31"/>
        <v>0</v>
      </c>
      <c r="M188" s="672">
        <f t="shared" si="33"/>
        <v>0</v>
      </c>
      <c r="N188" s="670" t="e">
        <f t="shared" si="36"/>
        <v>#DIV/0!</v>
      </c>
      <c r="O188" s="670" t="e">
        <f t="shared" si="34"/>
        <v>#DIV/0!</v>
      </c>
      <c r="P188" s="943">
        <f t="shared" si="35"/>
        <v>150</v>
      </c>
    </row>
    <row r="189" spans="1:16">
      <c r="A189" s="684">
        <f t="shared" si="32"/>
        <v>44384</v>
      </c>
      <c r="B189" s="670">
        <v>600</v>
      </c>
      <c r="C189" s="38">
        <v>9232</v>
      </c>
      <c r="D189" s="944">
        <v>243</v>
      </c>
      <c r="E189" s="37">
        <v>0</v>
      </c>
      <c r="F189" s="943">
        <v>0</v>
      </c>
      <c r="G189" s="37">
        <v>1</v>
      </c>
      <c r="H189" s="37">
        <v>3</v>
      </c>
      <c r="I189" s="37">
        <v>1</v>
      </c>
      <c r="J189" s="672">
        <v>0.0263</v>
      </c>
      <c r="K189" s="670">
        <v>2.47</v>
      </c>
      <c r="L189" s="942">
        <f t="shared" si="31"/>
        <v>0</v>
      </c>
      <c r="M189" s="672">
        <f t="shared" si="33"/>
        <v>0</v>
      </c>
      <c r="N189" s="670" t="e">
        <f t="shared" si="36"/>
        <v>#DIV/0!</v>
      </c>
      <c r="O189" s="670" t="e">
        <f t="shared" si="34"/>
        <v>#DIV/0!</v>
      </c>
      <c r="P189" s="943">
        <f t="shared" si="35"/>
        <v>600</v>
      </c>
    </row>
    <row r="190" spans="1:16">
      <c r="A190" s="684">
        <f t="shared" si="32"/>
        <v>44385</v>
      </c>
      <c r="B190" s="670">
        <v>600</v>
      </c>
      <c r="C190" s="38">
        <v>11032</v>
      </c>
      <c r="D190" s="944">
        <v>230</v>
      </c>
      <c r="E190" s="37">
        <v>0</v>
      </c>
      <c r="F190" s="943">
        <v>0</v>
      </c>
      <c r="G190" s="37">
        <v>5</v>
      </c>
      <c r="H190" s="37">
        <v>5</v>
      </c>
      <c r="I190" s="37">
        <v>1</v>
      </c>
      <c r="J190" s="672">
        <v>0.0208</v>
      </c>
      <c r="K190" s="670">
        <v>2.61</v>
      </c>
      <c r="L190" s="942">
        <f t="shared" si="31"/>
        <v>0</v>
      </c>
      <c r="M190" s="672">
        <f t="shared" si="33"/>
        <v>0</v>
      </c>
      <c r="N190" s="670" t="e">
        <f t="shared" si="36"/>
        <v>#DIV/0!</v>
      </c>
      <c r="O190" s="670" t="e">
        <f t="shared" si="34"/>
        <v>#DIV/0!</v>
      </c>
      <c r="P190" s="943">
        <f t="shared" si="35"/>
        <v>120</v>
      </c>
    </row>
    <row r="191" spans="1:16">
      <c r="A191" s="684">
        <f t="shared" si="32"/>
        <v>44386</v>
      </c>
      <c r="B191" s="670">
        <v>599.22</v>
      </c>
      <c r="C191" s="38">
        <v>8715</v>
      </c>
      <c r="D191" s="944">
        <v>278</v>
      </c>
      <c r="E191" s="37">
        <v>0</v>
      </c>
      <c r="F191" s="943">
        <v>0</v>
      </c>
      <c r="G191" s="37">
        <v>5</v>
      </c>
      <c r="H191" s="37">
        <v>2</v>
      </c>
      <c r="I191" s="37">
        <v>0</v>
      </c>
      <c r="J191" s="672">
        <v>0.0319</v>
      </c>
      <c r="K191" s="670">
        <v>2.16</v>
      </c>
      <c r="L191" s="942">
        <f t="shared" si="31"/>
        <v>0</v>
      </c>
      <c r="M191" s="672">
        <f t="shared" si="33"/>
        <v>0</v>
      </c>
      <c r="N191" s="670" t="e">
        <f t="shared" si="36"/>
        <v>#DIV/0!</v>
      </c>
      <c r="O191" s="670" t="e">
        <f t="shared" si="34"/>
        <v>#DIV/0!</v>
      </c>
      <c r="P191" s="943">
        <f t="shared" si="35"/>
        <v>119.844</v>
      </c>
    </row>
    <row r="192" spans="1:16">
      <c r="A192" s="684">
        <f t="shared" si="32"/>
        <v>44387</v>
      </c>
      <c r="B192" s="670">
        <v>600</v>
      </c>
      <c r="C192" s="38">
        <v>11148</v>
      </c>
      <c r="D192" s="944">
        <v>284</v>
      </c>
      <c r="E192" s="37">
        <v>0</v>
      </c>
      <c r="F192" s="943">
        <v>0</v>
      </c>
      <c r="G192" s="37">
        <v>3</v>
      </c>
      <c r="H192" s="37">
        <v>7</v>
      </c>
      <c r="I192" s="37">
        <v>0</v>
      </c>
      <c r="J192" s="672">
        <v>0.0255</v>
      </c>
      <c r="K192" s="670">
        <v>2.11</v>
      </c>
      <c r="L192" s="942">
        <f t="shared" si="31"/>
        <v>0</v>
      </c>
      <c r="M192" s="672">
        <f t="shared" si="33"/>
        <v>0</v>
      </c>
      <c r="N192" s="670" t="e">
        <f t="shared" si="36"/>
        <v>#DIV/0!</v>
      </c>
      <c r="O192" s="670" t="e">
        <f t="shared" si="34"/>
        <v>#DIV/0!</v>
      </c>
      <c r="P192" s="943">
        <f t="shared" si="35"/>
        <v>200</v>
      </c>
    </row>
    <row r="193" spans="1:16">
      <c r="A193" s="684">
        <f t="shared" si="32"/>
        <v>44388</v>
      </c>
      <c r="B193" s="670">
        <v>45.77</v>
      </c>
      <c r="C193" s="38">
        <v>444</v>
      </c>
      <c r="D193" s="944">
        <v>17</v>
      </c>
      <c r="E193" s="37">
        <v>0</v>
      </c>
      <c r="F193" s="943">
        <v>0</v>
      </c>
      <c r="G193" s="37">
        <v>2</v>
      </c>
      <c r="H193" s="37">
        <v>1</v>
      </c>
      <c r="I193" s="37">
        <v>1</v>
      </c>
      <c r="J193" s="672">
        <v>0.0383</v>
      </c>
      <c r="K193" s="670">
        <v>2.69</v>
      </c>
      <c r="L193" s="942">
        <f t="shared" si="31"/>
        <v>0</v>
      </c>
      <c r="M193" s="672">
        <f t="shared" si="33"/>
        <v>0</v>
      </c>
      <c r="N193" s="670" t="e">
        <f t="shared" si="36"/>
        <v>#DIV/0!</v>
      </c>
      <c r="O193" s="670" t="e">
        <f t="shared" si="34"/>
        <v>#DIV/0!</v>
      </c>
      <c r="P193" s="943">
        <f t="shared" si="35"/>
        <v>22.885</v>
      </c>
    </row>
    <row r="194" spans="1:16">
      <c r="A194" s="684">
        <f t="shared" si="32"/>
        <v>44389</v>
      </c>
      <c r="B194" s="670">
        <v>400</v>
      </c>
      <c r="C194" s="38">
        <v>5364</v>
      </c>
      <c r="D194" s="944">
        <v>158</v>
      </c>
      <c r="E194" s="37">
        <v>0</v>
      </c>
      <c r="F194" s="943">
        <v>0</v>
      </c>
      <c r="G194" s="37">
        <v>8</v>
      </c>
      <c r="H194" s="37">
        <v>2</v>
      </c>
      <c r="I194" s="37">
        <v>1</v>
      </c>
      <c r="J194" s="672">
        <v>0.0295</v>
      </c>
      <c r="K194" s="670">
        <v>2.53</v>
      </c>
      <c r="L194" s="942">
        <f t="shared" si="31"/>
        <v>0</v>
      </c>
      <c r="M194" s="672">
        <f t="shared" si="33"/>
        <v>0</v>
      </c>
      <c r="N194" s="670" t="e">
        <f t="shared" si="36"/>
        <v>#DIV/0!</v>
      </c>
      <c r="O194" s="670" t="e">
        <f t="shared" si="34"/>
        <v>#DIV/0!</v>
      </c>
      <c r="P194" s="943">
        <f t="shared" si="35"/>
        <v>50</v>
      </c>
    </row>
    <row r="195" spans="1:16">
      <c r="A195" s="684">
        <f t="shared" si="32"/>
        <v>44390</v>
      </c>
      <c r="B195" s="670">
        <v>400</v>
      </c>
      <c r="C195" s="38">
        <v>4557</v>
      </c>
      <c r="D195" s="944">
        <v>182</v>
      </c>
      <c r="E195" s="37">
        <v>0</v>
      </c>
      <c r="F195" s="943">
        <v>0</v>
      </c>
      <c r="G195" s="37">
        <v>4</v>
      </c>
      <c r="H195" s="37">
        <v>0</v>
      </c>
      <c r="I195" s="37">
        <v>0</v>
      </c>
      <c r="J195" s="672">
        <v>0.0399</v>
      </c>
      <c r="K195" s="670">
        <v>2.2</v>
      </c>
      <c r="L195" s="942">
        <f t="shared" si="31"/>
        <v>0</v>
      </c>
      <c r="M195" s="672">
        <f t="shared" si="33"/>
        <v>0</v>
      </c>
      <c r="N195" s="670" t="e">
        <f t="shared" si="36"/>
        <v>#DIV/0!</v>
      </c>
      <c r="O195" s="670" t="e">
        <f t="shared" si="34"/>
        <v>#DIV/0!</v>
      </c>
      <c r="P195" s="943">
        <f t="shared" si="35"/>
        <v>100</v>
      </c>
    </row>
    <row r="196" spans="1:16">
      <c r="A196" s="684">
        <f t="shared" si="32"/>
        <v>44391</v>
      </c>
      <c r="B196" s="670">
        <v>400</v>
      </c>
      <c r="C196" s="38">
        <v>4282</v>
      </c>
      <c r="D196" s="944">
        <v>184</v>
      </c>
      <c r="E196" s="37">
        <v>0</v>
      </c>
      <c r="F196" s="943">
        <v>0</v>
      </c>
      <c r="G196" s="37">
        <v>4</v>
      </c>
      <c r="H196" s="37">
        <v>0</v>
      </c>
      <c r="I196" s="37">
        <v>1</v>
      </c>
      <c r="J196" s="672">
        <v>0.043</v>
      </c>
      <c r="K196" s="670">
        <v>2.17</v>
      </c>
      <c r="L196" s="942">
        <f t="shared" si="31"/>
        <v>0</v>
      </c>
      <c r="M196" s="672">
        <f t="shared" si="33"/>
        <v>0</v>
      </c>
      <c r="N196" s="670" t="e">
        <f t="shared" si="36"/>
        <v>#DIV/0!</v>
      </c>
      <c r="O196" s="670" t="e">
        <f t="shared" si="34"/>
        <v>#DIV/0!</v>
      </c>
      <c r="P196" s="943">
        <f t="shared" si="35"/>
        <v>100</v>
      </c>
    </row>
    <row r="197" spans="1:16">
      <c r="A197" s="684">
        <f t="shared" si="32"/>
        <v>44392</v>
      </c>
      <c r="B197" s="670">
        <v>400</v>
      </c>
      <c r="C197" s="38">
        <v>4891</v>
      </c>
      <c r="D197" s="944">
        <v>179</v>
      </c>
      <c r="E197" s="37">
        <v>0</v>
      </c>
      <c r="F197" s="943">
        <v>0</v>
      </c>
      <c r="G197" s="37">
        <v>6</v>
      </c>
      <c r="H197" s="37">
        <v>1</v>
      </c>
      <c r="I197" s="37">
        <v>0</v>
      </c>
      <c r="J197" s="672">
        <v>0.0366</v>
      </c>
      <c r="K197" s="670">
        <v>2.23</v>
      </c>
      <c r="L197" s="942">
        <f t="shared" si="31"/>
        <v>0</v>
      </c>
      <c r="M197" s="672">
        <f t="shared" si="33"/>
        <v>0</v>
      </c>
      <c r="N197" s="670" t="e">
        <f t="shared" si="36"/>
        <v>#DIV/0!</v>
      </c>
      <c r="O197" s="670" t="e">
        <f t="shared" si="34"/>
        <v>#DIV/0!</v>
      </c>
      <c r="P197" s="943">
        <f t="shared" si="35"/>
        <v>66.6666666666667</v>
      </c>
    </row>
    <row r="198" spans="1:16">
      <c r="A198" s="684">
        <f t="shared" si="32"/>
        <v>44393</v>
      </c>
      <c r="B198" s="670">
        <v>400</v>
      </c>
      <c r="C198" s="38">
        <v>5177</v>
      </c>
      <c r="D198" s="944">
        <v>162</v>
      </c>
      <c r="E198" s="37">
        <v>0</v>
      </c>
      <c r="F198" s="943">
        <v>0</v>
      </c>
      <c r="G198" s="37">
        <v>6</v>
      </c>
      <c r="H198" s="37">
        <v>1</v>
      </c>
      <c r="I198" s="37">
        <v>4</v>
      </c>
      <c r="J198" s="672">
        <v>0.0313</v>
      </c>
      <c r="K198" s="670">
        <v>2.47</v>
      </c>
      <c r="L198" s="942">
        <f t="shared" si="31"/>
        <v>0</v>
      </c>
      <c r="M198" s="672">
        <f t="shared" si="33"/>
        <v>0</v>
      </c>
      <c r="N198" s="670" t="e">
        <f t="shared" si="36"/>
        <v>#DIV/0!</v>
      </c>
      <c r="O198" s="670" t="e">
        <f t="shared" si="34"/>
        <v>#DIV/0!</v>
      </c>
      <c r="P198" s="943">
        <f t="shared" si="35"/>
        <v>66.6666666666667</v>
      </c>
    </row>
    <row r="199" spans="1:16">
      <c r="A199" s="684">
        <f t="shared" si="32"/>
        <v>44394</v>
      </c>
      <c r="B199" s="670">
        <v>400</v>
      </c>
      <c r="C199" s="38">
        <v>5892</v>
      </c>
      <c r="D199" s="944">
        <v>154</v>
      </c>
      <c r="E199" s="37">
        <v>0</v>
      </c>
      <c r="F199" s="943">
        <v>0</v>
      </c>
      <c r="G199" s="37">
        <v>4</v>
      </c>
      <c r="H199" s="37">
        <v>2</v>
      </c>
      <c r="I199" s="37">
        <v>1</v>
      </c>
      <c r="J199" s="672">
        <v>0.0261</v>
      </c>
      <c r="K199" s="670">
        <v>2.6</v>
      </c>
      <c r="L199" s="942">
        <f t="shared" si="31"/>
        <v>0</v>
      </c>
      <c r="M199" s="672">
        <f t="shared" si="33"/>
        <v>0</v>
      </c>
      <c r="N199" s="670" t="e">
        <f t="shared" si="36"/>
        <v>#DIV/0!</v>
      </c>
      <c r="O199" s="670" t="e">
        <f t="shared" si="34"/>
        <v>#DIV/0!</v>
      </c>
      <c r="P199" s="943">
        <f t="shared" si="35"/>
        <v>100</v>
      </c>
    </row>
    <row r="200" spans="1:16">
      <c r="A200" s="684">
        <f t="shared" si="32"/>
        <v>44395</v>
      </c>
      <c r="B200" s="670">
        <v>400</v>
      </c>
      <c r="C200" s="38">
        <v>5547</v>
      </c>
      <c r="D200" s="944">
        <v>151</v>
      </c>
      <c r="E200" s="37">
        <v>0</v>
      </c>
      <c r="F200" s="943">
        <v>0</v>
      </c>
      <c r="G200" s="37">
        <v>5</v>
      </c>
      <c r="H200" s="37">
        <v>2</v>
      </c>
      <c r="I200" s="37">
        <v>1</v>
      </c>
      <c r="J200" s="672">
        <v>0.0272</v>
      </c>
      <c r="K200" s="670">
        <v>2.65</v>
      </c>
      <c r="L200" s="942">
        <f t="shared" si="31"/>
        <v>0</v>
      </c>
      <c r="M200" s="672">
        <f t="shared" si="33"/>
        <v>0</v>
      </c>
      <c r="N200" s="670" t="e">
        <f t="shared" si="36"/>
        <v>#DIV/0!</v>
      </c>
      <c r="O200" s="670" t="e">
        <f t="shared" si="34"/>
        <v>#DIV/0!</v>
      </c>
      <c r="P200" s="943">
        <f t="shared" si="35"/>
        <v>80</v>
      </c>
    </row>
    <row r="201" spans="1:16">
      <c r="A201" s="684">
        <f t="shared" si="32"/>
        <v>44396</v>
      </c>
      <c r="B201" s="670">
        <v>400</v>
      </c>
      <c r="C201" s="38">
        <v>5946</v>
      </c>
      <c r="D201" s="944">
        <v>170</v>
      </c>
      <c r="E201" s="37">
        <v>0</v>
      </c>
      <c r="F201" s="943">
        <v>0</v>
      </c>
      <c r="G201" s="37">
        <v>1</v>
      </c>
      <c r="H201" s="37">
        <v>4</v>
      </c>
      <c r="I201" s="37">
        <v>1</v>
      </c>
      <c r="J201" s="672">
        <v>0.0286</v>
      </c>
      <c r="K201" s="670">
        <v>2.35</v>
      </c>
      <c r="L201" s="942">
        <f t="shared" si="31"/>
        <v>0</v>
      </c>
      <c r="M201" s="672">
        <f t="shared" si="33"/>
        <v>0</v>
      </c>
      <c r="N201" s="670" t="e">
        <f t="shared" si="36"/>
        <v>#DIV/0!</v>
      </c>
      <c r="O201" s="670" t="e">
        <f t="shared" si="34"/>
        <v>#DIV/0!</v>
      </c>
      <c r="P201" s="943">
        <f t="shared" si="35"/>
        <v>400</v>
      </c>
    </row>
    <row r="202" spans="1:16">
      <c r="A202" s="684">
        <f t="shared" si="32"/>
        <v>44397</v>
      </c>
      <c r="B202" s="670">
        <v>400</v>
      </c>
      <c r="C202" s="38">
        <v>5027</v>
      </c>
      <c r="D202" s="944">
        <v>161</v>
      </c>
      <c r="E202" s="37">
        <v>0</v>
      </c>
      <c r="F202" s="943">
        <v>0</v>
      </c>
      <c r="G202" s="37">
        <v>4</v>
      </c>
      <c r="H202" s="37">
        <v>2</v>
      </c>
      <c r="I202" s="37">
        <v>0</v>
      </c>
      <c r="J202" s="672">
        <v>0.032</v>
      </c>
      <c r="K202" s="670">
        <v>2.48</v>
      </c>
      <c r="L202" s="942">
        <f t="shared" si="31"/>
        <v>0</v>
      </c>
      <c r="M202" s="672">
        <f t="shared" si="33"/>
        <v>0</v>
      </c>
      <c r="N202" s="670" t="e">
        <f t="shared" si="36"/>
        <v>#DIV/0!</v>
      </c>
      <c r="O202" s="670" t="e">
        <f t="shared" si="34"/>
        <v>#DIV/0!</v>
      </c>
      <c r="P202" s="943">
        <f t="shared" si="35"/>
        <v>100</v>
      </c>
    </row>
    <row r="203" spans="1:16">
      <c r="A203" s="684">
        <f t="shared" si="32"/>
        <v>44398</v>
      </c>
      <c r="B203" s="670">
        <v>399.68</v>
      </c>
      <c r="C203" s="38">
        <v>5038</v>
      </c>
      <c r="D203" s="944">
        <v>167</v>
      </c>
      <c r="E203" s="37">
        <v>0</v>
      </c>
      <c r="F203" s="943">
        <v>0</v>
      </c>
      <c r="G203" s="37">
        <v>3</v>
      </c>
      <c r="H203" s="37">
        <v>2</v>
      </c>
      <c r="I203" s="37">
        <v>2</v>
      </c>
      <c r="J203" s="672">
        <v>0.0331</v>
      </c>
      <c r="K203" s="670">
        <v>2.39</v>
      </c>
      <c r="L203" s="942">
        <f t="shared" si="31"/>
        <v>0</v>
      </c>
      <c r="M203" s="672">
        <f t="shared" si="33"/>
        <v>0</v>
      </c>
      <c r="N203" s="670" t="e">
        <f t="shared" si="36"/>
        <v>#DIV/0!</v>
      </c>
      <c r="O203" s="670" t="e">
        <f t="shared" si="34"/>
        <v>#DIV/0!</v>
      </c>
      <c r="P203" s="943">
        <f t="shared" si="35"/>
        <v>133.226666666667</v>
      </c>
    </row>
    <row r="204" spans="1:16">
      <c r="A204" s="684">
        <f t="shared" si="32"/>
        <v>44399</v>
      </c>
      <c r="B204" s="670">
        <v>399.7</v>
      </c>
      <c r="C204" s="38">
        <v>5894</v>
      </c>
      <c r="D204" s="944">
        <v>226</v>
      </c>
      <c r="E204" s="37">
        <v>0</v>
      </c>
      <c r="F204" s="943">
        <v>0</v>
      </c>
      <c r="G204" s="37">
        <v>3</v>
      </c>
      <c r="H204" s="37">
        <v>1</v>
      </c>
      <c r="I204" s="37">
        <v>0</v>
      </c>
      <c r="J204" s="672">
        <v>0.0383</v>
      </c>
      <c r="K204" s="670">
        <v>1.77</v>
      </c>
      <c r="L204" s="942">
        <f t="shared" si="31"/>
        <v>0</v>
      </c>
      <c r="M204" s="672">
        <f t="shared" si="33"/>
        <v>0</v>
      </c>
      <c r="N204" s="670" t="e">
        <f t="shared" si="36"/>
        <v>#DIV/0!</v>
      </c>
      <c r="O204" s="670" t="e">
        <f t="shared" si="34"/>
        <v>#DIV/0!</v>
      </c>
      <c r="P204" s="943">
        <f t="shared" si="35"/>
        <v>133.233333333333</v>
      </c>
    </row>
    <row r="205" spans="1:16">
      <c r="A205" s="684">
        <f t="shared" si="32"/>
        <v>44400</v>
      </c>
      <c r="B205" s="670">
        <v>400</v>
      </c>
      <c r="C205" s="38">
        <v>6087</v>
      </c>
      <c r="D205" s="944">
        <v>218</v>
      </c>
      <c r="E205" s="37">
        <v>0</v>
      </c>
      <c r="F205" s="943">
        <v>0</v>
      </c>
      <c r="G205" s="37">
        <v>5</v>
      </c>
      <c r="H205" s="37">
        <v>4</v>
      </c>
      <c r="I205" s="37">
        <v>1</v>
      </c>
      <c r="J205" s="672">
        <v>0.0358</v>
      </c>
      <c r="K205" s="670">
        <v>1.83</v>
      </c>
      <c r="L205" s="942">
        <f t="shared" si="31"/>
        <v>0</v>
      </c>
      <c r="M205" s="672">
        <f t="shared" si="33"/>
        <v>0</v>
      </c>
      <c r="N205" s="670" t="e">
        <f t="shared" si="36"/>
        <v>#DIV/0!</v>
      </c>
      <c r="O205" s="670" t="e">
        <f t="shared" si="34"/>
        <v>#DIV/0!</v>
      </c>
      <c r="P205" s="943">
        <f t="shared" si="35"/>
        <v>80</v>
      </c>
    </row>
    <row r="206" spans="1:16">
      <c r="A206" s="684">
        <f t="shared" si="32"/>
        <v>44401</v>
      </c>
      <c r="B206" s="670">
        <v>399.29</v>
      </c>
      <c r="C206" s="38">
        <v>5706</v>
      </c>
      <c r="D206" s="944">
        <v>193</v>
      </c>
      <c r="E206" s="37">
        <v>0</v>
      </c>
      <c r="F206" s="943">
        <v>0</v>
      </c>
      <c r="G206" s="37">
        <v>4</v>
      </c>
      <c r="H206" s="37">
        <v>3</v>
      </c>
      <c r="I206" s="37">
        <v>0</v>
      </c>
      <c r="J206" s="672">
        <v>0.0338</v>
      </c>
      <c r="K206" s="670">
        <v>2.07</v>
      </c>
      <c r="L206" s="942">
        <f t="shared" si="31"/>
        <v>0</v>
      </c>
      <c r="M206" s="672">
        <f t="shared" si="33"/>
        <v>0</v>
      </c>
      <c r="N206" s="670" t="e">
        <f t="shared" si="36"/>
        <v>#DIV/0!</v>
      </c>
      <c r="O206" s="670" t="e">
        <f t="shared" si="34"/>
        <v>#DIV/0!</v>
      </c>
      <c r="P206" s="943">
        <f t="shared" si="35"/>
        <v>99.8225</v>
      </c>
    </row>
    <row r="207" spans="1:16">
      <c r="A207" s="684">
        <f t="shared" si="32"/>
        <v>44402</v>
      </c>
      <c r="B207" s="670">
        <v>400</v>
      </c>
      <c r="C207" s="38">
        <v>4979</v>
      </c>
      <c r="D207" s="944">
        <v>205</v>
      </c>
      <c r="E207" s="37">
        <v>1</v>
      </c>
      <c r="F207" s="943">
        <v>0.01</v>
      </c>
      <c r="G207" s="37">
        <v>2</v>
      </c>
      <c r="H207" s="37">
        <v>2</v>
      </c>
      <c r="I207" s="37">
        <v>0</v>
      </c>
      <c r="J207" s="672">
        <v>0.0412</v>
      </c>
      <c r="K207" s="670">
        <v>1.95</v>
      </c>
      <c r="L207" s="942">
        <f t="shared" ref="L207:L283" si="37">F207/B207</f>
        <v>2.5e-5</v>
      </c>
      <c r="M207" s="672">
        <f t="shared" si="33"/>
        <v>0.0048780487804878</v>
      </c>
      <c r="N207" s="670">
        <f t="shared" si="36"/>
        <v>0.01</v>
      </c>
      <c r="O207" s="670">
        <f t="shared" si="34"/>
        <v>400</v>
      </c>
      <c r="P207" s="943">
        <f t="shared" si="35"/>
        <v>200</v>
      </c>
    </row>
    <row r="208" spans="1:16">
      <c r="A208" s="684">
        <f t="shared" si="32"/>
        <v>44403</v>
      </c>
      <c r="B208" s="670">
        <v>398.5</v>
      </c>
      <c r="C208" s="38">
        <v>6772</v>
      </c>
      <c r="D208" s="944">
        <v>216</v>
      </c>
      <c r="E208" s="37">
        <v>1</v>
      </c>
      <c r="F208" s="943">
        <v>600</v>
      </c>
      <c r="G208" s="37">
        <v>2</v>
      </c>
      <c r="H208" s="37">
        <v>0</v>
      </c>
      <c r="I208" s="37">
        <v>1</v>
      </c>
      <c r="J208" s="672">
        <v>0.0319</v>
      </c>
      <c r="K208" s="670">
        <v>1.84</v>
      </c>
      <c r="L208" s="942">
        <f t="shared" si="37"/>
        <v>1.50564617314931</v>
      </c>
      <c r="M208" s="672">
        <f t="shared" si="33"/>
        <v>0.00462962962962963</v>
      </c>
      <c r="N208" s="670">
        <f t="shared" si="36"/>
        <v>600</v>
      </c>
      <c r="O208" s="670">
        <f t="shared" si="34"/>
        <v>398.5</v>
      </c>
      <c r="P208" s="943">
        <f t="shared" si="35"/>
        <v>199.25</v>
      </c>
    </row>
    <row r="209" spans="1:16">
      <c r="A209" s="684">
        <f t="shared" ref="A209:A272" si="38">A208+1</f>
        <v>44404</v>
      </c>
      <c r="B209" s="670">
        <v>400</v>
      </c>
      <c r="C209" s="38">
        <v>4874</v>
      </c>
      <c r="D209" s="944">
        <v>192</v>
      </c>
      <c r="E209" s="37">
        <v>0</v>
      </c>
      <c r="F209" s="943">
        <v>0</v>
      </c>
      <c r="G209" s="37">
        <v>5</v>
      </c>
      <c r="H209" s="37">
        <v>2</v>
      </c>
      <c r="I209" s="37">
        <v>1</v>
      </c>
      <c r="J209" s="672">
        <v>0.0394</v>
      </c>
      <c r="K209" s="670">
        <v>2.08</v>
      </c>
      <c r="L209" s="942">
        <f t="shared" si="37"/>
        <v>0</v>
      </c>
      <c r="M209" s="672">
        <f t="shared" si="33"/>
        <v>0</v>
      </c>
      <c r="N209" s="670" t="e">
        <f t="shared" si="36"/>
        <v>#DIV/0!</v>
      </c>
      <c r="O209" s="670" t="e">
        <f t="shared" si="34"/>
        <v>#DIV/0!</v>
      </c>
      <c r="P209" s="943">
        <f t="shared" si="35"/>
        <v>80</v>
      </c>
    </row>
    <row r="210" spans="1:16">
      <c r="A210" s="684">
        <f t="shared" si="38"/>
        <v>44405</v>
      </c>
      <c r="B210" s="670">
        <v>398.24</v>
      </c>
      <c r="C210" s="38">
        <v>4438</v>
      </c>
      <c r="D210" s="944">
        <v>218</v>
      </c>
      <c r="E210" s="37">
        <v>0</v>
      </c>
      <c r="F210" s="943">
        <v>0</v>
      </c>
      <c r="G210" s="37">
        <v>4</v>
      </c>
      <c r="H210" s="37">
        <v>2</v>
      </c>
      <c r="I210" s="37">
        <v>3</v>
      </c>
      <c r="J210" s="672">
        <v>0.0491</v>
      </c>
      <c r="K210" s="670">
        <v>1.83</v>
      </c>
      <c r="L210" s="942">
        <f t="shared" si="37"/>
        <v>0</v>
      </c>
      <c r="M210" s="672">
        <f t="shared" si="33"/>
        <v>0</v>
      </c>
      <c r="N210" s="670" t="e">
        <f t="shared" si="36"/>
        <v>#DIV/0!</v>
      </c>
      <c r="O210" s="670" t="e">
        <f t="shared" si="34"/>
        <v>#DIV/0!</v>
      </c>
      <c r="P210" s="943">
        <f t="shared" si="35"/>
        <v>99.56</v>
      </c>
    </row>
    <row r="211" spans="1:16">
      <c r="A211" s="684">
        <f t="shared" si="38"/>
        <v>44406</v>
      </c>
      <c r="B211" s="670">
        <v>300</v>
      </c>
      <c r="C211" s="38">
        <v>4536</v>
      </c>
      <c r="D211" s="944">
        <v>156</v>
      </c>
      <c r="E211" s="37">
        <v>0</v>
      </c>
      <c r="F211" s="943">
        <v>0</v>
      </c>
      <c r="G211" s="37">
        <v>2</v>
      </c>
      <c r="H211" s="37">
        <v>0</v>
      </c>
      <c r="I211" s="37">
        <v>1</v>
      </c>
      <c r="J211" s="672">
        <v>0.0344</v>
      </c>
      <c r="K211" s="670">
        <v>1.92</v>
      </c>
      <c r="L211" s="942">
        <f t="shared" si="37"/>
        <v>0</v>
      </c>
      <c r="M211" s="672">
        <f t="shared" si="33"/>
        <v>0</v>
      </c>
      <c r="N211" s="670" t="e">
        <f t="shared" si="36"/>
        <v>#DIV/0!</v>
      </c>
      <c r="O211" s="670" t="e">
        <f t="shared" si="34"/>
        <v>#DIV/0!</v>
      </c>
      <c r="P211" s="943">
        <f t="shared" si="35"/>
        <v>150</v>
      </c>
    </row>
    <row r="212" spans="1:16">
      <c r="A212" s="684">
        <f t="shared" si="38"/>
        <v>44407</v>
      </c>
      <c r="B212" s="670">
        <v>300</v>
      </c>
      <c r="C212" s="38">
        <v>3225</v>
      </c>
      <c r="D212" s="944">
        <v>131</v>
      </c>
      <c r="E212" s="37">
        <v>0</v>
      </c>
      <c r="F212" s="943">
        <v>0</v>
      </c>
      <c r="G212" s="37">
        <v>1</v>
      </c>
      <c r="H212" s="37">
        <v>0</v>
      </c>
      <c r="I212" s="37">
        <v>0</v>
      </c>
      <c r="J212" s="672">
        <v>0.0406</v>
      </c>
      <c r="K212" s="670">
        <v>2.29</v>
      </c>
      <c r="L212" s="942">
        <f t="shared" si="37"/>
        <v>0</v>
      </c>
      <c r="M212" s="672">
        <f t="shared" si="33"/>
        <v>0</v>
      </c>
      <c r="N212" s="670" t="e">
        <f t="shared" si="36"/>
        <v>#DIV/0!</v>
      </c>
      <c r="O212" s="670" t="e">
        <f t="shared" si="34"/>
        <v>#DIV/0!</v>
      </c>
      <c r="P212" s="943">
        <f t="shared" si="35"/>
        <v>300</v>
      </c>
    </row>
    <row r="213" spans="1:16">
      <c r="A213" s="684">
        <f t="shared" si="38"/>
        <v>44408</v>
      </c>
      <c r="B213" s="670">
        <v>300</v>
      </c>
      <c r="C213" s="38">
        <v>3940</v>
      </c>
      <c r="D213" s="944">
        <v>142</v>
      </c>
      <c r="E213" s="37">
        <v>0</v>
      </c>
      <c r="F213" s="943">
        <v>0</v>
      </c>
      <c r="G213" s="37">
        <v>0</v>
      </c>
      <c r="H213" s="37">
        <v>1</v>
      </c>
      <c r="I213" s="37">
        <v>0</v>
      </c>
      <c r="J213" s="672">
        <v>0.036</v>
      </c>
      <c r="K213" s="670">
        <v>2.11</v>
      </c>
      <c r="L213" s="942">
        <f t="shared" si="37"/>
        <v>0</v>
      </c>
      <c r="M213" s="672">
        <f t="shared" si="33"/>
        <v>0</v>
      </c>
      <c r="N213" s="670" t="e">
        <f t="shared" si="36"/>
        <v>#DIV/0!</v>
      </c>
      <c r="O213" s="670" t="e">
        <f t="shared" si="34"/>
        <v>#DIV/0!</v>
      </c>
      <c r="P213" s="943" t="e">
        <f t="shared" si="35"/>
        <v>#DIV/0!</v>
      </c>
    </row>
    <row r="214" spans="1:16">
      <c r="A214" s="684">
        <f t="shared" si="38"/>
        <v>44409</v>
      </c>
      <c r="B214" s="670">
        <v>300</v>
      </c>
      <c r="C214" s="38">
        <v>4482</v>
      </c>
      <c r="D214" s="944">
        <v>146</v>
      </c>
      <c r="E214" s="37">
        <v>0</v>
      </c>
      <c r="F214" s="943">
        <v>0</v>
      </c>
      <c r="G214" s="37">
        <v>1</v>
      </c>
      <c r="H214" s="37">
        <v>3</v>
      </c>
      <c r="I214" s="37">
        <v>0</v>
      </c>
      <c r="J214" s="672">
        <v>0.0326</v>
      </c>
      <c r="K214" s="670">
        <v>2.05</v>
      </c>
      <c r="L214" s="942">
        <f t="shared" si="37"/>
        <v>0</v>
      </c>
      <c r="M214" s="672">
        <f t="shared" si="33"/>
        <v>0</v>
      </c>
      <c r="N214" s="670" t="e">
        <f t="shared" si="36"/>
        <v>#DIV/0!</v>
      </c>
      <c r="O214" s="670" t="e">
        <f t="shared" si="34"/>
        <v>#DIV/0!</v>
      </c>
      <c r="P214" s="943">
        <f t="shared" si="35"/>
        <v>300</v>
      </c>
    </row>
    <row r="215" spans="1:16">
      <c r="A215" s="684">
        <f t="shared" si="38"/>
        <v>44410</v>
      </c>
      <c r="B215" s="670">
        <v>300</v>
      </c>
      <c r="C215" s="38">
        <v>3846</v>
      </c>
      <c r="D215" s="944">
        <v>139</v>
      </c>
      <c r="E215" s="37">
        <v>0</v>
      </c>
      <c r="F215" s="943">
        <v>0</v>
      </c>
      <c r="G215" s="37">
        <v>0</v>
      </c>
      <c r="H215" s="37">
        <v>1</v>
      </c>
      <c r="I215" s="37">
        <v>1</v>
      </c>
      <c r="J215" s="672">
        <v>0.0361</v>
      </c>
      <c r="K215" s="670">
        <v>2.16</v>
      </c>
      <c r="L215" s="942">
        <f t="shared" si="37"/>
        <v>0</v>
      </c>
      <c r="M215" s="672">
        <f t="shared" si="33"/>
        <v>0</v>
      </c>
      <c r="N215" s="670" t="e">
        <f t="shared" si="36"/>
        <v>#DIV/0!</v>
      </c>
      <c r="O215" s="670" t="e">
        <f t="shared" si="34"/>
        <v>#DIV/0!</v>
      </c>
      <c r="P215" s="943" t="e">
        <f t="shared" si="35"/>
        <v>#DIV/0!</v>
      </c>
    </row>
    <row r="216" spans="1:16">
      <c r="A216" s="684">
        <f t="shared" si="38"/>
        <v>44411</v>
      </c>
      <c r="B216" s="670">
        <v>300</v>
      </c>
      <c r="C216" s="38">
        <v>4756</v>
      </c>
      <c r="D216" s="944">
        <v>134</v>
      </c>
      <c r="E216" s="37">
        <v>0</v>
      </c>
      <c r="F216" s="943">
        <v>0</v>
      </c>
      <c r="G216" s="37">
        <v>0</v>
      </c>
      <c r="H216" s="37">
        <v>0</v>
      </c>
      <c r="I216" s="37">
        <v>2</v>
      </c>
      <c r="J216" s="672">
        <v>0.0282</v>
      </c>
      <c r="K216" s="670">
        <v>2.24</v>
      </c>
      <c r="L216" s="942">
        <f t="shared" si="37"/>
        <v>0</v>
      </c>
      <c r="M216" s="672">
        <f t="shared" si="33"/>
        <v>0</v>
      </c>
      <c r="N216" s="670" t="e">
        <f t="shared" si="36"/>
        <v>#DIV/0!</v>
      </c>
      <c r="O216" s="670" t="e">
        <f t="shared" si="34"/>
        <v>#DIV/0!</v>
      </c>
      <c r="P216" s="943" t="e">
        <f t="shared" si="35"/>
        <v>#DIV/0!</v>
      </c>
    </row>
    <row r="217" spans="1:16">
      <c r="A217" s="684">
        <f t="shared" si="38"/>
        <v>44412</v>
      </c>
      <c r="B217" s="670">
        <v>300</v>
      </c>
      <c r="C217" s="38">
        <v>4816</v>
      </c>
      <c r="D217" s="944">
        <v>131</v>
      </c>
      <c r="E217" s="37">
        <v>0</v>
      </c>
      <c r="F217" s="943">
        <v>0</v>
      </c>
      <c r="G217" s="37">
        <v>0</v>
      </c>
      <c r="H217" s="37">
        <v>1</v>
      </c>
      <c r="I217" s="37">
        <v>0</v>
      </c>
      <c r="J217" s="672">
        <v>0.0272</v>
      </c>
      <c r="K217" s="670">
        <v>2.29</v>
      </c>
      <c r="L217" s="942">
        <f t="shared" si="37"/>
        <v>0</v>
      </c>
      <c r="M217" s="672">
        <f t="shared" si="33"/>
        <v>0</v>
      </c>
      <c r="N217" s="670" t="e">
        <f t="shared" si="36"/>
        <v>#DIV/0!</v>
      </c>
      <c r="O217" s="670" t="e">
        <f t="shared" si="34"/>
        <v>#DIV/0!</v>
      </c>
      <c r="P217" s="943" t="e">
        <f t="shared" si="35"/>
        <v>#DIV/0!</v>
      </c>
    </row>
    <row r="218" spans="1:16">
      <c r="A218" s="684">
        <f t="shared" si="38"/>
        <v>44413</v>
      </c>
      <c r="B218" s="670">
        <v>300</v>
      </c>
      <c r="C218" s="38">
        <v>4449</v>
      </c>
      <c r="D218" s="944">
        <v>128</v>
      </c>
      <c r="E218" s="37">
        <v>0</v>
      </c>
      <c r="F218" s="943">
        <v>0</v>
      </c>
      <c r="G218" s="37">
        <v>1</v>
      </c>
      <c r="H218" s="37">
        <v>2</v>
      </c>
      <c r="I218" s="37">
        <v>1</v>
      </c>
      <c r="J218" s="672">
        <v>0.0288</v>
      </c>
      <c r="K218" s="670">
        <v>2.34</v>
      </c>
      <c r="L218" s="942">
        <f t="shared" si="37"/>
        <v>0</v>
      </c>
      <c r="M218" s="672">
        <f t="shared" si="33"/>
        <v>0</v>
      </c>
      <c r="N218" s="670" t="e">
        <f t="shared" si="36"/>
        <v>#DIV/0!</v>
      </c>
      <c r="O218" s="670" t="e">
        <f t="shared" si="34"/>
        <v>#DIV/0!</v>
      </c>
      <c r="P218" s="943">
        <f t="shared" si="35"/>
        <v>300</v>
      </c>
    </row>
    <row r="219" spans="1:16">
      <c r="A219" s="684">
        <f t="shared" si="38"/>
        <v>44414</v>
      </c>
      <c r="B219" s="670">
        <v>300</v>
      </c>
      <c r="C219" s="38">
        <v>4443</v>
      </c>
      <c r="D219" s="944">
        <v>124</v>
      </c>
      <c r="E219" s="37">
        <v>0</v>
      </c>
      <c r="F219" s="943">
        <v>0</v>
      </c>
      <c r="G219" s="37">
        <v>0</v>
      </c>
      <c r="H219" s="37">
        <v>1</v>
      </c>
      <c r="I219" s="37">
        <v>1</v>
      </c>
      <c r="J219" s="672">
        <v>0.0279</v>
      </c>
      <c r="K219" s="670">
        <v>2.42</v>
      </c>
      <c r="L219" s="942">
        <f t="shared" si="37"/>
        <v>0</v>
      </c>
      <c r="M219" s="672">
        <f t="shared" si="33"/>
        <v>0</v>
      </c>
      <c r="N219" s="670" t="e">
        <f t="shared" si="36"/>
        <v>#DIV/0!</v>
      </c>
      <c r="O219" s="670" t="e">
        <f t="shared" si="34"/>
        <v>#DIV/0!</v>
      </c>
      <c r="P219" s="943" t="e">
        <f t="shared" si="35"/>
        <v>#DIV/0!</v>
      </c>
    </row>
    <row r="220" spans="1:16">
      <c r="A220" s="684">
        <f t="shared" si="38"/>
        <v>44415</v>
      </c>
      <c r="B220" s="670">
        <v>300</v>
      </c>
      <c r="C220" s="38">
        <v>4046</v>
      </c>
      <c r="D220" s="944">
        <v>136</v>
      </c>
      <c r="E220" s="37">
        <v>0</v>
      </c>
      <c r="F220" s="943">
        <v>0</v>
      </c>
      <c r="G220" s="37">
        <v>0</v>
      </c>
      <c r="H220" s="37">
        <v>1</v>
      </c>
      <c r="I220" s="37">
        <v>1</v>
      </c>
      <c r="J220" s="672">
        <v>0.0336</v>
      </c>
      <c r="K220" s="670">
        <v>2.21</v>
      </c>
      <c r="L220" s="942">
        <f t="shared" si="37"/>
        <v>0</v>
      </c>
      <c r="M220" s="672">
        <f t="shared" si="33"/>
        <v>0</v>
      </c>
      <c r="N220" s="670" t="e">
        <f t="shared" si="36"/>
        <v>#DIV/0!</v>
      </c>
      <c r="O220" s="670" t="e">
        <f t="shared" si="34"/>
        <v>#DIV/0!</v>
      </c>
      <c r="P220" s="943" t="e">
        <f t="shared" si="35"/>
        <v>#DIV/0!</v>
      </c>
    </row>
    <row r="221" spans="1:16">
      <c r="A221" s="684">
        <f t="shared" si="38"/>
        <v>44416</v>
      </c>
      <c r="B221" s="670">
        <v>300</v>
      </c>
      <c r="C221" s="38">
        <v>3918</v>
      </c>
      <c r="D221" s="944">
        <v>123</v>
      </c>
      <c r="E221" s="37">
        <v>0</v>
      </c>
      <c r="F221" s="943">
        <v>0</v>
      </c>
      <c r="G221" s="37">
        <v>0</v>
      </c>
      <c r="H221" s="37">
        <v>0</v>
      </c>
      <c r="I221" s="37">
        <v>1</v>
      </c>
      <c r="J221" s="672">
        <v>0.0314</v>
      </c>
      <c r="K221" s="670">
        <v>2.44</v>
      </c>
      <c r="L221" s="942">
        <f t="shared" si="37"/>
        <v>0</v>
      </c>
      <c r="M221" s="672">
        <f t="shared" si="33"/>
        <v>0</v>
      </c>
      <c r="N221" s="670" t="e">
        <f t="shared" si="36"/>
        <v>#DIV/0!</v>
      </c>
      <c r="O221" s="670" t="e">
        <f t="shared" si="34"/>
        <v>#DIV/0!</v>
      </c>
      <c r="P221" s="943" t="e">
        <f t="shared" si="35"/>
        <v>#DIV/0!</v>
      </c>
    </row>
    <row r="222" spans="1:16">
      <c r="A222" s="684">
        <f t="shared" si="38"/>
        <v>44417</v>
      </c>
      <c r="B222" s="670">
        <v>299.91</v>
      </c>
      <c r="C222" s="38">
        <v>5194</v>
      </c>
      <c r="D222" s="944">
        <v>202</v>
      </c>
      <c r="E222" s="37">
        <v>1</v>
      </c>
      <c r="F222" s="943">
        <v>0.01</v>
      </c>
      <c r="G222" s="37">
        <v>0</v>
      </c>
      <c r="H222" s="37">
        <v>3</v>
      </c>
      <c r="I222" s="37">
        <v>0</v>
      </c>
      <c r="J222" s="672">
        <v>0.0389</v>
      </c>
      <c r="K222" s="670">
        <v>1.48</v>
      </c>
      <c r="L222" s="942">
        <f t="shared" si="37"/>
        <v>3.33433363342336e-5</v>
      </c>
      <c r="M222" s="672">
        <f t="shared" si="33"/>
        <v>0.00495049504950495</v>
      </c>
      <c r="N222" s="670">
        <f t="shared" si="36"/>
        <v>0.01</v>
      </c>
      <c r="O222" s="670">
        <f t="shared" si="34"/>
        <v>299.91</v>
      </c>
      <c r="P222" s="943" t="e">
        <f t="shared" si="35"/>
        <v>#DIV/0!</v>
      </c>
    </row>
    <row r="223" spans="1:16">
      <c r="A223" s="684">
        <f t="shared" si="38"/>
        <v>44418</v>
      </c>
      <c r="B223" s="670">
        <v>300</v>
      </c>
      <c r="C223" s="38">
        <v>5244</v>
      </c>
      <c r="D223" s="944">
        <v>166</v>
      </c>
      <c r="E223" s="37">
        <v>0</v>
      </c>
      <c r="F223" s="943">
        <v>0</v>
      </c>
      <c r="G223" s="37">
        <v>2</v>
      </c>
      <c r="H223" s="37">
        <v>3</v>
      </c>
      <c r="I223" s="37">
        <v>0</v>
      </c>
      <c r="J223" s="672">
        <v>0.0317</v>
      </c>
      <c r="K223" s="670">
        <v>1.81</v>
      </c>
      <c r="L223" s="942">
        <f t="shared" si="37"/>
        <v>0</v>
      </c>
      <c r="M223" s="672">
        <f t="shared" si="33"/>
        <v>0</v>
      </c>
      <c r="N223" s="670" t="e">
        <f t="shared" si="36"/>
        <v>#DIV/0!</v>
      </c>
      <c r="O223" s="670" t="e">
        <f t="shared" si="34"/>
        <v>#DIV/0!</v>
      </c>
      <c r="P223" s="943">
        <f t="shared" si="35"/>
        <v>150</v>
      </c>
    </row>
    <row r="224" spans="1:16">
      <c r="A224" s="684">
        <f t="shared" si="38"/>
        <v>44419</v>
      </c>
      <c r="B224" s="670">
        <v>299.13</v>
      </c>
      <c r="C224" s="38">
        <v>5337</v>
      </c>
      <c r="D224" s="944">
        <v>195</v>
      </c>
      <c r="E224" s="37">
        <v>0</v>
      </c>
      <c r="F224" s="943">
        <v>0</v>
      </c>
      <c r="G224" s="37">
        <v>0</v>
      </c>
      <c r="H224" s="37">
        <v>2</v>
      </c>
      <c r="I224" s="37">
        <v>0</v>
      </c>
      <c r="J224" s="672">
        <v>0.0365</v>
      </c>
      <c r="K224" s="670">
        <v>1.53</v>
      </c>
      <c r="L224" s="942">
        <f t="shared" si="37"/>
        <v>0</v>
      </c>
      <c r="M224" s="672">
        <f t="shared" si="33"/>
        <v>0</v>
      </c>
      <c r="N224" s="670" t="e">
        <f t="shared" si="36"/>
        <v>#DIV/0!</v>
      </c>
      <c r="O224" s="670" t="e">
        <f t="shared" si="34"/>
        <v>#DIV/0!</v>
      </c>
      <c r="P224" s="943" t="e">
        <f t="shared" si="35"/>
        <v>#DIV/0!</v>
      </c>
    </row>
    <row r="225" spans="1:16">
      <c r="A225" s="684">
        <f t="shared" si="38"/>
        <v>44420</v>
      </c>
      <c r="B225" s="670">
        <v>300</v>
      </c>
      <c r="C225" s="38">
        <v>4962</v>
      </c>
      <c r="D225" s="944">
        <v>166</v>
      </c>
      <c r="E225" s="37">
        <v>0</v>
      </c>
      <c r="F225" s="943">
        <v>0</v>
      </c>
      <c r="G225" s="37">
        <v>3</v>
      </c>
      <c r="H225" s="37">
        <v>1</v>
      </c>
      <c r="I225" s="37">
        <v>0</v>
      </c>
      <c r="J225" s="672">
        <v>0.0335</v>
      </c>
      <c r="K225" s="670">
        <v>1.81</v>
      </c>
      <c r="L225" s="942">
        <f t="shared" si="37"/>
        <v>0</v>
      </c>
      <c r="M225" s="672">
        <f t="shared" ref="M225:M288" si="39">E225/D225</f>
        <v>0</v>
      </c>
      <c r="N225" s="670" t="e">
        <f t="shared" si="36"/>
        <v>#DIV/0!</v>
      </c>
      <c r="O225" s="670" t="e">
        <f t="shared" si="34"/>
        <v>#DIV/0!</v>
      </c>
      <c r="P225" s="943">
        <f t="shared" si="35"/>
        <v>100</v>
      </c>
    </row>
    <row r="226" spans="1:16">
      <c r="A226" s="684">
        <f t="shared" si="38"/>
        <v>44421</v>
      </c>
      <c r="B226" s="670">
        <v>300</v>
      </c>
      <c r="C226" s="38">
        <v>6069</v>
      </c>
      <c r="D226" s="944">
        <v>209</v>
      </c>
      <c r="E226" s="37">
        <v>0</v>
      </c>
      <c r="F226" s="943">
        <v>0</v>
      </c>
      <c r="G226" s="37">
        <v>6</v>
      </c>
      <c r="H226" s="37">
        <v>1</v>
      </c>
      <c r="I226" s="37">
        <v>0</v>
      </c>
      <c r="J226" s="672">
        <v>0.0344</v>
      </c>
      <c r="K226" s="670">
        <v>1.44</v>
      </c>
      <c r="L226" s="942">
        <f t="shared" si="37"/>
        <v>0</v>
      </c>
      <c r="M226" s="672">
        <f t="shared" si="39"/>
        <v>0</v>
      </c>
      <c r="N226" s="670" t="e">
        <f t="shared" si="36"/>
        <v>#DIV/0!</v>
      </c>
      <c r="O226" s="670" t="e">
        <f t="shared" si="34"/>
        <v>#DIV/0!</v>
      </c>
      <c r="P226" s="943">
        <f t="shared" si="35"/>
        <v>50</v>
      </c>
    </row>
    <row r="227" spans="1:16">
      <c r="A227" s="684">
        <f t="shared" si="38"/>
        <v>44422</v>
      </c>
      <c r="B227" s="670">
        <v>289.95</v>
      </c>
      <c r="C227" s="38">
        <v>5408</v>
      </c>
      <c r="D227" s="944">
        <v>196</v>
      </c>
      <c r="E227" s="37">
        <v>0</v>
      </c>
      <c r="F227" s="943">
        <v>0</v>
      </c>
      <c r="G227" s="37">
        <v>2</v>
      </c>
      <c r="H227" s="37">
        <v>2</v>
      </c>
      <c r="I227" s="37">
        <v>1</v>
      </c>
      <c r="J227" s="672">
        <v>0.0362</v>
      </c>
      <c r="K227" s="670">
        <v>1.48</v>
      </c>
      <c r="L227" s="942">
        <f t="shared" si="37"/>
        <v>0</v>
      </c>
      <c r="M227" s="672">
        <f t="shared" si="39"/>
        <v>0</v>
      </c>
      <c r="N227" s="670" t="e">
        <f t="shared" si="36"/>
        <v>#DIV/0!</v>
      </c>
      <c r="O227" s="670" t="e">
        <f t="shared" si="34"/>
        <v>#DIV/0!</v>
      </c>
      <c r="P227" s="943">
        <f t="shared" si="35"/>
        <v>144.975</v>
      </c>
    </row>
    <row r="228" spans="1:16">
      <c r="A228" s="684">
        <f t="shared" si="38"/>
        <v>44423</v>
      </c>
      <c r="B228" s="670">
        <v>300</v>
      </c>
      <c r="C228" s="38">
        <v>4940</v>
      </c>
      <c r="D228" s="944">
        <v>201</v>
      </c>
      <c r="E228" s="37">
        <v>0</v>
      </c>
      <c r="F228" s="943">
        <v>0</v>
      </c>
      <c r="G228" s="37">
        <v>1</v>
      </c>
      <c r="H228" s="37">
        <v>0</v>
      </c>
      <c r="I228" s="37">
        <v>0</v>
      </c>
      <c r="J228" s="672">
        <v>0.0407</v>
      </c>
      <c r="K228" s="670">
        <v>1.49</v>
      </c>
      <c r="L228" s="942">
        <f t="shared" si="37"/>
        <v>0</v>
      </c>
      <c r="M228" s="672">
        <f t="shared" si="39"/>
        <v>0</v>
      </c>
      <c r="N228" s="670" t="e">
        <f t="shared" si="36"/>
        <v>#DIV/0!</v>
      </c>
      <c r="O228" s="670" t="e">
        <f t="shared" si="34"/>
        <v>#DIV/0!</v>
      </c>
      <c r="P228" s="943">
        <f t="shared" si="35"/>
        <v>300</v>
      </c>
    </row>
    <row r="229" spans="1:16">
      <c r="A229" s="684">
        <f t="shared" si="38"/>
        <v>44424</v>
      </c>
      <c r="B229" s="670">
        <v>300</v>
      </c>
      <c r="C229" s="38">
        <v>5201</v>
      </c>
      <c r="D229" s="944">
        <v>204</v>
      </c>
      <c r="E229" s="37">
        <v>0</v>
      </c>
      <c r="F229" s="943">
        <v>0</v>
      </c>
      <c r="G229" s="37">
        <v>4</v>
      </c>
      <c r="H229" s="37">
        <v>3</v>
      </c>
      <c r="I229" s="37">
        <v>1</v>
      </c>
      <c r="J229" s="672">
        <v>0.0392</v>
      </c>
      <c r="K229" s="670">
        <v>1.47</v>
      </c>
      <c r="L229" s="942">
        <f t="shared" si="37"/>
        <v>0</v>
      </c>
      <c r="M229" s="672">
        <f t="shared" si="39"/>
        <v>0</v>
      </c>
      <c r="N229" s="670" t="e">
        <f t="shared" si="36"/>
        <v>#DIV/0!</v>
      </c>
      <c r="O229" s="670" t="e">
        <f t="shared" si="34"/>
        <v>#DIV/0!</v>
      </c>
      <c r="P229" s="943">
        <f t="shared" si="35"/>
        <v>75</v>
      </c>
    </row>
    <row r="230" spans="1:16">
      <c r="A230" s="684">
        <f t="shared" si="38"/>
        <v>44425</v>
      </c>
      <c r="B230" s="670">
        <v>295.52</v>
      </c>
      <c r="C230" s="38">
        <v>8007</v>
      </c>
      <c r="D230" s="944">
        <v>250</v>
      </c>
      <c r="E230" s="37">
        <v>0</v>
      </c>
      <c r="F230" s="943">
        <v>0</v>
      </c>
      <c r="G230" s="37">
        <v>3</v>
      </c>
      <c r="H230" s="37">
        <v>1</v>
      </c>
      <c r="I230" s="37">
        <v>1</v>
      </c>
      <c r="J230" s="672">
        <v>0.0312</v>
      </c>
      <c r="K230" s="670">
        <v>1.18</v>
      </c>
      <c r="L230" s="942">
        <f t="shared" si="37"/>
        <v>0</v>
      </c>
      <c r="M230" s="672">
        <f t="shared" si="39"/>
        <v>0</v>
      </c>
      <c r="N230" s="670" t="e">
        <f t="shared" si="36"/>
        <v>#DIV/0!</v>
      </c>
      <c r="O230" s="670" t="e">
        <f t="shared" si="34"/>
        <v>#DIV/0!</v>
      </c>
      <c r="P230" s="943">
        <f t="shared" si="35"/>
        <v>98.5066666666667</v>
      </c>
    </row>
    <row r="231" spans="1:16">
      <c r="A231" s="684">
        <f t="shared" si="38"/>
        <v>44426</v>
      </c>
      <c r="B231" s="670">
        <v>299.36</v>
      </c>
      <c r="C231" s="38">
        <v>8335</v>
      </c>
      <c r="D231" s="944">
        <v>299</v>
      </c>
      <c r="E231" s="37">
        <v>0</v>
      </c>
      <c r="F231" s="943">
        <v>0</v>
      </c>
      <c r="G231" s="37">
        <v>1</v>
      </c>
      <c r="H231" s="37">
        <v>2</v>
      </c>
      <c r="I231" s="37">
        <v>0</v>
      </c>
      <c r="J231" s="672">
        <v>0.0359</v>
      </c>
      <c r="K231" s="670">
        <v>1</v>
      </c>
      <c r="L231" s="942">
        <f t="shared" si="37"/>
        <v>0</v>
      </c>
      <c r="M231" s="672">
        <f t="shared" si="39"/>
        <v>0</v>
      </c>
      <c r="N231" s="670" t="e">
        <f t="shared" si="36"/>
        <v>#DIV/0!</v>
      </c>
      <c r="O231" s="670" t="e">
        <f t="shared" si="34"/>
        <v>#DIV/0!</v>
      </c>
      <c r="P231" s="943">
        <f t="shared" si="35"/>
        <v>299.36</v>
      </c>
    </row>
    <row r="232" spans="1:16">
      <c r="A232" s="684">
        <f t="shared" si="38"/>
        <v>44427</v>
      </c>
      <c r="B232" s="670">
        <v>300</v>
      </c>
      <c r="C232" s="38">
        <v>5226</v>
      </c>
      <c r="D232" s="944">
        <v>220</v>
      </c>
      <c r="E232" s="37">
        <v>0</v>
      </c>
      <c r="F232" s="943">
        <v>0</v>
      </c>
      <c r="G232" s="37">
        <v>6</v>
      </c>
      <c r="H232" s="37">
        <v>3</v>
      </c>
      <c r="I232" s="37">
        <v>1</v>
      </c>
      <c r="J232" s="672">
        <v>0.0421</v>
      </c>
      <c r="K232" s="670">
        <v>1.36</v>
      </c>
      <c r="L232" s="942">
        <f t="shared" si="37"/>
        <v>0</v>
      </c>
      <c r="M232" s="672">
        <f t="shared" si="39"/>
        <v>0</v>
      </c>
      <c r="N232" s="670" t="e">
        <f t="shared" si="36"/>
        <v>#DIV/0!</v>
      </c>
      <c r="O232" s="670" t="e">
        <f t="shared" si="34"/>
        <v>#DIV/0!</v>
      </c>
      <c r="P232" s="943">
        <f t="shared" si="35"/>
        <v>50</v>
      </c>
    </row>
    <row r="233" spans="1:16">
      <c r="A233" s="684">
        <f t="shared" si="38"/>
        <v>44428</v>
      </c>
      <c r="B233" s="670">
        <v>300</v>
      </c>
      <c r="C233" s="38">
        <v>4250</v>
      </c>
      <c r="D233" s="944">
        <v>133</v>
      </c>
      <c r="E233" s="37">
        <v>0</v>
      </c>
      <c r="F233" s="943">
        <v>0</v>
      </c>
      <c r="G233" s="37">
        <v>2</v>
      </c>
      <c r="H233" s="37">
        <v>2</v>
      </c>
      <c r="I233" s="37">
        <v>0</v>
      </c>
      <c r="J233" s="672">
        <v>0.0313</v>
      </c>
      <c r="K233" s="670">
        <v>2.26</v>
      </c>
      <c r="L233" s="942">
        <f t="shared" si="37"/>
        <v>0</v>
      </c>
      <c r="M233" s="672">
        <f t="shared" si="39"/>
        <v>0</v>
      </c>
      <c r="N233" s="670" t="e">
        <f t="shared" si="36"/>
        <v>#DIV/0!</v>
      </c>
      <c r="O233" s="670" t="e">
        <f t="shared" si="34"/>
        <v>#DIV/0!</v>
      </c>
      <c r="P233" s="943">
        <f t="shared" si="35"/>
        <v>150</v>
      </c>
    </row>
    <row r="234" spans="1:16">
      <c r="A234" s="684">
        <f t="shared" si="38"/>
        <v>44429</v>
      </c>
      <c r="B234" s="670">
        <v>294.08</v>
      </c>
      <c r="C234" s="38">
        <v>4843</v>
      </c>
      <c r="D234" s="944">
        <v>248</v>
      </c>
      <c r="E234" s="37">
        <v>0</v>
      </c>
      <c r="F234" s="943">
        <v>0</v>
      </c>
      <c r="G234" s="37">
        <v>5</v>
      </c>
      <c r="H234" s="37">
        <v>1</v>
      </c>
      <c r="I234" s="37">
        <v>2</v>
      </c>
      <c r="J234" s="672">
        <v>0.0512</v>
      </c>
      <c r="K234" s="670">
        <v>1.19</v>
      </c>
      <c r="L234" s="942">
        <f t="shared" si="37"/>
        <v>0</v>
      </c>
      <c r="M234" s="672">
        <f t="shared" si="39"/>
        <v>0</v>
      </c>
      <c r="N234" s="670" t="e">
        <f t="shared" si="36"/>
        <v>#DIV/0!</v>
      </c>
      <c r="O234" s="670" t="e">
        <f t="shared" si="34"/>
        <v>#DIV/0!</v>
      </c>
      <c r="P234" s="943">
        <f t="shared" si="35"/>
        <v>58.816</v>
      </c>
    </row>
    <row r="235" spans="1:16">
      <c r="A235" s="684">
        <f t="shared" si="38"/>
        <v>44430</v>
      </c>
      <c r="B235" s="670">
        <v>300</v>
      </c>
      <c r="C235" s="38">
        <v>5096</v>
      </c>
      <c r="D235" s="944">
        <v>189</v>
      </c>
      <c r="E235" s="37">
        <v>0</v>
      </c>
      <c r="F235" s="943">
        <v>0</v>
      </c>
      <c r="G235" s="37">
        <v>4</v>
      </c>
      <c r="H235" s="37">
        <v>0</v>
      </c>
      <c r="I235" s="37">
        <v>0</v>
      </c>
      <c r="J235" s="672">
        <v>0.0371</v>
      </c>
      <c r="K235" s="670">
        <v>1.59</v>
      </c>
      <c r="L235" s="942">
        <f t="shared" si="37"/>
        <v>0</v>
      </c>
      <c r="M235" s="672">
        <f t="shared" si="39"/>
        <v>0</v>
      </c>
      <c r="N235" s="670" t="e">
        <f t="shared" si="36"/>
        <v>#DIV/0!</v>
      </c>
      <c r="O235" s="670" t="e">
        <f t="shared" si="34"/>
        <v>#DIV/0!</v>
      </c>
      <c r="P235" s="943">
        <f t="shared" si="35"/>
        <v>75</v>
      </c>
    </row>
    <row r="236" spans="1:16">
      <c r="A236" s="684">
        <f t="shared" si="38"/>
        <v>44431</v>
      </c>
      <c r="B236" s="670">
        <v>300</v>
      </c>
      <c r="C236" s="38">
        <v>4736</v>
      </c>
      <c r="D236" s="944">
        <v>192</v>
      </c>
      <c r="E236" s="37">
        <v>0</v>
      </c>
      <c r="F236" s="943">
        <v>0</v>
      </c>
      <c r="G236" s="37">
        <v>1</v>
      </c>
      <c r="H236" s="37">
        <v>0</v>
      </c>
      <c r="I236" s="37">
        <v>0</v>
      </c>
      <c r="J236" s="672">
        <v>0.0405</v>
      </c>
      <c r="K236" s="670">
        <v>1.56</v>
      </c>
      <c r="L236" s="942">
        <f t="shared" si="37"/>
        <v>0</v>
      </c>
      <c r="M236" s="672">
        <f t="shared" si="39"/>
        <v>0</v>
      </c>
      <c r="N236" s="670" t="e">
        <f t="shared" si="36"/>
        <v>#DIV/0!</v>
      </c>
      <c r="O236" s="670" t="e">
        <f t="shared" si="34"/>
        <v>#DIV/0!</v>
      </c>
      <c r="P236" s="943">
        <f t="shared" si="35"/>
        <v>300</v>
      </c>
    </row>
    <row r="237" spans="1:16">
      <c r="A237" s="684">
        <f t="shared" si="38"/>
        <v>44432</v>
      </c>
      <c r="B237" s="670">
        <v>299.48</v>
      </c>
      <c r="C237" s="38">
        <v>4795</v>
      </c>
      <c r="D237" s="944">
        <v>182</v>
      </c>
      <c r="E237" s="37">
        <v>0</v>
      </c>
      <c r="F237" s="943">
        <v>0</v>
      </c>
      <c r="G237" s="37">
        <v>4</v>
      </c>
      <c r="H237" s="37">
        <v>1</v>
      </c>
      <c r="I237" s="37">
        <v>1</v>
      </c>
      <c r="J237" s="672">
        <v>0.0366</v>
      </c>
      <c r="K237" s="670">
        <v>1.65</v>
      </c>
      <c r="L237" s="942">
        <f t="shared" si="37"/>
        <v>0</v>
      </c>
      <c r="M237" s="672">
        <f t="shared" si="39"/>
        <v>0</v>
      </c>
      <c r="N237" s="670" t="e">
        <f t="shared" si="36"/>
        <v>#DIV/0!</v>
      </c>
      <c r="O237" s="670" t="e">
        <f t="shared" si="34"/>
        <v>#DIV/0!</v>
      </c>
      <c r="P237" s="943">
        <f t="shared" si="35"/>
        <v>74.87</v>
      </c>
    </row>
    <row r="238" spans="1:16">
      <c r="A238" s="684">
        <f t="shared" si="38"/>
        <v>44433</v>
      </c>
      <c r="B238" s="670">
        <v>300</v>
      </c>
      <c r="C238" s="38">
        <v>4269</v>
      </c>
      <c r="D238" s="944">
        <v>203</v>
      </c>
      <c r="E238" s="37">
        <v>0</v>
      </c>
      <c r="F238" s="943">
        <v>0</v>
      </c>
      <c r="G238" s="37">
        <v>3</v>
      </c>
      <c r="H238" s="37">
        <v>1</v>
      </c>
      <c r="I238" s="37">
        <v>1</v>
      </c>
      <c r="J238" s="672">
        <v>0.0476</v>
      </c>
      <c r="K238" s="670">
        <v>1.48</v>
      </c>
      <c r="L238" s="942">
        <f t="shared" si="37"/>
        <v>0</v>
      </c>
      <c r="M238" s="672">
        <f t="shared" si="39"/>
        <v>0</v>
      </c>
      <c r="N238" s="670" t="e">
        <f t="shared" si="36"/>
        <v>#DIV/0!</v>
      </c>
      <c r="O238" s="670" t="e">
        <f t="shared" si="34"/>
        <v>#DIV/0!</v>
      </c>
      <c r="P238" s="943">
        <f t="shared" si="35"/>
        <v>100</v>
      </c>
    </row>
    <row r="239" spans="1:16">
      <c r="A239" s="684">
        <f t="shared" si="38"/>
        <v>44434</v>
      </c>
      <c r="B239" s="670">
        <v>300</v>
      </c>
      <c r="C239" s="38">
        <v>4675</v>
      </c>
      <c r="D239" s="944">
        <v>171</v>
      </c>
      <c r="E239" s="37">
        <v>0</v>
      </c>
      <c r="F239" s="943">
        <v>0</v>
      </c>
      <c r="G239" s="37">
        <v>0</v>
      </c>
      <c r="H239" s="37">
        <v>0</v>
      </c>
      <c r="I239" s="37">
        <v>0</v>
      </c>
      <c r="J239" s="672">
        <v>0.0366</v>
      </c>
      <c r="K239" s="670">
        <v>1.75</v>
      </c>
      <c r="L239" s="942">
        <f t="shared" si="37"/>
        <v>0</v>
      </c>
      <c r="M239" s="672">
        <f t="shared" si="39"/>
        <v>0</v>
      </c>
      <c r="N239" s="670" t="e">
        <f t="shared" si="36"/>
        <v>#DIV/0!</v>
      </c>
      <c r="O239" s="670" t="e">
        <f t="shared" si="34"/>
        <v>#DIV/0!</v>
      </c>
      <c r="P239" s="943" t="e">
        <f t="shared" si="35"/>
        <v>#DIV/0!</v>
      </c>
    </row>
    <row r="240" spans="1:16">
      <c r="A240" s="684">
        <f t="shared" si="38"/>
        <v>44435</v>
      </c>
      <c r="B240" s="670">
        <v>292.08</v>
      </c>
      <c r="C240" s="38">
        <v>5151</v>
      </c>
      <c r="D240" s="944">
        <v>219</v>
      </c>
      <c r="E240" s="37">
        <v>0</v>
      </c>
      <c r="F240" s="943">
        <v>0</v>
      </c>
      <c r="G240" s="37">
        <v>3</v>
      </c>
      <c r="H240" s="37">
        <v>2</v>
      </c>
      <c r="I240" s="37">
        <v>2</v>
      </c>
      <c r="J240" s="672">
        <v>0.0425</v>
      </c>
      <c r="K240" s="670">
        <v>1.33</v>
      </c>
      <c r="L240" s="942">
        <f t="shared" si="37"/>
        <v>0</v>
      </c>
      <c r="M240" s="672">
        <f t="shared" si="39"/>
        <v>0</v>
      </c>
      <c r="N240" s="670" t="e">
        <f t="shared" si="36"/>
        <v>#DIV/0!</v>
      </c>
      <c r="O240" s="670" t="e">
        <f t="shared" si="34"/>
        <v>#DIV/0!</v>
      </c>
      <c r="P240" s="943">
        <f t="shared" si="35"/>
        <v>97.36</v>
      </c>
    </row>
    <row r="241" spans="1:16">
      <c r="A241" s="684">
        <f t="shared" si="38"/>
        <v>44436</v>
      </c>
      <c r="B241" s="670">
        <v>299.77</v>
      </c>
      <c r="C241" s="38">
        <v>5097</v>
      </c>
      <c r="D241" s="944">
        <v>198</v>
      </c>
      <c r="E241" s="37">
        <v>0</v>
      </c>
      <c r="F241" s="943">
        <v>0</v>
      </c>
      <c r="G241" s="37">
        <v>2</v>
      </c>
      <c r="H241" s="37">
        <v>4</v>
      </c>
      <c r="I241" s="37">
        <v>0</v>
      </c>
      <c r="J241" s="672">
        <v>0.0388</v>
      </c>
      <c r="K241" s="670">
        <v>1.51</v>
      </c>
      <c r="L241" s="942">
        <f t="shared" si="37"/>
        <v>0</v>
      </c>
      <c r="M241" s="672">
        <f t="shared" si="39"/>
        <v>0</v>
      </c>
      <c r="N241" s="670" t="e">
        <f t="shared" si="36"/>
        <v>#DIV/0!</v>
      </c>
      <c r="O241" s="670" t="e">
        <f t="shared" si="34"/>
        <v>#DIV/0!</v>
      </c>
      <c r="P241" s="943">
        <f t="shared" si="35"/>
        <v>149.885</v>
      </c>
    </row>
    <row r="242" spans="1:16">
      <c r="A242" s="684">
        <f t="shared" si="38"/>
        <v>44437</v>
      </c>
      <c r="B242" s="670">
        <v>299.63</v>
      </c>
      <c r="C242" s="38">
        <v>4630</v>
      </c>
      <c r="D242" s="944">
        <v>206</v>
      </c>
      <c r="E242" s="37">
        <v>0</v>
      </c>
      <c r="F242" s="943">
        <v>0</v>
      </c>
      <c r="G242" s="37">
        <v>3</v>
      </c>
      <c r="H242" s="37">
        <v>2</v>
      </c>
      <c r="I242" s="37">
        <v>2</v>
      </c>
      <c r="J242" s="672">
        <v>0.0445</v>
      </c>
      <c r="K242" s="670">
        <v>1.45</v>
      </c>
      <c r="L242" s="942">
        <f t="shared" si="37"/>
        <v>0</v>
      </c>
      <c r="M242" s="672">
        <f t="shared" si="39"/>
        <v>0</v>
      </c>
      <c r="N242" s="670" t="e">
        <f t="shared" si="36"/>
        <v>#DIV/0!</v>
      </c>
      <c r="O242" s="670" t="e">
        <f t="shared" si="34"/>
        <v>#DIV/0!</v>
      </c>
      <c r="P242" s="943">
        <f t="shared" si="35"/>
        <v>99.8766666666667</v>
      </c>
    </row>
    <row r="243" spans="1:16">
      <c r="A243" s="684">
        <f t="shared" si="38"/>
        <v>44438</v>
      </c>
      <c r="B243" s="670">
        <v>300</v>
      </c>
      <c r="C243" s="38">
        <v>5751</v>
      </c>
      <c r="D243" s="944">
        <v>191</v>
      </c>
      <c r="E243" s="37">
        <v>0</v>
      </c>
      <c r="F243" s="943">
        <v>0</v>
      </c>
      <c r="G243" s="37">
        <v>2</v>
      </c>
      <c r="H243" s="37">
        <v>3</v>
      </c>
      <c r="I243" s="37">
        <v>0</v>
      </c>
      <c r="J243" s="672">
        <v>0.0332</v>
      </c>
      <c r="K243" s="670">
        <v>1.57</v>
      </c>
      <c r="L243" s="942">
        <f t="shared" si="37"/>
        <v>0</v>
      </c>
      <c r="M243" s="672">
        <f t="shared" si="39"/>
        <v>0</v>
      </c>
      <c r="N243" s="670" t="e">
        <f t="shared" si="36"/>
        <v>#DIV/0!</v>
      </c>
      <c r="O243" s="670" t="e">
        <f t="shared" si="34"/>
        <v>#DIV/0!</v>
      </c>
      <c r="P243" s="943">
        <f t="shared" si="35"/>
        <v>150</v>
      </c>
    </row>
    <row r="244" spans="1:16">
      <c r="A244" s="684">
        <f t="shared" si="38"/>
        <v>44439</v>
      </c>
      <c r="B244" s="670">
        <v>344.6</v>
      </c>
      <c r="C244" s="38">
        <v>6988</v>
      </c>
      <c r="D244" s="944">
        <v>202</v>
      </c>
      <c r="E244" s="37">
        <v>0</v>
      </c>
      <c r="F244" s="943">
        <v>0</v>
      </c>
      <c r="G244" s="37">
        <v>8</v>
      </c>
      <c r="H244" s="37">
        <v>2</v>
      </c>
      <c r="I244" s="37">
        <v>1</v>
      </c>
      <c r="J244" s="672">
        <v>0.0289</v>
      </c>
      <c r="K244" s="670">
        <v>1.71</v>
      </c>
      <c r="L244" s="942">
        <f t="shared" si="37"/>
        <v>0</v>
      </c>
      <c r="M244" s="672">
        <f t="shared" si="39"/>
        <v>0</v>
      </c>
      <c r="N244" s="670" t="e">
        <f t="shared" si="36"/>
        <v>#DIV/0!</v>
      </c>
      <c r="O244" s="670" t="e">
        <f t="shared" si="34"/>
        <v>#DIV/0!</v>
      </c>
      <c r="P244" s="943">
        <f t="shared" si="35"/>
        <v>43.075</v>
      </c>
    </row>
    <row r="245" spans="1:16">
      <c r="A245" s="684">
        <f t="shared" si="38"/>
        <v>44440</v>
      </c>
      <c r="B245" s="670">
        <v>352.77</v>
      </c>
      <c r="C245" s="38">
        <v>9469</v>
      </c>
      <c r="D245" s="944">
        <v>209</v>
      </c>
      <c r="E245" s="37">
        <v>0</v>
      </c>
      <c r="F245" s="943">
        <v>0</v>
      </c>
      <c r="G245" s="37">
        <v>3</v>
      </c>
      <c r="H245" s="37">
        <v>0</v>
      </c>
      <c r="I245" s="37">
        <v>0</v>
      </c>
      <c r="J245" s="672">
        <v>0.0221</v>
      </c>
      <c r="K245" s="670">
        <v>1.69</v>
      </c>
      <c r="L245" s="942">
        <f t="shared" si="37"/>
        <v>0</v>
      </c>
      <c r="M245" s="672">
        <f t="shared" si="39"/>
        <v>0</v>
      </c>
      <c r="N245" s="670" t="e">
        <f t="shared" si="36"/>
        <v>#DIV/0!</v>
      </c>
      <c r="O245" s="670" t="e">
        <f t="shared" si="34"/>
        <v>#DIV/0!</v>
      </c>
      <c r="P245" s="943">
        <f t="shared" si="35"/>
        <v>117.59</v>
      </c>
    </row>
    <row r="246" spans="1:16">
      <c r="A246" s="684">
        <f t="shared" si="38"/>
        <v>44441</v>
      </c>
      <c r="B246" s="670">
        <v>552.93</v>
      </c>
      <c r="C246" s="38">
        <v>16840</v>
      </c>
      <c r="D246" s="944">
        <v>301</v>
      </c>
      <c r="E246" s="37">
        <v>0</v>
      </c>
      <c r="F246" s="943">
        <v>0</v>
      </c>
      <c r="G246" s="37">
        <v>3</v>
      </c>
      <c r="H246" s="37">
        <v>2</v>
      </c>
      <c r="I246" s="37">
        <v>2</v>
      </c>
      <c r="J246" s="672">
        <v>0.0179</v>
      </c>
      <c r="K246" s="670">
        <v>1.84</v>
      </c>
      <c r="L246" s="942">
        <f t="shared" si="37"/>
        <v>0</v>
      </c>
      <c r="M246" s="672">
        <f t="shared" si="39"/>
        <v>0</v>
      </c>
      <c r="N246" s="670" t="e">
        <f t="shared" si="36"/>
        <v>#DIV/0!</v>
      </c>
      <c r="O246" s="670" t="e">
        <f t="shared" si="34"/>
        <v>#DIV/0!</v>
      </c>
      <c r="P246" s="943">
        <f t="shared" si="35"/>
        <v>184.31</v>
      </c>
    </row>
    <row r="247" spans="1:16">
      <c r="A247" s="684">
        <f t="shared" si="38"/>
        <v>44442</v>
      </c>
      <c r="B247" s="670">
        <v>402.05</v>
      </c>
      <c r="C247" s="38">
        <v>11218</v>
      </c>
      <c r="D247" s="944">
        <v>206</v>
      </c>
      <c r="E247" s="37">
        <v>0</v>
      </c>
      <c r="F247" s="943">
        <v>0</v>
      </c>
      <c r="G247" s="37">
        <v>3</v>
      </c>
      <c r="H247" s="37">
        <v>1</v>
      </c>
      <c r="I247" s="37">
        <v>3</v>
      </c>
      <c r="J247" s="672">
        <v>0.0184</v>
      </c>
      <c r="K247" s="670">
        <v>1.95</v>
      </c>
      <c r="L247" s="942">
        <f t="shared" si="37"/>
        <v>0</v>
      </c>
      <c r="M247" s="672">
        <f t="shared" si="39"/>
        <v>0</v>
      </c>
      <c r="N247" s="670" t="e">
        <f t="shared" si="36"/>
        <v>#DIV/0!</v>
      </c>
      <c r="O247" s="670" t="e">
        <f t="shared" si="34"/>
        <v>#DIV/0!</v>
      </c>
      <c r="P247" s="943">
        <f t="shared" si="35"/>
        <v>134.016666666667</v>
      </c>
    </row>
    <row r="248" spans="1:16">
      <c r="A248" s="684">
        <f t="shared" si="38"/>
        <v>44443</v>
      </c>
      <c r="B248" s="670">
        <v>488.52</v>
      </c>
      <c r="C248" s="38">
        <v>10303</v>
      </c>
      <c r="D248" s="944">
        <v>270</v>
      </c>
      <c r="E248" s="37">
        <v>0</v>
      </c>
      <c r="F248" s="943">
        <v>0</v>
      </c>
      <c r="G248" s="37">
        <v>1</v>
      </c>
      <c r="H248" s="37">
        <v>0</v>
      </c>
      <c r="I248" s="37">
        <v>0</v>
      </c>
      <c r="J248" s="672">
        <v>0.0262</v>
      </c>
      <c r="K248" s="670">
        <v>1.81</v>
      </c>
      <c r="L248" s="942">
        <f t="shared" si="37"/>
        <v>0</v>
      </c>
      <c r="M248" s="672">
        <f t="shared" si="39"/>
        <v>0</v>
      </c>
      <c r="N248" s="670" t="e">
        <f t="shared" si="36"/>
        <v>#DIV/0!</v>
      </c>
      <c r="O248" s="670" t="e">
        <f t="shared" si="34"/>
        <v>#DIV/0!</v>
      </c>
      <c r="P248" s="943">
        <f t="shared" si="35"/>
        <v>488.52</v>
      </c>
    </row>
    <row r="249" spans="1:16">
      <c r="A249" s="684">
        <f t="shared" si="38"/>
        <v>44444</v>
      </c>
      <c r="B249" s="670">
        <v>574.73</v>
      </c>
      <c r="C249" s="38">
        <v>8809</v>
      </c>
      <c r="D249" s="944">
        <v>290</v>
      </c>
      <c r="E249" s="37">
        <v>0</v>
      </c>
      <c r="F249" s="943">
        <v>0</v>
      </c>
      <c r="G249" s="37">
        <v>7</v>
      </c>
      <c r="H249" s="37">
        <v>1</v>
      </c>
      <c r="I249" s="37">
        <v>0</v>
      </c>
      <c r="J249" s="672">
        <v>0.0329</v>
      </c>
      <c r="K249" s="670">
        <v>1.98</v>
      </c>
      <c r="L249" s="942">
        <f t="shared" si="37"/>
        <v>0</v>
      </c>
      <c r="M249" s="672">
        <f t="shared" si="39"/>
        <v>0</v>
      </c>
      <c r="N249" s="670" t="e">
        <f t="shared" si="36"/>
        <v>#DIV/0!</v>
      </c>
      <c r="O249" s="670" t="e">
        <f t="shared" si="34"/>
        <v>#DIV/0!</v>
      </c>
      <c r="P249" s="943">
        <f t="shared" si="35"/>
        <v>82.1042857142857</v>
      </c>
    </row>
    <row r="250" spans="1:16">
      <c r="A250" s="684">
        <f t="shared" si="38"/>
        <v>44445</v>
      </c>
      <c r="B250" s="670">
        <v>384.9</v>
      </c>
      <c r="C250" s="38">
        <v>6944</v>
      </c>
      <c r="D250" s="944">
        <v>202</v>
      </c>
      <c r="E250" s="37">
        <v>0</v>
      </c>
      <c r="F250" s="943">
        <v>0</v>
      </c>
      <c r="G250" s="37">
        <v>5</v>
      </c>
      <c r="H250" s="37">
        <v>2</v>
      </c>
      <c r="I250" s="37">
        <v>0</v>
      </c>
      <c r="J250" s="672">
        <v>0.0291</v>
      </c>
      <c r="K250" s="670">
        <v>1.91</v>
      </c>
      <c r="L250" s="942">
        <f t="shared" si="37"/>
        <v>0</v>
      </c>
      <c r="M250" s="672">
        <f t="shared" si="39"/>
        <v>0</v>
      </c>
      <c r="N250" s="670" t="e">
        <f t="shared" si="36"/>
        <v>#DIV/0!</v>
      </c>
      <c r="O250" s="670" t="e">
        <f t="shared" si="34"/>
        <v>#DIV/0!</v>
      </c>
      <c r="P250" s="943">
        <f t="shared" si="35"/>
        <v>76.98</v>
      </c>
    </row>
    <row r="251" spans="1:16">
      <c r="A251" s="684">
        <f t="shared" si="38"/>
        <v>44446</v>
      </c>
      <c r="B251" s="670">
        <v>43.8</v>
      </c>
      <c r="C251" s="38">
        <v>1242</v>
      </c>
      <c r="D251" s="944">
        <v>29</v>
      </c>
      <c r="E251" s="37">
        <v>0</v>
      </c>
      <c r="F251" s="943">
        <v>0</v>
      </c>
      <c r="G251" s="37">
        <v>0</v>
      </c>
      <c r="H251" s="37">
        <v>0</v>
      </c>
      <c r="I251" s="37">
        <v>0</v>
      </c>
      <c r="J251" s="672">
        <v>0.0233</v>
      </c>
      <c r="K251" s="670">
        <v>1.51</v>
      </c>
      <c r="L251" s="942">
        <f t="shared" si="37"/>
        <v>0</v>
      </c>
      <c r="M251" s="672">
        <f t="shared" si="39"/>
        <v>0</v>
      </c>
      <c r="N251" s="670" t="e">
        <f t="shared" ref="N251:N262" si="40">F251/E251</f>
        <v>#DIV/0!</v>
      </c>
      <c r="O251" s="670" t="e">
        <f t="shared" ref="O251:O262" si="41">B251/E251</f>
        <v>#DIV/0!</v>
      </c>
      <c r="P251" s="943" t="e">
        <f t="shared" si="35"/>
        <v>#DIV/0!</v>
      </c>
    </row>
    <row r="252" spans="1:16">
      <c r="A252" s="684">
        <f t="shared" si="38"/>
        <v>44447</v>
      </c>
      <c r="B252" s="670" t="s">
        <v>18</v>
      </c>
      <c r="C252" s="41" t="s">
        <v>18</v>
      </c>
      <c r="D252" s="41" t="s">
        <v>18</v>
      </c>
      <c r="E252" s="41" t="s">
        <v>18</v>
      </c>
      <c r="F252" s="670" t="s">
        <v>18</v>
      </c>
      <c r="G252" s="41" t="s">
        <v>18</v>
      </c>
      <c r="H252" s="41" t="s">
        <v>18</v>
      </c>
      <c r="I252" s="41" t="s">
        <v>18</v>
      </c>
      <c r="J252" s="41" t="s">
        <v>18</v>
      </c>
      <c r="K252" s="670" t="s">
        <v>18</v>
      </c>
      <c r="L252" s="942" t="e">
        <f t="shared" si="37"/>
        <v>#VALUE!</v>
      </c>
      <c r="M252" s="672" t="e">
        <f t="shared" si="39"/>
        <v>#VALUE!</v>
      </c>
      <c r="N252" s="670" t="e">
        <f t="shared" si="40"/>
        <v>#VALUE!</v>
      </c>
      <c r="O252" s="670" t="e">
        <f t="shared" si="41"/>
        <v>#VALUE!</v>
      </c>
      <c r="P252" s="943" t="e">
        <f t="shared" si="35"/>
        <v>#VALUE!</v>
      </c>
    </row>
    <row r="253" spans="1:16">
      <c r="A253" s="684">
        <f t="shared" si="38"/>
        <v>44448</v>
      </c>
      <c r="B253" s="670">
        <v>299.88</v>
      </c>
      <c r="C253" s="38">
        <v>4340</v>
      </c>
      <c r="D253" s="944">
        <v>136</v>
      </c>
      <c r="E253" s="37">
        <v>1</v>
      </c>
      <c r="F253" s="943">
        <v>0.01</v>
      </c>
      <c r="G253" s="37">
        <v>3</v>
      </c>
      <c r="H253" s="37">
        <v>2</v>
      </c>
      <c r="I253" s="37">
        <v>1</v>
      </c>
      <c r="J253" s="672">
        <v>0.0313</v>
      </c>
      <c r="K253" s="670">
        <v>2.21</v>
      </c>
      <c r="L253" s="942">
        <f t="shared" si="37"/>
        <v>3.33466720021342e-5</v>
      </c>
      <c r="M253" s="672">
        <f t="shared" si="39"/>
        <v>0.00735294117647059</v>
      </c>
      <c r="N253" s="670">
        <f t="shared" si="40"/>
        <v>0.01</v>
      </c>
      <c r="O253" s="670">
        <f t="shared" si="41"/>
        <v>299.88</v>
      </c>
      <c r="P253" s="943">
        <f t="shared" ref="P253:P262" si="42">B253/G253</f>
        <v>99.96</v>
      </c>
    </row>
    <row r="254" spans="1:16">
      <c r="A254" s="684">
        <f t="shared" si="38"/>
        <v>44449</v>
      </c>
      <c r="B254" s="670">
        <v>342.66</v>
      </c>
      <c r="C254" s="38">
        <v>3888</v>
      </c>
      <c r="D254" s="944">
        <v>188</v>
      </c>
      <c r="E254" s="37">
        <v>0</v>
      </c>
      <c r="F254" s="943">
        <v>0</v>
      </c>
      <c r="G254" s="37">
        <v>1</v>
      </c>
      <c r="H254" s="37">
        <v>2</v>
      </c>
      <c r="I254" s="37">
        <v>0</v>
      </c>
      <c r="J254" s="672">
        <v>0.0484</v>
      </c>
      <c r="K254" s="670">
        <v>1.82</v>
      </c>
      <c r="L254" s="942">
        <f t="shared" si="37"/>
        <v>0</v>
      </c>
      <c r="M254" s="672">
        <f t="shared" si="39"/>
        <v>0</v>
      </c>
      <c r="N254" s="670" t="e">
        <f t="shared" si="40"/>
        <v>#DIV/0!</v>
      </c>
      <c r="O254" s="670" t="e">
        <f t="shared" si="41"/>
        <v>#DIV/0!</v>
      </c>
      <c r="P254" s="943">
        <f t="shared" si="42"/>
        <v>342.66</v>
      </c>
    </row>
    <row r="255" spans="1:16">
      <c r="A255" s="684">
        <f t="shared" si="38"/>
        <v>44450</v>
      </c>
      <c r="B255" s="670" t="s">
        <v>18</v>
      </c>
      <c r="C255" s="38"/>
      <c r="D255" s="944"/>
      <c r="F255" s="943"/>
      <c r="K255" s="670"/>
      <c r="L255" s="942" t="e">
        <f t="shared" si="37"/>
        <v>#VALUE!</v>
      </c>
      <c r="M255" s="672" t="e">
        <f t="shared" si="39"/>
        <v>#DIV/0!</v>
      </c>
      <c r="N255" s="670" t="e">
        <f t="shared" si="40"/>
        <v>#DIV/0!</v>
      </c>
      <c r="O255" s="670" t="e">
        <f t="shared" si="41"/>
        <v>#VALUE!</v>
      </c>
      <c r="P255" s="943" t="e">
        <f t="shared" si="42"/>
        <v>#VALUE!</v>
      </c>
    </row>
    <row r="256" spans="1:16">
      <c r="A256" s="684">
        <f t="shared" si="38"/>
        <v>44451</v>
      </c>
      <c r="B256" s="670">
        <v>292.34</v>
      </c>
      <c r="C256" s="38">
        <v>3886</v>
      </c>
      <c r="D256" s="944">
        <v>196</v>
      </c>
      <c r="E256" s="37">
        <v>0</v>
      </c>
      <c r="F256" s="943">
        <v>0</v>
      </c>
      <c r="G256" s="37">
        <v>3</v>
      </c>
      <c r="H256" s="37">
        <v>1</v>
      </c>
      <c r="I256" s="37">
        <v>0</v>
      </c>
      <c r="J256" s="672">
        <v>0.0504</v>
      </c>
      <c r="K256" s="670">
        <v>1.49</v>
      </c>
      <c r="L256" s="942">
        <f t="shared" si="37"/>
        <v>0</v>
      </c>
      <c r="M256" s="672">
        <f t="shared" si="39"/>
        <v>0</v>
      </c>
      <c r="N256" s="670" t="e">
        <f t="shared" si="40"/>
        <v>#DIV/0!</v>
      </c>
      <c r="O256" s="670" t="e">
        <f t="shared" si="41"/>
        <v>#DIV/0!</v>
      </c>
      <c r="P256" s="943">
        <f t="shared" si="42"/>
        <v>97.4466666666667</v>
      </c>
    </row>
    <row r="257" spans="1:16">
      <c r="A257" s="684">
        <f t="shared" si="38"/>
        <v>44452</v>
      </c>
      <c r="B257" s="670">
        <v>300</v>
      </c>
      <c r="C257" s="38">
        <v>3456</v>
      </c>
      <c r="D257" s="944">
        <v>145</v>
      </c>
      <c r="E257" s="37">
        <v>0</v>
      </c>
      <c r="F257" s="943">
        <v>0</v>
      </c>
      <c r="G257" s="37">
        <v>1</v>
      </c>
      <c r="H257" s="37">
        <v>0</v>
      </c>
      <c r="I257" s="37">
        <v>0</v>
      </c>
      <c r="J257" s="672">
        <v>0.042</v>
      </c>
      <c r="K257" s="670">
        <v>2.07</v>
      </c>
      <c r="L257" s="942">
        <f t="shared" si="37"/>
        <v>0</v>
      </c>
      <c r="M257" s="672">
        <f t="shared" si="39"/>
        <v>0</v>
      </c>
      <c r="N257" s="670" t="e">
        <f t="shared" si="40"/>
        <v>#DIV/0!</v>
      </c>
      <c r="O257" s="670" t="e">
        <f t="shared" si="41"/>
        <v>#DIV/0!</v>
      </c>
      <c r="P257" s="943">
        <f t="shared" si="42"/>
        <v>300</v>
      </c>
    </row>
    <row r="258" spans="1:16">
      <c r="A258" s="684">
        <f t="shared" si="38"/>
        <v>44453</v>
      </c>
      <c r="B258" s="670">
        <v>291.21</v>
      </c>
      <c r="C258" s="38">
        <v>4642</v>
      </c>
      <c r="D258" s="944">
        <v>160</v>
      </c>
      <c r="E258" s="37">
        <v>0</v>
      </c>
      <c r="F258" s="943">
        <v>0</v>
      </c>
      <c r="G258" s="37">
        <v>3</v>
      </c>
      <c r="H258" s="37">
        <v>1</v>
      </c>
      <c r="I258" s="37">
        <v>3</v>
      </c>
      <c r="J258" s="672">
        <v>0.0345</v>
      </c>
      <c r="K258" s="670">
        <v>1.82</v>
      </c>
      <c r="L258" s="942">
        <f t="shared" si="37"/>
        <v>0</v>
      </c>
      <c r="M258" s="672">
        <f t="shared" si="39"/>
        <v>0</v>
      </c>
      <c r="N258" s="670" t="e">
        <f t="shared" si="40"/>
        <v>#DIV/0!</v>
      </c>
      <c r="O258" s="670" t="e">
        <f t="shared" si="41"/>
        <v>#DIV/0!</v>
      </c>
      <c r="P258" s="943">
        <f t="shared" si="42"/>
        <v>97.07</v>
      </c>
    </row>
    <row r="259" spans="1:16">
      <c r="A259" s="684">
        <f t="shared" si="38"/>
        <v>44454</v>
      </c>
      <c r="B259" s="670">
        <v>299.35</v>
      </c>
      <c r="C259" s="38">
        <v>6187</v>
      </c>
      <c r="D259" s="944">
        <v>149</v>
      </c>
      <c r="E259" s="37">
        <v>0</v>
      </c>
      <c r="F259" s="943">
        <v>0</v>
      </c>
      <c r="G259" s="37">
        <v>3</v>
      </c>
      <c r="H259" s="37">
        <v>0</v>
      </c>
      <c r="I259" s="37">
        <v>1</v>
      </c>
      <c r="J259" s="672">
        <v>0.0241</v>
      </c>
      <c r="K259" s="670">
        <v>2.01</v>
      </c>
      <c r="L259" s="942">
        <f t="shared" si="37"/>
        <v>0</v>
      </c>
      <c r="M259" s="672">
        <f t="shared" si="39"/>
        <v>0</v>
      </c>
      <c r="N259" s="670" t="e">
        <f t="shared" si="40"/>
        <v>#DIV/0!</v>
      </c>
      <c r="O259" s="670" t="e">
        <f t="shared" si="41"/>
        <v>#DIV/0!</v>
      </c>
      <c r="P259" s="943">
        <f t="shared" si="42"/>
        <v>99.7833333333333</v>
      </c>
    </row>
    <row r="260" spans="1:16">
      <c r="A260" s="684">
        <f t="shared" si="38"/>
        <v>44455</v>
      </c>
      <c r="B260" s="670">
        <v>300</v>
      </c>
      <c r="C260" s="38">
        <v>5595</v>
      </c>
      <c r="D260" s="944">
        <v>115</v>
      </c>
      <c r="E260" s="37">
        <v>0</v>
      </c>
      <c r="F260" s="943">
        <v>0</v>
      </c>
      <c r="G260" s="37">
        <v>2</v>
      </c>
      <c r="H260" s="37">
        <v>0</v>
      </c>
      <c r="I260" s="37">
        <v>0</v>
      </c>
      <c r="J260" s="672">
        <v>0.0206</v>
      </c>
      <c r="K260" s="670">
        <v>2.61</v>
      </c>
      <c r="L260" s="942">
        <f t="shared" si="37"/>
        <v>0</v>
      </c>
      <c r="M260" s="672">
        <f t="shared" si="39"/>
        <v>0</v>
      </c>
      <c r="N260" s="670" t="e">
        <f t="shared" si="40"/>
        <v>#DIV/0!</v>
      </c>
      <c r="O260" s="670" t="e">
        <f t="shared" si="41"/>
        <v>#DIV/0!</v>
      </c>
      <c r="P260" s="943">
        <f t="shared" si="42"/>
        <v>150</v>
      </c>
    </row>
    <row r="261" spans="1:16">
      <c r="A261" s="684">
        <f t="shared" si="38"/>
        <v>44456</v>
      </c>
      <c r="B261" s="670">
        <v>293.98</v>
      </c>
      <c r="C261" s="38">
        <v>4144</v>
      </c>
      <c r="D261" s="944">
        <v>148</v>
      </c>
      <c r="E261" s="37">
        <v>0</v>
      </c>
      <c r="F261" s="943">
        <v>0</v>
      </c>
      <c r="G261" s="37">
        <v>2</v>
      </c>
      <c r="H261" s="37">
        <v>1</v>
      </c>
      <c r="I261" s="37">
        <v>1</v>
      </c>
      <c r="J261" s="672">
        <v>0.0357</v>
      </c>
      <c r="K261" s="670">
        <v>1.99</v>
      </c>
      <c r="L261" s="942">
        <f t="shared" si="37"/>
        <v>0</v>
      </c>
      <c r="M261" s="672">
        <f t="shared" si="39"/>
        <v>0</v>
      </c>
      <c r="N261" s="670" t="e">
        <f t="shared" si="40"/>
        <v>#DIV/0!</v>
      </c>
      <c r="O261" s="670" t="e">
        <f t="shared" si="41"/>
        <v>#DIV/0!</v>
      </c>
      <c r="P261" s="943">
        <f t="shared" si="42"/>
        <v>146.99</v>
      </c>
    </row>
    <row r="262" spans="1:16">
      <c r="A262" s="684">
        <f t="shared" si="38"/>
        <v>44457</v>
      </c>
      <c r="B262" s="670">
        <v>297.31</v>
      </c>
      <c r="C262" s="38">
        <v>4038</v>
      </c>
      <c r="D262" s="944">
        <v>148</v>
      </c>
      <c r="E262" s="37">
        <v>0</v>
      </c>
      <c r="F262" s="943">
        <v>0</v>
      </c>
      <c r="G262" s="37">
        <v>0</v>
      </c>
      <c r="H262" s="37">
        <v>1</v>
      </c>
      <c r="I262" s="37">
        <v>1</v>
      </c>
      <c r="J262" s="672">
        <v>0.0367</v>
      </c>
      <c r="K262" s="670">
        <v>2.01</v>
      </c>
      <c r="L262" s="942">
        <f t="shared" si="37"/>
        <v>0</v>
      </c>
      <c r="M262" s="672">
        <f t="shared" si="39"/>
        <v>0</v>
      </c>
      <c r="N262" s="670" t="e">
        <f t="shared" si="40"/>
        <v>#DIV/0!</v>
      </c>
      <c r="O262" s="670" t="e">
        <f t="shared" si="41"/>
        <v>#DIV/0!</v>
      </c>
      <c r="P262" s="943" t="e">
        <f t="shared" si="42"/>
        <v>#DIV/0!</v>
      </c>
    </row>
    <row r="263" spans="1:16">
      <c r="A263" s="684">
        <f t="shared" si="38"/>
        <v>44458</v>
      </c>
      <c r="B263" s="670">
        <v>300</v>
      </c>
      <c r="C263" s="38">
        <v>4311</v>
      </c>
      <c r="D263" s="944">
        <v>151</v>
      </c>
      <c r="E263" s="37">
        <v>0</v>
      </c>
      <c r="F263" s="943">
        <v>0</v>
      </c>
      <c r="G263" s="37">
        <v>2</v>
      </c>
      <c r="H263" s="37">
        <v>0</v>
      </c>
      <c r="I263" s="37">
        <v>0</v>
      </c>
      <c r="J263" s="672">
        <v>0.035</v>
      </c>
      <c r="K263" s="670">
        <v>1.99</v>
      </c>
      <c r="L263" s="942">
        <f t="shared" si="37"/>
        <v>0</v>
      </c>
      <c r="M263" s="672">
        <f t="shared" si="39"/>
        <v>0</v>
      </c>
      <c r="N263" s="670" t="e">
        <f t="shared" ref="N263:N289" si="43">F263/E263</f>
        <v>#DIV/0!</v>
      </c>
      <c r="O263" s="670" t="e">
        <f t="shared" ref="O263:O289" si="44">B263/E263</f>
        <v>#DIV/0!</v>
      </c>
      <c r="P263" s="943">
        <f t="shared" ref="P263:P289" si="45">B263/G263</f>
        <v>150</v>
      </c>
    </row>
    <row r="264" spans="1:16">
      <c r="A264" s="684">
        <f t="shared" si="38"/>
        <v>44459</v>
      </c>
      <c r="B264" s="670">
        <v>300</v>
      </c>
      <c r="C264" s="38">
        <v>3946</v>
      </c>
      <c r="D264" s="944">
        <v>149</v>
      </c>
      <c r="E264" s="37">
        <v>0</v>
      </c>
      <c r="F264" s="943">
        <v>0</v>
      </c>
      <c r="G264" s="37">
        <v>3</v>
      </c>
      <c r="H264" s="37">
        <v>0</v>
      </c>
      <c r="I264" s="37">
        <v>0</v>
      </c>
      <c r="J264" s="672">
        <v>0.0378</v>
      </c>
      <c r="K264" s="670">
        <v>2.01</v>
      </c>
      <c r="L264" s="942">
        <f t="shared" si="37"/>
        <v>0</v>
      </c>
      <c r="M264" s="672">
        <f t="shared" si="39"/>
        <v>0</v>
      </c>
      <c r="N264" s="670" t="e">
        <f t="shared" si="43"/>
        <v>#DIV/0!</v>
      </c>
      <c r="O264" s="670" t="e">
        <f t="shared" si="44"/>
        <v>#DIV/0!</v>
      </c>
      <c r="P264" s="943">
        <f t="shared" si="45"/>
        <v>100</v>
      </c>
    </row>
    <row r="265" spans="1:16">
      <c r="A265" s="684">
        <f t="shared" si="38"/>
        <v>44460</v>
      </c>
      <c r="B265" s="670">
        <v>300</v>
      </c>
      <c r="C265" s="38">
        <v>3970</v>
      </c>
      <c r="D265" s="944">
        <v>155</v>
      </c>
      <c r="E265" s="37">
        <v>0</v>
      </c>
      <c r="F265" s="943">
        <v>0</v>
      </c>
      <c r="G265" s="37">
        <v>6</v>
      </c>
      <c r="H265" s="37">
        <v>2</v>
      </c>
      <c r="I265" s="37">
        <v>0</v>
      </c>
      <c r="J265" s="672">
        <v>0.039</v>
      </c>
      <c r="K265" s="670">
        <v>1.94</v>
      </c>
      <c r="L265" s="942">
        <f t="shared" si="37"/>
        <v>0</v>
      </c>
      <c r="M265" s="672">
        <f t="shared" si="39"/>
        <v>0</v>
      </c>
      <c r="N265" s="670" t="e">
        <f t="shared" si="43"/>
        <v>#DIV/0!</v>
      </c>
      <c r="O265" s="670" t="e">
        <f t="shared" si="44"/>
        <v>#DIV/0!</v>
      </c>
      <c r="P265" s="943">
        <f t="shared" si="45"/>
        <v>50</v>
      </c>
    </row>
    <row r="266" spans="1:16">
      <c r="A266" s="684">
        <f t="shared" si="38"/>
        <v>44461</v>
      </c>
      <c r="B266" s="670">
        <v>300</v>
      </c>
      <c r="C266" s="38">
        <v>5382</v>
      </c>
      <c r="D266" s="944">
        <v>167</v>
      </c>
      <c r="E266" s="37">
        <v>0</v>
      </c>
      <c r="F266" s="943">
        <v>0</v>
      </c>
      <c r="G266" s="37">
        <v>1</v>
      </c>
      <c r="H266" s="37">
        <v>2</v>
      </c>
      <c r="I266" s="37">
        <v>1</v>
      </c>
      <c r="J266" s="672">
        <v>0.031</v>
      </c>
      <c r="K266" s="670">
        <v>1.8</v>
      </c>
      <c r="L266" s="942">
        <f t="shared" si="37"/>
        <v>0</v>
      </c>
      <c r="M266" s="672">
        <f t="shared" si="39"/>
        <v>0</v>
      </c>
      <c r="N266" s="670" t="e">
        <f t="shared" si="43"/>
        <v>#DIV/0!</v>
      </c>
      <c r="O266" s="670" t="e">
        <f t="shared" si="44"/>
        <v>#DIV/0!</v>
      </c>
      <c r="P266" s="943">
        <f t="shared" si="45"/>
        <v>300</v>
      </c>
    </row>
    <row r="267" spans="1:16">
      <c r="A267" s="684">
        <f t="shared" si="38"/>
        <v>44462</v>
      </c>
      <c r="B267" s="670">
        <v>300</v>
      </c>
      <c r="C267" s="38">
        <v>5078</v>
      </c>
      <c r="D267" s="944">
        <v>164</v>
      </c>
      <c r="E267" s="37">
        <v>0</v>
      </c>
      <c r="F267" s="943">
        <v>0</v>
      </c>
      <c r="G267" s="37">
        <v>0</v>
      </c>
      <c r="H267" s="37">
        <v>1</v>
      </c>
      <c r="I267" s="37">
        <v>0</v>
      </c>
      <c r="J267" s="672">
        <v>0.0323</v>
      </c>
      <c r="K267" s="670">
        <v>1.83</v>
      </c>
      <c r="L267" s="942">
        <f t="shared" si="37"/>
        <v>0</v>
      </c>
      <c r="M267" s="672">
        <f t="shared" si="39"/>
        <v>0</v>
      </c>
      <c r="N267" s="670" t="e">
        <f t="shared" si="43"/>
        <v>#DIV/0!</v>
      </c>
      <c r="O267" s="670" t="e">
        <f t="shared" si="44"/>
        <v>#DIV/0!</v>
      </c>
      <c r="P267" s="943" t="e">
        <f t="shared" si="45"/>
        <v>#DIV/0!</v>
      </c>
    </row>
    <row r="268" spans="1:16">
      <c r="A268" s="684">
        <f t="shared" si="38"/>
        <v>44463</v>
      </c>
      <c r="B268" s="670">
        <v>300</v>
      </c>
      <c r="C268" s="38">
        <v>4716</v>
      </c>
      <c r="D268" s="944">
        <v>150</v>
      </c>
      <c r="E268" s="37">
        <v>1</v>
      </c>
      <c r="F268" s="943">
        <v>0.01</v>
      </c>
      <c r="G268" s="37">
        <v>2</v>
      </c>
      <c r="H268" s="37">
        <v>0</v>
      </c>
      <c r="I268" s="37">
        <v>2</v>
      </c>
      <c r="J268" s="672">
        <v>0.0359</v>
      </c>
      <c r="K268" s="670">
        <v>2</v>
      </c>
      <c r="L268" s="942">
        <f t="shared" si="37"/>
        <v>3.33333333333333e-5</v>
      </c>
      <c r="M268" s="672">
        <f t="shared" si="39"/>
        <v>0.00666666666666667</v>
      </c>
      <c r="N268" s="670">
        <f t="shared" si="43"/>
        <v>0.01</v>
      </c>
      <c r="O268" s="670">
        <f t="shared" si="44"/>
        <v>300</v>
      </c>
      <c r="P268" s="943">
        <f t="shared" si="45"/>
        <v>150</v>
      </c>
    </row>
    <row r="269" spans="1:16">
      <c r="A269" s="684">
        <f t="shared" si="38"/>
        <v>44464</v>
      </c>
      <c r="B269" s="670">
        <v>300</v>
      </c>
      <c r="C269" s="38">
        <v>5464</v>
      </c>
      <c r="D269" s="944">
        <v>195</v>
      </c>
      <c r="E269" s="37">
        <v>0</v>
      </c>
      <c r="F269" s="943">
        <v>0</v>
      </c>
      <c r="G269" s="37">
        <v>4</v>
      </c>
      <c r="H269" s="37">
        <v>1</v>
      </c>
      <c r="I269" s="37">
        <v>0</v>
      </c>
      <c r="J269" s="672">
        <v>0.0357</v>
      </c>
      <c r="K269" s="670">
        <v>2.54</v>
      </c>
      <c r="L269" s="942">
        <f t="shared" si="37"/>
        <v>0</v>
      </c>
      <c r="M269" s="672">
        <f t="shared" si="39"/>
        <v>0</v>
      </c>
      <c r="N269" s="670" t="e">
        <f t="shared" si="43"/>
        <v>#DIV/0!</v>
      </c>
      <c r="O269" s="670" t="e">
        <f t="shared" si="44"/>
        <v>#DIV/0!</v>
      </c>
      <c r="P269" s="943">
        <f t="shared" si="45"/>
        <v>75</v>
      </c>
    </row>
    <row r="270" spans="1:16">
      <c r="A270" s="684">
        <f t="shared" si="38"/>
        <v>44465</v>
      </c>
      <c r="B270" s="670">
        <v>300</v>
      </c>
      <c r="C270" s="38">
        <v>5927</v>
      </c>
      <c r="D270" s="944">
        <v>175</v>
      </c>
      <c r="E270" s="37">
        <v>0</v>
      </c>
      <c r="F270" s="943">
        <v>0</v>
      </c>
      <c r="G270" s="37">
        <v>2</v>
      </c>
      <c r="H270" s="37">
        <v>0</v>
      </c>
      <c r="I270" s="37">
        <v>2</v>
      </c>
      <c r="J270" s="672">
        <v>0.0295</v>
      </c>
      <c r="K270" s="670">
        <v>1.71</v>
      </c>
      <c r="L270" s="942">
        <f t="shared" si="37"/>
        <v>0</v>
      </c>
      <c r="M270" s="672">
        <f t="shared" si="39"/>
        <v>0</v>
      </c>
      <c r="N270" s="670" t="e">
        <f t="shared" si="43"/>
        <v>#DIV/0!</v>
      </c>
      <c r="O270" s="670" t="e">
        <f t="shared" si="44"/>
        <v>#DIV/0!</v>
      </c>
      <c r="P270" s="943">
        <f t="shared" si="45"/>
        <v>150</v>
      </c>
    </row>
    <row r="271" spans="1:16">
      <c r="A271" s="684">
        <f t="shared" si="38"/>
        <v>44466</v>
      </c>
      <c r="B271" s="670">
        <v>298.94</v>
      </c>
      <c r="C271" s="38">
        <v>6005</v>
      </c>
      <c r="D271" s="944">
        <v>197</v>
      </c>
      <c r="E271" s="37">
        <v>0</v>
      </c>
      <c r="F271" s="943">
        <v>0</v>
      </c>
      <c r="G271" s="37">
        <v>5</v>
      </c>
      <c r="H271" s="37">
        <v>1</v>
      </c>
      <c r="I271" s="37">
        <v>0</v>
      </c>
      <c r="J271" s="672">
        <v>0.0328</v>
      </c>
      <c r="K271" s="670">
        <v>1.52</v>
      </c>
      <c r="L271" s="942">
        <f t="shared" si="37"/>
        <v>0</v>
      </c>
      <c r="M271" s="672">
        <f t="shared" si="39"/>
        <v>0</v>
      </c>
      <c r="N271" s="670" t="e">
        <f t="shared" si="43"/>
        <v>#DIV/0!</v>
      </c>
      <c r="O271" s="670" t="e">
        <f t="shared" si="44"/>
        <v>#DIV/0!</v>
      </c>
      <c r="P271" s="943">
        <f t="shared" si="45"/>
        <v>59.788</v>
      </c>
    </row>
    <row r="272" spans="1:16">
      <c r="A272" s="684">
        <f t="shared" si="38"/>
        <v>44467</v>
      </c>
      <c r="B272" s="670">
        <v>300</v>
      </c>
      <c r="C272" s="38">
        <v>6094</v>
      </c>
      <c r="D272" s="944">
        <v>177</v>
      </c>
      <c r="E272" s="37">
        <v>0</v>
      </c>
      <c r="F272" s="943">
        <v>0</v>
      </c>
      <c r="G272" s="37">
        <v>2</v>
      </c>
      <c r="H272" s="37">
        <v>1</v>
      </c>
      <c r="I272" s="37">
        <v>3</v>
      </c>
      <c r="J272" s="672">
        <v>0.029</v>
      </c>
      <c r="K272" s="670">
        <v>1.69</v>
      </c>
      <c r="L272" s="942">
        <f t="shared" si="37"/>
        <v>0</v>
      </c>
      <c r="M272" s="672">
        <f t="shared" si="39"/>
        <v>0</v>
      </c>
      <c r="N272" s="670" t="e">
        <f t="shared" si="43"/>
        <v>#DIV/0!</v>
      </c>
      <c r="O272" s="670" t="e">
        <f t="shared" si="44"/>
        <v>#DIV/0!</v>
      </c>
      <c r="P272" s="943">
        <f t="shared" si="45"/>
        <v>150</v>
      </c>
    </row>
    <row r="273" spans="1:16">
      <c r="A273" s="684">
        <f t="shared" ref="A273:A336" si="46">A272+1</f>
        <v>44468</v>
      </c>
      <c r="B273" s="670">
        <v>389.38</v>
      </c>
      <c r="C273" s="38">
        <v>8361</v>
      </c>
      <c r="D273" s="944">
        <v>259</v>
      </c>
      <c r="E273" s="37">
        <v>0</v>
      </c>
      <c r="F273" s="943">
        <v>0</v>
      </c>
      <c r="G273" s="37">
        <v>6</v>
      </c>
      <c r="H273" s="37">
        <v>1</v>
      </c>
      <c r="I273" s="37">
        <v>1</v>
      </c>
      <c r="J273" s="672">
        <v>0.031</v>
      </c>
      <c r="K273" s="670">
        <v>1.5</v>
      </c>
      <c r="L273" s="942">
        <f t="shared" si="37"/>
        <v>0</v>
      </c>
      <c r="M273" s="672">
        <f t="shared" si="39"/>
        <v>0</v>
      </c>
      <c r="N273" s="670" t="e">
        <f t="shared" si="43"/>
        <v>#DIV/0!</v>
      </c>
      <c r="O273" s="670" t="e">
        <f t="shared" si="44"/>
        <v>#DIV/0!</v>
      </c>
      <c r="P273" s="943">
        <f t="shared" si="45"/>
        <v>64.8966666666667</v>
      </c>
    </row>
    <row r="274" spans="1:16">
      <c r="A274" s="684">
        <f t="shared" si="46"/>
        <v>44469</v>
      </c>
      <c r="B274" s="670">
        <v>448.56</v>
      </c>
      <c r="C274" s="38">
        <v>6639</v>
      </c>
      <c r="D274" s="944">
        <v>260</v>
      </c>
      <c r="E274" s="37">
        <v>0</v>
      </c>
      <c r="F274" s="943">
        <v>0</v>
      </c>
      <c r="G274" s="37">
        <v>0</v>
      </c>
      <c r="H274" s="37">
        <v>1</v>
      </c>
      <c r="I274" s="37">
        <v>2</v>
      </c>
      <c r="J274" s="672">
        <v>0.0392</v>
      </c>
      <c r="K274" s="670">
        <v>1.73</v>
      </c>
      <c r="L274" s="942">
        <f t="shared" si="37"/>
        <v>0</v>
      </c>
      <c r="M274" s="672">
        <f t="shared" si="39"/>
        <v>0</v>
      </c>
      <c r="N274" s="670" t="e">
        <f t="shared" si="43"/>
        <v>#DIV/0!</v>
      </c>
      <c r="O274" s="670" t="e">
        <f t="shared" si="44"/>
        <v>#DIV/0!</v>
      </c>
      <c r="P274" s="943" t="e">
        <f t="shared" si="45"/>
        <v>#DIV/0!</v>
      </c>
    </row>
    <row r="275" spans="1:16">
      <c r="A275" s="684">
        <f t="shared" si="46"/>
        <v>44470</v>
      </c>
      <c r="B275" s="670">
        <v>445.52</v>
      </c>
      <c r="C275" s="38">
        <v>7050</v>
      </c>
      <c r="D275" s="944">
        <v>260</v>
      </c>
      <c r="E275" s="37">
        <v>0</v>
      </c>
      <c r="F275" s="943">
        <v>0</v>
      </c>
      <c r="G275" s="37">
        <v>6</v>
      </c>
      <c r="H275" s="37">
        <v>3</v>
      </c>
      <c r="I275" s="37">
        <v>1</v>
      </c>
      <c r="J275" s="672">
        <v>0.0369</v>
      </c>
      <c r="K275" s="670">
        <v>1.71</v>
      </c>
      <c r="L275" s="942">
        <f t="shared" si="37"/>
        <v>0</v>
      </c>
      <c r="M275" s="672">
        <f t="shared" si="39"/>
        <v>0</v>
      </c>
      <c r="N275" s="670" t="e">
        <f t="shared" si="43"/>
        <v>#DIV/0!</v>
      </c>
      <c r="O275" s="670" t="e">
        <f t="shared" si="44"/>
        <v>#DIV/0!</v>
      </c>
      <c r="P275" s="943">
        <f t="shared" si="45"/>
        <v>74.2533333333333</v>
      </c>
    </row>
    <row r="276" spans="1:16">
      <c r="A276" s="684">
        <f t="shared" si="46"/>
        <v>44471</v>
      </c>
      <c r="B276" s="670">
        <v>300</v>
      </c>
      <c r="C276" s="38">
        <v>5685</v>
      </c>
      <c r="D276" s="944">
        <v>219</v>
      </c>
      <c r="E276" s="37">
        <v>0</v>
      </c>
      <c r="F276" s="943">
        <v>0</v>
      </c>
      <c r="G276" s="37">
        <v>4</v>
      </c>
      <c r="H276" s="37">
        <v>0</v>
      </c>
      <c r="I276" s="37">
        <v>1</v>
      </c>
      <c r="J276" s="672">
        <v>0.0385</v>
      </c>
      <c r="K276" s="670">
        <v>1.37</v>
      </c>
      <c r="L276" s="942">
        <f t="shared" si="37"/>
        <v>0</v>
      </c>
      <c r="M276" s="672">
        <f t="shared" si="39"/>
        <v>0</v>
      </c>
      <c r="N276" s="670" t="e">
        <f t="shared" si="43"/>
        <v>#DIV/0!</v>
      </c>
      <c r="O276" s="670" t="e">
        <f t="shared" si="44"/>
        <v>#DIV/0!</v>
      </c>
      <c r="P276" s="943">
        <f t="shared" si="45"/>
        <v>75</v>
      </c>
    </row>
    <row r="277" spans="1:16">
      <c r="A277" s="684">
        <f t="shared" si="46"/>
        <v>44472</v>
      </c>
      <c r="B277" s="670">
        <v>598.7</v>
      </c>
      <c r="C277" s="38">
        <v>8116</v>
      </c>
      <c r="D277" s="944">
        <v>340</v>
      </c>
      <c r="E277" s="37">
        <v>0</v>
      </c>
      <c r="F277" s="943">
        <v>0</v>
      </c>
      <c r="G277" s="37">
        <v>2</v>
      </c>
      <c r="H277" s="37">
        <v>3</v>
      </c>
      <c r="I277" s="37">
        <v>2</v>
      </c>
      <c r="J277" s="672">
        <v>0.0419</v>
      </c>
      <c r="K277" s="670">
        <v>1.76</v>
      </c>
      <c r="L277" s="942">
        <f t="shared" si="37"/>
        <v>0</v>
      </c>
      <c r="M277" s="672">
        <f t="shared" si="39"/>
        <v>0</v>
      </c>
      <c r="N277" s="670" t="e">
        <f t="shared" si="43"/>
        <v>#DIV/0!</v>
      </c>
      <c r="O277" s="670" t="e">
        <f t="shared" si="44"/>
        <v>#DIV/0!</v>
      </c>
      <c r="P277" s="943">
        <f t="shared" si="45"/>
        <v>299.35</v>
      </c>
    </row>
    <row r="278" spans="1:16">
      <c r="A278" s="684">
        <f t="shared" si="46"/>
        <v>44473</v>
      </c>
      <c r="B278" s="670">
        <v>596.88</v>
      </c>
      <c r="C278" s="38">
        <v>8177</v>
      </c>
      <c r="D278" s="944">
        <v>349</v>
      </c>
      <c r="E278" s="37">
        <v>0</v>
      </c>
      <c r="F278" s="943">
        <v>0</v>
      </c>
      <c r="G278" s="37">
        <v>7</v>
      </c>
      <c r="H278" s="37">
        <v>4</v>
      </c>
      <c r="I278" s="37">
        <v>0</v>
      </c>
      <c r="J278" s="672">
        <v>0.0427</v>
      </c>
      <c r="K278" s="670">
        <v>1.71</v>
      </c>
      <c r="L278" s="942">
        <f t="shared" si="37"/>
        <v>0</v>
      </c>
      <c r="M278" s="672">
        <f t="shared" si="39"/>
        <v>0</v>
      </c>
      <c r="N278" s="670" t="e">
        <f t="shared" si="43"/>
        <v>#DIV/0!</v>
      </c>
      <c r="O278" s="670" t="e">
        <f t="shared" si="44"/>
        <v>#DIV/0!</v>
      </c>
      <c r="P278" s="943">
        <f t="shared" si="45"/>
        <v>85.2685714285714</v>
      </c>
    </row>
    <row r="279" spans="1:16">
      <c r="A279" s="684">
        <f t="shared" si="46"/>
        <v>44474</v>
      </c>
      <c r="B279" s="670">
        <v>300</v>
      </c>
      <c r="C279" s="38">
        <v>4078</v>
      </c>
      <c r="D279" s="944">
        <v>161</v>
      </c>
      <c r="E279" s="37">
        <v>1</v>
      </c>
      <c r="F279" s="943">
        <v>0.01</v>
      </c>
      <c r="G279" s="37">
        <v>7</v>
      </c>
      <c r="H279" s="37">
        <v>2</v>
      </c>
      <c r="I279" s="37">
        <v>1</v>
      </c>
      <c r="J279" s="672">
        <v>0.0395</v>
      </c>
      <c r="K279" s="670">
        <v>1.86</v>
      </c>
      <c r="L279" s="942">
        <f t="shared" si="37"/>
        <v>3.33333333333333e-5</v>
      </c>
      <c r="M279" s="672">
        <f t="shared" si="39"/>
        <v>0.0062111801242236</v>
      </c>
      <c r="N279" s="670">
        <f t="shared" si="43"/>
        <v>0.01</v>
      </c>
      <c r="O279" s="670">
        <f t="shared" si="44"/>
        <v>300</v>
      </c>
      <c r="P279" s="943">
        <f t="shared" si="45"/>
        <v>42.8571428571429</v>
      </c>
    </row>
    <row r="280" spans="1:16">
      <c r="A280" s="684">
        <f t="shared" si="46"/>
        <v>44475</v>
      </c>
      <c r="B280" s="670">
        <v>594.92</v>
      </c>
      <c r="C280" s="38">
        <v>7903</v>
      </c>
      <c r="D280" s="944">
        <v>356</v>
      </c>
      <c r="E280" s="37">
        <v>0</v>
      </c>
      <c r="F280" s="943">
        <v>0</v>
      </c>
      <c r="G280" s="37">
        <v>8</v>
      </c>
      <c r="H280" s="37">
        <v>1</v>
      </c>
      <c r="I280" s="37">
        <v>2</v>
      </c>
      <c r="J280" s="672">
        <v>0.045</v>
      </c>
      <c r="K280" s="670">
        <v>1.67</v>
      </c>
      <c r="L280" s="942">
        <f t="shared" si="37"/>
        <v>0</v>
      </c>
      <c r="M280" s="672">
        <f t="shared" si="39"/>
        <v>0</v>
      </c>
      <c r="N280" s="670" t="e">
        <f t="shared" si="43"/>
        <v>#DIV/0!</v>
      </c>
      <c r="O280" s="670" t="e">
        <f t="shared" si="44"/>
        <v>#DIV/0!</v>
      </c>
      <c r="P280" s="943">
        <f t="shared" si="45"/>
        <v>74.365</v>
      </c>
    </row>
    <row r="281" spans="1:16">
      <c r="A281" s="684">
        <f t="shared" si="46"/>
        <v>44476</v>
      </c>
      <c r="B281" s="670">
        <v>591.06</v>
      </c>
      <c r="C281" s="38">
        <v>7942</v>
      </c>
      <c r="D281" s="944">
        <v>358</v>
      </c>
      <c r="E281" s="37">
        <v>0</v>
      </c>
      <c r="F281" s="943">
        <v>0</v>
      </c>
      <c r="G281" s="37">
        <v>7</v>
      </c>
      <c r="H281" s="37">
        <v>3</v>
      </c>
      <c r="I281" s="37">
        <v>1</v>
      </c>
      <c r="J281" s="672">
        <v>0.0451</v>
      </c>
      <c r="K281" s="670">
        <v>1.65</v>
      </c>
      <c r="L281" s="942">
        <f t="shared" si="37"/>
        <v>0</v>
      </c>
      <c r="M281" s="672">
        <f t="shared" si="39"/>
        <v>0</v>
      </c>
      <c r="N281" s="670" t="e">
        <f t="shared" si="43"/>
        <v>#DIV/0!</v>
      </c>
      <c r="O281" s="670" t="e">
        <f t="shared" si="44"/>
        <v>#DIV/0!</v>
      </c>
      <c r="P281" s="943">
        <f t="shared" si="45"/>
        <v>84.4371428571428</v>
      </c>
    </row>
    <row r="282" spans="1:16">
      <c r="A282" s="684">
        <f t="shared" si="46"/>
        <v>44477</v>
      </c>
      <c r="B282" s="670">
        <v>227.68</v>
      </c>
      <c r="C282" s="38">
        <v>4225</v>
      </c>
      <c r="D282" s="944">
        <v>129</v>
      </c>
      <c r="E282" s="37">
        <v>0</v>
      </c>
      <c r="F282" s="943">
        <v>0</v>
      </c>
      <c r="G282" s="37">
        <v>2</v>
      </c>
      <c r="H282" s="37">
        <v>1</v>
      </c>
      <c r="I282" s="37">
        <v>2</v>
      </c>
      <c r="J282" s="672">
        <v>0.0305</v>
      </c>
      <c r="K282" s="670">
        <v>1.76</v>
      </c>
      <c r="L282" s="942">
        <f t="shared" si="37"/>
        <v>0</v>
      </c>
      <c r="M282" s="672">
        <f t="shared" si="39"/>
        <v>0</v>
      </c>
      <c r="N282" s="670" t="e">
        <f t="shared" si="43"/>
        <v>#DIV/0!</v>
      </c>
      <c r="O282" s="670" t="e">
        <f t="shared" si="44"/>
        <v>#DIV/0!</v>
      </c>
      <c r="P282" s="943">
        <f t="shared" si="45"/>
        <v>113.84</v>
      </c>
    </row>
    <row r="283" spans="1:16">
      <c r="A283" s="684">
        <f t="shared" si="46"/>
        <v>44478</v>
      </c>
      <c r="B283" s="670" t="s">
        <v>18</v>
      </c>
      <c r="C283" s="41" t="s">
        <v>18</v>
      </c>
      <c r="D283" s="41" t="s">
        <v>18</v>
      </c>
      <c r="E283" s="41" t="s">
        <v>18</v>
      </c>
      <c r="F283" s="670" t="s">
        <v>18</v>
      </c>
      <c r="G283" s="41" t="s">
        <v>18</v>
      </c>
      <c r="H283" s="41" t="s">
        <v>18</v>
      </c>
      <c r="I283" s="41" t="s">
        <v>18</v>
      </c>
      <c r="J283" s="41" t="s">
        <v>18</v>
      </c>
      <c r="K283" s="670" t="s">
        <v>18</v>
      </c>
      <c r="L283" s="942" t="e">
        <f t="shared" si="37"/>
        <v>#VALUE!</v>
      </c>
      <c r="M283" s="672" t="e">
        <f t="shared" si="39"/>
        <v>#VALUE!</v>
      </c>
      <c r="N283" s="670" t="e">
        <f t="shared" si="43"/>
        <v>#VALUE!</v>
      </c>
      <c r="O283" s="670" t="e">
        <f t="shared" si="44"/>
        <v>#VALUE!</v>
      </c>
      <c r="P283" s="943" t="e">
        <f t="shared" si="45"/>
        <v>#VALUE!</v>
      </c>
    </row>
    <row r="284" spans="1:16">
      <c r="A284" s="684">
        <f t="shared" si="46"/>
        <v>44479</v>
      </c>
      <c r="B284" s="670" t="s">
        <v>18</v>
      </c>
      <c r="C284" s="41" t="s">
        <v>18</v>
      </c>
      <c r="D284" s="41" t="s">
        <v>18</v>
      </c>
      <c r="E284" s="41" t="s">
        <v>18</v>
      </c>
      <c r="F284" s="670" t="s">
        <v>18</v>
      </c>
      <c r="G284" s="41" t="s">
        <v>18</v>
      </c>
      <c r="H284" s="41" t="s">
        <v>18</v>
      </c>
      <c r="I284" s="41" t="s">
        <v>18</v>
      </c>
      <c r="J284" s="41" t="s">
        <v>18</v>
      </c>
      <c r="K284" s="670" t="s">
        <v>18</v>
      </c>
      <c r="L284" s="942" t="e">
        <f t="shared" ref="L284:L332" si="47">F284/B284</f>
        <v>#VALUE!</v>
      </c>
      <c r="M284" s="672" t="e">
        <f t="shared" si="39"/>
        <v>#VALUE!</v>
      </c>
      <c r="N284" s="670" t="e">
        <f t="shared" si="43"/>
        <v>#VALUE!</v>
      </c>
      <c r="O284" s="670" t="e">
        <f t="shared" si="44"/>
        <v>#VALUE!</v>
      </c>
      <c r="P284" s="943" t="e">
        <f t="shared" si="45"/>
        <v>#VALUE!</v>
      </c>
    </row>
    <row r="285" spans="1:16">
      <c r="A285" s="684">
        <f t="shared" si="46"/>
        <v>44480</v>
      </c>
      <c r="B285" s="670">
        <v>300</v>
      </c>
      <c r="C285" s="38">
        <v>3399</v>
      </c>
      <c r="D285" s="944">
        <v>136</v>
      </c>
      <c r="E285" s="37">
        <v>0</v>
      </c>
      <c r="F285" s="943">
        <v>0</v>
      </c>
      <c r="G285" s="37">
        <v>6</v>
      </c>
      <c r="H285" s="37">
        <v>2</v>
      </c>
      <c r="I285" s="37">
        <v>1</v>
      </c>
      <c r="J285" s="672">
        <v>0.04</v>
      </c>
      <c r="K285" s="670">
        <v>2.21</v>
      </c>
      <c r="L285" s="942">
        <f t="shared" si="47"/>
        <v>0</v>
      </c>
      <c r="M285" s="672">
        <f t="shared" si="39"/>
        <v>0</v>
      </c>
      <c r="N285" s="670" t="e">
        <f t="shared" si="43"/>
        <v>#DIV/0!</v>
      </c>
      <c r="O285" s="670" t="e">
        <f t="shared" si="44"/>
        <v>#DIV/0!</v>
      </c>
      <c r="P285" s="943">
        <f t="shared" si="45"/>
        <v>50</v>
      </c>
    </row>
    <row r="286" spans="1:16">
      <c r="A286" s="684">
        <f t="shared" si="46"/>
        <v>44481</v>
      </c>
      <c r="B286" s="670">
        <v>134.93</v>
      </c>
      <c r="C286" s="38">
        <v>1677</v>
      </c>
      <c r="D286" s="944">
        <v>96</v>
      </c>
      <c r="E286" s="37">
        <v>0</v>
      </c>
      <c r="F286" s="943">
        <v>0</v>
      </c>
      <c r="G286" s="37">
        <v>1</v>
      </c>
      <c r="H286" s="37">
        <v>3</v>
      </c>
      <c r="I286" s="37">
        <v>0</v>
      </c>
      <c r="J286" s="672">
        <v>0.0572</v>
      </c>
      <c r="K286" s="670">
        <v>1.41</v>
      </c>
      <c r="L286" s="942">
        <f t="shared" si="47"/>
        <v>0</v>
      </c>
      <c r="M286" s="672">
        <f t="shared" si="39"/>
        <v>0</v>
      </c>
      <c r="N286" s="670" t="e">
        <f t="shared" si="43"/>
        <v>#DIV/0!</v>
      </c>
      <c r="O286" s="670" t="e">
        <f t="shared" si="44"/>
        <v>#DIV/0!</v>
      </c>
      <c r="P286" s="943">
        <f t="shared" si="45"/>
        <v>134.93</v>
      </c>
    </row>
    <row r="287" spans="1:16">
      <c r="A287" s="684">
        <f t="shared" si="46"/>
        <v>44482</v>
      </c>
      <c r="B287" s="670">
        <v>300</v>
      </c>
      <c r="C287" s="38">
        <v>4526</v>
      </c>
      <c r="D287" s="944">
        <v>229</v>
      </c>
      <c r="E287" s="37">
        <v>0</v>
      </c>
      <c r="F287" s="943">
        <v>0</v>
      </c>
      <c r="G287" s="37">
        <v>5</v>
      </c>
      <c r="H287" s="37">
        <v>2</v>
      </c>
      <c r="I287" s="37">
        <v>1</v>
      </c>
      <c r="J287" s="672">
        <v>0.0506</v>
      </c>
      <c r="K287" s="670">
        <v>1.31</v>
      </c>
      <c r="L287" s="942">
        <f t="shared" si="47"/>
        <v>0</v>
      </c>
      <c r="M287" s="672">
        <f t="shared" si="39"/>
        <v>0</v>
      </c>
      <c r="N287" s="670" t="e">
        <f t="shared" si="43"/>
        <v>#DIV/0!</v>
      </c>
      <c r="O287" s="670" t="e">
        <f t="shared" si="44"/>
        <v>#DIV/0!</v>
      </c>
      <c r="P287" s="943">
        <f t="shared" si="45"/>
        <v>60</v>
      </c>
    </row>
    <row r="288" spans="1:16">
      <c r="A288" s="684">
        <f t="shared" si="46"/>
        <v>44483</v>
      </c>
      <c r="B288" s="670">
        <v>300</v>
      </c>
      <c r="C288" s="38">
        <v>4966</v>
      </c>
      <c r="D288" s="944">
        <v>191</v>
      </c>
      <c r="E288" s="37">
        <v>0</v>
      </c>
      <c r="F288" s="943">
        <v>0</v>
      </c>
      <c r="G288" s="37">
        <v>0</v>
      </c>
      <c r="H288" s="37">
        <v>2</v>
      </c>
      <c r="I288" s="37">
        <v>0</v>
      </c>
      <c r="J288" s="672">
        <v>0.0385</v>
      </c>
      <c r="K288" s="670">
        <v>1.57</v>
      </c>
      <c r="L288" s="942">
        <f t="shared" si="47"/>
        <v>0</v>
      </c>
      <c r="M288" s="672">
        <f t="shared" si="39"/>
        <v>0</v>
      </c>
      <c r="N288" s="670" t="e">
        <f t="shared" si="43"/>
        <v>#DIV/0!</v>
      </c>
      <c r="O288" s="670" t="e">
        <f t="shared" si="44"/>
        <v>#DIV/0!</v>
      </c>
      <c r="P288" s="943" t="e">
        <f t="shared" si="45"/>
        <v>#DIV/0!</v>
      </c>
    </row>
    <row r="289" spans="1:16">
      <c r="A289" s="684">
        <f t="shared" si="46"/>
        <v>44484</v>
      </c>
      <c r="B289" s="670">
        <v>300</v>
      </c>
      <c r="C289" s="38">
        <v>3789</v>
      </c>
      <c r="D289" s="944">
        <v>197</v>
      </c>
      <c r="E289" s="37">
        <v>0</v>
      </c>
      <c r="F289" s="943">
        <v>0</v>
      </c>
      <c r="G289" s="37">
        <v>1</v>
      </c>
      <c r="H289" s="37">
        <v>2</v>
      </c>
      <c r="I289" s="37">
        <v>4</v>
      </c>
      <c r="J289" s="672">
        <v>0.052</v>
      </c>
      <c r="K289" s="670">
        <v>1.52</v>
      </c>
      <c r="L289" s="942">
        <f t="shared" si="47"/>
        <v>0</v>
      </c>
      <c r="M289" s="672">
        <f t="shared" ref="M289" si="48">E289/D289</f>
        <v>0</v>
      </c>
      <c r="N289" s="670" t="e">
        <f t="shared" si="43"/>
        <v>#DIV/0!</v>
      </c>
      <c r="O289" s="670" t="e">
        <f t="shared" si="44"/>
        <v>#DIV/0!</v>
      </c>
      <c r="P289" s="943">
        <f t="shared" si="45"/>
        <v>300</v>
      </c>
    </row>
    <row r="290" spans="1:16">
      <c r="A290" s="684">
        <f t="shared" si="46"/>
        <v>44485</v>
      </c>
      <c r="B290" s="670">
        <v>300</v>
      </c>
      <c r="C290" s="38">
        <v>4417</v>
      </c>
      <c r="D290" s="944">
        <v>222</v>
      </c>
      <c r="E290" s="37">
        <v>1</v>
      </c>
      <c r="F290" s="943">
        <v>0.01</v>
      </c>
      <c r="G290" s="37">
        <v>3</v>
      </c>
      <c r="H290" s="37">
        <v>1</v>
      </c>
      <c r="I290" s="37">
        <v>2</v>
      </c>
      <c r="J290" s="672">
        <v>0.0503</v>
      </c>
      <c r="K290" s="670">
        <v>1.35</v>
      </c>
      <c r="L290" s="942">
        <f t="shared" si="47"/>
        <v>3.33333333333333e-5</v>
      </c>
      <c r="M290" s="672">
        <f t="shared" ref="M290:M323" si="49">E290/D290</f>
        <v>0.0045045045045045</v>
      </c>
      <c r="N290" s="670">
        <f t="shared" ref="N290:N323" si="50">F290/E290</f>
        <v>0.01</v>
      </c>
      <c r="O290" s="670">
        <f t="shared" ref="O290:O323" si="51">B290/E290</f>
        <v>300</v>
      </c>
      <c r="P290" s="943">
        <f t="shared" ref="P290:P323" si="52">B290/G290</f>
        <v>100</v>
      </c>
    </row>
    <row r="291" spans="1:16">
      <c r="A291" s="684">
        <f t="shared" si="46"/>
        <v>44486</v>
      </c>
      <c r="B291" s="670">
        <v>300</v>
      </c>
      <c r="C291" s="38">
        <v>4058</v>
      </c>
      <c r="D291" s="944">
        <v>193</v>
      </c>
      <c r="E291" s="37">
        <v>1</v>
      </c>
      <c r="F291" s="943">
        <v>11</v>
      </c>
      <c r="G291" s="37">
        <v>10</v>
      </c>
      <c r="H291" s="37">
        <v>3</v>
      </c>
      <c r="I291" s="37">
        <v>1</v>
      </c>
      <c r="J291" s="672">
        <v>0.0476</v>
      </c>
      <c r="K291" s="670">
        <v>1.55</v>
      </c>
      <c r="L291" s="942">
        <f t="shared" si="47"/>
        <v>0.0366666666666667</v>
      </c>
      <c r="M291" s="672">
        <f t="shared" si="49"/>
        <v>0.00518134715025907</v>
      </c>
      <c r="N291" s="670">
        <f t="shared" si="50"/>
        <v>11</v>
      </c>
      <c r="O291" s="670">
        <f t="shared" si="51"/>
        <v>300</v>
      </c>
      <c r="P291" s="943">
        <f t="shared" si="52"/>
        <v>30</v>
      </c>
    </row>
    <row r="292" spans="1:16">
      <c r="A292" s="684">
        <f t="shared" si="46"/>
        <v>44487</v>
      </c>
      <c r="B292" s="670">
        <v>300</v>
      </c>
      <c r="C292" s="38">
        <v>3540</v>
      </c>
      <c r="D292" s="944">
        <v>168</v>
      </c>
      <c r="E292" s="37">
        <v>2</v>
      </c>
      <c r="F292" s="943">
        <v>282.3</v>
      </c>
      <c r="G292" s="37">
        <v>2</v>
      </c>
      <c r="H292" s="37">
        <v>2</v>
      </c>
      <c r="I292" s="37">
        <v>3</v>
      </c>
      <c r="J292" s="672">
        <v>0.0475</v>
      </c>
      <c r="K292" s="670">
        <v>1.79</v>
      </c>
      <c r="L292" s="942">
        <f t="shared" si="47"/>
        <v>0.941</v>
      </c>
      <c r="M292" s="672">
        <f t="shared" si="49"/>
        <v>0.0119047619047619</v>
      </c>
      <c r="N292" s="670">
        <f t="shared" si="50"/>
        <v>141.15</v>
      </c>
      <c r="O292" s="670">
        <f t="shared" si="51"/>
        <v>150</v>
      </c>
      <c r="P292" s="943">
        <f t="shared" si="52"/>
        <v>150</v>
      </c>
    </row>
    <row r="293" spans="1:16">
      <c r="A293" s="684">
        <f t="shared" si="46"/>
        <v>44488</v>
      </c>
      <c r="B293" s="670">
        <v>300</v>
      </c>
      <c r="C293" s="38">
        <v>3142</v>
      </c>
      <c r="D293" s="944">
        <v>182</v>
      </c>
      <c r="E293" s="37">
        <v>0</v>
      </c>
      <c r="F293" s="943">
        <v>0</v>
      </c>
      <c r="G293" s="37">
        <v>2</v>
      </c>
      <c r="H293" s="37">
        <v>4</v>
      </c>
      <c r="I293" s="37">
        <v>2</v>
      </c>
      <c r="J293" s="672">
        <v>0.0579</v>
      </c>
      <c r="K293" s="670">
        <v>1.65</v>
      </c>
      <c r="L293" s="942">
        <f t="shared" si="47"/>
        <v>0</v>
      </c>
      <c r="M293" s="672">
        <f t="shared" si="49"/>
        <v>0</v>
      </c>
      <c r="N293" s="670" t="e">
        <f t="shared" si="50"/>
        <v>#DIV/0!</v>
      </c>
      <c r="O293" s="670" t="e">
        <f t="shared" si="51"/>
        <v>#DIV/0!</v>
      </c>
      <c r="P293" s="943">
        <f t="shared" si="52"/>
        <v>150</v>
      </c>
    </row>
    <row r="294" spans="1:16">
      <c r="A294" s="684">
        <f t="shared" si="46"/>
        <v>44489</v>
      </c>
      <c r="B294" s="670">
        <v>11.25</v>
      </c>
      <c r="C294" s="38">
        <v>1260</v>
      </c>
      <c r="D294" s="944">
        <v>16</v>
      </c>
      <c r="E294" s="37">
        <v>0</v>
      </c>
      <c r="F294" s="943">
        <v>0</v>
      </c>
      <c r="G294" s="37">
        <v>0</v>
      </c>
      <c r="H294" s="37">
        <v>1</v>
      </c>
      <c r="I294" s="37">
        <v>0</v>
      </c>
      <c r="J294" s="672">
        <v>0.0127</v>
      </c>
      <c r="K294" s="670">
        <v>0.7</v>
      </c>
      <c r="L294" s="942">
        <f t="shared" si="47"/>
        <v>0</v>
      </c>
      <c r="M294" s="672">
        <f t="shared" si="49"/>
        <v>0</v>
      </c>
      <c r="N294" s="670" t="e">
        <f t="shared" si="50"/>
        <v>#DIV/0!</v>
      </c>
      <c r="O294" s="670" t="e">
        <f t="shared" si="51"/>
        <v>#DIV/0!</v>
      </c>
      <c r="P294" s="943" t="e">
        <f t="shared" si="52"/>
        <v>#DIV/0!</v>
      </c>
    </row>
    <row r="295" spans="1:16">
      <c r="A295" s="684">
        <f t="shared" si="46"/>
        <v>44490</v>
      </c>
      <c r="B295" s="670">
        <v>20.1</v>
      </c>
      <c r="C295" s="38">
        <v>3578</v>
      </c>
      <c r="D295" s="944">
        <v>31</v>
      </c>
      <c r="E295" s="37">
        <v>0</v>
      </c>
      <c r="F295" s="943">
        <v>0</v>
      </c>
      <c r="G295" s="37">
        <v>0</v>
      </c>
      <c r="H295" s="37">
        <v>1</v>
      </c>
      <c r="I295" s="37">
        <v>0</v>
      </c>
      <c r="J295" s="672">
        <v>0.0087</v>
      </c>
      <c r="K295" s="670">
        <v>0.65</v>
      </c>
      <c r="L295" s="942">
        <f t="shared" si="47"/>
        <v>0</v>
      </c>
      <c r="M295" s="672">
        <f t="shared" si="49"/>
        <v>0</v>
      </c>
      <c r="N295" s="670" t="e">
        <f t="shared" si="50"/>
        <v>#DIV/0!</v>
      </c>
      <c r="O295" s="670" t="e">
        <f t="shared" si="51"/>
        <v>#DIV/0!</v>
      </c>
      <c r="P295" s="943" t="e">
        <f t="shared" si="52"/>
        <v>#DIV/0!</v>
      </c>
    </row>
    <row r="296" spans="1:16">
      <c r="A296" s="684">
        <f t="shared" si="46"/>
        <v>44491</v>
      </c>
      <c r="B296" s="670">
        <v>395.81</v>
      </c>
      <c r="C296" s="38">
        <v>6337</v>
      </c>
      <c r="D296" s="944">
        <v>189</v>
      </c>
      <c r="E296" s="37">
        <v>1</v>
      </c>
      <c r="F296" s="943">
        <v>11</v>
      </c>
      <c r="G296" s="37">
        <v>2</v>
      </c>
      <c r="H296" s="37">
        <v>1</v>
      </c>
      <c r="I296" s="37">
        <v>2</v>
      </c>
      <c r="J296" s="672">
        <v>0.0298</v>
      </c>
      <c r="K296" s="670">
        <v>2.09</v>
      </c>
      <c r="L296" s="942">
        <f t="shared" si="47"/>
        <v>0.0277911118971224</v>
      </c>
      <c r="M296" s="672">
        <f t="shared" si="49"/>
        <v>0.00529100529100529</v>
      </c>
      <c r="N296" s="670">
        <f t="shared" si="50"/>
        <v>11</v>
      </c>
      <c r="O296" s="670">
        <f t="shared" si="51"/>
        <v>395.81</v>
      </c>
      <c r="P296" s="943">
        <f t="shared" si="52"/>
        <v>197.905</v>
      </c>
    </row>
    <row r="297" spans="1:16">
      <c r="A297" s="684">
        <f t="shared" si="46"/>
        <v>44492</v>
      </c>
      <c r="B297" s="670">
        <v>1188.1</v>
      </c>
      <c r="C297" s="38">
        <v>3544</v>
      </c>
      <c r="D297" s="944">
        <v>163</v>
      </c>
      <c r="E297" s="37">
        <v>2</v>
      </c>
      <c r="F297" s="943">
        <v>972</v>
      </c>
      <c r="G297" s="37">
        <v>2</v>
      </c>
      <c r="H297" s="37">
        <v>6</v>
      </c>
      <c r="I297" s="37">
        <v>0</v>
      </c>
      <c r="J297" s="672">
        <v>0.046</v>
      </c>
      <c r="K297" s="670">
        <v>7.29</v>
      </c>
      <c r="L297" s="942">
        <f t="shared" si="47"/>
        <v>0.818112953455096</v>
      </c>
      <c r="M297" s="672">
        <f t="shared" si="49"/>
        <v>0.0122699386503067</v>
      </c>
      <c r="N297" s="670">
        <f t="shared" si="50"/>
        <v>486</v>
      </c>
      <c r="O297" s="670">
        <f t="shared" si="51"/>
        <v>594.05</v>
      </c>
      <c r="P297" s="943">
        <f t="shared" si="52"/>
        <v>594.05</v>
      </c>
    </row>
    <row r="298" spans="1:16">
      <c r="A298" s="684">
        <f t="shared" si="46"/>
        <v>44493</v>
      </c>
      <c r="B298" s="670">
        <v>522.22</v>
      </c>
      <c r="C298" s="38">
        <v>2917</v>
      </c>
      <c r="D298" s="944">
        <v>148</v>
      </c>
      <c r="E298" s="37">
        <v>1</v>
      </c>
      <c r="F298" s="943">
        <v>11</v>
      </c>
      <c r="G298" s="37">
        <v>0</v>
      </c>
      <c r="H298" s="37">
        <v>3</v>
      </c>
      <c r="I298" s="37">
        <v>1</v>
      </c>
      <c r="J298" s="672">
        <v>0.0507</v>
      </c>
      <c r="K298" s="670">
        <v>3.53</v>
      </c>
      <c r="L298" s="942">
        <f t="shared" si="47"/>
        <v>0.0210639194209337</v>
      </c>
      <c r="M298" s="672">
        <f t="shared" si="49"/>
        <v>0.00675675675675676</v>
      </c>
      <c r="N298" s="670">
        <f t="shared" si="50"/>
        <v>11</v>
      </c>
      <c r="O298" s="670">
        <f t="shared" si="51"/>
        <v>522.22</v>
      </c>
      <c r="P298" s="943" t="e">
        <f t="shared" si="52"/>
        <v>#DIV/0!</v>
      </c>
    </row>
    <row r="299" spans="1:16">
      <c r="A299" s="684">
        <f t="shared" si="46"/>
        <v>44494</v>
      </c>
      <c r="B299" s="670">
        <v>478.21</v>
      </c>
      <c r="C299" s="38">
        <v>2663</v>
      </c>
      <c r="D299" s="944">
        <v>136</v>
      </c>
      <c r="E299" s="37">
        <v>0</v>
      </c>
      <c r="F299" s="943">
        <v>0</v>
      </c>
      <c r="G299" s="37">
        <v>0</v>
      </c>
      <c r="H299" s="37">
        <v>1</v>
      </c>
      <c r="I299" s="37">
        <v>1</v>
      </c>
      <c r="J299" s="672">
        <v>0.0511</v>
      </c>
      <c r="K299" s="670">
        <v>3.52</v>
      </c>
      <c r="L299" s="942">
        <f t="shared" si="47"/>
        <v>0</v>
      </c>
      <c r="M299" s="672">
        <f t="shared" si="49"/>
        <v>0</v>
      </c>
      <c r="N299" s="670" t="e">
        <f t="shared" si="50"/>
        <v>#DIV/0!</v>
      </c>
      <c r="O299" s="670" t="e">
        <f t="shared" si="51"/>
        <v>#DIV/0!</v>
      </c>
      <c r="P299" s="943" t="e">
        <f t="shared" si="52"/>
        <v>#DIV/0!</v>
      </c>
    </row>
    <row r="300" spans="1:16">
      <c r="A300" s="684">
        <f t="shared" si="46"/>
        <v>44495</v>
      </c>
      <c r="B300" s="670">
        <v>900</v>
      </c>
      <c r="C300" s="38">
        <v>6067</v>
      </c>
      <c r="D300" s="944">
        <v>323</v>
      </c>
      <c r="E300" s="37">
        <v>0</v>
      </c>
      <c r="F300" s="943">
        <v>0</v>
      </c>
      <c r="G300" s="37">
        <v>0</v>
      </c>
      <c r="H300" s="37">
        <v>3</v>
      </c>
      <c r="I300" s="37">
        <v>2</v>
      </c>
      <c r="J300" s="672">
        <v>0.0532</v>
      </c>
      <c r="K300" s="670">
        <v>2.79</v>
      </c>
      <c r="L300" s="942">
        <f t="shared" si="47"/>
        <v>0</v>
      </c>
      <c r="M300" s="672">
        <f t="shared" si="49"/>
        <v>0</v>
      </c>
      <c r="N300" s="670" t="e">
        <f t="shared" si="50"/>
        <v>#DIV/0!</v>
      </c>
      <c r="O300" s="670" t="e">
        <f t="shared" si="51"/>
        <v>#DIV/0!</v>
      </c>
      <c r="P300" s="943" t="e">
        <f t="shared" si="52"/>
        <v>#DIV/0!</v>
      </c>
    </row>
    <row r="301" spans="1:16">
      <c r="A301" s="684">
        <f t="shared" si="46"/>
        <v>44496</v>
      </c>
      <c r="B301" s="670">
        <v>595.51</v>
      </c>
      <c r="C301" s="38">
        <v>3208</v>
      </c>
      <c r="D301" s="944">
        <v>185</v>
      </c>
      <c r="E301" s="37">
        <v>2</v>
      </c>
      <c r="F301" s="943">
        <v>2959</v>
      </c>
      <c r="G301" s="37">
        <v>2</v>
      </c>
      <c r="H301" s="37">
        <v>7</v>
      </c>
      <c r="I301" s="37">
        <v>1</v>
      </c>
      <c r="J301" s="672">
        <v>0.0577</v>
      </c>
      <c r="K301" s="670">
        <v>3.22</v>
      </c>
      <c r="L301" s="942">
        <f t="shared" si="47"/>
        <v>4.96885022921529</v>
      </c>
      <c r="M301" s="672">
        <f t="shared" si="49"/>
        <v>0.0108108108108108</v>
      </c>
      <c r="N301" s="670">
        <f t="shared" si="50"/>
        <v>1479.5</v>
      </c>
      <c r="O301" s="670">
        <f t="shared" si="51"/>
        <v>297.755</v>
      </c>
      <c r="P301" s="943">
        <f t="shared" si="52"/>
        <v>297.755</v>
      </c>
    </row>
    <row r="302" spans="1:16">
      <c r="A302" s="684">
        <f t="shared" si="46"/>
        <v>44497</v>
      </c>
      <c r="B302" s="670">
        <v>648.36</v>
      </c>
      <c r="C302" s="38">
        <v>3917</v>
      </c>
      <c r="D302" s="944">
        <v>180</v>
      </c>
      <c r="E302" s="37">
        <v>0</v>
      </c>
      <c r="F302" s="943">
        <v>0</v>
      </c>
      <c r="G302" s="37">
        <v>1</v>
      </c>
      <c r="H302" s="37">
        <v>5</v>
      </c>
      <c r="I302" s="37">
        <v>0</v>
      </c>
      <c r="J302" s="672">
        <v>0.046</v>
      </c>
      <c r="K302" s="670">
        <v>3.6</v>
      </c>
      <c r="L302" s="942">
        <f t="shared" si="47"/>
        <v>0</v>
      </c>
      <c r="M302" s="672">
        <f t="shared" si="49"/>
        <v>0</v>
      </c>
      <c r="N302" s="670" t="e">
        <f t="shared" si="50"/>
        <v>#DIV/0!</v>
      </c>
      <c r="O302" s="670" t="e">
        <f t="shared" si="51"/>
        <v>#DIV/0!</v>
      </c>
      <c r="P302" s="943">
        <f t="shared" si="52"/>
        <v>648.36</v>
      </c>
    </row>
    <row r="303" spans="1:16">
      <c r="A303" s="684">
        <f t="shared" si="46"/>
        <v>44498</v>
      </c>
      <c r="B303" s="670">
        <v>800</v>
      </c>
      <c r="C303" s="38">
        <v>6194</v>
      </c>
      <c r="D303" s="944">
        <v>234</v>
      </c>
      <c r="E303" s="37">
        <v>0</v>
      </c>
      <c r="F303" s="943">
        <v>0</v>
      </c>
      <c r="G303" s="37">
        <v>3</v>
      </c>
      <c r="H303" s="37">
        <v>3</v>
      </c>
      <c r="I303" s="37">
        <v>2</v>
      </c>
      <c r="J303" s="672">
        <v>0.0378</v>
      </c>
      <c r="K303" s="670">
        <v>3.42</v>
      </c>
      <c r="L303" s="942">
        <f t="shared" si="47"/>
        <v>0</v>
      </c>
      <c r="M303" s="672">
        <f t="shared" si="49"/>
        <v>0</v>
      </c>
      <c r="N303" s="670" t="e">
        <f t="shared" si="50"/>
        <v>#DIV/0!</v>
      </c>
      <c r="O303" s="670" t="e">
        <f t="shared" si="51"/>
        <v>#DIV/0!</v>
      </c>
      <c r="P303" s="943">
        <f t="shared" si="52"/>
        <v>266.666666666667</v>
      </c>
    </row>
    <row r="304" spans="1:16">
      <c r="A304" s="684">
        <f t="shared" si="46"/>
        <v>44499</v>
      </c>
      <c r="B304" s="670">
        <v>708.15</v>
      </c>
      <c r="C304" s="38">
        <v>5344</v>
      </c>
      <c r="D304" s="944">
        <v>190</v>
      </c>
      <c r="E304" s="37">
        <v>0</v>
      </c>
      <c r="F304" s="943">
        <v>0</v>
      </c>
      <c r="G304" s="37">
        <v>0</v>
      </c>
      <c r="H304" s="37">
        <v>3</v>
      </c>
      <c r="I304" s="37">
        <v>0</v>
      </c>
      <c r="J304" s="672">
        <v>0.0356</v>
      </c>
      <c r="K304" s="670">
        <v>3.73</v>
      </c>
      <c r="L304" s="942">
        <f t="shared" si="47"/>
        <v>0</v>
      </c>
      <c r="M304" s="672">
        <f t="shared" si="49"/>
        <v>0</v>
      </c>
      <c r="N304" s="670" t="e">
        <f t="shared" si="50"/>
        <v>#DIV/0!</v>
      </c>
      <c r="O304" s="670" t="e">
        <f t="shared" si="51"/>
        <v>#DIV/0!</v>
      </c>
      <c r="P304" s="943" t="e">
        <f t="shared" si="52"/>
        <v>#DIV/0!</v>
      </c>
    </row>
    <row r="305" spans="1:16">
      <c r="A305" s="684">
        <f t="shared" si="46"/>
        <v>44500</v>
      </c>
      <c r="B305" s="670">
        <v>800</v>
      </c>
      <c r="C305" s="38">
        <v>4803</v>
      </c>
      <c r="D305" s="944">
        <v>233</v>
      </c>
      <c r="E305" s="37">
        <v>2</v>
      </c>
      <c r="F305" s="943">
        <v>2862.24</v>
      </c>
      <c r="G305" s="37">
        <v>0</v>
      </c>
      <c r="H305" s="37">
        <v>3</v>
      </c>
      <c r="I305" s="37">
        <v>1</v>
      </c>
      <c r="J305" s="672">
        <v>0.0485</v>
      </c>
      <c r="K305" s="670">
        <v>3.43</v>
      </c>
      <c r="L305" s="942">
        <f t="shared" si="47"/>
        <v>3.5778</v>
      </c>
      <c r="M305" s="672">
        <f t="shared" si="49"/>
        <v>0.00858369098712446</v>
      </c>
      <c r="N305" s="670">
        <f t="shared" si="50"/>
        <v>1431.12</v>
      </c>
      <c r="O305" s="670">
        <f t="shared" si="51"/>
        <v>400</v>
      </c>
      <c r="P305" s="943" t="e">
        <f t="shared" si="52"/>
        <v>#DIV/0!</v>
      </c>
    </row>
    <row r="306" spans="1:16">
      <c r="A306" s="684">
        <f t="shared" si="46"/>
        <v>44501</v>
      </c>
      <c r="B306" s="670">
        <v>1000</v>
      </c>
      <c r="C306" s="38">
        <v>7072</v>
      </c>
      <c r="D306" s="944">
        <v>289</v>
      </c>
      <c r="E306" s="37">
        <v>4</v>
      </c>
      <c r="F306" s="943">
        <v>5950.22</v>
      </c>
      <c r="G306" s="37">
        <v>7</v>
      </c>
      <c r="H306" s="37">
        <v>1</v>
      </c>
      <c r="I306" s="37">
        <v>0</v>
      </c>
      <c r="J306" s="672">
        <v>0.0411</v>
      </c>
      <c r="K306" s="670">
        <v>3.46</v>
      </c>
      <c r="L306" s="942">
        <f t="shared" si="47"/>
        <v>5.95022</v>
      </c>
      <c r="M306" s="672">
        <f t="shared" si="49"/>
        <v>0.013840830449827</v>
      </c>
      <c r="N306" s="670">
        <f t="shared" si="50"/>
        <v>1487.555</v>
      </c>
      <c r="O306" s="670">
        <f t="shared" si="51"/>
        <v>250</v>
      </c>
      <c r="P306" s="943">
        <f t="shared" si="52"/>
        <v>142.857142857143</v>
      </c>
    </row>
    <row r="307" spans="1:16">
      <c r="A307" s="684">
        <f t="shared" si="46"/>
        <v>44502</v>
      </c>
      <c r="B307" s="670">
        <v>973.46</v>
      </c>
      <c r="C307" s="38">
        <v>8154</v>
      </c>
      <c r="D307" s="944">
        <v>309</v>
      </c>
      <c r="E307" s="37">
        <v>3</v>
      </c>
      <c r="F307" s="943">
        <v>2852.19</v>
      </c>
      <c r="G307" s="37">
        <v>4</v>
      </c>
      <c r="H307" s="37">
        <v>2</v>
      </c>
      <c r="I307" s="37">
        <v>3</v>
      </c>
      <c r="J307" s="672">
        <v>0.0379</v>
      </c>
      <c r="K307" s="670">
        <v>3.15</v>
      </c>
      <c r="L307" s="942">
        <f t="shared" si="47"/>
        <v>2.9299508968011</v>
      </c>
      <c r="M307" s="672">
        <f t="shared" si="49"/>
        <v>0.00970873786407767</v>
      </c>
      <c r="N307" s="670">
        <f t="shared" si="50"/>
        <v>950.73</v>
      </c>
      <c r="O307" s="670">
        <f t="shared" si="51"/>
        <v>324.486666666667</v>
      </c>
      <c r="P307" s="943">
        <f t="shared" si="52"/>
        <v>243.365</v>
      </c>
    </row>
    <row r="308" spans="1:16">
      <c r="A308" s="684">
        <f t="shared" si="46"/>
        <v>44503</v>
      </c>
      <c r="B308" s="670">
        <v>652.65</v>
      </c>
      <c r="C308" s="38">
        <v>5654</v>
      </c>
      <c r="D308" s="944">
        <v>194</v>
      </c>
      <c r="E308" s="37">
        <v>3</v>
      </c>
      <c r="F308" s="943">
        <v>3040.49</v>
      </c>
      <c r="G308" s="37">
        <v>9</v>
      </c>
      <c r="H308" s="37">
        <v>6</v>
      </c>
      <c r="I308" s="37">
        <v>1</v>
      </c>
      <c r="J308" s="672">
        <v>0.0343</v>
      </c>
      <c r="K308" s="670">
        <v>3.36</v>
      </c>
      <c r="L308" s="942">
        <f t="shared" si="47"/>
        <v>4.65868382747261</v>
      </c>
      <c r="M308" s="672">
        <f t="shared" si="49"/>
        <v>0.0154639175257732</v>
      </c>
      <c r="N308" s="670">
        <f t="shared" si="50"/>
        <v>1013.49666666667</v>
      </c>
      <c r="O308" s="670">
        <f t="shared" si="51"/>
        <v>217.55</v>
      </c>
      <c r="P308" s="943">
        <f t="shared" si="52"/>
        <v>72.5166666666667</v>
      </c>
    </row>
    <row r="309" spans="1:16">
      <c r="A309" s="684">
        <f t="shared" si="46"/>
        <v>44504</v>
      </c>
      <c r="B309" s="670">
        <v>612.55</v>
      </c>
      <c r="C309" s="38">
        <v>6221</v>
      </c>
      <c r="D309" s="944">
        <v>219</v>
      </c>
      <c r="E309" s="37">
        <v>1</v>
      </c>
      <c r="F309" s="943">
        <v>11</v>
      </c>
      <c r="G309" s="37">
        <v>2</v>
      </c>
      <c r="H309" s="37">
        <v>1</v>
      </c>
      <c r="I309" s="37">
        <v>0</v>
      </c>
      <c r="J309" s="672">
        <v>0.0352</v>
      </c>
      <c r="K309" s="670">
        <v>2.8</v>
      </c>
      <c r="L309" s="942">
        <f t="shared" si="47"/>
        <v>0.0179577177373276</v>
      </c>
      <c r="M309" s="672">
        <f t="shared" si="49"/>
        <v>0.0045662100456621</v>
      </c>
      <c r="N309" s="670">
        <f t="shared" si="50"/>
        <v>11</v>
      </c>
      <c r="O309" s="670">
        <f t="shared" si="51"/>
        <v>612.55</v>
      </c>
      <c r="P309" s="943">
        <f t="shared" si="52"/>
        <v>306.275</v>
      </c>
    </row>
    <row r="310" spans="1:16">
      <c r="A310" s="684">
        <f t="shared" si="46"/>
        <v>44505</v>
      </c>
      <c r="B310" s="670">
        <v>575.31</v>
      </c>
      <c r="C310" s="38">
        <v>5758</v>
      </c>
      <c r="D310" s="944">
        <v>181</v>
      </c>
      <c r="E310" s="37">
        <v>0</v>
      </c>
      <c r="F310" s="943">
        <v>0</v>
      </c>
      <c r="G310" s="37">
        <v>0</v>
      </c>
      <c r="H310" s="37">
        <v>2</v>
      </c>
      <c r="I310" s="37">
        <v>4</v>
      </c>
      <c r="J310" s="672">
        <v>0.0314</v>
      </c>
      <c r="K310" s="670">
        <v>3.18</v>
      </c>
      <c r="L310" s="942">
        <f t="shared" si="47"/>
        <v>0</v>
      </c>
      <c r="M310" s="672">
        <f t="shared" si="49"/>
        <v>0</v>
      </c>
      <c r="N310" s="670" t="e">
        <f t="shared" si="50"/>
        <v>#DIV/0!</v>
      </c>
      <c r="O310" s="670" t="e">
        <f t="shared" si="51"/>
        <v>#DIV/0!</v>
      </c>
      <c r="P310" s="943" t="e">
        <f t="shared" si="52"/>
        <v>#DIV/0!</v>
      </c>
    </row>
    <row r="311" spans="1:16">
      <c r="A311" s="684">
        <f t="shared" si="46"/>
        <v>44506</v>
      </c>
      <c r="B311" s="670">
        <v>783.36</v>
      </c>
      <c r="C311" s="38">
        <v>6628</v>
      </c>
      <c r="D311" s="944">
        <v>215</v>
      </c>
      <c r="E311" s="37">
        <v>1</v>
      </c>
      <c r="F311" s="943">
        <v>961</v>
      </c>
      <c r="G311" s="37">
        <v>0</v>
      </c>
      <c r="H311" s="37">
        <v>3</v>
      </c>
      <c r="I311" s="37">
        <v>1</v>
      </c>
      <c r="J311" s="672">
        <v>0.0324</v>
      </c>
      <c r="K311" s="670">
        <v>3.64</v>
      </c>
      <c r="L311" s="942">
        <f t="shared" si="47"/>
        <v>1.22676674836601</v>
      </c>
      <c r="M311" s="672">
        <f t="shared" si="49"/>
        <v>0.00465116279069767</v>
      </c>
      <c r="N311" s="670">
        <f t="shared" si="50"/>
        <v>961</v>
      </c>
      <c r="O311" s="670">
        <f t="shared" si="51"/>
        <v>783.36</v>
      </c>
      <c r="P311" s="943" t="e">
        <f t="shared" si="52"/>
        <v>#DIV/0!</v>
      </c>
    </row>
    <row r="312" spans="1:16">
      <c r="A312" s="684">
        <f t="shared" si="46"/>
        <v>44507</v>
      </c>
      <c r="B312" s="670">
        <v>749.09</v>
      </c>
      <c r="C312" s="38">
        <v>5212</v>
      </c>
      <c r="D312" s="944">
        <v>166</v>
      </c>
      <c r="E312" s="37">
        <v>2</v>
      </c>
      <c r="F312" s="943">
        <v>1908.35</v>
      </c>
      <c r="G312" s="37">
        <v>2</v>
      </c>
      <c r="H312" s="37">
        <v>3</v>
      </c>
      <c r="I312" s="37">
        <v>1</v>
      </c>
      <c r="J312" s="672">
        <v>0.0319</v>
      </c>
      <c r="K312" s="670">
        <v>4.51</v>
      </c>
      <c r="L312" s="942">
        <f t="shared" si="47"/>
        <v>2.54755770334673</v>
      </c>
      <c r="M312" s="672">
        <f t="shared" si="49"/>
        <v>0.0120481927710843</v>
      </c>
      <c r="N312" s="670">
        <f t="shared" si="50"/>
        <v>954.175</v>
      </c>
      <c r="O312" s="670">
        <f t="shared" si="51"/>
        <v>374.545</v>
      </c>
      <c r="P312" s="943">
        <f t="shared" si="52"/>
        <v>374.545</v>
      </c>
    </row>
    <row r="313" spans="1:16">
      <c r="A313" s="684">
        <f t="shared" si="46"/>
        <v>44508</v>
      </c>
      <c r="B313" s="670">
        <v>1000</v>
      </c>
      <c r="C313" s="38">
        <v>6133</v>
      </c>
      <c r="D313" s="944">
        <v>135</v>
      </c>
      <c r="E313" s="37">
        <v>1</v>
      </c>
      <c r="F313" s="943">
        <v>2836.96</v>
      </c>
      <c r="G313" s="37">
        <v>2</v>
      </c>
      <c r="H313" s="37">
        <v>3</v>
      </c>
      <c r="I313" s="37">
        <v>1</v>
      </c>
      <c r="J313" s="672">
        <v>0.022</v>
      </c>
      <c r="K313" s="670">
        <v>7.41</v>
      </c>
      <c r="L313" s="942">
        <f t="shared" si="47"/>
        <v>2.83696</v>
      </c>
      <c r="M313" s="672">
        <f t="shared" si="49"/>
        <v>0.00740740740740741</v>
      </c>
      <c r="N313" s="670">
        <f t="shared" si="50"/>
        <v>2836.96</v>
      </c>
      <c r="O313" s="670">
        <f t="shared" si="51"/>
        <v>1000</v>
      </c>
      <c r="P313" s="943">
        <f t="shared" si="52"/>
        <v>500</v>
      </c>
    </row>
    <row r="314" spans="1:16">
      <c r="A314" s="684">
        <f t="shared" si="46"/>
        <v>44509</v>
      </c>
      <c r="B314" s="670">
        <v>1500</v>
      </c>
      <c r="C314" s="38">
        <v>6054</v>
      </c>
      <c r="D314" s="944">
        <v>144</v>
      </c>
      <c r="E314" s="37">
        <v>2</v>
      </c>
      <c r="F314" s="943">
        <v>2728.52</v>
      </c>
      <c r="G314" s="37">
        <v>2</v>
      </c>
      <c r="H314" s="37">
        <v>1</v>
      </c>
      <c r="I314" s="37">
        <v>1</v>
      </c>
      <c r="J314" s="672">
        <v>0.0238</v>
      </c>
      <c r="K314" s="670">
        <v>10.42</v>
      </c>
      <c r="L314" s="942">
        <f t="shared" si="47"/>
        <v>1.81901333333333</v>
      </c>
      <c r="M314" s="672">
        <f t="shared" si="49"/>
        <v>0.0138888888888889</v>
      </c>
      <c r="N314" s="670">
        <f t="shared" si="50"/>
        <v>1364.26</v>
      </c>
      <c r="O314" s="670">
        <f t="shared" si="51"/>
        <v>750</v>
      </c>
      <c r="P314" s="943">
        <f t="shared" si="52"/>
        <v>750</v>
      </c>
    </row>
    <row r="315" spans="1:16">
      <c r="A315" s="684">
        <f t="shared" si="46"/>
        <v>44510</v>
      </c>
      <c r="B315" s="670">
        <v>2200</v>
      </c>
      <c r="C315" s="38">
        <v>7782</v>
      </c>
      <c r="D315" s="944">
        <v>186</v>
      </c>
      <c r="E315" s="37">
        <v>0</v>
      </c>
      <c r="F315" s="943">
        <v>0</v>
      </c>
      <c r="G315" s="37">
        <v>5</v>
      </c>
      <c r="H315" s="37">
        <v>1</v>
      </c>
      <c r="I315" s="37">
        <v>1</v>
      </c>
      <c r="J315" s="672">
        <v>0.0239</v>
      </c>
      <c r="K315" s="670">
        <v>11.83</v>
      </c>
      <c r="L315" s="942">
        <f t="shared" si="47"/>
        <v>0</v>
      </c>
      <c r="M315" s="672">
        <f t="shared" si="49"/>
        <v>0</v>
      </c>
      <c r="N315" s="670" t="e">
        <f t="shared" si="50"/>
        <v>#DIV/0!</v>
      </c>
      <c r="O315" s="670" t="e">
        <f t="shared" si="51"/>
        <v>#DIV/0!</v>
      </c>
      <c r="P315" s="943">
        <f t="shared" si="52"/>
        <v>440</v>
      </c>
    </row>
    <row r="316" spans="1:16">
      <c r="A316" s="684">
        <f t="shared" si="46"/>
        <v>44511</v>
      </c>
      <c r="B316" s="670">
        <v>6490.56</v>
      </c>
      <c r="C316" s="38">
        <v>18988</v>
      </c>
      <c r="D316" s="944">
        <v>624</v>
      </c>
      <c r="E316" s="37">
        <v>15</v>
      </c>
      <c r="F316" s="943">
        <v>11260.9</v>
      </c>
      <c r="G316" s="37">
        <v>13</v>
      </c>
      <c r="H316" s="37">
        <v>3</v>
      </c>
      <c r="I316" s="37">
        <v>4</v>
      </c>
      <c r="J316" s="672">
        <v>0.0329</v>
      </c>
      <c r="K316" s="670">
        <v>10.4</v>
      </c>
      <c r="L316" s="942">
        <f t="shared" si="47"/>
        <v>1.73496585810777</v>
      </c>
      <c r="M316" s="672">
        <f t="shared" si="49"/>
        <v>0.0240384615384615</v>
      </c>
      <c r="N316" s="670">
        <f t="shared" si="50"/>
        <v>750.726666666667</v>
      </c>
      <c r="O316" s="670">
        <f t="shared" si="51"/>
        <v>432.704</v>
      </c>
      <c r="P316" s="943">
        <f t="shared" si="52"/>
        <v>499.273846153846</v>
      </c>
    </row>
    <row r="317" spans="1:16">
      <c r="A317" s="684">
        <f t="shared" si="46"/>
        <v>44512</v>
      </c>
      <c r="B317" s="670">
        <v>1000</v>
      </c>
      <c r="C317" s="38">
        <v>6597</v>
      </c>
      <c r="D317" s="944">
        <v>139</v>
      </c>
      <c r="E317" s="37">
        <v>2</v>
      </c>
      <c r="F317" s="943">
        <v>1122</v>
      </c>
      <c r="G317" s="37">
        <v>0</v>
      </c>
      <c r="H317" s="37">
        <v>3</v>
      </c>
      <c r="I317" s="37">
        <v>1</v>
      </c>
      <c r="J317" s="672">
        <v>0.0211</v>
      </c>
      <c r="K317" s="670">
        <v>7.19</v>
      </c>
      <c r="L317" s="942">
        <f t="shared" si="47"/>
        <v>1.122</v>
      </c>
      <c r="M317" s="672">
        <f t="shared" si="49"/>
        <v>0.0143884892086331</v>
      </c>
      <c r="N317" s="670">
        <f t="shared" si="50"/>
        <v>561</v>
      </c>
      <c r="O317" s="670">
        <f t="shared" si="51"/>
        <v>500</v>
      </c>
      <c r="P317" s="943" t="e">
        <f t="shared" si="52"/>
        <v>#DIV/0!</v>
      </c>
    </row>
    <row r="318" spans="1:16">
      <c r="A318" s="684">
        <f t="shared" si="46"/>
        <v>44513</v>
      </c>
      <c r="B318" s="670">
        <v>500</v>
      </c>
      <c r="C318" s="38">
        <v>3459</v>
      </c>
      <c r="D318" s="944">
        <v>120</v>
      </c>
      <c r="E318" s="37">
        <v>0</v>
      </c>
      <c r="F318" s="943">
        <v>0</v>
      </c>
      <c r="G318" s="37">
        <v>2</v>
      </c>
      <c r="H318" s="37">
        <v>2</v>
      </c>
      <c r="I318" s="37">
        <v>0</v>
      </c>
      <c r="J318" s="672">
        <v>0.0347</v>
      </c>
      <c r="K318" s="670">
        <v>4.17</v>
      </c>
      <c r="L318" s="942">
        <f t="shared" si="47"/>
        <v>0</v>
      </c>
      <c r="M318" s="672">
        <f t="shared" si="49"/>
        <v>0</v>
      </c>
      <c r="N318" s="670" t="e">
        <f t="shared" si="50"/>
        <v>#DIV/0!</v>
      </c>
      <c r="O318" s="670" t="e">
        <f t="shared" si="51"/>
        <v>#DIV/0!</v>
      </c>
      <c r="P318" s="943">
        <f t="shared" si="52"/>
        <v>250</v>
      </c>
    </row>
    <row r="319" spans="1:16">
      <c r="A319" s="684">
        <f t="shared" si="46"/>
        <v>44514</v>
      </c>
      <c r="B319" s="670">
        <v>500</v>
      </c>
      <c r="C319" s="38">
        <v>2958</v>
      </c>
      <c r="D319" s="944">
        <v>108</v>
      </c>
      <c r="E319" s="37">
        <v>0</v>
      </c>
      <c r="F319" s="943">
        <v>0</v>
      </c>
      <c r="G319" s="37">
        <v>0</v>
      </c>
      <c r="H319" s="37">
        <v>1</v>
      </c>
      <c r="I319" s="37">
        <v>0</v>
      </c>
      <c r="J319" s="672">
        <v>0.0365</v>
      </c>
      <c r="K319" s="670">
        <v>4.63</v>
      </c>
      <c r="L319" s="942">
        <f t="shared" si="47"/>
        <v>0</v>
      </c>
      <c r="M319" s="672">
        <f t="shared" si="49"/>
        <v>0</v>
      </c>
      <c r="N319" s="670" t="e">
        <f t="shared" si="50"/>
        <v>#DIV/0!</v>
      </c>
      <c r="O319" s="670" t="e">
        <f t="shared" si="51"/>
        <v>#DIV/0!</v>
      </c>
      <c r="P319" s="943" t="e">
        <f t="shared" si="52"/>
        <v>#DIV/0!</v>
      </c>
    </row>
    <row r="320" spans="1:16">
      <c r="A320" s="684">
        <f t="shared" si="46"/>
        <v>44515</v>
      </c>
      <c r="B320" s="670">
        <v>500</v>
      </c>
      <c r="C320" s="38">
        <v>3690</v>
      </c>
      <c r="D320" s="944">
        <v>121</v>
      </c>
      <c r="E320" s="37">
        <v>0</v>
      </c>
      <c r="F320" s="943">
        <v>0</v>
      </c>
      <c r="G320" s="37">
        <v>4</v>
      </c>
      <c r="H320" s="37">
        <v>1</v>
      </c>
      <c r="I320" s="37">
        <v>0</v>
      </c>
      <c r="J320" s="672">
        <v>0.0328</v>
      </c>
      <c r="K320" s="670">
        <v>4.13</v>
      </c>
      <c r="L320" s="942">
        <f t="shared" si="47"/>
        <v>0</v>
      </c>
      <c r="M320" s="672">
        <f t="shared" si="49"/>
        <v>0</v>
      </c>
      <c r="N320" s="670" t="e">
        <f t="shared" si="50"/>
        <v>#DIV/0!</v>
      </c>
      <c r="O320" s="670" t="e">
        <f t="shared" si="51"/>
        <v>#DIV/0!</v>
      </c>
      <c r="P320" s="943">
        <f t="shared" si="52"/>
        <v>125</v>
      </c>
    </row>
    <row r="321" spans="1:17">
      <c r="A321" s="684">
        <f t="shared" si="46"/>
        <v>44516</v>
      </c>
      <c r="B321" s="670">
        <v>398.41</v>
      </c>
      <c r="C321" s="38">
        <v>4933</v>
      </c>
      <c r="D321" s="944">
        <v>162</v>
      </c>
      <c r="E321" s="37">
        <v>1</v>
      </c>
      <c r="F321" s="943">
        <v>1111</v>
      </c>
      <c r="G321" s="37">
        <v>0</v>
      </c>
      <c r="H321" s="37">
        <v>0</v>
      </c>
      <c r="I321" s="37">
        <v>0</v>
      </c>
      <c r="J321" s="672">
        <v>0.0328</v>
      </c>
      <c r="K321" s="670">
        <v>2.46</v>
      </c>
      <c r="L321" s="942">
        <f t="shared" si="47"/>
        <v>2.78858462387992</v>
      </c>
      <c r="M321" s="672">
        <f t="shared" si="49"/>
        <v>0.00617283950617284</v>
      </c>
      <c r="N321" s="670">
        <f t="shared" si="50"/>
        <v>1111</v>
      </c>
      <c r="O321" s="670">
        <f t="shared" si="51"/>
        <v>398.41</v>
      </c>
      <c r="P321" s="943" t="e">
        <f t="shared" si="52"/>
        <v>#DIV/0!</v>
      </c>
    </row>
    <row r="322" spans="1:17">
      <c r="A322" s="684">
        <f t="shared" si="46"/>
        <v>44517</v>
      </c>
      <c r="B322" s="670">
        <v>300</v>
      </c>
      <c r="C322" s="38">
        <v>2126</v>
      </c>
      <c r="D322" s="944">
        <v>101</v>
      </c>
      <c r="E322" s="37">
        <v>0</v>
      </c>
      <c r="F322" s="943">
        <v>0</v>
      </c>
      <c r="G322" s="37">
        <v>1</v>
      </c>
      <c r="H322" s="37">
        <v>1</v>
      </c>
      <c r="I322" s="37">
        <v>0</v>
      </c>
      <c r="J322" s="672">
        <v>0.0475</v>
      </c>
      <c r="K322" s="670">
        <v>2.97</v>
      </c>
      <c r="L322" s="942">
        <f t="shared" si="47"/>
        <v>0</v>
      </c>
      <c r="M322" s="672">
        <f t="shared" si="49"/>
        <v>0</v>
      </c>
      <c r="N322" s="670" t="e">
        <f t="shared" si="50"/>
        <v>#DIV/0!</v>
      </c>
      <c r="O322" s="670" t="e">
        <f t="shared" si="51"/>
        <v>#DIV/0!</v>
      </c>
      <c r="P322" s="943">
        <f t="shared" si="52"/>
        <v>300</v>
      </c>
    </row>
    <row r="323" spans="1:17">
      <c r="A323" s="684">
        <f t="shared" si="46"/>
        <v>44518</v>
      </c>
      <c r="B323" s="670">
        <v>300</v>
      </c>
      <c r="C323" s="38">
        <v>2229</v>
      </c>
      <c r="D323" s="944">
        <v>99</v>
      </c>
      <c r="E323" s="37">
        <v>0</v>
      </c>
      <c r="F323" s="943">
        <v>0</v>
      </c>
      <c r="G323" s="37">
        <v>0</v>
      </c>
      <c r="H323" s="37">
        <v>1</v>
      </c>
      <c r="I323" s="37">
        <v>1</v>
      </c>
      <c r="J323" s="672">
        <v>0.0444</v>
      </c>
      <c r="K323" s="670">
        <v>3.03</v>
      </c>
      <c r="L323" s="942">
        <f t="shared" si="47"/>
        <v>0</v>
      </c>
      <c r="M323" s="672">
        <f t="shared" si="49"/>
        <v>0</v>
      </c>
      <c r="N323" s="670" t="e">
        <f t="shared" si="50"/>
        <v>#DIV/0!</v>
      </c>
      <c r="O323" s="670" t="e">
        <f t="shared" si="51"/>
        <v>#DIV/0!</v>
      </c>
      <c r="P323" s="943" t="e">
        <f t="shared" si="52"/>
        <v>#DIV/0!</v>
      </c>
    </row>
    <row r="324" spans="1:17">
      <c r="A324" s="684">
        <f t="shared" si="46"/>
        <v>44519</v>
      </c>
      <c r="B324" s="670">
        <v>300</v>
      </c>
      <c r="C324" s="38">
        <v>2309</v>
      </c>
      <c r="D324" s="944">
        <v>102</v>
      </c>
      <c r="E324" s="37">
        <v>0</v>
      </c>
      <c r="F324" s="943">
        <v>0</v>
      </c>
      <c r="G324" s="37">
        <v>1</v>
      </c>
      <c r="H324" s="37">
        <v>1</v>
      </c>
      <c r="I324" s="37">
        <v>0</v>
      </c>
      <c r="J324" s="672">
        <v>0.0442</v>
      </c>
      <c r="K324" s="670">
        <v>2.94</v>
      </c>
      <c r="L324" s="942">
        <f t="shared" si="47"/>
        <v>0</v>
      </c>
      <c r="M324" s="672">
        <f t="shared" ref="M324:M331" si="53">E324/D324</f>
        <v>0</v>
      </c>
      <c r="N324" s="670" t="e">
        <f t="shared" ref="N324:N331" si="54">F324/E324</f>
        <v>#DIV/0!</v>
      </c>
      <c r="O324" s="670" t="e">
        <f t="shared" ref="O324:O331" si="55">B324/E324</f>
        <v>#DIV/0!</v>
      </c>
      <c r="P324" s="943">
        <f t="shared" ref="P324:P331" si="56">B324/G324</f>
        <v>300</v>
      </c>
    </row>
    <row r="325" spans="1:17">
      <c r="A325" s="684">
        <f t="shared" si="46"/>
        <v>44520</v>
      </c>
      <c r="B325" s="670">
        <v>0</v>
      </c>
      <c r="C325" s="38" t="s">
        <v>18</v>
      </c>
      <c r="D325" s="38" t="s">
        <v>18</v>
      </c>
      <c r="E325" s="38" t="s">
        <v>18</v>
      </c>
      <c r="F325" s="911" t="s">
        <v>18</v>
      </c>
      <c r="G325" s="38" t="s">
        <v>18</v>
      </c>
      <c r="H325" s="38" t="s">
        <v>18</v>
      </c>
      <c r="I325" s="38" t="s">
        <v>18</v>
      </c>
      <c r="J325" s="38" t="s">
        <v>18</v>
      </c>
      <c r="K325" s="911" t="s">
        <v>18</v>
      </c>
      <c r="L325" s="942" t="e">
        <f t="shared" si="47"/>
        <v>#VALUE!</v>
      </c>
      <c r="M325" s="672" t="e">
        <f t="shared" si="53"/>
        <v>#VALUE!</v>
      </c>
      <c r="N325" s="670" t="e">
        <f t="shared" si="54"/>
        <v>#VALUE!</v>
      </c>
      <c r="O325" s="670" t="e">
        <f t="shared" si="55"/>
        <v>#VALUE!</v>
      </c>
      <c r="P325" s="943" t="e">
        <f t="shared" si="56"/>
        <v>#VALUE!</v>
      </c>
      <c r="Q325" s="675" t="e">
        <f>B325/(G325+H325)</f>
        <v>#VALUE!</v>
      </c>
    </row>
    <row r="326" spans="1:17">
      <c r="A326" s="684">
        <f t="shared" si="46"/>
        <v>44521</v>
      </c>
      <c r="B326" s="670">
        <v>300</v>
      </c>
      <c r="C326" s="38">
        <v>2083</v>
      </c>
      <c r="D326" s="944">
        <v>101</v>
      </c>
      <c r="E326" s="37">
        <v>0</v>
      </c>
      <c r="F326" s="943">
        <v>0</v>
      </c>
      <c r="G326" s="37">
        <v>0</v>
      </c>
      <c r="H326" s="37">
        <v>2</v>
      </c>
      <c r="I326" s="37">
        <v>0</v>
      </c>
      <c r="J326" s="672">
        <v>0.0485</v>
      </c>
      <c r="K326" s="670">
        <v>2.97</v>
      </c>
      <c r="L326" s="942">
        <f t="shared" si="47"/>
        <v>0</v>
      </c>
      <c r="M326" s="672">
        <f t="shared" si="53"/>
        <v>0</v>
      </c>
      <c r="N326" s="670" t="e">
        <f t="shared" si="54"/>
        <v>#DIV/0!</v>
      </c>
      <c r="O326" s="670" t="e">
        <f t="shared" si="55"/>
        <v>#DIV/0!</v>
      </c>
      <c r="P326" s="943" t="e">
        <f t="shared" si="56"/>
        <v>#DIV/0!</v>
      </c>
      <c r="Q326" s="675">
        <f t="shared" ref="Q326:Q389" si="57">B326/(G326+H326)</f>
        <v>150</v>
      </c>
    </row>
    <row r="327" spans="1:17">
      <c r="A327" s="684">
        <f t="shared" si="46"/>
        <v>44522</v>
      </c>
      <c r="B327" s="670">
        <v>300</v>
      </c>
      <c r="C327" s="38">
        <v>2405</v>
      </c>
      <c r="D327" s="944">
        <v>100</v>
      </c>
      <c r="E327" s="37">
        <v>0</v>
      </c>
      <c r="F327" s="943">
        <v>0</v>
      </c>
      <c r="G327" s="37">
        <v>0</v>
      </c>
      <c r="H327" s="37">
        <v>0</v>
      </c>
      <c r="I327" s="37">
        <v>2</v>
      </c>
      <c r="J327" s="672">
        <v>0.0416</v>
      </c>
      <c r="K327" s="670">
        <v>3</v>
      </c>
      <c r="L327" s="942">
        <f t="shared" si="47"/>
        <v>0</v>
      </c>
      <c r="M327" s="672">
        <f t="shared" si="53"/>
        <v>0</v>
      </c>
      <c r="N327" s="670" t="e">
        <f t="shared" si="54"/>
        <v>#DIV/0!</v>
      </c>
      <c r="O327" s="670" t="e">
        <f t="shared" si="55"/>
        <v>#DIV/0!</v>
      </c>
      <c r="P327" s="943" t="e">
        <f t="shared" si="56"/>
        <v>#DIV/0!</v>
      </c>
      <c r="Q327" s="675" t="e">
        <f t="shared" si="57"/>
        <v>#DIV/0!</v>
      </c>
    </row>
    <row r="328" spans="1:17">
      <c r="A328" s="684">
        <f t="shared" si="46"/>
        <v>44523</v>
      </c>
      <c r="B328" s="670">
        <v>300</v>
      </c>
      <c r="C328" s="38">
        <v>2114</v>
      </c>
      <c r="D328" s="944">
        <v>101</v>
      </c>
      <c r="E328" s="37">
        <v>0</v>
      </c>
      <c r="F328" s="943">
        <v>0</v>
      </c>
      <c r="G328" s="37">
        <v>0</v>
      </c>
      <c r="H328" s="37">
        <v>3</v>
      </c>
      <c r="I328" s="37">
        <v>3</v>
      </c>
      <c r="J328" s="672">
        <v>0.0478</v>
      </c>
      <c r="K328" s="670">
        <v>2.97</v>
      </c>
      <c r="L328" s="942">
        <f t="shared" si="47"/>
        <v>0</v>
      </c>
      <c r="M328" s="672">
        <f t="shared" si="53"/>
        <v>0</v>
      </c>
      <c r="N328" s="670" t="e">
        <f t="shared" si="54"/>
        <v>#DIV/0!</v>
      </c>
      <c r="O328" s="670" t="e">
        <f t="shared" si="55"/>
        <v>#DIV/0!</v>
      </c>
      <c r="P328" s="943" t="e">
        <f t="shared" si="56"/>
        <v>#DIV/0!</v>
      </c>
      <c r="Q328" s="675">
        <f t="shared" si="57"/>
        <v>100</v>
      </c>
    </row>
    <row r="329" spans="1:17">
      <c r="A329" s="684">
        <f t="shared" si="46"/>
        <v>44524</v>
      </c>
      <c r="B329" s="670">
        <v>299.37</v>
      </c>
      <c r="C329" s="38">
        <v>2100</v>
      </c>
      <c r="D329" s="944">
        <v>114</v>
      </c>
      <c r="E329" s="37">
        <v>2</v>
      </c>
      <c r="F329" s="943">
        <v>1998</v>
      </c>
      <c r="G329" s="37">
        <v>2</v>
      </c>
      <c r="H329" s="37">
        <v>0</v>
      </c>
      <c r="I329" s="37">
        <v>1</v>
      </c>
      <c r="J329" s="672">
        <v>0.0543</v>
      </c>
      <c r="K329" s="670">
        <v>2.63</v>
      </c>
      <c r="L329" s="942">
        <f t="shared" si="47"/>
        <v>6.67401543240806</v>
      </c>
      <c r="M329" s="672">
        <f t="shared" si="53"/>
        <v>0.0175438596491228</v>
      </c>
      <c r="N329" s="670">
        <f t="shared" si="54"/>
        <v>999</v>
      </c>
      <c r="O329" s="670">
        <f t="shared" si="55"/>
        <v>149.685</v>
      </c>
      <c r="P329" s="943">
        <f t="shared" si="56"/>
        <v>149.685</v>
      </c>
      <c r="Q329" s="675">
        <f t="shared" si="57"/>
        <v>149.685</v>
      </c>
    </row>
    <row r="330" spans="1:17">
      <c r="A330" s="684">
        <f t="shared" si="46"/>
        <v>44525</v>
      </c>
      <c r="B330" s="670">
        <v>300</v>
      </c>
      <c r="C330" s="38">
        <v>2276</v>
      </c>
      <c r="D330" s="944">
        <v>119</v>
      </c>
      <c r="E330" s="37">
        <v>0</v>
      </c>
      <c r="F330" s="943">
        <v>0</v>
      </c>
      <c r="G330" s="37">
        <v>3</v>
      </c>
      <c r="H330" s="37">
        <v>1</v>
      </c>
      <c r="I330" s="37">
        <v>0</v>
      </c>
      <c r="J330" s="672">
        <v>0.0523</v>
      </c>
      <c r="K330" s="670">
        <v>2.52</v>
      </c>
      <c r="L330" s="942">
        <f t="shared" si="47"/>
        <v>0</v>
      </c>
      <c r="M330" s="672">
        <f t="shared" si="53"/>
        <v>0</v>
      </c>
      <c r="N330" s="670" t="e">
        <f t="shared" si="54"/>
        <v>#DIV/0!</v>
      </c>
      <c r="O330" s="670" t="e">
        <f t="shared" si="55"/>
        <v>#DIV/0!</v>
      </c>
      <c r="P330" s="943">
        <f t="shared" si="56"/>
        <v>100</v>
      </c>
      <c r="Q330" s="675">
        <f t="shared" si="57"/>
        <v>75</v>
      </c>
    </row>
    <row r="331" spans="1:17">
      <c r="A331" s="684">
        <f t="shared" si="46"/>
        <v>44526</v>
      </c>
      <c r="B331" s="670">
        <v>264.3</v>
      </c>
      <c r="C331" s="38">
        <v>1978</v>
      </c>
      <c r="D331" s="944">
        <v>102</v>
      </c>
      <c r="E331" s="37">
        <v>0</v>
      </c>
      <c r="F331" s="943">
        <v>0</v>
      </c>
      <c r="G331" s="37">
        <v>1</v>
      </c>
      <c r="H331" s="37">
        <v>2</v>
      </c>
      <c r="I331" s="37">
        <v>1</v>
      </c>
      <c r="J331" s="672">
        <v>0.0516</v>
      </c>
      <c r="K331" s="670">
        <v>2.59</v>
      </c>
      <c r="L331" s="942">
        <f t="shared" si="47"/>
        <v>0</v>
      </c>
      <c r="M331" s="672">
        <f t="shared" si="53"/>
        <v>0</v>
      </c>
      <c r="N331" s="670" t="e">
        <f t="shared" si="54"/>
        <v>#DIV/0!</v>
      </c>
      <c r="O331" s="670" t="e">
        <f t="shared" si="55"/>
        <v>#DIV/0!</v>
      </c>
      <c r="P331" s="943">
        <f t="shared" si="56"/>
        <v>264.3</v>
      </c>
      <c r="Q331" s="675">
        <f t="shared" si="57"/>
        <v>88.1</v>
      </c>
    </row>
    <row r="332" spans="1:17">
      <c r="A332" s="684">
        <f t="shared" si="46"/>
        <v>44527</v>
      </c>
      <c r="B332" s="670">
        <v>0</v>
      </c>
      <c r="C332" s="38" t="s">
        <v>18</v>
      </c>
      <c r="D332" s="944" t="s">
        <v>18</v>
      </c>
      <c r="E332" s="37" t="s">
        <v>18</v>
      </c>
      <c r="F332" s="943">
        <v>0</v>
      </c>
      <c r="G332" s="37" t="s">
        <v>18</v>
      </c>
      <c r="H332" s="37" t="s">
        <v>18</v>
      </c>
      <c r="I332" s="37" t="s">
        <v>18</v>
      </c>
      <c r="J332" s="37" t="s">
        <v>18</v>
      </c>
      <c r="K332" s="911" t="s">
        <v>18</v>
      </c>
      <c r="L332" s="942" t="e">
        <f t="shared" si="47"/>
        <v>#DIV/0!</v>
      </c>
      <c r="M332" s="672" t="e">
        <f t="shared" ref="M332" si="58">E332/D332</f>
        <v>#VALUE!</v>
      </c>
      <c r="N332" s="670" t="e">
        <f t="shared" ref="N332" si="59">F332/E332</f>
        <v>#VALUE!</v>
      </c>
      <c r="O332" s="670" t="e">
        <f t="shared" ref="O332" si="60">B332/E332</f>
        <v>#VALUE!</v>
      </c>
      <c r="P332" s="943" t="e">
        <f t="shared" ref="P332" si="61">B332/G332</f>
        <v>#VALUE!</v>
      </c>
      <c r="Q332" s="675" t="e">
        <f t="shared" si="57"/>
        <v>#VALUE!</v>
      </c>
    </row>
    <row r="333" spans="1:17">
      <c r="A333" s="684">
        <f t="shared" si="46"/>
        <v>44528</v>
      </c>
      <c r="B333" s="670">
        <v>300</v>
      </c>
      <c r="C333" s="38">
        <v>1452</v>
      </c>
      <c r="D333" s="944">
        <v>122</v>
      </c>
      <c r="E333" s="37">
        <v>0</v>
      </c>
      <c r="F333" s="943">
        <v>0</v>
      </c>
      <c r="G333" s="37">
        <v>0</v>
      </c>
      <c r="H333" s="37">
        <v>1</v>
      </c>
      <c r="I333" s="37">
        <v>1</v>
      </c>
      <c r="J333" s="672">
        <v>0.084</v>
      </c>
      <c r="K333" s="670">
        <v>2.46</v>
      </c>
      <c r="L333" s="942">
        <f t="shared" ref="L333:L338" si="62">F333/B333</f>
        <v>0</v>
      </c>
      <c r="M333" s="672">
        <f t="shared" ref="M333:M338" si="63">E333/D333</f>
        <v>0</v>
      </c>
      <c r="N333" s="670" t="e">
        <f t="shared" ref="N333:N338" si="64">F333/E333</f>
        <v>#DIV/0!</v>
      </c>
      <c r="O333" s="670" t="e">
        <f t="shared" ref="O333:O338" si="65">B333/E333</f>
        <v>#DIV/0!</v>
      </c>
      <c r="P333" s="943" t="e">
        <f t="shared" ref="P333:P338" si="66">B333/G333</f>
        <v>#DIV/0!</v>
      </c>
      <c r="Q333" s="675">
        <f t="shared" si="57"/>
        <v>300</v>
      </c>
    </row>
    <row r="334" spans="1:17">
      <c r="A334" s="684">
        <f t="shared" si="46"/>
        <v>44529</v>
      </c>
      <c r="B334" s="670">
        <v>282.23</v>
      </c>
      <c r="C334" s="38">
        <v>1345</v>
      </c>
      <c r="D334" s="944">
        <v>105</v>
      </c>
      <c r="E334" s="37">
        <v>1</v>
      </c>
      <c r="F334" s="943">
        <v>999</v>
      </c>
      <c r="G334" s="37">
        <v>1</v>
      </c>
      <c r="H334" s="37">
        <v>1</v>
      </c>
      <c r="I334" s="37">
        <v>1</v>
      </c>
      <c r="J334" s="672">
        <v>0.0781</v>
      </c>
      <c r="K334" s="670">
        <v>2.69</v>
      </c>
      <c r="L334" s="942">
        <f t="shared" si="62"/>
        <v>3.53966622967084</v>
      </c>
      <c r="M334" s="672">
        <f t="shared" si="63"/>
        <v>0.00952380952380952</v>
      </c>
      <c r="N334" s="670">
        <f t="shared" si="64"/>
        <v>999</v>
      </c>
      <c r="O334" s="670">
        <f t="shared" si="65"/>
        <v>282.23</v>
      </c>
      <c r="P334" s="943">
        <f t="shared" si="66"/>
        <v>282.23</v>
      </c>
      <c r="Q334" s="675">
        <f t="shared" si="57"/>
        <v>141.115</v>
      </c>
    </row>
    <row r="335" spans="1:17">
      <c r="A335" s="684">
        <f t="shared" si="46"/>
        <v>44530</v>
      </c>
      <c r="B335" s="670">
        <v>300</v>
      </c>
      <c r="C335" s="38">
        <v>1883</v>
      </c>
      <c r="D335" s="944">
        <v>107</v>
      </c>
      <c r="E335" s="37">
        <v>1</v>
      </c>
      <c r="F335" s="943">
        <v>999</v>
      </c>
      <c r="G335" s="37">
        <v>0</v>
      </c>
      <c r="H335" s="37">
        <v>0</v>
      </c>
      <c r="I335" s="37">
        <v>1</v>
      </c>
      <c r="J335" s="672">
        <v>0.0568</v>
      </c>
      <c r="K335" s="670">
        <v>2.8</v>
      </c>
      <c r="L335" s="942">
        <f t="shared" si="62"/>
        <v>3.33</v>
      </c>
      <c r="M335" s="672">
        <f t="shared" si="63"/>
        <v>0.00934579439252336</v>
      </c>
      <c r="N335" s="670">
        <f t="shared" si="64"/>
        <v>999</v>
      </c>
      <c r="O335" s="670">
        <f t="shared" si="65"/>
        <v>300</v>
      </c>
      <c r="P335" s="943" t="e">
        <f t="shared" si="66"/>
        <v>#DIV/0!</v>
      </c>
      <c r="Q335" s="675" t="e">
        <f t="shared" si="57"/>
        <v>#DIV/0!</v>
      </c>
    </row>
    <row r="336" spans="1:17">
      <c r="A336" s="684">
        <f t="shared" si="46"/>
        <v>44531</v>
      </c>
      <c r="B336" s="670">
        <v>207.35</v>
      </c>
      <c r="C336" s="38">
        <v>3624</v>
      </c>
      <c r="D336" s="944">
        <v>84</v>
      </c>
      <c r="E336" s="37">
        <v>0</v>
      </c>
      <c r="F336" s="943">
        <v>0</v>
      </c>
      <c r="G336" s="37">
        <v>0</v>
      </c>
      <c r="H336" s="37">
        <v>0</v>
      </c>
      <c r="I336" s="37">
        <v>0</v>
      </c>
      <c r="J336" s="672">
        <v>0.0232</v>
      </c>
      <c r="K336" s="670">
        <v>2.47</v>
      </c>
      <c r="L336" s="942">
        <f t="shared" si="62"/>
        <v>0</v>
      </c>
      <c r="M336" s="672">
        <f t="shared" si="63"/>
        <v>0</v>
      </c>
      <c r="N336" s="670" t="e">
        <f t="shared" si="64"/>
        <v>#DIV/0!</v>
      </c>
      <c r="O336" s="670" t="e">
        <f t="shared" si="65"/>
        <v>#DIV/0!</v>
      </c>
      <c r="P336" s="943" t="e">
        <f t="shared" si="66"/>
        <v>#DIV/0!</v>
      </c>
      <c r="Q336" s="675" t="e">
        <f t="shared" si="57"/>
        <v>#DIV/0!</v>
      </c>
    </row>
    <row r="337" spans="1:17">
      <c r="A337" s="684">
        <f t="shared" ref="A337:A368" si="67">A336+1</f>
        <v>44532</v>
      </c>
      <c r="B337" s="670">
        <v>95.64</v>
      </c>
      <c r="C337" s="38">
        <v>2880</v>
      </c>
      <c r="D337" s="944">
        <v>43</v>
      </c>
      <c r="E337" s="37">
        <v>0</v>
      </c>
      <c r="F337" s="943">
        <v>0</v>
      </c>
      <c r="G337" s="37">
        <v>0</v>
      </c>
      <c r="H337" s="37">
        <v>0</v>
      </c>
      <c r="I337" s="37">
        <v>0</v>
      </c>
      <c r="J337" s="672">
        <v>0.0149</v>
      </c>
      <c r="K337" s="670">
        <v>2.22</v>
      </c>
      <c r="L337" s="942">
        <f t="shared" si="62"/>
        <v>0</v>
      </c>
      <c r="M337" s="672">
        <f t="shared" si="63"/>
        <v>0</v>
      </c>
      <c r="N337" s="670" t="e">
        <f t="shared" si="64"/>
        <v>#DIV/0!</v>
      </c>
      <c r="O337" s="670" t="e">
        <f t="shared" si="65"/>
        <v>#DIV/0!</v>
      </c>
      <c r="P337" s="943" t="e">
        <f t="shared" si="66"/>
        <v>#DIV/0!</v>
      </c>
      <c r="Q337" s="675" t="e">
        <f t="shared" si="57"/>
        <v>#DIV/0!</v>
      </c>
    </row>
    <row r="338" spans="1:17">
      <c r="A338" s="684">
        <f t="shared" si="67"/>
        <v>44533</v>
      </c>
      <c r="B338" s="670">
        <v>130.62</v>
      </c>
      <c r="C338" s="38">
        <v>2491</v>
      </c>
      <c r="D338" s="944">
        <v>58</v>
      </c>
      <c r="E338" s="37">
        <v>0</v>
      </c>
      <c r="F338" s="943">
        <v>0</v>
      </c>
      <c r="G338" s="37">
        <v>0</v>
      </c>
      <c r="H338" s="37">
        <v>0</v>
      </c>
      <c r="I338" s="37">
        <v>1</v>
      </c>
      <c r="J338" s="672">
        <v>0.0233</v>
      </c>
      <c r="K338" s="670">
        <v>2.25</v>
      </c>
      <c r="L338" s="942">
        <f t="shared" si="62"/>
        <v>0</v>
      </c>
      <c r="M338" s="672">
        <f t="shared" si="63"/>
        <v>0</v>
      </c>
      <c r="N338" s="670" t="e">
        <f t="shared" si="64"/>
        <v>#DIV/0!</v>
      </c>
      <c r="O338" s="670" t="e">
        <f t="shared" si="65"/>
        <v>#DIV/0!</v>
      </c>
      <c r="P338" s="943" t="e">
        <f t="shared" si="66"/>
        <v>#DIV/0!</v>
      </c>
      <c r="Q338" s="675" t="e">
        <f t="shared" si="57"/>
        <v>#DIV/0!</v>
      </c>
    </row>
    <row r="339" spans="1:17">
      <c r="A339" s="684">
        <f t="shared" si="67"/>
        <v>44534</v>
      </c>
      <c r="B339" s="670" t="s">
        <v>18</v>
      </c>
      <c r="C339" s="41" t="s">
        <v>18</v>
      </c>
      <c r="D339" s="41" t="s">
        <v>18</v>
      </c>
      <c r="E339" s="41" t="s">
        <v>18</v>
      </c>
      <c r="F339" s="670" t="s">
        <v>18</v>
      </c>
      <c r="G339" s="41" t="s">
        <v>18</v>
      </c>
      <c r="H339" s="41" t="s">
        <v>18</v>
      </c>
      <c r="I339" s="41" t="s">
        <v>18</v>
      </c>
      <c r="J339" s="41" t="s">
        <v>18</v>
      </c>
      <c r="K339" s="670" t="s">
        <v>18</v>
      </c>
      <c r="L339" s="942" t="e">
        <f t="shared" ref="L339:L345" si="68">F339/B339</f>
        <v>#VALUE!</v>
      </c>
      <c r="M339" s="672" t="e">
        <f t="shared" ref="M339:M345" si="69">E339/D339</f>
        <v>#VALUE!</v>
      </c>
      <c r="N339" s="670" t="e">
        <f t="shared" ref="N339:N345" si="70">F339/E339</f>
        <v>#VALUE!</v>
      </c>
      <c r="O339" s="670" t="e">
        <f t="shared" ref="O339:O345" si="71">B339/E339</f>
        <v>#VALUE!</v>
      </c>
      <c r="P339" s="943" t="e">
        <f t="shared" ref="P339:P345" si="72">B339/G339</f>
        <v>#VALUE!</v>
      </c>
      <c r="Q339" s="675" t="e">
        <f t="shared" si="57"/>
        <v>#VALUE!</v>
      </c>
    </row>
    <row r="340" spans="1:17">
      <c r="A340" s="684">
        <f t="shared" si="67"/>
        <v>44535</v>
      </c>
      <c r="B340" s="670">
        <v>300</v>
      </c>
      <c r="C340" s="38">
        <v>3121</v>
      </c>
      <c r="D340" s="944">
        <v>114</v>
      </c>
      <c r="E340" s="37">
        <v>0</v>
      </c>
      <c r="F340" s="943">
        <v>0</v>
      </c>
      <c r="G340" s="37">
        <v>0</v>
      </c>
      <c r="H340" s="37">
        <v>0</v>
      </c>
      <c r="I340" s="37">
        <v>2</v>
      </c>
      <c r="J340" s="672">
        <v>0.0365</v>
      </c>
      <c r="K340" s="670">
        <v>2.63</v>
      </c>
      <c r="L340" s="942">
        <f t="shared" si="68"/>
        <v>0</v>
      </c>
      <c r="M340" s="672">
        <f t="shared" si="69"/>
        <v>0</v>
      </c>
      <c r="N340" s="670" t="e">
        <f t="shared" si="70"/>
        <v>#DIV/0!</v>
      </c>
      <c r="O340" s="670" t="e">
        <f t="shared" si="71"/>
        <v>#DIV/0!</v>
      </c>
      <c r="P340" s="943" t="e">
        <f t="shared" si="72"/>
        <v>#DIV/0!</v>
      </c>
      <c r="Q340" s="675" t="e">
        <f t="shared" si="57"/>
        <v>#DIV/0!</v>
      </c>
    </row>
    <row r="341" spans="1:17">
      <c r="A341" s="684">
        <f t="shared" si="67"/>
        <v>44536</v>
      </c>
      <c r="B341" s="670">
        <v>175.77</v>
      </c>
      <c r="C341" s="38">
        <v>2629</v>
      </c>
      <c r="D341" s="944">
        <v>80</v>
      </c>
      <c r="E341" s="37">
        <v>0</v>
      </c>
      <c r="F341" s="943">
        <v>0</v>
      </c>
      <c r="G341" s="37">
        <v>0</v>
      </c>
      <c r="H341" s="37">
        <v>0</v>
      </c>
      <c r="I341" s="37">
        <v>0</v>
      </c>
      <c r="J341" s="672">
        <v>0.0304</v>
      </c>
      <c r="K341" s="670">
        <v>2.2</v>
      </c>
      <c r="L341" s="942">
        <f t="shared" si="68"/>
        <v>0</v>
      </c>
      <c r="M341" s="672">
        <f t="shared" si="69"/>
        <v>0</v>
      </c>
      <c r="N341" s="670" t="e">
        <f t="shared" si="70"/>
        <v>#DIV/0!</v>
      </c>
      <c r="O341" s="670" t="e">
        <f t="shared" si="71"/>
        <v>#DIV/0!</v>
      </c>
      <c r="P341" s="943" t="e">
        <f t="shared" si="72"/>
        <v>#DIV/0!</v>
      </c>
      <c r="Q341" s="675" t="e">
        <f t="shared" si="57"/>
        <v>#DIV/0!</v>
      </c>
    </row>
    <row r="342" spans="1:17">
      <c r="A342" s="684">
        <f t="shared" si="67"/>
        <v>44537</v>
      </c>
      <c r="B342" s="670">
        <v>186.49</v>
      </c>
      <c r="C342" s="38">
        <v>3889</v>
      </c>
      <c r="D342" s="944">
        <v>86</v>
      </c>
      <c r="E342" s="37">
        <v>0</v>
      </c>
      <c r="F342" s="943">
        <v>0</v>
      </c>
      <c r="G342" s="37">
        <v>0</v>
      </c>
      <c r="H342" s="37">
        <v>0</v>
      </c>
      <c r="I342" s="37">
        <v>1</v>
      </c>
      <c r="J342" s="672">
        <v>0.0221</v>
      </c>
      <c r="K342" s="670">
        <v>2.17</v>
      </c>
      <c r="L342" s="942">
        <f t="shared" si="68"/>
        <v>0</v>
      </c>
      <c r="M342" s="672">
        <f t="shared" si="69"/>
        <v>0</v>
      </c>
      <c r="N342" s="670" t="e">
        <f t="shared" si="70"/>
        <v>#DIV/0!</v>
      </c>
      <c r="O342" s="670" t="e">
        <f t="shared" si="71"/>
        <v>#DIV/0!</v>
      </c>
      <c r="P342" s="943" t="e">
        <f t="shared" si="72"/>
        <v>#DIV/0!</v>
      </c>
      <c r="Q342" s="675" t="e">
        <f t="shared" si="57"/>
        <v>#DIV/0!</v>
      </c>
    </row>
    <row r="343" spans="1:17">
      <c r="A343" s="684">
        <f t="shared" si="67"/>
        <v>44538</v>
      </c>
      <c r="B343" s="670">
        <v>146.79</v>
      </c>
      <c r="C343" s="38">
        <v>3676</v>
      </c>
      <c r="D343" s="944">
        <v>76</v>
      </c>
      <c r="E343" s="37">
        <v>0</v>
      </c>
      <c r="F343" s="943">
        <v>0</v>
      </c>
      <c r="G343" s="37">
        <v>0</v>
      </c>
      <c r="H343" s="37">
        <v>0</v>
      </c>
      <c r="I343" s="37">
        <v>0</v>
      </c>
      <c r="J343" s="672">
        <v>0.0207</v>
      </c>
      <c r="K343" s="670">
        <v>1.93</v>
      </c>
      <c r="L343" s="942">
        <f t="shared" si="68"/>
        <v>0</v>
      </c>
      <c r="M343" s="672">
        <f t="shared" si="69"/>
        <v>0</v>
      </c>
      <c r="N343" s="670" t="e">
        <f t="shared" si="70"/>
        <v>#DIV/0!</v>
      </c>
      <c r="O343" s="670" t="e">
        <f t="shared" si="71"/>
        <v>#DIV/0!</v>
      </c>
      <c r="P343" s="943" t="e">
        <f t="shared" si="72"/>
        <v>#DIV/0!</v>
      </c>
      <c r="Q343" s="675" t="e">
        <f t="shared" si="57"/>
        <v>#DIV/0!</v>
      </c>
    </row>
    <row r="344" spans="1:17">
      <c r="A344" s="684">
        <f t="shared" si="67"/>
        <v>44539</v>
      </c>
      <c r="B344" s="670">
        <v>239.92</v>
      </c>
      <c r="C344" s="38">
        <v>4108</v>
      </c>
      <c r="D344" s="944">
        <v>109</v>
      </c>
      <c r="E344" s="37">
        <v>0</v>
      </c>
      <c r="F344" s="943">
        <v>0</v>
      </c>
      <c r="G344" s="37">
        <v>0</v>
      </c>
      <c r="H344" s="37">
        <v>0</v>
      </c>
      <c r="I344" s="37">
        <v>1</v>
      </c>
      <c r="J344" s="672">
        <v>0.0265</v>
      </c>
      <c r="K344" s="670">
        <v>2.2</v>
      </c>
      <c r="L344" s="942">
        <f t="shared" si="68"/>
        <v>0</v>
      </c>
      <c r="M344" s="672">
        <f t="shared" si="69"/>
        <v>0</v>
      </c>
      <c r="N344" s="670" t="e">
        <f t="shared" si="70"/>
        <v>#DIV/0!</v>
      </c>
      <c r="O344" s="670" t="e">
        <f t="shared" si="71"/>
        <v>#DIV/0!</v>
      </c>
      <c r="P344" s="943" t="e">
        <f t="shared" si="72"/>
        <v>#DIV/0!</v>
      </c>
      <c r="Q344" s="675" t="e">
        <f t="shared" si="57"/>
        <v>#DIV/0!</v>
      </c>
    </row>
    <row r="345" spans="1:17">
      <c r="A345" s="684">
        <f t="shared" si="67"/>
        <v>44540</v>
      </c>
      <c r="B345" s="670">
        <v>152.59</v>
      </c>
      <c r="C345" s="38">
        <v>4078</v>
      </c>
      <c r="D345" s="944">
        <v>90</v>
      </c>
      <c r="E345" s="37">
        <v>0</v>
      </c>
      <c r="F345" s="943">
        <v>0</v>
      </c>
      <c r="G345" s="37">
        <v>1</v>
      </c>
      <c r="H345" s="37">
        <v>0</v>
      </c>
      <c r="I345" s="37">
        <v>0</v>
      </c>
      <c r="J345" s="672">
        <v>0.0221</v>
      </c>
      <c r="K345" s="670">
        <v>1.7</v>
      </c>
      <c r="L345" s="942">
        <f t="shared" si="68"/>
        <v>0</v>
      </c>
      <c r="M345" s="672">
        <f t="shared" si="69"/>
        <v>0</v>
      </c>
      <c r="N345" s="670" t="e">
        <f t="shared" si="70"/>
        <v>#DIV/0!</v>
      </c>
      <c r="O345" s="670" t="e">
        <f t="shared" si="71"/>
        <v>#DIV/0!</v>
      </c>
      <c r="P345" s="943">
        <f t="shared" si="72"/>
        <v>152.59</v>
      </c>
      <c r="Q345" s="675">
        <f t="shared" si="57"/>
        <v>152.59</v>
      </c>
    </row>
    <row r="346" spans="1:17">
      <c r="A346" s="684">
        <f t="shared" si="67"/>
        <v>44541</v>
      </c>
      <c r="B346" s="670">
        <v>0</v>
      </c>
      <c r="C346" s="38">
        <v>0</v>
      </c>
      <c r="D346" s="944">
        <v>0</v>
      </c>
      <c r="E346" s="37">
        <v>0</v>
      </c>
      <c r="F346" s="943">
        <v>0</v>
      </c>
      <c r="G346" s="41" t="s">
        <v>18</v>
      </c>
      <c r="H346" s="41" t="s">
        <v>18</v>
      </c>
      <c r="I346" s="41" t="s">
        <v>18</v>
      </c>
      <c r="J346" s="41" t="s">
        <v>18</v>
      </c>
      <c r="K346" s="670">
        <v>0</v>
      </c>
      <c r="L346" s="942" t="e">
        <f t="shared" ref="L346:L387" si="73">F346/B346</f>
        <v>#DIV/0!</v>
      </c>
      <c r="M346" s="672" t="e">
        <f t="shared" ref="M346:M387" si="74">E346/D346</f>
        <v>#DIV/0!</v>
      </c>
      <c r="N346" s="670" t="e">
        <f t="shared" ref="N346:N366" si="75">F346/E346</f>
        <v>#DIV/0!</v>
      </c>
      <c r="O346" s="670" t="e">
        <f t="shared" ref="O346:O366" si="76">B346/E346</f>
        <v>#DIV/0!</v>
      </c>
      <c r="P346" s="943" t="e">
        <f t="shared" ref="P346:P366" si="77">B346/G346</f>
        <v>#VALUE!</v>
      </c>
      <c r="Q346" s="675" t="e">
        <f t="shared" si="57"/>
        <v>#VALUE!</v>
      </c>
    </row>
    <row r="347" spans="1:17">
      <c r="A347" s="684">
        <f t="shared" si="67"/>
        <v>44542</v>
      </c>
      <c r="B347" s="670">
        <v>213.22</v>
      </c>
      <c r="C347" s="38">
        <v>3171</v>
      </c>
      <c r="D347" s="944">
        <v>98</v>
      </c>
      <c r="E347" s="37">
        <v>0</v>
      </c>
      <c r="F347" s="943">
        <v>0</v>
      </c>
      <c r="G347" s="37">
        <v>0</v>
      </c>
      <c r="H347" s="37">
        <v>0</v>
      </c>
      <c r="I347" s="37">
        <v>0</v>
      </c>
      <c r="J347" s="672">
        <v>0.0309</v>
      </c>
      <c r="K347" s="670">
        <v>2.18</v>
      </c>
      <c r="L347" s="942">
        <f t="shared" si="73"/>
        <v>0</v>
      </c>
      <c r="M347" s="672">
        <f t="shared" si="74"/>
        <v>0</v>
      </c>
      <c r="N347" s="670" t="e">
        <f t="shared" si="75"/>
        <v>#DIV/0!</v>
      </c>
      <c r="O347" s="670" t="e">
        <f t="shared" si="76"/>
        <v>#DIV/0!</v>
      </c>
      <c r="P347" s="943" t="e">
        <f t="shared" si="77"/>
        <v>#DIV/0!</v>
      </c>
      <c r="Q347" s="675" t="e">
        <f t="shared" si="57"/>
        <v>#DIV/0!</v>
      </c>
    </row>
    <row r="348" spans="1:17">
      <c r="A348" s="684">
        <f t="shared" si="67"/>
        <v>44543</v>
      </c>
      <c r="B348" s="670">
        <v>241.09</v>
      </c>
      <c r="C348" s="38">
        <v>2207</v>
      </c>
      <c r="D348" s="944">
        <v>82</v>
      </c>
      <c r="E348" s="37">
        <v>0</v>
      </c>
      <c r="F348" s="943">
        <v>0</v>
      </c>
      <c r="G348" s="37">
        <v>2</v>
      </c>
      <c r="H348" s="37">
        <v>0</v>
      </c>
      <c r="I348" s="37">
        <v>1</v>
      </c>
      <c r="J348" s="672">
        <v>0.0372</v>
      </c>
      <c r="K348" s="670">
        <v>2.94</v>
      </c>
      <c r="L348" s="942">
        <f t="shared" si="73"/>
        <v>0</v>
      </c>
      <c r="M348" s="672">
        <f t="shared" si="74"/>
        <v>0</v>
      </c>
      <c r="N348" s="670" t="e">
        <f t="shared" si="75"/>
        <v>#DIV/0!</v>
      </c>
      <c r="O348" s="670" t="e">
        <f t="shared" si="76"/>
        <v>#DIV/0!</v>
      </c>
      <c r="P348" s="943">
        <f t="shared" si="77"/>
        <v>120.545</v>
      </c>
      <c r="Q348" s="675">
        <f t="shared" si="57"/>
        <v>120.545</v>
      </c>
    </row>
    <row r="349" spans="1:17">
      <c r="A349" s="684">
        <f t="shared" si="67"/>
        <v>44544</v>
      </c>
      <c r="B349" s="670">
        <v>213.94</v>
      </c>
      <c r="C349" s="38">
        <v>3202</v>
      </c>
      <c r="D349" s="944">
        <v>68</v>
      </c>
      <c r="E349" s="37">
        <v>0</v>
      </c>
      <c r="F349" s="943">
        <v>0</v>
      </c>
      <c r="G349" s="37">
        <v>0</v>
      </c>
      <c r="H349" s="37">
        <v>0</v>
      </c>
      <c r="I349" s="37">
        <v>0</v>
      </c>
      <c r="J349" s="672">
        <v>0.0212</v>
      </c>
      <c r="K349" s="670">
        <v>3.15</v>
      </c>
      <c r="L349" s="942">
        <f t="shared" si="73"/>
        <v>0</v>
      </c>
      <c r="M349" s="672">
        <f t="shared" si="74"/>
        <v>0</v>
      </c>
      <c r="N349" s="670" t="e">
        <f t="shared" si="75"/>
        <v>#DIV/0!</v>
      </c>
      <c r="O349" s="670" t="e">
        <f t="shared" si="76"/>
        <v>#DIV/0!</v>
      </c>
      <c r="P349" s="943" t="e">
        <f t="shared" si="77"/>
        <v>#DIV/0!</v>
      </c>
      <c r="Q349" s="675" t="e">
        <f t="shared" si="57"/>
        <v>#DIV/0!</v>
      </c>
    </row>
    <row r="350" spans="1:17">
      <c r="A350" s="684">
        <f t="shared" si="67"/>
        <v>44545</v>
      </c>
      <c r="B350" s="670">
        <v>205.99</v>
      </c>
      <c r="C350" s="38">
        <v>3932</v>
      </c>
      <c r="D350" s="944">
        <v>71</v>
      </c>
      <c r="E350" s="37">
        <v>0</v>
      </c>
      <c r="F350" s="943">
        <v>0</v>
      </c>
      <c r="G350" s="37">
        <v>1</v>
      </c>
      <c r="H350" s="37">
        <v>2</v>
      </c>
      <c r="I350" s="37">
        <v>1</v>
      </c>
      <c r="J350" s="672">
        <v>0.0181</v>
      </c>
      <c r="K350" s="670">
        <v>2.9</v>
      </c>
      <c r="L350" s="942">
        <f t="shared" si="73"/>
        <v>0</v>
      </c>
      <c r="M350" s="672">
        <f t="shared" si="74"/>
        <v>0</v>
      </c>
      <c r="N350" s="670" t="e">
        <f t="shared" si="75"/>
        <v>#DIV/0!</v>
      </c>
      <c r="O350" s="670" t="e">
        <f t="shared" si="76"/>
        <v>#DIV/0!</v>
      </c>
      <c r="P350" s="943">
        <f t="shared" si="77"/>
        <v>205.99</v>
      </c>
      <c r="Q350" s="675">
        <f t="shared" si="57"/>
        <v>68.6633333333333</v>
      </c>
    </row>
    <row r="351" spans="1:17">
      <c r="A351" s="684">
        <f t="shared" si="67"/>
        <v>44546</v>
      </c>
      <c r="B351" s="670">
        <v>213.589</v>
      </c>
      <c r="C351" s="38">
        <v>4190</v>
      </c>
      <c r="D351" s="944">
        <v>64</v>
      </c>
      <c r="E351" s="37">
        <v>0</v>
      </c>
      <c r="F351" s="943">
        <v>0</v>
      </c>
      <c r="G351" s="37">
        <v>0</v>
      </c>
      <c r="H351" s="37">
        <v>0</v>
      </c>
      <c r="I351" s="37">
        <v>0</v>
      </c>
      <c r="J351" s="672">
        <v>0.0153</v>
      </c>
      <c r="K351" s="670">
        <v>3.34</v>
      </c>
      <c r="L351" s="942">
        <f t="shared" si="73"/>
        <v>0</v>
      </c>
      <c r="M351" s="672">
        <f t="shared" si="74"/>
        <v>0</v>
      </c>
      <c r="N351" s="670" t="e">
        <f t="shared" si="75"/>
        <v>#DIV/0!</v>
      </c>
      <c r="O351" s="670" t="e">
        <f t="shared" si="76"/>
        <v>#DIV/0!</v>
      </c>
      <c r="P351" s="943" t="e">
        <f t="shared" si="77"/>
        <v>#DIV/0!</v>
      </c>
      <c r="Q351" s="675" t="e">
        <f t="shared" si="57"/>
        <v>#DIV/0!</v>
      </c>
    </row>
    <row r="352" spans="1:17">
      <c r="A352" s="684">
        <f t="shared" si="67"/>
        <v>44547</v>
      </c>
      <c r="B352" s="670">
        <v>195.79</v>
      </c>
      <c r="C352" s="38">
        <v>5475</v>
      </c>
      <c r="D352" s="944">
        <v>60</v>
      </c>
      <c r="E352" s="37">
        <v>0</v>
      </c>
      <c r="F352" s="943">
        <v>0</v>
      </c>
      <c r="G352" s="37">
        <v>0</v>
      </c>
      <c r="H352" s="37">
        <v>0</v>
      </c>
      <c r="I352" s="37">
        <v>0</v>
      </c>
      <c r="J352" s="672">
        <v>0.011</v>
      </c>
      <c r="K352" s="670">
        <v>3.26</v>
      </c>
      <c r="L352" s="942">
        <f t="shared" si="73"/>
        <v>0</v>
      </c>
      <c r="M352" s="672">
        <f t="shared" si="74"/>
        <v>0</v>
      </c>
      <c r="N352" s="670" t="e">
        <f t="shared" si="75"/>
        <v>#DIV/0!</v>
      </c>
      <c r="O352" s="670" t="e">
        <f t="shared" si="76"/>
        <v>#DIV/0!</v>
      </c>
      <c r="P352" s="943" t="e">
        <f t="shared" si="77"/>
        <v>#DIV/0!</v>
      </c>
      <c r="Q352" s="675" t="e">
        <f t="shared" si="57"/>
        <v>#DIV/0!</v>
      </c>
    </row>
    <row r="353" spans="1:17">
      <c r="A353" s="684">
        <f t="shared" si="67"/>
        <v>44548</v>
      </c>
      <c r="B353" s="670">
        <v>183.62</v>
      </c>
      <c r="C353" s="38">
        <v>5790</v>
      </c>
      <c r="D353" s="944">
        <v>70</v>
      </c>
      <c r="E353" s="37">
        <v>0</v>
      </c>
      <c r="F353" s="943">
        <v>0</v>
      </c>
      <c r="G353" s="37">
        <v>0</v>
      </c>
      <c r="H353" s="37">
        <v>0</v>
      </c>
      <c r="I353" s="37">
        <v>0</v>
      </c>
      <c r="J353" s="672">
        <v>0.0121</v>
      </c>
      <c r="K353" s="670">
        <v>2.62</v>
      </c>
      <c r="L353" s="942">
        <f t="shared" si="73"/>
        <v>0</v>
      </c>
      <c r="M353" s="672">
        <f t="shared" si="74"/>
        <v>0</v>
      </c>
      <c r="N353" s="670" t="e">
        <f t="shared" si="75"/>
        <v>#DIV/0!</v>
      </c>
      <c r="O353" s="670" t="e">
        <f t="shared" si="76"/>
        <v>#DIV/0!</v>
      </c>
      <c r="P353" s="943" t="e">
        <f t="shared" si="77"/>
        <v>#DIV/0!</v>
      </c>
      <c r="Q353" s="675" t="e">
        <f t="shared" si="57"/>
        <v>#DIV/0!</v>
      </c>
    </row>
    <row r="354" spans="1:17">
      <c r="A354" s="684">
        <f t="shared" si="67"/>
        <v>44549</v>
      </c>
      <c r="B354" s="670">
        <v>202.79</v>
      </c>
      <c r="C354" s="38">
        <v>5498</v>
      </c>
      <c r="D354" s="944">
        <v>71</v>
      </c>
      <c r="E354" s="37">
        <v>0</v>
      </c>
      <c r="F354" s="943">
        <v>0</v>
      </c>
      <c r="G354" s="37">
        <v>0</v>
      </c>
      <c r="H354" s="37">
        <v>0</v>
      </c>
      <c r="I354" s="37">
        <v>1</v>
      </c>
      <c r="J354" s="672">
        <v>0.0129</v>
      </c>
      <c r="K354" s="670">
        <v>2.86</v>
      </c>
      <c r="L354" s="942">
        <f t="shared" si="73"/>
        <v>0</v>
      </c>
      <c r="M354" s="672">
        <f t="shared" si="74"/>
        <v>0</v>
      </c>
      <c r="N354" s="670" t="e">
        <f t="shared" si="75"/>
        <v>#DIV/0!</v>
      </c>
      <c r="O354" s="670" t="e">
        <f t="shared" si="76"/>
        <v>#DIV/0!</v>
      </c>
      <c r="P354" s="943" t="e">
        <f t="shared" si="77"/>
        <v>#DIV/0!</v>
      </c>
      <c r="Q354" s="675" t="e">
        <f t="shared" si="57"/>
        <v>#DIV/0!</v>
      </c>
    </row>
    <row r="355" spans="1:17">
      <c r="A355" s="684">
        <f t="shared" si="67"/>
        <v>44550</v>
      </c>
      <c r="B355" s="670">
        <v>221.29</v>
      </c>
      <c r="C355" s="38">
        <v>5163</v>
      </c>
      <c r="D355" s="944">
        <v>69</v>
      </c>
      <c r="E355" s="37">
        <v>0</v>
      </c>
      <c r="F355" s="943">
        <v>0</v>
      </c>
      <c r="G355" s="37">
        <v>0</v>
      </c>
      <c r="H355" s="37">
        <v>0</v>
      </c>
      <c r="I355" s="37">
        <v>1</v>
      </c>
      <c r="J355" s="672">
        <v>0.0134</v>
      </c>
      <c r="K355" s="670">
        <v>3.21</v>
      </c>
      <c r="L355" s="942">
        <f t="shared" si="73"/>
        <v>0</v>
      </c>
      <c r="M355" s="672">
        <f t="shared" si="74"/>
        <v>0</v>
      </c>
      <c r="N355" s="670" t="e">
        <f t="shared" si="75"/>
        <v>#DIV/0!</v>
      </c>
      <c r="O355" s="670" t="e">
        <f t="shared" si="76"/>
        <v>#DIV/0!</v>
      </c>
      <c r="P355" s="943" t="e">
        <f t="shared" si="77"/>
        <v>#DIV/0!</v>
      </c>
      <c r="Q355" s="675" t="e">
        <f t="shared" si="57"/>
        <v>#DIV/0!</v>
      </c>
    </row>
    <row r="356" spans="1:17">
      <c r="A356" s="684">
        <f t="shared" si="67"/>
        <v>44551</v>
      </c>
      <c r="B356" s="670">
        <v>300</v>
      </c>
      <c r="C356" s="38">
        <v>2765</v>
      </c>
      <c r="D356" s="944">
        <v>69</v>
      </c>
      <c r="E356" s="37">
        <v>0</v>
      </c>
      <c r="F356" s="943">
        <v>0</v>
      </c>
      <c r="G356" s="37">
        <v>0</v>
      </c>
      <c r="H356" s="37">
        <v>0</v>
      </c>
      <c r="I356" s="37">
        <v>0</v>
      </c>
      <c r="J356" s="672">
        <v>0.025</v>
      </c>
      <c r="K356" s="670">
        <v>4.35</v>
      </c>
      <c r="L356" s="942">
        <f t="shared" si="73"/>
        <v>0</v>
      </c>
      <c r="M356" s="672">
        <f t="shared" si="74"/>
        <v>0</v>
      </c>
      <c r="N356" s="670" t="e">
        <f t="shared" si="75"/>
        <v>#DIV/0!</v>
      </c>
      <c r="O356" s="670" t="e">
        <f t="shared" si="76"/>
        <v>#DIV/0!</v>
      </c>
      <c r="P356" s="943" t="e">
        <f t="shared" si="77"/>
        <v>#DIV/0!</v>
      </c>
      <c r="Q356" s="675" t="e">
        <f t="shared" si="57"/>
        <v>#DIV/0!</v>
      </c>
    </row>
    <row r="357" spans="1:17">
      <c r="A357" s="684">
        <f t="shared" si="67"/>
        <v>44552</v>
      </c>
      <c r="B357" s="670">
        <v>239.86</v>
      </c>
      <c r="C357" s="38">
        <v>2737</v>
      </c>
      <c r="D357" s="944">
        <v>63</v>
      </c>
      <c r="E357" s="37">
        <v>0</v>
      </c>
      <c r="F357" s="943">
        <v>0</v>
      </c>
      <c r="G357" s="37">
        <v>0</v>
      </c>
      <c r="H357" s="37">
        <v>0</v>
      </c>
      <c r="I357" s="37">
        <v>0</v>
      </c>
      <c r="J357" s="672">
        <v>0.023</v>
      </c>
      <c r="K357" s="670">
        <v>3.81</v>
      </c>
      <c r="L357" s="942">
        <f t="shared" si="73"/>
        <v>0</v>
      </c>
      <c r="M357" s="672">
        <f t="shared" si="74"/>
        <v>0</v>
      </c>
      <c r="N357" s="670" t="e">
        <f t="shared" si="75"/>
        <v>#DIV/0!</v>
      </c>
      <c r="O357" s="670" t="e">
        <f t="shared" si="76"/>
        <v>#DIV/0!</v>
      </c>
      <c r="P357" s="943" t="e">
        <f t="shared" si="77"/>
        <v>#DIV/0!</v>
      </c>
      <c r="Q357" s="675" t="e">
        <f t="shared" si="57"/>
        <v>#DIV/0!</v>
      </c>
    </row>
    <row r="358" spans="1:17">
      <c r="A358" s="684">
        <f t="shared" si="67"/>
        <v>44553</v>
      </c>
      <c r="B358" s="670">
        <v>242.09</v>
      </c>
      <c r="C358" s="38">
        <v>1336</v>
      </c>
      <c r="D358" s="944">
        <v>61</v>
      </c>
      <c r="E358" s="37">
        <v>0</v>
      </c>
      <c r="F358" s="943">
        <v>0</v>
      </c>
      <c r="G358" s="37">
        <v>0</v>
      </c>
      <c r="H358" s="37">
        <v>0</v>
      </c>
      <c r="I358" s="37">
        <v>0</v>
      </c>
      <c r="J358" s="672">
        <v>0.0457</v>
      </c>
      <c r="K358" s="670">
        <v>3.97</v>
      </c>
      <c r="L358" s="942">
        <f t="shared" si="73"/>
        <v>0</v>
      </c>
      <c r="M358" s="672">
        <f t="shared" si="74"/>
        <v>0</v>
      </c>
      <c r="N358" s="670" t="e">
        <f t="shared" si="75"/>
        <v>#DIV/0!</v>
      </c>
      <c r="O358" s="670" t="e">
        <f t="shared" si="76"/>
        <v>#DIV/0!</v>
      </c>
      <c r="P358" s="943" t="e">
        <f t="shared" si="77"/>
        <v>#DIV/0!</v>
      </c>
      <c r="Q358" s="675" t="e">
        <f t="shared" si="57"/>
        <v>#DIV/0!</v>
      </c>
    </row>
    <row r="359" spans="1:17">
      <c r="A359" s="684">
        <f t="shared" si="67"/>
        <v>44554</v>
      </c>
      <c r="B359" s="670">
        <v>186.82</v>
      </c>
      <c r="C359" s="38">
        <v>1153</v>
      </c>
      <c r="D359" s="944">
        <v>44</v>
      </c>
      <c r="E359" s="37">
        <v>0</v>
      </c>
      <c r="F359" s="943">
        <v>0</v>
      </c>
      <c r="G359" s="37">
        <v>0</v>
      </c>
      <c r="H359" s="37">
        <v>0</v>
      </c>
      <c r="I359" s="37">
        <v>0</v>
      </c>
      <c r="J359" s="672">
        <v>0.0382</v>
      </c>
      <c r="K359" s="670">
        <v>4.25</v>
      </c>
      <c r="L359" s="942">
        <f t="shared" si="73"/>
        <v>0</v>
      </c>
      <c r="M359" s="672">
        <f t="shared" si="74"/>
        <v>0</v>
      </c>
      <c r="N359" s="670" t="e">
        <f t="shared" si="75"/>
        <v>#DIV/0!</v>
      </c>
      <c r="O359" s="670" t="e">
        <f t="shared" si="76"/>
        <v>#DIV/0!</v>
      </c>
      <c r="P359" s="943" t="e">
        <f t="shared" si="77"/>
        <v>#DIV/0!</v>
      </c>
      <c r="Q359" s="675" t="e">
        <f t="shared" si="57"/>
        <v>#DIV/0!</v>
      </c>
    </row>
    <row r="360" spans="1:17">
      <c r="A360" s="684">
        <f t="shared" si="67"/>
        <v>44555</v>
      </c>
      <c r="B360" s="670">
        <v>193.1</v>
      </c>
      <c r="C360" s="38">
        <v>1017</v>
      </c>
      <c r="D360" s="944">
        <v>43</v>
      </c>
      <c r="E360" s="37">
        <v>0</v>
      </c>
      <c r="F360" s="943">
        <v>0</v>
      </c>
      <c r="G360" s="37">
        <v>0</v>
      </c>
      <c r="H360" s="37">
        <v>0</v>
      </c>
      <c r="I360" s="37">
        <v>0</v>
      </c>
      <c r="J360" s="672">
        <v>0.0423</v>
      </c>
      <c r="K360" s="670">
        <v>4.49</v>
      </c>
      <c r="L360" s="942">
        <f t="shared" si="73"/>
        <v>0</v>
      </c>
      <c r="M360" s="672">
        <f t="shared" si="74"/>
        <v>0</v>
      </c>
      <c r="N360" s="670" t="e">
        <f t="shared" si="75"/>
        <v>#DIV/0!</v>
      </c>
      <c r="O360" s="670" t="e">
        <f t="shared" si="76"/>
        <v>#DIV/0!</v>
      </c>
      <c r="P360" s="943" t="e">
        <f t="shared" si="77"/>
        <v>#DIV/0!</v>
      </c>
      <c r="Q360" s="675" t="e">
        <f t="shared" si="57"/>
        <v>#DIV/0!</v>
      </c>
    </row>
    <row r="361" spans="1:17">
      <c r="A361" s="684">
        <f t="shared" si="67"/>
        <v>44556</v>
      </c>
      <c r="B361" s="670">
        <v>168.25</v>
      </c>
      <c r="C361" s="38">
        <v>1031</v>
      </c>
      <c r="D361" s="944">
        <v>43</v>
      </c>
      <c r="E361" s="37">
        <v>0</v>
      </c>
      <c r="F361" s="943">
        <v>0</v>
      </c>
      <c r="G361" s="37">
        <v>0</v>
      </c>
      <c r="H361" s="37">
        <v>0</v>
      </c>
      <c r="I361" s="37">
        <v>0</v>
      </c>
      <c r="J361" s="672">
        <v>0.0417</v>
      </c>
      <c r="K361" s="670">
        <v>3.91</v>
      </c>
      <c r="L361" s="942">
        <f t="shared" si="73"/>
        <v>0</v>
      </c>
      <c r="M361" s="672">
        <f t="shared" si="74"/>
        <v>0</v>
      </c>
      <c r="N361" s="670" t="e">
        <f t="shared" si="75"/>
        <v>#DIV/0!</v>
      </c>
      <c r="O361" s="670" t="e">
        <f t="shared" si="76"/>
        <v>#DIV/0!</v>
      </c>
      <c r="P361" s="943" t="e">
        <f t="shared" si="77"/>
        <v>#DIV/0!</v>
      </c>
      <c r="Q361" s="675" t="e">
        <f t="shared" si="57"/>
        <v>#DIV/0!</v>
      </c>
    </row>
    <row r="362" spans="1:17">
      <c r="A362" s="684">
        <f t="shared" si="67"/>
        <v>44557</v>
      </c>
      <c r="B362" s="670">
        <v>126.68</v>
      </c>
      <c r="C362" s="38">
        <v>1098</v>
      </c>
      <c r="D362" s="944">
        <v>32</v>
      </c>
      <c r="E362" s="37">
        <v>0</v>
      </c>
      <c r="F362" s="943">
        <v>0</v>
      </c>
      <c r="G362" s="37">
        <v>0</v>
      </c>
      <c r="H362" s="37">
        <v>0</v>
      </c>
      <c r="I362" s="37">
        <v>0</v>
      </c>
      <c r="J362" s="672">
        <v>0.0291</v>
      </c>
      <c r="K362" s="670">
        <v>3.96</v>
      </c>
      <c r="L362" s="942">
        <f t="shared" si="73"/>
        <v>0</v>
      </c>
      <c r="M362" s="672">
        <f t="shared" si="74"/>
        <v>0</v>
      </c>
      <c r="N362" s="670" t="e">
        <f t="shared" si="75"/>
        <v>#DIV/0!</v>
      </c>
      <c r="O362" s="670" t="e">
        <f t="shared" si="76"/>
        <v>#DIV/0!</v>
      </c>
      <c r="P362" s="943" t="e">
        <f t="shared" si="77"/>
        <v>#DIV/0!</v>
      </c>
      <c r="Q362" s="675" t="e">
        <f t="shared" si="57"/>
        <v>#DIV/0!</v>
      </c>
    </row>
    <row r="363" spans="1:17">
      <c r="A363" s="684">
        <f t="shared" si="67"/>
        <v>44558</v>
      </c>
      <c r="B363" s="670">
        <v>272.44</v>
      </c>
      <c r="C363" s="38">
        <v>1956</v>
      </c>
      <c r="D363" s="944">
        <v>94</v>
      </c>
      <c r="E363" s="37">
        <v>0</v>
      </c>
      <c r="F363" s="943">
        <v>0</v>
      </c>
      <c r="G363" s="37">
        <v>0</v>
      </c>
      <c r="H363" s="37">
        <v>0</v>
      </c>
      <c r="I363" s="37">
        <v>0</v>
      </c>
      <c r="J363" s="672">
        <v>0.0481</v>
      </c>
      <c r="K363" s="670">
        <v>2.9</v>
      </c>
      <c r="L363" s="942">
        <f t="shared" si="73"/>
        <v>0</v>
      </c>
      <c r="M363" s="672">
        <f t="shared" si="74"/>
        <v>0</v>
      </c>
      <c r="N363" s="670" t="e">
        <f t="shared" si="75"/>
        <v>#DIV/0!</v>
      </c>
      <c r="O363" s="670" t="e">
        <f t="shared" si="76"/>
        <v>#DIV/0!</v>
      </c>
      <c r="P363" s="943" t="e">
        <f t="shared" si="77"/>
        <v>#DIV/0!</v>
      </c>
      <c r="Q363" s="675" t="e">
        <f t="shared" si="57"/>
        <v>#DIV/0!</v>
      </c>
    </row>
    <row r="364" spans="1:17">
      <c r="A364" s="684">
        <f t="shared" si="67"/>
        <v>44559</v>
      </c>
      <c r="B364" s="670">
        <v>276.76</v>
      </c>
      <c r="C364" s="38">
        <v>2266</v>
      </c>
      <c r="D364" s="944">
        <v>96</v>
      </c>
      <c r="E364" s="37">
        <v>0</v>
      </c>
      <c r="F364" s="943">
        <v>0</v>
      </c>
      <c r="G364" s="37">
        <v>0</v>
      </c>
      <c r="H364" s="37">
        <v>0</v>
      </c>
      <c r="I364" s="37">
        <v>0</v>
      </c>
      <c r="J364" s="672">
        <v>0.0424</v>
      </c>
      <c r="K364" s="670">
        <v>2.88</v>
      </c>
      <c r="L364" s="942">
        <f t="shared" si="73"/>
        <v>0</v>
      </c>
      <c r="M364" s="672">
        <f t="shared" si="74"/>
        <v>0</v>
      </c>
      <c r="N364" s="670" t="e">
        <f t="shared" si="75"/>
        <v>#DIV/0!</v>
      </c>
      <c r="O364" s="670" t="e">
        <f t="shared" si="76"/>
        <v>#DIV/0!</v>
      </c>
      <c r="P364" s="943" t="e">
        <f t="shared" si="77"/>
        <v>#DIV/0!</v>
      </c>
      <c r="Q364" s="675" t="e">
        <f t="shared" si="57"/>
        <v>#DIV/0!</v>
      </c>
    </row>
    <row r="365" spans="1:17">
      <c r="A365" s="684">
        <f t="shared" si="67"/>
        <v>44560</v>
      </c>
      <c r="B365" s="670">
        <v>221.39</v>
      </c>
      <c r="C365" s="38">
        <v>2164</v>
      </c>
      <c r="D365" s="944">
        <v>68</v>
      </c>
      <c r="E365" s="37">
        <v>0</v>
      </c>
      <c r="F365" s="943">
        <v>0</v>
      </c>
      <c r="G365" s="37">
        <v>0</v>
      </c>
      <c r="H365" s="37">
        <v>0</v>
      </c>
      <c r="I365" s="37">
        <v>0</v>
      </c>
      <c r="J365" s="672">
        <v>0.0314</v>
      </c>
      <c r="K365" s="670">
        <v>3.26</v>
      </c>
      <c r="L365" s="942">
        <f t="shared" si="73"/>
        <v>0</v>
      </c>
      <c r="M365" s="672">
        <f t="shared" si="74"/>
        <v>0</v>
      </c>
      <c r="N365" s="670" t="e">
        <f t="shared" si="75"/>
        <v>#DIV/0!</v>
      </c>
      <c r="O365" s="670" t="e">
        <f t="shared" si="76"/>
        <v>#DIV/0!</v>
      </c>
      <c r="P365" s="943" t="e">
        <f t="shared" si="77"/>
        <v>#DIV/0!</v>
      </c>
      <c r="Q365" s="675" t="e">
        <f t="shared" si="57"/>
        <v>#DIV/0!</v>
      </c>
    </row>
    <row r="366" spans="1:17">
      <c r="A366" s="684">
        <f t="shared" si="67"/>
        <v>44561</v>
      </c>
      <c r="B366" s="670">
        <v>248.02</v>
      </c>
      <c r="C366" s="38">
        <v>1620</v>
      </c>
      <c r="D366" s="944">
        <v>68</v>
      </c>
      <c r="E366" s="37">
        <v>0</v>
      </c>
      <c r="F366" s="943">
        <v>0</v>
      </c>
      <c r="G366" s="37">
        <v>0</v>
      </c>
      <c r="H366" s="37">
        <v>1</v>
      </c>
      <c r="I366" s="37">
        <v>1</v>
      </c>
      <c r="J366" s="672">
        <v>0.042</v>
      </c>
      <c r="K366" s="670">
        <v>3.65</v>
      </c>
      <c r="L366" s="942">
        <f t="shared" si="73"/>
        <v>0</v>
      </c>
      <c r="M366" s="672">
        <f t="shared" si="74"/>
        <v>0</v>
      </c>
      <c r="N366" s="670" t="e">
        <f t="shared" si="75"/>
        <v>#DIV/0!</v>
      </c>
      <c r="O366" s="670" t="e">
        <f t="shared" si="76"/>
        <v>#DIV/0!</v>
      </c>
      <c r="P366" s="943" t="e">
        <f t="shared" si="77"/>
        <v>#DIV/0!</v>
      </c>
      <c r="Q366" s="675">
        <f t="shared" si="57"/>
        <v>248.02</v>
      </c>
    </row>
    <row r="367" spans="1:17">
      <c r="A367" s="684">
        <f t="shared" si="67"/>
        <v>44562</v>
      </c>
      <c r="B367" s="911">
        <v>297.4</v>
      </c>
      <c r="C367" s="37">
        <v>1241</v>
      </c>
      <c r="D367" s="37">
        <v>72</v>
      </c>
      <c r="E367" s="37">
        <v>0</v>
      </c>
      <c r="F367" s="943">
        <v>0</v>
      </c>
      <c r="G367" s="37">
        <v>0</v>
      </c>
      <c r="H367" s="37">
        <v>1</v>
      </c>
      <c r="I367" s="37">
        <v>0</v>
      </c>
      <c r="J367" s="945">
        <v>0.058</v>
      </c>
      <c r="K367" s="911">
        <v>4.13</v>
      </c>
      <c r="L367" s="942">
        <f t="shared" si="73"/>
        <v>0</v>
      </c>
      <c r="M367" s="672">
        <f t="shared" si="74"/>
        <v>0</v>
      </c>
      <c r="N367" s="670" t="e">
        <f t="shared" ref="N367:N387" si="78">F367/E367</f>
        <v>#DIV/0!</v>
      </c>
      <c r="O367" s="670" t="e">
        <f t="shared" ref="O367:O387" si="79">B367/E367</f>
        <v>#DIV/0!</v>
      </c>
      <c r="P367" s="943" t="e">
        <f t="shared" ref="P367:P387" si="80">B367/G367</f>
        <v>#DIV/0!</v>
      </c>
      <c r="Q367" s="675">
        <f t="shared" si="57"/>
        <v>297.4</v>
      </c>
    </row>
    <row r="368" spans="1:17">
      <c r="A368" s="684">
        <f t="shared" si="67"/>
        <v>44563</v>
      </c>
      <c r="B368" s="911">
        <v>300</v>
      </c>
      <c r="C368" s="37">
        <v>1079</v>
      </c>
      <c r="D368" s="37">
        <v>64</v>
      </c>
      <c r="E368" s="37">
        <v>0</v>
      </c>
      <c r="F368" s="943">
        <v>0</v>
      </c>
      <c r="G368" s="37">
        <v>0</v>
      </c>
      <c r="H368" s="37">
        <v>0</v>
      </c>
      <c r="I368" s="37">
        <v>0</v>
      </c>
      <c r="J368" s="945">
        <v>0.0593</v>
      </c>
      <c r="K368" s="911">
        <v>4.69</v>
      </c>
      <c r="L368" s="942">
        <f t="shared" si="73"/>
        <v>0</v>
      </c>
      <c r="M368" s="672">
        <f t="shared" si="74"/>
        <v>0</v>
      </c>
      <c r="N368" s="670" t="e">
        <f t="shared" si="78"/>
        <v>#DIV/0!</v>
      </c>
      <c r="O368" s="670" t="e">
        <f t="shared" si="79"/>
        <v>#DIV/0!</v>
      </c>
      <c r="P368" s="943" t="e">
        <f t="shared" si="80"/>
        <v>#DIV/0!</v>
      </c>
      <c r="Q368" s="675" t="e">
        <f t="shared" si="57"/>
        <v>#DIV/0!</v>
      </c>
    </row>
    <row r="369" spans="1:17">
      <c r="A369" s="684">
        <f t="shared" ref="A369:A400" si="81">A368+1</f>
        <v>44564</v>
      </c>
      <c r="B369" s="911">
        <v>300</v>
      </c>
      <c r="C369" s="37">
        <v>1582</v>
      </c>
      <c r="D369" s="37">
        <v>60</v>
      </c>
      <c r="E369" s="37">
        <v>0</v>
      </c>
      <c r="F369" s="943">
        <v>0</v>
      </c>
      <c r="G369" s="37">
        <v>0</v>
      </c>
      <c r="H369" s="37">
        <v>0</v>
      </c>
      <c r="I369" s="37">
        <v>1</v>
      </c>
      <c r="J369" s="945">
        <v>0.0379</v>
      </c>
      <c r="K369" s="911">
        <v>5</v>
      </c>
      <c r="L369" s="942">
        <f t="shared" si="73"/>
        <v>0</v>
      </c>
      <c r="M369" s="672">
        <f t="shared" si="74"/>
        <v>0</v>
      </c>
      <c r="N369" s="670" t="e">
        <f t="shared" si="78"/>
        <v>#DIV/0!</v>
      </c>
      <c r="O369" s="670" t="e">
        <f t="shared" si="79"/>
        <v>#DIV/0!</v>
      </c>
      <c r="P369" s="943" t="e">
        <f t="shared" si="80"/>
        <v>#DIV/0!</v>
      </c>
      <c r="Q369" s="675" t="e">
        <f t="shared" si="57"/>
        <v>#DIV/0!</v>
      </c>
    </row>
    <row r="370" spans="1:17">
      <c r="A370" s="684">
        <f t="shared" si="81"/>
        <v>44565</v>
      </c>
      <c r="B370" s="911">
        <v>300</v>
      </c>
      <c r="C370" s="37">
        <v>1396</v>
      </c>
      <c r="D370" s="37">
        <v>69</v>
      </c>
      <c r="E370" s="37">
        <v>0</v>
      </c>
      <c r="F370" s="943">
        <v>0</v>
      </c>
      <c r="G370" s="37">
        <v>0</v>
      </c>
      <c r="H370" s="37">
        <v>0</v>
      </c>
      <c r="I370" s="37">
        <v>0</v>
      </c>
      <c r="J370" s="945">
        <v>0.0494</v>
      </c>
      <c r="K370" s="911">
        <v>4.35</v>
      </c>
      <c r="L370" s="942">
        <f t="shared" si="73"/>
        <v>0</v>
      </c>
      <c r="M370" s="672">
        <f t="shared" si="74"/>
        <v>0</v>
      </c>
      <c r="N370" s="670" t="e">
        <f t="shared" si="78"/>
        <v>#DIV/0!</v>
      </c>
      <c r="O370" s="670" t="e">
        <f t="shared" si="79"/>
        <v>#DIV/0!</v>
      </c>
      <c r="P370" s="943" t="e">
        <f t="shared" si="80"/>
        <v>#DIV/0!</v>
      </c>
      <c r="Q370" s="675" t="e">
        <f t="shared" si="57"/>
        <v>#DIV/0!</v>
      </c>
    </row>
    <row r="371" spans="1:17">
      <c r="A371" s="684">
        <f t="shared" si="81"/>
        <v>44566</v>
      </c>
      <c r="B371" s="911">
        <v>300</v>
      </c>
      <c r="C371" s="37">
        <v>2385</v>
      </c>
      <c r="D371" s="37">
        <v>88</v>
      </c>
      <c r="E371" s="37">
        <v>0</v>
      </c>
      <c r="F371" s="943">
        <v>0</v>
      </c>
      <c r="G371" s="37">
        <v>0</v>
      </c>
      <c r="H371" s="37">
        <v>0</v>
      </c>
      <c r="I371" s="37">
        <v>1</v>
      </c>
      <c r="J371" s="945">
        <v>0.0368</v>
      </c>
      <c r="K371" s="911">
        <v>3.41</v>
      </c>
      <c r="L371" s="942">
        <f t="shared" si="73"/>
        <v>0</v>
      </c>
      <c r="M371" s="672">
        <f t="shared" si="74"/>
        <v>0</v>
      </c>
      <c r="N371" s="670" t="e">
        <f t="shared" si="78"/>
        <v>#DIV/0!</v>
      </c>
      <c r="O371" s="670" t="e">
        <f t="shared" si="79"/>
        <v>#DIV/0!</v>
      </c>
      <c r="P371" s="943" t="e">
        <f t="shared" si="80"/>
        <v>#DIV/0!</v>
      </c>
      <c r="Q371" s="675" t="e">
        <f t="shared" si="57"/>
        <v>#DIV/0!</v>
      </c>
    </row>
    <row r="372" spans="1:17">
      <c r="A372" s="684">
        <f t="shared" si="81"/>
        <v>44567</v>
      </c>
      <c r="B372" s="911">
        <v>293.49</v>
      </c>
      <c r="C372" s="37">
        <v>1801</v>
      </c>
      <c r="D372" s="37">
        <v>98</v>
      </c>
      <c r="E372" s="37">
        <v>0</v>
      </c>
      <c r="F372" s="943">
        <v>0</v>
      </c>
      <c r="G372" s="37">
        <v>0</v>
      </c>
      <c r="H372" s="37">
        <v>1</v>
      </c>
      <c r="I372" s="37">
        <v>0</v>
      </c>
      <c r="J372" s="945">
        <v>0.0544</v>
      </c>
      <c r="K372" s="911">
        <v>2.99</v>
      </c>
      <c r="L372" s="942">
        <f t="shared" si="73"/>
        <v>0</v>
      </c>
      <c r="M372" s="672">
        <f t="shared" si="74"/>
        <v>0</v>
      </c>
      <c r="N372" s="670" t="e">
        <f t="shared" si="78"/>
        <v>#DIV/0!</v>
      </c>
      <c r="O372" s="670" t="e">
        <f t="shared" si="79"/>
        <v>#DIV/0!</v>
      </c>
      <c r="P372" s="943" t="e">
        <f t="shared" si="80"/>
        <v>#DIV/0!</v>
      </c>
      <c r="Q372" s="675">
        <f t="shared" si="57"/>
        <v>293.49</v>
      </c>
    </row>
    <row r="373" spans="1:17">
      <c r="A373" s="684">
        <f t="shared" si="81"/>
        <v>44568</v>
      </c>
      <c r="B373" s="911">
        <v>300</v>
      </c>
      <c r="C373" s="37">
        <v>1232</v>
      </c>
      <c r="D373" s="37">
        <v>76</v>
      </c>
      <c r="E373" s="37">
        <v>0</v>
      </c>
      <c r="F373" s="943">
        <v>0</v>
      </c>
      <c r="G373" s="37">
        <v>1</v>
      </c>
      <c r="H373" s="37">
        <v>0</v>
      </c>
      <c r="I373" s="37">
        <v>0</v>
      </c>
      <c r="J373" s="945">
        <v>0.0616</v>
      </c>
      <c r="K373" s="911">
        <v>3.95</v>
      </c>
      <c r="L373" s="942">
        <f t="shared" si="73"/>
        <v>0</v>
      </c>
      <c r="M373" s="672">
        <f t="shared" si="74"/>
        <v>0</v>
      </c>
      <c r="N373" s="670" t="e">
        <f t="shared" si="78"/>
        <v>#DIV/0!</v>
      </c>
      <c r="O373" s="670" t="e">
        <f t="shared" si="79"/>
        <v>#DIV/0!</v>
      </c>
      <c r="P373" s="943">
        <f t="shared" si="80"/>
        <v>300</v>
      </c>
      <c r="Q373" s="675">
        <f t="shared" si="57"/>
        <v>300</v>
      </c>
    </row>
    <row r="374" spans="1:17">
      <c r="A374" s="684">
        <f t="shared" si="81"/>
        <v>44569</v>
      </c>
      <c r="B374" s="911">
        <v>300</v>
      </c>
      <c r="C374" s="37">
        <v>1317</v>
      </c>
      <c r="D374" s="37">
        <v>71</v>
      </c>
      <c r="E374" s="37">
        <v>0</v>
      </c>
      <c r="F374" s="943">
        <v>0</v>
      </c>
      <c r="G374" s="37">
        <v>0</v>
      </c>
      <c r="H374" s="37">
        <v>1</v>
      </c>
      <c r="I374" s="37">
        <v>0</v>
      </c>
      <c r="J374" s="945">
        <v>0.0539</v>
      </c>
      <c r="K374" s="911">
        <v>4.23</v>
      </c>
      <c r="L374" s="942">
        <f t="shared" si="73"/>
        <v>0</v>
      </c>
      <c r="M374" s="672">
        <f t="shared" si="74"/>
        <v>0</v>
      </c>
      <c r="N374" s="670" t="e">
        <f t="shared" si="78"/>
        <v>#DIV/0!</v>
      </c>
      <c r="O374" s="670" t="e">
        <f t="shared" si="79"/>
        <v>#DIV/0!</v>
      </c>
      <c r="P374" s="943" t="e">
        <f t="shared" si="80"/>
        <v>#DIV/0!</v>
      </c>
      <c r="Q374" s="675">
        <f t="shared" si="57"/>
        <v>300</v>
      </c>
    </row>
    <row r="375" spans="1:17">
      <c r="A375" s="684">
        <f t="shared" si="81"/>
        <v>44570</v>
      </c>
      <c r="B375" s="911">
        <v>300</v>
      </c>
      <c r="C375" s="37">
        <v>956</v>
      </c>
      <c r="D375" s="37">
        <v>67</v>
      </c>
      <c r="E375" s="37">
        <v>0</v>
      </c>
      <c r="F375" s="943">
        <v>0</v>
      </c>
      <c r="G375" s="37">
        <v>0</v>
      </c>
      <c r="H375" s="37">
        <v>2</v>
      </c>
      <c r="I375" s="37">
        <v>2</v>
      </c>
      <c r="J375" s="945">
        <v>0.07</v>
      </c>
      <c r="K375" s="911">
        <v>4.48</v>
      </c>
      <c r="L375" s="942">
        <f t="shared" si="73"/>
        <v>0</v>
      </c>
      <c r="M375" s="672">
        <f t="shared" si="74"/>
        <v>0</v>
      </c>
      <c r="N375" s="670" t="e">
        <f t="shared" si="78"/>
        <v>#DIV/0!</v>
      </c>
      <c r="O375" s="670" t="e">
        <f t="shared" si="79"/>
        <v>#DIV/0!</v>
      </c>
      <c r="P375" s="943" t="e">
        <f t="shared" si="80"/>
        <v>#DIV/0!</v>
      </c>
      <c r="Q375" s="675">
        <f t="shared" si="57"/>
        <v>150</v>
      </c>
    </row>
    <row r="376" spans="1:17">
      <c r="A376" s="684">
        <f t="shared" si="81"/>
        <v>44571</v>
      </c>
      <c r="B376" s="911">
        <v>289.61</v>
      </c>
      <c r="C376" s="37">
        <v>1876</v>
      </c>
      <c r="D376" s="37">
        <v>100</v>
      </c>
      <c r="E376" s="37">
        <v>0</v>
      </c>
      <c r="F376" s="943">
        <v>0</v>
      </c>
      <c r="G376" s="37">
        <v>0</v>
      </c>
      <c r="H376" s="37">
        <v>1</v>
      </c>
      <c r="I376" s="37">
        <v>0</v>
      </c>
      <c r="J376" s="945">
        <v>0.0533</v>
      </c>
      <c r="K376" s="911">
        <v>2.9</v>
      </c>
      <c r="L376" s="942">
        <f t="shared" si="73"/>
        <v>0</v>
      </c>
      <c r="M376" s="672">
        <f t="shared" si="74"/>
        <v>0</v>
      </c>
      <c r="N376" s="670" t="e">
        <f t="shared" si="78"/>
        <v>#DIV/0!</v>
      </c>
      <c r="O376" s="670" t="e">
        <f t="shared" si="79"/>
        <v>#DIV/0!</v>
      </c>
      <c r="P376" s="943" t="e">
        <f t="shared" si="80"/>
        <v>#DIV/0!</v>
      </c>
      <c r="Q376" s="675">
        <f t="shared" si="57"/>
        <v>289.61</v>
      </c>
    </row>
    <row r="377" spans="1:17">
      <c r="A377" s="684">
        <f t="shared" si="81"/>
        <v>44572</v>
      </c>
      <c r="B377" s="911">
        <v>300</v>
      </c>
      <c r="C377" s="37">
        <v>1470</v>
      </c>
      <c r="D377" s="37">
        <v>78</v>
      </c>
      <c r="E377" s="37">
        <v>0</v>
      </c>
      <c r="F377" s="943">
        <v>0</v>
      </c>
      <c r="G377" s="37">
        <v>2</v>
      </c>
      <c r="H377" s="37">
        <v>0</v>
      </c>
      <c r="I377" s="37">
        <v>0</v>
      </c>
      <c r="J377" s="945">
        <v>0.053</v>
      </c>
      <c r="K377" s="911">
        <v>3.85</v>
      </c>
      <c r="L377" s="942">
        <f t="shared" si="73"/>
        <v>0</v>
      </c>
      <c r="M377" s="672">
        <f t="shared" si="74"/>
        <v>0</v>
      </c>
      <c r="N377" s="670" t="e">
        <f t="shared" si="78"/>
        <v>#DIV/0!</v>
      </c>
      <c r="O377" s="670" t="e">
        <f t="shared" si="79"/>
        <v>#DIV/0!</v>
      </c>
      <c r="P377" s="943">
        <f t="shared" si="80"/>
        <v>150</v>
      </c>
      <c r="Q377" s="675">
        <f t="shared" si="57"/>
        <v>150</v>
      </c>
    </row>
    <row r="378" spans="1:17">
      <c r="A378" s="684">
        <f t="shared" si="81"/>
        <v>44573</v>
      </c>
      <c r="B378" s="911">
        <v>293.65</v>
      </c>
      <c r="C378" s="37">
        <v>1460</v>
      </c>
      <c r="D378" s="37">
        <v>72</v>
      </c>
      <c r="E378" s="37">
        <v>0</v>
      </c>
      <c r="F378" s="943">
        <v>0</v>
      </c>
      <c r="G378" s="37">
        <v>0</v>
      </c>
      <c r="H378" s="37">
        <v>0</v>
      </c>
      <c r="I378" s="37">
        <v>1</v>
      </c>
      <c r="J378" s="945">
        <v>0.0493</v>
      </c>
      <c r="K378" s="911">
        <v>4.08</v>
      </c>
      <c r="L378" s="942">
        <f t="shared" si="73"/>
        <v>0</v>
      </c>
      <c r="M378" s="672">
        <f t="shared" si="74"/>
        <v>0</v>
      </c>
      <c r="N378" s="670" t="e">
        <f t="shared" si="78"/>
        <v>#DIV/0!</v>
      </c>
      <c r="O378" s="670" t="e">
        <f t="shared" si="79"/>
        <v>#DIV/0!</v>
      </c>
      <c r="P378" s="943" t="e">
        <f t="shared" si="80"/>
        <v>#DIV/0!</v>
      </c>
      <c r="Q378" s="675" t="e">
        <f t="shared" si="57"/>
        <v>#DIV/0!</v>
      </c>
    </row>
    <row r="379" spans="1:17">
      <c r="A379" s="684">
        <f t="shared" si="81"/>
        <v>44574</v>
      </c>
      <c r="B379" s="911">
        <v>300</v>
      </c>
      <c r="C379" s="37">
        <v>1125</v>
      </c>
      <c r="D379" s="37">
        <v>57</v>
      </c>
      <c r="E379" s="37">
        <v>0</v>
      </c>
      <c r="F379" s="943">
        <v>0</v>
      </c>
      <c r="G379" s="37">
        <v>0</v>
      </c>
      <c r="H379" s="37">
        <v>1</v>
      </c>
      <c r="I379" s="37">
        <v>0</v>
      </c>
      <c r="J379" s="945">
        <v>0.0506</v>
      </c>
      <c r="K379" s="911">
        <v>5.26</v>
      </c>
      <c r="L379" s="942">
        <f t="shared" si="73"/>
        <v>0</v>
      </c>
      <c r="M379" s="672">
        <f t="shared" si="74"/>
        <v>0</v>
      </c>
      <c r="N379" s="670" t="e">
        <f t="shared" si="78"/>
        <v>#DIV/0!</v>
      </c>
      <c r="O379" s="670" t="e">
        <f t="shared" si="79"/>
        <v>#DIV/0!</v>
      </c>
      <c r="P379" s="943" t="e">
        <f t="shared" si="80"/>
        <v>#DIV/0!</v>
      </c>
      <c r="Q379" s="675">
        <f t="shared" si="57"/>
        <v>300</v>
      </c>
    </row>
    <row r="380" spans="1:17">
      <c r="A380" s="684">
        <f t="shared" si="81"/>
        <v>44575</v>
      </c>
      <c r="B380" s="911">
        <v>300</v>
      </c>
      <c r="C380" s="37">
        <v>930</v>
      </c>
      <c r="D380" s="37">
        <v>59</v>
      </c>
      <c r="E380" s="37">
        <v>0</v>
      </c>
      <c r="F380" s="943">
        <v>0</v>
      </c>
      <c r="G380" s="37">
        <v>0</v>
      </c>
      <c r="H380" s="37">
        <v>1</v>
      </c>
      <c r="I380" s="37">
        <v>0</v>
      </c>
      <c r="J380" s="945">
        <v>0.0634</v>
      </c>
      <c r="K380" s="911">
        <v>5.08</v>
      </c>
      <c r="L380" s="942">
        <f t="shared" si="73"/>
        <v>0</v>
      </c>
      <c r="M380" s="672">
        <f t="shared" si="74"/>
        <v>0</v>
      </c>
      <c r="N380" s="670" t="e">
        <f t="shared" si="78"/>
        <v>#DIV/0!</v>
      </c>
      <c r="O380" s="670" t="e">
        <f t="shared" si="79"/>
        <v>#DIV/0!</v>
      </c>
      <c r="P380" s="943" t="e">
        <f t="shared" si="80"/>
        <v>#DIV/0!</v>
      </c>
      <c r="Q380" s="675">
        <f t="shared" si="57"/>
        <v>300</v>
      </c>
    </row>
    <row r="381" spans="1:17">
      <c r="A381" s="684">
        <f t="shared" si="81"/>
        <v>44576</v>
      </c>
      <c r="B381" s="911">
        <v>300</v>
      </c>
      <c r="C381" s="37">
        <v>2590</v>
      </c>
      <c r="D381" s="37">
        <v>80</v>
      </c>
      <c r="E381" s="37">
        <v>0</v>
      </c>
      <c r="F381" s="943">
        <v>0</v>
      </c>
      <c r="G381" s="37">
        <v>0</v>
      </c>
      <c r="H381" s="37">
        <v>0</v>
      </c>
      <c r="I381" s="37">
        <v>0</v>
      </c>
      <c r="J381" s="945">
        <v>0.0308</v>
      </c>
      <c r="K381" s="911">
        <v>3.75</v>
      </c>
      <c r="L381" s="942">
        <f t="shared" si="73"/>
        <v>0</v>
      </c>
      <c r="M381" s="672">
        <f t="shared" si="74"/>
        <v>0</v>
      </c>
      <c r="N381" s="670" t="e">
        <f t="shared" si="78"/>
        <v>#DIV/0!</v>
      </c>
      <c r="O381" s="670" t="e">
        <f t="shared" si="79"/>
        <v>#DIV/0!</v>
      </c>
      <c r="P381" s="943" t="e">
        <f t="shared" si="80"/>
        <v>#DIV/0!</v>
      </c>
      <c r="Q381" s="675" t="e">
        <f t="shared" si="57"/>
        <v>#DIV/0!</v>
      </c>
    </row>
    <row r="382" spans="1:17">
      <c r="A382" s="684">
        <f t="shared" si="81"/>
        <v>44577</v>
      </c>
      <c r="B382" s="911">
        <v>300</v>
      </c>
      <c r="C382" s="37">
        <v>2512</v>
      </c>
      <c r="D382" s="37">
        <v>47</v>
      </c>
      <c r="E382" s="37">
        <v>0</v>
      </c>
      <c r="F382" s="943">
        <v>0</v>
      </c>
      <c r="G382" s="37">
        <v>0</v>
      </c>
      <c r="H382" s="37">
        <v>0</v>
      </c>
      <c r="I382" s="37">
        <v>1</v>
      </c>
      <c r="J382" s="945">
        <v>0.0187</v>
      </c>
      <c r="K382" s="911">
        <v>6.38</v>
      </c>
      <c r="L382" s="942">
        <f t="shared" si="73"/>
        <v>0</v>
      </c>
      <c r="M382" s="672">
        <f t="shared" si="74"/>
        <v>0</v>
      </c>
      <c r="N382" s="670" t="e">
        <f t="shared" si="78"/>
        <v>#DIV/0!</v>
      </c>
      <c r="O382" s="670" t="e">
        <f t="shared" si="79"/>
        <v>#DIV/0!</v>
      </c>
      <c r="P382" s="943" t="e">
        <f t="shared" si="80"/>
        <v>#DIV/0!</v>
      </c>
      <c r="Q382" s="675" t="e">
        <f t="shared" si="57"/>
        <v>#DIV/0!</v>
      </c>
    </row>
    <row r="383" spans="1:17">
      <c r="A383" s="684">
        <f t="shared" si="81"/>
        <v>44578</v>
      </c>
      <c r="B383" s="911">
        <v>300</v>
      </c>
      <c r="C383" s="37">
        <v>3004</v>
      </c>
      <c r="D383" s="37">
        <v>72</v>
      </c>
      <c r="E383" s="37">
        <v>0</v>
      </c>
      <c r="F383" s="943">
        <v>0</v>
      </c>
      <c r="G383" s="37">
        <v>0</v>
      </c>
      <c r="H383" s="37">
        <v>0</v>
      </c>
      <c r="I383" s="37">
        <v>0</v>
      </c>
      <c r="J383" s="945">
        <v>0.0239</v>
      </c>
      <c r="K383" s="911">
        <v>4.17</v>
      </c>
      <c r="L383" s="942">
        <f t="shared" si="73"/>
        <v>0</v>
      </c>
      <c r="M383" s="672">
        <f t="shared" si="74"/>
        <v>0</v>
      </c>
      <c r="N383" s="670" t="e">
        <f t="shared" si="78"/>
        <v>#DIV/0!</v>
      </c>
      <c r="O383" s="670" t="e">
        <f t="shared" si="79"/>
        <v>#DIV/0!</v>
      </c>
      <c r="P383" s="943" t="e">
        <f t="shared" si="80"/>
        <v>#DIV/0!</v>
      </c>
      <c r="Q383" s="675" t="e">
        <f t="shared" si="57"/>
        <v>#DIV/0!</v>
      </c>
    </row>
    <row r="384" spans="1:17">
      <c r="A384" s="684">
        <f t="shared" si="81"/>
        <v>44579</v>
      </c>
      <c r="B384" s="911">
        <v>300</v>
      </c>
      <c r="C384" s="37">
        <v>2426</v>
      </c>
      <c r="D384" s="37">
        <v>63</v>
      </c>
      <c r="E384" s="37">
        <v>0</v>
      </c>
      <c r="F384" s="943">
        <v>0</v>
      </c>
      <c r="G384" s="37">
        <v>1</v>
      </c>
      <c r="H384" s="37">
        <v>0</v>
      </c>
      <c r="I384" s="37">
        <v>1</v>
      </c>
      <c r="J384" s="945">
        <v>0.0259</v>
      </c>
      <c r="K384" s="911">
        <v>4.76</v>
      </c>
      <c r="L384" s="942">
        <f t="shared" si="73"/>
        <v>0</v>
      </c>
      <c r="M384" s="672">
        <f t="shared" si="74"/>
        <v>0</v>
      </c>
      <c r="N384" s="670" t="e">
        <f t="shared" si="78"/>
        <v>#DIV/0!</v>
      </c>
      <c r="O384" s="670" t="e">
        <f t="shared" si="79"/>
        <v>#DIV/0!</v>
      </c>
      <c r="P384" s="943">
        <f t="shared" si="80"/>
        <v>300</v>
      </c>
      <c r="Q384" s="675">
        <f t="shared" si="57"/>
        <v>300</v>
      </c>
    </row>
    <row r="385" spans="1:17">
      <c r="A385" s="684">
        <f t="shared" si="81"/>
        <v>44580</v>
      </c>
      <c r="B385" s="911">
        <v>300</v>
      </c>
      <c r="C385" s="37">
        <v>2750</v>
      </c>
      <c r="D385" s="37">
        <v>52</v>
      </c>
      <c r="E385" s="37">
        <v>0</v>
      </c>
      <c r="F385" s="943">
        <v>0</v>
      </c>
      <c r="G385" s="37">
        <v>0</v>
      </c>
      <c r="H385" s="37">
        <v>0</v>
      </c>
      <c r="I385" s="37">
        <v>1</v>
      </c>
      <c r="J385" s="945">
        <v>0.0189</v>
      </c>
      <c r="K385" s="911">
        <v>5.77</v>
      </c>
      <c r="L385" s="942">
        <f t="shared" si="73"/>
        <v>0</v>
      </c>
      <c r="M385" s="672">
        <f t="shared" si="74"/>
        <v>0</v>
      </c>
      <c r="N385" s="670" t="e">
        <f t="shared" si="78"/>
        <v>#DIV/0!</v>
      </c>
      <c r="O385" s="670" t="e">
        <f t="shared" si="79"/>
        <v>#DIV/0!</v>
      </c>
      <c r="P385" s="943" t="e">
        <f t="shared" si="80"/>
        <v>#DIV/0!</v>
      </c>
      <c r="Q385" s="675" t="e">
        <f t="shared" si="57"/>
        <v>#DIV/0!</v>
      </c>
    </row>
    <row r="386" spans="1:17">
      <c r="A386" s="684">
        <f t="shared" si="81"/>
        <v>44581</v>
      </c>
      <c r="B386" s="911">
        <v>300</v>
      </c>
      <c r="C386" s="37">
        <v>2690</v>
      </c>
      <c r="D386" s="37">
        <v>59</v>
      </c>
      <c r="E386" s="37">
        <v>0</v>
      </c>
      <c r="F386" s="943">
        <v>0</v>
      </c>
      <c r="G386" s="37">
        <v>1</v>
      </c>
      <c r="H386" s="37">
        <v>0</v>
      </c>
      <c r="I386" s="37">
        <v>0</v>
      </c>
      <c r="J386" s="945">
        <v>0.0219</v>
      </c>
      <c r="K386" s="911">
        <v>5.08</v>
      </c>
      <c r="L386" s="942">
        <f t="shared" si="73"/>
        <v>0</v>
      </c>
      <c r="M386" s="672">
        <f t="shared" si="74"/>
        <v>0</v>
      </c>
      <c r="N386" s="670" t="e">
        <f t="shared" si="78"/>
        <v>#DIV/0!</v>
      </c>
      <c r="O386" s="670" t="e">
        <f t="shared" si="79"/>
        <v>#DIV/0!</v>
      </c>
      <c r="P386" s="943">
        <f t="shared" si="80"/>
        <v>300</v>
      </c>
      <c r="Q386" s="675">
        <f t="shared" si="57"/>
        <v>300</v>
      </c>
    </row>
    <row r="387" spans="1:17">
      <c r="A387" s="684">
        <f t="shared" si="81"/>
        <v>44582</v>
      </c>
      <c r="B387" s="911">
        <v>222.87</v>
      </c>
      <c r="C387" s="37">
        <v>1007</v>
      </c>
      <c r="D387" s="37">
        <v>55</v>
      </c>
      <c r="E387" s="37">
        <v>0</v>
      </c>
      <c r="F387" s="943">
        <v>0</v>
      </c>
      <c r="G387" s="37">
        <v>1</v>
      </c>
      <c r="H387" s="37">
        <v>0</v>
      </c>
      <c r="I387" s="37">
        <v>0</v>
      </c>
      <c r="J387" s="945">
        <v>0.0546</v>
      </c>
      <c r="K387" s="911">
        <v>4.05</v>
      </c>
      <c r="L387" s="942">
        <f t="shared" si="73"/>
        <v>0</v>
      </c>
      <c r="M387" s="672">
        <f t="shared" si="74"/>
        <v>0</v>
      </c>
      <c r="N387" s="670" t="e">
        <f t="shared" si="78"/>
        <v>#DIV/0!</v>
      </c>
      <c r="O387" s="670" t="e">
        <f t="shared" si="79"/>
        <v>#DIV/0!</v>
      </c>
      <c r="P387" s="943">
        <f t="shared" si="80"/>
        <v>222.87</v>
      </c>
      <c r="Q387" s="675">
        <f t="shared" si="57"/>
        <v>222.87</v>
      </c>
    </row>
    <row r="388" spans="1:17">
      <c r="A388" s="684">
        <f t="shared" si="81"/>
        <v>44583</v>
      </c>
      <c r="B388" s="670" t="s">
        <v>18</v>
      </c>
      <c r="C388" s="41" t="s">
        <v>18</v>
      </c>
      <c r="D388" s="41" t="s">
        <v>18</v>
      </c>
      <c r="E388" s="41" t="s">
        <v>18</v>
      </c>
      <c r="F388" s="670" t="s">
        <v>18</v>
      </c>
      <c r="G388" s="41" t="s">
        <v>18</v>
      </c>
      <c r="H388" s="41" t="s">
        <v>18</v>
      </c>
      <c r="I388" s="41" t="s">
        <v>18</v>
      </c>
      <c r="J388" s="41" t="s">
        <v>18</v>
      </c>
      <c r="K388" s="670" t="s">
        <v>18</v>
      </c>
      <c r="L388" s="41" t="s">
        <v>18</v>
      </c>
      <c r="M388" s="41" t="s">
        <v>18</v>
      </c>
      <c r="N388" s="670" t="s">
        <v>18</v>
      </c>
      <c r="O388" s="670" t="s">
        <v>18</v>
      </c>
      <c r="P388" s="670" t="s">
        <v>18</v>
      </c>
      <c r="Q388" s="675" t="e">
        <f t="shared" si="57"/>
        <v>#VALUE!</v>
      </c>
    </row>
    <row r="389" spans="1:17">
      <c r="A389" s="684">
        <f t="shared" si="81"/>
        <v>44584</v>
      </c>
      <c r="B389" s="670" t="s">
        <v>18</v>
      </c>
      <c r="C389" s="41" t="s">
        <v>18</v>
      </c>
      <c r="D389" s="41" t="s">
        <v>18</v>
      </c>
      <c r="E389" s="41" t="s">
        <v>18</v>
      </c>
      <c r="F389" s="670" t="s">
        <v>18</v>
      </c>
      <c r="G389" s="41" t="s">
        <v>18</v>
      </c>
      <c r="H389" s="41" t="s">
        <v>18</v>
      </c>
      <c r="I389" s="41" t="s">
        <v>18</v>
      </c>
      <c r="J389" s="41" t="s">
        <v>18</v>
      </c>
      <c r="K389" s="670" t="s">
        <v>18</v>
      </c>
      <c r="L389" s="41" t="s">
        <v>18</v>
      </c>
      <c r="M389" s="41" t="s">
        <v>18</v>
      </c>
      <c r="N389" s="670" t="s">
        <v>18</v>
      </c>
      <c r="O389" s="670" t="s">
        <v>18</v>
      </c>
      <c r="P389" s="670" t="s">
        <v>18</v>
      </c>
      <c r="Q389" s="675" t="e">
        <f t="shared" si="57"/>
        <v>#VALUE!</v>
      </c>
    </row>
    <row r="390" spans="1:17">
      <c r="A390" s="684">
        <f t="shared" si="81"/>
        <v>44585</v>
      </c>
      <c r="B390" s="670" t="s">
        <v>18</v>
      </c>
      <c r="C390" s="41" t="s">
        <v>18</v>
      </c>
      <c r="D390" s="41" t="s">
        <v>18</v>
      </c>
      <c r="E390" s="41" t="s">
        <v>18</v>
      </c>
      <c r="F390" s="670" t="s">
        <v>18</v>
      </c>
      <c r="G390" s="41" t="s">
        <v>18</v>
      </c>
      <c r="H390" s="41" t="s">
        <v>18</v>
      </c>
      <c r="I390" s="41" t="s">
        <v>18</v>
      </c>
      <c r="J390" s="41" t="s">
        <v>18</v>
      </c>
      <c r="K390" s="670" t="s">
        <v>18</v>
      </c>
      <c r="L390" s="41" t="s">
        <v>18</v>
      </c>
      <c r="M390" s="41" t="s">
        <v>18</v>
      </c>
      <c r="N390" s="670" t="s">
        <v>18</v>
      </c>
      <c r="O390" s="670" t="s">
        <v>18</v>
      </c>
      <c r="P390" s="670" t="s">
        <v>18</v>
      </c>
      <c r="Q390" s="675" t="e">
        <f t="shared" ref="Q390:Q453" si="82">B390/(G390+H390)</f>
        <v>#VALUE!</v>
      </c>
    </row>
    <row r="391" spans="1:17">
      <c r="A391" s="684">
        <f t="shared" si="81"/>
        <v>44586</v>
      </c>
      <c r="B391" s="670" t="s">
        <v>18</v>
      </c>
      <c r="C391" s="41" t="s">
        <v>18</v>
      </c>
      <c r="D391" s="41" t="s">
        <v>18</v>
      </c>
      <c r="E391" s="41" t="s">
        <v>18</v>
      </c>
      <c r="F391" s="670" t="s">
        <v>18</v>
      </c>
      <c r="G391" s="41" t="s">
        <v>18</v>
      </c>
      <c r="H391" s="41" t="s">
        <v>18</v>
      </c>
      <c r="I391" s="41" t="s">
        <v>18</v>
      </c>
      <c r="J391" s="41" t="s">
        <v>18</v>
      </c>
      <c r="K391" s="670" t="s">
        <v>18</v>
      </c>
      <c r="L391" s="41" t="s">
        <v>18</v>
      </c>
      <c r="M391" s="41" t="s">
        <v>18</v>
      </c>
      <c r="N391" s="670" t="s">
        <v>18</v>
      </c>
      <c r="O391" s="670" t="s">
        <v>18</v>
      </c>
      <c r="P391" s="670" t="s">
        <v>18</v>
      </c>
      <c r="Q391" s="675" t="e">
        <f t="shared" si="82"/>
        <v>#VALUE!</v>
      </c>
    </row>
    <row r="392" spans="1:17">
      <c r="A392" s="684">
        <f t="shared" si="81"/>
        <v>44587</v>
      </c>
      <c r="B392" s="670" t="s">
        <v>18</v>
      </c>
      <c r="C392" s="41" t="s">
        <v>18</v>
      </c>
      <c r="D392" s="41" t="s">
        <v>18</v>
      </c>
      <c r="E392" s="41" t="s">
        <v>18</v>
      </c>
      <c r="F392" s="670" t="s">
        <v>18</v>
      </c>
      <c r="G392" s="41" t="s">
        <v>18</v>
      </c>
      <c r="H392" s="41" t="s">
        <v>18</v>
      </c>
      <c r="I392" s="41" t="s">
        <v>18</v>
      </c>
      <c r="J392" s="41" t="s">
        <v>18</v>
      </c>
      <c r="K392" s="670" t="s">
        <v>18</v>
      </c>
      <c r="L392" s="41" t="s">
        <v>18</v>
      </c>
      <c r="M392" s="41" t="s">
        <v>18</v>
      </c>
      <c r="N392" s="670" t="s">
        <v>18</v>
      </c>
      <c r="O392" s="670" t="s">
        <v>18</v>
      </c>
      <c r="P392" s="670" t="s">
        <v>18</v>
      </c>
      <c r="Q392" s="675" t="e">
        <f t="shared" si="82"/>
        <v>#VALUE!</v>
      </c>
    </row>
    <row r="393" spans="1:17">
      <c r="A393" s="684">
        <f t="shared" si="81"/>
        <v>44588</v>
      </c>
      <c r="B393" s="670" t="s">
        <v>18</v>
      </c>
      <c r="C393" s="41" t="s">
        <v>18</v>
      </c>
      <c r="D393" s="41" t="s">
        <v>18</v>
      </c>
      <c r="E393" s="41" t="s">
        <v>18</v>
      </c>
      <c r="F393" s="670" t="s">
        <v>18</v>
      </c>
      <c r="G393" s="41" t="s">
        <v>18</v>
      </c>
      <c r="H393" s="41" t="s">
        <v>18</v>
      </c>
      <c r="I393" s="41" t="s">
        <v>18</v>
      </c>
      <c r="J393" s="41" t="s">
        <v>18</v>
      </c>
      <c r="K393" s="670" t="s">
        <v>18</v>
      </c>
      <c r="L393" s="41" t="s">
        <v>18</v>
      </c>
      <c r="M393" s="41" t="s">
        <v>18</v>
      </c>
      <c r="N393" s="670" t="s">
        <v>18</v>
      </c>
      <c r="O393" s="670" t="s">
        <v>18</v>
      </c>
      <c r="P393" s="670" t="s">
        <v>18</v>
      </c>
      <c r="Q393" s="675" t="e">
        <f t="shared" si="82"/>
        <v>#VALUE!</v>
      </c>
    </row>
    <row r="394" spans="1:17">
      <c r="A394" s="684">
        <f t="shared" si="81"/>
        <v>44589</v>
      </c>
      <c r="B394" s="670" t="s">
        <v>18</v>
      </c>
      <c r="C394" s="41" t="s">
        <v>18</v>
      </c>
      <c r="D394" s="41" t="s">
        <v>18</v>
      </c>
      <c r="E394" s="41" t="s">
        <v>18</v>
      </c>
      <c r="F394" s="670" t="s">
        <v>18</v>
      </c>
      <c r="G394" s="41" t="s">
        <v>18</v>
      </c>
      <c r="H394" s="41" t="s">
        <v>18</v>
      </c>
      <c r="I394" s="41" t="s">
        <v>18</v>
      </c>
      <c r="J394" s="41" t="s">
        <v>18</v>
      </c>
      <c r="K394" s="670" t="s">
        <v>18</v>
      </c>
      <c r="L394" s="41" t="s">
        <v>18</v>
      </c>
      <c r="M394" s="41" t="s">
        <v>18</v>
      </c>
      <c r="N394" s="670" t="s">
        <v>18</v>
      </c>
      <c r="O394" s="670" t="s">
        <v>18</v>
      </c>
      <c r="P394" s="670" t="s">
        <v>18</v>
      </c>
      <c r="Q394" s="675" t="e">
        <f t="shared" si="82"/>
        <v>#VALUE!</v>
      </c>
    </row>
    <row r="395" spans="1:17">
      <c r="A395" s="684">
        <f t="shared" si="81"/>
        <v>44590</v>
      </c>
      <c r="B395" s="670" t="s">
        <v>18</v>
      </c>
      <c r="C395" s="41" t="s">
        <v>18</v>
      </c>
      <c r="D395" s="41" t="s">
        <v>18</v>
      </c>
      <c r="E395" s="41" t="s">
        <v>18</v>
      </c>
      <c r="F395" s="670" t="s">
        <v>18</v>
      </c>
      <c r="G395" s="41" t="s">
        <v>18</v>
      </c>
      <c r="H395" s="41" t="s">
        <v>18</v>
      </c>
      <c r="I395" s="41" t="s">
        <v>18</v>
      </c>
      <c r="J395" s="41" t="s">
        <v>18</v>
      </c>
      <c r="K395" s="670" t="s">
        <v>18</v>
      </c>
      <c r="L395" s="41" t="s">
        <v>18</v>
      </c>
      <c r="M395" s="41" t="s">
        <v>18</v>
      </c>
      <c r="N395" s="670" t="s">
        <v>18</v>
      </c>
      <c r="O395" s="670" t="s">
        <v>18</v>
      </c>
      <c r="P395" s="670" t="s">
        <v>18</v>
      </c>
      <c r="Q395" s="675" t="e">
        <f t="shared" si="82"/>
        <v>#VALUE!</v>
      </c>
    </row>
    <row r="396" spans="1:17">
      <c r="A396" s="684">
        <f t="shared" si="81"/>
        <v>44591</v>
      </c>
      <c r="B396" s="670" t="s">
        <v>18</v>
      </c>
      <c r="C396" s="41" t="s">
        <v>18</v>
      </c>
      <c r="D396" s="41" t="s">
        <v>18</v>
      </c>
      <c r="E396" s="41" t="s">
        <v>18</v>
      </c>
      <c r="F396" s="670" t="s">
        <v>18</v>
      </c>
      <c r="G396" s="41" t="s">
        <v>18</v>
      </c>
      <c r="H396" s="41" t="s">
        <v>18</v>
      </c>
      <c r="I396" s="41" t="s">
        <v>18</v>
      </c>
      <c r="J396" s="41" t="s">
        <v>18</v>
      </c>
      <c r="K396" s="670" t="s">
        <v>18</v>
      </c>
      <c r="L396" s="41" t="s">
        <v>18</v>
      </c>
      <c r="M396" s="41" t="s">
        <v>18</v>
      </c>
      <c r="N396" s="670" t="s">
        <v>18</v>
      </c>
      <c r="O396" s="670" t="s">
        <v>18</v>
      </c>
      <c r="P396" s="670" t="s">
        <v>18</v>
      </c>
      <c r="Q396" s="675" t="e">
        <f t="shared" si="82"/>
        <v>#VALUE!</v>
      </c>
    </row>
    <row r="397" spans="1:17">
      <c r="A397" s="684">
        <f t="shared" si="81"/>
        <v>44592</v>
      </c>
      <c r="B397" s="670" t="s">
        <v>18</v>
      </c>
      <c r="C397" s="41" t="s">
        <v>18</v>
      </c>
      <c r="D397" s="41" t="s">
        <v>18</v>
      </c>
      <c r="E397" s="41" t="s">
        <v>18</v>
      </c>
      <c r="F397" s="670" t="s">
        <v>18</v>
      </c>
      <c r="G397" s="41" t="s">
        <v>18</v>
      </c>
      <c r="H397" s="41" t="s">
        <v>18</v>
      </c>
      <c r="I397" s="41" t="s">
        <v>18</v>
      </c>
      <c r="J397" s="41" t="s">
        <v>18</v>
      </c>
      <c r="K397" s="670" t="s">
        <v>18</v>
      </c>
      <c r="L397" s="41" t="s">
        <v>18</v>
      </c>
      <c r="M397" s="41" t="s">
        <v>18</v>
      </c>
      <c r="N397" s="670" t="s">
        <v>18</v>
      </c>
      <c r="O397" s="670" t="s">
        <v>18</v>
      </c>
      <c r="P397" s="670" t="s">
        <v>18</v>
      </c>
      <c r="Q397" s="675" t="e">
        <f t="shared" si="82"/>
        <v>#VALUE!</v>
      </c>
    </row>
    <row r="398" spans="1:17">
      <c r="A398" s="684">
        <f t="shared" si="81"/>
        <v>44593</v>
      </c>
      <c r="B398" s="670" t="s">
        <v>18</v>
      </c>
      <c r="C398" s="41" t="s">
        <v>18</v>
      </c>
      <c r="D398" s="41" t="s">
        <v>18</v>
      </c>
      <c r="E398" s="41" t="s">
        <v>18</v>
      </c>
      <c r="F398" s="670" t="s">
        <v>18</v>
      </c>
      <c r="G398" s="41" t="s">
        <v>18</v>
      </c>
      <c r="H398" s="41" t="s">
        <v>18</v>
      </c>
      <c r="I398" s="41" t="s">
        <v>18</v>
      </c>
      <c r="J398" s="41" t="s">
        <v>18</v>
      </c>
      <c r="K398" s="670" t="s">
        <v>18</v>
      </c>
      <c r="L398" s="41" t="s">
        <v>18</v>
      </c>
      <c r="M398" s="41" t="s">
        <v>18</v>
      </c>
      <c r="N398" s="670" t="s">
        <v>18</v>
      </c>
      <c r="O398" s="670" t="s">
        <v>18</v>
      </c>
      <c r="P398" s="670" t="s">
        <v>18</v>
      </c>
      <c r="Q398" s="675" t="e">
        <f t="shared" si="82"/>
        <v>#VALUE!</v>
      </c>
    </row>
    <row r="399" spans="1:17">
      <c r="A399" s="684">
        <f t="shared" si="81"/>
        <v>44594</v>
      </c>
      <c r="B399" s="670" t="s">
        <v>18</v>
      </c>
      <c r="C399" s="41" t="s">
        <v>18</v>
      </c>
      <c r="D399" s="41" t="s">
        <v>18</v>
      </c>
      <c r="E399" s="41" t="s">
        <v>18</v>
      </c>
      <c r="F399" s="670" t="s">
        <v>18</v>
      </c>
      <c r="G399" s="41" t="s">
        <v>18</v>
      </c>
      <c r="H399" s="41" t="s">
        <v>18</v>
      </c>
      <c r="I399" s="41" t="s">
        <v>18</v>
      </c>
      <c r="J399" s="41" t="s">
        <v>18</v>
      </c>
      <c r="K399" s="670" t="s">
        <v>18</v>
      </c>
      <c r="L399" s="41" t="s">
        <v>18</v>
      </c>
      <c r="M399" s="41" t="s">
        <v>18</v>
      </c>
      <c r="N399" s="670" t="s">
        <v>18</v>
      </c>
      <c r="O399" s="670" t="s">
        <v>18</v>
      </c>
      <c r="P399" s="670" t="s">
        <v>18</v>
      </c>
      <c r="Q399" s="675" t="e">
        <f t="shared" si="82"/>
        <v>#VALUE!</v>
      </c>
    </row>
    <row r="400" spans="1:17">
      <c r="A400" s="684">
        <f t="shared" si="81"/>
        <v>44595</v>
      </c>
      <c r="B400" s="670" t="s">
        <v>18</v>
      </c>
      <c r="C400" s="41" t="s">
        <v>18</v>
      </c>
      <c r="D400" s="41" t="s">
        <v>18</v>
      </c>
      <c r="E400" s="41" t="s">
        <v>18</v>
      </c>
      <c r="F400" s="670" t="s">
        <v>18</v>
      </c>
      <c r="G400" s="41" t="s">
        <v>18</v>
      </c>
      <c r="H400" s="41" t="s">
        <v>18</v>
      </c>
      <c r="I400" s="41" t="s">
        <v>18</v>
      </c>
      <c r="J400" s="41" t="s">
        <v>18</v>
      </c>
      <c r="K400" s="670" t="s">
        <v>18</v>
      </c>
      <c r="L400" s="41" t="s">
        <v>18</v>
      </c>
      <c r="M400" s="41" t="s">
        <v>18</v>
      </c>
      <c r="N400" s="670" t="s">
        <v>18</v>
      </c>
      <c r="O400" s="670" t="s">
        <v>18</v>
      </c>
      <c r="P400" s="670" t="s">
        <v>18</v>
      </c>
      <c r="Q400" s="675" t="e">
        <f t="shared" si="82"/>
        <v>#VALUE!</v>
      </c>
    </row>
    <row r="401" spans="1:17">
      <c r="A401" s="684">
        <f t="shared" ref="A401:A429" si="83">A400+1</f>
        <v>44596</v>
      </c>
      <c r="B401" s="670" t="s">
        <v>18</v>
      </c>
      <c r="C401" s="41" t="s">
        <v>18</v>
      </c>
      <c r="D401" s="41" t="s">
        <v>18</v>
      </c>
      <c r="E401" s="41" t="s">
        <v>18</v>
      </c>
      <c r="F401" s="670" t="s">
        <v>18</v>
      </c>
      <c r="G401" s="41" t="s">
        <v>18</v>
      </c>
      <c r="H401" s="41" t="s">
        <v>18</v>
      </c>
      <c r="I401" s="41" t="s">
        <v>18</v>
      </c>
      <c r="J401" s="41" t="s">
        <v>18</v>
      </c>
      <c r="K401" s="670" t="s">
        <v>18</v>
      </c>
      <c r="L401" s="41" t="s">
        <v>18</v>
      </c>
      <c r="M401" s="41" t="s">
        <v>18</v>
      </c>
      <c r="N401" s="670" t="s">
        <v>18</v>
      </c>
      <c r="O401" s="670" t="s">
        <v>18</v>
      </c>
      <c r="P401" s="670" t="s">
        <v>18</v>
      </c>
      <c r="Q401" s="675" t="e">
        <f t="shared" si="82"/>
        <v>#VALUE!</v>
      </c>
    </row>
    <row r="402" spans="1:17">
      <c r="A402" s="684">
        <f t="shared" si="83"/>
        <v>44597</v>
      </c>
      <c r="B402" s="670" t="s">
        <v>18</v>
      </c>
      <c r="C402" s="41" t="s">
        <v>18</v>
      </c>
      <c r="D402" s="41" t="s">
        <v>18</v>
      </c>
      <c r="E402" s="41" t="s">
        <v>18</v>
      </c>
      <c r="F402" s="670" t="s">
        <v>18</v>
      </c>
      <c r="G402" s="41" t="s">
        <v>18</v>
      </c>
      <c r="H402" s="41" t="s">
        <v>18</v>
      </c>
      <c r="I402" s="41" t="s">
        <v>18</v>
      </c>
      <c r="J402" s="41" t="s">
        <v>18</v>
      </c>
      <c r="K402" s="670" t="s">
        <v>18</v>
      </c>
      <c r="L402" s="41" t="s">
        <v>18</v>
      </c>
      <c r="M402" s="41" t="s">
        <v>18</v>
      </c>
      <c r="N402" s="670" t="s">
        <v>18</v>
      </c>
      <c r="O402" s="670" t="s">
        <v>18</v>
      </c>
      <c r="P402" s="670" t="s">
        <v>18</v>
      </c>
      <c r="Q402" s="675" t="e">
        <f t="shared" si="82"/>
        <v>#VALUE!</v>
      </c>
    </row>
    <row r="403" spans="1:17">
      <c r="A403" s="684">
        <f t="shared" si="83"/>
        <v>44598</v>
      </c>
      <c r="B403" s="670" t="s">
        <v>18</v>
      </c>
      <c r="C403" s="41" t="s">
        <v>18</v>
      </c>
      <c r="D403" s="41" t="s">
        <v>18</v>
      </c>
      <c r="E403" s="41" t="s">
        <v>18</v>
      </c>
      <c r="F403" s="670" t="s">
        <v>18</v>
      </c>
      <c r="G403" s="41" t="s">
        <v>18</v>
      </c>
      <c r="H403" s="41" t="s">
        <v>18</v>
      </c>
      <c r="I403" s="41" t="s">
        <v>18</v>
      </c>
      <c r="J403" s="41" t="s">
        <v>18</v>
      </c>
      <c r="K403" s="670" t="s">
        <v>18</v>
      </c>
      <c r="L403" s="41" t="s">
        <v>18</v>
      </c>
      <c r="M403" s="41" t="s">
        <v>18</v>
      </c>
      <c r="N403" s="670" t="s">
        <v>18</v>
      </c>
      <c r="O403" s="670" t="s">
        <v>18</v>
      </c>
      <c r="P403" s="670" t="s">
        <v>18</v>
      </c>
      <c r="Q403" s="675" t="e">
        <f t="shared" si="82"/>
        <v>#VALUE!</v>
      </c>
    </row>
    <row r="404" spans="1:17">
      <c r="A404" s="684">
        <f t="shared" si="83"/>
        <v>44599</v>
      </c>
      <c r="B404" s="670" t="s">
        <v>18</v>
      </c>
      <c r="C404" s="41" t="s">
        <v>18</v>
      </c>
      <c r="D404" s="41" t="s">
        <v>18</v>
      </c>
      <c r="E404" s="41" t="s">
        <v>18</v>
      </c>
      <c r="F404" s="670" t="s">
        <v>18</v>
      </c>
      <c r="G404" s="41" t="s">
        <v>18</v>
      </c>
      <c r="H404" s="41" t="s">
        <v>18</v>
      </c>
      <c r="I404" s="41" t="s">
        <v>18</v>
      </c>
      <c r="J404" s="41" t="s">
        <v>18</v>
      </c>
      <c r="K404" s="670" t="s">
        <v>18</v>
      </c>
      <c r="L404" s="41" t="s">
        <v>18</v>
      </c>
      <c r="M404" s="41" t="s">
        <v>18</v>
      </c>
      <c r="N404" s="670" t="s">
        <v>18</v>
      </c>
      <c r="O404" s="670" t="s">
        <v>18</v>
      </c>
      <c r="P404" s="670" t="s">
        <v>18</v>
      </c>
      <c r="Q404" s="675" t="e">
        <f t="shared" si="82"/>
        <v>#VALUE!</v>
      </c>
    </row>
    <row r="405" spans="1:17">
      <c r="A405" s="684">
        <f t="shared" si="83"/>
        <v>44600</v>
      </c>
      <c r="B405" s="670" t="s">
        <v>18</v>
      </c>
      <c r="C405" s="41" t="s">
        <v>18</v>
      </c>
      <c r="D405" s="41" t="s">
        <v>18</v>
      </c>
      <c r="E405" s="41" t="s">
        <v>18</v>
      </c>
      <c r="F405" s="670" t="s">
        <v>18</v>
      </c>
      <c r="G405" s="41" t="s">
        <v>18</v>
      </c>
      <c r="H405" s="41" t="s">
        <v>18</v>
      </c>
      <c r="I405" s="41" t="s">
        <v>18</v>
      </c>
      <c r="J405" s="41" t="s">
        <v>18</v>
      </c>
      <c r="K405" s="670" t="s">
        <v>18</v>
      </c>
      <c r="L405" s="41" t="s">
        <v>18</v>
      </c>
      <c r="M405" s="41" t="s">
        <v>18</v>
      </c>
      <c r="N405" s="670" t="s">
        <v>18</v>
      </c>
      <c r="O405" s="670" t="s">
        <v>18</v>
      </c>
      <c r="P405" s="670" t="s">
        <v>18</v>
      </c>
      <c r="Q405" s="675" t="e">
        <f t="shared" si="82"/>
        <v>#VALUE!</v>
      </c>
    </row>
    <row r="406" spans="1:17">
      <c r="A406" s="684">
        <f t="shared" si="83"/>
        <v>44601</v>
      </c>
      <c r="B406" s="911">
        <v>154.62</v>
      </c>
      <c r="C406" s="37">
        <v>334</v>
      </c>
      <c r="D406" s="37">
        <v>43</v>
      </c>
      <c r="E406" s="37">
        <v>0</v>
      </c>
      <c r="F406" s="911">
        <v>0</v>
      </c>
      <c r="G406" s="37">
        <v>0</v>
      </c>
      <c r="H406" s="37">
        <v>1</v>
      </c>
      <c r="I406" s="37">
        <v>0</v>
      </c>
      <c r="J406" s="946">
        <v>0.128</v>
      </c>
      <c r="K406" s="911">
        <v>3.6</v>
      </c>
      <c r="L406" s="947">
        <v>0</v>
      </c>
      <c r="M406" s="672">
        <v>0</v>
      </c>
      <c r="N406" s="670" t="e">
        <f>F406/E406</f>
        <v>#DIV/0!</v>
      </c>
      <c r="O406" s="670" t="e">
        <f>B406/E406</f>
        <v>#DIV/0!</v>
      </c>
      <c r="P406" s="943" t="e">
        <f>B406/G406</f>
        <v>#DIV/0!</v>
      </c>
      <c r="Q406" s="675">
        <f t="shared" si="82"/>
        <v>154.62</v>
      </c>
    </row>
    <row r="407" spans="1:17">
      <c r="A407" s="684">
        <f t="shared" si="83"/>
        <v>44602</v>
      </c>
      <c r="B407" s="911">
        <v>300</v>
      </c>
      <c r="C407" s="37">
        <v>1260</v>
      </c>
      <c r="D407" s="37">
        <v>89</v>
      </c>
      <c r="E407" s="37">
        <v>0</v>
      </c>
      <c r="F407" s="911">
        <v>0</v>
      </c>
      <c r="G407" s="37">
        <v>0</v>
      </c>
      <c r="H407" s="37">
        <v>0</v>
      </c>
      <c r="I407" s="37">
        <v>0</v>
      </c>
      <c r="J407" s="946">
        <v>0.0706</v>
      </c>
      <c r="K407" s="911">
        <v>3.37</v>
      </c>
      <c r="L407" s="947">
        <v>0</v>
      </c>
      <c r="M407" s="672">
        <v>0</v>
      </c>
      <c r="N407" s="670" t="e">
        <f t="shared" ref="N407:N426" si="84">F407/E407</f>
        <v>#DIV/0!</v>
      </c>
      <c r="O407" s="670" t="e">
        <f t="shared" ref="O407:O425" si="85">B407/E407</f>
        <v>#DIV/0!</v>
      </c>
      <c r="P407" s="943" t="e">
        <f t="shared" ref="P407:P436" si="86">B407/G407</f>
        <v>#DIV/0!</v>
      </c>
      <c r="Q407" s="675" t="e">
        <f t="shared" si="82"/>
        <v>#DIV/0!</v>
      </c>
    </row>
    <row r="408" spans="1:17">
      <c r="A408" s="684">
        <f t="shared" si="83"/>
        <v>44603</v>
      </c>
      <c r="B408" s="911">
        <v>300</v>
      </c>
      <c r="C408" s="37">
        <v>949</v>
      </c>
      <c r="D408" s="37">
        <v>66</v>
      </c>
      <c r="E408" s="37">
        <v>0</v>
      </c>
      <c r="F408" s="911">
        <v>0</v>
      </c>
      <c r="G408" s="37">
        <v>0</v>
      </c>
      <c r="H408" s="37">
        <v>0</v>
      </c>
      <c r="I408" s="37">
        <v>1</v>
      </c>
      <c r="J408" s="946">
        <v>0.0695</v>
      </c>
      <c r="K408" s="911">
        <v>4.55</v>
      </c>
      <c r="L408" s="947">
        <v>0</v>
      </c>
      <c r="M408" s="672">
        <v>0</v>
      </c>
      <c r="N408" s="670" t="e">
        <f t="shared" si="84"/>
        <v>#DIV/0!</v>
      </c>
      <c r="O408" s="670" t="e">
        <f t="shared" si="85"/>
        <v>#DIV/0!</v>
      </c>
      <c r="P408" s="943" t="e">
        <f t="shared" si="86"/>
        <v>#DIV/0!</v>
      </c>
      <c r="Q408" s="675" t="e">
        <f t="shared" si="82"/>
        <v>#DIV/0!</v>
      </c>
    </row>
    <row r="409" spans="1:17">
      <c r="A409" s="684">
        <f t="shared" si="83"/>
        <v>44604</v>
      </c>
      <c r="B409" s="911">
        <v>300</v>
      </c>
      <c r="C409" s="37">
        <v>654</v>
      </c>
      <c r="D409" s="37">
        <v>55</v>
      </c>
      <c r="E409" s="37">
        <v>0</v>
      </c>
      <c r="F409" s="911">
        <v>0</v>
      </c>
      <c r="G409" s="37">
        <v>0</v>
      </c>
      <c r="J409" s="946">
        <v>0.0841</v>
      </c>
      <c r="K409" s="911">
        <v>5.45</v>
      </c>
      <c r="L409" s="947">
        <v>0</v>
      </c>
      <c r="M409" s="672">
        <v>0</v>
      </c>
      <c r="N409" s="670" t="e">
        <f t="shared" si="84"/>
        <v>#DIV/0!</v>
      </c>
      <c r="O409" s="670" t="e">
        <f t="shared" si="85"/>
        <v>#DIV/0!</v>
      </c>
      <c r="P409" s="943" t="e">
        <f t="shared" si="86"/>
        <v>#DIV/0!</v>
      </c>
      <c r="Q409" s="675" t="e">
        <f t="shared" si="82"/>
        <v>#DIV/0!</v>
      </c>
    </row>
    <row r="410" spans="1:17">
      <c r="A410" s="684">
        <f t="shared" si="83"/>
        <v>44605</v>
      </c>
      <c r="B410" s="911">
        <v>300</v>
      </c>
      <c r="C410" s="37">
        <v>559</v>
      </c>
      <c r="D410" s="37">
        <v>54</v>
      </c>
      <c r="E410" s="37">
        <v>0</v>
      </c>
      <c r="F410" s="911">
        <v>0</v>
      </c>
      <c r="G410" s="37">
        <v>0</v>
      </c>
      <c r="H410" s="37">
        <v>1</v>
      </c>
      <c r="I410" s="37">
        <v>0</v>
      </c>
      <c r="J410" s="946">
        <v>0.0966</v>
      </c>
      <c r="K410" s="911">
        <v>5.56</v>
      </c>
      <c r="L410" s="947">
        <v>0</v>
      </c>
      <c r="M410" s="672">
        <v>0</v>
      </c>
      <c r="N410" s="670" t="e">
        <f t="shared" si="84"/>
        <v>#DIV/0!</v>
      </c>
      <c r="O410" s="670" t="e">
        <f t="shared" si="85"/>
        <v>#DIV/0!</v>
      </c>
      <c r="P410" s="943" t="e">
        <f t="shared" si="86"/>
        <v>#DIV/0!</v>
      </c>
      <c r="Q410" s="675">
        <f t="shared" si="82"/>
        <v>300</v>
      </c>
    </row>
    <row r="411" spans="1:17">
      <c r="A411" s="684">
        <f t="shared" si="83"/>
        <v>44606</v>
      </c>
      <c r="B411" s="911">
        <v>300</v>
      </c>
      <c r="C411" s="37">
        <v>1205</v>
      </c>
      <c r="D411" s="37">
        <v>65</v>
      </c>
      <c r="E411" s="37">
        <v>0</v>
      </c>
      <c r="F411" s="911">
        <v>0</v>
      </c>
      <c r="G411" s="37">
        <v>2</v>
      </c>
      <c r="H411" s="37">
        <v>0</v>
      </c>
      <c r="I411" s="37">
        <v>0</v>
      </c>
      <c r="J411" s="946">
        <v>0.0539</v>
      </c>
      <c r="K411" s="911">
        <v>4.62</v>
      </c>
      <c r="L411" s="947">
        <v>0</v>
      </c>
      <c r="M411" s="672">
        <v>0</v>
      </c>
      <c r="N411" s="670" t="e">
        <f t="shared" si="84"/>
        <v>#DIV/0!</v>
      </c>
      <c r="O411" s="670" t="e">
        <f t="shared" si="85"/>
        <v>#DIV/0!</v>
      </c>
      <c r="P411" s="943">
        <f t="shared" si="86"/>
        <v>150</v>
      </c>
      <c r="Q411" s="675">
        <f t="shared" si="82"/>
        <v>150</v>
      </c>
    </row>
    <row r="412" spans="1:17">
      <c r="A412" s="684">
        <f t="shared" si="83"/>
        <v>44607</v>
      </c>
      <c r="B412" s="911">
        <v>300</v>
      </c>
      <c r="C412" s="37">
        <v>1032</v>
      </c>
      <c r="D412" s="37">
        <v>61</v>
      </c>
      <c r="E412" s="37">
        <v>0</v>
      </c>
      <c r="F412" s="911">
        <v>0</v>
      </c>
      <c r="G412" s="37">
        <v>0</v>
      </c>
      <c r="H412" s="37">
        <v>2</v>
      </c>
      <c r="I412" s="37">
        <v>0</v>
      </c>
      <c r="J412" s="946">
        <v>0.0591</v>
      </c>
      <c r="K412" s="911">
        <v>4.92</v>
      </c>
      <c r="L412" s="947">
        <v>0</v>
      </c>
      <c r="M412" s="672">
        <v>0</v>
      </c>
      <c r="N412" s="670" t="e">
        <f t="shared" si="84"/>
        <v>#DIV/0!</v>
      </c>
      <c r="O412" s="670" t="e">
        <f t="shared" si="85"/>
        <v>#DIV/0!</v>
      </c>
      <c r="P412" s="943" t="e">
        <f t="shared" si="86"/>
        <v>#DIV/0!</v>
      </c>
      <c r="Q412" s="675">
        <f t="shared" si="82"/>
        <v>150</v>
      </c>
    </row>
    <row r="413" spans="1:17">
      <c r="A413" s="684">
        <f t="shared" si="83"/>
        <v>44608</v>
      </c>
      <c r="B413" s="911">
        <v>380.02</v>
      </c>
      <c r="C413" s="37">
        <v>4046</v>
      </c>
      <c r="D413" s="37">
        <v>193</v>
      </c>
      <c r="E413" s="37">
        <v>0</v>
      </c>
      <c r="F413" s="911">
        <v>0</v>
      </c>
      <c r="G413" s="37">
        <v>0</v>
      </c>
      <c r="H413" s="37">
        <v>1</v>
      </c>
      <c r="I413" s="37">
        <v>0</v>
      </c>
      <c r="J413" s="946">
        <v>0.0477</v>
      </c>
      <c r="K413" s="911">
        <v>1.97</v>
      </c>
      <c r="L413" s="947">
        <v>0</v>
      </c>
      <c r="M413" s="672">
        <v>0</v>
      </c>
      <c r="N413" s="670" t="e">
        <f t="shared" si="84"/>
        <v>#DIV/0!</v>
      </c>
      <c r="O413" s="670" t="e">
        <f t="shared" si="85"/>
        <v>#DIV/0!</v>
      </c>
      <c r="P413" s="943" t="e">
        <f t="shared" si="86"/>
        <v>#DIV/0!</v>
      </c>
      <c r="Q413" s="675">
        <f t="shared" si="82"/>
        <v>380.02</v>
      </c>
    </row>
    <row r="414" spans="1:17">
      <c r="A414" s="684">
        <f t="shared" si="83"/>
        <v>44609</v>
      </c>
      <c r="B414" s="911">
        <v>225</v>
      </c>
      <c r="C414" s="37">
        <v>3384</v>
      </c>
      <c r="D414" s="37">
        <v>134</v>
      </c>
      <c r="E414" s="37">
        <v>0</v>
      </c>
      <c r="F414" s="911">
        <v>0</v>
      </c>
      <c r="G414" s="37">
        <v>1</v>
      </c>
      <c r="H414" s="37">
        <v>2</v>
      </c>
      <c r="I414" s="37">
        <v>1</v>
      </c>
      <c r="J414" s="946">
        <v>0.0396</v>
      </c>
      <c r="K414" s="911">
        <v>1.68</v>
      </c>
      <c r="L414" s="947">
        <v>0</v>
      </c>
      <c r="M414" s="672">
        <v>0</v>
      </c>
      <c r="N414" s="670" t="e">
        <f t="shared" si="84"/>
        <v>#DIV/0!</v>
      </c>
      <c r="O414" s="670" t="e">
        <f t="shared" si="85"/>
        <v>#DIV/0!</v>
      </c>
      <c r="P414" s="943">
        <f t="shared" si="86"/>
        <v>225</v>
      </c>
      <c r="Q414" s="675">
        <f t="shared" si="82"/>
        <v>75</v>
      </c>
    </row>
    <row r="415" spans="1:17">
      <c r="A415" s="684">
        <f t="shared" si="83"/>
        <v>44610</v>
      </c>
      <c r="B415" s="911">
        <v>242.02</v>
      </c>
      <c r="C415" s="37">
        <v>4406</v>
      </c>
      <c r="D415" s="37">
        <v>138</v>
      </c>
      <c r="E415" s="37">
        <v>0</v>
      </c>
      <c r="F415" s="911">
        <v>0</v>
      </c>
      <c r="G415" s="37">
        <v>9</v>
      </c>
      <c r="H415" s="37">
        <v>1</v>
      </c>
      <c r="I415" s="37">
        <v>0</v>
      </c>
      <c r="J415" s="946">
        <v>0.0313</v>
      </c>
      <c r="K415" s="911">
        <v>1.75</v>
      </c>
      <c r="L415" s="947">
        <v>0</v>
      </c>
      <c r="M415" s="672">
        <v>0</v>
      </c>
      <c r="N415" s="670" t="e">
        <f t="shared" si="84"/>
        <v>#DIV/0!</v>
      </c>
      <c r="O415" s="670" t="e">
        <f t="shared" si="85"/>
        <v>#DIV/0!</v>
      </c>
      <c r="P415" s="943">
        <f t="shared" si="86"/>
        <v>26.8911111111111</v>
      </c>
      <c r="Q415" s="675">
        <f t="shared" si="82"/>
        <v>24.202</v>
      </c>
    </row>
    <row r="416" spans="1:17">
      <c r="A416" s="684">
        <f t="shared" si="83"/>
        <v>44611</v>
      </c>
      <c r="B416" s="911">
        <v>245</v>
      </c>
      <c r="C416" s="37">
        <v>4221</v>
      </c>
      <c r="D416" s="37">
        <v>143</v>
      </c>
      <c r="E416" s="37">
        <v>1</v>
      </c>
      <c r="F416" s="911">
        <v>99</v>
      </c>
      <c r="G416" s="37">
        <v>9</v>
      </c>
      <c r="H416" s="37">
        <v>1</v>
      </c>
      <c r="I416" s="37">
        <v>1</v>
      </c>
      <c r="J416" s="946">
        <v>0.0338</v>
      </c>
      <c r="K416" s="911">
        <v>1.71</v>
      </c>
      <c r="L416" s="947">
        <v>0.4</v>
      </c>
      <c r="M416" s="672">
        <v>0</v>
      </c>
      <c r="N416" s="670">
        <f t="shared" si="84"/>
        <v>99</v>
      </c>
      <c r="O416" s="670">
        <f t="shared" si="85"/>
        <v>245</v>
      </c>
      <c r="P416" s="943">
        <f t="shared" si="86"/>
        <v>27.2222222222222</v>
      </c>
      <c r="Q416" s="675">
        <f t="shared" si="82"/>
        <v>24.5</v>
      </c>
    </row>
    <row r="417" spans="1:17">
      <c r="A417" s="684">
        <f t="shared" si="83"/>
        <v>44612</v>
      </c>
      <c r="B417" s="911">
        <v>279.53</v>
      </c>
      <c r="C417" s="37">
        <v>6126</v>
      </c>
      <c r="D417" s="37">
        <v>187</v>
      </c>
      <c r="E417" s="37">
        <v>0</v>
      </c>
      <c r="F417" s="911">
        <v>0</v>
      </c>
      <c r="G417" s="37">
        <v>10</v>
      </c>
      <c r="H417" s="37">
        <v>0</v>
      </c>
      <c r="I417" s="37">
        <v>2</v>
      </c>
      <c r="J417" s="946">
        <v>0.0305</v>
      </c>
      <c r="K417" s="911">
        <v>1.49</v>
      </c>
      <c r="L417" s="947">
        <v>0</v>
      </c>
      <c r="M417" s="672">
        <v>0</v>
      </c>
      <c r="N417" s="670" t="e">
        <f t="shared" si="84"/>
        <v>#DIV/0!</v>
      </c>
      <c r="O417" s="670" t="e">
        <f t="shared" si="85"/>
        <v>#DIV/0!</v>
      </c>
      <c r="P417" s="943">
        <f t="shared" si="86"/>
        <v>27.953</v>
      </c>
      <c r="Q417" s="675">
        <f t="shared" si="82"/>
        <v>27.953</v>
      </c>
    </row>
    <row r="418" spans="1:17">
      <c r="A418" s="684">
        <f t="shared" si="83"/>
        <v>44613</v>
      </c>
      <c r="B418" s="911">
        <v>289.89</v>
      </c>
      <c r="C418" s="37">
        <v>5756</v>
      </c>
      <c r="D418" s="37">
        <v>185</v>
      </c>
      <c r="E418" s="37">
        <v>1</v>
      </c>
      <c r="F418" s="911">
        <v>99</v>
      </c>
      <c r="G418" s="37">
        <v>13</v>
      </c>
      <c r="H418" s="37">
        <v>1</v>
      </c>
      <c r="I418" s="37">
        <v>1</v>
      </c>
      <c r="J418" s="946">
        <v>0.0321</v>
      </c>
      <c r="K418" s="911">
        <v>1.57</v>
      </c>
      <c r="L418" s="947">
        <v>0.34</v>
      </c>
      <c r="M418" s="672">
        <v>0</v>
      </c>
      <c r="N418" s="670">
        <f t="shared" si="84"/>
        <v>99</v>
      </c>
      <c r="O418" s="670">
        <f t="shared" si="85"/>
        <v>289.89</v>
      </c>
      <c r="P418" s="943">
        <f t="shared" si="86"/>
        <v>22.2992307692308</v>
      </c>
      <c r="Q418" s="675">
        <f t="shared" si="82"/>
        <v>20.7064285714286</v>
      </c>
    </row>
    <row r="419" spans="1:17">
      <c r="A419" s="684">
        <f t="shared" si="83"/>
        <v>44614</v>
      </c>
      <c r="B419" s="911">
        <v>313.68</v>
      </c>
      <c r="C419" s="37">
        <v>6675</v>
      </c>
      <c r="D419" s="37">
        <v>211</v>
      </c>
      <c r="E419" s="37">
        <v>0</v>
      </c>
      <c r="F419" s="911">
        <v>0</v>
      </c>
      <c r="G419" s="37">
        <v>5</v>
      </c>
      <c r="H419" s="37">
        <v>0</v>
      </c>
      <c r="I419" s="37">
        <v>1</v>
      </c>
      <c r="J419" s="946">
        <v>0.0316</v>
      </c>
      <c r="K419" s="911">
        <v>1.49</v>
      </c>
      <c r="L419" s="947">
        <v>0</v>
      </c>
      <c r="M419" s="672">
        <v>0</v>
      </c>
      <c r="N419" s="670" t="e">
        <f t="shared" si="84"/>
        <v>#DIV/0!</v>
      </c>
      <c r="O419" s="670" t="e">
        <f t="shared" si="85"/>
        <v>#DIV/0!</v>
      </c>
      <c r="P419" s="943">
        <f t="shared" si="86"/>
        <v>62.736</v>
      </c>
      <c r="Q419" s="675">
        <f t="shared" si="82"/>
        <v>62.736</v>
      </c>
    </row>
    <row r="420" spans="1:17">
      <c r="A420" s="684">
        <f t="shared" si="83"/>
        <v>44615</v>
      </c>
      <c r="B420" s="911">
        <v>293.33</v>
      </c>
      <c r="C420" s="37">
        <v>6999</v>
      </c>
      <c r="D420" s="37">
        <v>214</v>
      </c>
      <c r="E420" s="37">
        <v>0</v>
      </c>
      <c r="F420" s="911">
        <v>0</v>
      </c>
      <c r="G420" s="37">
        <v>0</v>
      </c>
      <c r="H420" s="37">
        <v>0</v>
      </c>
      <c r="I420" s="37">
        <v>1</v>
      </c>
      <c r="J420" s="946">
        <v>0.0305</v>
      </c>
      <c r="K420" s="911">
        <v>1.37</v>
      </c>
      <c r="L420" s="947">
        <v>0</v>
      </c>
      <c r="M420" s="672">
        <v>0</v>
      </c>
      <c r="N420" s="670" t="e">
        <f t="shared" si="84"/>
        <v>#DIV/0!</v>
      </c>
      <c r="O420" s="670" t="e">
        <f t="shared" si="85"/>
        <v>#DIV/0!</v>
      </c>
      <c r="P420" s="943" t="e">
        <f t="shared" si="86"/>
        <v>#DIV/0!</v>
      </c>
      <c r="Q420" s="675" t="e">
        <f t="shared" si="82"/>
        <v>#DIV/0!</v>
      </c>
    </row>
    <row r="421" spans="1:17">
      <c r="A421" s="684">
        <f t="shared" si="83"/>
        <v>44616</v>
      </c>
      <c r="B421" s="911">
        <v>289.51</v>
      </c>
      <c r="C421" s="37">
        <v>5361</v>
      </c>
      <c r="D421" s="37">
        <v>175</v>
      </c>
      <c r="E421" s="37">
        <v>0</v>
      </c>
      <c r="F421" s="911">
        <v>0</v>
      </c>
      <c r="G421" s="37">
        <v>0</v>
      </c>
      <c r="H421" s="37">
        <v>1</v>
      </c>
      <c r="I421" s="37">
        <v>2</v>
      </c>
      <c r="J421" s="946">
        <v>3.2643</v>
      </c>
      <c r="K421" s="911">
        <v>1.65</v>
      </c>
      <c r="L421" s="947">
        <v>0</v>
      </c>
      <c r="M421" s="672">
        <v>0</v>
      </c>
      <c r="N421" s="670" t="e">
        <f t="shared" si="84"/>
        <v>#DIV/0!</v>
      </c>
      <c r="O421" s="670" t="e">
        <f t="shared" si="85"/>
        <v>#DIV/0!</v>
      </c>
      <c r="P421" s="943" t="e">
        <f t="shared" si="86"/>
        <v>#DIV/0!</v>
      </c>
      <c r="Q421" s="675">
        <f t="shared" si="82"/>
        <v>289.51</v>
      </c>
    </row>
    <row r="422" spans="1:17">
      <c r="A422" s="684">
        <f t="shared" si="83"/>
        <v>44617</v>
      </c>
      <c r="B422" s="670">
        <v>315.36</v>
      </c>
      <c r="C422" s="37">
        <v>4917</v>
      </c>
      <c r="D422" s="944">
        <v>175</v>
      </c>
      <c r="E422" s="37">
        <v>0</v>
      </c>
      <c r="F422" s="943">
        <v>0</v>
      </c>
      <c r="G422" s="37">
        <v>1</v>
      </c>
      <c r="H422" s="37">
        <v>1</v>
      </c>
      <c r="I422" s="37">
        <v>3</v>
      </c>
      <c r="J422" s="933">
        <v>0.0356</v>
      </c>
      <c r="K422" s="670">
        <v>1.8</v>
      </c>
      <c r="L422" s="942">
        <v>0</v>
      </c>
      <c r="M422" s="672">
        <v>0</v>
      </c>
      <c r="N422" s="670" t="e">
        <f t="shared" si="84"/>
        <v>#DIV/0!</v>
      </c>
      <c r="O422" s="670" t="e">
        <f t="shared" si="85"/>
        <v>#DIV/0!</v>
      </c>
      <c r="P422" s="943">
        <f t="shared" si="86"/>
        <v>315.36</v>
      </c>
      <c r="Q422" s="675">
        <f t="shared" si="82"/>
        <v>157.68</v>
      </c>
    </row>
    <row r="423" spans="1:17">
      <c r="A423" s="684">
        <f t="shared" si="83"/>
        <v>44618</v>
      </c>
      <c r="B423" s="670">
        <v>285.04</v>
      </c>
      <c r="C423" s="37">
        <v>9159</v>
      </c>
      <c r="D423" s="944">
        <v>166</v>
      </c>
      <c r="E423" s="37">
        <v>0</v>
      </c>
      <c r="F423" s="943">
        <v>0</v>
      </c>
      <c r="G423" s="37">
        <v>0</v>
      </c>
      <c r="H423" s="37">
        <v>0</v>
      </c>
      <c r="I423" s="37">
        <v>1</v>
      </c>
      <c r="J423" s="672">
        <v>0.0181</v>
      </c>
      <c r="K423" s="670">
        <v>1.72</v>
      </c>
      <c r="L423" s="942">
        <v>0</v>
      </c>
      <c r="M423" s="672">
        <v>0</v>
      </c>
      <c r="N423" s="670" t="e">
        <f t="shared" si="84"/>
        <v>#DIV/0!</v>
      </c>
      <c r="O423" s="670" t="e">
        <f t="shared" si="85"/>
        <v>#DIV/0!</v>
      </c>
      <c r="P423" s="943" t="e">
        <f t="shared" si="86"/>
        <v>#DIV/0!</v>
      </c>
      <c r="Q423" s="675" t="e">
        <f t="shared" si="82"/>
        <v>#DIV/0!</v>
      </c>
    </row>
    <row r="424" spans="1:17">
      <c r="A424" s="684">
        <f t="shared" si="83"/>
        <v>44619</v>
      </c>
      <c r="B424" s="670">
        <v>324.26</v>
      </c>
      <c r="C424" s="37">
        <v>10175</v>
      </c>
      <c r="D424" s="944">
        <v>251</v>
      </c>
      <c r="E424" s="37">
        <v>0</v>
      </c>
      <c r="F424" s="943">
        <v>0</v>
      </c>
      <c r="G424" s="37">
        <v>1</v>
      </c>
      <c r="H424" s="37">
        <v>1</v>
      </c>
      <c r="I424" s="37">
        <v>0</v>
      </c>
      <c r="J424" s="672">
        <v>0.0247</v>
      </c>
      <c r="K424" s="670">
        <v>1.29</v>
      </c>
      <c r="L424" s="942">
        <v>0</v>
      </c>
      <c r="M424" s="672">
        <v>0</v>
      </c>
      <c r="N424" s="670" t="e">
        <f t="shared" si="84"/>
        <v>#DIV/0!</v>
      </c>
      <c r="O424" s="670" t="e">
        <f t="shared" si="85"/>
        <v>#DIV/0!</v>
      </c>
      <c r="P424" s="943">
        <f t="shared" si="86"/>
        <v>324.26</v>
      </c>
      <c r="Q424" s="675">
        <f t="shared" si="82"/>
        <v>162.13</v>
      </c>
    </row>
    <row r="425" spans="1:17">
      <c r="A425" s="684">
        <f t="shared" si="83"/>
        <v>44620</v>
      </c>
      <c r="B425" s="670">
        <v>251.27</v>
      </c>
      <c r="C425" s="38">
        <v>6984</v>
      </c>
      <c r="D425" s="944">
        <v>168</v>
      </c>
      <c r="E425" s="37">
        <v>0</v>
      </c>
      <c r="F425" s="943">
        <v>0</v>
      </c>
      <c r="G425" s="37">
        <v>0</v>
      </c>
      <c r="H425" s="37">
        <v>1</v>
      </c>
      <c r="I425" s="37">
        <v>0</v>
      </c>
      <c r="J425" s="672">
        <v>0.0241</v>
      </c>
      <c r="K425" s="670">
        <v>1.5</v>
      </c>
      <c r="L425" s="942">
        <v>0</v>
      </c>
      <c r="M425" s="672">
        <v>0</v>
      </c>
      <c r="N425" s="670" t="e">
        <f t="shared" si="84"/>
        <v>#DIV/0!</v>
      </c>
      <c r="O425" s="670" t="e">
        <f t="shared" si="85"/>
        <v>#DIV/0!</v>
      </c>
      <c r="P425" s="943" t="e">
        <f t="shared" si="86"/>
        <v>#DIV/0!</v>
      </c>
      <c r="Q425" s="675">
        <f t="shared" si="82"/>
        <v>251.27</v>
      </c>
    </row>
    <row r="426" spans="1:17">
      <c r="A426" s="684">
        <f t="shared" si="83"/>
        <v>44621</v>
      </c>
      <c r="B426" s="670">
        <v>61.75</v>
      </c>
      <c r="C426" s="38">
        <v>4690</v>
      </c>
      <c r="D426" s="944">
        <v>48</v>
      </c>
      <c r="E426" s="944" t="s">
        <v>18</v>
      </c>
      <c r="F426" s="948" t="s">
        <v>18</v>
      </c>
      <c r="G426" s="944" t="s">
        <v>18</v>
      </c>
      <c r="H426" s="37">
        <v>0</v>
      </c>
      <c r="I426" s="37">
        <v>0</v>
      </c>
      <c r="J426" s="672">
        <v>0.0102</v>
      </c>
      <c r="K426" s="670">
        <v>1.29</v>
      </c>
      <c r="L426" s="942">
        <v>0</v>
      </c>
      <c r="M426" s="672">
        <v>0</v>
      </c>
      <c r="N426" s="670" t="e">
        <f t="shared" si="84"/>
        <v>#VALUE!</v>
      </c>
      <c r="O426" s="670" t="e">
        <f t="shared" ref="O426:O436" si="87">B426/E426</f>
        <v>#VALUE!</v>
      </c>
      <c r="P426" s="943" t="e">
        <f t="shared" si="86"/>
        <v>#VALUE!</v>
      </c>
      <c r="Q426" s="675" t="e">
        <f t="shared" si="82"/>
        <v>#VALUE!</v>
      </c>
    </row>
    <row r="427" spans="1:17">
      <c r="A427" s="684">
        <f t="shared" si="83"/>
        <v>44622</v>
      </c>
      <c r="B427" s="670">
        <v>275.74</v>
      </c>
      <c r="C427" s="38">
        <v>11118</v>
      </c>
      <c r="D427" s="944">
        <v>180</v>
      </c>
      <c r="E427" s="37">
        <v>0</v>
      </c>
      <c r="F427" s="943">
        <v>0</v>
      </c>
      <c r="G427" s="37">
        <v>0</v>
      </c>
      <c r="H427" s="37">
        <v>0</v>
      </c>
      <c r="I427" s="37">
        <v>1</v>
      </c>
      <c r="J427" s="672">
        <v>0.0162</v>
      </c>
      <c r="K427" s="670">
        <v>1.53</v>
      </c>
      <c r="L427" s="942">
        <v>0</v>
      </c>
      <c r="M427" s="672">
        <v>0</v>
      </c>
      <c r="N427" s="670" t="e">
        <f t="shared" ref="N427:N436" si="88">F427/E427</f>
        <v>#DIV/0!</v>
      </c>
      <c r="O427" s="670" t="e">
        <f t="shared" si="87"/>
        <v>#DIV/0!</v>
      </c>
      <c r="P427" s="943" t="e">
        <f t="shared" si="86"/>
        <v>#DIV/0!</v>
      </c>
      <c r="Q427" s="675" t="e">
        <f t="shared" si="82"/>
        <v>#DIV/0!</v>
      </c>
    </row>
    <row r="428" spans="1:17">
      <c r="A428" s="684">
        <f t="shared" si="83"/>
        <v>44623</v>
      </c>
      <c r="B428" s="670">
        <v>331.52</v>
      </c>
      <c r="C428" s="38">
        <v>12546</v>
      </c>
      <c r="D428" s="944">
        <v>216</v>
      </c>
      <c r="E428" s="37">
        <v>0</v>
      </c>
      <c r="F428" s="943">
        <v>0</v>
      </c>
      <c r="G428" s="37">
        <v>0</v>
      </c>
      <c r="H428" s="37">
        <v>0</v>
      </c>
      <c r="I428" s="37">
        <v>1</v>
      </c>
      <c r="J428" s="672">
        <v>0.0172</v>
      </c>
      <c r="K428" s="670">
        <v>1.53</v>
      </c>
      <c r="L428" s="942">
        <v>0</v>
      </c>
      <c r="M428" s="672">
        <v>0</v>
      </c>
      <c r="N428" s="670" t="e">
        <f t="shared" si="88"/>
        <v>#DIV/0!</v>
      </c>
      <c r="O428" s="670" t="e">
        <f t="shared" si="87"/>
        <v>#DIV/0!</v>
      </c>
      <c r="P428" s="943" t="e">
        <f t="shared" si="86"/>
        <v>#DIV/0!</v>
      </c>
      <c r="Q428" s="675" t="e">
        <f t="shared" si="82"/>
        <v>#DIV/0!</v>
      </c>
    </row>
    <row r="429" spans="1:17">
      <c r="A429" s="684">
        <f t="shared" si="83"/>
        <v>44624</v>
      </c>
      <c r="B429" s="670">
        <v>339.2</v>
      </c>
      <c r="C429" s="38">
        <v>13649</v>
      </c>
      <c r="D429" s="944">
        <v>311</v>
      </c>
      <c r="E429" s="37">
        <v>0</v>
      </c>
      <c r="F429" s="943">
        <v>0</v>
      </c>
      <c r="G429" s="37">
        <v>0</v>
      </c>
      <c r="H429" s="37">
        <v>1</v>
      </c>
      <c r="I429" s="37">
        <v>0</v>
      </c>
      <c r="J429" s="672">
        <v>0.0228</v>
      </c>
      <c r="K429" s="670">
        <v>1.09</v>
      </c>
      <c r="L429" s="942">
        <v>0</v>
      </c>
      <c r="M429" s="672">
        <v>0</v>
      </c>
      <c r="N429" s="670" t="e">
        <f t="shared" si="88"/>
        <v>#DIV/0!</v>
      </c>
      <c r="O429" s="670" t="e">
        <f t="shared" si="87"/>
        <v>#DIV/0!</v>
      </c>
      <c r="P429" s="943" t="e">
        <f t="shared" si="86"/>
        <v>#DIV/0!</v>
      </c>
      <c r="Q429" s="675">
        <f t="shared" si="82"/>
        <v>339.2</v>
      </c>
    </row>
    <row r="430" spans="1:17">
      <c r="A430" s="684">
        <f t="shared" ref="A430:A436" si="89">A429+1</f>
        <v>44625</v>
      </c>
      <c r="B430" s="911">
        <v>377.53</v>
      </c>
      <c r="C430" s="37">
        <v>15861</v>
      </c>
      <c r="D430" s="37">
        <v>262</v>
      </c>
      <c r="E430" s="37">
        <v>0</v>
      </c>
      <c r="F430" s="911">
        <v>0</v>
      </c>
      <c r="G430" s="37">
        <v>0</v>
      </c>
      <c r="H430" s="37">
        <v>0</v>
      </c>
      <c r="I430" s="37">
        <v>2</v>
      </c>
      <c r="J430" s="672">
        <f>D430/C430</f>
        <v>0.0165185045079125</v>
      </c>
      <c r="K430" s="670">
        <f>B430/D430</f>
        <v>1.44095419847328</v>
      </c>
      <c r="L430" s="942">
        <v>0</v>
      </c>
      <c r="M430" s="942">
        <v>0</v>
      </c>
      <c r="N430" s="670" t="e">
        <f t="shared" si="88"/>
        <v>#DIV/0!</v>
      </c>
      <c r="O430" s="670" t="e">
        <f t="shared" si="87"/>
        <v>#DIV/0!</v>
      </c>
      <c r="P430" s="943" t="e">
        <f t="shared" si="86"/>
        <v>#DIV/0!</v>
      </c>
      <c r="Q430" s="675" t="e">
        <f t="shared" si="82"/>
        <v>#DIV/0!</v>
      </c>
    </row>
    <row r="431" spans="1:17">
      <c r="A431" s="684">
        <f t="shared" si="89"/>
        <v>44626</v>
      </c>
      <c r="B431" s="911">
        <v>395.13</v>
      </c>
      <c r="C431" s="37">
        <v>13994</v>
      </c>
      <c r="D431" s="37">
        <v>287</v>
      </c>
      <c r="E431" s="37">
        <v>0</v>
      </c>
      <c r="F431" s="911">
        <v>0</v>
      </c>
      <c r="G431" s="37">
        <v>0</v>
      </c>
      <c r="H431" s="37">
        <v>0</v>
      </c>
      <c r="I431" s="37">
        <v>0</v>
      </c>
      <c r="J431" s="672">
        <f t="shared" ref="J431:J436" si="90">D431/C431</f>
        <v>0.0205087894812062</v>
      </c>
      <c r="K431" s="670">
        <f t="shared" ref="K431:K436" si="91">B431/D431</f>
        <v>1.37675958188153</v>
      </c>
      <c r="L431" s="942">
        <v>0</v>
      </c>
      <c r="M431" s="942">
        <v>0</v>
      </c>
      <c r="N431" s="670" t="e">
        <f t="shared" si="88"/>
        <v>#DIV/0!</v>
      </c>
      <c r="O431" s="670" t="e">
        <f t="shared" si="87"/>
        <v>#DIV/0!</v>
      </c>
      <c r="P431" s="943" t="e">
        <f t="shared" si="86"/>
        <v>#DIV/0!</v>
      </c>
      <c r="Q431" s="675" t="e">
        <f t="shared" si="82"/>
        <v>#DIV/0!</v>
      </c>
    </row>
    <row r="432" spans="1:17">
      <c r="A432" s="684">
        <f t="shared" si="89"/>
        <v>44627</v>
      </c>
      <c r="B432" s="911">
        <v>373.98</v>
      </c>
      <c r="C432" s="37">
        <v>11272</v>
      </c>
      <c r="D432" s="37">
        <v>292</v>
      </c>
      <c r="E432" s="37">
        <v>0</v>
      </c>
      <c r="F432" s="911">
        <v>0</v>
      </c>
      <c r="G432" s="37">
        <v>0</v>
      </c>
      <c r="H432" s="37">
        <v>0</v>
      </c>
      <c r="I432" s="37">
        <v>0</v>
      </c>
      <c r="J432" s="672">
        <f t="shared" si="90"/>
        <v>0.0259048970901348</v>
      </c>
      <c r="K432" s="670">
        <f t="shared" si="91"/>
        <v>1.28075342465753</v>
      </c>
      <c r="L432" s="942">
        <v>0</v>
      </c>
      <c r="M432" s="942">
        <v>0</v>
      </c>
      <c r="N432" s="670" t="e">
        <f t="shared" si="88"/>
        <v>#DIV/0!</v>
      </c>
      <c r="O432" s="670" t="e">
        <f t="shared" si="87"/>
        <v>#DIV/0!</v>
      </c>
      <c r="P432" s="943" t="e">
        <f t="shared" si="86"/>
        <v>#DIV/0!</v>
      </c>
      <c r="Q432" s="675" t="e">
        <f t="shared" si="82"/>
        <v>#DIV/0!</v>
      </c>
    </row>
    <row r="433" spans="1:17">
      <c r="A433" s="684">
        <f t="shared" si="89"/>
        <v>44628</v>
      </c>
      <c r="B433" s="911">
        <v>308.27</v>
      </c>
      <c r="C433" s="37">
        <v>11058</v>
      </c>
      <c r="D433" s="37">
        <v>283</v>
      </c>
      <c r="E433" s="37">
        <v>0</v>
      </c>
      <c r="F433" s="911">
        <v>0</v>
      </c>
      <c r="G433" s="37">
        <v>0</v>
      </c>
      <c r="H433" s="37">
        <v>0</v>
      </c>
      <c r="I433" s="37">
        <v>0</v>
      </c>
      <c r="J433" s="672">
        <f t="shared" si="90"/>
        <v>0.0255923313438235</v>
      </c>
      <c r="K433" s="670">
        <f t="shared" si="91"/>
        <v>1.08929328621908</v>
      </c>
      <c r="L433" s="942">
        <v>0</v>
      </c>
      <c r="M433" s="942">
        <v>0</v>
      </c>
      <c r="N433" s="670" t="e">
        <f t="shared" si="88"/>
        <v>#DIV/0!</v>
      </c>
      <c r="O433" s="670" t="e">
        <f t="shared" si="87"/>
        <v>#DIV/0!</v>
      </c>
      <c r="P433" s="943" t="e">
        <f t="shared" si="86"/>
        <v>#DIV/0!</v>
      </c>
      <c r="Q433" s="675" t="e">
        <f t="shared" si="82"/>
        <v>#DIV/0!</v>
      </c>
    </row>
    <row r="434" spans="1:17">
      <c r="A434" s="684">
        <f t="shared" si="89"/>
        <v>44629</v>
      </c>
      <c r="B434" s="911">
        <v>254.6</v>
      </c>
      <c r="C434" s="37">
        <v>8060</v>
      </c>
      <c r="D434" s="37">
        <v>130</v>
      </c>
      <c r="E434" s="37">
        <v>0</v>
      </c>
      <c r="F434" s="911">
        <v>0</v>
      </c>
      <c r="G434" s="37">
        <v>0</v>
      </c>
      <c r="H434" s="37">
        <v>1</v>
      </c>
      <c r="I434" s="37">
        <v>1</v>
      </c>
      <c r="J434" s="672">
        <f t="shared" si="90"/>
        <v>0.0161290322580645</v>
      </c>
      <c r="K434" s="670">
        <f t="shared" si="91"/>
        <v>1.95846153846154</v>
      </c>
      <c r="L434" s="942">
        <v>0</v>
      </c>
      <c r="M434" s="942">
        <v>0</v>
      </c>
      <c r="N434" s="670" t="e">
        <f t="shared" si="88"/>
        <v>#DIV/0!</v>
      </c>
      <c r="O434" s="670" t="e">
        <f t="shared" si="87"/>
        <v>#DIV/0!</v>
      </c>
      <c r="P434" s="943" t="e">
        <f t="shared" si="86"/>
        <v>#DIV/0!</v>
      </c>
      <c r="Q434" s="675">
        <f t="shared" si="82"/>
        <v>254.6</v>
      </c>
    </row>
    <row r="435" spans="1:17">
      <c r="A435" s="684">
        <f t="shared" si="89"/>
        <v>44630</v>
      </c>
      <c r="B435" s="911">
        <v>192.84</v>
      </c>
      <c r="C435" s="37">
        <v>5401</v>
      </c>
      <c r="D435" s="37">
        <v>114</v>
      </c>
      <c r="E435" s="37">
        <v>0</v>
      </c>
      <c r="F435" s="911">
        <v>0</v>
      </c>
      <c r="G435" s="37">
        <v>0</v>
      </c>
      <c r="H435" s="37">
        <v>0</v>
      </c>
      <c r="I435" s="37">
        <v>1</v>
      </c>
      <c r="J435" s="672">
        <f t="shared" si="90"/>
        <v>0.0211072023699315</v>
      </c>
      <c r="K435" s="670">
        <f t="shared" si="91"/>
        <v>1.69157894736842</v>
      </c>
      <c r="L435" s="942">
        <v>0</v>
      </c>
      <c r="M435" s="942">
        <v>0</v>
      </c>
      <c r="N435" s="670" t="e">
        <f t="shared" si="88"/>
        <v>#DIV/0!</v>
      </c>
      <c r="O435" s="670" t="e">
        <f t="shared" si="87"/>
        <v>#DIV/0!</v>
      </c>
      <c r="P435" s="943" t="e">
        <f t="shared" si="86"/>
        <v>#DIV/0!</v>
      </c>
      <c r="Q435" s="675" t="e">
        <f t="shared" si="82"/>
        <v>#DIV/0!</v>
      </c>
    </row>
    <row r="436" spans="1:17">
      <c r="A436" s="684">
        <f t="shared" si="89"/>
        <v>44631</v>
      </c>
      <c r="B436" s="911">
        <v>145.23</v>
      </c>
      <c r="C436" s="37">
        <v>5178</v>
      </c>
      <c r="D436" s="37">
        <v>99</v>
      </c>
      <c r="E436" s="37">
        <v>0</v>
      </c>
      <c r="F436" s="911">
        <v>0</v>
      </c>
      <c r="G436" s="37">
        <v>0</v>
      </c>
      <c r="H436" s="37">
        <v>0</v>
      </c>
      <c r="I436" s="37">
        <v>0</v>
      </c>
      <c r="J436" s="672">
        <f t="shared" si="90"/>
        <v>0.0191193511008111</v>
      </c>
      <c r="K436" s="670">
        <f t="shared" si="91"/>
        <v>1.4669696969697</v>
      </c>
      <c r="L436" s="942">
        <v>0</v>
      </c>
      <c r="M436" s="942">
        <v>0</v>
      </c>
      <c r="N436" s="670" t="e">
        <f t="shared" si="88"/>
        <v>#DIV/0!</v>
      </c>
      <c r="O436" s="670" t="e">
        <f t="shared" si="87"/>
        <v>#DIV/0!</v>
      </c>
      <c r="P436" s="943" t="e">
        <f t="shared" si="86"/>
        <v>#DIV/0!</v>
      </c>
      <c r="Q436" s="675" t="e">
        <f t="shared" si="82"/>
        <v>#DIV/0!</v>
      </c>
    </row>
    <row r="437" spans="1:17">
      <c r="A437" s="684">
        <f t="shared" ref="A437:A443" si="92">A436+1</f>
        <v>44632</v>
      </c>
      <c r="B437" s="911">
        <v>80</v>
      </c>
      <c r="C437" s="37">
        <v>2737</v>
      </c>
      <c r="D437" s="37">
        <v>63</v>
      </c>
      <c r="E437" s="37">
        <v>0</v>
      </c>
      <c r="F437" s="911">
        <v>0</v>
      </c>
      <c r="G437" s="37">
        <v>0</v>
      </c>
      <c r="H437" s="37">
        <v>0</v>
      </c>
      <c r="I437" s="37">
        <v>1</v>
      </c>
      <c r="J437" s="672">
        <f t="shared" ref="J437:J443" si="93">D437/C437</f>
        <v>0.0230179028132992</v>
      </c>
      <c r="K437" s="670">
        <f t="shared" ref="K437:K440" si="94">B437/D437</f>
        <v>1.26984126984127</v>
      </c>
      <c r="L437" s="942">
        <v>0</v>
      </c>
      <c r="M437" s="942">
        <v>0</v>
      </c>
      <c r="N437" s="670" t="e">
        <f t="shared" ref="N437:N443" si="95">F437/E437</f>
        <v>#DIV/0!</v>
      </c>
      <c r="O437" s="670" t="e">
        <f t="shared" ref="O437:O443" si="96">B437/E437</f>
        <v>#DIV/0!</v>
      </c>
      <c r="P437" s="943" t="e">
        <f t="shared" ref="P437:P443" si="97">B437/G437</f>
        <v>#DIV/0!</v>
      </c>
      <c r="Q437" s="675" t="e">
        <f t="shared" si="82"/>
        <v>#DIV/0!</v>
      </c>
    </row>
    <row r="438" spans="1:17">
      <c r="A438" s="684">
        <f t="shared" si="92"/>
        <v>44633</v>
      </c>
      <c r="B438" s="911">
        <v>80</v>
      </c>
      <c r="C438" s="37">
        <v>1819</v>
      </c>
      <c r="D438" s="37">
        <v>16</v>
      </c>
      <c r="E438" s="37">
        <v>0</v>
      </c>
      <c r="F438" s="911">
        <v>0</v>
      </c>
      <c r="G438" s="37">
        <v>1</v>
      </c>
      <c r="H438" s="37">
        <v>0</v>
      </c>
      <c r="I438" s="37">
        <v>1</v>
      </c>
      <c r="J438" s="672">
        <f t="shared" si="93"/>
        <v>0.00879604178119846</v>
      </c>
      <c r="K438" s="670">
        <f t="shared" si="94"/>
        <v>5</v>
      </c>
      <c r="L438" s="942">
        <v>0</v>
      </c>
      <c r="M438" s="942">
        <v>0</v>
      </c>
      <c r="N438" s="670" t="e">
        <f t="shared" si="95"/>
        <v>#DIV/0!</v>
      </c>
      <c r="O438" s="670" t="e">
        <f t="shared" si="96"/>
        <v>#DIV/0!</v>
      </c>
      <c r="P438" s="943">
        <f t="shared" si="97"/>
        <v>80</v>
      </c>
      <c r="Q438" s="675">
        <f t="shared" si="82"/>
        <v>80</v>
      </c>
    </row>
    <row r="439" spans="1:17">
      <c r="A439" s="684">
        <f t="shared" si="92"/>
        <v>44634</v>
      </c>
      <c r="B439" s="911">
        <v>80</v>
      </c>
      <c r="C439" s="37">
        <v>2241</v>
      </c>
      <c r="D439" s="37">
        <v>34</v>
      </c>
      <c r="E439" s="37">
        <v>0</v>
      </c>
      <c r="F439" s="911">
        <v>0</v>
      </c>
      <c r="G439" s="37">
        <v>0</v>
      </c>
      <c r="H439" s="37">
        <v>0</v>
      </c>
      <c r="I439" s="37">
        <v>0</v>
      </c>
      <c r="J439" s="672">
        <f t="shared" si="93"/>
        <v>0.0151717983043284</v>
      </c>
      <c r="K439" s="670">
        <f t="shared" si="94"/>
        <v>2.35294117647059</v>
      </c>
      <c r="L439" s="942">
        <v>0</v>
      </c>
      <c r="M439" s="942">
        <v>0</v>
      </c>
      <c r="N439" s="670" t="e">
        <f t="shared" si="95"/>
        <v>#DIV/0!</v>
      </c>
      <c r="O439" s="670" t="e">
        <f t="shared" si="96"/>
        <v>#DIV/0!</v>
      </c>
      <c r="P439" s="943" t="e">
        <f t="shared" si="97"/>
        <v>#DIV/0!</v>
      </c>
      <c r="Q439" s="675" t="e">
        <f t="shared" si="82"/>
        <v>#DIV/0!</v>
      </c>
    </row>
    <row r="440" spans="1:17">
      <c r="A440" s="684">
        <f t="shared" si="92"/>
        <v>44635</v>
      </c>
      <c r="B440" s="911">
        <v>15.71</v>
      </c>
      <c r="C440" s="37">
        <v>380</v>
      </c>
      <c r="D440" s="37">
        <v>11</v>
      </c>
      <c r="E440" s="37">
        <v>0</v>
      </c>
      <c r="F440" s="911">
        <v>0</v>
      </c>
      <c r="G440" s="37">
        <v>0</v>
      </c>
      <c r="H440" s="37">
        <v>0</v>
      </c>
      <c r="I440" s="37">
        <v>0</v>
      </c>
      <c r="J440" s="672">
        <f t="shared" si="93"/>
        <v>0.0289473684210526</v>
      </c>
      <c r="K440" s="670">
        <f t="shared" si="94"/>
        <v>1.42818181818182</v>
      </c>
      <c r="L440" s="942">
        <v>0</v>
      </c>
      <c r="M440" s="942">
        <v>0</v>
      </c>
      <c r="N440" s="670" t="e">
        <f t="shared" si="95"/>
        <v>#DIV/0!</v>
      </c>
      <c r="O440" s="670" t="e">
        <f t="shared" si="96"/>
        <v>#DIV/0!</v>
      </c>
      <c r="P440" s="943" t="e">
        <f t="shared" si="97"/>
        <v>#DIV/0!</v>
      </c>
      <c r="Q440" s="675" t="e">
        <f t="shared" si="82"/>
        <v>#DIV/0!</v>
      </c>
    </row>
    <row r="441" spans="1:17">
      <c r="A441" s="684">
        <f t="shared" si="92"/>
        <v>44636</v>
      </c>
      <c r="B441" s="911">
        <v>0</v>
      </c>
      <c r="C441" s="37">
        <v>0</v>
      </c>
      <c r="D441" s="37">
        <v>0</v>
      </c>
      <c r="E441" s="37">
        <v>0</v>
      </c>
      <c r="F441" s="911">
        <v>0</v>
      </c>
      <c r="G441" s="37">
        <v>0</v>
      </c>
      <c r="H441" s="37">
        <v>0</v>
      </c>
      <c r="I441" s="37">
        <v>0</v>
      </c>
      <c r="J441" s="672" t="e">
        <f t="shared" si="93"/>
        <v>#DIV/0!</v>
      </c>
      <c r="K441" s="670">
        <v>0</v>
      </c>
      <c r="L441" s="942">
        <v>0</v>
      </c>
      <c r="M441" s="942">
        <v>0</v>
      </c>
      <c r="N441" s="670" t="e">
        <f t="shared" si="95"/>
        <v>#DIV/0!</v>
      </c>
      <c r="O441" s="670" t="e">
        <f t="shared" si="96"/>
        <v>#DIV/0!</v>
      </c>
      <c r="P441" s="943" t="e">
        <f t="shared" si="97"/>
        <v>#DIV/0!</v>
      </c>
      <c r="Q441" s="675" t="e">
        <f t="shared" si="82"/>
        <v>#DIV/0!</v>
      </c>
    </row>
    <row r="442" spans="1:17">
      <c r="A442" s="684">
        <f t="shared" si="92"/>
        <v>44637</v>
      </c>
      <c r="B442" s="911">
        <v>0</v>
      </c>
      <c r="C442" s="37">
        <v>0</v>
      </c>
      <c r="D442" s="37">
        <v>0</v>
      </c>
      <c r="E442" s="37">
        <v>0</v>
      </c>
      <c r="F442" s="911">
        <v>0</v>
      </c>
      <c r="G442" s="37">
        <v>0</v>
      </c>
      <c r="H442" s="37">
        <v>0</v>
      </c>
      <c r="I442" s="37">
        <v>0</v>
      </c>
      <c r="J442" s="672" t="e">
        <f t="shared" si="93"/>
        <v>#DIV/0!</v>
      </c>
      <c r="K442" s="670">
        <v>0</v>
      </c>
      <c r="L442" s="942">
        <v>0</v>
      </c>
      <c r="M442" s="942">
        <v>0</v>
      </c>
      <c r="N442" s="670" t="e">
        <f t="shared" si="95"/>
        <v>#DIV/0!</v>
      </c>
      <c r="O442" s="670" t="e">
        <f t="shared" si="96"/>
        <v>#DIV/0!</v>
      </c>
      <c r="P442" s="943" t="e">
        <f t="shared" si="97"/>
        <v>#DIV/0!</v>
      </c>
      <c r="Q442" s="675" t="e">
        <f t="shared" si="82"/>
        <v>#DIV/0!</v>
      </c>
    </row>
    <row r="443" spans="1:17">
      <c r="A443" s="684">
        <f t="shared" si="92"/>
        <v>44638</v>
      </c>
      <c r="B443" s="911">
        <v>0</v>
      </c>
      <c r="C443" s="37">
        <v>0</v>
      </c>
      <c r="D443" s="37">
        <v>0</v>
      </c>
      <c r="E443" s="37">
        <v>0</v>
      </c>
      <c r="F443" s="911">
        <v>0</v>
      </c>
      <c r="G443" s="37">
        <v>0</v>
      </c>
      <c r="H443" s="37">
        <v>0</v>
      </c>
      <c r="I443" s="37">
        <v>0</v>
      </c>
      <c r="J443" s="672" t="e">
        <f t="shared" si="93"/>
        <v>#DIV/0!</v>
      </c>
      <c r="K443" s="670">
        <v>0</v>
      </c>
      <c r="L443" s="942">
        <v>0</v>
      </c>
      <c r="M443" s="942">
        <v>0</v>
      </c>
      <c r="N443" s="670" t="e">
        <f t="shared" si="95"/>
        <v>#DIV/0!</v>
      </c>
      <c r="O443" s="670" t="e">
        <f t="shared" si="96"/>
        <v>#DIV/0!</v>
      </c>
      <c r="P443" s="943" t="e">
        <f t="shared" si="97"/>
        <v>#DIV/0!</v>
      </c>
      <c r="Q443" s="675" t="e">
        <f t="shared" si="82"/>
        <v>#DIV/0!</v>
      </c>
    </row>
    <row r="444" spans="1:17">
      <c r="A444" s="684">
        <f t="shared" ref="A444:A450" si="98">A443+1</f>
        <v>44639</v>
      </c>
      <c r="B444" s="911">
        <v>0</v>
      </c>
      <c r="C444" s="37">
        <v>0</v>
      </c>
      <c r="D444" s="37">
        <v>0</v>
      </c>
      <c r="E444" s="37">
        <v>0</v>
      </c>
      <c r="F444" s="911">
        <v>0</v>
      </c>
      <c r="G444" s="37">
        <v>0</v>
      </c>
      <c r="H444" s="37">
        <v>0</v>
      </c>
      <c r="I444" s="37">
        <v>0</v>
      </c>
      <c r="J444" s="37">
        <v>0</v>
      </c>
      <c r="K444" s="911">
        <v>0</v>
      </c>
      <c r="L444" s="37">
        <v>0</v>
      </c>
      <c r="M444" s="37">
        <v>0</v>
      </c>
      <c r="N444" s="911">
        <v>0</v>
      </c>
      <c r="O444" s="911">
        <v>0</v>
      </c>
      <c r="P444" s="911">
        <v>0</v>
      </c>
      <c r="Q444" s="675" t="e">
        <f t="shared" si="82"/>
        <v>#DIV/0!</v>
      </c>
    </row>
    <row r="445" spans="1:17">
      <c r="A445" s="684">
        <f t="shared" si="98"/>
        <v>44640</v>
      </c>
      <c r="B445" s="911">
        <v>0</v>
      </c>
      <c r="C445" s="37">
        <v>0</v>
      </c>
      <c r="D445" s="37">
        <v>0</v>
      </c>
      <c r="E445" s="37">
        <v>0</v>
      </c>
      <c r="F445" s="911">
        <v>0</v>
      </c>
      <c r="G445" s="37">
        <v>0</v>
      </c>
      <c r="H445" s="37">
        <v>0</v>
      </c>
      <c r="I445" s="37">
        <v>0</v>
      </c>
      <c r="J445" s="37">
        <v>0</v>
      </c>
      <c r="K445" s="911">
        <v>0</v>
      </c>
      <c r="L445" s="37">
        <v>0</v>
      </c>
      <c r="M445" s="37">
        <v>0</v>
      </c>
      <c r="N445" s="911">
        <v>0</v>
      </c>
      <c r="O445" s="911">
        <v>0</v>
      </c>
      <c r="P445" s="911">
        <v>0</v>
      </c>
      <c r="Q445" s="675" t="e">
        <f t="shared" si="82"/>
        <v>#DIV/0!</v>
      </c>
    </row>
    <row r="446" spans="1:17">
      <c r="A446" s="684">
        <f t="shared" si="98"/>
        <v>44641</v>
      </c>
      <c r="B446" s="911">
        <v>0</v>
      </c>
      <c r="C446" s="37">
        <v>0</v>
      </c>
      <c r="D446" s="37">
        <v>0</v>
      </c>
      <c r="E446" s="37">
        <v>0</v>
      </c>
      <c r="F446" s="911">
        <v>0</v>
      </c>
      <c r="G446" s="37">
        <v>0</v>
      </c>
      <c r="H446" s="37">
        <v>0</v>
      </c>
      <c r="I446" s="37">
        <v>0</v>
      </c>
      <c r="J446" s="37">
        <v>0</v>
      </c>
      <c r="K446" s="911">
        <v>0</v>
      </c>
      <c r="L446" s="37">
        <v>0</v>
      </c>
      <c r="M446" s="37">
        <v>0</v>
      </c>
      <c r="N446" s="911">
        <v>0</v>
      </c>
      <c r="O446" s="911">
        <v>0</v>
      </c>
      <c r="P446" s="911">
        <v>0</v>
      </c>
      <c r="Q446" s="675" t="e">
        <f t="shared" si="82"/>
        <v>#DIV/0!</v>
      </c>
    </row>
    <row r="447" spans="1:17">
      <c r="A447" s="684">
        <f t="shared" si="98"/>
        <v>44642</v>
      </c>
      <c r="B447" s="911">
        <v>0</v>
      </c>
      <c r="C447" s="37">
        <v>0</v>
      </c>
      <c r="D447" s="37">
        <v>0</v>
      </c>
      <c r="E447" s="37">
        <v>0</v>
      </c>
      <c r="F447" s="911">
        <v>0</v>
      </c>
      <c r="G447" s="37">
        <v>0</v>
      </c>
      <c r="H447" s="37">
        <v>0</v>
      </c>
      <c r="I447" s="37">
        <v>0</v>
      </c>
      <c r="J447" s="37">
        <v>0</v>
      </c>
      <c r="K447" s="911">
        <v>0</v>
      </c>
      <c r="L447" s="37">
        <v>0</v>
      </c>
      <c r="M447" s="37">
        <v>0</v>
      </c>
      <c r="N447" s="911">
        <v>0</v>
      </c>
      <c r="O447" s="911">
        <v>0</v>
      </c>
      <c r="P447" s="911">
        <v>0</v>
      </c>
      <c r="Q447" s="675" t="e">
        <f t="shared" si="82"/>
        <v>#DIV/0!</v>
      </c>
    </row>
    <row r="448" spans="1:17">
      <c r="A448" s="684">
        <f t="shared" si="98"/>
        <v>44643</v>
      </c>
      <c r="B448" s="911">
        <v>0</v>
      </c>
      <c r="C448" s="37">
        <v>0</v>
      </c>
      <c r="D448" s="37">
        <v>0</v>
      </c>
      <c r="E448" s="37">
        <v>0</v>
      </c>
      <c r="F448" s="911">
        <v>0</v>
      </c>
      <c r="G448" s="37">
        <v>0</v>
      </c>
      <c r="H448" s="37">
        <v>0</v>
      </c>
      <c r="I448" s="37">
        <v>0</v>
      </c>
      <c r="J448" s="37">
        <v>0</v>
      </c>
      <c r="K448" s="911">
        <v>0</v>
      </c>
      <c r="L448" s="37">
        <v>0</v>
      </c>
      <c r="M448" s="37">
        <v>0</v>
      </c>
      <c r="N448" s="911">
        <v>0</v>
      </c>
      <c r="O448" s="911">
        <v>0</v>
      </c>
      <c r="P448" s="911">
        <v>0</v>
      </c>
      <c r="Q448" s="675" t="e">
        <f t="shared" si="82"/>
        <v>#DIV/0!</v>
      </c>
    </row>
    <row r="449" spans="1:17">
      <c r="A449" s="684">
        <f t="shared" si="98"/>
        <v>44644</v>
      </c>
      <c r="B449" s="911">
        <v>0</v>
      </c>
      <c r="C449" s="37">
        <v>0</v>
      </c>
      <c r="D449" s="37">
        <v>0</v>
      </c>
      <c r="E449" s="37">
        <v>0</v>
      </c>
      <c r="F449" s="911">
        <v>0</v>
      </c>
      <c r="G449" s="37">
        <v>0</v>
      </c>
      <c r="H449" s="37">
        <v>0</v>
      </c>
      <c r="I449" s="37">
        <v>0</v>
      </c>
      <c r="J449" s="37">
        <v>0</v>
      </c>
      <c r="K449" s="911">
        <v>0</v>
      </c>
      <c r="L449" s="37">
        <v>0</v>
      </c>
      <c r="M449" s="37">
        <v>0</v>
      </c>
      <c r="N449" s="911">
        <v>0</v>
      </c>
      <c r="O449" s="911">
        <v>0</v>
      </c>
      <c r="P449" s="911">
        <v>0</v>
      </c>
      <c r="Q449" s="675" t="e">
        <f t="shared" si="82"/>
        <v>#DIV/0!</v>
      </c>
    </row>
    <row r="450" spans="1:17">
      <c r="A450" s="684">
        <f t="shared" si="98"/>
        <v>44645</v>
      </c>
      <c r="B450" s="911">
        <v>0</v>
      </c>
      <c r="C450" s="37">
        <v>0</v>
      </c>
      <c r="D450" s="37">
        <v>0</v>
      </c>
      <c r="E450" s="37">
        <v>0</v>
      </c>
      <c r="F450" s="911">
        <v>0</v>
      </c>
      <c r="G450" s="37">
        <v>0</v>
      </c>
      <c r="H450" s="37">
        <v>0</v>
      </c>
      <c r="I450" s="37">
        <v>0</v>
      </c>
      <c r="J450" s="37">
        <v>0</v>
      </c>
      <c r="K450" s="911">
        <v>0</v>
      </c>
      <c r="L450" s="37">
        <v>0</v>
      </c>
      <c r="M450" s="37">
        <v>0</v>
      </c>
      <c r="N450" s="911">
        <v>0</v>
      </c>
      <c r="O450" s="911">
        <v>0</v>
      </c>
      <c r="P450" s="911">
        <v>0</v>
      </c>
      <c r="Q450" s="675" t="e">
        <f t="shared" si="82"/>
        <v>#DIV/0!</v>
      </c>
    </row>
    <row r="451" spans="1:17">
      <c r="A451" s="684">
        <f t="shared" ref="A451:A457" si="99">A450+1</f>
        <v>44646</v>
      </c>
      <c r="B451" s="911">
        <v>0</v>
      </c>
      <c r="C451" s="37">
        <v>0</v>
      </c>
      <c r="D451" s="37">
        <v>0</v>
      </c>
      <c r="E451" s="37">
        <v>0</v>
      </c>
      <c r="F451" s="911">
        <v>0</v>
      </c>
      <c r="G451" s="37">
        <v>0</v>
      </c>
      <c r="H451" s="37">
        <v>0</v>
      </c>
      <c r="I451" s="37">
        <v>0</v>
      </c>
      <c r="J451" s="37">
        <v>0</v>
      </c>
      <c r="K451" s="911">
        <v>0</v>
      </c>
      <c r="L451" s="37">
        <v>0</v>
      </c>
      <c r="M451" s="37">
        <v>0</v>
      </c>
      <c r="N451" s="911">
        <v>0</v>
      </c>
      <c r="O451" s="911">
        <v>0</v>
      </c>
      <c r="P451" s="911">
        <v>0</v>
      </c>
      <c r="Q451" s="675" t="e">
        <f t="shared" si="82"/>
        <v>#DIV/0!</v>
      </c>
    </row>
    <row r="452" spans="1:17">
      <c r="A452" s="684">
        <f t="shared" si="99"/>
        <v>44647</v>
      </c>
      <c r="B452" s="911">
        <v>0</v>
      </c>
      <c r="C452" s="37">
        <v>0</v>
      </c>
      <c r="D452" s="37">
        <v>0</v>
      </c>
      <c r="E452" s="37">
        <v>0</v>
      </c>
      <c r="F452" s="911">
        <v>0</v>
      </c>
      <c r="G452" s="37">
        <v>0</v>
      </c>
      <c r="H452" s="37">
        <v>0</v>
      </c>
      <c r="I452" s="37">
        <v>0</v>
      </c>
      <c r="J452" s="37">
        <v>0</v>
      </c>
      <c r="K452" s="911">
        <v>0</v>
      </c>
      <c r="L452" s="37">
        <v>0</v>
      </c>
      <c r="M452" s="37">
        <v>0</v>
      </c>
      <c r="N452" s="911">
        <v>0</v>
      </c>
      <c r="O452" s="911">
        <v>0</v>
      </c>
      <c r="P452" s="911">
        <v>0</v>
      </c>
      <c r="Q452" s="675" t="e">
        <f t="shared" si="82"/>
        <v>#DIV/0!</v>
      </c>
    </row>
    <row r="453" spans="1:17">
      <c r="A453" s="684">
        <f t="shared" si="99"/>
        <v>44648</v>
      </c>
      <c r="B453" s="911">
        <v>0</v>
      </c>
      <c r="C453" s="37">
        <v>0</v>
      </c>
      <c r="D453" s="37">
        <v>0</v>
      </c>
      <c r="E453" s="37">
        <v>0</v>
      </c>
      <c r="F453" s="911">
        <v>0</v>
      </c>
      <c r="G453" s="37">
        <v>0</v>
      </c>
      <c r="H453" s="37">
        <v>0</v>
      </c>
      <c r="I453" s="37">
        <v>0</v>
      </c>
      <c r="J453" s="37">
        <v>0</v>
      </c>
      <c r="K453" s="911">
        <v>0</v>
      </c>
      <c r="L453" s="37">
        <v>0</v>
      </c>
      <c r="M453" s="37">
        <v>0</v>
      </c>
      <c r="N453" s="911">
        <v>0</v>
      </c>
      <c r="O453" s="911">
        <v>0</v>
      </c>
      <c r="P453" s="911">
        <v>0</v>
      </c>
      <c r="Q453" s="675" t="e">
        <f t="shared" si="82"/>
        <v>#DIV/0!</v>
      </c>
    </row>
    <row r="454" spans="1:17">
      <c r="A454" s="684">
        <f t="shared" si="99"/>
        <v>44649</v>
      </c>
      <c r="B454" s="911">
        <v>0</v>
      </c>
      <c r="C454" s="37">
        <v>0</v>
      </c>
      <c r="D454" s="37">
        <v>0</v>
      </c>
      <c r="E454" s="37">
        <v>0</v>
      </c>
      <c r="F454" s="911">
        <v>0</v>
      </c>
      <c r="G454" s="37">
        <v>0</v>
      </c>
      <c r="H454" s="37">
        <v>0</v>
      </c>
      <c r="I454" s="37">
        <v>0</v>
      </c>
      <c r="J454" s="37">
        <v>0</v>
      </c>
      <c r="K454" s="911">
        <v>0</v>
      </c>
      <c r="L454" s="37">
        <v>0</v>
      </c>
      <c r="M454" s="37">
        <v>0</v>
      </c>
      <c r="N454" s="911">
        <v>0</v>
      </c>
      <c r="O454" s="911">
        <v>0</v>
      </c>
      <c r="P454" s="911">
        <v>0</v>
      </c>
      <c r="Q454" s="675" t="e">
        <f t="shared" ref="Q454:Q517" si="100">B454/(G454+H454)</f>
        <v>#DIV/0!</v>
      </c>
    </row>
    <row r="455" spans="1:17">
      <c r="A455" s="684">
        <f t="shared" si="99"/>
        <v>44650</v>
      </c>
      <c r="B455" s="911">
        <v>0</v>
      </c>
      <c r="C455" s="37">
        <v>0</v>
      </c>
      <c r="D455" s="37">
        <v>0</v>
      </c>
      <c r="E455" s="37">
        <v>0</v>
      </c>
      <c r="F455" s="911">
        <v>0</v>
      </c>
      <c r="G455" s="37">
        <v>0</v>
      </c>
      <c r="H455" s="37">
        <v>0</v>
      </c>
      <c r="I455" s="37">
        <v>0</v>
      </c>
      <c r="J455" s="37">
        <v>0</v>
      </c>
      <c r="K455" s="911">
        <v>0</v>
      </c>
      <c r="L455" s="37">
        <v>0</v>
      </c>
      <c r="M455" s="37">
        <v>0</v>
      </c>
      <c r="N455" s="911">
        <v>0</v>
      </c>
      <c r="O455" s="911">
        <v>0</v>
      </c>
      <c r="P455" s="911">
        <v>0</v>
      </c>
      <c r="Q455" s="675" t="e">
        <f t="shared" si="100"/>
        <v>#DIV/0!</v>
      </c>
    </row>
    <row r="456" spans="1:17">
      <c r="A456" s="684">
        <f t="shared" si="99"/>
        <v>44651</v>
      </c>
      <c r="B456" s="911">
        <v>0</v>
      </c>
      <c r="C456" s="37">
        <v>0</v>
      </c>
      <c r="D456" s="37">
        <v>0</v>
      </c>
      <c r="E456" s="37">
        <v>0</v>
      </c>
      <c r="F456" s="911">
        <v>0</v>
      </c>
      <c r="G456" s="37">
        <v>0</v>
      </c>
      <c r="H456" s="37">
        <v>0</v>
      </c>
      <c r="I456" s="37">
        <v>0</v>
      </c>
      <c r="J456" s="37">
        <v>0</v>
      </c>
      <c r="K456" s="911">
        <v>0</v>
      </c>
      <c r="L456" s="37">
        <v>0</v>
      </c>
      <c r="M456" s="37">
        <v>0</v>
      </c>
      <c r="N456" s="911">
        <v>0</v>
      </c>
      <c r="O456" s="911">
        <v>0</v>
      </c>
      <c r="P456" s="911">
        <v>0</v>
      </c>
      <c r="Q456" s="675" t="e">
        <f t="shared" si="100"/>
        <v>#DIV/0!</v>
      </c>
    </row>
    <row r="457" spans="1:17">
      <c r="A457" s="684">
        <f t="shared" si="99"/>
        <v>44652</v>
      </c>
      <c r="B457" s="911">
        <v>0</v>
      </c>
      <c r="C457" s="37">
        <v>0</v>
      </c>
      <c r="D457" s="37">
        <v>0</v>
      </c>
      <c r="E457" s="37">
        <v>0</v>
      </c>
      <c r="F457" s="911">
        <v>0</v>
      </c>
      <c r="G457" s="37">
        <v>0</v>
      </c>
      <c r="H457" s="37">
        <v>0</v>
      </c>
      <c r="I457" s="37">
        <v>0</v>
      </c>
      <c r="J457" s="37">
        <v>0</v>
      </c>
      <c r="K457" s="911">
        <v>0</v>
      </c>
      <c r="L457" s="37">
        <v>0</v>
      </c>
      <c r="M457" s="37">
        <v>0</v>
      </c>
      <c r="N457" s="911">
        <v>0</v>
      </c>
      <c r="O457" s="911">
        <v>0</v>
      </c>
      <c r="P457" s="911">
        <v>0</v>
      </c>
      <c r="Q457" s="675" t="e">
        <f t="shared" si="100"/>
        <v>#DIV/0!</v>
      </c>
    </row>
    <row r="458" spans="1:17">
      <c r="A458" s="684">
        <f t="shared" ref="A458:A471" si="101">A457+1</f>
        <v>44653</v>
      </c>
      <c r="B458" s="911">
        <v>0</v>
      </c>
      <c r="C458" s="37">
        <v>0</v>
      </c>
      <c r="D458" s="37">
        <v>0</v>
      </c>
      <c r="E458" s="37">
        <v>0</v>
      </c>
      <c r="F458" s="911">
        <v>0</v>
      </c>
      <c r="G458" s="37">
        <v>0</v>
      </c>
      <c r="H458" s="37">
        <v>0</v>
      </c>
      <c r="I458" s="37">
        <v>0</v>
      </c>
      <c r="J458" s="37">
        <v>0</v>
      </c>
      <c r="K458" s="911">
        <v>0</v>
      </c>
      <c r="L458" s="37">
        <v>0</v>
      </c>
      <c r="M458" s="37">
        <v>0</v>
      </c>
      <c r="N458" s="911">
        <v>0</v>
      </c>
      <c r="O458" s="911">
        <v>0</v>
      </c>
      <c r="P458" s="911">
        <v>0</v>
      </c>
      <c r="Q458" s="675" t="e">
        <f t="shared" si="100"/>
        <v>#DIV/0!</v>
      </c>
    </row>
    <row r="459" spans="1:17">
      <c r="A459" s="684">
        <f t="shared" si="101"/>
        <v>44654</v>
      </c>
      <c r="B459" s="911">
        <v>0</v>
      </c>
      <c r="C459" s="37">
        <v>0</v>
      </c>
      <c r="D459" s="37">
        <v>0</v>
      </c>
      <c r="E459" s="37">
        <v>0</v>
      </c>
      <c r="F459" s="911">
        <v>0</v>
      </c>
      <c r="G459" s="37">
        <v>0</v>
      </c>
      <c r="H459" s="37">
        <v>0</v>
      </c>
      <c r="I459" s="37">
        <v>0</v>
      </c>
      <c r="J459" s="37">
        <v>0</v>
      </c>
      <c r="K459" s="911">
        <v>0</v>
      </c>
      <c r="L459" s="37">
        <v>0</v>
      </c>
      <c r="M459" s="37">
        <v>0</v>
      </c>
      <c r="N459" s="911">
        <v>0</v>
      </c>
      <c r="O459" s="911">
        <v>0</v>
      </c>
      <c r="P459" s="911">
        <v>0</v>
      </c>
      <c r="Q459" s="675" t="e">
        <f t="shared" si="100"/>
        <v>#DIV/0!</v>
      </c>
    </row>
    <row r="460" spans="1:17">
      <c r="A460" s="684">
        <f t="shared" si="101"/>
        <v>44655</v>
      </c>
      <c r="B460" s="911">
        <v>0</v>
      </c>
      <c r="C460" s="37">
        <v>0</v>
      </c>
      <c r="D460" s="37">
        <v>0</v>
      </c>
      <c r="E460" s="37">
        <v>0</v>
      </c>
      <c r="F460" s="911">
        <v>0</v>
      </c>
      <c r="G460" s="37">
        <v>0</v>
      </c>
      <c r="H460" s="37">
        <v>0</v>
      </c>
      <c r="I460" s="37">
        <v>0</v>
      </c>
      <c r="J460" s="37">
        <v>0</v>
      </c>
      <c r="K460" s="911">
        <v>0</v>
      </c>
      <c r="L460" s="37">
        <v>0</v>
      </c>
      <c r="M460" s="37">
        <v>0</v>
      </c>
      <c r="N460" s="911">
        <v>0</v>
      </c>
      <c r="O460" s="911">
        <v>0</v>
      </c>
      <c r="P460" s="911">
        <v>0</v>
      </c>
      <c r="Q460" s="675" t="e">
        <f t="shared" si="100"/>
        <v>#DIV/0!</v>
      </c>
    </row>
    <row r="461" spans="1:17">
      <c r="A461" s="684">
        <f t="shared" si="101"/>
        <v>44656</v>
      </c>
      <c r="B461" s="911">
        <v>0</v>
      </c>
      <c r="C461" s="37">
        <v>0</v>
      </c>
      <c r="D461" s="37">
        <v>0</v>
      </c>
      <c r="E461" s="37">
        <v>0</v>
      </c>
      <c r="F461" s="911">
        <v>0</v>
      </c>
      <c r="G461" s="37">
        <v>0</v>
      </c>
      <c r="H461" s="37">
        <v>0</v>
      </c>
      <c r="I461" s="37">
        <v>0</v>
      </c>
      <c r="J461" s="37">
        <v>0</v>
      </c>
      <c r="K461" s="911">
        <v>0</v>
      </c>
      <c r="L461" s="37">
        <v>0</v>
      </c>
      <c r="M461" s="37">
        <v>0</v>
      </c>
      <c r="N461" s="911">
        <v>0</v>
      </c>
      <c r="O461" s="911">
        <v>0</v>
      </c>
      <c r="P461" s="911">
        <v>0</v>
      </c>
      <c r="Q461" s="675" t="e">
        <f t="shared" si="100"/>
        <v>#DIV/0!</v>
      </c>
    </row>
    <row r="462" spans="1:17">
      <c r="A462" s="684">
        <f t="shared" si="101"/>
        <v>44657</v>
      </c>
      <c r="B462" s="911">
        <v>0</v>
      </c>
      <c r="C462" s="37">
        <v>0</v>
      </c>
      <c r="D462" s="37">
        <v>0</v>
      </c>
      <c r="E462" s="37">
        <v>0</v>
      </c>
      <c r="F462" s="911">
        <v>0</v>
      </c>
      <c r="G462" s="37">
        <v>0</v>
      </c>
      <c r="H462" s="37">
        <v>0</v>
      </c>
      <c r="I462" s="37">
        <v>0</v>
      </c>
      <c r="J462" s="37">
        <v>0</v>
      </c>
      <c r="K462" s="911">
        <v>0</v>
      </c>
      <c r="L462" s="37">
        <v>0</v>
      </c>
      <c r="M462" s="37">
        <v>0</v>
      </c>
      <c r="N462" s="911">
        <v>0</v>
      </c>
      <c r="O462" s="911">
        <v>0</v>
      </c>
      <c r="P462" s="911">
        <v>0</v>
      </c>
      <c r="Q462" s="675" t="e">
        <f t="shared" si="100"/>
        <v>#DIV/0!</v>
      </c>
    </row>
    <row r="463" spans="1:17">
      <c r="A463" s="684">
        <f t="shared" si="101"/>
        <v>44658</v>
      </c>
      <c r="B463" s="911">
        <v>0</v>
      </c>
      <c r="C463" s="37">
        <v>0</v>
      </c>
      <c r="D463" s="37">
        <v>0</v>
      </c>
      <c r="E463" s="37">
        <v>0</v>
      </c>
      <c r="F463" s="911">
        <v>0</v>
      </c>
      <c r="G463" s="37">
        <v>0</v>
      </c>
      <c r="H463" s="37">
        <v>0</v>
      </c>
      <c r="I463" s="37">
        <v>0</v>
      </c>
      <c r="J463" s="37">
        <v>0</v>
      </c>
      <c r="K463" s="911">
        <v>0</v>
      </c>
      <c r="L463" s="37">
        <v>0</v>
      </c>
      <c r="M463" s="37">
        <v>0</v>
      </c>
      <c r="N463" s="911">
        <v>0</v>
      </c>
      <c r="O463" s="911">
        <v>0</v>
      </c>
      <c r="P463" s="911">
        <v>0</v>
      </c>
      <c r="Q463" s="675" t="e">
        <f t="shared" si="100"/>
        <v>#DIV/0!</v>
      </c>
    </row>
    <row r="464" spans="1:17">
      <c r="A464" s="684">
        <f t="shared" si="101"/>
        <v>44659</v>
      </c>
      <c r="B464" s="911">
        <v>0</v>
      </c>
      <c r="C464" s="37">
        <v>0</v>
      </c>
      <c r="D464" s="37">
        <v>0</v>
      </c>
      <c r="E464" s="37">
        <v>0</v>
      </c>
      <c r="F464" s="911">
        <v>0</v>
      </c>
      <c r="G464" s="37">
        <v>0</v>
      </c>
      <c r="H464" s="37">
        <v>0</v>
      </c>
      <c r="I464" s="37">
        <v>0</v>
      </c>
      <c r="J464" s="37">
        <v>0</v>
      </c>
      <c r="K464" s="911">
        <v>0</v>
      </c>
      <c r="L464" s="37">
        <v>0</v>
      </c>
      <c r="M464" s="37">
        <v>0</v>
      </c>
      <c r="N464" s="911">
        <v>0</v>
      </c>
      <c r="O464" s="911">
        <v>0</v>
      </c>
      <c r="P464" s="911">
        <v>0</v>
      </c>
      <c r="Q464" s="675" t="e">
        <f t="shared" si="100"/>
        <v>#DIV/0!</v>
      </c>
    </row>
    <row r="465" spans="1:17">
      <c r="A465" s="684">
        <f t="shared" si="101"/>
        <v>44660</v>
      </c>
      <c r="B465" s="911">
        <v>0</v>
      </c>
      <c r="C465" s="37">
        <v>0</v>
      </c>
      <c r="D465" s="37">
        <v>0</v>
      </c>
      <c r="E465" s="37">
        <v>0</v>
      </c>
      <c r="F465" s="911">
        <v>0</v>
      </c>
      <c r="G465" s="37">
        <v>0</v>
      </c>
      <c r="H465" s="37">
        <v>0</v>
      </c>
      <c r="I465" s="37">
        <v>0</v>
      </c>
      <c r="J465" s="37">
        <v>0</v>
      </c>
      <c r="K465" s="911">
        <v>0</v>
      </c>
      <c r="L465" s="37">
        <v>0</v>
      </c>
      <c r="M465" s="37">
        <v>0</v>
      </c>
      <c r="N465" s="911">
        <v>0</v>
      </c>
      <c r="O465" s="911">
        <v>0</v>
      </c>
      <c r="P465" s="911">
        <v>0</v>
      </c>
      <c r="Q465" s="675" t="e">
        <f t="shared" si="100"/>
        <v>#DIV/0!</v>
      </c>
    </row>
    <row r="466" spans="1:17">
      <c r="A466" s="684">
        <f t="shared" si="101"/>
        <v>44661</v>
      </c>
      <c r="B466" s="911">
        <v>0</v>
      </c>
      <c r="C466" s="37">
        <v>0</v>
      </c>
      <c r="D466" s="37">
        <v>0</v>
      </c>
      <c r="E466" s="37">
        <v>0</v>
      </c>
      <c r="F466" s="911">
        <v>0</v>
      </c>
      <c r="G466" s="37">
        <v>0</v>
      </c>
      <c r="H466" s="37">
        <v>0</v>
      </c>
      <c r="I466" s="37">
        <v>0</v>
      </c>
      <c r="J466" s="37">
        <v>0</v>
      </c>
      <c r="K466" s="911">
        <v>0</v>
      </c>
      <c r="L466" s="37">
        <v>0</v>
      </c>
      <c r="M466" s="37">
        <v>0</v>
      </c>
      <c r="N466" s="911">
        <v>0</v>
      </c>
      <c r="O466" s="911">
        <v>0</v>
      </c>
      <c r="P466" s="911">
        <v>0</v>
      </c>
      <c r="Q466" s="675" t="e">
        <f t="shared" si="100"/>
        <v>#DIV/0!</v>
      </c>
    </row>
    <row r="467" spans="1:17">
      <c r="A467" s="684">
        <f t="shared" si="101"/>
        <v>44662</v>
      </c>
      <c r="B467" s="911">
        <v>0</v>
      </c>
      <c r="C467" s="37">
        <v>0</v>
      </c>
      <c r="D467" s="37">
        <v>0</v>
      </c>
      <c r="E467" s="37">
        <v>0</v>
      </c>
      <c r="F467" s="911">
        <v>0</v>
      </c>
      <c r="G467" s="37">
        <v>0</v>
      </c>
      <c r="H467" s="37">
        <v>0</v>
      </c>
      <c r="I467" s="37">
        <v>0</v>
      </c>
      <c r="J467" s="37">
        <v>0</v>
      </c>
      <c r="K467" s="911">
        <v>0</v>
      </c>
      <c r="L467" s="37">
        <v>0</v>
      </c>
      <c r="M467" s="37">
        <v>0</v>
      </c>
      <c r="N467" s="911">
        <v>0</v>
      </c>
      <c r="O467" s="911">
        <v>0</v>
      </c>
      <c r="P467" s="911">
        <v>0</v>
      </c>
      <c r="Q467" s="675" t="e">
        <f t="shared" si="100"/>
        <v>#DIV/0!</v>
      </c>
    </row>
    <row r="468" spans="1:17">
      <c r="A468" s="684">
        <f t="shared" si="101"/>
        <v>44663</v>
      </c>
      <c r="B468" s="911">
        <v>0</v>
      </c>
      <c r="C468" s="37">
        <v>0</v>
      </c>
      <c r="D468" s="37">
        <v>0</v>
      </c>
      <c r="E468" s="37">
        <v>0</v>
      </c>
      <c r="F468" s="911">
        <v>0</v>
      </c>
      <c r="G468" s="37">
        <v>0</v>
      </c>
      <c r="H468" s="37">
        <v>0</v>
      </c>
      <c r="I468" s="37">
        <v>0</v>
      </c>
      <c r="J468" s="37">
        <v>0</v>
      </c>
      <c r="K468" s="911">
        <v>0</v>
      </c>
      <c r="L468" s="37">
        <v>0</v>
      </c>
      <c r="M468" s="37">
        <v>0</v>
      </c>
      <c r="N468" s="911">
        <v>0</v>
      </c>
      <c r="O468" s="911">
        <v>0</v>
      </c>
      <c r="P468" s="911">
        <v>0</v>
      </c>
      <c r="Q468" s="675" t="e">
        <f t="shared" si="100"/>
        <v>#DIV/0!</v>
      </c>
    </row>
    <row r="469" spans="1:17">
      <c r="A469" s="684">
        <f t="shared" si="101"/>
        <v>44664</v>
      </c>
      <c r="B469" s="911">
        <v>0</v>
      </c>
      <c r="C469" s="37">
        <v>0</v>
      </c>
      <c r="D469" s="37">
        <v>0</v>
      </c>
      <c r="E469" s="37">
        <v>0</v>
      </c>
      <c r="F469" s="911">
        <v>0</v>
      </c>
      <c r="G469" s="37">
        <v>0</v>
      </c>
      <c r="H469" s="37">
        <v>0</v>
      </c>
      <c r="I469" s="37">
        <v>0</v>
      </c>
      <c r="J469" s="37">
        <v>0</v>
      </c>
      <c r="K469" s="911">
        <v>0</v>
      </c>
      <c r="L469" s="37">
        <v>0</v>
      </c>
      <c r="M469" s="37">
        <v>0</v>
      </c>
      <c r="N469" s="911">
        <v>0</v>
      </c>
      <c r="O469" s="911">
        <v>0</v>
      </c>
      <c r="P469" s="911">
        <v>0</v>
      </c>
      <c r="Q469" s="675" t="e">
        <f t="shared" si="100"/>
        <v>#DIV/0!</v>
      </c>
    </row>
    <row r="470" spans="1:17">
      <c r="A470" s="684">
        <f t="shared" si="101"/>
        <v>44665</v>
      </c>
      <c r="B470" s="911">
        <v>0</v>
      </c>
      <c r="C470" s="37">
        <v>0</v>
      </c>
      <c r="D470" s="37">
        <v>0</v>
      </c>
      <c r="E470" s="37">
        <v>0</v>
      </c>
      <c r="F470" s="911">
        <v>0</v>
      </c>
      <c r="G470" s="37">
        <v>0</v>
      </c>
      <c r="H470" s="37">
        <v>0</v>
      </c>
      <c r="I470" s="37">
        <v>0</v>
      </c>
      <c r="J470" s="37">
        <v>0</v>
      </c>
      <c r="K470" s="911">
        <v>0</v>
      </c>
      <c r="L470" s="37">
        <v>0</v>
      </c>
      <c r="M470" s="37">
        <v>0</v>
      </c>
      <c r="N470" s="911">
        <v>0</v>
      </c>
      <c r="O470" s="911">
        <v>0</v>
      </c>
      <c r="P470" s="911">
        <v>0</v>
      </c>
      <c r="Q470" s="675" t="e">
        <f t="shared" si="100"/>
        <v>#DIV/0!</v>
      </c>
    </row>
    <row r="471" spans="1:17">
      <c r="A471" s="684">
        <f t="shared" si="101"/>
        <v>44666</v>
      </c>
      <c r="B471" s="911">
        <v>0</v>
      </c>
      <c r="C471" s="37">
        <v>0</v>
      </c>
      <c r="D471" s="37">
        <v>0</v>
      </c>
      <c r="E471" s="37">
        <v>0</v>
      </c>
      <c r="F471" s="911">
        <v>0</v>
      </c>
      <c r="G471" s="37">
        <v>0</v>
      </c>
      <c r="H471" s="37">
        <v>0</v>
      </c>
      <c r="I471" s="37">
        <v>0</v>
      </c>
      <c r="J471" s="37">
        <v>0</v>
      </c>
      <c r="K471" s="911">
        <v>0</v>
      </c>
      <c r="L471" s="37">
        <v>0</v>
      </c>
      <c r="M471" s="37">
        <v>0</v>
      </c>
      <c r="N471" s="911">
        <v>0</v>
      </c>
      <c r="O471" s="911">
        <v>0</v>
      </c>
      <c r="P471" s="911">
        <v>0</v>
      </c>
      <c r="Q471" s="675" t="e">
        <f t="shared" si="100"/>
        <v>#DIV/0!</v>
      </c>
    </row>
    <row r="472" spans="1:17">
      <c r="A472" s="684">
        <f t="shared" ref="A472:A478" si="102">A471+1</f>
        <v>44667</v>
      </c>
      <c r="B472" s="911">
        <v>0</v>
      </c>
      <c r="C472" s="37">
        <v>0</v>
      </c>
      <c r="D472" s="37">
        <v>0</v>
      </c>
      <c r="E472" s="37">
        <v>0</v>
      </c>
      <c r="F472" s="911">
        <v>0</v>
      </c>
      <c r="G472" s="37">
        <v>0</v>
      </c>
      <c r="H472" s="37">
        <v>0</v>
      </c>
      <c r="I472" s="37">
        <v>0</v>
      </c>
      <c r="J472" s="37">
        <v>0</v>
      </c>
      <c r="K472" s="911">
        <v>0</v>
      </c>
      <c r="L472" s="37">
        <v>0</v>
      </c>
      <c r="M472" s="37">
        <v>0</v>
      </c>
      <c r="N472" s="911">
        <v>0</v>
      </c>
      <c r="O472" s="911">
        <v>0</v>
      </c>
      <c r="P472" s="911">
        <v>0</v>
      </c>
      <c r="Q472" s="675" t="e">
        <f t="shared" si="100"/>
        <v>#DIV/0!</v>
      </c>
    </row>
    <row r="473" spans="1:17">
      <c r="A473" s="684">
        <f t="shared" si="102"/>
        <v>44668</v>
      </c>
      <c r="B473" s="911">
        <v>0</v>
      </c>
      <c r="C473" s="37">
        <v>0</v>
      </c>
      <c r="D473" s="37">
        <v>0</v>
      </c>
      <c r="E473" s="37">
        <v>0</v>
      </c>
      <c r="F473" s="911">
        <v>0</v>
      </c>
      <c r="G473" s="37">
        <v>0</v>
      </c>
      <c r="H473" s="37">
        <v>0</v>
      </c>
      <c r="I473" s="37">
        <v>0</v>
      </c>
      <c r="J473" s="37">
        <v>0</v>
      </c>
      <c r="K473" s="911">
        <v>0</v>
      </c>
      <c r="L473" s="37">
        <v>0</v>
      </c>
      <c r="M473" s="37">
        <v>0</v>
      </c>
      <c r="N473" s="911">
        <v>0</v>
      </c>
      <c r="O473" s="911">
        <v>0</v>
      </c>
      <c r="P473" s="911">
        <v>0</v>
      </c>
      <c r="Q473" s="675" t="e">
        <f t="shared" si="100"/>
        <v>#DIV/0!</v>
      </c>
    </row>
    <row r="474" spans="1:17">
      <c r="A474" s="684">
        <f t="shared" si="102"/>
        <v>44669</v>
      </c>
      <c r="B474" s="911">
        <v>0</v>
      </c>
      <c r="C474" s="37">
        <v>0</v>
      </c>
      <c r="D474" s="37">
        <v>0</v>
      </c>
      <c r="E474" s="37">
        <v>0</v>
      </c>
      <c r="F474" s="911">
        <v>0</v>
      </c>
      <c r="G474" s="37">
        <v>0</v>
      </c>
      <c r="H474" s="37">
        <v>0</v>
      </c>
      <c r="I474" s="37">
        <v>0</v>
      </c>
      <c r="J474" s="37">
        <v>0</v>
      </c>
      <c r="K474" s="911">
        <v>0</v>
      </c>
      <c r="L474" s="37">
        <v>0</v>
      </c>
      <c r="M474" s="37">
        <v>0</v>
      </c>
      <c r="N474" s="911">
        <v>0</v>
      </c>
      <c r="O474" s="911">
        <v>0</v>
      </c>
      <c r="P474" s="911">
        <v>0</v>
      </c>
      <c r="Q474" s="675" t="e">
        <f t="shared" si="100"/>
        <v>#DIV/0!</v>
      </c>
    </row>
    <row r="475" spans="1:17">
      <c r="A475" s="684">
        <f t="shared" si="102"/>
        <v>44670</v>
      </c>
      <c r="B475" s="911">
        <v>0</v>
      </c>
      <c r="C475" s="37">
        <v>0</v>
      </c>
      <c r="D475" s="37">
        <v>0</v>
      </c>
      <c r="E475" s="37">
        <v>0</v>
      </c>
      <c r="F475" s="911">
        <v>0</v>
      </c>
      <c r="G475" s="37">
        <v>0</v>
      </c>
      <c r="H475" s="37">
        <v>0</v>
      </c>
      <c r="I475" s="37">
        <v>0</v>
      </c>
      <c r="J475" s="37">
        <v>0</v>
      </c>
      <c r="K475" s="911">
        <v>0</v>
      </c>
      <c r="L475" s="37">
        <v>0</v>
      </c>
      <c r="M475" s="37">
        <v>0</v>
      </c>
      <c r="N475" s="911">
        <v>0</v>
      </c>
      <c r="O475" s="911">
        <v>0</v>
      </c>
      <c r="P475" s="911">
        <v>0</v>
      </c>
      <c r="Q475" s="675" t="e">
        <f t="shared" si="100"/>
        <v>#DIV/0!</v>
      </c>
    </row>
    <row r="476" spans="1:17">
      <c r="A476" s="684">
        <f t="shared" si="102"/>
        <v>44671</v>
      </c>
      <c r="B476" s="911">
        <v>0</v>
      </c>
      <c r="C476" s="37">
        <v>0</v>
      </c>
      <c r="D476" s="37">
        <v>0</v>
      </c>
      <c r="E476" s="37">
        <v>0</v>
      </c>
      <c r="F476" s="911">
        <v>0</v>
      </c>
      <c r="G476" s="37">
        <v>0</v>
      </c>
      <c r="H476" s="37">
        <v>0</v>
      </c>
      <c r="I476" s="37">
        <v>0</v>
      </c>
      <c r="J476" s="37">
        <v>0</v>
      </c>
      <c r="K476" s="911">
        <v>0</v>
      </c>
      <c r="L476" s="37">
        <v>0</v>
      </c>
      <c r="M476" s="37">
        <v>0</v>
      </c>
      <c r="N476" s="911">
        <v>0</v>
      </c>
      <c r="O476" s="911">
        <v>0</v>
      </c>
      <c r="P476" s="911">
        <v>0</v>
      </c>
      <c r="Q476" s="675" t="e">
        <f t="shared" si="100"/>
        <v>#DIV/0!</v>
      </c>
    </row>
    <row r="477" spans="1:17">
      <c r="A477" s="684">
        <f t="shared" si="102"/>
        <v>44672</v>
      </c>
      <c r="B477" s="911">
        <v>0</v>
      </c>
      <c r="C477" s="37">
        <v>0</v>
      </c>
      <c r="D477" s="37">
        <v>0</v>
      </c>
      <c r="E477" s="37">
        <v>0</v>
      </c>
      <c r="F477" s="911">
        <v>0</v>
      </c>
      <c r="G477" s="37">
        <v>0</v>
      </c>
      <c r="H477" s="37">
        <v>0</v>
      </c>
      <c r="I477" s="37">
        <v>0</v>
      </c>
      <c r="J477" s="37">
        <v>0</v>
      </c>
      <c r="K477" s="911">
        <v>0</v>
      </c>
      <c r="L477" s="37">
        <v>0</v>
      </c>
      <c r="M477" s="37">
        <v>0</v>
      </c>
      <c r="N477" s="911">
        <v>0</v>
      </c>
      <c r="O477" s="911">
        <v>0</v>
      </c>
      <c r="P477" s="911">
        <v>0</v>
      </c>
      <c r="Q477" s="675" t="e">
        <f t="shared" si="100"/>
        <v>#DIV/0!</v>
      </c>
    </row>
    <row r="478" spans="1:17">
      <c r="A478" s="684">
        <f t="shared" si="102"/>
        <v>44673</v>
      </c>
      <c r="B478" s="911">
        <v>0</v>
      </c>
      <c r="C478" s="37">
        <v>0</v>
      </c>
      <c r="D478" s="37">
        <v>0</v>
      </c>
      <c r="E478" s="37">
        <v>0</v>
      </c>
      <c r="F478" s="911">
        <v>0</v>
      </c>
      <c r="G478" s="37">
        <v>0</v>
      </c>
      <c r="H478" s="37">
        <v>0</v>
      </c>
      <c r="I478" s="37">
        <v>0</v>
      </c>
      <c r="J478" s="37">
        <v>0</v>
      </c>
      <c r="K478" s="911">
        <v>0</v>
      </c>
      <c r="L478" s="37">
        <v>0</v>
      </c>
      <c r="M478" s="37">
        <v>0</v>
      </c>
      <c r="N478" s="911">
        <v>0</v>
      </c>
      <c r="O478" s="911">
        <v>0</v>
      </c>
      <c r="P478" s="911">
        <v>0</v>
      </c>
      <c r="Q478" s="675" t="e">
        <f t="shared" si="100"/>
        <v>#DIV/0!</v>
      </c>
    </row>
    <row r="479" spans="1:17">
      <c r="A479" s="684">
        <f t="shared" ref="A479:A485" si="103">A478+1</f>
        <v>44674</v>
      </c>
      <c r="B479" s="911">
        <v>0</v>
      </c>
      <c r="C479" s="37">
        <v>0</v>
      </c>
      <c r="D479" s="37">
        <v>0</v>
      </c>
      <c r="E479" s="37">
        <v>0</v>
      </c>
      <c r="F479" s="911">
        <v>0</v>
      </c>
      <c r="G479" s="37">
        <v>0</v>
      </c>
      <c r="H479" s="37">
        <v>0</v>
      </c>
      <c r="I479" s="37">
        <v>0</v>
      </c>
      <c r="J479" s="37">
        <v>0</v>
      </c>
      <c r="K479" s="911">
        <v>0</v>
      </c>
      <c r="L479" s="37">
        <v>0</v>
      </c>
      <c r="M479" s="37">
        <v>0</v>
      </c>
      <c r="N479" s="911">
        <v>0</v>
      </c>
      <c r="O479" s="911">
        <v>0</v>
      </c>
      <c r="P479" s="911">
        <v>0</v>
      </c>
      <c r="Q479" s="675" t="e">
        <f t="shared" si="100"/>
        <v>#DIV/0!</v>
      </c>
    </row>
    <row r="480" spans="1:17">
      <c r="A480" s="684">
        <f t="shared" si="103"/>
        <v>44675</v>
      </c>
      <c r="B480" s="911">
        <v>0</v>
      </c>
      <c r="C480" s="37">
        <v>0</v>
      </c>
      <c r="D480" s="37">
        <v>0</v>
      </c>
      <c r="E480" s="37">
        <v>0</v>
      </c>
      <c r="F480" s="911">
        <v>0</v>
      </c>
      <c r="G480" s="37">
        <v>0</v>
      </c>
      <c r="H480" s="37">
        <v>0</v>
      </c>
      <c r="I480" s="37">
        <v>0</v>
      </c>
      <c r="J480" s="37">
        <v>0</v>
      </c>
      <c r="K480" s="911">
        <v>0</v>
      </c>
      <c r="L480" s="37">
        <v>0</v>
      </c>
      <c r="M480" s="37">
        <v>0</v>
      </c>
      <c r="N480" s="911">
        <v>0</v>
      </c>
      <c r="O480" s="911">
        <v>0</v>
      </c>
      <c r="P480" s="911">
        <v>0</v>
      </c>
      <c r="Q480" s="675" t="e">
        <f t="shared" si="100"/>
        <v>#DIV/0!</v>
      </c>
    </row>
    <row r="481" spans="1:17">
      <c r="A481" s="684">
        <f t="shared" si="103"/>
        <v>44676</v>
      </c>
      <c r="B481" s="911">
        <v>0</v>
      </c>
      <c r="C481" s="37">
        <v>0</v>
      </c>
      <c r="D481" s="37">
        <v>0</v>
      </c>
      <c r="E481" s="37">
        <v>0</v>
      </c>
      <c r="F481" s="911">
        <v>0</v>
      </c>
      <c r="G481" s="37">
        <v>0</v>
      </c>
      <c r="H481" s="37">
        <v>0</v>
      </c>
      <c r="I481" s="37">
        <v>0</v>
      </c>
      <c r="J481" s="37">
        <v>0</v>
      </c>
      <c r="K481" s="911">
        <v>0</v>
      </c>
      <c r="L481" s="37">
        <v>0</v>
      </c>
      <c r="M481" s="37">
        <v>0</v>
      </c>
      <c r="N481" s="911">
        <v>0</v>
      </c>
      <c r="O481" s="911">
        <v>0</v>
      </c>
      <c r="P481" s="911">
        <v>0</v>
      </c>
      <c r="Q481" s="675" t="e">
        <f t="shared" si="100"/>
        <v>#DIV/0!</v>
      </c>
    </row>
    <row r="482" spans="1:17">
      <c r="A482" s="684">
        <f t="shared" si="103"/>
        <v>44677</v>
      </c>
      <c r="B482" s="911">
        <v>0</v>
      </c>
      <c r="C482" s="37">
        <v>0</v>
      </c>
      <c r="D482" s="37">
        <v>0</v>
      </c>
      <c r="E482" s="37">
        <v>0</v>
      </c>
      <c r="F482" s="911">
        <v>0</v>
      </c>
      <c r="G482" s="37">
        <v>0</v>
      </c>
      <c r="H482" s="37">
        <v>0</v>
      </c>
      <c r="I482" s="37">
        <v>0</v>
      </c>
      <c r="J482" s="37">
        <v>0</v>
      </c>
      <c r="K482" s="911">
        <v>0</v>
      </c>
      <c r="L482" s="37">
        <v>0</v>
      </c>
      <c r="M482" s="37">
        <v>0</v>
      </c>
      <c r="N482" s="911">
        <v>0</v>
      </c>
      <c r="O482" s="911">
        <v>0</v>
      </c>
      <c r="P482" s="911">
        <v>0</v>
      </c>
      <c r="Q482" s="675" t="e">
        <f t="shared" si="100"/>
        <v>#DIV/0!</v>
      </c>
    </row>
    <row r="483" spans="1:17">
      <c r="A483" s="684">
        <f t="shared" si="103"/>
        <v>44678</v>
      </c>
      <c r="B483" s="911">
        <v>0</v>
      </c>
      <c r="C483" s="37">
        <v>0</v>
      </c>
      <c r="D483" s="37">
        <v>0</v>
      </c>
      <c r="E483" s="37">
        <v>0</v>
      </c>
      <c r="F483" s="911">
        <v>0</v>
      </c>
      <c r="G483" s="37">
        <v>0</v>
      </c>
      <c r="H483" s="37">
        <v>0</v>
      </c>
      <c r="I483" s="37">
        <v>0</v>
      </c>
      <c r="J483" s="37">
        <v>0</v>
      </c>
      <c r="K483" s="911">
        <v>0</v>
      </c>
      <c r="L483" s="37">
        <v>0</v>
      </c>
      <c r="M483" s="37">
        <v>0</v>
      </c>
      <c r="N483" s="911">
        <v>0</v>
      </c>
      <c r="O483" s="911">
        <v>0</v>
      </c>
      <c r="P483" s="911">
        <v>0</v>
      </c>
      <c r="Q483" s="675" t="e">
        <f t="shared" si="100"/>
        <v>#DIV/0!</v>
      </c>
    </row>
    <row r="484" spans="1:17">
      <c r="A484" s="684">
        <f t="shared" si="103"/>
        <v>44679</v>
      </c>
      <c r="B484" s="911">
        <v>0</v>
      </c>
      <c r="C484" s="37">
        <v>0</v>
      </c>
      <c r="D484" s="37">
        <v>0</v>
      </c>
      <c r="E484" s="37">
        <v>0</v>
      </c>
      <c r="F484" s="911">
        <v>0</v>
      </c>
      <c r="G484" s="37">
        <v>0</v>
      </c>
      <c r="H484" s="37">
        <v>0</v>
      </c>
      <c r="I484" s="37">
        <v>0</v>
      </c>
      <c r="J484" s="37">
        <v>0</v>
      </c>
      <c r="K484" s="911">
        <v>0</v>
      </c>
      <c r="L484" s="37">
        <v>0</v>
      </c>
      <c r="M484" s="37">
        <v>0</v>
      </c>
      <c r="N484" s="911">
        <v>0</v>
      </c>
      <c r="O484" s="911">
        <v>0</v>
      </c>
      <c r="P484" s="911">
        <v>0</v>
      </c>
      <c r="Q484" s="675" t="e">
        <f t="shared" si="100"/>
        <v>#DIV/0!</v>
      </c>
    </row>
    <row r="485" spans="1:17">
      <c r="A485" s="684">
        <f t="shared" si="103"/>
        <v>44680</v>
      </c>
      <c r="B485" s="911">
        <v>0</v>
      </c>
      <c r="C485" s="37">
        <v>0</v>
      </c>
      <c r="D485" s="37">
        <v>0</v>
      </c>
      <c r="E485" s="37">
        <v>0</v>
      </c>
      <c r="F485" s="911">
        <v>0</v>
      </c>
      <c r="G485" s="37">
        <v>0</v>
      </c>
      <c r="H485" s="37">
        <v>0</v>
      </c>
      <c r="I485" s="37">
        <v>0</v>
      </c>
      <c r="J485" s="37">
        <v>0</v>
      </c>
      <c r="K485" s="911">
        <v>0</v>
      </c>
      <c r="L485" s="37">
        <v>0</v>
      </c>
      <c r="M485" s="37">
        <v>0</v>
      </c>
      <c r="N485" s="911">
        <v>0</v>
      </c>
      <c r="O485" s="911">
        <v>0</v>
      </c>
      <c r="P485" s="911">
        <v>0</v>
      </c>
      <c r="Q485" s="675" t="e">
        <f t="shared" si="100"/>
        <v>#DIV/0!</v>
      </c>
    </row>
    <row r="486" spans="1:17">
      <c r="A486" s="684">
        <f t="shared" ref="A486:A492" si="104">A485+1</f>
        <v>44681</v>
      </c>
      <c r="B486" s="911">
        <v>0</v>
      </c>
      <c r="C486" s="37">
        <v>0</v>
      </c>
      <c r="D486" s="37">
        <v>0</v>
      </c>
      <c r="E486" s="37">
        <v>0</v>
      </c>
      <c r="F486" s="911">
        <v>0</v>
      </c>
      <c r="G486" s="37">
        <v>0</v>
      </c>
      <c r="H486" s="37">
        <v>0</v>
      </c>
      <c r="I486" s="37">
        <v>0</v>
      </c>
      <c r="J486" s="37">
        <v>0</v>
      </c>
      <c r="K486" s="911">
        <v>0</v>
      </c>
      <c r="L486" s="37">
        <v>0</v>
      </c>
      <c r="M486" s="37">
        <v>0</v>
      </c>
      <c r="N486" s="911">
        <v>0</v>
      </c>
      <c r="O486" s="911">
        <v>0</v>
      </c>
      <c r="P486" s="911">
        <v>0</v>
      </c>
      <c r="Q486" s="675" t="e">
        <f t="shared" si="100"/>
        <v>#DIV/0!</v>
      </c>
    </row>
    <row r="487" spans="1:17">
      <c r="A487" s="684">
        <f t="shared" si="104"/>
        <v>44682</v>
      </c>
      <c r="B487" s="911">
        <v>0</v>
      </c>
      <c r="C487" s="37">
        <v>0</v>
      </c>
      <c r="D487" s="37">
        <v>0</v>
      </c>
      <c r="E487" s="37">
        <v>0</v>
      </c>
      <c r="F487" s="911">
        <v>0</v>
      </c>
      <c r="G487" s="37">
        <v>0</v>
      </c>
      <c r="H487" s="37">
        <v>0</v>
      </c>
      <c r="I487" s="37">
        <v>0</v>
      </c>
      <c r="J487" s="37">
        <v>0</v>
      </c>
      <c r="K487" s="911">
        <v>0</v>
      </c>
      <c r="L487" s="37">
        <v>0</v>
      </c>
      <c r="M487" s="37">
        <v>0</v>
      </c>
      <c r="N487" s="911">
        <v>0</v>
      </c>
      <c r="O487" s="911">
        <v>0</v>
      </c>
      <c r="P487" s="911">
        <v>0</v>
      </c>
      <c r="Q487" s="675" t="e">
        <f t="shared" si="100"/>
        <v>#DIV/0!</v>
      </c>
    </row>
    <row r="488" spans="1:17">
      <c r="A488" s="684">
        <f t="shared" si="104"/>
        <v>44683</v>
      </c>
      <c r="B488" s="911">
        <v>0</v>
      </c>
      <c r="C488" s="37">
        <v>0</v>
      </c>
      <c r="D488" s="37">
        <v>0</v>
      </c>
      <c r="E488" s="37">
        <v>0</v>
      </c>
      <c r="F488" s="911">
        <v>0</v>
      </c>
      <c r="G488" s="37">
        <v>0</v>
      </c>
      <c r="H488" s="37">
        <v>0</v>
      </c>
      <c r="I488" s="37">
        <v>0</v>
      </c>
      <c r="J488" s="37">
        <v>0</v>
      </c>
      <c r="K488" s="911">
        <v>0</v>
      </c>
      <c r="L488" s="37">
        <v>0</v>
      </c>
      <c r="M488" s="37">
        <v>0</v>
      </c>
      <c r="N488" s="911">
        <v>0</v>
      </c>
      <c r="O488" s="911">
        <v>0</v>
      </c>
      <c r="P488" s="911">
        <v>0</v>
      </c>
      <c r="Q488" s="675" t="e">
        <f t="shared" si="100"/>
        <v>#DIV/0!</v>
      </c>
    </row>
    <row r="489" spans="1:17">
      <c r="A489" s="684">
        <f t="shared" si="104"/>
        <v>44684</v>
      </c>
      <c r="B489" s="911">
        <v>0</v>
      </c>
      <c r="C489" s="37">
        <v>0</v>
      </c>
      <c r="D489" s="37">
        <v>0</v>
      </c>
      <c r="E489" s="37">
        <v>0</v>
      </c>
      <c r="F489" s="911">
        <v>0</v>
      </c>
      <c r="G489" s="37">
        <v>0</v>
      </c>
      <c r="H489" s="37">
        <v>0</v>
      </c>
      <c r="I489" s="37">
        <v>0</v>
      </c>
      <c r="J489" s="37">
        <v>0</v>
      </c>
      <c r="K489" s="911">
        <v>0</v>
      </c>
      <c r="L489" s="37">
        <v>0</v>
      </c>
      <c r="M489" s="37">
        <v>0</v>
      </c>
      <c r="N489" s="911">
        <v>0</v>
      </c>
      <c r="O489" s="911">
        <v>0</v>
      </c>
      <c r="P489" s="911">
        <v>0</v>
      </c>
      <c r="Q489" s="675" t="e">
        <f t="shared" si="100"/>
        <v>#DIV/0!</v>
      </c>
    </row>
    <row r="490" spans="1:17">
      <c r="A490" s="684">
        <f t="shared" si="104"/>
        <v>44685</v>
      </c>
      <c r="B490" s="911">
        <v>0</v>
      </c>
      <c r="C490" s="37">
        <v>0</v>
      </c>
      <c r="D490" s="37">
        <v>0</v>
      </c>
      <c r="E490" s="37">
        <v>0</v>
      </c>
      <c r="F490" s="911">
        <v>0</v>
      </c>
      <c r="G490" s="37">
        <v>0</v>
      </c>
      <c r="H490" s="37">
        <v>0</v>
      </c>
      <c r="I490" s="37">
        <v>0</v>
      </c>
      <c r="J490" s="37">
        <v>0</v>
      </c>
      <c r="K490" s="911">
        <v>0</v>
      </c>
      <c r="L490" s="37">
        <v>0</v>
      </c>
      <c r="M490" s="37">
        <v>0</v>
      </c>
      <c r="N490" s="911">
        <v>0</v>
      </c>
      <c r="O490" s="911">
        <v>0</v>
      </c>
      <c r="P490" s="911">
        <v>0</v>
      </c>
      <c r="Q490" s="675" t="e">
        <f t="shared" si="100"/>
        <v>#DIV/0!</v>
      </c>
    </row>
    <row r="491" spans="1:17">
      <c r="A491" s="684">
        <f t="shared" si="104"/>
        <v>44686</v>
      </c>
      <c r="B491" s="911">
        <v>0</v>
      </c>
      <c r="C491" s="37">
        <v>0</v>
      </c>
      <c r="D491" s="37">
        <v>0</v>
      </c>
      <c r="E491" s="37">
        <v>0</v>
      </c>
      <c r="F491" s="911">
        <v>0</v>
      </c>
      <c r="G491" s="37">
        <v>0</v>
      </c>
      <c r="H491" s="37">
        <v>0</v>
      </c>
      <c r="I491" s="37">
        <v>0</v>
      </c>
      <c r="J491" s="37">
        <v>0</v>
      </c>
      <c r="K491" s="911">
        <v>0</v>
      </c>
      <c r="L491" s="37">
        <v>0</v>
      </c>
      <c r="M491" s="37">
        <v>0</v>
      </c>
      <c r="N491" s="911">
        <v>0</v>
      </c>
      <c r="O491" s="911">
        <v>0</v>
      </c>
      <c r="P491" s="911">
        <v>0</v>
      </c>
      <c r="Q491" s="675" t="e">
        <f t="shared" si="100"/>
        <v>#DIV/0!</v>
      </c>
    </row>
    <row r="492" spans="1:17">
      <c r="A492" s="684">
        <f t="shared" si="104"/>
        <v>44687</v>
      </c>
      <c r="B492" s="911">
        <v>0</v>
      </c>
      <c r="C492" s="37">
        <v>0</v>
      </c>
      <c r="D492" s="37">
        <v>0</v>
      </c>
      <c r="E492" s="37">
        <v>0</v>
      </c>
      <c r="F492" s="911">
        <v>0</v>
      </c>
      <c r="G492" s="37">
        <v>0</v>
      </c>
      <c r="H492" s="37">
        <v>0</v>
      </c>
      <c r="I492" s="37">
        <v>0</v>
      </c>
      <c r="J492" s="37">
        <v>0</v>
      </c>
      <c r="K492" s="911">
        <v>0</v>
      </c>
      <c r="L492" s="37">
        <v>0</v>
      </c>
      <c r="M492" s="37">
        <v>0</v>
      </c>
      <c r="N492" s="911">
        <v>0</v>
      </c>
      <c r="O492" s="911">
        <v>0</v>
      </c>
      <c r="P492" s="911">
        <v>0</v>
      </c>
      <c r="Q492" s="675" t="e">
        <f t="shared" si="100"/>
        <v>#DIV/0!</v>
      </c>
    </row>
    <row r="493" spans="1:17">
      <c r="A493" s="684">
        <f t="shared" ref="A493:A499" si="105">A492+1</f>
        <v>44688</v>
      </c>
      <c r="B493" s="911">
        <v>0</v>
      </c>
      <c r="C493" s="37">
        <v>0</v>
      </c>
      <c r="D493" s="37">
        <v>0</v>
      </c>
      <c r="E493" s="37">
        <v>0</v>
      </c>
      <c r="F493" s="911">
        <v>0</v>
      </c>
      <c r="G493" s="37">
        <v>0</v>
      </c>
      <c r="H493" s="37">
        <v>0</v>
      </c>
      <c r="I493" s="37">
        <v>0</v>
      </c>
      <c r="J493" s="37">
        <v>0</v>
      </c>
      <c r="K493" s="911">
        <v>0</v>
      </c>
      <c r="L493" s="37">
        <v>0</v>
      </c>
      <c r="M493" s="37">
        <v>0</v>
      </c>
      <c r="N493" s="911">
        <v>0</v>
      </c>
      <c r="O493" s="911">
        <v>0</v>
      </c>
      <c r="P493" s="911">
        <v>0</v>
      </c>
      <c r="Q493" s="675" t="e">
        <f t="shared" si="100"/>
        <v>#DIV/0!</v>
      </c>
    </row>
    <row r="494" spans="1:17">
      <c r="A494" s="684">
        <f t="shared" si="105"/>
        <v>44689</v>
      </c>
      <c r="B494" s="911">
        <v>0</v>
      </c>
      <c r="C494" s="37">
        <v>0</v>
      </c>
      <c r="D494" s="37">
        <v>0</v>
      </c>
      <c r="E494" s="37">
        <v>0</v>
      </c>
      <c r="F494" s="911">
        <v>0</v>
      </c>
      <c r="G494" s="37">
        <v>0</v>
      </c>
      <c r="H494" s="37">
        <v>0</v>
      </c>
      <c r="I494" s="37">
        <v>0</v>
      </c>
      <c r="J494" s="37">
        <v>0</v>
      </c>
      <c r="K494" s="911">
        <v>0</v>
      </c>
      <c r="L494" s="37">
        <v>0</v>
      </c>
      <c r="M494" s="37">
        <v>0</v>
      </c>
      <c r="N494" s="911">
        <v>0</v>
      </c>
      <c r="O494" s="911">
        <v>0</v>
      </c>
      <c r="P494" s="911">
        <v>0</v>
      </c>
      <c r="Q494" s="675" t="e">
        <f t="shared" si="100"/>
        <v>#DIV/0!</v>
      </c>
    </row>
    <row r="495" spans="1:17">
      <c r="A495" s="684">
        <f t="shared" si="105"/>
        <v>44690</v>
      </c>
      <c r="B495" s="911">
        <v>0</v>
      </c>
      <c r="C495" s="37">
        <v>0</v>
      </c>
      <c r="D495" s="37">
        <v>0</v>
      </c>
      <c r="E495" s="37">
        <v>0</v>
      </c>
      <c r="F495" s="911">
        <v>0</v>
      </c>
      <c r="G495" s="37">
        <v>0</v>
      </c>
      <c r="H495" s="37">
        <v>0</v>
      </c>
      <c r="I495" s="37">
        <v>0</v>
      </c>
      <c r="J495" s="37">
        <v>0</v>
      </c>
      <c r="K495" s="911">
        <v>0</v>
      </c>
      <c r="L495" s="37">
        <v>0</v>
      </c>
      <c r="M495" s="37">
        <v>0</v>
      </c>
      <c r="N495" s="911">
        <v>0</v>
      </c>
      <c r="O495" s="911">
        <v>0</v>
      </c>
      <c r="P495" s="911">
        <v>0</v>
      </c>
      <c r="Q495" s="675" t="e">
        <f t="shared" si="100"/>
        <v>#DIV/0!</v>
      </c>
    </row>
    <row r="496" spans="1:17">
      <c r="A496" s="684">
        <f t="shared" si="105"/>
        <v>44691</v>
      </c>
      <c r="B496" s="911">
        <v>0</v>
      </c>
      <c r="C496" s="37">
        <v>0</v>
      </c>
      <c r="D496" s="37">
        <v>0</v>
      </c>
      <c r="E496" s="37">
        <v>0</v>
      </c>
      <c r="F496" s="911">
        <v>0</v>
      </c>
      <c r="G496" s="37">
        <v>0</v>
      </c>
      <c r="H496" s="37">
        <v>0</v>
      </c>
      <c r="I496" s="37">
        <v>0</v>
      </c>
      <c r="J496" s="37">
        <v>0</v>
      </c>
      <c r="K496" s="911">
        <v>0</v>
      </c>
      <c r="L496" s="37">
        <v>0</v>
      </c>
      <c r="M496" s="37">
        <v>0</v>
      </c>
      <c r="N496" s="911">
        <v>0</v>
      </c>
      <c r="O496" s="911">
        <v>0</v>
      </c>
      <c r="P496" s="911">
        <v>0</v>
      </c>
      <c r="Q496" s="675" t="e">
        <f t="shared" si="100"/>
        <v>#DIV/0!</v>
      </c>
    </row>
    <row r="497" spans="1:17">
      <c r="A497" s="684">
        <f t="shared" si="105"/>
        <v>44692</v>
      </c>
      <c r="B497" s="911">
        <v>0</v>
      </c>
      <c r="C497" s="37">
        <v>0</v>
      </c>
      <c r="D497" s="37">
        <v>0</v>
      </c>
      <c r="E497" s="37">
        <v>0</v>
      </c>
      <c r="F497" s="911">
        <v>0</v>
      </c>
      <c r="G497" s="37">
        <v>0</v>
      </c>
      <c r="H497" s="37">
        <v>0</v>
      </c>
      <c r="I497" s="37">
        <v>0</v>
      </c>
      <c r="J497" s="37">
        <v>0</v>
      </c>
      <c r="K497" s="911">
        <v>0</v>
      </c>
      <c r="L497" s="37">
        <v>0</v>
      </c>
      <c r="M497" s="37">
        <v>0</v>
      </c>
      <c r="N497" s="911">
        <v>0</v>
      </c>
      <c r="O497" s="911">
        <v>0</v>
      </c>
      <c r="P497" s="911">
        <v>0</v>
      </c>
      <c r="Q497" s="675" t="e">
        <f t="shared" si="100"/>
        <v>#DIV/0!</v>
      </c>
    </row>
    <row r="498" spans="1:17">
      <c r="A498" s="684">
        <f t="shared" si="105"/>
        <v>44693</v>
      </c>
      <c r="B498" s="911">
        <v>0</v>
      </c>
      <c r="C498" s="37">
        <v>0</v>
      </c>
      <c r="D498" s="37">
        <v>0</v>
      </c>
      <c r="E498" s="37">
        <v>0</v>
      </c>
      <c r="F498" s="911">
        <v>0</v>
      </c>
      <c r="G498" s="37">
        <v>0</v>
      </c>
      <c r="H498" s="37">
        <v>0</v>
      </c>
      <c r="I498" s="37">
        <v>0</v>
      </c>
      <c r="J498" s="37">
        <v>0</v>
      </c>
      <c r="K498" s="911">
        <v>0</v>
      </c>
      <c r="L498" s="37">
        <v>0</v>
      </c>
      <c r="M498" s="37">
        <v>0</v>
      </c>
      <c r="N498" s="911">
        <v>0</v>
      </c>
      <c r="O498" s="911">
        <v>0</v>
      </c>
      <c r="P498" s="911">
        <v>0</v>
      </c>
      <c r="Q498" s="675" t="e">
        <f t="shared" si="100"/>
        <v>#DIV/0!</v>
      </c>
    </row>
    <row r="499" spans="1:17">
      <c r="A499" s="684">
        <f t="shared" si="105"/>
        <v>44694</v>
      </c>
      <c r="B499" s="911">
        <v>0</v>
      </c>
      <c r="C499" s="37">
        <v>0</v>
      </c>
      <c r="D499" s="37">
        <v>0</v>
      </c>
      <c r="E499" s="37">
        <v>0</v>
      </c>
      <c r="F499" s="911">
        <v>0</v>
      </c>
      <c r="G499" s="37">
        <v>0</v>
      </c>
      <c r="H499" s="37">
        <v>0</v>
      </c>
      <c r="I499" s="37">
        <v>0</v>
      </c>
      <c r="J499" s="37">
        <v>0</v>
      </c>
      <c r="K499" s="911">
        <v>0</v>
      </c>
      <c r="L499" s="37">
        <v>0</v>
      </c>
      <c r="M499" s="37">
        <v>0</v>
      </c>
      <c r="N499" s="911">
        <v>0</v>
      </c>
      <c r="O499" s="911">
        <v>0</v>
      </c>
      <c r="P499" s="911">
        <v>0</v>
      </c>
      <c r="Q499" s="675" t="e">
        <f t="shared" si="100"/>
        <v>#DIV/0!</v>
      </c>
    </row>
    <row r="500" spans="1:17">
      <c r="A500" s="684">
        <f t="shared" ref="A500:A506" si="106">A499+1</f>
        <v>44695</v>
      </c>
      <c r="B500" s="911">
        <v>0</v>
      </c>
      <c r="C500" s="37">
        <v>0</v>
      </c>
      <c r="D500" s="37">
        <v>0</v>
      </c>
      <c r="E500" s="37">
        <v>0</v>
      </c>
      <c r="F500" s="911">
        <v>0</v>
      </c>
      <c r="G500" s="37">
        <v>0</v>
      </c>
      <c r="H500" s="37">
        <v>0</v>
      </c>
      <c r="I500" s="37">
        <v>0</v>
      </c>
      <c r="J500" s="37">
        <v>0</v>
      </c>
      <c r="K500" s="911">
        <v>0</v>
      </c>
      <c r="L500" s="37">
        <v>0</v>
      </c>
      <c r="M500" s="37">
        <v>0</v>
      </c>
      <c r="N500" s="911">
        <v>0</v>
      </c>
      <c r="O500" s="911">
        <v>0</v>
      </c>
      <c r="P500" s="911">
        <v>0</v>
      </c>
      <c r="Q500" s="675" t="e">
        <f t="shared" si="100"/>
        <v>#DIV/0!</v>
      </c>
    </row>
    <row r="501" spans="1:17">
      <c r="A501" s="684">
        <f t="shared" si="106"/>
        <v>44696</v>
      </c>
      <c r="B501" s="911">
        <v>0</v>
      </c>
      <c r="C501" s="37">
        <v>0</v>
      </c>
      <c r="D501" s="37">
        <v>0</v>
      </c>
      <c r="E501" s="37">
        <v>0</v>
      </c>
      <c r="F501" s="911">
        <v>0</v>
      </c>
      <c r="G501" s="37">
        <v>0</v>
      </c>
      <c r="H501" s="37">
        <v>0</v>
      </c>
      <c r="I501" s="37">
        <v>0</v>
      </c>
      <c r="J501" s="37">
        <v>0</v>
      </c>
      <c r="K501" s="911">
        <v>0</v>
      </c>
      <c r="L501" s="37">
        <v>0</v>
      </c>
      <c r="M501" s="37">
        <v>0</v>
      </c>
      <c r="N501" s="911">
        <v>0</v>
      </c>
      <c r="O501" s="911">
        <v>0</v>
      </c>
      <c r="P501" s="911">
        <v>0</v>
      </c>
      <c r="Q501" s="675" t="e">
        <f t="shared" si="100"/>
        <v>#DIV/0!</v>
      </c>
    </row>
    <row r="502" spans="1:17">
      <c r="A502" s="684">
        <f t="shared" si="106"/>
        <v>44697</v>
      </c>
      <c r="B502" s="911">
        <v>0</v>
      </c>
      <c r="C502" s="37">
        <v>0</v>
      </c>
      <c r="D502" s="37">
        <v>0</v>
      </c>
      <c r="E502" s="37">
        <v>0</v>
      </c>
      <c r="F502" s="911">
        <v>0</v>
      </c>
      <c r="G502" s="37">
        <v>0</v>
      </c>
      <c r="H502" s="37">
        <v>0</v>
      </c>
      <c r="I502" s="37">
        <v>0</v>
      </c>
      <c r="J502" s="37">
        <v>0</v>
      </c>
      <c r="K502" s="911">
        <v>0</v>
      </c>
      <c r="L502" s="37">
        <v>0</v>
      </c>
      <c r="M502" s="37">
        <v>0</v>
      </c>
      <c r="N502" s="911">
        <v>0</v>
      </c>
      <c r="O502" s="911">
        <v>0</v>
      </c>
      <c r="P502" s="911">
        <v>0</v>
      </c>
      <c r="Q502" s="675" t="e">
        <f t="shared" si="100"/>
        <v>#DIV/0!</v>
      </c>
    </row>
    <row r="503" spans="1:17">
      <c r="A503" s="684">
        <f t="shared" si="106"/>
        <v>44698</v>
      </c>
      <c r="B503" s="911">
        <v>0</v>
      </c>
      <c r="C503" s="37">
        <v>0</v>
      </c>
      <c r="D503" s="37">
        <v>0</v>
      </c>
      <c r="E503" s="37">
        <v>0</v>
      </c>
      <c r="F503" s="911">
        <v>0</v>
      </c>
      <c r="G503" s="37">
        <v>0</v>
      </c>
      <c r="H503" s="37">
        <v>0</v>
      </c>
      <c r="I503" s="37">
        <v>0</v>
      </c>
      <c r="J503" s="37">
        <v>0</v>
      </c>
      <c r="K503" s="911">
        <v>0</v>
      </c>
      <c r="L503" s="37">
        <v>0</v>
      </c>
      <c r="M503" s="37">
        <v>0</v>
      </c>
      <c r="N503" s="911">
        <v>0</v>
      </c>
      <c r="O503" s="911">
        <v>0</v>
      </c>
      <c r="P503" s="911">
        <v>0</v>
      </c>
      <c r="Q503" s="675" t="e">
        <f t="shared" si="100"/>
        <v>#DIV/0!</v>
      </c>
    </row>
    <row r="504" spans="1:17">
      <c r="A504" s="684">
        <f t="shared" si="106"/>
        <v>44699</v>
      </c>
      <c r="B504" s="911">
        <v>0</v>
      </c>
      <c r="C504" s="37">
        <v>0</v>
      </c>
      <c r="D504" s="37">
        <v>0</v>
      </c>
      <c r="E504" s="37">
        <v>0</v>
      </c>
      <c r="F504" s="911">
        <v>0</v>
      </c>
      <c r="G504" s="37">
        <v>0</v>
      </c>
      <c r="H504" s="37">
        <v>0</v>
      </c>
      <c r="I504" s="37">
        <v>0</v>
      </c>
      <c r="J504" s="37">
        <v>0</v>
      </c>
      <c r="K504" s="911">
        <v>0</v>
      </c>
      <c r="L504" s="37">
        <v>0</v>
      </c>
      <c r="M504" s="37">
        <v>0</v>
      </c>
      <c r="N504" s="911">
        <v>0</v>
      </c>
      <c r="O504" s="911">
        <v>0</v>
      </c>
      <c r="P504" s="911">
        <v>0</v>
      </c>
      <c r="Q504" s="675" t="e">
        <f t="shared" si="100"/>
        <v>#DIV/0!</v>
      </c>
    </row>
    <row r="505" spans="1:17">
      <c r="A505" s="684">
        <f t="shared" si="106"/>
        <v>44700</v>
      </c>
      <c r="B505" s="911">
        <v>0</v>
      </c>
      <c r="C505" s="37">
        <v>0</v>
      </c>
      <c r="D505" s="37">
        <v>0</v>
      </c>
      <c r="E505" s="37">
        <v>0</v>
      </c>
      <c r="F505" s="911">
        <v>0</v>
      </c>
      <c r="G505" s="37">
        <v>0</v>
      </c>
      <c r="H505" s="37">
        <v>0</v>
      </c>
      <c r="I505" s="37">
        <v>0</v>
      </c>
      <c r="J505" s="37">
        <v>0</v>
      </c>
      <c r="K505" s="911">
        <v>0</v>
      </c>
      <c r="L505" s="37">
        <v>0</v>
      </c>
      <c r="M505" s="37">
        <v>0</v>
      </c>
      <c r="N505" s="911">
        <v>0</v>
      </c>
      <c r="O505" s="911">
        <v>0</v>
      </c>
      <c r="P505" s="911">
        <v>0</v>
      </c>
      <c r="Q505" s="675" t="e">
        <f t="shared" si="100"/>
        <v>#DIV/0!</v>
      </c>
    </row>
    <row r="506" spans="1:17">
      <c r="A506" s="684">
        <f t="shared" si="106"/>
        <v>44701</v>
      </c>
      <c r="B506" s="911">
        <v>0</v>
      </c>
      <c r="C506" s="37">
        <v>0</v>
      </c>
      <c r="D506" s="37">
        <v>0</v>
      </c>
      <c r="E506" s="37">
        <v>0</v>
      </c>
      <c r="F506" s="911">
        <v>0</v>
      </c>
      <c r="G506" s="37">
        <v>0</v>
      </c>
      <c r="H506" s="37">
        <v>0</v>
      </c>
      <c r="I506" s="37">
        <v>0</v>
      </c>
      <c r="J506" s="37">
        <v>0</v>
      </c>
      <c r="K506" s="911">
        <v>0</v>
      </c>
      <c r="L506" s="37">
        <v>0</v>
      </c>
      <c r="M506" s="37">
        <v>0</v>
      </c>
      <c r="N506" s="911">
        <v>0</v>
      </c>
      <c r="O506" s="911">
        <v>0</v>
      </c>
      <c r="P506" s="911">
        <v>0</v>
      </c>
      <c r="Q506" s="675" t="e">
        <f t="shared" si="100"/>
        <v>#DIV/0!</v>
      </c>
    </row>
    <row r="507" spans="1:17">
      <c r="A507" s="684">
        <f t="shared" ref="A507:A513" si="107">A506+1</f>
        <v>44702</v>
      </c>
      <c r="B507" s="911">
        <v>0</v>
      </c>
      <c r="C507" s="37">
        <v>0</v>
      </c>
      <c r="D507" s="37">
        <v>0</v>
      </c>
      <c r="E507" s="37">
        <v>0</v>
      </c>
      <c r="F507" s="911">
        <v>0</v>
      </c>
      <c r="G507" s="37">
        <v>0</v>
      </c>
      <c r="H507" s="37">
        <v>0</v>
      </c>
      <c r="I507" s="37">
        <v>0</v>
      </c>
      <c r="J507" s="37">
        <v>0</v>
      </c>
      <c r="K507" s="911">
        <v>0</v>
      </c>
      <c r="L507" s="37">
        <v>0</v>
      </c>
      <c r="M507" s="37">
        <v>0</v>
      </c>
      <c r="N507" s="911">
        <v>0</v>
      </c>
      <c r="O507" s="911">
        <v>0</v>
      </c>
      <c r="P507" s="911">
        <v>0</v>
      </c>
      <c r="Q507" s="675" t="e">
        <f t="shared" si="100"/>
        <v>#DIV/0!</v>
      </c>
    </row>
    <row r="508" spans="1:17">
      <c r="A508" s="684">
        <f t="shared" si="107"/>
        <v>44703</v>
      </c>
      <c r="B508" s="911">
        <v>0</v>
      </c>
      <c r="C508" s="37">
        <v>0</v>
      </c>
      <c r="D508" s="37">
        <v>0</v>
      </c>
      <c r="E508" s="37">
        <v>0</v>
      </c>
      <c r="F508" s="911">
        <v>0</v>
      </c>
      <c r="G508" s="37">
        <v>0</v>
      </c>
      <c r="H508" s="37">
        <v>0</v>
      </c>
      <c r="I508" s="37">
        <v>0</v>
      </c>
      <c r="J508" s="37">
        <v>0</v>
      </c>
      <c r="K508" s="911">
        <v>0</v>
      </c>
      <c r="L508" s="37">
        <v>0</v>
      </c>
      <c r="M508" s="37">
        <v>0</v>
      </c>
      <c r="N508" s="911">
        <v>0</v>
      </c>
      <c r="O508" s="911">
        <v>0</v>
      </c>
      <c r="P508" s="911">
        <v>0</v>
      </c>
      <c r="Q508" s="675" t="e">
        <f t="shared" si="100"/>
        <v>#DIV/0!</v>
      </c>
    </row>
    <row r="509" spans="1:17">
      <c r="A509" s="684">
        <f t="shared" si="107"/>
        <v>44704</v>
      </c>
      <c r="B509" s="911">
        <v>0</v>
      </c>
      <c r="C509" s="37">
        <v>0</v>
      </c>
      <c r="D509" s="37">
        <v>0</v>
      </c>
      <c r="E509" s="37">
        <v>0</v>
      </c>
      <c r="F509" s="911">
        <v>0</v>
      </c>
      <c r="G509" s="37">
        <v>0</v>
      </c>
      <c r="H509" s="37">
        <v>0</v>
      </c>
      <c r="I509" s="37">
        <v>0</v>
      </c>
      <c r="J509" s="37">
        <v>0</v>
      </c>
      <c r="K509" s="911">
        <v>0</v>
      </c>
      <c r="L509" s="37">
        <v>0</v>
      </c>
      <c r="M509" s="37">
        <v>0</v>
      </c>
      <c r="N509" s="911">
        <v>0</v>
      </c>
      <c r="O509" s="911">
        <v>0</v>
      </c>
      <c r="P509" s="911">
        <v>0</v>
      </c>
      <c r="Q509" s="675" t="e">
        <f t="shared" si="100"/>
        <v>#DIV/0!</v>
      </c>
    </row>
    <row r="510" spans="1:17">
      <c r="A510" s="684">
        <f t="shared" si="107"/>
        <v>44705</v>
      </c>
      <c r="B510" s="911">
        <v>0</v>
      </c>
      <c r="C510" s="37">
        <v>0</v>
      </c>
      <c r="D510" s="37">
        <v>0</v>
      </c>
      <c r="E510" s="37">
        <v>0</v>
      </c>
      <c r="F510" s="911">
        <v>0</v>
      </c>
      <c r="G510" s="37">
        <v>0</v>
      </c>
      <c r="H510" s="37">
        <v>0</v>
      </c>
      <c r="I510" s="37">
        <v>0</v>
      </c>
      <c r="J510" s="37">
        <v>0</v>
      </c>
      <c r="K510" s="911">
        <v>0</v>
      </c>
      <c r="L510" s="37">
        <v>0</v>
      </c>
      <c r="M510" s="37">
        <v>0</v>
      </c>
      <c r="N510" s="911">
        <v>0</v>
      </c>
      <c r="O510" s="911">
        <v>0</v>
      </c>
      <c r="P510" s="911">
        <v>0</v>
      </c>
      <c r="Q510" s="675" t="e">
        <f t="shared" si="100"/>
        <v>#DIV/0!</v>
      </c>
    </row>
    <row r="511" spans="1:17">
      <c r="A511" s="684">
        <f t="shared" si="107"/>
        <v>44706</v>
      </c>
      <c r="B511" s="911">
        <v>0</v>
      </c>
      <c r="C511" s="37">
        <v>0</v>
      </c>
      <c r="D511" s="37">
        <v>0</v>
      </c>
      <c r="E511" s="37">
        <v>0</v>
      </c>
      <c r="F511" s="911">
        <v>0</v>
      </c>
      <c r="G511" s="37">
        <v>0</v>
      </c>
      <c r="H511" s="37">
        <v>0</v>
      </c>
      <c r="I511" s="37">
        <v>0</v>
      </c>
      <c r="J511" s="37">
        <v>0</v>
      </c>
      <c r="K511" s="911">
        <v>0</v>
      </c>
      <c r="L511" s="37">
        <v>0</v>
      </c>
      <c r="M511" s="37">
        <v>0</v>
      </c>
      <c r="N511" s="911">
        <v>0</v>
      </c>
      <c r="O511" s="911">
        <v>0</v>
      </c>
      <c r="P511" s="911">
        <v>0</v>
      </c>
      <c r="Q511" s="675" t="e">
        <f t="shared" si="100"/>
        <v>#DIV/0!</v>
      </c>
    </row>
    <row r="512" spans="1:17">
      <c r="A512" s="684">
        <f t="shared" si="107"/>
        <v>44707</v>
      </c>
      <c r="B512" s="911">
        <v>0</v>
      </c>
      <c r="C512" s="37">
        <v>0</v>
      </c>
      <c r="D512" s="37">
        <v>0</v>
      </c>
      <c r="E512" s="37">
        <v>0</v>
      </c>
      <c r="F512" s="911">
        <v>0</v>
      </c>
      <c r="G512" s="37">
        <v>0</v>
      </c>
      <c r="H512" s="37">
        <v>0</v>
      </c>
      <c r="I512" s="37">
        <v>0</v>
      </c>
      <c r="J512" s="37">
        <v>0</v>
      </c>
      <c r="K512" s="911">
        <v>0</v>
      </c>
      <c r="L512" s="37">
        <v>0</v>
      </c>
      <c r="M512" s="37">
        <v>0</v>
      </c>
      <c r="N512" s="911">
        <v>0</v>
      </c>
      <c r="O512" s="911">
        <v>0</v>
      </c>
      <c r="P512" s="911">
        <v>0</v>
      </c>
      <c r="Q512" s="675" t="e">
        <f t="shared" si="100"/>
        <v>#DIV/0!</v>
      </c>
    </row>
    <row r="513" spans="1:17">
      <c r="A513" s="949">
        <f t="shared" si="107"/>
        <v>44708</v>
      </c>
      <c r="B513" s="950">
        <v>0</v>
      </c>
      <c r="C513" s="951">
        <v>0</v>
      </c>
      <c r="D513" s="951">
        <v>0</v>
      </c>
      <c r="E513" s="951">
        <v>0</v>
      </c>
      <c r="F513" s="950">
        <v>0</v>
      </c>
      <c r="G513" s="951">
        <v>0</v>
      </c>
      <c r="H513" s="951">
        <v>0</v>
      </c>
      <c r="I513" s="951">
        <v>0</v>
      </c>
      <c r="J513" s="951">
        <v>0</v>
      </c>
      <c r="K513" s="950">
        <v>0</v>
      </c>
      <c r="L513" s="951">
        <v>0</v>
      </c>
      <c r="M513" s="951">
        <v>0</v>
      </c>
      <c r="N513" s="950">
        <v>0</v>
      </c>
      <c r="O513" s="950">
        <v>0</v>
      </c>
      <c r="P513" s="950">
        <v>0</v>
      </c>
      <c r="Q513" s="675" t="e">
        <f t="shared" si="100"/>
        <v>#DIV/0!</v>
      </c>
    </row>
    <row r="514" s="541" customFormat="1" spans="1:17">
      <c r="A514" s="952">
        <v>45161</v>
      </c>
      <c r="B514" s="953">
        <v>288.65</v>
      </c>
      <c r="C514" s="954">
        <v>1606</v>
      </c>
      <c r="D514" s="954">
        <v>167</v>
      </c>
      <c r="E514" s="954">
        <v>0</v>
      </c>
      <c r="F514" s="953">
        <v>0</v>
      </c>
      <c r="G514" s="954">
        <v>5</v>
      </c>
      <c r="H514" s="954">
        <v>5</v>
      </c>
      <c r="I514" s="954">
        <v>1</v>
      </c>
      <c r="J514" s="955">
        <f>D514/C514</f>
        <v>0.103985056039851</v>
      </c>
      <c r="K514" s="953">
        <f>B514/D514</f>
        <v>1.72844311377245</v>
      </c>
      <c r="L514" s="634">
        <f>F514/B514</f>
        <v>0</v>
      </c>
      <c r="M514" s="955">
        <f>E514/D514</f>
        <v>0</v>
      </c>
      <c r="N514" s="956">
        <f>IF(E514=0,0,F514/E514)</f>
        <v>0</v>
      </c>
      <c r="O514" s="956">
        <f>IF(E514=0,0,B514/E514)</f>
        <v>0</v>
      </c>
      <c r="P514" s="953">
        <f>B514/G514</f>
        <v>57.73</v>
      </c>
      <c r="Q514" s="675">
        <f t="shared" si="100"/>
        <v>28.865</v>
      </c>
    </row>
    <row r="515" s="541" customFormat="1" ht="13.9" customHeight="1" spans="1:17">
      <c r="A515" s="952">
        <v>45162</v>
      </c>
      <c r="B515" s="953">
        <v>895.62</v>
      </c>
      <c r="C515" s="957">
        <v>3159</v>
      </c>
      <c r="D515" s="958">
        <v>238</v>
      </c>
      <c r="E515" s="954">
        <v>0</v>
      </c>
      <c r="F515" s="959">
        <v>0</v>
      </c>
      <c r="G515" s="954">
        <v>7</v>
      </c>
      <c r="H515" s="954">
        <v>4</v>
      </c>
      <c r="I515" s="954">
        <v>0</v>
      </c>
      <c r="J515" s="955">
        <f t="shared" ref="J515:J546" si="108">D515/C515</f>
        <v>0.0753402975625198</v>
      </c>
      <c r="K515" s="953">
        <f t="shared" ref="K515:K546" si="109">B515/D515</f>
        <v>3.76310924369748</v>
      </c>
      <c r="L515" s="634">
        <f t="shared" ref="L515:L546" si="110">F515/B515</f>
        <v>0</v>
      </c>
      <c r="M515" s="955">
        <f t="shared" ref="M515:M546" si="111">E515/D515</f>
        <v>0</v>
      </c>
      <c r="N515" s="956">
        <f t="shared" ref="N515:N546" si="112">IF(E515=0,0,F515/E515)</f>
        <v>0</v>
      </c>
      <c r="O515" s="956">
        <f t="shared" ref="O515:O546" si="113">IF(E515=0,0,B515/E515)</f>
        <v>0</v>
      </c>
      <c r="P515" s="953">
        <f t="shared" ref="P515:P546" si="114">B515/G515</f>
        <v>127.945714285714</v>
      </c>
      <c r="Q515" s="675">
        <f t="shared" si="100"/>
        <v>81.42</v>
      </c>
    </row>
    <row r="516" s="541" customFormat="1" ht="13.9" customHeight="1" spans="1:17">
      <c r="A516" s="952">
        <v>45163</v>
      </c>
      <c r="B516" s="708">
        <v>1291.54</v>
      </c>
      <c r="C516" s="629">
        <v>4344</v>
      </c>
      <c r="D516" s="589">
        <v>308</v>
      </c>
      <c r="E516" s="589">
        <v>1</v>
      </c>
      <c r="F516" s="708">
        <v>1</v>
      </c>
      <c r="G516" s="589">
        <v>8</v>
      </c>
      <c r="H516" s="589">
        <v>5</v>
      </c>
      <c r="I516" s="589">
        <v>0</v>
      </c>
      <c r="J516" s="955">
        <f t="shared" si="108"/>
        <v>0.070902394106814</v>
      </c>
      <c r="K516" s="953">
        <f t="shared" si="109"/>
        <v>4.19331168831169</v>
      </c>
      <c r="L516" s="634">
        <f t="shared" si="110"/>
        <v>0.000774269476748688</v>
      </c>
      <c r="M516" s="955">
        <f t="shared" si="111"/>
        <v>0.00324675324675325</v>
      </c>
      <c r="N516" s="956">
        <f t="shared" si="112"/>
        <v>1</v>
      </c>
      <c r="O516" s="956">
        <f t="shared" si="113"/>
        <v>1291.54</v>
      </c>
      <c r="P516" s="953">
        <f t="shared" si="114"/>
        <v>161.4425</v>
      </c>
      <c r="Q516" s="675">
        <f t="shared" si="100"/>
        <v>99.3492307692308</v>
      </c>
    </row>
    <row r="517" s="541" customFormat="1" ht="13.9" customHeight="1" spans="1:17">
      <c r="A517" s="952">
        <v>45164</v>
      </c>
      <c r="B517" s="708">
        <v>813.1</v>
      </c>
      <c r="C517" s="629">
        <v>3110</v>
      </c>
      <c r="D517" s="589">
        <v>287</v>
      </c>
      <c r="E517" s="589">
        <v>0</v>
      </c>
      <c r="F517" s="708">
        <v>0</v>
      </c>
      <c r="G517" s="589">
        <v>11</v>
      </c>
      <c r="H517" s="589">
        <v>2</v>
      </c>
      <c r="I517" s="589">
        <v>1</v>
      </c>
      <c r="J517" s="955">
        <f t="shared" si="108"/>
        <v>0.0922829581993569</v>
      </c>
      <c r="K517" s="953">
        <f t="shared" si="109"/>
        <v>2.83310104529617</v>
      </c>
      <c r="L517" s="634">
        <f t="shared" si="110"/>
        <v>0</v>
      </c>
      <c r="M517" s="955">
        <f t="shared" si="111"/>
        <v>0</v>
      </c>
      <c r="N517" s="956">
        <f t="shared" si="112"/>
        <v>0</v>
      </c>
      <c r="O517" s="956">
        <f t="shared" si="113"/>
        <v>0</v>
      </c>
      <c r="P517" s="953">
        <f t="shared" si="114"/>
        <v>73.9181818181818</v>
      </c>
      <c r="Q517" s="675">
        <f t="shared" si="100"/>
        <v>62.5461538461538</v>
      </c>
    </row>
    <row r="518" s="541" customFormat="1" ht="13.9" customHeight="1" spans="1:17">
      <c r="A518" s="952">
        <v>45165</v>
      </c>
      <c r="B518" s="708">
        <v>834.92</v>
      </c>
      <c r="C518" s="589">
        <v>4137</v>
      </c>
      <c r="D518" s="589">
        <v>334</v>
      </c>
      <c r="E518" s="589">
        <v>0</v>
      </c>
      <c r="F518" s="708">
        <v>0</v>
      </c>
      <c r="G518" s="589">
        <v>4</v>
      </c>
      <c r="H518" s="589">
        <v>5</v>
      </c>
      <c r="I518" s="589">
        <v>2</v>
      </c>
      <c r="J518" s="955">
        <f t="shared" si="108"/>
        <v>0.0807348320038675</v>
      </c>
      <c r="K518" s="953">
        <f t="shared" si="109"/>
        <v>2.49976047904192</v>
      </c>
      <c r="L518" s="634">
        <f t="shared" si="110"/>
        <v>0</v>
      </c>
      <c r="M518" s="955">
        <f t="shared" si="111"/>
        <v>0</v>
      </c>
      <c r="N518" s="956">
        <f t="shared" si="112"/>
        <v>0</v>
      </c>
      <c r="O518" s="956">
        <f t="shared" si="113"/>
        <v>0</v>
      </c>
      <c r="P518" s="953">
        <f t="shared" si="114"/>
        <v>208.73</v>
      </c>
      <c r="Q518" s="675">
        <f t="shared" ref="Q518:Q581" si="115">B518/(G518+H518)</f>
        <v>92.7688888888889</v>
      </c>
    </row>
    <row r="519" s="541" customFormat="1" spans="1:17">
      <c r="A519" s="952">
        <v>45166</v>
      </c>
      <c r="B519" s="708">
        <v>857.92</v>
      </c>
      <c r="C519" s="589">
        <v>3601</v>
      </c>
      <c r="D519" s="589">
        <v>306</v>
      </c>
      <c r="E519" s="589">
        <v>0</v>
      </c>
      <c r="F519" s="708">
        <v>0</v>
      </c>
      <c r="G519" s="589">
        <v>7</v>
      </c>
      <c r="H519" s="589">
        <v>0</v>
      </c>
      <c r="I519" s="589">
        <v>0</v>
      </c>
      <c r="J519" s="955">
        <f t="shared" si="108"/>
        <v>0.0849763954457095</v>
      </c>
      <c r="K519" s="953">
        <f t="shared" si="109"/>
        <v>2.80366013071895</v>
      </c>
      <c r="L519" s="634">
        <f t="shared" si="110"/>
        <v>0</v>
      </c>
      <c r="M519" s="955">
        <f t="shared" si="111"/>
        <v>0</v>
      </c>
      <c r="N519" s="956">
        <f t="shared" si="112"/>
        <v>0</v>
      </c>
      <c r="O519" s="956">
        <f t="shared" si="113"/>
        <v>0</v>
      </c>
      <c r="P519" s="953">
        <f t="shared" si="114"/>
        <v>122.56</v>
      </c>
      <c r="Q519" s="675">
        <f t="shared" si="115"/>
        <v>122.56</v>
      </c>
    </row>
    <row r="520" s="541" customFormat="1" spans="1:17">
      <c r="A520" s="952">
        <v>45167</v>
      </c>
      <c r="B520" s="708">
        <v>1022.76</v>
      </c>
      <c r="C520" s="589">
        <v>3926</v>
      </c>
      <c r="D520" s="589">
        <v>312</v>
      </c>
      <c r="E520" s="589">
        <v>0</v>
      </c>
      <c r="F520" s="708">
        <v>0</v>
      </c>
      <c r="G520" s="589">
        <v>6</v>
      </c>
      <c r="H520" s="589">
        <v>8</v>
      </c>
      <c r="I520" s="589">
        <v>4</v>
      </c>
      <c r="J520" s="955">
        <f t="shared" si="108"/>
        <v>0.0794701986754967</v>
      </c>
      <c r="K520" s="953">
        <f t="shared" si="109"/>
        <v>3.27807692307692</v>
      </c>
      <c r="L520" s="634">
        <f t="shared" si="110"/>
        <v>0</v>
      </c>
      <c r="M520" s="955">
        <f t="shared" si="111"/>
        <v>0</v>
      </c>
      <c r="N520" s="956">
        <f t="shared" si="112"/>
        <v>0</v>
      </c>
      <c r="O520" s="956">
        <f t="shared" si="113"/>
        <v>0</v>
      </c>
      <c r="P520" s="953">
        <f t="shared" si="114"/>
        <v>170.46</v>
      </c>
      <c r="Q520" s="675">
        <f t="shared" si="115"/>
        <v>73.0542857142857</v>
      </c>
    </row>
    <row r="521" s="541" customFormat="1" spans="1:17">
      <c r="A521" s="952">
        <v>45168</v>
      </c>
      <c r="B521" s="708">
        <v>1159.2</v>
      </c>
      <c r="C521" s="589">
        <v>3950</v>
      </c>
      <c r="D521" s="589">
        <v>293</v>
      </c>
      <c r="E521" s="589">
        <v>0</v>
      </c>
      <c r="F521" s="708">
        <v>0</v>
      </c>
      <c r="G521" s="589">
        <v>8</v>
      </c>
      <c r="H521" s="589">
        <v>2</v>
      </c>
      <c r="I521" s="589">
        <v>2</v>
      </c>
      <c r="J521" s="955">
        <f t="shared" si="108"/>
        <v>0.0741772151898734</v>
      </c>
      <c r="K521" s="953">
        <f t="shared" si="109"/>
        <v>3.95631399317406</v>
      </c>
      <c r="L521" s="634">
        <f t="shared" si="110"/>
        <v>0</v>
      </c>
      <c r="M521" s="955">
        <f t="shared" si="111"/>
        <v>0</v>
      </c>
      <c r="N521" s="956">
        <f t="shared" si="112"/>
        <v>0</v>
      </c>
      <c r="O521" s="956">
        <f t="shared" si="113"/>
        <v>0</v>
      </c>
      <c r="P521" s="953">
        <f t="shared" si="114"/>
        <v>144.9</v>
      </c>
      <c r="Q521" s="675">
        <f t="shared" si="115"/>
        <v>115.92</v>
      </c>
    </row>
    <row r="522" s="541" customFormat="1" spans="1:17">
      <c r="A522" s="952">
        <v>45169</v>
      </c>
      <c r="B522" s="708">
        <v>1483.07</v>
      </c>
      <c r="C522" s="589">
        <v>5110</v>
      </c>
      <c r="D522" s="589">
        <v>278</v>
      </c>
      <c r="E522" s="589">
        <v>0</v>
      </c>
      <c r="F522" s="708">
        <v>0</v>
      </c>
      <c r="G522" s="589">
        <v>6</v>
      </c>
      <c r="H522" s="589">
        <v>6</v>
      </c>
      <c r="I522" s="589">
        <v>2</v>
      </c>
      <c r="J522" s="955">
        <f t="shared" si="108"/>
        <v>0.0544031311154599</v>
      </c>
      <c r="K522" s="953">
        <f t="shared" si="109"/>
        <v>5.33478417266187</v>
      </c>
      <c r="L522" s="634">
        <f t="shared" si="110"/>
        <v>0</v>
      </c>
      <c r="M522" s="955">
        <f t="shared" si="111"/>
        <v>0</v>
      </c>
      <c r="N522" s="956">
        <f t="shared" si="112"/>
        <v>0</v>
      </c>
      <c r="O522" s="956">
        <f t="shared" si="113"/>
        <v>0</v>
      </c>
      <c r="P522" s="953">
        <f t="shared" si="114"/>
        <v>247.178333333333</v>
      </c>
      <c r="Q522" s="675">
        <f t="shared" si="115"/>
        <v>123.589166666667</v>
      </c>
    </row>
    <row r="523" s="541" customFormat="1" spans="1:17">
      <c r="A523" s="960">
        <v>45170</v>
      </c>
      <c r="B523" s="961">
        <v>1369.86</v>
      </c>
      <c r="C523" s="645">
        <v>4965</v>
      </c>
      <c r="D523" s="645">
        <v>317</v>
      </c>
      <c r="E523" s="589">
        <v>0</v>
      </c>
      <c r="F523" s="708">
        <v>0</v>
      </c>
      <c r="G523" s="589">
        <v>3</v>
      </c>
      <c r="H523" s="589">
        <v>2</v>
      </c>
      <c r="I523" s="589">
        <v>0</v>
      </c>
      <c r="J523" s="955">
        <f t="shared" si="108"/>
        <v>0.0638469284994965</v>
      </c>
      <c r="K523" s="953">
        <f t="shared" si="109"/>
        <v>4.32132492113565</v>
      </c>
      <c r="L523" s="634">
        <f t="shared" si="110"/>
        <v>0</v>
      </c>
      <c r="M523" s="955">
        <f t="shared" si="111"/>
        <v>0</v>
      </c>
      <c r="N523" s="956">
        <f t="shared" si="112"/>
        <v>0</v>
      </c>
      <c r="O523" s="956">
        <f t="shared" si="113"/>
        <v>0</v>
      </c>
      <c r="P523" s="953">
        <f t="shared" si="114"/>
        <v>456.62</v>
      </c>
      <c r="Q523" s="675">
        <f t="shared" si="115"/>
        <v>273.972</v>
      </c>
    </row>
    <row r="524" s="541" customFormat="1" spans="1:17">
      <c r="A524" s="960">
        <v>45171</v>
      </c>
      <c r="B524" s="961">
        <v>1599.95</v>
      </c>
      <c r="C524" s="645">
        <v>4791</v>
      </c>
      <c r="D524" s="645">
        <v>304</v>
      </c>
      <c r="E524" s="589">
        <v>0</v>
      </c>
      <c r="F524" s="708">
        <v>0</v>
      </c>
      <c r="G524" s="589">
        <v>7</v>
      </c>
      <c r="H524" s="589">
        <v>4</v>
      </c>
      <c r="I524" s="589">
        <v>1</v>
      </c>
      <c r="J524" s="955">
        <f t="shared" si="108"/>
        <v>0.063452306407848</v>
      </c>
      <c r="K524" s="953">
        <f t="shared" si="109"/>
        <v>5.26299342105263</v>
      </c>
      <c r="L524" s="634">
        <f t="shared" si="110"/>
        <v>0</v>
      </c>
      <c r="M524" s="955">
        <f t="shared" si="111"/>
        <v>0</v>
      </c>
      <c r="N524" s="956">
        <f t="shared" si="112"/>
        <v>0</v>
      </c>
      <c r="O524" s="956">
        <f t="shared" si="113"/>
        <v>0</v>
      </c>
      <c r="P524" s="953">
        <f t="shared" si="114"/>
        <v>228.564285714286</v>
      </c>
      <c r="Q524" s="675">
        <f t="shared" si="115"/>
        <v>145.45</v>
      </c>
    </row>
    <row r="525" s="541" customFormat="1" spans="1:17">
      <c r="A525" s="960">
        <v>45172</v>
      </c>
      <c r="B525" s="962">
        <v>1724.22</v>
      </c>
      <c r="C525" s="963">
        <v>5044</v>
      </c>
      <c r="D525" s="963">
        <v>328</v>
      </c>
      <c r="E525" s="589">
        <v>0</v>
      </c>
      <c r="F525" s="708">
        <v>0</v>
      </c>
      <c r="G525" s="589">
        <v>3</v>
      </c>
      <c r="H525" s="589">
        <v>3</v>
      </c>
      <c r="I525" s="589">
        <v>0</v>
      </c>
      <c r="J525" s="955">
        <f t="shared" si="108"/>
        <v>0.0650277557494052</v>
      </c>
      <c r="K525" s="953">
        <f t="shared" si="109"/>
        <v>5.25676829268293</v>
      </c>
      <c r="L525" s="634">
        <f t="shared" si="110"/>
        <v>0</v>
      </c>
      <c r="M525" s="955">
        <f t="shared" si="111"/>
        <v>0</v>
      </c>
      <c r="N525" s="956">
        <f t="shared" si="112"/>
        <v>0</v>
      </c>
      <c r="O525" s="956">
        <f t="shared" si="113"/>
        <v>0</v>
      </c>
      <c r="P525" s="953">
        <f t="shared" si="114"/>
        <v>574.74</v>
      </c>
      <c r="Q525" s="675">
        <f t="shared" si="115"/>
        <v>287.37</v>
      </c>
    </row>
    <row r="526" s="541" customFormat="1" spans="1:17">
      <c r="A526" s="960">
        <v>45173</v>
      </c>
      <c r="B526" s="708">
        <v>1837.5</v>
      </c>
      <c r="C526" s="579">
        <v>5638</v>
      </c>
      <c r="D526" s="579">
        <v>339</v>
      </c>
      <c r="E526" s="589">
        <v>0</v>
      </c>
      <c r="F526" s="708">
        <v>0</v>
      </c>
      <c r="G526" s="589">
        <v>5</v>
      </c>
      <c r="H526" s="589">
        <v>5</v>
      </c>
      <c r="I526" s="589">
        <v>3</v>
      </c>
      <c r="J526" s="955">
        <f t="shared" si="108"/>
        <v>0.0601277048598794</v>
      </c>
      <c r="K526" s="953">
        <f t="shared" si="109"/>
        <v>5.42035398230088</v>
      </c>
      <c r="L526" s="634">
        <f t="shared" si="110"/>
        <v>0</v>
      </c>
      <c r="M526" s="955">
        <f t="shared" si="111"/>
        <v>0</v>
      </c>
      <c r="N526" s="956">
        <f t="shared" si="112"/>
        <v>0</v>
      </c>
      <c r="O526" s="956">
        <f t="shared" si="113"/>
        <v>0</v>
      </c>
      <c r="P526" s="953">
        <f t="shared" si="114"/>
        <v>367.5</v>
      </c>
      <c r="Q526" s="675">
        <f t="shared" si="115"/>
        <v>183.75</v>
      </c>
    </row>
    <row r="527" s="541" customFormat="1" spans="1:17">
      <c r="A527" s="960">
        <v>45174</v>
      </c>
      <c r="B527" s="708">
        <v>1750</v>
      </c>
      <c r="C527" s="574">
        <v>5758</v>
      </c>
      <c r="D527" s="574">
        <v>338</v>
      </c>
      <c r="E527" s="566">
        <v>0</v>
      </c>
      <c r="F527" s="964">
        <v>0</v>
      </c>
      <c r="G527" s="566">
        <v>10</v>
      </c>
      <c r="H527" s="566">
        <v>2</v>
      </c>
      <c r="I527" s="566">
        <v>4</v>
      </c>
      <c r="J527" s="955">
        <f t="shared" si="108"/>
        <v>0.0587009378256339</v>
      </c>
      <c r="K527" s="953">
        <f t="shared" si="109"/>
        <v>5.17751479289941</v>
      </c>
      <c r="L527" s="634">
        <f t="shared" si="110"/>
        <v>0</v>
      </c>
      <c r="M527" s="955">
        <f t="shared" si="111"/>
        <v>0</v>
      </c>
      <c r="N527" s="956">
        <f t="shared" si="112"/>
        <v>0</v>
      </c>
      <c r="O527" s="956">
        <f t="shared" si="113"/>
        <v>0</v>
      </c>
      <c r="P527" s="953">
        <f t="shared" si="114"/>
        <v>175</v>
      </c>
      <c r="Q527" s="675">
        <f t="shared" si="115"/>
        <v>145.833333333333</v>
      </c>
    </row>
    <row r="528" s="541" customFormat="1" spans="1:17">
      <c r="A528" s="960">
        <v>45175</v>
      </c>
      <c r="B528" s="965">
        <v>1701</v>
      </c>
      <c r="C528" s="574">
        <v>3314</v>
      </c>
      <c r="D528" s="574">
        <v>219</v>
      </c>
      <c r="E528" s="566">
        <v>0</v>
      </c>
      <c r="F528" s="964">
        <v>0</v>
      </c>
      <c r="G528" s="566">
        <v>8</v>
      </c>
      <c r="H528" s="566">
        <v>6</v>
      </c>
      <c r="I528" s="566">
        <v>2</v>
      </c>
      <c r="J528" s="955">
        <f t="shared" si="108"/>
        <v>0.0660832830416415</v>
      </c>
      <c r="K528" s="953">
        <f t="shared" si="109"/>
        <v>7.76712328767123</v>
      </c>
      <c r="L528" s="634">
        <f t="shared" si="110"/>
        <v>0</v>
      </c>
      <c r="M528" s="955">
        <f t="shared" si="111"/>
        <v>0</v>
      </c>
      <c r="N528" s="956">
        <f t="shared" si="112"/>
        <v>0</v>
      </c>
      <c r="O528" s="956">
        <f t="shared" si="113"/>
        <v>0</v>
      </c>
      <c r="P528" s="953">
        <f t="shared" si="114"/>
        <v>212.625</v>
      </c>
      <c r="Q528" s="675">
        <f t="shared" si="115"/>
        <v>121.5</v>
      </c>
    </row>
    <row r="529" s="541" customFormat="1" spans="1:17">
      <c r="A529" s="960">
        <v>45176</v>
      </c>
      <c r="B529" s="708">
        <v>1071</v>
      </c>
      <c r="C529" s="574">
        <v>4041</v>
      </c>
      <c r="D529" s="574">
        <v>252</v>
      </c>
      <c r="E529" s="566">
        <v>0</v>
      </c>
      <c r="F529" s="964">
        <v>0</v>
      </c>
      <c r="G529" s="566">
        <v>5</v>
      </c>
      <c r="H529" s="566">
        <v>6</v>
      </c>
      <c r="I529" s="566">
        <v>0</v>
      </c>
      <c r="J529" s="955">
        <f t="shared" si="108"/>
        <v>0.0623608017817372</v>
      </c>
      <c r="K529" s="953">
        <f t="shared" si="109"/>
        <v>4.25</v>
      </c>
      <c r="L529" s="634">
        <f t="shared" si="110"/>
        <v>0</v>
      </c>
      <c r="M529" s="955">
        <f t="shared" si="111"/>
        <v>0</v>
      </c>
      <c r="N529" s="956">
        <f t="shared" si="112"/>
        <v>0</v>
      </c>
      <c r="O529" s="956">
        <f t="shared" si="113"/>
        <v>0</v>
      </c>
      <c r="P529" s="953">
        <f t="shared" si="114"/>
        <v>214.2</v>
      </c>
      <c r="Q529" s="675">
        <f t="shared" si="115"/>
        <v>97.3636363636364</v>
      </c>
    </row>
    <row r="530" s="541" customFormat="1" spans="1:17">
      <c r="A530" s="960">
        <v>45177</v>
      </c>
      <c r="B530" s="708">
        <v>1099</v>
      </c>
      <c r="C530" s="574">
        <v>3217</v>
      </c>
      <c r="D530" s="574">
        <v>258</v>
      </c>
      <c r="E530" s="566">
        <v>0</v>
      </c>
      <c r="F530" s="964">
        <v>0</v>
      </c>
      <c r="G530" s="566">
        <v>9</v>
      </c>
      <c r="H530" s="566">
        <v>4</v>
      </c>
      <c r="I530" s="566">
        <v>1</v>
      </c>
      <c r="J530" s="955">
        <f t="shared" si="108"/>
        <v>0.0801989431147031</v>
      </c>
      <c r="K530" s="953">
        <f t="shared" si="109"/>
        <v>4.25968992248062</v>
      </c>
      <c r="L530" s="634">
        <f t="shared" si="110"/>
        <v>0</v>
      </c>
      <c r="M530" s="955">
        <f t="shared" si="111"/>
        <v>0</v>
      </c>
      <c r="N530" s="956">
        <f t="shared" si="112"/>
        <v>0</v>
      </c>
      <c r="O530" s="956">
        <f t="shared" si="113"/>
        <v>0</v>
      </c>
      <c r="P530" s="953">
        <f t="shared" si="114"/>
        <v>122.111111111111</v>
      </c>
      <c r="Q530" s="675">
        <f t="shared" si="115"/>
        <v>84.5384615384615</v>
      </c>
    </row>
    <row r="531" s="541" customFormat="1" spans="1:17">
      <c r="A531" s="960">
        <v>45178</v>
      </c>
      <c r="B531" s="708">
        <v>1087</v>
      </c>
      <c r="C531" s="574">
        <v>5056</v>
      </c>
      <c r="D531" s="574">
        <v>296</v>
      </c>
      <c r="E531" s="566">
        <v>0</v>
      </c>
      <c r="F531" s="964">
        <v>0</v>
      </c>
      <c r="G531" s="566">
        <v>6</v>
      </c>
      <c r="H531" s="566">
        <v>4</v>
      </c>
      <c r="I531" s="566">
        <v>1</v>
      </c>
      <c r="J531" s="955">
        <f t="shared" si="108"/>
        <v>0.0585443037974684</v>
      </c>
      <c r="K531" s="953">
        <f t="shared" si="109"/>
        <v>3.6722972972973</v>
      </c>
      <c r="L531" s="634">
        <f t="shared" si="110"/>
        <v>0</v>
      </c>
      <c r="M531" s="955">
        <f t="shared" si="111"/>
        <v>0</v>
      </c>
      <c r="N531" s="956">
        <f t="shared" si="112"/>
        <v>0</v>
      </c>
      <c r="O531" s="956">
        <f t="shared" si="113"/>
        <v>0</v>
      </c>
      <c r="P531" s="953">
        <f t="shared" si="114"/>
        <v>181.166666666667</v>
      </c>
      <c r="Q531" s="675">
        <f t="shared" si="115"/>
        <v>108.7</v>
      </c>
    </row>
    <row r="532" s="541" customFormat="1" spans="1:17">
      <c r="A532" s="960">
        <v>45179</v>
      </c>
      <c r="B532" s="708">
        <v>1091</v>
      </c>
      <c r="C532" s="574">
        <v>3615</v>
      </c>
      <c r="D532" s="574">
        <v>273</v>
      </c>
      <c r="E532" s="566">
        <v>0</v>
      </c>
      <c r="F532" s="964">
        <v>0</v>
      </c>
      <c r="G532" s="566">
        <v>11</v>
      </c>
      <c r="H532" s="566">
        <v>3</v>
      </c>
      <c r="I532" s="566">
        <v>1</v>
      </c>
      <c r="J532" s="955">
        <f t="shared" si="108"/>
        <v>0.0755186721991701</v>
      </c>
      <c r="K532" s="953">
        <f t="shared" si="109"/>
        <v>3.996336996337</v>
      </c>
      <c r="L532" s="634">
        <f t="shared" si="110"/>
        <v>0</v>
      </c>
      <c r="M532" s="955">
        <f t="shared" si="111"/>
        <v>0</v>
      </c>
      <c r="N532" s="956">
        <f t="shared" si="112"/>
        <v>0</v>
      </c>
      <c r="O532" s="956">
        <f t="shared" si="113"/>
        <v>0</v>
      </c>
      <c r="P532" s="953">
        <f t="shared" si="114"/>
        <v>99.1818181818182</v>
      </c>
      <c r="Q532" s="675">
        <f t="shared" si="115"/>
        <v>77.9285714285714</v>
      </c>
    </row>
    <row r="533" s="541" customFormat="1" spans="1:17">
      <c r="A533" s="966">
        <v>45180</v>
      </c>
      <c r="B533" s="708">
        <v>1266</v>
      </c>
      <c r="C533" s="574">
        <v>3880</v>
      </c>
      <c r="D533" s="574">
        <v>281</v>
      </c>
      <c r="E533" s="566">
        <v>0</v>
      </c>
      <c r="F533" s="964">
        <v>0</v>
      </c>
      <c r="G533" s="566">
        <v>9</v>
      </c>
      <c r="H533" s="566">
        <v>5</v>
      </c>
      <c r="I533" s="566">
        <v>3</v>
      </c>
      <c r="J533" s="955">
        <f t="shared" si="108"/>
        <v>0.0724226804123711</v>
      </c>
      <c r="K533" s="953">
        <f t="shared" si="109"/>
        <v>4.50533807829181</v>
      </c>
      <c r="L533" s="634">
        <f t="shared" si="110"/>
        <v>0</v>
      </c>
      <c r="M533" s="955">
        <f t="shared" si="111"/>
        <v>0</v>
      </c>
      <c r="N533" s="956">
        <f t="shared" si="112"/>
        <v>0</v>
      </c>
      <c r="O533" s="956">
        <f t="shared" si="113"/>
        <v>0</v>
      </c>
      <c r="P533" s="953">
        <f t="shared" si="114"/>
        <v>140.666666666667</v>
      </c>
      <c r="Q533" s="675">
        <f t="shared" si="115"/>
        <v>90.4285714285714</v>
      </c>
    </row>
    <row r="534" s="541" customFormat="1" spans="1:17">
      <c r="A534" s="967">
        <v>45181</v>
      </c>
      <c r="B534" s="961">
        <v>1168</v>
      </c>
      <c r="C534" s="968">
        <v>4358</v>
      </c>
      <c r="D534" s="968">
        <v>275</v>
      </c>
      <c r="E534" s="969">
        <v>1</v>
      </c>
      <c r="F534" s="970">
        <v>2</v>
      </c>
      <c r="G534" s="971">
        <v>7</v>
      </c>
      <c r="H534" s="971">
        <v>9</v>
      </c>
      <c r="I534" s="971">
        <v>5</v>
      </c>
      <c r="J534" s="955">
        <f t="shared" si="108"/>
        <v>0.0631023405231758</v>
      </c>
      <c r="K534" s="953">
        <f t="shared" si="109"/>
        <v>4.24727272727273</v>
      </c>
      <c r="L534" s="634">
        <f t="shared" si="110"/>
        <v>0.00171232876712329</v>
      </c>
      <c r="M534" s="955">
        <f t="shared" si="111"/>
        <v>0.00363636363636364</v>
      </c>
      <c r="N534" s="956">
        <f t="shared" si="112"/>
        <v>2</v>
      </c>
      <c r="O534" s="956">
        <f t="shared" si="113"/>
        <v>1168</v>
      </c>
      <c r="P534" s="953">
        <f t="shared" si="114"/>
        <v>166.857142857143</v>
      </c>
      <c r="Q534" s="675">
        <f t="shared" si="115"/>
        <v>73</v>
      </c>
    </row>
    <row r="535" s="541" customFormat="1" spans="1:17">
      <c r="A535" s="972">
        <v>45182</v>
      </c>
      <c r="B535" s="962">
        <v>1159</v>
      </c>
      <c r="C535" s="574">
        <v>5160</v>
      </c>
      <c r="D535" s="574">
        <v>320</v>
      </c>
      <c r="E535" s="566">
        <v>0</v>
      </c>
      <c r="F535" s="964">
        <v>0</v>
      </c>
      <c r="G535" s="586">
        <v>3</v>
      </c>
      <c r="H535" s="566">
        <v>4</v>
      </c>
      <c r="I535" s="566">
        <v>2</v>
      </c>
      <c r="J535" s="955">
        <f t="shared" si="108"/>
        <v>0.062015503875969</v>
      </c>
      <c r="K535" s="953">
        <f t="shared" si="109"/>
        <v>3.621875</v>
      </c>
      <c r="L535" s="634">
        <f t="shared" si="110"/>
        <v>0</v>
      </c>
      <c r="M535" s="955">
        <f t="shared" si="111"/>
        <v>0</v>
      </c>
      <c r="N535" s="956">
        <f t="shared" si="112"/>
        <v>0</v>
      </c>
      <c r="O535" s="956">
        <f t="shared" si="113"/>
        <v>0</v>
      </c>
      <c r="P535" s="953">
        <f t="shared" si="114"/>
        <v>386.333333333333</v>
      </c>
      <c r="Q535" s="675">
        <f t="shared" si="115"/>
        <v>165.571428571429</v>
      </c>
    </row>
    <row r="536" s="541" customFormat="1" spans="1:17">
      <c r="A536" s="972">
        <v>45183</v>
      </c>
      <c r="B536" s="962">
        <v>1167</v>
      </c>
      <c r="C536" s="574">
        <v>4273</v>
      </c>
      <c r="D536" s="574">
        <v>314</v>
      </c>
      <c r="E536" s="566">
        <v>0</v>
      </c>
      <c r="F536" s="964">
        <v>0</v>
      </c>
      <c r="G536" s="586">
        <v>5</v>
      </c>
      <c r="H536" s="566">
        <v>4</v>
      </c>
      <c r="I536" s="566">
        <v>3</v>
      </c>
      <c r="J536" s="955">
        <f t="shared" si="108"/>
        <v>0.0734846711912006</v>
      </c>
      <c r="K536" s="953">
        <f t="shared" si="109"/>
        <v>3.71656050955414</v>
      </c>
      <c r="L536" s="634">
        <f t="shared" si="110"/>
        <v>0</v>
      </c>
      <c r="M536" s="955">
        <f t="shared" si="111"/>
        <v>0</v>
      </c>
      <c r="N536" s="956">
        <f t="shared" si="112"/>
        <v>0</v>
      </c>
      <c r="O536" s="956">
        <f t="shared" si="113"/>
        <v>0</v>
      </c>
      <c r="P536" s="953">
        <f t="shared" si="114"/>
        <v>233.4</v>
      </c>
      <c r="Q536" s="675">
        <f t="shared" si="115"/>
        <v>129.666666666667</v>
      </c>
    </row>
    <row r="537" s="541" customFormat="1" spans="1:17">
      <c r="A537" s="972">
        <v>45184</v>
      </c>
      <c r="B537" s="973">
        <v>1244.2</v>
      </c>
      <c r="C537" s="574">
        <v>5496</v>
      </c>
      <c r="D537" s="574">
        <v>376</v>
      </c>
      <c r="E537" s="566">
        <v>0</v>
      </c>
      <c r="F537" s="964">
        <v>0</v>
      </c>
      <c r="G537" s="586">
        <v>8</v>
      </c>
      <c r="H537" s="566">
        <v>5</v>
      </c>
      <c r="I537" s="566">
        <v>1</v>
      </c>
      <c r="J537" s="955">
        <f t="shared" si="108"/>
        <v>0.0684133915574964</v>
      </c>
      <c r="K537" s="953">
        <f t="shared" si="109"/>
        <v>3.30904255319149</v>
      </c>
      <c r="L537" s="634">
        <f t="shared" si="110"/>
        <v>0</v>
      </c>
      <c r="M537" s="955">
        <f t="shared" si="111"/>
        <v>0</v>
      </c>
      <c r="N537" s="956">
        <f t="shared" si="112"/>
        <v>0</v>
      </c>
      <c r="O537" s="956">
        <f t="shared" si="113"/>
        <v>0</v>
      </c>
      <c r="P537" s="953">
        <f t="shared" si="114"/>
        <v>155.525</v>
      </c>
      <c r="Q537" s="675">
        <f t="shared" si="115"/>
        <v>95.7076923076923</v>
      </c>
    </row>
    <row r="538" s="541" customFormat="1" spans="1:17">
      <c r="A538" s="972">
        <v>45185</v>
      </c>
      <c r="B538" s="973">
        <v>1253.73</v>
      </c>
      <c r="C538" s="574">
        <v>5070</v>
      </c>
      <c r="D538" s="574">
        <v>304</v>
      </c>
      <c r="E538" s="566">
        <v>0</v>
      </c>
      <c r="F538" s="964">
        <v>0</v>
      </c>
      <c r="G538" s="586">
        <v>7</v>
      </c>
      <c r="H538" s="566">
        <v>8</v>
      </c>
      <c r="I538" s="566">
        <v>5</v>
      </c>
      <c r="J538" s="955">
        <f t="shared" si="108"/>
        <v>0.0599605522682446</v>
      </c>
      <c r="K538" s="953">
        <f t="shared" si="109"/>
        <v>4.12411184210526</v>
      </c>
      <c r="L538" s="634">
        <f t="shared" si="110"/>
        <v>0</v>
      </c>
      <c r="M538" s="955">
        <f t="shared" si="111"/>
        <v>0</v>
      </c>
      <c r="N538" s="956">
        <f t="shared" si="112"/>
        <v>0</v>
      </c>
      <c r="O538" s="956">
        <f t="shared" si="113"/>
        <v>0</v>
      </c>
      <c r="P538" s="953">
        <f t="shared" si="114"/>
        <v>179.104285714286</v>
      </c>
      <c r="Q538" s="675">
        <f t="shared" si="115"/>
        <v>83.582</v>
      </c>
    </row>
    <row r="539" s="541" customFormat="1" spans="1:17">
      <c r="A539" s="972">
        <v>45186</v>
      </c>
      <c r="B539" s="973">
        <v>1253.09</v>
      </c>
      <c r="C539" s="574">
        <v>4825</v>
      </c>
      <c r="D539" s="574">
        <v>314</v>
      </c>
      <c r="E539" s="566">
        <v>0</v>
      </c>
      <c r="F539" s="964">
        <v>0</v>
      </c>
      <c r="G539" s="589">
        <v>9</v>
      </c>
      <c r="H539" s="589">
        <v>1</v>
      </c>
      <c r="I539" s="589">
        <v>0</v>
      </c>
      <c r="J539" s="955">
        <f t="shared" si="108"/>
        <v>0.0650777202072539</v>
      </c>
      <c r="K539" s="953">
        <f t="shared" si="109"/>
        <v>3.99073248407643</v>
      </c>
      <c r="L539" s="634">
        <f t="shared" si="110"/>
        <v>0</v>
      </c>
      <c r="M539" s="955">
        <f t="shared" si="111"/>
        <v>0</v>
      </c>
      <c r="N539" s="956">
        <f t="shared" si="112"/>
        <v>0</v>
      </c>
      <c r="O539" s="956">
        <f t="shared" si="113"/>
        <v>0</v>
      </c>
      <c r="P539" s="953">
        <f t="shared" si="114"/>
        <v>139.232222222222</v>
      </c>
      <c r="Q539" s="675">
        <f t="shared" si="115"/>
        <v>125.309</v>
      </c>
    </row>
    <row r="540" s="541" customFormat="1" spans="1:17">
      <c r="A540" s="972">
        <v>45187</v>
      </c>
      <c r="B540" s="708">
        <v>1249</v>
      </c>
      <c r="C540" s="974">
        <v>4509</v>
      </c>
      <c r="D540" s="974">
        <v>319</v>
      </c>
      <c r="E540" s="975">
        <v>0</v>
      </c>
      <c r="F540" s="976">
        <v>0</v>
      </c>
      <c r="G540" s="589">
        <v>14</v>
      </c>
      <c r="H540" s="589">
        <v>5</v>
      </c>
      <c r="I540" s="589">
        <v>2</v>
      </c>
      <c r="J540" s="955">
        <f t="shared" si="108"/>
        <v>0.0707473941006875</v>
      </c>
      <c r="K540" s="953">
        <f t="shared" si="109"/>
        <v>3.9153605015674</v>
      </c>
      <c r="L540" s="634">
        <f t="shared" si="110"/>
        <v>0</v>
      </c>
      <c r="M540" s="955">
        <f t="shared" si="111"/>
        <v>0</v>
      </c>
      <c r="N540" s="956">
        <f t="shared" si="112"/>
        <v>0</v>
      </c>
      <c r="O540" s="956">
        <f t="shared" si="113"/>
        <v>0</v>
      </c>
      <c r="P540" s="953">
        <f t="shared" si="114"/>
        <v>89.2142857142857</v>
      </c>
      <c r="Q540" s="675">
        <f t="shared" si="115"/>
        <v>65.7368421052632</v>
      </c>
    </row>
    <row r="541" s="541" customFormat="1" spans="1:17">
      <c r="A541" s="977">
        <v>45188</v>
      </c>
      <c r="B541" s="978">
        <v>1275.97</v>
      </c>
      <c r="C541" s="579">
        <v>5064</v>
      </c>
      <c r="D541" s="579">
        <v>346</v>
      </c>
      <c r="E541" s="589">
        <v>0</v>
      </c>
      <c r="F541" s="708">
        <v>0</v>
      </c>
      <c r="G541" s="589">
        <v>5</v>
      </c>
      <c r="H541" s="589">
        <v>3</v>
      </c>
      <c r="I541" s="589">
        <v>2</v>
      </c>
      <c r="J541" s="955">
        <f t="shared" si="108"/>
        <v>0.0683254344391785</v>
      </c>
      <c r="K541" s="953">
        <f t="shared" si="109"/>
        <v>3.68777456647399</v>
      </c>
      <c r="L541" s="634">
        <f t="shared" si="110"/>
        <v>0</v>
      </c>
      <c r="M541" s="955">
        <f t="shared" si="111"/>
        <v>0</v>
      </c>
      <c r="N541" s="956">
        <f t="shared" si="112"/>
        <v>0</v>
      </c>
      <c r="O541" s="956">
        <f t="shared" si="113"/>
        <v>0</v>
      </c>
      <c r="P541" s="953">
        <f t="shared" si="114"/>
        <v>255.194</v>
      </c>
      <c r="Q541" s="675">
        <f t="shared" si="115"/>
        <v>159.49625</v>
      </c>
    </row>
    <row r="542" s="541" customFormat="1" spans="1:17">
      <c r="A542" s="972">
        <v>45189</v>
      </c>
      <c r="B542" s="978">
        <v>1472.28</v>
      </c>
      <c r="C542" s="579">
        <v>5314</v>
      </c>
      <c r="D542" s="579">
        <v>449</v>
      </c>
      <c r="E542" s="566">
        <v>0</v>
      </c>
      <c r="F542" s="964">
        <v>0</v>
      </c>
      <c r="G542" s="566">
        <v>5</v>
      </c>
      <c r="H542" s="566">
        <v>11</v>
      </c>
      <c r="I542" s="566">
        <v>6</v>
      </c>
      <c r="J542" s="955">
        <f t="shared" si="108"/>
        <v>0.0844937899887091</v>
      </c>
      <c r="K542" s="953">
        <f t="shared" si="109"/>
        <v>3.27902004454343</v>
      </c>
      <c r="L542" s="634">
        <f t="shared" si="110"/>
        <v>0</v>
      </c>
      <c r="M542" s="955">
        <f t="shared" si="111"/>
        <v>0</v>
      </c>
      <c r="N542" s="956">
        <f t="shared" si="112"/>
        <v>0</v>
      </c>
      <c r="O542" s="956">
        <f t="shared" si="113"/>
        <v>0</v>
      </c>
      <c r="P542" s="953">
        <f t="shared" si="114"/>
        <v>294.456</v>
      </c>
      <c r="Q542" s="675">
        <f t="shared" si="115"/>
        <v>92.0175</v>
      </c>
    </row>
    <row r="543" s="541" customFormat="1" spans="1:17">
      <c r="A543" s="972">
        <v>45190</v>
      </c>
      <c r="B543" s="973">
        <v>1515.88</v>
      </c>
      <c r="C543" s="574">
        <v>8512</v>
      </c>
      <c r="D543" s="574">
        <v>517</v>
      </c>
      <c r="E543" s="589">
        <v>1</v>
      </c>
      <c r="F543" s="708">
        <v>1</v>
      </c>
      <c r="G543" s="589">
        <v>7</v>
      </c>
      <c r="H543" s="589">
        <v>9</v>
      </c>
      <c r="I543" s="589">
        <v>6</v>
      </c>
      <c r="J543" s="955">
        <f t="shared" si="108"/>
        <v>0.0607377819548872</v>
      </c>
      <c r="K543" s="953">
        <f t="shared" si="109"/>
        <v>2.93206963249516</v>
      </c>
      <c r="L543" s="634">
        <f t="shared" si="110"/>
        <v>0.000659682824497981</v>
      </c>
      <c r="M543" s="955">
        <f t="shared" si="111"/>
        <v>0.00193423597678917</v>
      </c>
      <c r="N543" s="956">
        <f t="shared" si="112"/>
        <v>1</v>
      </c>
      <c r="O543" s="956">
        <f t="shared" si="113"/>
        <v>1515.88</v>
      </c>
      <c r="P543" s="953">
        <f t="shared" si="114"/>
        <v>216.554285714286</v>
      </c>
      <c r="Q543" s="675">
        <f t="shared" si="115"/>
        <v>94.7425</v>
      </c>
    </row>
    <row r="544" s="541" customFormat="1" spans="1:17">
      <c r="A544" s="972">
        <v>45191</v>
      </c>
      <c r="B544" s="708">
        <v>1294.16</v>
      </c>
      <c r="C544" s="589">
        <v>9806</v>
      </c>
      <c r="D544" s="589">
        <v>460</v>
      </c>
      <c r="E544" s="589">
        <v>4</v>
      </c>
      <c r="F544" s="708">
        <v>3918.8</v>
      </c>
      <c r="G544" s="589">
        <v>17</v>
      </c>
      <c r="H544" s="589">
        <v>10</v>
      </c>
      <c r="I544" s="589">
        <v>7</v>
      </c>
      <c r="J544" s="955">
        <f t="shared" si="108"/>
        <v>0.0469100550683255</v>
      </c>
      <c r="K544" s="953">
        <f t="shared" si="109"/>
        <v>2.81339130434783</v>
      </c>
      <c r="L544" s="634">
        <f t="shared" si="110"/>
        <v>3.02806453606973</v>
      </c>
      <c r="M544" s="955">
        <f t="shared" si="111"/>
        <v>0.00869565217391304</v>
      </c>
      <c r="N544" s="956">
        <f t="shared" si="112"/>
        <v>979.7</v>
      </c>
      <c r="O544" s="956">
        <f t="shared" si="113"/>
        <v>323.54</v>
      </c>
      <c r="P544" s="953">
        <f t="shared" si="114"/>
        <v>76.1270588235294</v>
      </c>
      <c r="Q544" s="675">
        <f t="shared" si="115"/>
        <v>47.9318518518519</v>
      </c>
    </row>
    <row r="545" s="541" customFormat="1" spans="1:17">
      <c r="A545" s="972">
        <v>45192</v>
      </c>
      <c r="B545" s="708">
        <v>1288.01</v>
      </c>
      <c r="C545" s="589">
        <v>10665</v>
      </c>
      <c r="D545" s="589">
        <v>475</v>
      </c>
      <c r="E545" s="589">
        <v>0</v>
      </c>
      <c r="F545" s="708">
        <v>0</v>
      </c>
      <c r="G545" s="589">
        <v>11</v>
      </c>
      <c r="H545" s="589">
        <v>7</v>
      </c>
      <c r="I545" s="589">
        <v>5</v>
      </c>
      <c r="J545" s="955">
        <f t="shared" si="108"/>
        <v>0.0445382090951711</v>
      </c>
      <c r="K545" s="953">
        <f t="shared" si="109"/>
        <v>2.7116</v>
      </c>
      <c r="L545" s="634">
        <f t="shared" si="110"/>
        <v>0</v>
      </c>
      <c r="M545" s="955">
        <f t="shared" si="111"/>
        <v>0</v>
      </c>
      <c r="N545" s="956">
        <f t="shared" si="112"/>
        <v>0</v>
      </c>
      <c r="O545" s="956">
        <f t="shared" si="113"/>
        <v>0</v>
      </c>
      <c r="P545" s="953">
        <f t="shared" si="114"/>
        <v>117.091818181818</v>
      </c>
      <c r="Q545" s="675">
        <f t="shared" si="115"/>
        <v>71.5561111111111</v>
      </c>
    </row>
    <row r="546" s="541" customFormat="1" spans="1:17">
      <c r="A546" s="972">
        <v>45193</v>
      </c>
      <c r="B546" s="979">
        <v>1362.06</v>
      </c>
      <c r="C546" s="604">
        <v>8737</v>
      </c>
      <c r="D546" s="604">
        <v>467</v>
      </c>
      <c r="E546" s="604">
        <v>1</v>
      </c>
      <c r="F546" s="979">
        <v>9.9</v>
      </c>
      <c r="G546" s="604">
        <v>18</v>
      </c>
      <c r="H546" s="604">
        <v>9</v>
      </c>
      <c r="I546" s="604">
        <v>5</v>
      </c>
      <c r="J546" s="955">
        <f t="shared" si="108"/>
        <v>0.0534508412498569</v>
      </c>
      <c r="K546" s="953">
        <f t="shared" si="109"/>
        <v>2.91661670235546</v>
      </c>
      <c r="L546" s="634">
        <f t="shared" si="110"/>
        <v>0.00726840227302762</v>
      </c>
      <c r="M546" s="955">
        <f t="shared" si="111"/>
        <v>0.00214132762312634</v>
      </c>
      <c r="N546" s="956">
        <f t="shared" si="112"/>
        <v>9.9</v>
      </c>
      <c r="O546" s="956">
        <f t="shared" si="113"/>
        <v>1362.06</v>
      </c>
      <c r="P546" s="953">
        <f t="shared" si="114"/>
        <v>75.67</v>
      </c>
      <c r="Q546" s="675">
        <f t="shared" si="115"/>
        <v>50.4466666666667</v>
      </c>
    </row>
    <row r="547" s="541" customFormat="1" ht="14.4" spans="1:17">
      <c r="A547" s="972">
        <v>45194</v>
      </c>
      <c r="B547" s="980">
        <v>1448.14</v>
      </c>
      <c r="C547" s="981">
        <v>10018</v>
      </c>
      <c r="D547" s="981">
        <v>498</v>
      </c>
      <c r="E547" s="604">
        <v>2</v>
      </c>
      <c r="F547" s="979">
        <v>19.8</v>
      </c>
      <c r="G547" s="604">
        <v>11</v>
      </c>
      <c r="H547" s="604">
        <v>7</v>
      </c>
      <c r="I547" s="604">
        <v>3</v>
      </c>
      <c r="J547" s="955">
        <f t="shared" ref="J547:J575" si="116">D547/C547</f>
        <v>0.0497105210620882</v>
      </c>
      <c r="K547" s="953">
        <f t="shared" ref="K547:K575" si="117">B547/D547</f>
        <v>2.90791164658635</v>
      </c>
      <c r="L547" s="634">
        <f t="shared" ref="L547:L575" si="118">F547/B547</f>
        <v>0.0136727112019556</v>
      </c>
      <c r="M547" s="955">
        <f t="shared" ref="M547:M575" si="119">E547/D547</f>
        <v>0.00401606425702811</v>
      </c>
      <c r="N547" s="956">
        <f t="shared" ref="N547:N578" si="120">IF(E547=0,0,F547/E547)</f>
        <v>9.9</v>
      </c>
      <c r="O547" s="956">
        <f t="shared" ref="O547:O578" si="121">IF(E547=0,0,B547/E547)</f>
        <v>724.07</v>
      </c>
      <c r="P547" s="953">
        <f t="shared" ref="P547:P576" si="122">B547/G547</f>
        <v>131.649090909091</v>
      </c>
      <c r="Q547" s="675">
        <f t="shared" si="115"/>
        <v>80.4522222222222</v>
      </c>
    </row>
    <row r="548" s="541" customFormat="1" spans="1:17">
      <c r="A548" s="982">
        <v>45195</v>
      </c>
      <c r="B548" s="983">
        <v>1098.25</v>
      </c>
      <c r="C548" s="984">
        <v>6835</v>
      </c>
      <c r="D548" s="615">
        <v>420</v>
      </c>
      <c r="E548" s="615">
        <v>3</v>
      </c>
      <c r="F548" s="983">
        <v>29.7</v>
      </c>
      <c r="G548" s="615">
        <v>7</v>
      </c>
      <c r="H548" s="615">
        <v>10</v>
      </c>
      <c r="I548" s="615">
        <v>4</v>
      </c>
      <c r="J548" s="955">
        <f t="shared" si="116"/>
        <v>0.0614484272128749</v>
      </c>
      <c r="K548" s="953">
        <f t="shared" si="117"/>
        <v>2.61488095238095</v>
      </c>
      <c r="L548" s="634">
        <f t="shared" si="118"/>
        <v>0.0270430229911222</v>
      </c>
      <c r="M548" s="955">
        <f t="shared" si="119"/>
        <v>0.00714285714285714</v>
      </c>
      <c r="N548" s="956">
        <f t="shared" si="120"/>
        <v>9.9</v>
      </c>
      <c r="O548" s="956">
        <f t="shared" si="121"/>
        <v>366.083333333333</v>
      </c>
      <c r="P548" s="953">
        <f t="shared" si="122"/>
        <v>156.892857142857</v>
      </c>
      <c r="Q548" s="675">
        <f t="shared" si="115"/>
        <v>64.6029411764706</v>
      </c>
    </row>
    <row r="549" s="541" customFormat="1" spans="1:17">
      <c r="A549" s="982">
        <v>45196</v>
      </c>
      <c r="B549" s="985">
        <v>1201.85</v>
      </c>
      <c r="C549" s="986">
        <v>9339</v>
      </c>
      <c r="D549" s="987">
        <v>473</v>
      </c>
      <c r="E549" s="604">
        <v>1</v>
      </c>
      <c r="F549" s="979">
        <v>9.9</v>
      </c>
      <c r="G549" s="604">
        <v>17</v>
      </c>
      <c r="H549" s="604">
        <v>7</v>
      </c>
      <c r="I549" s="604">
        <v>4</v>
      </c>
      <c r="J549" s="955">
        <f t="shared" si="116"/>
        <v>0.0506478209658422</v>
      </c>
      <c r="K549" s="953">
        <f t="shared" si="117"/>
        <v>2.54090909090909</v>
      </c>
      <c r="L549" s="634">
        <f t="shared" si="118"/>
        <v>0.00823730082789034</v>
      </c>
      <c r="M549" s="955">
        <f t="shared" si="119"/>
        <v>0.00211416490486258</v>
      </c>
      <c r="N549" s="956">
        <f t="shared" si="120"/>
        <v>9.9</v>
      </c>
      <c r="O549" s="956">
        <f t="shared" si="121"/>
        <v>1201.85</v>
      </c>
      <c r="P549" s="953">
        <f t="shared" si="122"/>
        <v>70.6970588235294</v>
      </c>
      <c r="Q549" s="675">
        <f t="shared" si="115"/>
        <v>50.0770833333333</v>
      </c>
    </row>
    <row r="550" s="541" customFormat="1" spans="1:17">
      <c r="A550" s="982">
        <v>45197</v>
      </c>
      <c r="B550" s="988">
        <v>850.47</v>
      </c>
      <c r="C550" s="989">
        <v>7733</v>
      </c>
      <c r="D550" s="989">
        <v>364</v>
      </c>
      <c r="E550" s="604">
        <v>0</v>
      </c>
      <c r="F550" s="979">
        <v>0</v>
      </c>
      <c r="G550" s="604">
        <v>11</v>
      </c>
      <c r="H550" s="604">
        <v>5</v>
      </c>
      <c r="I550" s="604">
        <v>2</v>
      </c>
      <c r="J550" s="955">
        <f t="shared" si="116"/>
        <v>0.0470709944394155</v>
      </c>
      <c r="K550" s="953">
        <f t="shared" si="117"/>
        <v>2.33645604395604</v>
      </c>
      <c r="L550" s="634">
        <f t="shared" si="118"/>
        <v>0</v>
      </c>
      <c r="M550" s="955">
        <f t="shared" si="119"/>
        <v>0</v>
      </c>
      <c r="N550" s="956">
        <f t="shared" si="120"/>
        <v>0</v>
      </c>
      <c r="O550" s="956">
        <f t="shared" si="121"/>
        <v>0</v>
      </c>
      <c r="P550" s="953">
        <f t="shared" si="122"/>
        <v>77.3154545454545</v>
      </c>
      <c r="Q550" s="675">
        <f t="shared" si="115"/>
        <v>53.154375</v>
      </c>
    </row>
    <row r="551" s="541" customFormat="1" spans="1:17">
      <c r="A551" s="982">
        <v>45198</v>
      </c>
      <c r="B551" s="990">
        <v>934.87</v>
      </c>
      <c r="C551" s="991">
        <v>4412</v>
      </c>
      <c r="D551" s="991">
        <v>369</v>
      </c>
      <c r="E551" s="604">
        <v>1</v>
      </c>
      <c r="F551" s="979">
        <v>1950</v>
      </c>
      <c r="G551" s="604">
        <v>6</v>
      </c>
      <c r="H551" s="604">
        <v>12</v>
      </c>
      <c r="I551" s="604">
        <v>6</v>
      </c>
      <c r="J551" s="955">
        <f t="shared" si="116"/>
        <v>0.0836355394378966</v>
      </c>
      <c r="K551" s="953">
        <f t="shared" si="117"/>
        <v>2.53352303523035</v>
      </c>
      <c r="L551" s="634">
        <f t="shared" si="118"/>
        <v>2.08585150876592</v>
      </c>
      <c r="M551" s="955">
        <f t="shared" si="119"/>
        <v>0.002710027100271</v>
      </c>
      <c r="N551" s="956">
        <f t="shared" si="120"/>
        <v>1950</v>
      </c>
      <c r="O551" s="956">
        <f t="shared" si="121"/>
        <v>934.87</v>
      </c>
      <c r="P551" s="953">
        <f t="shared" si="122"/>
        <v>155.811666666667</v>
      </c>
      <c r="Q551" s="675">
        <f t="shared" si="115"/>
        <v>51.9372222222222</v>
      </c>
    </row>
    <row r="552" s="541" customFormat="1" spans="1:17">
      <c r="A552" s="982">
        <v>45199</v>
      </c>
      <c r="B552" s="988">
        <v>930.79</v>
      </c>
      <c r="C552" s="989">
        <v>4654</v>
      </c>
      <c r="D552" s="989">
        <v>441</v>
      </c>
      <c r="E552" s="604">
        <v>5</v>
      </c>
      <c r="F552" s="979">
        <v>19024</v>
      </c>
      <c r="G552" s="604">
        <v>8</v>
      </c>
      <c r="H552" s="604">
        <v>7</v>
      </c>
      <c r="I552" s="604">
        <v>4</v>
      </c>
      <c r="J552" s="955">
        <f t="shared" si="116"/>
        <v>0.0947571981091534</v>
      </c>
      <c r="K552" s="953">
        <f t="shared" si="117"/>
        <v>2.11063492063492</v>
      </c>
      <c r="L552" s="634">
        <f t="shared" si="118"/>
        <v>20.4385521975956</v>
      </c>
      <c r="M552" s="955">
        <f t="shared" si="119"/>
        <v>0.0113378684807256</v>
      </c>
      <c r="N552" s="956">
        <f t="shared" si="120"/>
        <v>3804.8</v>
      </c>
      <c r="O552" s="956">
        <f t="shared" si="121"/>
        <v>186.158</v>
      </c>
      <c r="P552" s="953">
        <f t="shared" si="122"/>
        <v>116.34875</v>
      </c>
      <c r="Q552" s="675">
        <f t="shared" si="115"/>
        <v>62.0526666666667</v>
      </c>
    </row>
    <row r="553" s="541" customFormat="1" spans="1:17">
      <c r="A553" s="982">
        <v>45200</v>
      </c>
      <c r="B553" s="990">
        <v>1067.82</v>
      </c>
      <c r="C553" s="604">
        <v>7702</v>
      </c>
      <c r="D553" s="605">
        <v>425</v>
      </c>
      <c r="E553" s="604">
        <v>0</v>
      </c>
      <c r="F553" s="979">
        <v>0</v>
      </c>
      <c r="G553" s="604">
        <v>11</v>
      </c>
      <c r="H553" s="604">
        <v>11</v>
      </c>
      <c r="I553" s="604">
        <v>5</v>
      </c>
      <c r="J553" s="955">
        <f t="shared" si="116"/>
        <v>0.0551804726045183</v>
      </c>
      <c r="K553" s="953">
        <f t="shared" si="117"/>
        <v>2.51251764705882</v>
      </c>
      <c r="L553" s="634">
        <f t="shared" si="118"/>
        <v>0</v>
      </c>
      <c r="M553" s="955">
        <f t="shared" si="119"/>
        <v>0</v>
      </c>
      <c r="N553" s="956">
        <f t="shared" si="120"/>
        <v>0</v>
      </c>
      <c r="O553" s="956">
        <f t="shared" si="121"/>
        <v>0</v>
      </c>
      <c r="P553" s="953">
        <f t="shared" si="122"/>
        <v>97.0745454545454</v>
      </c>
      <c r="Q553" s="675">
        <f t="shared" si="115"/>
        <v>48.5372727272727</v>
      </c>
    </row>
    <row r="554" s="541" customFormat="1" spans="1:17">
      <c r="A554" s="982">
        <v>45201</v>
      </c>
      <c r="B554" s="988">
        <v>1085.62</v>
      </c>
      <c r="C554" s="602">
        <v>9448</v>
      </c>
      <c r="D554" s="989">
        <v>430</v>
      </c>
      <c r="E554" s="604">
        <v>2</v>
      </c>
      <c r="F554" s="979">
        <v>44682</v>
      </c>
      <c r="G554" s="604">
        <v>7</v>
      </c>
      <c r="H554" s="604">
        <v>4</v>
      </c>
      <c r="I554" s="604">
        <v>1</v>
      </c>
      <c r="J554" s="955">
        <f t="shared" si="116"/>
        <v>0.0455122777307367</v>
      </c>
      <c r="K554" s="953">
        <f t="shared" si="117"/>
        <v>2.5246976744186</v>
      </c>
      <c r="L554" s="634">
        <f t="shared" si="118"/>
        <v>41.1580479357418</v>
      </c>
      <c r="M554" s="955">
        <f t="shared" si="119"/>
        <v>0.00465116279069767</v>
      </c>
      <c r="N554" s="956">
        <f t="shared" si="120"/>
        <v>22341</v>
      </c>
      <c r="O554" s="956">
        <f t="shared" si="121"/>
        <v>542.81</v>
      </c>
      <c r="P554" s="953">
        <f t="shared" si="122"/>
        <v>155.088571428571</v>
      </c>
      <c r="Q554" s="675">
        <f t="shared" si="115"/>
        <v>98.6927272727273</v>
      </c>
    </row>
    <row r="555" s="541" customFormat="1" spans="1:17">
      <c r="A555" s="982">
        <v>45202</v>
      </c>
      <c r="B555" s="988">
        <v>1111.04</v>
      </c>
      <c r="C555" s="602">
        <v>12012</v>
      </c>
      <c r="D555" s="989">
        <v>439</v>
      </c>
      <c r="E555" s="604">
        <v>0</v>
      </c>
      <c r="F555" s="979">
        <v>0</v>
      </c>
      <c r="G555" s="604">
        <v>9</v>
      </c>
      <c r="H555" s="604">
        <v>5</v>
      </c>
      <c r="I555" s="604">
        <v>2</v>
      </c>
      <c r="J555" s="955">
        <f t="shared" si="116"/>
        <v>0.0365467865467865</v>
      </c>
      <c r="K555" s="953">
        <f t="shared" si="117"/>
        <v>2.53084282460137</v>
      </c>
      <c r="L555" s="634">
        <f t="shared" si="118"/>
        <v>0</v>
      </c>
      <c r="M555" s="955">
        <f t="shared" si="119"/>
        <v>0</v>
      </c>
      <c r="N555" s="956">
        <f t="shared" si="120"/>
        <v>0</v>
      </c>
      <c r="O555" s="956">
        <f t="shared" si="121"/>
        <v>0</v>
      </c>
      <c r="P555" s="953">
        <f t="shared" si="122"/>
        <v>123.448888888889</v>
      </c>
      <c r="Q555" s="675">
        <f t="shared" si="115"/>
        <v>79.36</v>
      </c>
    </row>
    <row r="556" s="541" customFormat="1" spans="1:17">
      <c r="A556" s="982">
        <v>45203</v>
      </c>
      <c r="B556" s="988">
        <v>1341.5</v>
      </c>
      <c r="C556" s="602">
        <v>11444</v>
      </c>
      <c r="D556" s="989">
        <v>599</v>
      </c>
      <c r="E556" s="604">
        <v>1</v>
      </c>
      <c r="F556" s="979">
        <v>9.9</v>
      </c>
      <c r="G556" s="604">
        <v>16</v>
      </c>
      <c r="H556" s="604">
        <v>6</v>
      </c>
      <c r="I556" s="604">
        <v>2</v>
      </c>
      <c r="J556" s="955">
        <f t="shared" si="116"/>
        <v>0.0523418385180007</v>
      </c>
      <c r="K556" s="953">
        <f t="shared" si="117"/>
        <v>2.23956594323873</v>
      </c>
      <c r="L556" s="634">
        <f t="shared" si="118"/>
        <v>0.00737979873276183</v>
      </c>
      <c r="M556" s="955">
        <f t="shared" si="119"/>
        <v>0.00166944908180301</v>
      </c>
      <c r="N556" s="956">
        <f t="shared" si="120"/>
        <v>9.9</v>
      </c>
      <c r="O556" s="956">
        <f t="shared" si="121"/>
        <v>1341.5</v>
      </c>
      <c r="P556" s="953">
        <f t="shared" si="122"/>
        <v>83.84375</v>
      </c>
      <c r="Q556" s="675">
        <f t="shared" si="115"/>
        <v>60.9772727272727</v>
      </c>
    </row>
    <row r="557" s="541" customFormat="1" spans="1:17">
      <c r="A557" s="982">
        <v>45204</v>
      </c>
      <c r="B557" s="992">
        <v>1250.2</v>
      </c>
      <c r="C557" s="602">
        <v>9497</v>
      </c>
      <c r="D557" s="989">
        <v>529</v>
      </c>
      <c r="E557" s="604">
        <v>1</v>
      </c>
      <c r="F557" s="979">
        <v>2800</v>
      </c>
      <c r="G557" s="604">
        <v>11</v>
      </c>
      <c r="H557" s="604">
        <v>5</v>
      </c>
      <c r="I557" s="604">
        <v>4</v>
      </c>
      <c r="J557" s="955">
        <f t="shared" si="116"/>
        <v>0.0557018005686006</v>
      </c>
      <c r="K557" s="953">
        <f t="shared" si="117"/>
        <v>2.36332703213611</v>
      </c>
      <c r="L557" s="634">
        <f t="shared" si="118"/>
        <v>2.23964165733483</v>
      </c>
      <c r="M557" s="955">
        <f t="shared" si="119"/>
        <v>0.00189035916824197</v>
      </c>
      <c r="N557" s="956">
        <f t="shared" si="120"/>
        <v>2800</v>
      </c>
      <c r="O557" s="956">
        <f t="shared" si="121"/>
        <v>1250.2</v>
      </c>
      <c r="P557" s="953">
        <f t="shared" si="122"/>
        <v>113.654545454545</v>
      </c>
      <c r="Q557" s="675">
        <f t="shared" si="115"/>
        <v>78.1375</v>
      </c>
    </row>
    <row r="558" s="541" customFormat="1" spans="1:17">
      <c r="A558" s="982">
        <v>45205</v>
      </c>
      <c r="B558" s="988">
        <v>1369.6</v>
      </c>
      <c r="C558" s="602">
        <v>9711</v>
      </c>
      <c r="D558" s="606">
        <v>601</v>
      </c>
      <c r="E558" s="604">
        <v>0</v>
      </c>
      <c r="F558" s="979">
        <v>0</v>
      </c>
      <c r="G558" s="604">
        <v>21</v>
      </c>
      <c r="H558" s="604">
        <v>13</v>
      </c>
      <c r="I558" s="604">
        <v>5</v>
      </c>
      <c r="J558" s="955">
        <f t="shared" si="116"/>
        <v>0.0618885799608691</v>
      </c>
      <c r="K558" s="953">
        <f t="shared" si="117"/>
        <v>2.27886855241265</v>
      </c>
      <c r="L558" s="634">
        <f t="shared" si="118"/>
        <v>0</v>
      </c>
      <c r="M558" s="955">
        <f t="shared" si="119"/>
        <v>0</v>
      </c>
      <c r="N558" s="956">
        <f t="shared" si="120"/>
        <v>0</v>
      </c>
      <c r="O558" s="956">
        <f t="shared" si="121"/>
        <v>0</v>
      </c>
      <c r="P558" s="953">
        <f t="shared" si="122"/>
        <v>65.2190476190476</v>
      </c>
      <c r="Q558" s="675">
        <f t="shared" si="115"/>
        <v>40.2823529411765</v>
      </c>
    </row>
    <row r="559" s="541" customFormat="1" spans="1:17">
      <c r="A559" s="982">
        <v>45206</v>
      </c>
      <c r="B559" s="988">
        <v>1378.33</v>
      </c>
      <c r="C559" s="602">
        <v>8430</v>
      </c>
      <c r="D559" s="606">
        <v>537</v>
      </c>
      <c r="E559" s="604">
        <v>1</v>
      </c>
      <c r="F559" s="979">
        <v>9.9</v>
      </c>
      <c r="G559" s="604">
        <v>14</v>
      </c>
      <c r="H559" s="604">
        <v>8</v>
      </c>
      <c r="I559" s="604">
        <v>6</v>
      </c>
      <c r="J559" s="955">
        <f t="shared" si="116"/>
        <v>0.0637010676156584</v>
      </c>
      <c r="K559" s="953">
        <f t="shared" si="117"/>
        <v>2.56672253258845</v>
      </c>
      <c r="L559" s="634">
        <f t="shared" si="118"/>
        <v>0.00718260503652971</v>
      </c>
      <c r="M559" s="955">
        <f t="shared" si="119"/>
        <v>0.00186219739292365</v>
      </c>
      <c r="N559" s="956">
        <f t="shared" si="120"/>
        <v>9.9</v>
      </c>
      <c r="O559" s="956">
        <f t="shared" si="121"/>
        <v>1378.33</v>
      </c>
      <c r="P559" s="953">
        <f t="shared" si="122"/>
        <v>98.4521428571428</v>
      </c>
      <c r="Q559" s="675">
        <f t="shared" si="115"/>
        <v>62.6513636363636</v>
      </c>
    </row>
    <row r="560" s="541" customFormat="1" spans="1:17">
      <c r="A560" s="982">
        <v>45207</v>
      </c>
      <c r="B560" s="988">
        <v>1374.33</v>
      </c>
      <c r="C560" s="989">
        <v>8291</v>
      </c>
      <c r="D560" s="993">
        <v>533</v>
      </c>
      <c r="E560" s="604">
        <v>1</v>
      </c>
      <c r="F560" s="979">
        <v>3000</v>
      </c>
      <c r="G560" s="604">
        <v>10</v>
      </c>
      <c r="H560" s="604">
        <v>15</v>
      </c>
      <c r="I560" s="604">
        <v>6</v>
      </c>
      <c r="J560" s="955">
        <f t="shared" si="116"/>
        <v>0.0642865758050899</v>
      </c>
      <c r="K560" s="953">
        <f t="shared" si="117"/>
        <v>2.57848030018762</v>
      </c>
      <c r="L560" s="634">
        <f t="shared" si="118"/>
        <v>2.18288184060597</v>
      </c>
      <c r="M560" s="955">
        <f t="shared" si="119"/>
        <v>0.00187617260787992</v>
      </c>
      <c r="N560" s="956">
        <f t="shared" si="120"/>
        <v>3000</v>
      </c>
      <c r="O560" s="956">
        <f t="shared" si="121"/>
        <v>1374.33</v>
      </c>
      <c r="P560" s="953">
        <f t="shared" si="122"/>
        <v>137.433</v>
      </c>
      <c r="Q560" s="675">
        <f t="shared" si="115"/>
        <v>54.9732</v>
      </c>
    </row>
    <row r="561" s="541" customFormat="1" spans="1:17">
      <c r="A561" s="982">
        <v>45208</v>
      </c>
      <c r="B561" s="992">
        <v>1359.15</v>
      </c>
      <c r="C561" s="989">
        <v>9252</v>
      </c>
      <c r="D561" s="993">
        <v>543</v>
      </c>
      <c r="E561" s="604">
        <v>2</v>
      </c>
      <c r="F561" s="979">
        <v>3009</v>
      </c>
      <c r="G561" s="604">
        <v>15</v>
      </c>
      <c r="H561" s="604">
        <v>12</v>
      </c>
      <c r="I561" s="604">
        <v>5</v>
      </c>
      <c r="J561" s="955">
        <f t="shared" si="116"/>
        <v>0.0586900129701686</v>
      </c>
      <c r="K561" s="953">
        <f t="shared" si="117"/>
        <v>2.50303867403315</v>
      </c>
      <c r="L561" s="634">
        <f t="shared" si="118"/>
        <v>2.21388367729831</v>
      </c>
      <c r="M561" s="955">
        <f t="shared" si="119"/>
        <v>0.00368324125230203</v>
      </c>
      <c r="N561" s="956">
        <f t="shared" si="120"/>
        <v>1504.5</v>
      </c>
      <c r="O561" s="956">
        <f t="shared" si="121"/>
        <v>679.575</v>
      </c>
      <c r="P561" s="953">
        <f t="shared" si="122"/>
        <v>90.61</v>
      </c>
      <c r="Q561" s="675">
        <f t="shared" si="115"/>
        <v>50.3388888888889</v>
      </c>
    </row>
    <row r="562" s="541" customFormat="1" spans="1:17">
      <c r="A562" s="982">
        <v>45209</v>
      </c>
      <c r="B562" s="994">
        <v>1469.09</v>
      </c>
      <c r="C562" s="619">
        <v>9461</v>
      </c>
      <c r="D562" s="619">
        <v>605</v>
      </c>
      <c r="E562" s="995">
        <v>1</v>
      </c>
      <c r="F562" s="996">
        <v>48262</v>
      </c>
      <c r="G562" s="995">
        <v>16</v>
      </c>
      <c r="H562" s="995">
        <v>12</v>
      </c>
      <c r="I562" s="995">
        <v>5</v>
      </c>
      <c r="J562" s="955">
        <f t="shared" si="116"/>
        <v>0.0639467286756157</v>
      </c>
      <c r="K562" s="953">
        <f t="shared" si="117"/>
        <v>2.4282479338843</v>
      </c>
      <c r="L562" s="634">
        <f t="shared" si="118"/>
        <v>32.8516292398696</v>
      </c>
      <c r="M562" s="955">
        <f t="shared" si="119"/>
        <v>0.00165289256198347</v>
      </c>
      <c r="N562" s="956">
        <f t="shared" si="120"/>
        <v>48262</v>
      </c>
      <c r="O562" s="956">
        <f t="shared" si="121"/>
        <v>1469.09</v>
      </c>
      <c r="P562" s="953">
        <f t="shared" si="122"/>
        <v>91.818125</v>
      </c>
      <c r="Q562" s="675">
        <f t="shared" si="115"/>
        <v>52.4675</v>
      </c>
    </row>
    <row r="563" s="541" customFormat="1" spans="1:17">
      <c r="A563" s="982">
        <v>45210</v>
      </c>
      <c r="B563" s="997">
        <v>1470.94</v>
      </c>
      <c r="C563" s="611">
        <v>10217</v>
      </c>
      <c r="D563" s="611">
        <v>607</v>
      </c>
      <c r="E563" s="604">
        <v>4</v>
      </c>
      <c r="F563" s="979">
        <v>39.6</v>
      </c>
      <c r="G563" s="604">
        <v>19</v>
      </c>
      <c r="H563" s="604">
        <v>9</v>
      </c>
      <c r="I563" s="604">
        <v>5</v>
      </c>
      <c r="J563" s="955">
        <f t="shared" si="116"/>
        <v>0.0594107859449936</v>
      </c>
      <c r="K563" s="953">
        <f t="shared" si="117"/>
        <v>2.42329489291598</v>
      </c>
      <c r="L563" s="634">
        <f t="shared" si="118"/>
        <v>0.0269215603627612</v>
      </c>
      <c r="M563" s="955">
        <f t="shared" si="119"/>
        <v>0.00658978583196046</v>
      </c>
      <c r="N563" s="956">
        <f t="shared" si="120"/>
        <v>9.9</v>
      </c>
      <c r="O563" s="956">
        <f t="shared" si="121"/>
        <v>367.735</v>
      </c>
      <c r="P563" s="953">
        <f t="shared" si="122"/>
        <v>77.4178947368421</v>
      </c>
      <c r="Q563" s="675">
        <f t="shared" si="115"/>
        <v>52.5335714285714</v>
      </c>
    </row>
    <row r="564" s="541" customFormat="1" spans="1:17">
      <c r="A564" s="982">
        <v>45211</v>
      </c>
      <c r="B564" s="997">
        <v>1368.39</v>
      </c>
      <c r="C564" s="611">
        <v>6461</v>
      </c>
      <c r="D564" s="611">
        <v>550</v>
      </c>
      <c r="E564" s="604">
        <v>2</v>
      </c>
      <c r="F564" s="979">
        <v>11892.9</v>
      </c>
      <c r="G564" s="604">
        <v>19</v>
      </c>
      <c r="H564" s="604">
        <v>11</v>
      </c>
      <c r="I564" s="604">
        <v>5</v>
      </c>
      <c r="J564" s="955">
        <f t="shared" si="116"/>
        <v>0.0851261414641696</v>
      </c>
      <c r="K564" s="953">
        <f t="shared" si="117"/>
        <v>2.48798181818182</v>
      </c>
      <c r="L564" s="634">
        <f t="shared" si="118"/>
        <v>8.69116260715147</v>
      </c>
      <c r="M564" s="955">
        <f t="shared" si="119"/>
        <v>0.00363636363636364</v>
      </c>
      <c r="N564" s="956">
        <f t="shared" si="120"/>
        <v>5946.45</v>
      </c>
      <c r="O564" s="956">
        <f t="shared" si="121"/>
        <v>684.195</v>
      </c>
      <c r="P564" s="953">
        <f t="shared" si="122"/>
        <v>72.0205263157895</v>
      </c>
      <c r="Q564" s="675">
        <f t="shared" si="115"/>
        <v>45.613</v>
      </c>
    </row>
    <row r="565" s="541" customFormat="1" spans="1:17">
      <c r="A565" s="982">
        <v>45212</v>
      </c>
      <c r="B565" s="998">
        <v>907.12</v>
      </c>
      <c r="C565" s="619">
        <v>3561</v>
      </c>
      <c r="D565" s="619">
        <v>454</v>
      </c>
      <c r="E565" s="999">
        <v>0</v>
      </c>
      <c r="F565" s="979">
        <v>0</v>
      </c>
      <c r="G565" s="604">
        <v>14</v>
      </c>
      <c r="H565" s="604">
        <v>8</v>
      </c>
      <c r="I565" s="604">
        <v>3</v>
      </c>
      <c r="J565" s="955">
        <f t="shared" si="116"/>
        <v>0.127492277450154</v>
      </c>
      <c r="K565" s="953">
        <f t="shared" si="117"/>
        <v>1.99806167400881</v>
      </c>
      <c r="L565" s="634">
        <f t="shared" si="118"/>
        <v>0</v>
      </c>
      <c r="M565" s="955">
        <f t="shared" si="119"/>
        <v>0</v>
      </c>
      <c r="N565" s="956">
        <f t="shared" si="120"/>
        <v>0</v>
      </c>
      <c r="O565" s="956">
        <f t="shared" si="121"/>
        <v>0</v>
      </c>
      <c r="P565" s="953">
        <f t="shared" si="122"/>
        <v>64.7942857142857</v>
      </c>
      <c r="Q565" s="675">
        <f t="shared" si="115"/>
        <v>41.2327272727273</v>
      </c>
    </row>
    <row r="566" s="541" customFormat="1" spans="1:17">
      <c r="A566" s="982">
        <v>45213</v>
      </c>
      <c r="B566" s="997">
        <v>835.85</v>
      </c>
      <c r="C566" s="611">
        <v>4354</v>
      </c>
      <c r="D566" s="611">
        <v>504</v>
      </c>
      <c r="E566" s="589">
        <v>1</v>
      </c>
      <c r="F566" s="708">
        <v>25614</v>
      </c>
      <c r="G566" s="589">
        <v>18</v>
      </c>
      <c r="H566" s="589">
        <v>7</v>
      </c>
      <c r="I566" s="589">
        <v>1</v>
      </c>
      <c r="J566" s="955">
        <f t="shared" si="116"/>
        <v>0.115755627009646</v>
      </c>
      <c r="K566" s="953">
        <f t="shared" si="117"/>
        <v>1.65843253968254</v>
      </c>
      <c r="L566" s="634">
        <f t="shared" si="118"/>
        <v>30.6442543518574</v>
      </c>
      <c r="M566" s="955">
        <f t="shared" si="119"/>
        <v>0.00198412698412698</v>
      </c>
      <c r="N566" s="956">
        <f t="shared" si="120"/>
        <v>25614</v>
      </c>
      <c r="O566" s="956">
        <f t="shared" si="121"/>
        <v>835.85</v>
      </c>
      <c r="P566" s="953">
        <f t="shared" si="122"/>
        <v>46.4361111111111</v>
      </c>
      <c r="Q566" s="675">
        <f t="shared" si="115"/>
        <v>33.434</v>
      </c>
    </row>
    <row r="567" s="541" customFormat="1" spans="1:17">
      <c r="A567" s="982">
        <v>45214</v>
      </c>
      <c r="B567" s="997">
        <v>895.32</v>
      </c>
      <c r="C567" s="611">
        <v>4354</v>
      </c>
      <c r="D567" s="611">
        <v>466</v>
      </c>
      <c r="E567" s="589">
        <v>0</v>
      </c>
      <c r="F567" s="708">
        <v>0</v>
      </c>
      <c r="G567" s="589">
        <v>16</v>
      </c>
      <c r="H567" s="589">
        <v>8</v>
      </c>
      <c r="I567" s="589">
        <v>4</v>
      </c>
      <c r="J567" s="955">
        <f t="shared" si="116"/>
        <v>0.1070280202113</v>
      </c>
      <c r="K567" s="953">
        <f t="shared" si="117"/>
        <v>1.92128755364807</v>
      </c>
      <c r="L567" s="634">
        <f t="shared" si="118"/>
        <v>0</v>
      </c>
      <c r="M567" s="955">
        <f t="shared" si="119"/>
        <v>0</v>
      </c>
      <c r="N567" s="956">
        <f t="shared" si="120"/>
        <v>0</v>
      </c>
      <c r="O567" s="956">
        <f t="shared" si="121"/>
        <v>0</v>
      </c>
      <c r="P567" s="953">
        <f t="shared" si="122"/>
        <v>55.9575</v>
      </c>
      <c r="Q567" s="675">
        <f t="shared" si="115"/>
        <v>37.305</v>
      </c>
    </row>
    <row r="568" s="541" customFormat="1" spans="1:17">
      <c r="A568" s="982">
        <v>45215</v>
      </c>
      <c r="B568" s="1000">
        <v>1241.53</v>
      </c>
      <c r="C568" s="593">
        <v>4666</v>
      </c>
      <c r="D568" s="593">
        <v>585</v>
      </c>
      <c r="E568" s="589">
        <v>0</v>
      </c>
      <c r="F568" s="708">
        <v>0</v>
      </c>
      <c r="G568" s="589">
        <v>44</v>
      </c>
      <c r="H568" s="589">
        <v>19</v>
      </c>
      <c r="I568" s="589">
        <v>8</v>
      </c>
      <c r="J568" s="955">
        <f t="shared" si="116"/>
        <v>0.125375053579083</v>
      </c>
      <c r="K568" s="953">
        <f t="shared" si="117"/>
        <v>2.1222735042735</v>
      </c>
      <c r="L568" s="634">
        <f t="shared" si="118"/>
        <v>0</v>
      </c>
      <c r="M568" s="955">
        <f t="shared" si="119"/>
        <v>0</v>
      </c>
      <c r="N568" s="956">
        <f t="shared" si="120"/>
        <v>0</v>
      </c>
      <c r="O568" s="956">
        <f t="shared" si="121"/>
        <v>0</v>
      </c>
      <c r="P568" s="953">
        <f t="shared" si="122"/>
        <v>28.2165909090909</v>
      </c>
      <c r="Q568" s="675">
        <f t="shared" si="115"/>
        <v>19.7068253968254</v>
      </c>
    </row>
    <row r="569" s="541" customFormat="1" spans="1:17">
      <c r="A569" s="982">
        <v>45216</v>
      </c>
      <c r="B569" s="708">
        <v>1230</v>
      </c>
      <c r="C569" s="589">
        <v>3063</v>
      </c>
      <c r="D569" s="589">
        <v>540</v>
      </c>
      <c r="E569" s="589">
        <v>0</v>
      </c>
      <c r="F569" s="708">
        <v>0</v>
      </c>
      <c r="G569" s="589">
        <v>33</v>
      </c>
      <c r="H569" s="589">
        <v>10</v>
      </c>
      <c r="I569" s="589">
        <v>2</v>
      </c>
      <c r="J569" s="955">
        <f t="shared" si="116"/>
        <v>0.176297747306562</v>
      </c>
      <c r="K569" s="953">
        <f t="shared" si="117"/>
        <v>2.27777777777778</v>
      </c>
      <c r="L569" s="634">
        <f t="shared" si="118"/>
        <v>0</v>
      </c>
      <c r="M569" s="955">
        <f t="shared" si="119"/>
        <v>0</v>
      </c>
      <c r="N569" s="956">
        <f t="shared" si="120"/>
        <v>0</v>
      </c>
      <c r="O569" s="956">
        <f t="shared" si="121"/>
        <v>0</v>
      </c>
      <c r="P569" s="953">
        <f t="shared" si="122"/>
        <v>37.2727272727273</v>
      </c>
      <c r="Q569" s="675">
        <f t="shared" si="115"/>
        <v>28.6046511627907</v>
      </c>
    </row>
    <row r="570" s="541" customFormat="1" spans="1:17">
      <c r="A570" s="982">
        <v>45217</v>
      </c>
      <c r="B570" s="1000">
        <v>1388.99</v>
      </c>
      <c r="C570" s="593">
        <v>3107</v>
      </c>
      <c r="D570" s="593">
        <v>646</v>
      </c>
      <c r="E570" s="589">
        <v>0</v>
      </c>
      <c r="F570" s="708">
        <v>0</v>
      </c>
      <c r="G570" s="589">
        <v>37</v>
      </c>
      <c r="H570" s="589">
        <v>24</v>
      </c>
      <c r="I570" s="589">
        <v>12</v>
      </c>
      <c r="J570" s="955">
        <f t="shared" si="116"/>
        <v>0.207917605407145</v>
      </c>
      <c r="K570" s="953">
        <f t="shared" si="117"/>
        <v>2.15013931888545</v>
      </c>
      <c r="L570" s="634">
        <f t="shared" si="118"/>
        <v>0</v>
      </c>
      <c r="M570" s="955">
        <f t="shared" si="119"/>
        <v>0</v>
      </c>
      <c r="N570" s="956">
        <f t="shared" si="120"/>
        <v>0</v>
      </c>
      <c r="O570" s="956">
        <f t="shared" si="121"/>
        <v>0</v>
      </c>
      <c r="P570" s="953">
        <f t="shared" si="122"/>
        <v>37.5402702702703</v>
      </c>
      <c r="Q570" s="675">
        <f t="shared" si="115"/>
        <v>22.7703278688525</v>
      </c>
    </row>
    <row r="571" s="541" customFormat="1" spans="1:17">
      <c r="A571" s="982">
        <v>45218</v>
      </c>
      <c r="B571" s="1000">
        <v>1489.2</v>
      </c>
      <c r="C571" s="593">
        <v>4569</v>
      </c>
      <c r="D571" s="593">
        <v>590</v>
      </c>
      <c r="E571" s="589">
        <v>0</v>
      </c>
      <c r="F571" s="708">
        <v>0</v>
      </c>
      <c r="G571" s="589">
        <v>46</v>
      </c>
      <c r="H571" s="589">
        <v>24</v>
      </c>
      <c r="I571" s="589">
        <v>11</v>
      </c>
      <c r="J571" s="955">
        <f t="shared" si="116"/>
        <v>0.129131100897352</v>
      </c>
      <c r="K571" s="953">
        <f t="shared" si="117"/>
        <v>2.52406779661017</v>
      </c>
      <c r="L571" s="634">
        <f t="shared" si="118"/>
        <v>0</v>
      </c>
      <c r="M571" s="955">
        <f t="shared" si="119"/>
        <v>0</v>
      </c>
      <c r="N571" s="956">
        <f t="shared" si="120"/>
        <v>0</v>
      </c>
      <c r="O571" s="956">
        <f t="shared" si="121"/>
        <v>0</v>
      </c>
      <c r="P571" s="953">
        <f t="shared" si="122"/>
        <v>32.3739130434783</v>
      </c>
      <c r="Q571" s="675">
        <f t="shared" si="115"/>
        <v>21.2742857142857</v>
      </c>
    </row>
    <row r="572" s="541" customFormat="1" spans="1:17">
      <c r="A572" s="982">
        <v>45219</v>
      </c>
      <c r="B572" s="997">
        <v>1092.9</v>
      </c>
      <c r="C572" s="611">
        <v>3795</v>
      </c>
      <c r="D572" s="611">
        <v>472</v>
      </c>
      <c r="E572" s="589">
        <v>1</v>
      </c>
      <c r="F572" s="1001">
        <v>13176</v>
      </c>
      <c r="G572" s="589">
        <v>38</v>
      </c>
      <c r="H572" s="589">
        <v>14</v>
      </c>
      <c r="I572" s="589">
        <v>6</v>
      </c>
      <c r="J572" s="955">
        <f t="shared" si="116"/>
        <v>0.12437417654809</v>
      </c>
      <c r="K572" s="953">
        <f t="shared" si="117"/>
        <v>2.31546610169492</v>
      </c>
      <c r="L572" s="634">
        <f t="shared" si="118"/>
        <v>12.0559978040077</v>
      </c>
      <c r="M572" s="955">
        <f t="shared" si="119"/>
        <v>0.00211864406779661</v>
      </c>
      <c r="N572" s="956">
        <f t="shared" si="120"/>
        <v>13176</v>
      </c>
      <c r="O572" s="956">
        <f t="shared" si="121"/>
        <v>1092.9</v>
      </c>
      <c r="P572" s="953">
        <f t="shared" si="122"/>
        <v>28.7605263157895</v>
      </c>
      <c r="Q572" s="675">
        <f t="shared" si="115"/>
        <v>21.0173076923077</v>
      </c>
    </row>
    <row r="573" s="541" customFormat="1" spans="1:17">
      <c r="A573" s="982">
        <v>45220</v>
      </c>
      <c r="B573" s="997">
        <v>1263.09</v>
      </c>
      <c r="C573" s="611">
        <v>3723</v>
      </c>
      <c r="D573" s="611">
        <v>537</v>
      </c>
      <c r="E573" s="589">
        <v>0</v>
      </c>
      <c r="F573" s="1001">
        <v>0</v>
      </c>
      <c r="G573" s="589">
        <v>32</v>
      </c>
      <c r="H573" s="589">
        <v>14</v>
      </c>
      <c r="I573" s="589">
        <v>8</v>
      </c>
      <c r="J573" s="955">
        <f t="shared" si="116"/>
        <v>0.144238517324738</v>
      </c>
      <c r="K573" s="953">
        <f t="shared" si="117"/>
        <v>2.35212290502793</v>
      </c>
      <c r="L573" s="634">
        <f t="shared" si="118"/>
        <v>0</v>
      </c>
      <c r="M573" s="955">
        <f t="shared" si="119"/>
        <v>0</v>
      </c>
      <c r="N573" s="956">
        <f t="shared" si="120"/>
        <v>0</v>
      </c>
      <c r="O573" s="956">
        <f t="shared" si="121"/>
        <v>0</v>
      </c>
      <c r="P573" s="953">
        <f t="shared" si="122"/>
        <v>39.4715625</v>
      </c>
      <c r="Q573" s="675">
        <f t="shared" si="115"/>
        <v>27.4584782608696</v>
      </c>
    </row>
    <row r="574" s="541" customFormat="1" spans="1:17">
      <c r="A574" s="982">
        <v>45221</v>
      </c>
      <c r="B574" s="997">
        <v>1390.1</v>
      </c>
      <c r="C574" s="611">
        <v>3946</v>
      </c>
      <c r="D574" s="611">
        <v>587</v>
      </c>
      <c r="E574" s="589">
        <v>0</v>
      </c>
      <c r="F574" s="1001">
        <v>0</v>
      </c>
      <c r="G574" s="589">
        <v>38</v>
      </c>
      <c r="H574" s="589">
        <v>13</v>
      </c>
      <c r="I574" s="589">
        <v>9</v>
      </c>
      <c r="J574" s="955">
        <f t="shared" si="116"/>
        <v>0.148758236188545</v>
      </c>
      <c r="K574" s="953">
        <f t="shared" si="117"/>
        <v>2.36814310051107</v>
      </c>
      <c r="L574" s="634">
        <f t="shared" si="118"/>
        <v>0</v>
      </c>
      <c r="M574" s="955">
        <f t="shared" si="119"/>
        <v>0</v>
      </c>
      <c r="N574" s="956">
        <f t="shared" si="120"/>
        <v>0</v>
      </c>
      <c r="O574" s="956">
        <f t="shared" si="121"/>
        <v>0</v>
      </c>
      <c r="P574" s="953">
        <f t="shared" si="122"/>
        <v>36.5815789473684</v>
      </c>
      <c r="Q574" s="675">
        <f t="shared" si="115"/>
        <v>27.256862745098</v>
      </c>
    </row>
    <row r="575" s="541" customFormat="1" spans="1:17">
      <c r="A575" s="982">
        <v>45222</v>
      </c>
      <c r="B575" s="1000">
        <v>1335.95</v>
      </c>
      <c r="C575" s="593">
        <v>4284</v>
      </c>
      <c r="D575" s="593">
        <v>512</v>
      </c>
      <c r="E575" s="589">
        <v>1</v>
      </c>
      <c r="F575" s="708">
        <v>25962</v>
      </c>
      <c r="G575" s="589">
        <v>31</v>
      </c>
      <c r="H575" s="589">
        <v>13</v>
      </c>
      <c r="I575" s="589">
        <v>9</v>
      </c>
      <c r="J575" s="955">
        <f t="shared" si="116"/>
        <v>0.119514472455649</v>
      </c>
      <c r="K575" s="953">
        <f t="shared" si="117"/>
        <v>2.60927734375</v>
      </c>
      <c r="L575" s="634">
        <f t="shared" si="118"/>
        <v>19.433362027022</v>
      </c>
      <c r="M575" s="955">
        <f t="shared" si="119"/>
        <v>0.001953125</v>
      </c>
      <c r="N575" s="956">
        <f t="shared" si="120"/>
        <v>25962</v>
      </c>
      <c r="O575" s="956">
        <f t="shared" si="121"/>
        <v>1335.95</v>
      </c>
      <c r="P575" s="953">
        <f t="shared" si="122"/>
        <v>43.0951612903226</v>
      </c>
      <c r="Q575" s="675">
        <f t="shared" si="115"/>
        <v>30.3625</v>
      </c>
    </row>
    <row r="576" s="541" customFormat="1" ht="15" spans="1:17">
      <c r="A576" s="982">
        <v>45223</v>
      </c>
      <c r="B576" s="1002">
        <v>2977.19</v>
      </c>
      <c r="C576" s="1003">
        <v>5946</v>
      </c>
      <c r="D576" s="589">
        <v>896</v>
      </c>
      <c r="E576" s="589">
        <v>16</v>
      </c>
      <c r="F576" s="1004">
        <f>121296+97076</f>
        <v>218372</v>
      </c>
      <c r="G576" s="589">
        <v>57</v>
      </c>
      <c r="H576" s="589">
        <v>49</v>
      </c>
      <c r="I576" s="589">
        <v>31</v>
      </c>
      <c r="J576" s="955">
        <f t="shared" ref="J576:J613" si="123">D576/C576</f>
        <v>0.150689539186007</v>
      </c>
      <c r="K576" s="953">
        <f t="shared" ref="K576:K613" si="124">B576/D576</f>
        <v>3.32275669642857</v>
      </c>
      <c r="L576" s="634">
        <f t="shared" ref="L576:L613" si="125">F576/B576</f>
        <v>73.3483586872185</v>
      </c>
      <c r="M576" s="955">
        <f t="shared" ref="M576:M613" si="126">E576/D576</f>
        <v>0.0178571428571429</v>
      </c>
      <c r="N576" s="956">
        <f t="shared" si="120"/>
        <v>13648.25</v>
      </c>
      <c r="O576" s="956">
        <f t="shared" si="121"/>
        <v>186.074375</v>
      </c>
      <c r="P576" s="953">
        <f t="shared" si="122"/>
        <v>52.2314035087719</v>
      </c>
      <c r="Q576" s="675">
        <f t="shared" si="115"/>
        <v>28.0866981132075</v>
      </c>
    </row>
    <row r="577" s="541" customFormat="1" ht="15" spans="1:17">
      <c r="A577" s="982">
        <v>45224</v>
      </c>
      <c r="B577" s="1005">
        <v>3045.95</v>
      </c>
      <c r="C577" s="1003">
        <v>6426</v>
      </c>
      <c r="D577" s="589">
        <v>767</v>
      </c>
      <c r="E577" s="589">
        <v>14</v>
      </c>
      <c r="F577" s="1004">
        <f>82579+83179</f>
        <v>165758</v>
      </c>
      <c r="G577" s="589">
        <v>51</v>
      </c>
      <c r="H577" s="589">
        <v>29</v>
      </c>
      <c r="I577" s="589">
        <v>16</v>
      </c>
      <c r="J577" s="955">
        <f t="shared" si="123"/>
        <v>0.119358854652972</v>
      </c>
      <c r="K577" s="953">
        <f t="shared" si="124"/>
        <v>3.97125162972621</v>
      </c>
      <c r="L577" s="634">
        <f t="shared" si="125"/>
        <v>54.4191467358295</v>
      </c>
      <c r="M577" s="955">
        <f t="shared" si="126"/>
        <v>0.0182529335071708</v>
      </c>
      <c r="N577" s="956">
        <f t="shared" si="120"/>
        <v>11839.8571428571</v>
      </c>
      <c r="O577" s="956">
        <f t="shared" si="121"/>
        <v>217.567857142857</v>
      </c>
      <c r="P577" s="953">
        <f t="shared" ref="P577:P613" si="127">B577/G577</f>
        <v>59.7245098039216</v>
      </c>
      <c r="Q577" s="675">
        <f t="shared" si="115"/>
        <v>38.074375</v>
      </c>
    </row>
    <row r="578" s="541" customFormat="1" ht="15" spans="1:17">
      <c r="A578" s="982">
        <v>45225</v>
      </c>
      <c r="B578" s="1005">
        <v>2480.84</v>
      </c>
      <c r="C578" s="1003">
        <v>5143</v>
      </c>
      <c r="D578" s="589">
        <v>670</v>
      </c>
      <c r="E578" s="589">
        <v>11</v>
      </c>
      <c r="F578" s="1004">
        <f>63121+52187</f>
        <v>115308</v>
      </c>
      <c r="G578" s="589">
        <v>25</v>
      </c>
      <c r="H578" s="589">
        <v>41</v>
      </c>
      <c r="I578" s="589">
        <v>24</v>
      </c>
      <c r="J578" s="955">
        <f t="shared" si="123"/>
        <v>0.130274159051137</v>
      </c>
      <c r="K578" s="953">
        <f t="shared" si="124"/>
        <v>3.70274626865672</v>
      </c>
      <c r="L578" s="634">
        <f t="shared" si="125"/>
        <v>46.4794182615566</v>
      </c>
      <c r="M578" s="955">
        <f t="shared" si="126"/>
        <v>0.0164179104477612</v>
      </c>
      <c r="N578" s="956">
        <f t="shared" si="120"/>
        <v>10482.5454545455</v>
      </c>
      <c r="O578" s="956">
        <f t="shared" si="121"/>
        <v>225.530909090909</v>
      </c>
      <c r="P578" s="953">
        <f t="shared" si="127"/>
        <v>99.2336</v>
      </c>
      <c r="Q578" s="675">
        <f t="shared" si="115"/>
        <v>37.5884848484849</v>
      </c>
    </row>
    <row r="579" s="541" customFormat="1" ht="15" spans="1:17">
      <c r="A579" s="982">
        <v>45226</v>
      </c>
      <c r="B579" s="1005">
        <v>3227.27</v>
      </c>
      <c r="C579" s="1003">
        <v>7030</v>
      </c>
      <c r="D579" s="589">
        <v>857</v>
      </c>
      <c r="E579" s="589">
        <v>4</v>
      </c>
      <c r="F579" s="1004">
        <f>24093+24293</f>
        <v>48386</v>
      </c>
      <c r="G579" s="589">
        <v>76</v>
      </c>
      <c r="H579" s="589">
        <v>61</v>
      </c>
      <c r="I579" s="589">
        <v>30</v>
      </c>
      <c r="J579" s="955">
        <f t="shared" si="123"/>
        <v>0.121906116642959</v>
      </c>
      <c r="K579" s="953">
        <f t="shared" si="124"/>
        <v>3.76577596266044</v>
      </c>
      <c r="L579" s="634">
        <f t="shared" si="125"/>
        <v>14.9928577404432</v>
      </c>
      <c r="M579" s="955">
        <f t="shared" si="126"/>
        <v>0.00466744457409568</v>
      </c>
      <c r="N579" s="956">
        <f t="shared" ref="N579:N610" si="128">IF(E579=0,0,F579/E579)</f>
        <v>12096.5</v>
      </c>
      <c r="O579" s="956">
        <f t="shared" ref="O579:O610" si="129">IF(E579=0,0,B579/E579)</f>
        <v>806.8175</v>
      </c>
      <c r="P579" s="953">
        <f t="shared" si="127"/>
        <v>42.4640789473684</v>
      </c>
      <c r="Q579" s="675">
        <f t="shared" si="115"/>
        <v>23.5567153284672</v>
      </c>
    </row>
    <row r="580" s="541" customFormat="1" ht="15" spans="1:17">
      <c r="A580" s="982">
        <v>45227</v>
      </c>
      <c r="B580" s="1002">
        <v>2963.19</v>
      </c>
      <c r="C580" s="1006">
        <v>6879</v>
      </c>
      <c r="D580" s="589">
        <v>813</v>
      </c>
      <c r="E580" s="589">
        <v>6</v>
      </c>
      <c r="F580" s="1004">
        <f>64901+35593</f>
        <v>100494</v>
      </c>
      <c r="G580" s="589">
        <v>56</v>
      </c>
      <c r="H580" s="589">
        <v>52</v>
      </c>
      <c r="I580" s="589">
        <v>31</v>
      </c>
      <c r="J580" s="955">
        <f t="shared" si="123"/>
        <v>0.11818578281727</v>
      </c>
      <c r="K580" s="953">
        <f t="shared" si="124"/>
        <v>3.64476014760148</v>
      </c>
      <c r="L580" s="634">
        <f t="shared" si="125"/>
        <v>33.91412633007</v>
      </c>
      <c r="M580" s="955">
        <f t="shared" si="126"/>
        <v>0.00738007380073801</v>
      </c>
      <c r="N580" s="956">
        <f t="shared" si="128"/>
        <v>16749</v>
      </c>
      <c r="O580" s="956">
        <f t="shared" si="129"/>
        <v>493.865</v>
      </c>
      <c r="P580" s="953">
        <f t="shared" si="127"/>
        <v>52.9141071428571</v>
      </c>
      <c r="Q580" s="675">
        <f t="shared" si="115"/>
        <v>27.4369444444444</v>
      </c>
    </row>
    <row r="581" s="541" customFormat="1" ht="15" spans="1:17">
      <c r="A581" s="982">
        <v>45228</v>
      </c>
      <c r="B581" s="1005">
        <v>2688.85</v>
      </c>
      <c r="C581" s="1007">
        <v>6981</v>
      </c>
      <c r="D581" s="589">
        <v>714</v>
      </c>
      <c r="E581" s="589">
        <v>18</v>
      </c>
      <c r="F581" s="1004">
        <f>137869+111677</f>
        <v>249546</v>
      </c>
      <c r="G581" s="589">
        <v>32</v>
      </c>
      <c r="H581" s="589">
        <v>38</v>
      </c>
      <c r="I581" s="589">
        <v>24</v>
      </c>
      <c r="J581" s="955">
        <f t="shared" si="123"/>
        <v>0.102277610657499</v>
      </c>
      <c r="K581" s="953">
        <f t="shared" si="124"/>
        <v>3.76589635854342</v>
      </c>
      <c r="L581" s="634">
        <f t="shared" si="125"/>
        <v>92.8077058965729</v>
      </c>
      <c r="M581" s="955">
        <f t="shared" si="126"/>
        <v>0.0252100840336134</v>
      </c>
      <c r="N581" s="956">
        <f t="shared" si="128"/>
        <v>13863.6666666667</v>
      </c>
      <c r="O581" s="956">
        <f t="shared" si="129"/>
        <v>149.380555555556</v>
      </c>
      <c r="P581" s="953">
        <f t="shared" si="127"/>
        <v>84.0265625</v>
      </c>
      <c r="Q581" s="675">
        <f t="shared" si="115"/>
        <v>38.4121428571429</v>
      </c>
    </row>
    <row r="582" s="541" customFormat="1" spans="1:17">
      <c r="A582" s="982">
        <v>45229</v>
      </c>
      <c r="B582" s="1002">
        <v>2545.54</v>
      </c>
      <c r="C582" s="630">
        <v>9368</v>
      </c>
      <c r="D582" s="589">
        <v>730</v>
      </c>
      <c r="E582" s="589">
        <v>16</v>
      </c>
      <c r="F582" s="1004">
        <f>110327+76782</f>
        <v>187109</v>
      </c>
      <c r="G582" s="589">
        <v>39</v>
      </c>
      <c r="H582" s="589">
        <v>38</v>
      </c>
      <c r="I582" s="589">
        <v>24</v>
      </c>
      <c r="J582" s="955">
        <f t="shared" si="123"/>
        <v>0.0779248505550811</v>
      </c>
      <c r="K582" s="953">
        <f t="shared" si="124"/>
        <v>3.48704109589041</v>
      </c>
      <c r="L582" s="634">
        <f t="shared" si="125"/>
        <v>73.5046394871029</v>
      </c>
      <c r="M582" s="955">
        <f t="shared" si="126"/>
        <v>0.0219178082191781</v>
      </c>
      <c r="N582" s="956">
        <f t="shared" si="128"/>
        <v>11694.3125</v>
      </c>
      <c r="O582" s="956">
        <f t="shared" si="129"/>
        <v>159.09625</v>
      </c>
      <c r="P582" s="953">
        <f t="shared" si="127"/>
        <v>65.2702564102564</v>
      </c>
      <c r="Q582" s="675">
        <f t="shared" ref="Q582:Q645" si="130">B582/(G582+H582)</f>
        <v>33.058961038961</v>
      </c>
    </row>
    <row r="583" s="541" customFormat="1" spans="1:17">
      <c r="A583" s="982">
        <v>45230</v>
      </c>
      <c r="B583" s="1002">
        <v>8913.97</v>
      </c>
      <c r="C583" s="630">
        <v>16089</v>
      </c>
      <c r="D583" s="589">
        <v>1213</v>
      </c>
      <c r="E583" s="589">
        <v>30</v>
      </c>
      <c r="F583" s="1004">
        <f>262297+115070</f>
        <v>377367</v>
      </c>
      <c r="G583" s="589">
        <v>73</v>
      </c>
      <c r="H583" s="589">
        <v>53</v>
      </c>
      <c r="I583" s="589">
        <v>32</v>
      </c>
      <c r="J583" s="955">
        <f t="shared" si="123"/>
        <v>0.0753931257380819</v>
      </c>
      <c r="K583" s="953">
        <f t="shared" si="124"/>
        <v>7.34869744435284</v>
      </c>
      <c r="L583" s="634">
        <f t="shared" si="125"/>
        <v>42.3343358795239</v>
      </c>
      <c r="M583" s="955">
        <f t="shared" si="126"/>
        <v>0.0247320692497939</v>
      </c>
      <c r="N583" s="956">
        <f t="shared" si="128"/>
        <v>12578.9</v>
      </c>
      <c r="O583" s="956">
        <f t="shared" si="129"/>
        <v>297.132333333333</v>
      </c>
      <c r="P583" s="953">
        <f t="shared" si="127"/>
        <v>122.109178082192</v>
      </c>
      <c r="Q583" s="675">
        <f t="shared" si="130"/>
        <v>70.7457936507936</v>
      </c>
    </row>
    <row r="584" s="541" customFormat="1" spans="1:17">
      <c r="A584" s="982">
        <v>45231</v>
      </c>
      <c r="B584" s="1005">
        <v>4213.87</v>
      </c>
      <c r="C584" s="630">
        <v>11116</v>
      </c>
      <c r="D584" s="589">
        <v>868</v>
      </c>
      <c r="E584" s="589">
        <v>11</v>
      </c>
      <c r="F584" s="1004">
        <v>136164</v>
      </c>
      <c r="G584" s="589">
        <v>99</v>
      </c>
      <c r="H584" s="589">
        <v>27</v>
      </c>
      <c r="I584" s="589">
        <v>15</v>
      </c>
      <c r="J584" s="955">
        <f t="shared" si="123"/>
        <v>0.0780856423173804</v>
      </c>
      <c r="K584" s="953">
        <f t="shared" si="124"/>
        <v>4.85468894009217</v>
      </c>
      <c r="L584" s="634">
        <f t="shared" si="125"/>
        <v>32.3132892092067</v>
      </c>
      <c r="M584" s="955">
        <f t="shared" si="126"/>
        <v>0.0126728110599078</v>
      </c>
      <c r="N584" s="956">
        <f t="shared" si="128"/>
        <v>12378.5454545455</v>
      </c>
      <c r="O584" s="956">
        <f t="shared" si="129"/>
        <v>383.079090909091</v>
      </c>
      <c r="P584" s="953">
        <f t="shared" si="127"/>
        <v>42.5643434343434</v>
      </c>
      <c r="Q584" s="675">
        <f t="shared" si="130"/>
        <v>33.4434126984127</v>
      </c>
    </row>
    <row r="585" s="541" customFormat="1" spans="1:17">
      <c r="A585" s="982">
        <v>45232</v>
      </c>
      <c r="B585" s="1005">
        <v>3751.24</v>
      </c>
      <c r="C585" s="630">
        <v>11653</v>
      </c>
      <c r="D585" s="589">
        <v>797</v>
      </c>
      <c r="E585" s="589">
        <v>11</v>
      </c>
      <c r="F585" s="1004">
        <v>135969</v>
      </c>
      <c r="G585" s="589">
        <v>88</v>
      </c>
      <c r="H585" s="589">
        <v>46</v>
      </c>
      <c r="I585" s="589">
        <v>28</v>
      </c>
      <c r="J585" s="955">
        <f t="shared" si="123"/>
        <v>0.0683944048742813</v>
      </c>
      <c r="K585" s="953">
        <f t="shared" si="124"/>
        <v>4.70670012547051</v>
      </c>
      <c r="L585" s="634">
        <f t="shared" si="125"/>
        <v>36.2464145189324</v>
      </c>
      <c r="M585" s="955">
        <f t="shared" si="126"/>
        <v>0.013801756587202</v>
      </c>
      <c r="N585" s="956">
        <f t="shared" si="128"/>
        <v>12360.8181818182</v>
      </c>
      <c r="O585" s="956">
        <f t="shared" si="129"/>
        <v>341.021818181818</v>
      </c>
      <c r="P585" s="953">
        <f t="shared" si="127"/>
        <v>42.6277272727273</v>
      </c>
      <c r="Q585" s="675">
        <f t="shared" si="130"/>
        <v>27.994328358209</v>
      </c>
    </row>
    <row r="586" s="541" customFormat="1" spans="1:17">
      <c r="A586" s="982">
        <v>45233</v>
      </c>
      <c r="B586" s="1005">
        <v>3735.33</v>
      </c>
      <c r="C586" s="630">
        <v>9232</v>
      </c>
      <c r="D586" s="589">
        <v>676</v>
      </c>
      <c r="E586" s="589">
        <v>5</v>
      </c>
      <c r="F586" s="1004">
        <v>74759</v>
      </c>
      <c r="G586" s="589">
        <v>45</v>
      </c>
      <c r="H586" s="589">
        <v>14</v>
      </c>
      <c r="I586" s="589">
        <v>7</v>
      </c>
      <c r="J586" s="955">
        <f t="shared" si="123"/>
        <v>0.0732235701906413</v>
      </c>
      <c r="K586" s="953">
        <f t="shared" si="124"/>
        <v>5.52563609467456</v>
      </c>
      <c r="L586" s="634">
        <f t="shared" si="125"/>
        <v>20.0140282116975</v>
      </c>
      <c r="M586" s="955">
        <f t="shared" si="126"/>
        <v>0.00739644970414201</v>
      </c>
      <c r="N586" s="956">
        <f t="shared" si="128"/>
        <v>14951.8</v>
      </c>
      <c r="O586" s="956">
        <f t="shared" si="129"/>
        <v>747.066</v>
      </c>
      <c r="P586" s="953">
        <f t="shared" si="127"/>
        <v>83.0073333333333</v>
      </c>
      <c r="Q586" s="675">
        <f t="shared" si="130"/>
        <v>63.3106779661017</v>
      </c>
    </row>
    <row r="587" s="541" customFormat="1" spans="1:17">
      <c r="A587" s="982">
        <v>45234</v>
      </c>
      <c r="B587" s="1005">
        <v>3645.96</v>
      </c>
      <c r="C587" s="630">
        <v>11216</v>
      </c>
      <c r="D587" s="589">
        <v>797</v>
      </c>
      <c r="E587" s="589">
        <v>2</v>
      </c>
      <c r="F587" s="1004">
        <v>22094</v>
      </c>
      <c r="G587" s="589">
        <v>52</v>
      </c>
      <c r="H587" s="589">
        <v>20</v>
      </c>
      <c r="I587" s="589">
        <v>14</v>
      </c>
      <c r="J587" s="955">
        <f t="shared" si="123"/>
        <v>0.0710592011412268</v>
      </c>
      <c r="K587" s="953">
        <f t="shared" si="124"/>
        <v>4.57460476787955</v>
      </c>
      <c r="L587" s="634">
        <f t="shared" si="125"/>
        <v>6.05985803464657</v>
      </c>
      <c r="M587" s="955">
        <f t="shared" si="126"/>
        <v>0.00250941028858218</v>
      </c>
      <c r="N587" s="956">
        <f t="shared" si="128"/>
        <v>11047</v>
      </c>
      <c r="O587" s="956">
        <f t="shared" si="129"/>
        <v>1822.98</v>
      </c>
      <c r="P587" s="953">
        <f t="shared" si="127"/>
        <v>70.1146153846154</v>
      </c>
      <c r="Q587" s="675">
        <f t="shared" si="130"/>
        <v>50.6383333333333</v>
      </c>
    </row>
    <row r="588" s="541" customFormat="1" spans="1:17">
      <c r="A588" s="982">
        <v>45235</v>
      </c>
      <c r="B588" s="1005">
        <v>4354.76</v>
      </c>
      <c r="C588" s="630">
        <v>11741</v>
      </c>
      <c r="D588" s="589">
        <v>1057</v>
      </c>
      <c r="E588" s="589">
        <v>5</v>
      </c>
      <c r="F588" s="1004">
        <v>51473</v>
      </c>
      <c r="G588" s="589">
        <v>74</v>
      </c>
      <c r="H588" s="589">
        <v>40</v>
      </c>
      <c r="I588" s="589">
        <v>22</v>
      </c>
      <c r="J588" s="955">
        <f t="shared" si="123"/>
        <v>0.0900264032024529</v>
      </c>
      <c r="K588" s="953">
        <f t="shared" si="124"/>
        <v>4.1199243140965</v>
      </c>
      <c r="L588" s="634">
        <f t="shared" si="125"/>
        <v>11.8199395603891</v>
      </c>
      <c r="M588" s="955">
        <f t="shared" si="126"/>
        <v>0.00473036896877956</v>
      </c>
      <c r="N588" s="956">
        <f t="shared" si="128"/>
        <v>10294.6</v>
      </c>
      <c r="O588" s="956">
        <f t="shared" si="129"/>
        <v>870.952</v>
      </c>
      <c r="P588" s="953">
        <f t="shared" si="127"/>
        <v>58.8481081081081</v>
      </c>
      <c r="Q588" s="675">
        <f t="shared" si="130"/>
        <v>38.199649122807</v>
      </c>
    </row>
    <row r="589" s="541" customFormat="1" spans="1:17">
      <c r="A589" s="982">
        <v>45236</v>
      </c>
      <c r="B589" s="1005">
        <v>4224.21</v>
      </c>
      <c r="C589" s="627">
        <v>11756</v>
      </c>
      <c r="D589" s="589">
        <v>968</v>
      </c>
      <c r="E589" s="589">
        <v>3</v>
      </c>
      <c r="F589" s="1004">
        <v>32191</v>
      </c>
      <c r="G589" s="589">
        <v>62</v>
      </c>
      <c r="H589" s="589">
        <v>29</v>
      </c>
      <c r="I589" s="589">
        <v>17</v>
      </c>
      <c r="J589" s="955">
        <f t="shared" si="123"/>
        <v>0.0823409322898945</v>
      </c>
      <c r="K589" s="953">
        <f t="shared" si="124"/>
        <v>4.36385330578512</v>
      </c>
      <c r="L589" s="634">
        <f t="shared" si="125"/>
        <v>7.62059651390437</v>
      </c>
      <c r="M589" s="955">
        <f t="shared" si="126"/>
        <v>0.00309917355371901</v>
      </c>
      <c r="N589" s="956">
        <f t="shared" si="128"/>
        <v>10730.3333333333</v>
      </c>
      <c r="O589" s="956">
        <f t="shared" si="129"/>
        <v>1408.07</v>
      </c>
      <c r="P589" s="953">
        <f t="shared" si="127"/>
        <v>68.1324193548387</v>
      </c>
      <c r="Q589" s="675">
        <f t="shared" si="130"/>
        <v>46.4198901098901</v>
      </c>
    </row>
    <row r="590" s="541" customFormat="1" spans="1:17">
      <c r="A590" s="982">
        <v>45237</v>
      </c>
      <c r="B590" s="1002">
        <v>3889.46</v>
      </c>
      <c r="C590" s="627">
        <v>11123</v>
      </c>
      <c r="D590" s="630">
        <v>895</v>
      </c>
      <c r="E590" s="628">
        <v>2</v>
      </c>
      <c r="F590" s="1002">
        <v>20196</v>
      </c>
      <c r="G590" s="628">
        <v>50</v>
      </c>
      <c r="H590" s="628">
        <v>26</v>
      </c>
      <c r="I590" s="628">
        <v>15</v>
      </c>
      <c r="J590" s="955">
        <f t="shared" si="123"/>
        <v>0.0804639036231233</v>
      </c>
      <c r="K590" s="953">
        <f t="shared" si="124"/>
        <v>4.34576536312849</v>
      </c>
      <c r="L590" s="634">
        <f t="shared" si="125"/>
        <v>5.19249458793766</v>
      </c>
      <c r="M590" s="955">
        <f t="shared" si="126"/>
        <v>0.00223463687150838</v>
      </c>
      <c r="N590" s="956">
        <f t="shared" si="128"/>
        <v>10098</v>
      </c>
      <c r="O590" s="956">
        <f t="shared" si="129"/>
        <v>1944.73</v>
      </c>
      <c r="P590" s="953">
        <f t="shared" si="127"/>
        <v>77.7892</v>
      </c>
      <c r="Q590" s="675">
        <f t="shared" si="130"/>
        <v>51.1771052631579</v>
      </c>
    </row>
    <row r="591" s="541" customFormat="1" spans="1:17">
      <c r="A591" s="982">
        <v>45238</v>
      </c>
      <c r="B591" s="1004">
        <v>4255.42</v>
      </c>
      <c r="C591" s="629">
        <v>11267</v>
      </c>
      <c r="D591" s="589">
        <v>913</v>
      </c>
      <c r="E591" s="589">
        <v>5</v>
      </c>
      <c r="F591" s="1004">
        <v>0.05</v>
      </c>
      <c r="G591" s="589">
        <v>53</v>
      </c>
      <c r="H591" s="589">
        <v>22</v>
      </c>
      <c r="I591" s="589">
        <v>11</v>
      </c>
      <c r="J591" s="955">
        <f t="shared" si="123"/>
        <v>0.0810331055294222</v>
      </c>
      <c r="K591" s="953">
        <f t="shared" si="124"/>
        <v>4.66092004381161</v>
      </c>
      <c r="L591" s="634">
        <f t="shared" si="125"/>
        <v>1.17497215315997e-5</v>
      </c>
      <c r="M591" s="955">
        <f t="shared" si="126"/>
        <v>0.00547645125958379</v>
      </c>
      <c r="N591" s="956">
        <f t="shared" si="128"/>
        <v>0.01</v>
      </c>
      <c r="O591" s="956">
        <f t="shared" si="129"/>
        <v>851.084</v>
      </c>
      <c r="P591" s="953">
        <f t="shared" si="127"/>
        <v>80.2909433962264</v>
      </c>
      <c r="Q591" s="675">
        <f t="shared" si="130"/>
        <v>56.7389333333333</v>
      </c>
    </row>
    <row r="592" s="541" customFormat="1" spans="1:17">
      <c r="A592" s="982">
        <v>45239</v>
      </c>
      <c r="B592" s="1004">
        <v>4281.38</v>
      </c>
      <c r="C592" s="629">
        <v>12095</v>
      </c>
      <c r="D592" s="589">
        <v>908</v>
      </c>
      <c r="E592" s="589">
        <v>9</v>
      </c>
      <c r="F592" s="1004">
        <v>53549.04</v>
      </c>
      <c r="G592" s="589">
        <v>48</v>
      </c>
      <c r="H592" s="589">
        <v>21</v>
      </c>
      <c r="I592" s="589">
        <v>13</v>
      </c>
      <c r="J592" s="955">
        <f t="shared" si="123"/>
        <v>0.0750723439437784</v>
      </c>
      <c r="K592" s="953">
        <f t="shared" si="124"/>
        <v>4.71517621145374</v>
      </c>
      <c r="L592" s="634">
        <f t="shared" si="125"/>
        <v>12.5074251759947</v>
      </c>
      <c r="M592" s="955">
        <f t="shared" si="126"/>
        <v>0.00991189427312775</v>
      </c>
      <c r="N592" s="956">
        <f t="shared" si="128"/>
        <v>5949.89333333333</v>
      </c>
      <c r="O592" s="956">
        <f t="shared" si="129"/>
        <v>475.708888888889</v>
      </c>
      <c r="P592" s="953">
        <f t="shared" si="127"/>
        <v>89.1954166666667</v>
      </c>
      <c r="Q592" s="675">
        <f t="shared" si="130"/>
        <v>62.0489855072464</v>
      </c>
    </row>
    <row r="593" s="541" customFormat="1" spans="1:17">
      <c r="A593" s="982">
        <v>45240</v>
      </c>
      <c r="B593" s="1002">
        <v>4494.95</v>
      </c>
      <c r="C593" s="627">
        <v>10394</v>
      </c>
      <c r="D593" s="630">
        <v>928</v>
      </c>
      <c r="E593" s="628">
        <v>17</v>
      </c>
      <c r="F593" s="1004">
        <v>78355.11</v>
      </c>
      <c r="G593" s="589">
        <v>88</v>
      </c>
      <c r="H593" s="589">
        <v>30</v>
      </c>
      <c r="I593" s="589">
        <v>17</v>
      </c>
      <c r="J593" s="955">
        <f t="shared" si="123"/>
        <v>0.0892822782374447</v>
      </c>
      <c r="K593" s="953">
        <f t="shared" si="124"/>
        <v>4.84369612068966</v>
      </c>
      <c r="L593" s="634">
        <f t="shared" si="125"/>
        <v>17.4318090301338</v>
      </c>
      <c r="M593" s="955">
        <f t="shared" si="126"/>
        <v>0.0183189655172414</v>
      </c>
      <c r="N593" s="956">
        <f t="shared" si="128"/>
        <v>4609.12411764706</v>
      </c>
      <c r="O593" s="956">
        <f t="shared" si="129"/>
        <v>264.408823529412</v>
      </c>
      <c r="P593" s="953">
        <f t="shared" si="127"/>
        <v>51.0789772727273</v>
      </c>
      <c r="Q593" s="675">
        <f t="shared" si="130"/>
        <v>38.0927966101695</v>
      </c>
    </row>
    <row r="594" s="541" customFormat="1" spans="1:17">
      <c r="A594" s="982">
        <v>45241</v>
      </c>
      <c r="B594" s="1002">
        <v>5276.98</v>
      </c>
      <c r="C594" s="630">
        <v>11759</v>
      </c>
      <c r="D594" s="630">
        <v>1047</v>
      </c>
      <c r="E594" s="628">
        <v>32</v>
      </c>
      <c r="F594" s="708">
        <v>217552.14</v>
      </c>
      <c r="G594" s="589">
        <v>77</v>
      </c>
      <c r="H594" s="589">
        <v>34</v>
      </c>
      <c r="I594" s="589">
        <v>24</v>
      </c>
      <c r="J594" s="955">
        <f t="shared" si="123"/>
        <v>0.0890381835190067</v>
      </c>
      <c r="K594" s="953">
        <f t="shared" si="124"/>
        <v>5.04009551098376</v>
      </c>
      <c r="L594" s="634">
        <f t="shared" si="125"/>
        <v>41.2266372053713</v>
      </c>
      <c r="M594" s="955">
        <f t="shared" si="126"/>
        <v>0.0305635148042025</v>
      </c>
      <c r="N594" s="956">
        <f t="shared" si="128"/>
        <v>6798.504375</v>
      </c>
      <c r="O594" s="956">
        <f t="shared" si="129"/>
        <v>164.905625</v>
      </c>
      <c r="P594" s="953">
        <f t="shared" si="127"/>
        <v>68.5322077922078</v>
      </c>
      <c r="Q594" s="675">
        <f t="shared" si="130"/>
        <v>47.5403603603604</v>
      </c>
    </row>
    <row r="595" s="541" customFormat="1" spans="1:17">
      <c r="A595" s="982">
        <v>45242</v>
      </c>
      <c r="B595" s="992">
        <v>3325.97</v>
      </c>
      <c r="C595" s="1008">
        <v>10727</v>
      </c>
      <c r="D595" s="1008">
        <v>828</v>
      </c>
      <c r="E595" s="602">
        <v>3</v>
      </c>
      <c r="F595" s="979">
        <v>10997.02</v>
      </c>
      <c r="G595" s="589">
        <v>46</v>
      </c>
      <c r="H595" s="589">
        <v>13</v>
      </c>
      <c r="I595" s="589">
        <v>6</v>
      </c>
      <c r="J595" s="955">
        <f t="shared" si="123"/>
        <v>0.0771884030949939</v>
      </c>
      <c r="K595" s="953">
        <f t="shared" si="124"/>
        <v>4.01687198067633</v>
      </c>
      <c r="L595" s="634">
        <f t="shared" si="125"/>
        <v>3.30640985937937</v>
      </c>
      <c r="M595" s="955">
        <f t="shared" si="126"/>
        <v>0.0036231884057971</v>
      </c>
      <c r="N595" s="956">
        <f t="shared" si="128"/>
        <v>3665.67333333333</v>
      </c>
      <c r="O595" s="956">
        <f t="shared" si="129"/>
        <v>1108.65666666667</v>
      </c>
      <c r="P595" s="953">
        <f t="shared" si="127"/>
        <v>72.3036956521739</v>
      </c>
      <c r="Q595" s="675">
        <f t="shared" si="130"/>
        <v>56.3723728813559</v>
      </c>
    </row>
    <row r="596" s="541" customFormat="1" spans="1:17">
      <c r="A596" s="982">
        <v>45243</v>
      </c>
      <c r="B596" s="979">
        <v>2877.89</v>
      </c>
      <c r="C596" s="605">
        <v>12093</v>
      </c>
      <c r="D596" s="604">
        <v>835</v>
      </c>
      <c r="E596" s="604">
        <v>5</v>
      </c>
      <c r="F596" s="979">
        <v>20895.03</v>
      </c>
      <c r="G596" s="589">
        <v>33</v>
      </c>
      <c r="H596" s="589">
        <v>9</v>
      </c>
      <c r="I596" s="589">
        <v>4</v>
      </c>
      <c r="J596" s="955">
        <f t="shared" si="123"/>
        <v>0.0690482097080956</v>
      </c>
      <c r="K596" s="953">
        <f t="shared" si="124"/>
        <v>3.4465748502994</v>
      </c>
      <c r="L596" s="634">
        <f t="shared" si="125"/>
        <v>7.2605381025682</v>
      </c>
      <c r="M596" s="955">
        <f t="shared" si="126"/>
        <v>0.00598802395209581</v>
      </c>
      <c r="N596" s="956">
        <f t="shared" si="128"/>
        <v>4179.006</v>
      </c>
      <c r="O596" s="956">
        <f t="shared" si="129"/>
        <v>575.578</v>
      </c>
      <c r="P596" s="953">
        <f t="shared" si="127"/>
        <v>87.2087878787879</v>
      </c>
      <c r="Q596" s="675">
        <f t="shared" si="130"/>
        <v>68.5211904761905</v>
      </c>
    </row>
    <row r="597" s="541" customFormat="1" spans="1:17">
      <c r="A597" s="982">
        <v>45244</v>
      </c>
      <c r="B597" s="979">
        <v>2012.29</v>
      </c>
      <c r="C597" s="611">
        <v>9606</v>
      </c>
      <c r="D597" s="611">
        <v>610</v>
      </c>
      <c r="E597" s="604">
        <v>0</v>
      </c>
      <c r="F597" s="979">
        <v>0</v>
      </c>
      <c r="G597" s="589">
        <v>20</v>
      </c>
      <c r="H597" s="589">
        <v>9</v>
      </c>
      <c r="I597" s="589">
        <v>3</v>
      </c>
      <c r="J597" s="955">
        <f t="shared" si="123"/>
        <v>0.0635019779304601</v>
      </c>
      <c r="K597" s="953">
        <f t="shared" si="124"/>
        <v>3.29883606557377</v>
      </c>
      <c r="L597" s="634">
        <f t="shared" si="125"/>
        <v>0</v>
      </c>
      <c r="M597" s="955">
        <f t="shared" si="126"/>
        <v>0</v>
      </c>
      <c r="N597" s="956">
        <f t="shared" si="128"/>
        <v>0</v>
      </c>
      <c r="O597" s="956">
        <f t="shared" si="129"/>
        <v>0</v>
      </c>
      <c r="P597" s="953">
        <f t="shared" si="127"/>
        <v>100.6145</v>
      </c>
      <c r="Q597" s="675">
        <f t="shared" si="130"/>
        <v>69.3893103448276</v>
      </c>
    </row>
    <row r="598" s="541" customFormat="1" spans="1:17">
      <c r="A598" s="982">
        <v>45245</v>
      </c>
      <c r="B598" s="979">
        <v>2317</v>
      </c>
      <c r="C598" s="611">
        <v>10156</v>
      </c>
      <c r="D598" s="611">
        <v>704</v>
      </c>
      <c r="E598" s="604">
        <v>0</v>
      </c>
      <c r="F598" s="979">
        <v>0</v>
      </c>
      <c r="G598" s="589">
        <v>20</v>
      </c>
      <c r="H598" s="589">
        <v>20</v>
      </c>
      <c r="I598" s="589">
        <v>7</v>
      </c>
      <c r="J598" s="955">
        <f t="shared" si="123"/>
        <v>0.0693186293816463</v>
      </c>
      <c r="K598" s="953">
        <f t="shared" si="124"/>
        <v>3.29119318181818</v>
      </c>
      <c r="L598" s="634">
        <f t="shared" si="125"/>
        <v>0</v>
      </c>
      <c r="M598" s="955">
        <f t="shared" si="126"/>
        <v>0</v>
      </c>
      <c r="N598" s="956">
        <f t="shared" si="128"/>
        <v>0</v>
      </c>
      <c r="O598" s="956">
        <f t="shared" si="129"/>
        <v>0</v>
      </c>
      <c r="P598" s="953">
        <f t="shared" si="127"/>
        <v>115.85</v>
      </c>
      <c r="Q598" s="675">
        <f t="shared" si="130"/>
        <v>57.925</v>
      </c>
    </row>
    <row r="599" s="541" customFormat="1" spans="1:17">
      <c r="A599" s="982">
        <v>45246</v>
      </c>
      <c r="B599" s="1009">
        <v>2201.35</v>
      </c>
      <c r="C599" s="642">
        <v>8378</v>
      </c>
      <c r="D599" s="642">
        <v>614</v>
      </c>
      <c r="E599" s="604">
        <v>0</v>
      </c>
      <c r="F599" s="979">
        <v>0</v>
      </c>
      <c r="G599" s="589">
        <v>22</v>
      </c>
      <c r="H599" s="589">
        <v>2</v>
      </c>
      <c r="I599" s="589">
        <v>4</v>
      </c>
      <c r="J599" s="955">
        <f t="shared" si="123"/>
        <v>0.073287180711387</v>
      </c>
      <c r="K599" s="953">
        <f t="shared" si="124"/>
        <v>3.58526058631922</v>
      </c>
      <c r="L599" s="634">
        <f t="shared" si="125"/>
        <v>0</v>
      </c>
      <c r="M599" s="955">
        <f t="shared" si="126"/>
        <v>0</v>
      </c>
      <c r="N599" s="956">
        <f t="shared" si="128"/>
        <v>0</v>
      </c>
      <c r="O599" s="956">
        <f t="shared" si="129"/>
        <v>0</v>
      </c>
      <c r="P599" s="953">
        <f t="shared" si="127"/>
        <v>100.061363636364</v>
      </c>
      <c r="Q599" s="675">
        <f t="shared" si="130"/>
        <v>91.7229166666667</v>
      </c>
    </row>
    <row r="600" s="541" customFormat="1" spans="1:17">
      <c r="A600" s="982">
        <v>45247</v>
      </c>
      <c r="B600" s="997">
        <v>2018.14</v>
      </c>
      <c r="C600" s="611">
        <v>6890</v>
      </c>
      <c r="D600" s="611">
        <v>582</v>
      </c>
      <c r="E600" s="604">
        <v>0</v>
      </c>
      <c r="F600" s="979">
        <v>0</v>
      </c>
      <c r="G600" s="589">
        <v>9</v>
      </c>
      <c r="H600" s="589">
        <v>6</v>
      </c>
      <c r="I600" s="589">
        <v>3</v>
      </c>
      <c r="J600" s="955">
        <f t="shared" si="123"/>
        <v>0.0844702467343977</v>
      </c>
      <c r="K600" s="953">
        <f t="shared" si="124"/>
        <v>3.46759450171821</v>
      </c>
      <c r="L600" s="634">
        <f t="shared" si="125"/>
        <v>0</v>
      </c>
      <c r="M600" s="955">
        <f t="shared" si="126"/>
        <v>0</v>
      </c>
      <c r="N600" s="956">
        <f t="shared" si="128"/>
        <v>0</v>
      </c>
      <c r="O600" s="956">
        <f t="shared" si="129"/>
        <v>0</v>
      </c>
      <c r="P600" s="953">
        <f t="shared" si="127"/>
        <v>224.237777777778</v>
      </c>
      <c r="Q600" s="675">
        <f t="shared" si="130"/>
        <v>134.542666666667</v>
      </c>
    </row>
    <row r="601" s="541" customFormat="1" spans="1:17">
      <c r="A601" s="982">
        <v>45248</v>
      </c>
      <c r="B601" s="997">
        <v>1915.23</v>
      </c>
      <c r="C601" s="611">
        <v>7000</v>
      </c>
      <c r="D601" s="611">
        <v>571</v>
      </c>
      <c r="E601" s="604">
        <v>0</v>
      </c>
      <c r="F601" s="979">
        <v>0</v>
      </c>
      <c r="G601" s="589">
        <v>15</v>
      </c>
      <c r="H601" s="589">
        <v>10</v>
      </c>
      <c r="I601" s="589">
        <v>5</v>
      </c>
      <c r="J601" s="955">
        <f t="shared" si="123"/>
        <v>0.0815714285714286</v>
      </c>
      <c r="K601" s="953">
        <f t="shared" si="124"/>
        <v>3.35416812609457</v>
      </c>
      <c r="L601" s="634">
        <f t="shared" si="125"/>
        <v>0</v>
      </c>
      <c r="M601" s="955">
        <f t="shared" si="126"/>
        <v>0</v>
      </c>
      <c r="N601" s="956">
        <f t="shared" si="128"/>
        <v>0</v>
      </c>
      <c r="O601" s="956">
        <f t="shared" si="129"/>
        <v>0</v>
      </c>
      <c r="P601" s="953">
        <f t="shared" si="127"/>
        <v>127.682</v>
      </c>
      <c r="Q601" s="675">
        <f t="shared" si="130"/>
        <v>76.6092</v>
      </c>
    </row>
    <row r="602" s="541" customFormat="1" spans="1:17">
      <c r="A602" s="982">
        <v>45249</v>
      </c>
      <c r="B602" s="997">
        <v>1931.67</v>
      </c>
      <c r="C602" s="611">
        <v>7671</v>
      </c>
      <c r="D602" s="611">
        <v>615</v>
      </c>
      <c r="E602" s="604">
        <v>0</v>
      </c>
      <c r="F602" s="979">
        <v>0</v>
      </c>
      <c r="G602" s="589">
        <v>19</v>
      </c>
      <c r="H602" s="589">
        <v>16</v>
      </c>
      <c r="I602" s="589">
        <v>6</v>
      </c>
      <c r="J602" s="955">
        <f t="shared" si="123"/>
        <v>0.080172076652327</v>
      </c>
      <c r="K602" s="953">
        <f t="shared" si="124"/>
        <v>3.14092682926829</v>
      </c>
      <c r="L602" s="634">
        <f t="shared" si="125"/>
        <v>0</v>
      </c>
      <c r="M602" s="955">
        <f t="shared" si="126"/>
        <v>0</v>
      </c>
      <c r="N602" s="956">
        <f t="shared" si="128"/>
        <v>0</v>
      </c>
      <c r="O602" s="956">
        <f t="shared" si="129"/>
        <v>0</v>
      </c>
      <c r="P602" s="953">
        <f t="shared" si="127"/>
        <v>101.666842105263</v>
      </c>
      <c r="Q602" s="675">
        <f t="shared" si="130"/>
        <v>55.1905714285714</v>
      </c>
    </row>
    <row r="603" s="541" customFormat="1" spans="1:17">
      <c r="A603" s="982">
        <v>45250</v>
      </c>
      <c r="B603" s="708">
        <v>1927.64</v>
      </c>
      <c r="C603" s="629">
        <v>7957</v>
      </c>
      <c r="D603" s="589">
        <v>622</v>
      </c>
      <c r="E603" s="589">
        <v>0</v>
      </c>
      <c r="F603" s="708">
        <v>0</v>
      </c>
      <c r="G603" s="589">
        <v>10</v>
      </c>
      <c r="H603" s="589">
        <v>12</v>
      </c>
      <c r="I603" s="589">
        <v>6</v>
      </c>
      <c r="J603" s="955">
        <f t="shared" si="123"/>
        <v>0.0781701646349127</v>
      </c>
      <c r="K603" s="953">
        <f t="shared" si="124"/>
        <v>3.09909967845659</v>
      </c>
      <c r="L603" s="634">
        <f t="shared" si="125"/>
        <v>0</v>
      </c>
      <c r="M603" s="955">
        <f t="shared" si="126"/>
        <v>0</v>
      </c>
      <c r="N603" s="956">
        <f t="shared" si="128"/>
        <v>0</v>
      </c>
      <c r="O603" s="956">
        <f t="shared" si="129"/>
        <v>0</v>
      </c>
      <c r="P603" s="953">
        <f t="shared" si="127"/>
        <v>192.764</v>
      </c>
      <c r="Q603" s="675">
        <f t="shared" si="130"/>
        <v>87.62</v>
      </c>
    </row>
    <row r="604" s="541" customFormat="1" spans="1:17">
      <c r="A604" s="982">
        <v>45251</v>
      </c>
      <c r="B604" s="979">
        <v>1898.73</v>
      </c>
      <c r="C604" s="605">
        <v>8283</v>
      </c>
      <c r="D604" s="604">
        <v>656</v>
      </c>
      <c r="E604" s="604">
        <v>0</v>
      </c>
      <c r="F604" s="708">
        <v>0</v>
      </c>
      <c r="G604" s="589">
        <v>14</v>
      </c>
      <c r="H604" s="589">
        <v>10</v>
      </c>
      <c r="I604" s="589">
        <v>7</v>
      </c>
      <c r="J604" s="955">
        <f t="shared" si="123"/>
        <v>0.0791983580828202</v>
      </c>
      <c r="K604" s="953">
        <f t="shared" si="124"/>
        <v>2.89440548780488</v>
      </c>
      <c r="L604" s="634">
        <f t="shared" si="125"/>
        <v>0</v>
      </c>
      <c r="M604" s="955">
        <f t="shared" si="126"/>
        <v>0</v>
      </c>
      <c r="N604" s="956">
        <f t="shared" si="128"/>
        <v>0</v>
      </c>
      <c r="O604" s="956">
        <f t="shared" si="129"/>
        <v>0</v>
      </c>
      <c r="P604" s="953">
        <f t="shared" si="127"/>
        <v>135.623571428571</v>
      </c>
      <c r="Q604" s="675">
        <f t="shared" si="130"/>
        <v>79.11375</v>
      </c>
    </row>
    <row r="605" s="541" customFormat="1" spans="1:17">
      <c r="A605" s="982">
        <v>45252</v>
      </c>
      <c r="B605" s="997">
        <v>1914</v>
      </c>
      <c r="C605" s="611">
        <v>7351</v>
      </c>
      <c r="D605" s="611">
        <v>647</v>
      </c>
      <c r="E605" s="604">
        <v>0</v>
      </c>
      <c r="F605" s="708">
        <v>0</v>
      </c>
      <c r="G605" s="589">
        <v>22</v>
      </c>
      <c r="H605" s="589">
        <v>13</v>
      </c>
      <c r="I605" s="589">
        <v>8</v>
      </c>
      <c r="J605" s="955">
        <f t="shared" si="123"/>
        <v>0.0880152360223099</v>
      </c>
      <c r="K605" s="953">
        <f t="shared" si="124"/>
        <v>2.95826893353941</v>
      </c>
      <c r="L605" s="634">
        <f t="shared" si="125"/>
        <v>0</v>
      </c>
      <c r="M605" s="955">
        <f t="shared" si="126"/>
        <v>0</v>
      </c>
      <c r="N605" s="956">
        <f t="shared" si="128"/>
        <v>0</v>
      </c>
      <c r="O605" s="956">
        <f t="shared" si="129"/>
        <v>0</v>
      </c>
      <c r="P605" s="953">
        <f t="shared" si="127"/>
        <v>87</v>
      </c>
      <c r="Q605" s="675">
        <f t="shared" si="130"/>
        <v>54.6857142857143</v>
      </c>
    </row>
    <row r="606" s="541" customFormat="1" spans="1:17">
      <c r="A606" s="982">
        <v>45253</v>
      </c>
      <c r="B606" s="708">
        <v>1870.75</v>
      </c>
      <c r="C606" s="629">
        <v>5988</v>
      </c>
      <c r="D606" s="589">
        <v>622</v>
      </c>
      <c r="E606" s="589">
        <v>0</v>
      </c>
      <c r="F606" s="708">
        <v>0</v>
      </c>
      <c r="G606" s="589">
        <v>24</v>
      </c>
      <c r="H606" s="589">
        <v>12</v>
      </c>
      <c r="I606" s="589">
        <v>5</v>
      </c>
      <c r="J606" s="955">
        <f t="shared" si="123"/>
        <v>0.103874415497662</v>
      </c>
      <c r="K606" s="953">
        <f t="shared" si="124"/>
        <v>3.00763665594855</v>
      </c>
      <c r="L606" s="634">
        <f t="shared" si="125"/>
        <v>0</v>
      </c>
      <c r="M606" s="955">
        <f t="shared" si="126"/>
        <v>0</v>
      </c>
      <c r="N606" s="956">
        <f t="shared" si="128"/>
        <v>0</v>
      </c>
      <c r="O606" s="956">
        <f t="shared" si="129"/>
        <v>0</v>
      </c>
      <c r="P606" s="953">
        <f t="shared" si="127"/>
        <v>77.9479166666667</v>
      </c>
      <c r="Q606" s="675">
        <f t="shared" si="130"/>
        <v>51.9652777777778</v>
      </c>
    </row>
    <row r="607" s="541" customFormat="1" spans="1:17">
      <c r="A607" s="982">
        <v>45254</v>
      </c>
      <c r="B607" s="708">
        <v>1811.22</v>
      </c>
      <c r="C607" s="629">
        <v>6422</v>
      </c>
      <c r="D607" s="589">
        <v>597</v>
      </c>
      <c r="E607" s="589">
        <v>0</v>
      </c>
      <c r="F607" s="708">
        <v>0</v>
      </c>
      <c r="G607" s="589">
        <v>20</v>
      </c>
      <c r="H607" s="589">
        <v>13</v>
      </c>
      <c r="I607" s="589">
        <v>9</v>
      </c>
      <c r="J607" s="955">
        <f t="shared" si="123"/>
        <v>0.0929616941762691</v>
      </c>
      <c r="K607" s="953">
        <f t="shared" si="124"/>
        <v>3.03386934673367</v>
      </c>
      <c r="L607" s="634">
        <f t="shared" si="125"/>
        <v>0</v>
      </c>
      <c r="M607" s="955">
        <f t="shared" si="126"/>
        <v>0</v>
      </c>
      <c r="N607" s="956">
        <f t="shared" si="128"/>
        <v>0</v>
      </c>
      <c r="O607" s="956">
        <f t="shared" si="129"/>
        <v>0</v>
      </c>
      <c r="P607" s="953">
        <f t="shared" si="127"/>
        <v>90.561</v>
      </c>
      <c r="Q607" s="675">
        <f t="shared" si="130"/>
        <v>54.8854545454545</v>
      </c>
    </row>
    <row r="608" s="541" customFormat="1" spans="1:17">
      <c r="A608" s="982">
        <v>45255</v>
      </c>
      <c r="B608" s="708">
        <v>1820.46</v>
      </c>
      <c r="C608" s="629">
        <v>5904</v>
      </c>
      <c r="D608" s="589">
        <v>571</v>
      </c>
      <c r="E608" s="589">
        <v>0</v>
      </c>
      <c r="F608" s="708">
        <v>0</v>
      </c>
      <c r="G608" s="589">
        <v>14</v>
      </c>
      <c r="H608" s="589">
        <v>15</v>
      </c>
      <c r="I608" s="589">
        <v>6</v>
      </c>
      <c r="J608" s="955">
        <f t="shared" si="123"/>
        <v>0.0967140921409214</v>
      </c>
      <c r="K608" s="953">
        <f t="shared" si="124"/>
        <v>3.18819614711033</v>
      </c>
      <c r="L608" s="634">
        <f t="shared" si="125"/>
        <v>0</v>
      </c>
      <c r="M608" s="955">
        <f t="shared" si="126"/>
        <v>0</v>
      </c>
      <c r="N608" s="956">
        <f t="shared" si="128"/>
        <v>0</v>
      </c>
      <c r="O608" s="956">
        <f t="shared" si="129"/>
        <v>0</v>
      </c>
      <c r="P608" s="953">
        <f t="shared" si="127"/>
        <v>130.032857142857</v>
      </c>
      <c r="Q608" s="675">
        <f t="shared" si="130"/>
        <v>62.7744827586207</v>
      </c>
    </row>
    <row r="609" s="541" customFormat="1" spans="1:17">
      <c r="A609" s="982">
        <v>45256</v>
      </c>
      <c r="B609" s="708">
        <v>1797.64</v>
      </c>
      <c r="C609" s="629">
        <v>6356</v>
      </c>
      <c r="D609" s="589">
        <v>597</v>
      </c>
      <c r="E609" s="589">
        <v>0</v>
      </c>
      <c r="F609" s="708">
        <v>0</v>
      </c>
      <c r="G609" s="589">
        <v>16</v>
      </c>
      <c r="H609" s="589">
        <v>11</v>
      </c>
      <c r="I609" s="589">
        <v>7</v>
      </c>
      <c r="J609" s="955">
        <f t="shared" si="123"/>
        <v>0.0939269981120201</v>
      </c>
      <c r="K609" s="953">
        <f t="shared" si="124"/>
        <v>3.01112227805695</v>
      </c>
      <c r="L609" s="634">
        <f t="shared" si="125"/>
        <v>0</v>
      </c>
      <c r="M609" s="955">
        <f t="shared" si="126"/>
        <v>0</v>
      </c>
      <c r="N609" s="956">
        <f t="shared" si="128"/>
        <v>0</v>
      </c>
      <c r="O609" s="956">
        <f t="shared" si="129"/>
        <v>0</v>
      </c>
      <c r="P609" s="953">
        <f t="shared" si="127"/>
        <v>112.3525</v>
      </c>
      <c r="Q609" s="675">
        <f t="shared" si="130"/>
        <v>66.5792592592593</v>
      </c>
    </row>
    <row r="610" s="541" customFormat="1" spans="1:17">
      <c r="A610" s="982">
        <v>45257</v>
      </c>
      <c r="B610" s="708">
        <v>1811.51</v>
      </c>
      <c r="C610" s="629">
        <v>6217</v>
      </c>
      <c r="D610" s="589">
        <v>583</v>
      </c>
      <c r="E610" s="589">
        <v>0</v>
      </c>
      <c r="F610" s="708">
        <v>0</v>
      </c>
      <c r="G610" s="589">
        <v>19</v>
      </c>
      <c r="H610" s="589">
        <v>7</v>
      </c>
      <c r="I610" s="589">
        <v>3</v>
      </c>
      <c r="J610" s="955">
        <f t="shared" si="123"/>
        <v>0.0937751327006595</v>
      </c>
      <c r="K610" s="953">
        <f t="shared" si="124"/>
        <v>3.10722126929674</v>
      </c>
      <c r="L610" s="634">
        <f t="shared" si="125"/>
        <v>0</v>
      </c>
      <c r="M610" s="955">
        <f t="shared" si="126"/>
        <v>0</v>
      </c>
      <c r="N610" s="956">
        <f t="shared" si="128"/>
        <v>0</v>
      </c>
      <c r="O610" s="956">
        <f t="shared" si="129"/>
        <v>0</v>
      </c>
      <c r="P610" s="953">
        <f t="shared" si="127"/>
        <v>95.3426315789474</v>
      </c>
      <c r="Q610" s="675">
        <f t="shared" si="130"/>
        <v>69.6734615384615</v>
      </c>
    </row>
    <row r="611" s="541" customFormat="1" spans="1:17">
      <c r="A611" s="982">
        <v>45258</v>
      </c>
      <c r="B611" s="708">
        <v>1823.44</v>
      </c>
      <c r="C611" s="629">
        <v>7311</v>
      </c>
      <c r="D611" s="589">
        <v>628</v>
      </c>
      <c r="E611" s="589">
        <v>0</v>
      </c>
      <c r="F611" s="708">
        <v>0</v>
      </c>
      <c r="G611" s="589">
        <v>9</v>
      </c>
      <c r="H611" s="589">
        <v>9</v>
      </c>
      <c r="I611" s="589">
        <v>3</v>
      </c>
      <c r="J611" s="955">
        <f t="shared" si="123"/>
        <v>0.085897961975106</v>
      </c>
      <c r="K611" s="953">
        <f t="shared" si="124"/>
        <v>2.90356687898089</v>
      </c>
      <c r="L611" s="634">
        <f t="shared" si="125"/>
        <v>0</v>
      </c>
      <c r="M611" s="955">
        <f t="shared" si="126"/>
        <v>0</v>
      </c>
      <c r="N611" s="956">
        <f t="shared" ref="N611:N642" si="131">IF(E611=0,0,F611/E611)</f>
        <v>0</v>
      </c>
      <c r="O611" s="956">
        <f t="shared" ref="O611:O642" si="132">IF(E611=0,0,B611/E611)</f>
        <v>0</v>
      </c>
      <c r="P611" s="953">
        <f t="shared" si="127"/>
        <v>202.604444444444</v>
      </c>
      <c r="Q611" s="675">
        <f t="shared" si="130"/>
        <v>101.302222222222</v>
      </c>
    </row>
    <row r="612" s="541" customFormat="1" spans="1:17">
      <c r="A612" s="982">
        <v>45259</v>
      </c>
      <c r="B612" s="708">
        <v>1777.93</v>
      </c>
      <c r="C612" s="589">
        <v>8562</v>
      </c>
      <c r="D612" s="589">
        <v>683</v>
      </c>
      <c r="E612" s="589">
        <v>0</v>
      </c>
      <c r="F612" s="708">
        <v>0</v>
      </c>
      <c r="G612" s="589">
        <v>14</v>
      </c>
      <c r="H612" s="589">
        <v>6</v>
      </c>
      <c r="I612" s="589">
        <v>4</v>
      </c>
      <c r="J612" s="955">
        <f t="shared" si="123"/>
        <v>0.0797710815230086</v>
      </c>
      <c r="K612" s="953">
        <f t="shared" si="124"/>
        <v>2.60311859443631</v>
      </c>
      <c r="L612" s="634">
        <f t="shared" si="125"/>
        <v>0</v>
      </c>
      <c r="M612" s="955">
        <f t="shared" si="126"/>
        <v>0</v>
      </c>
      <c r="N612" s="956">
        <f t="shared" si="131"/>
        <v>0</v>
      </c>
      <c r="O612" s="956">
        <f t="shared" si="132"/>
        <v>0</v>
      </c>
      <c r="P612" s="953">
        <f t="shared" si="127"/>
        <v>126.995</v>
      </c>
      <c r="Q612" s="675">
        <f t="shared" si="130"/>
        <v>88.8965</v>
      </c>
    </row>
    <row r="613" s="541" customFormat="1" spans="1:17">
      <c r="A613" s="982">
        <v>45260</v>
      </c>
      <c r="B613" s="1000">
        <v>1824.84</v>
      </c>
      <c r="C613" s="593">
        <v>7708</v>
      </c>
      <c r="D613" s="593">
        <v>643</v>
      </c>
      <c r="E613" s="589">
        <v>1</v>
      </c>
      <c r="F613" s="1004">
        <v>18210</v>
      </c>
      <c r="G613" s="589">
        <v>17</v>
      </c>
      <c r="H613" s="589">
        <v>11</v>
      </c>
      <c r="I613" s="589">
        <v>6</v>
      </c>
      <c r="J613" s="955">
        <f t="shared" si="123"/>
        <v>0.0834198235599377</v>
      </c>
      <c r="K613" s="953">
        <f t="shared" si="124"/>
        <v>2.83800933125972</v>
      </c>
      <c r="L613" s="634">
        <f t="shared" si="125"/>
        <v>9.97895705924903</v>
      </c>
      <c r="M613" s="955">
        <f t="shared" si="126"/>
        <v>0.0015552099533437</v>
      </c>
      <c r="N613" s="956">
        <f t="shared" si="131"/>
        <v>18210</v>
      </c>
      <c r="O613" s="956">
        <f t="shared" si="132"/>
        <v>1824.84</v>
      </c>
      <c r="P613" s="953">
        <f t="shared" si="127"/>
        <v>107.343529411765</v>
      </c>
      <c r="Q613" s="675">
        <f t="shared" si="130"/>
        <v>65.1728571428571</v>
      </c>
    </row>
    <row r="614" spans="1:17">
      <c r="A614" s="1010">
        <v>45261</v>
      </c>
      <c r="B614" s="670">
        <v>2420.01</v>
      </c>
      <c r="C614" s="37">
        <v>7250</v>
      </c>
      <c r="D614" s="37">
        <v>609</v>
      </c>
      <c r="E614" s="37">
        <v>0</v>
      </c>
      <c r="F614" s="670">
        <v>0</v>
      </c>
      <c r="G614" s="37">
        <v>34</v>
      </c>
      <c r="H614" s="37">
        <v>12</v>
      </c>
      <c r="I614" s="37">
        <v>6</v>
      </c>
      <c r="J614" s="1011">
        <f t="shared" ref="J614:J670" si="133">D614/C614</f>
        <v>0.084</v>
      </c>
      <c r="K614" s="950">
        <f t="shared" ref="K614:K670" si="134">B614/D614</f>
        <v>3.97374384236453</v>
      </c>
      <c r="L614" s="1012">
        <f t="shared" ref="L614:L670" si="135">F614/B614</f>
        <v>0</v>
      </c>
      <c r="M614" s="1011">
        <f t="shared" ref="M614:M670" si="136">E614/D614</f>
        <v>0</v>
      </c>
      <c r="N614" s="956">
        <f t="shared" si="131"/>
        <v>0</v>
      </c>
      <c r="O614" s="956">
        <f t="shared" si="132"/>
        <v>0</v>
      </c>
      <c r="P614" s="950">
        <f t="shared" ref="P614:P670" si="137">B614/G614</f>
        <v>71.1767647058824</v>
      </c>
      <c r="Q614" s="675">
        <f t="shared" si="130"/>
        <v>52.6089130434783</v>
      </c>
    </row>
    <row r="615" spans="1:17">
      <c r="A615" s="1010">
        <v>45262</v>
      </c>
      <c r="B615" s="670">
        <v>4043.45</v>
      </c>
      <c r="C615" s="38">
        <v>10903</v>
      </c>
      <c r="D615" s="38">
        <v>748</v>
      </c>
      <c r="E615" s="37">
        <v>0</v>
      </c>
      <c r="F615" s="670">
        <v>0</v>
      </c>
      <c r="G615" s="37">
        <v>20</v>
      </c>
      <c r="H615" s="37">
        <v>13</v>
      </c>
      <c r="I615" s="37">
        <v>6</v>
      </c>
      <c r="J615" s="1011">
        <f t="shared" si="133"/>
        <v>0.0686049711088691</v>
      </c>
      <c r="K615" s="950">
        <f t="shared" si="134"/>
        <v>5.40568181818182</v>
      </c>
      <c r="L615" s="1012">
        <f t="shared" si="135"/>
        <v>0</v>
      </c>
      <c r="M615" s="1011">
        <f t="shared" si="136"/>
        <v>0</v>
      </c>
      <c r="N615" s="956">
        <f t="shared" si="131"/>
        <v>0</v>
      </c>
      <c r="O615" s="956">
        <f t="shared" si="132"/>
        <v>0</v>
      </c>
      <c r="P615" s="950">
        <f t="shared" si="137"/>
        <v>202.1725</v>
      </c>
      <c r="Q615" s="675">
        <f t="shared" si="130"/>
        <v>122.528787878788</v>
      </c>
    </row>
    <row r="616" spans="1:17">
      <c r="A616" s="1010">
        <v>45263</v>
      </c>
      <c r="B616" s="670">
        <v>5694.11</v>
      </c>
      <c r="C616" s="38">
        <v>13897</v>
      </c>
      <c r="D616" s="38">
        <v>841</v>
      </c>
      <c r="E616" s="37">
        <v>0</v>
      </c>
      <c r="F616" s="670">
        <v>0</v>
      </c>
      <c r="G616" s="37">
        <v>25</v>
      </c>
      <c r="H616" s="37">
        <v>17</v>
      </c>
      <c r="I616" s="37">
        <v>11</v>
      </c>
      <c r="J616" s="1011">
        <f t="shared" si="133"/>
        <v>0.0605166582715694</v>
      </c>
      <c r="K616" s="950">
        <f t="shared" si="134"/>
        <v>6.77064209274673</v>
      </c>
      <c r="L616" s="1012">
        <f t="shared" si="135"/>
        <v>0</v>
      </c>
      <c r="M616" s="1011">
        <f t="shared" si="136"/>
        <v>0</v>
      </c>
      <c r="N616" s="956">
        <f t="shared" si="131"/>
        <v>0</v>
      </c>
      <c r="O616" s="956">
        <f t="shared" si="132"/>
        <v>0</v>
      </c>
      <c r="P616" s="950">
        <f t="shared" si="137"/>
        <v>227.7644</v>
      </c>
      <c r="Q616" s="675">
        <f t="shared" si="130"/>
        <v>135.574047619048</v>
      </c>
    </row>
    <row r="617" spans="1:17">
      <c r="A617" s="1010">
        <v>45264</v>
      </c>
      <c r="B617" s="670">
        <v>4251.86</v>
      </c>
      <c r="C617" s="38">
        <v>10737</v>
      </c>
      <c r="D617" s="38">
        <v>719</v>
      </c>
      <c r="E617" s="37">
        <v>0</v>
      </c>
      <c r="F617" s="670">
        <v>0</v>
      </c>
      <c r="G617" s="37">
        <v>25</v>
      </c>
      <c r="H617" s="37">
        <v>14</v>
      </c>
      <c r="I617" s="37">
        <v>8</v>
      </c>
      <c r="J617" s="1011">
        <f t="shared" si="133"/>
        <v>0.0669647014994878</v>
      </c>
      <c r="K617" s="950">
        <f t="shared" si="134"/>
        <v>5.91357440890125</v>
      </c>
      <c r="L617" s="1012">
        <f t="shared" si="135"/>
        <v>0</v>
      </c>
      <c r="M617" s="1011">
        <f t="shared" si="136"/>
        <v>0</v>
      </c>
      <c r="N617" s="956">
        <f t="shared" si="131"/>
        <v>0</v>
      </c>
      <c r="O617" s="956">
        <f t="shared" si="132"/>
        <v>0</v>
      </c>
      <c r="P617" s="950">
        <f t="shared" si="137"/>
        <v>170.0744</v>
      </c>
      <c r="Q617" s="675">
        <f t="shared" si="130"/>
        <v>109.022051282051</v>
      </c>
    </row>
    <row r="618" spans="1:17">
      <c r="A618" s="1010">
        <v>45265</v>
      </c>
      <c r="B618" s="670">
        <v>3579.86</v>
      </c>
      <c r="C618" s="38">
        <v>11360</v>
      </c>
      <c r="D618" s="38">
        <v>572</v>
      </c>
      <c r="E618" s="37">
        <v>1</v>
      </c>
      <c r="F618" s="670">
        <v>30155</v>
      </c>
      <c r="G618" s="37">
        <v>36</v>
      </c>
      <c r="H618" s="37">
        <v>15</v>
      </c>
      <c r="I618" s="37">
        <v>9</v>
      </c>
      <c r="J618" s="1011">
        <f t="shared" si="133"/>
        <v>0.0503521126760563</v>
      </c>
      <c r="K618" s="950">
        <f t="shared" si="134"/>
        <v>6.2584965034965</v>
      </c>
      <c r="L618" s="1012">
        <f t="shared" si="135"/>
        <v>8.42351376869486</v>
      </c>
      <c r="M618" s="1011">
        <f t="shared" si="136"/>
        <v>0.00174825174825175</v>
      </c>
      <c r="N618" s="956">
        <f t="shared" si="131"/>
        <v>30155</v>
      </c>
      <c r="O618" s="956">
        <f t="shared" si="132"/>
        <v>3579.86</v>
      </c>
      <c r="P618" s="950">
        <f t="shared" si="137"/>
        <v>99.4405555555556</v>
      </c>
      <c r="Q618" s="675">
        <f t="shared" si="130"/>
        <v>70.1933333333333</v>
      </c>
    </row>
    <row r="619" spans="1:17">
      <c r="A619" s="1010">
        <v>45266</v>
      </c>
      <c r="B619" s="670">
        <v>3364.99</v>
      </c>
      <c r="C619" s="38">
        <v>13074</v>
      </c>
      <c r="D619" s="38">
        <v>802</v>
      </c>
      <c r="E619" s="37">
        <v>0</v>
      </c>
      <c r="F619" s="670">
        <v>0</v>
      </c>
      <c r="G619" s="37">
        <v>29</v>
      </c>
      <c r="H619" s="37">
        <v>19</v>
      </c>
      <c r="I619" s="37">
        <v>10</v>
      </c>
      <c r="J619" s="1011">
        <f t="shared" si="133"/>
        <v>0.0613431237570751</v>
      </c>
      <c r="K619" s="950">
        <f t="shared" si="134"/>
        <v>4.19574812967581</v>
      </c>
      <c r="L619" s="1012">
        <f t="shared" si="135"/>
        <v>0</v>
      </c>
      <c r="M619" s="1011">
        <f t="shared" si="136"/>
        <v>0</v>
      </c>
      <c r="N619" s="956">
        <f t="shared" si="131"/>
        <v>0</v>
      </c>
      <c r="O619" s="956">
        <f t="shared" si="132"/>
        <v>0</v>
      </c>
      <c r="P619" s="950">
        <f t="shared" si="137"/>
        <v>116.034137931034</v>
      </c>
      <c r="Q619" s="675">
        <f t="shared" si="130"/>
        <v>70.1039583333333</v>
      </c>
    </row>
    <row r="620" spans="1:17">
      <c r="A620" s="1010">
        <v>45267</v>
      </c>
      <c r="B620" s="670">
        <v>3711.06</v>
      </c>
      <c r="C620" s="38">
        <v>13399</v>
      </c>
      <c r="D620" s="38">
        <v>870</v>
      </c>
      <c r="E620" s="37">
        <v>0</v>
      </c>
      <c r="F620" s="670">
        <v>0</v>
      </c>
      <c r="G620" s="37">
        <v>22</v>
      </c>
      <c r="H620" s="37">
        <v>19</v>
      </c>
      <c r="I620" s="37">
        <v>12</v>
      </c>
      <c r="J620" s="1011">
        <f t="shared" si="133"/>
        <v>0.0649302186730353</v>
      </c>
      <c r="K620" s="950">
        <f t="shared" si="134"/>
        <v>4.26558620689655</v>
      </c>
      <c r="L620" s="1012">
        <f t="shared" si="135"/>
        <v>0</v>
      </c>
      <c r="M620" s="1011">
        <f t="shared" si="136"/>
        <v>0</v>
      </c>
      <c r="N620" s="956">
        <f t="shared" si="131"/>
        <v>0</v>
      </c>
      <c r="O620" s="956">
        <f t="shared" si="132"/>
        <v>0</v>
      </c>
      <c r="P620" s="950">
        <f t="shared" si="137"/>
        <v>168.684545454545</v>
      </c>
      <c r="Q620" s="675">
        <f t="shared" si="130"/>
        <v>90.5136585365854</v>
      </c>
    </row>
    <row r="621" spans="1:17">
      <c r="A621" s="1010">
        <v>45268</v>
      </c>
      <c r="B621" s="670">
        <v>3547.1</v>
      </c>
      <c r="C621" s="38">
        <v>17099</v>
      </c>
      <c r="D621" s="38">
        <v>790</v>
      </c>
      <c r="E621" s="37">
        <v>0</v>
      </c>
      <c r="F621" s="670">
        <v>0</v>
      </c>
      <c r="G621" s="37">
        <v>16</v>
      </c>
      <c r="H621" s="37">
        <v>10</v>
      </c>
      <c r="I621" s="37">
        <v>7</v>
      </c>
      <c r="J621" s="1011">
        <f t="shared" si="133"/>
        <v>0.0462015322533482</v>
      </c>
      <c r="K621" s="950">
        <f t="shared" si="134"/>
        <v>4.49</v>
      </c>
      <c r="L621" s="1012">
        <f t="shared" si="135"/>
        <v>0</v>
      </c>
      <c r="M621" s="1011">
        <f t="shared" si="136"/>
        <v>0</v>
      </c>
      <c r="N621" s="956">
        <f t="shared" si="131"/>
        <v>0</v>
      </c>
      <c r="O621" s="956">
        <f t="shared" si="132"/>
        <v>0</v>
      </c>
      <c r="P621" s="950">
        <f t="shared" si="137"/>
        <v>221.69375</v>
      </c>
      <c r="Q621" s="675">
        <f t="shared" si="130"/>
        <v>136.426923076923</v>
      </c>
    </row>
    <row r="622" spans="1:17">
      <c r="A622" s="1010">
        <v>45269</v>
      </c>
      <c r="B622" s="670">
        <v>5337.765</v>
      </c>
      <c r="C622" s="38">
        <v>16450</v>
      </c>
      <c r="D622" s="38">
        <v>993</v>
      </c>
      <c r="E622" s="37">
        <v>1</v>
      </c>
      <c r="F622" s="670">
        <v>30354</v>
      </c>
      <c r="G622" s="37">
        <v>49</v>
      </c>
      <c r="H622" s="37">
        <v>13</v>
      </c>
      <c r="I622" s="37">
        <v>6</v>
      </c>
      <c r="J622" s="1011">
        <f t="shared" si="133"/>
        <v>0.0603647416413374</v>
      </c>
      <c r="K622" s="950">
        <f t="shared" si="134"/>
        <v>5.37539274924471</v>
      </c>
      <c r="L622" s="1012">
        <f t="shared" si="135"/>
        <v>5.6866497494738</v>
      </c>
      <c r="M622" s="1011">
        <f t="shared" si="136"/>
        <v>0.00100704934541793</v>
      </c>
      <c r="N622" s="956">
        <f t="shared" si="131"/>
        <v>30354</v>
      </c>
      <c r="O622" s="956">
        <f t="shared" si="132"/>
        <v>5337.765</v>
      </c>
      <c r="P622" s="950">
        <f t="shared" si="137"/>
        <v>108.933979591837</v>
      </c>
      <c r="Q622" s="675">
        <f t="shared" si="130"/>
        <v>86.0929838709677</v>
      </c>
    </row>
    <row r="623" spans="1:17">
      <c r="A623" s="1010">
        <v>45270</v>
      </c>
      <c r="B623" s="670">
        <v>6430.67</v>
      </c>
      <c r="C623" s="38">
        <v>13621</v>
      </c>
      <c r="D623" s="38">
        <v>1280</v>
      </c>
      <c r="E623" s="37">
        <v>2</v>
      </c>
      <c r="F623" s="670">
        <v>25528</v>
      </c>
      <c r="G623" s="37">
        <v>82</v>
      </c>
      <c r="H623" s="37">
        <v>28</v>
      </c>
      <c r="I623" s="37">
        <v>21</v>
      </c>
      <c r="J623" s="1011">
        <f t="shared" si="133"/>
        <v>0.0939725423977682</v>
      </c>
      <c r="K623" s="950">
        <f t="shared" si="134"/>
        <v>5.0239609375</v>
      </c>
      <c r="L623" s="1012">
        <f t="shared" si="135"/>
        <v>3.96972632711677</v>
      </c>
      <c r="M623" s="1011">
        <f t="shared" si="136"/>
        <v>0.0015625</v>
      </c>
      <c r="N623" s="956">
        <f t="shared" si="131"/>
        <v>12764</v>
      </c>
      <c r="O623" s="956">
        <f t="shared" si="132"/>
        <v>3215.335</v>
      </c>
      <c r="P623" s="950">
        <f t="shared" si="137"/>
        <v>78.4228048780488</v>
      </c>
      <c r="Q623" s="675">
        <f t="shared" si="130"/>
        <v>58.4606363636364</v>
      </c>
    </row>
    <row r="624" spans="1:17">
      <c r="A624" s="1010">
        <v>45271</v>
      </c>
      <c r="B624" s="670">
        <v>6024.31</v>
      </c>
      <c r="C624" s="38">
        <v>11896</v>
      </c>
      <c r="D624" s="38">
        <v>1088</v>
      </c>
      <c r="E624" s="37">
        <v>1</v>
      </c>
      <c r="F624" s="670">
        <v>14432</v>
      </c>
      <c r="G624" s="37">
        <v>48</v>
      </c>
      <c r="H624" s="37">
        <v>21</v>
      </c>
      <c r="I624" s="37">
        <v>10</v>
      </c>
      <c r="J624" s="1011">
        <f t="shared" si="133"/>
        <v>0.0914593140551446</v>
      </c>
      <c r="K624" s="950">
        <f t="shared" si="134"/>
        <v>5.53704963235294</v>
      </c>
      <c r="L624" s="1012">
        <f t="shared" si="135"/>
        <v>2.39562705106477</v>
      </c>
      <c r="M624" s="1011">
        <f t="shared" si="136"/>
        <v>0.000919117647058824</v>
      </c>
      <c r="N624" s="956">
        <f t="shared" si="131"/>
        <v>14432</v>
      </c>
      <c r="O624" s="956">
        <f t="shared" si="132"/>
        <v>6024.31</v>
      </c>
      <c r="P624" s="950">
        <f t="shared" si="137"/>
        <v>125.506458333333</v>
      </c>
      <c r="Q624" s="675">
        <f t="shared" si="130"/>
        <v>87.3088405797102</v>
      </c>
    </row>
    <row r="625" spans="1:17">
      <c r="A625" s="1010">
        <v>45272</v>
      </c>
      <c r="B625" s="670">
        <v>6414.14</v>
      </c>
      <c r="C625" s="38">
        <v>14223</v>
      </c>
      <c r="D625" s="38">
        <v>1002</v>
      </c>
      <c r="E625" s="37">
        <v>2</v>
      </c>
      <c r="F625" s="670">
        <v>23515</v>
      </c>
      <c r="G625" s="37">
        <v>56</v>
      </c>
      <c r="H625" s="37">
        <v>27</v>
      </c>
      <c r="I625" s="37">
        <v>18</v>
      </c>
      <c r="J625" s="1011">
        <f t="shared" si="133"/>
        <v>0.0704492723054208</v>
      </c>
      <c r="K625" s="950">
        <f t="shared" si="134"/>
        <v>6.4013373253493</v>
      </c>
      <c r="L625" s="1012">
        <f t="shared" si="135"/>
        <v>3.66611891851441</v>
      </c>
      <c r="M625" s="1011">
        <f t="shared" si="136"/>
        <v>0.00199600798403194</v>
      </c>
      <c r="N625" s="956">
        <f t="shared" si="131"/>
        <v>11757.5</v>
      </c>
      <c r="O625" s="956">
        <f t="shared" si="132"/>
        <v>3207.07</v>
      </c>
      <c r="P625" s="950">
        <f t="shared" si="137"/>
        <v>114.538214285714</v>
      </c>
      <c r="Q625" s="675">
        <f t="shared" si="130"/>
        <v>77.2787951807229</v>
      </c>
    </row>
    <row r="626" spans="1:17">
      <c r="A626" s="1010">
        <v>45273</v>
      </c>
      <c r="B626" s="670">
        <v>6113.77</v>
      </c>
      <c r="C626" s="38">
        <v>15157</v>
      </c>
      <c r="D626" s="38">
        <v>985</v>
      </c>
      <c r="E626" s="37">
        <v>2</v>
      </c>
      <c r="F626" s="670">
        <v>38884</v>
      </c>
      <c r="G626" s="37">
        <v>44</v>
      </c>
      <c r="H626" s="37">
        <v>19</v>
      </c>
      <c r="I626" s="37">
        <v>8</v>
      </c>
      <c r="J626" s="1011">
        <f t="shared" si="133"/>
        <v>0.0649864748960876</v>
      </c>
      <c r="K626" s="950">
        <f t="shared" si="134"/>
        <v>6.2068730964467</v>
      </c>
      <c r="L626" s="1012">
        <f t="shared" si="135"/>
        <v>6.36006915536567</v>
      </c>
      <c r="M626" s="1011">
        <f t="shared" si="136"/>
        <v>0.00203045685279188</v>
      </c>
      <c r="N626" s="956">
        <f t="shared" si="131"/>
        <v>19442</v>
      </c>
      <c r="O626" s="956">
        <f t="shared" si="132"/>
        <v>3056.885</v>
      </c>
      <c r="P626" s="950">
        <f t="shared" si="137"/>
        <v>138.949318181818</v>
      </c>
      <c r="Q626" s="675">
        <f t="shared" si="130"/>
        <v>97.0439682539683</v>
      </c>
    </row>
    <row r="627" spans="1:17">
      <c r="A627" s="1010">
        <v>45274</v>
      </c>
      <c r="B627" s="1013">
        <v>5391.41</v>
      </c>
      <c r="C627" s="1014">
        <v>10979</v>
      </c>
      <c r="D627" s="1015">
        <v>831</v>
      </c>
      <c r="E627" s="37">
        <v>0</v>
      </c>
      <c r="F627" s="670">
        <v>0</v>
      </c>
      <c r="G627" s="37">
        <v>24</v>
      </c>
      <c r="H627" s="37">
        <v>9</v>
      </c>
      <c r="I627" s="37">
        <v>5</v>
      </c>
      <c r="J627" s="1011">
        <f t="shared" si="133"/>
        <v>0.0756899535476819</v>
      </c>
      <c r="K627" s="950">
        <f t="shared" si="134"/>
        <v>6.48785800240674</v>
      </c>
      <c r="L627" s="1012">
        <f t="shared" si="135"/>
        <v>0</v>
      </c>
      <c r="M627" s="1011">
        <f t="shared" si="136"/>
        <v>0</v>
      </c>
      <c r="N627" s="956">
        <f t="shared" si="131"/>
        <v>0</v>
      </c>
      <c r="O627" s="956">
        <f t="shared" si="132"/>
        <v>0</v>
      </c>
      <c r="P627" s="950">
        <f t="shared" si="137"/>
        <v>224.642083333333</v>
      </c>
      <c r="Q627" s="675">
        <f t="shared" si="130"/>
        <v>163.376060606061</v>
      </c>
    </row>
    <row r="628" spans="1:17">
      <c r="A628" s="1010">
        <v>45275</v>
      </c>
      <c r="B628" s="670">
        <v>5304.13</v>
      </c>
      <c r="C628" s="1016">
        <v>11092</v>
      </c>
      <c r="D628" s="1016">
        <v>830</v>
      </c>
      <c r="E628" s="37">
        <v>0</v>
      </c>
      <c r="F628" s="670">
        <v>0</v>
      </c>
      <c r="G628" s="37">
        <v>21</v>
      </c>
      <c r="H628" s="37">
        <v>10</v>
      </c>
      <c r="I628" s="37">
        <v>1</v>
      </c>
      <c r="J628" s="1011">
        <f t="shared" si="133"/>
        <v>0.074828705373242</v>
      </c>
      <c r="K628" s="950">
        <f t="shared" si="134"/>
        <v>6.39051807228916</v>
      </c>
      <c r="L628" s="1012">
        <f t="shared" si="135"/>
        <v>0</v>
      </c>
      <c r="M628" s="1011">
        <f t="shared" si="136"/>
        <v>0</v>
      </c>
      <c r="N628" s="956">
        <f t="shared" si="131"/>
        <v>0</v>
      </c>
      <c r="O628" s="956">
        <f t="shared" si="132"/>
        <v>0</v>
      </c>
      <c r="P628" s="950">
        <f t="shared" si="137"/>
        <v>252.577619047619</v>
      </c>
      <c r="Q628" s="675">
        <f t="shared" si="130"/>
        <v>171.100967741935</v>
      </c>
    </row>
    <row r="629" spans="1:17">
      <c r="A629" s="1010">
        <v>45276</v>
      </c>
      <c r="B629" s="670">
        <v>4881.17</v>
      </c>
      <c r="C629" s="1016">
        <v>10573</v>
      </c>
      <c r="D629" s="1016">
        <v>800</v>
      </c>
      <c r="E629" s="37">
        <v>0</v>
      </c>
      <c r="F629" s="670">
        <v>0</v>
      </c>
      <c r="G629" s="37">
        <v>26</v>
      </c>
      <c r="H629" s="37">
        <v>12</v>
      </c>
      <c r="I629" s="37">
        <v>6</v>
      </c>
      <c r="J629" s="1011">
        <f t="shared" si="133"/>
        <v>0.075664428260664</v>
      </c>
      <c r="K629" s="950">
        <f t="shared" si="134"/>
        <v>6.1014625</v>
      </c>
      <c r="L629" s="1012">
        <f t="shared" si="135"/>
        <v>0</v>
      </c>
      <c r="M629" s="1011">
        <f t="shared" si="136"/>
        <v>0</v>
      </c>
      <c r="N629" s="956">
        <f t="shared" si="131"/>
        <v>0</v>
      </c>
      <c r="O629" s="956">
        <f t="shared" si="132"/>
        <v>0</v>
      </c>
      <c r="P629" s="950">
        <f t="shared" si="137"/>
        <v>187.737307692308</v>
      </c>
      <c r="Q629" s="675">
        <f t="shared" si="130"/>
        <v>128.451842105263</v>
      </c>
    </row>
    <row r="630" spans="1:17">
      <c r="A630" s="1010">
        <v>45277</v>
      </c>
      <c r="B630" s="670">
        <v>5396.7</v>
      </c>
      <c r="C630" s="1016">
        <v>10262</v>
      </c>
      <c r="D630" s="1016">
        <v>826</v>
      </c>
      <c r="E630" s="37">
        <v>2</v>
      </c>
      <c r="F630" s="670">
        <v>58244</v>
      </c>
      <c r="G630" s="37">
        <v>29</v>
      </c>
      <c r="H630" s="37">
        <v>13</v>
      </c>
      <c r="I630" s="37">
        <v>5</v>
      </c>
      <c r="J630" s="1011">
        <f t="shared" si="133"/>
        <v>0.0804911323328786</v>
      </c>
      <c r="K630" s="950">
        <f t="shared" si="134"/>
        <v>6.53353510895884</v>
      </c>
      <c r="L630" s="1012">
        <f t="shared" si="135"/>
        <v>10.7925213556433</v>
      </c>
      <c r="M630" s="1011">
        <f t="shared" si="136"/>
        <v>0.00242130750605327</v>
      </c>
      <c r="N630" s="956">
        <f t="shared" si="131"/>
        <v>29122</v>
      </c>
      <c r="O630" s="956">
        <f t="shared" si="132"/>
        <v>2698.35</v>
      </c>
      <c r="P630" s="950">
        <f t="shared" si="137"/>
        <v>186.093103448276</v>
      </c>
      <c r="Q630" s="675">
        <f t="shared" si="130"/>
        <v>128.492857142857</v>
      </c>
    </row>
    <row r="631" spans="1:17">
      <c r="A631" s="1010">
        <v>45278</v>
      </c>
      <c r="B631" s="670">
        <v>6965.16</v>
      </c>
      <c r="C631" s="1014">
        <v>12658</v>
      </c>
      <c r="D631" s="1015">
        <v>998</v>
      </c>
      <c r="E631" s="37">
        <v>0</v>
      </c>
      <c r="F631" s="670">
        <v>0</v>
      </c>
      <c r="G631" s="37">
        <v>23</v>
      </c>
      <c r="H631" s="37">
        <v>16</v>
      </c>
      <c r="I631" s="37">
        <v>8</v>
      </c>
      <c r="J631" s="1011">
        <f t="shared" si="133"/>
        <v>0.0788434191815453</v>
      </c>
      <c r="K631" s="950">
        <f t="shared" si="134"/>
        <v>6.97911823647295</v>
      </c>
      <c r="L631" s="1012">
        <f t="shared" si="135"/>
        <v>0</v>
      </c>
      <c r="M631" s="1011">
        <f t="shared" si="136"/>
        <v>0</v>
      </c>
      <c r="N631" s="956">
        <f t="shared" si="131"/>
        <v>0</v>
      </c>
      <c r="O631" s="956">
        <f t="shared" si="132"/>
        <v>0</v>
      </c>
      <c r="P631" s="950">
        <f t="shared" si="137"/>
        <v>302.833043478261</v>
      </c>
      <c r="Q631" s="675">
        <f t="shared" si="130"/>
        <v>178.593846153846</v>
      </c>
    </row>
    <row r="632" spans="1:17">
      <c r="A632" s="1010">
        <v>45279</v>
      </c>
      <c r="B632" s="670">
        <v>5654.38</v>
      </c>
      <c r="C632" s="38">
        <v>11387</v>
      </c>
      <c r="D632" s="37">
        <v>790</v>
      </c>
      <c r="E632" s="37">
        <v>0</v>
      </c>
      <c r="F632" s="670">
        <v>0</v>
      </c>
      <c r="G632" s="37">
        <v>27</v>
      </c>
      <c r="H632" s="37">
        <v>10</v>
      </c>
      <c r="I632" s="37">
        <v>6</v>
      </c>
      <c r="J632" s="1011">
        <f t="shared" si="133"/>
        <v>0.0693773601475367</v>
      </c>
      <c r="K632" s="950">
        <f t="shared" si="134"/>
        <v>7.15744303797468</v>
      </c>
      <c r="L632" s="1012">
        <f t="shared" si="135"/>
        <v>0</v>
      </c>
      <c r="M632" s="1011">
        <f t="shared" si="136"/>
        <v>0</v>
      </c>
      <c r="N632" s="956">
        <f t="shared" si="131"/>
        <v>0</v>
      </c>
      <c r="O632" s="956">
        <f t="shared" si="132"/>
        <v>0</v>
      </c>
      <c r="P632" s="950">
        <f t="shared" si="137"/>
        <v>209.421481481481</v>
      </c>
      <c r="Q632" s="675">
        <f t="shared" si="130"/>
        <v>152.821081081081</v>
      </c>
    </row>
    <row r="633" spans="1:17">
      <c r="A633" s="1010">
        <v>45280</v>
      </c>
      <c r="B633" s="670">
        <v>2758.46</v>
      </c>
      <c r="C633" s="38">
        <v>5468</v>
      </c>
      <c r="D633" s="37">
        <v>437</v>
      </c>
      <c r="E633" s="37">
        <v>0</v>
      </c>
      <c r="F633" s="670">
        <v>0</v>
      </c>
      <c r="G633" s="37">
        <v>13</v>
      </c>
      <c r="H633" s="37">
        <v>7</v>
      </c>
      <c r="I633" s="37">
        <v>5</v>
      </c>
      <c r="J633" s="1011">
        <f t="shared" si="133"/>
        <v>0.0799195318215069</v>
      </c>
      <c r="K633" s="950">
        <f t="shared" si="134"/>
        <v>6.31226544622426</v>
      </c>
      <c r="L633" s="1012">
        <f t="shared" si="135"/>
        <v>0</v>
      </c>
      <c r="M633" s="1011">
        <f t="shared" si="136"/>
        <v>0</v>
      </c>
      <c r="N633" s="956">
        <f t="shared" si="131"/>
        <v>0</v>
      </c>
      <c r="O633" s="956">
        <f t="shared" si="132"/>
        <v>0</v>
      </c>
      <c r="P633" s="950">
        <f t="shared" si="137"/>
        <v>212.189230769231</v>
      </c>
      <c r="Q633" s="675">
        <f t="shared" si="130"/>
        <v>137.923</v>
      </c>
    </row>
    <row r="634" spans="1:17">
      <c r="A634" s="1010">
        <v>45281</v>
      </c>
      <c r="B634" s="670">
        <v>2605.35</v>
      </c>
      <c r="C634" s="38">
        <v>4047</v>
      </c>
      <c r="D634" s="37">
        <v>423</v>
      </c>
      <c r="E634" s="37">
        <v>0</v>
      </c>
      <c r="F634" s="670">
        <v>0</v>
      </c>
      <c r="G634" s="37">
        <v>30</v>
      </c>
      <c r="H634" s="37">
        <v>5</v>
      </c>
      <c r="I634" s="37">
        <v>5</v>
      </c>
      <c r="J634" s="1011">
        <f t="shared" si="133"/>
        <v>0.104521868050408</v>
      </c>
      <c r="K634" s="950">
        <f t="shared" si="134"/>
        <v>6.15921985815603</v>
      </c>
      <c r="L634" s="1012">
        <f t="shared" si="135"/>
        <v>0</v>
      </c>
      <c r="M634" s="1011">
        <f t="shared" si="136"/>
        <v>0</v>
      </c>
      <c r="N634" s="956">
        <f t="shared" si="131"/>
        <v>0</v>
      </c>
      <c r="O634" s="956">
        <f t="shared" si="132"/>
        <v>0</v>
      </c>
      <c r="P634" s="950">
        <f t="shared" si="137"/>
        <v>86.845</v>
      </c>
      <c r="Q634" s="675">
        <f t="shared" si="130"/>
        <v>74.4385714285714</v>
      </c>
    </row>
    <row r="635" spans="1:17">
      <c r="A635" s="1010">
        <v>45282</v>
      </c>
      <c r="B635" s="670">
        <v>1566.8</v>
      </c>
      <c r="C635" s="38">
        <v>3527</v>
      </c>
      <c r="D635" s="37">
        <v>330</v>
      </c>
      <c r="E635" s="37">
        <v>0</v>
      </c>
      <c r="F635" s="670">
        <v>0</v>
      </c>
      <c r="G635" s="37">
        <v>16</v>
      </c>
      <c r="H635" s="37">
        <v>8</v>
      </c>
      <c r="I635" s="37">
        <v>7</v>
      </c>
      <c r="J635" s="1011">
        <f t="shared" si="133"/>
        <v>0.0935639353558265</v>
      </c>
      <c r="K635" s="950">
        <f t="shared" si="134"/>
        <v>4.74787878787879</v>
      </c>
      <c r="L635" s="1012">
        <f t="shared" si="135"/>
        <v>0</v>
      </c>
      <c r="M635" s="1011">
        <f t="shared" si="136"/>
        <v>0</v>
      </c>
      <c r="N635" s="956">
        <f t="shared" si="131"/>
        <v>0</v>
      </c>
      <c r="O635" s="956">
        <f t="shared" si="132"/>
        <v>0</v>
      </c>
      <c r="P635" s="950">
        <f t="shared" si="137"/>
        <v>97.925</v>
      </c>
      <c r="Q635" s="675">
        <f t="shared" si="130"/>
        <v>65.2833333333333</v>
      </c>
    </row>
    <row r="636" spans="1:17">
      <c r="A636" s="1010">
        <v>45283</v>
      </c>
      <c r="B636" s="670">
        <v>1561.02</v>
      </c>
      <c r="C636" s="38">
        <v>4711</v>
      </c>
      <c r="D636" s="37">
        <v>373</v>
      </c>
      <c r="E636" s="37">
        <v>0</v>
      </c>
      <c r="F636" s="670">
        <v>0</v>
      </c>
      <c r="G636" s="37">
        <v>26</v>
      </c>
      <c r="H636" s="37">
        <v>9</v>
      </c>
      <c r="I636" s="37">
        <v>6</v>
      </c>
      <c r="J636" s="1011">
        <f t="shared" si="133"/>
        <v>0.0791763956697092</v>
      </c>
      <c r="K636" s="950">
        <f t="shared" si="134"/>
        <v>4.18504021447721</v>
      </c>
      <c r="L636" s="1012">
        <f t="shared" si="135"/>
        <v>0</v>
      </c>
      <c r="M636" s="1011">
        <f t="shared" si="136"/>
        <v>0</v>
      </c>
      <c r="N636" s="956">
        <f t="shared" si="131"/>
        <v>0</v>
      </c>
      <c r="O636" s="956">
        <f t="shared" si="132"/>
        <v>0</v>
      </c>
      <c r="P636" s="950">
        <f t="shared" si="137"/>
        <v>60.0392307692308</v>
      </c>
      <c r="Q636" s="675">
        <f t="shared" si="130"/>
        <v>44.6005714285714</v>
      </c>
    </row>
    <row r="637" spans="1:17">
      <c r="A637" s="1010">
        <v>45284</v>
      </c>
      <c r="B637" s="670">
        <v>1745.25</v>
      </c>
      <c r="C637" s="38">
        <v>4110</v>
      </c>
      <c r="D637" s="37">
        <v>394</v>
      </c>
      <c r="E637" s="37">
        <v>0</v>
      </c>
      <c r="F637" s="670">
        <v>0</v>
      </c>
      <c r="G637" s="37">
        <v>14</v>
      </c>
      <c r="H637" s="37">
        <v>5</v>
      </c>
      <c r="I637" s="37">
        <v>4</v>
      </c>
      <c r="J637" s="1011">
        <f t="shared" si="133"/>
        <v>0.0958637469586375</v>
      </c>
      <c r="K637" s="950">
        <f t="shared" si="134"/>
        <v>4.42956852791878</v>
      </c>
      <c r="L637" s="1012">
        <f t="shared" si="135"/>
        <v>0</v>
      </c>
      <c r="M637" s="1011">
        <f t="shared" si="136"/>
        <v>0</v>
      </c>
      <c r="N637" s="956">
        <f t="shared" si="131"/>
        <v>0</v>
      </c>
      <c r="O637" s="956">
        <f t="shared" si="132"/>
        <v>0</v>
      </c>
      <c r="P637" s="950">
        <f t="shared" si="137"/>
        <v>124.660714285714</v>
      </c>
      <c r="Q637" s="675">
        <f t="shared" si="130"/>
        <v>91.8552631578947</v>
      </c>
    </row>
    <row r="638" spans="1:17">
      <c r="A638" s="1010">
        <v>45285</v>
      </c>
      <c r="B638" s="670">
        <v>2250</v>
      </c>
      <c r="C638" s="38">
        <v>4783</v>
      </c>
      <c r="D638" s="37">
        <v>414</v>
      </c>
      <c r="E638" s="37">
        <v>0</v>
      </c>
      <c r="F638" s="670">
        <v>0</v>
      </c>
      <c r="G638" s="37">
        <v>13</v>
      </c>
      <c r="H638" s="37">
        <v>8</v>
      </c>
      <c r="I638" s="37">
        <v>3</v>
      </c>
      <c r="J638" s="1011">
        <f t="shared" si="133"/>
        <v>0.0865565544637257</v>
      </c>
      <c r="K638" s="950">
        <f t="shared" si="134"/>
        <v>5.43478260869565</v>
      </c>
      <c r="L638" s="1012">
        <f t="shared" si="135"/>
        <v>0</v>
      </c>
      <c r="M638" s="1011">
        <f t="shared" si="136"/>
        <v>0</v>
      </c>
      <c r="N638" s="956">
        <f t="shared" si="131"/>
        <v>0</v>
      </c>
      <c r="O638" s="956">
        <f t="shared" si="132"/>
        <v>0</v>
      </c>
      <c r="P638" s="950">
        <f t="shared" si="137"/>
        <v>173.076923076923</v>
      </c>
      <c r="Q638" s="675">
        <f t="shared" si="130"/>
        <v>107.142857142857</v>
      </c>
    </row>
    <row r="639" spans="1:17">
      <c r="A639" s="1010">
        <v>45286</v>
      </c>
      <c r="B639" s="1017">
        <v>2125.91</v>
      </c>
      <c r="C639" s="38">
        <v>4994</v>
      </c>
      <c r="D639" s="37">
        <v>415</v>
      </c>
      <c r="E639" s="37">
        <v>0</v>
      </c>
      <c r="F639" s="670">
        <v>0</v>
      </c>
      <c r="G639" s="37">
        <v>28</v>
      </c>
      <c r="H639" s="37">
        <v>5</v>
      </c>
      <c r="I639" s="37">
        <v>5</v>
      </c>
      <c r="J639" s="1011">
        <f t="shared" si="133"/>
        <v>0.0830997196635963</v>
      </c>
      <c r="K639" s="950">
        <f t="shared" si="134"/>
        <v>5.12267469879518</v>
      </c>
      <c r="L639" s="1012">
        <f t="shared" si="135"/>
        <v>0</v>
      </c>
      <c r="M639" s="1011">
        <f t="shared" si="136"/>
        <v>0</v>
      </c>
      <c r="N639" s="956">
        <f t="shared" si="131"/>
        <v>0</v>
      </c>
      <c r="O639" s="956">
        <f t="shared" si="132"/>
        <v>0</v>
      </c>
      <c r="P639" s="950">
        <f t="shared" si="137"/>
        <v>75.9253571428571</v>
      </c>
      <c r="Q639" s="675">
        <f t="shared" si="130"/>
        <v>64.4215151515152</v>
      </c>
    </row>
    <row r="640" spans="1:17">
      <c r="A640" s="1010">
        <v>45287</v>
      </c>
      <c r="B640" s="1017">
        <v>1783.47</v>
      </c>
      <c r="C640" s="38">
        <v>4998</v>
      </c>
      <c r="D640" s="37">
        <v>372</v>
      </c>
      <c r="E640" s="37">
        <v>0</v>
      </c>
      <c r="F640" s="670">
        <v>0</v>
      </c>
      <c r="G640" s="37">
        <v>7</v>
      </c>
      <c r="H640" s="37">
        <v>0</v>
      </c>
      <c r="I640" s="37">
        <v>3</v>
      </c>
      <c r="J640" s="1011">
        <f t="shared" si="133"/>
        <v>0.0744297719087635</v>
      </c>
      <c r="K640" s="950">
        <f t="shared" si="134"/>
        <v>4.79427419354839</v>
      </c>
      <c r="L640" s="1012">
        <f t="shared" si="135"/>
        <v>0</v>
      </c>
      <c r="M640" s="1011">
        <f t="shared" si="136"/>
        <v>0</v>
      </c>
      <c r="N640" s="956">
        <f t="shared" si="131"/>
        <v>0</v>
      </c>
      <c r="O640" s="956">
        <f t="shared" si="132"/>
        <v>0</v>
      </c>
      <c r="P640" s="950">
        <f t="shared" si="137"/>
        <v>254.781428571429</v>
      </c>
      <c r="Q640" s="675">
        <f t="shared" si="130"/>
        <v>254.781428571429</v>
      </c>
    </row>
    <row r="641" spans="1:17">
      <c r="A641" s="1010">
        <v>45288</v>
      </c>
      <c r="B641" s="670">
        <v>2048.29</v>
      </c>
      <c r="C641" s="38">
        <v>7077</v>
      </c>
      <c r="D641" s="37">
        <v>496</v>
      </c>
      <c r="E641" s="37">
        <v>3</v>
      </c>
      <c r="F641" s="670">
        <v>9000</v>
      </c>
      <c r="G641" s="37">
        <v>15</v>
      </c>
      <c r="H641" s="37">
        <v>3</v>
      </c>
      <c r="I641" s="37">
        <v>6</v>
      </c>
      <c r="J641" s="1011">
        <f t="shared" si="133"/>
        <v>0.0700861947152748</v>
      </c>
      <c r="K641" s="950">
        <f t="shared" si="134"/>
        <v>4.12961693548387</v>
      </c>
      <c r="L641" s="1012">
        <f t="shared" si="135"/>
        <v>4.39390906561083</v>
      </c>
      <c r="M641" s="1011">
        <f t="shared" si="136"/>
        <v>0.00604838709677419</v>
      </c>
      <c r="N641" s="956">
        <f t="shared" si="131"/>
        <v>3000</v>
      </c>
      <c r="O641" s="956">
        <f t="shared" si="132"/>
        <v>682.763333333333</v>
      </c>
      <c r="P641" s="950">
        <f t="shared" si="137"/>
        <v>136.552666666667</v>
      </c>
      <c r="Q641" s="675">
        <f t="shared" si="130"/>
        <v>113.793888888889</v>
      </c>
    </row>
    <row r="642" spans="1:17">
      <c r="A642" s="1010">
        <v>45289</v>
      </c>
      <c r="B642" s="670">
        <v>2570.89</v>
      </c>
      <c r="C642" s="38">
        <v>7030</v>
      </c>
      <c r="D642" s="37">
        <v>530</v>
      </c>
      <c r="E642" s="37">
        <v>2</v>
      </c>
      <c r="F642" s="670">
        <v>23108</v>
      </c>
      <c r="G642" s="37">
        <v>22</v>
      </c>
      <c r="H642" s="37">
        <v>2</v>
      </c>
      <c r="I642" s="37">
        <v>4</v>
      </c>
      <c r="J642" s="1011">
        <f t="shared" si="133"/>
        <v>0.0753911806543385</v>
      </c>
      <c r="K642" s="950">
        <f t="shared" si="134"/>
        <v>4.8507358490566</v>
      </c>
      <c r="L642" s="1012">
        <f t="shared" si="135"/>
        <v>8.98832699959936</v>
      </c>
      <c r="M642" s="1011">
        <f t="shared" si="136"/>
        <v>0.00377358490566038</v>
      </c>
      <c r="N642" s="956">
        <f t="shared" si="131"/>
        <v>11554</v>
      </c>
      <c r="O642" s="956">
        <f t="shared" si="132"/>
        <v>1285.445</v>
      </c>
      <c r="P642" s="950">
        <f t="shared" si="137"/>
        <v>116.858636363636</v>
      </c>
      <c r="Q642" s="675">
        <f t="shared" si="130"/>
        <v>107.120416666667</v>
      </c>
    </row>
    <row r="643" spans="1:17">
      <c r="A643" s="1010">
        <v>45290</v>
      </c>
      <c r="B643" s="670">
        <v>2892.09</v>
      </c>
      <c r="C643" s="38">
        <v>6056</v>
      </c>
      <c r="D643" s="37">
        <v>572</v>
      </c>
      <c r="E643" s="37">
        <v>2</v>
      </c>
      <c r="F643" s="670">
        <v>22108</v>
      </c>
      <c r="G643" s="37">
        <v>34</v>
      </c>
      <c r="H643" s="37">
        <v>2</v>
      </c>
      <c r="I643" s="37">
        <v>2</v>
      </c>
      <c r="J643" s="1011">
        <f t="shared" si="133"/>
        <v>0.0944517833553501</v>
      </c>
      <c r="K643" s="950">
        <f t="shared" si="134"/>
        <v>5.0561013986014</v>
      </c>
      <c r="L643" s="1012">
        <f t="shared" si="135"/>
        <v>7.64429875972048</v>
      </c>
      <c r="M643" s="1011">
        <f t="shared" si="136"/>
        <v>0.0034965034965035</v>
      </c>
      <c r="N643" s="956">
        <f t="shared" ref="N643:N674" si="138">IF(E643=0,0,F643/E643)</f>
        <v>11054</v>
      </c>
      <c r="O643" s="956">
        <f t="shared" ref="O643:O674" si="139">IF(E643=0,0,B643/E643)</f>
        <v>1446.045</v>
      </c>
      <c r="P643" s="950">
        <f t="shared" si="137"/>
        <v>85.0614705882353</v>
      </c>
      <c r="Q643" s="675">
        <f t="shared" si="130"/>
        <v>80.3358333333333</v>
      </c>
    </row>
    <row r="644" spans="1:17">
      <c r="A644" s="1010">
        <v>45291</v>
      </c>
      <c r="B644" s="670">
        <v>2911.11</v>
      </c>
      <c r="C644" s="38">
        <v>6668</v>
      </c>
      <c r="D644" s="37">
        <v>573</v>
      </c>
      <c r="E644" s="37">
        <v>0</v>
      </c>
      <c r="F644" s="670">
        <v>0</v>
      </c>
      <c r="G644" s="37">
        <v>37</v>
      </c>
      <c r="H644" s="37">
        <v>2</v>
      </c>
      <c r="I644" s="37">
        <v>6</v>
      </c>
      <c r="J644" s="1011">
        <f t="shared" si="133"/>
        <v>0.0859328134373125</v>
      </c>
      <c r="K644" s="950">
        <f t="shared" si="134"/>
        <v>5.08047120418848</v>
      </c>
      <c r="L644" s="1012">
        <f t="shared" si="135"/>
        <v>0</v>
      </c>
      <c r="M644" s="1011">
        <f t="shared" si="136"/>
        <v>0</v>
      </c>
      <c r="N644" s="956">
        <f t="shared" si="138"/>
        <v>0</v>
      </c>
      <c r="O644" s="956">
        <f t="shared" si="139"/>
        <v>0</v>
      </c>
      <c r="P644" s="950">
        <f t="shared" si="137"/>
        <v>78.6786486486486</v>
      </c>
      <c r="Q644" s="675">
        <f t="shared" si="130"/>
        <v>74.6438461538462</v>
      </c>
    </row>
    <row r="645" spans="1:17">
      <c r="A645" s="1010">
        <v>45292</v>
      </c>
      <c r="B645" s="670">
        <v>2996.34</v>
      </c>
      <c r="C645" s="38">
        <v>6794</v>
      </c>
      <c r="D645" s="37">
        <v>601</v>
      </c>
      <c r="E645" s="37">
        <v>3</v>
      </c>
      <c r="F645" s="670">
        <v>50251</v>
      </c>
      <c r="G645" s="37">
        <v>25</v>
      </c>
      <c r="H645" s="37">
        <v>3</v>
      </c>
      <c r="I645" s="37">
        <v>4</v>
      </c>
      <c r="J645" s="1011">
        <f t="shared" si="133"/>
        <v>0.0884604062408007</v>
      </c>
      <c r="K645" s="950">
        <f t="shared" si="134"/>
        <v>4.98559068219634</v>
      </c>
      <c r="L645" s="1012">
        <f t="shared" si="135"/>
        <v>16.7707937016493</v>
      </c>
      <c r="M645" s="1011">
        <f t="shared" si="136"/>
        <v>0.00499168053244592</v>
      </c>
      <c r="N645" s="956">
        <f t="shared" si="138"/>
        <v>16750.3333333333</v>
      </c>
      <c r="O645" s="956">
        <f t="shared" si="139"/>
        <v>998.78</v>
      </c>
      <c r="P645" s="950">
        <f t="shared" si="137"/>
        <v>119.8536</v>
      </c>
      <c r="Q645" s="675">
        <f t="shared" si="130"/>
        <v>107.012142857143</v>
      </c>
    </row>
    <row r="646" spans="1:17">
      <c r="A646" s="1010">
        <v>45293</v>
      </c>
      <c r="B646" s="670">
        <v>2987.48</v>
      </c>
      <c r="C646" s="38">
        <v>8129</v>
      </c>
      <c r="D646" s="37">
        <v>688</v>
      </c>
      <c r="E646" s="37">
        <v>0</v>
      </c>
      <c r="F646" s="670">
        <v>0</v>
      </c>
      <c r="G646" s="37">
        <v>28</v>
      </c>
      <c r="H646" s="37">
        <v>3</v>
      </c>
      <c r="I646" s="37">
        <v>3</v>
      </c>
      <c r="J646" s="1011">
        <f t="shared" si="133"/>
        <v>0.084635256489113</v>
      </c>
      <c r="K646" s="950">
        <f t="shared" si="134"/>
        <v>4.34226744186047</v>
      </c>
      <c r="L646" s="1012">
        <f t="shared" si="135"/>
        <v>0</v>
      </c>
      <c r="M646" s="1011">
        <f t="shared" si="136"/>
        <v>0</v>
      </c>
      <c r="N646" s="956">
        <f t="shared" si="138"/>
        <v>0</v>
      </c>
      <c r="O646" s="956">
        <f t="shared" si="139"/>
        <v>0</v>
      </c>
      <c r="P646" s="950">
        <f t="shared" si="137"/>
        <v>106.695714285714</v>
      </c>
      <c r="Q646" s="675">
        <f t="shared" ref="Q646:Q678" si="140">B646/(G646+H646)</f>
        <v>96.3703225806452</v>
      </c>
    </row>
    <row r="647" spans="1:17">
      <c r="A647" s="1010">
        <v>45294</v>
      </c>
      <c r="B647" s="670">
        <v>2968.11</v>
      </c>
      <c r="C647" s="38">
        <v>8223</v>
      </c>
      <c r="D647" s="37">
        <v>836</v>
      </c>
      <c r="E647" s="37">
        <v>0</v>
      </c>
      <c r="F647" s="670">
        <v>0</v>
      </c>
      <c r="G647" s="37">
        <v>64</v>
      </c>
      <c r="H647" s="37">
        <v>12</v>
      </c>
      <c r="I647" s="37">
        <v>13</v>
      </c>
      <c r="J647" s="1011">
        <f t="shared" si="133"/>
        <v>0.101666058616077</v>
      </c>
      <c r="K647" s="950">
        <f t="shared" si="134"/>
        <v>3.55037081339713</v>
      </c>
      <c r="L647" s="1012">
        <f t="shared" si="135"/>
        <v>0</v>
      </c>
      <c r="M647" s="1011">
        <f t="shared" si="136"/>
        <v>0</v>
      </c>
      <c r="N647" s="956">
        <f t="shared" si="138"/>
        <v>0</v>
      </c>
      <c r="O647" s="956">
        <f t="shared" si="139"/>
        <v>0</v>
      </c>
      <c r="P647" s="950">
        <f t="shared" si="137"/>
        <v>46.37671875</v>
      </c>
      <c r="Q647" s="675">
        <f t="shared" si="140"/>
        <v>39.0540789473684</v>
      </c>
    </row>
    <row r="648" spans="1:17">
      <c r="A648" s="1010">
        <v>45295</v>
      </c>
      <c r="B648" s="670">
        <v>2827.71</v>
      </c>
      <c r="C648" s="38">
        <v>7414</v>
      </c>
      <c r="D648" s="37">
        <v>826</v>
      </c>
      <c r="E648" s="37">
        <v>2</v>
      </c>
      <c r="F648" s="670">
        <v>4000</v>
      </c>
      <c r="G648" s="37">
        <v>46</v>
      </c>
      <c r="H648" s="37">
        <v>7</v>
      </c>
      <c r="I648" s="37">
        <v>10</v>
      </c>
      <c r="J648" s="1011">
        <f t="shared" si="133"/>
        <v>0.11141084434853</v>
      </c>
      <c r="K648" s="950">
        <f t="shared" si="134"/>
        <v>3.42337772397094</v>
      </c>
      <c r="L648" s="1012">
        <f t="shared" si="135"/>
        <v>1.41457221567983</v>
      </c>
      <c r="M648" s="1011">
        <f t="shared" si="136"/>
        <v>0.00242130750605327</v>
      </c>
      <c r="N648" s="956">
        <f t="shared" si="138"/>
        <v>2000</v>
      </c>
      <c r="O648" s="956">
        <f t="shared" si="139"/>
        <v>1413.855</v>
      </c>
      <c r="P648" s="950">
        <f t="shared" si="137"/>
        <v>61.4719565217391</v>
      </c>
      <c r="Q648" s="675">
        <f t="shared" si="140"/>
        <v>53.3530188679245</v>
      </c>
    </row>
    <row r="649" spans="1:17">
      <c r="A649" s="1010">
        <v>45296</v>
      </c>
      <c r="B649" s="670">
        <v>1911.85</v>
      </c>
      <c r="C649" s="38">
        <v>7142</v>
      </c>
      <c r="D649" s="37">
        <v>597</v>
      </c>
      <c r="E649" s="37">
        <v>0</v>
      </c>
      <c r="F649" s="670">
        <v>0</v>
      </c>
      <c r="G649" s="37">
        <v>32</v>
      </c>
      <c r="H649" s="37">
        <v>13</v>
      </c>
      <c r="I649" s="37">
        <v>8</v>
      </c>
      <c r="J649" s="1011">
        <f t="shared" si="133"/>
        <v>0.0835900308036964</v>
      </c>
      <c r="K649" s="950">
        <f t="shared" si="134"/>
        <v>3.20242881072027</v>
      </c>
      <c r="L649" s="1012">
        <f t="shared" si="135"/>
        <v>0</v>
      </c>
      <c r="M649" s="1011">
        <f t="shared" si="136"/>
        <v>0</v>
      </c>
      <c r="N649" s="956">
        <f t="shared" si="138"/>
        <v>0</v>
      </c>
      <c r="O649" s="956">
        <f t="shared" si="139"/>
        <v>0</v>
      </c>
      <c r="P649" s="950">
        <f t="shared" si="137"/>
        <v>59.7453125</v>
      </c>
      <c r="Q649" s="675">
        <f t="shared" si="140"/>
        <v>42.4855555555556</v>
      </c>
    </row>
    <row r="650" spans="1:17">
      <c r="A650" s="1010">
        <v>45297</v>
      </c>
      <c r="B650" s="670">
        <v>2332.51</v>
      </c>
      <c r="C650" s="38">
        <v>6304</v>
      </c>
      <c r="D650" s="37">
        <v>648</v>
      </c>
      <c r="E650" s="37">
        <v>0</v>
      </c>
      <c r="F650" s="670">
        <v>0</v>
      </c>
      <c r="G650" s="37">
        <v>16</v>
      </c>
      <c r="H650" s="37">
        <v>10</v>
      </c>
      <c r="I650" s="37">
        <v>6</v>
      </c>
      <c r="J650" s="1011">
        <f t="shared" si="133"/>
        <v>0.102791878172589</v>
      </c>
      <c r="K650" s="950">
        <f t="shared" si="134"/>
        <v>3.5995524691358</v>
      </c>
      <c r="L650" s="1012">
        <f t="shared" si="135"/>
        <v>0</v>
      </c>
      <c r="M650" s="1011">
        <f t="shared" si="136"/>
        <v>0</v>
      </c>
      <c r="N650" s="956">
        <f t="shared" si="138"/>
        <v>0</v>
      </c>
      <c r="O650" s="956">
        <f t="shared" si="139"/>
        <v>0</v>
      </c>
      <c r="P650" s="950">
        <f t="shared" si="137"/>
        <v>145.781875</v>
      </c>
      <c r="Q650" s="675">
        <f t="shared" si="140"/>
        <v>89.7119230769231</v>
      </c>
    </row>
    <row r="651" spans="1:17">
      <c r="A651" s="1010">
        <v>45298</v>
      </c>
      <c r="B651" s="670">
        <v>2783.59</v>
      </c>
      <c r="C651" s="38">
        <v>6220</v>
      </c>
      <c r="D651" s="37">
        <v>680</v>
      </c>
      <c r="E651" s="37">
        <v>0</v>
      </c>
      <c r="F651" s="670">
        <v>0</v>
      </c>
      <c r="G651" s="37">
        <v>40</v>
      </c>
      <c r="H651" s="37">
        <v>12</v>
      </c>
      <c r="I651" s="37">
        <v>4</v>
      </c>
      <c r="J651" s="1011">
        <f t="shared" si="133"/>
        <v>0.109324758842444</v>
      </c>
      <c r="K651" s="950">
        <f t="shared" si="134"/>
        <v>4.09351470588235</v>
      </c>
      <c r="L651" s="1012">
        <f t="shared" si="135"/>
        <v>0</v>
      </c>
      <c r="M651" s="1011">
        <f t="shared" si="136"/>
        <v>0</v>
      </c>
      <c r="N651" s="956">
        <f t="shared" si="138"/>
        <v>0</v>
      </c>
      <c r="O651" s="956">
        <f t="shared" si="139"/>
        <v>0</v>
      </c>
      <c r="P651" s="950">
        <f t="shared" si="137"/>
        <v>69.58975</v>
      </c>
      <c r="Q651" s="675">
        <f t="shared" si="140"/>
        <v>53.5305769230769</v>
      </c>
    </row>
    <row r="652" spans="1:17">
      <c r="A652" s="1010">
        <v>45299</v>
      </c>
      <c r="B652" s="670">
        <v>2694.91</v>
      </c>
      <c r="C652" s="38">
        <v>6646</v>
      </c>
      <c r="D652" s="37">
        <v>707</v>
      </c>
      <c r="E652" s="37">
        <v>0</v>
      </c>
      <c r="F652" s="670">
        <v>0</v>
      </c>
      <c r="G652" s="37">
        <v>43</v>
      </c>
      <c r="H652" s="37">
        <v>12</v>
      </c>
      <c r="I652" s="37">
        <v>6</v>
      </c>
      <c r="J652" s="1011">
        <f t="shared" si="133"/>
        <v>0.10637977730966</v>
      </c>
      <c r="K652" s="950">
        <f t="shared" si="134"/>
        <v>3.81175388967468</v>
      </c>
      <c r="L652" s="1012">
        <f t="shared" si="135"/>
        <v>0</v>
      </c>
      <c r="M652" s="1011">
        <f t="shared" si="136"/>
        <v>0</v>
      </c>
      <c r="N652" s="956">
        <f t="shared" si="138"/>
        <v>0</v>
      </c>
      <c r="O652" s="956">
        <f t="shared" si="139"/>
        <v>0</v>
      </c>
      <c r="P652" s="950">
        <f t="shared" si="137"/>
        <v>62.6723255813953</v>
      </c>
      <c r="Q652" s="675">
        <f t="shared" si="140"/>
        <v>48.9983636363636</v>
      </c>
    </row>
    <row r="653" spans="1:17">
      <c r="A653" s="1010">
        <v>45300</v>
      </c>
      <c r="B653" s="670">
        <v>2444.84</v>
      </c>
      <c r="C653" s="38">
        <v>5723</v>
      </c>
      <c r="D653" s="37">
        <v>645</v>
      </c>
      <c r="E653" s="37">
        <v>0</v>
      </c>
      <c r="F653" s="670">
        <v>0</v>
      </c>
      <c r="G653" s="37">
        <v>29</v>
      </c>
      <c r="H653" s="37">
        <v>8</v>
      </c>
      <c r="I653" s="37">
        <v>2</v>
      </c>
      <c r="J653" s="1018">
        <f t="shared" si="133"/>
        <v>0.112703127730211</v>
      </c>
      <c r="K653" s="1019">
        <f t="shared" si="134"/>
        <v>3.7904496124031</v>
      </c>
      <c r="L653" s="1020">
        <f t="shared" si="135"/>
        <v>0</v>
      </c>
      <c r="M653" s="1018">
        <f t="shared" si="136"/>
        <v>0</v>
      </c>
      <c r="N653" s="956">
        <f t="shared" si="138"/>
        <v>0</v>
      </c>
      <c r="O653" s="956">
        <f t="shared" si="139"/>
        <v>0</v>
      </c>
      <c r="P653" s="1019">
        <f t="shared" si="137"/>
        <v>84.3048275862069</v>
      </c>
      <c r="Q653" s="675">
        <f t="shared" si="140"/>
        <v>66.0767567567568</v>
      </c>
    </row>
    <row r="654" spans="1:17">
      <c r="A654" s="1010">
        <v>45301</v>
      </c>
      <c r="B654" s="670">
        <v>1706.18</v>
      </c>
      <c r="C654" s="38">
        <v>4050</v>
      </c>
      <c r="D654" s="37">
        <v>468</v>
      </c>
      <c r="E654" s="37">
        <v>0</v>
      </c>
      <c r="F654" s="670">
        <v>0</v>
      </c>
      <c r="G654" s="37">
        <v>26</v>
      </c>
      <c r="H654" s="37">
        <v>3</v>
      </c>
      <c r="I654" s="37">
        <v>7</v>
      </c>
      <c r="J654" s="1018">
        <f t="shared" si="133"/>
        <v>0.115555555555556</v>
      </c>
      <c r="K654" s="1019">
        <f t="shared" si="134"/>
        <v>3.64568376068376</v>
      </c>
      <c r="L654" s="1020">
        <f t="shared" si="135"/>
        <v>0</v>
      </c>
      <c r="M654" s="1018">
        <f t="shared" si="136"/>
        <v>0</v>
      </c>
      <c r="N654" s="956">
        <f t="shared" si="138"/>
        <v>0</v>
      </c>
      <c r="O654" s="956">
        <f t="shared" si="139"/>
        <v>0</v>
      </c>
      <c r="P654" s="1019">
        <f t="shared" si="137"/>
        <v>65.6223076923077</v>
      </c>
      <c r="Q654" s="675">
        <f t="shared" si="140"/>
        <v>58.8337931034483</v>
      </c>
    </row>
    <row r="655" spans="1:17">
      <c r="A655" s="1010">
        <v>45302</v>
      </c>
      <c r="B655" s="670">
        <v>1530.95</v>
      </c>
      <c r="C655" s="38">
        <v>4252</v>
      </c>
      <c r="D655" s="37">
        <v>431</v>
      </c>
      <c r="E655" s="37">
        <v>0</v>
      </c>
      <c r="F655" s="670">
        <v>0</v>
      </c>
      <c r="G655" s="37">
        <v>15</v>
      </c>
      <c r="H655" s="37">
        <v>2</v>
      </c>
      <c r="I655" s="37">
        <v>2</v>
      </c>
      <c r="J655" s="1018">
        <f t="shared" si="133"/>
        <v>0.101364063969897</v>
      </c>
      <c r="K655" s="1019">
        <f t="shared" si="134"/>
        <v>3.55208816705336</v>
      </c>
      <c r="L655" s="1020">
        <f t="shared" si="135"/>
        <v>0</v>
      </c>
      <c r="M655" s="1018">
        <f t="shared" si="136"/>
        <v>0</v>
      </c>
      <c r="N655" s="956">
        <f t="shared" si="138"/>
        <v>0</v>
      </c>
      <c r="O655" s="956">
        <f t="shared" si="139"/>
        <v>0</v>
      </c>
      <c r="P655" s="1019">
        <f t="shared" si="137"/>
        <v>102.063333333333</v>
      </c>
      <c r="Q655" s="675">
        <f t="shared" si="140"/>
        <v>90.0558823529412</v>
      </c>
    </row>
    <row r="656" spans="1:17">
      <c r="A656" s="1010">
        <v>45303</v>
      </c>
      <c r="B656" s="670">
        <v>1790.68</v>
      </c>
      <c r="C656" s="38">
        <v>4045</v>
      </c>
      <c r="D656" s="37">
        <v>484</v>
      </c>
      <c r="E656" s="37">
        <v>0</v>
      </c>
      <c r="F656" s="670">
        <v>0</v>
      </c>
      <c r="G656" s="37">
        <v>17</v>
      </c>
      <c r="H656" s="37">
        <v>3</v>
      </c>
      <c r="I656" s="37">
        <v>7</v>
      </c>
      <c r="J656" s="1018">
        <f t="shared" si="133"/>
        <v>0.119653893695921</v>
      </c>
      <c r="K656" s="1019">
        <f t="shared" si="134"/>
        <v>3.6997520661157</v>
      </c>
      <c r="L656" s="1020">
        <f t="shared" si="135"/>
        <v>0</v>
      </c>
      <c r="M656" s="1018">
        <f t="shared" si="136"/>
        <v>0</v>
      </c>
      <c r="N656" s="956">
        <f t="shared" si="138"/>
        <v>0</v>
      </c>
      <c r="O656" s="956">
        <f t="shared" si="139"/>
        <v>0</v>
      </c>
      <c r="P656" s="1019">
        <f t="shared" si="137"/>
        <v>105.334117647059</v>
      </c>
      <c r="Q656" s="675">
        <f t="shared" si="140"/>
        <v>89.534</v>
      </c>
    </row>
    <row r="657" spans="1:17">
      <c r="A657" s="1010">
        <v>45304</v>
      </c>
      <c r="B657" s="670">
        <v>1383.36</v>
      </c>
      <c r="C657" s="38">
        <v>3827</v>
      </c>
      <c r="D657" s="37">
        <v>414</v>
      </c>
      <c r="E657" s="37">
        <v>0</v>
      </c>
      <c r="F657" s="670">
        <v>0</v>
      </c>
      <c r="G657" s="37">
        <v>11</v>
      </c>
      <c r="H657" s="37">
        <v>3</v>
      </c>
      <c r="I657" s="37">
        <v>4</v>
      </c>
      <c r="J657" s="1018">
        <f t="shared" si="133"/>
        <v>0.108178730075777</v>
      </c>
      <c r="K657" s="1019">
        <f t="shared" si="134"/>
        <v>3.34144927536232</v>
      </c>
      <c r="L657" s="1020">
        <f t="shared" si="135"/>
        <v>0</v>
      </c>
      <c r="M657" s="1018">
        <f t="shared" si="136"/>
        <v>0</v>
      </c>
      <c r="N657" s="956">
        <f t="shared" si="138"/>
        <v>0</v>
      </c>
      <c r="O657" s="956">
        <f t="shared" si="139"/>
        <v>0</v>
      </c>
      <c r="P657" s="1019">
        <f t="shared" si="137"/>
        <v>125.76</v>
      </c>
      <c r="Q657" s="675">
        <f t="shared" si="140"/>
        <v>98.8114285714286</v>
      </c>
    </row>
    <row r="658" spans="1:17">
      <c r="A658" s="1010">
        <v>45305</v>
      </c>
      <c r="B658" s="670">
        <v>1815.97</v>
      </c>
      <c r="C658" s="38">
        <v>4150</v>
      </c>
      <c r="D658" s="37">
        <v>536</v>
      </c>
      <c r="E658" s="37">
        <v>0</v>
      </c>
      <c r="F658" s="670">
        <v>0</v>
      </c>
      <c r="G658" s="37">
        <v>22</v>
      </c>
      <c r="H658" s="37">
        <v>4</v>
      </c>
      <c r="I658" s="37">
        <v>3</v>
      </c>
      <c r="J658" s="1018">
        <f t="shared" si="133"/>
        <v>0.129156626506024</v>
      </c>
      <c r="K658" s="1019">
        <f t="shared" si="134"/>
        <v>3.38800373134328</v>
      </c>
      <c r="L658" s="1020">
        <f t="shared" si="135"/>
        <v>0</v>
      </c>
      <c r="M658" s="1018">
        <f t="shared" si="136"/>
        <v>0</v>
      </c>
      <c r="N658" s="956">
        <f t="shared" si="138"/>
        <v>0</v>
      </c>
      <c r="O658" s="956">
        <f t="shared" si="139"/>
        <v>0</v>
      </c>
      <c r="P658" s="1019">
        <f t="shared" si="137"/>
        <v>82.5440909090909</v>
      </c>
      <c r="Q658" s="675">
        <f t="shared" si="140"/>
        <v>69.845</v>
      </c>
    </row>
    <row r="659" spans="1:17">
      <c r="A659" s="1010">
        <v>45306</v>
      </c>
      <c r="B659" s="670">
        <v>1965.86</v>
      </c>
      <c r="C659" s="38">
        <v>4760</v>
      </c>
      <c r="D659" s="37">
        <v>535</v>
      </c>
      <c r="E659" s="37">
        <v>0</v>
      </c>
      <c r="F659" s="670">
        <v>0</v>
      </c>
      <c r="G659" s="37">
        <v>22</v>
      </c>
      <c r="H659" s="37">
        <v>5</v>
      </c>
      <c r="I659" s="37">
        <v>3</v>
      </c>
      <c r="J659" s="1018">
        <f t="shared" si="133"/>
        <v>0.112394957983193</v>
      </c>
      <c r="K659" s="1019">
        <f t="shared" si="134"/>
        <v>3.6745046728972</v>
      </c>
      <c r="L659" s="1020">
        <f t="shared" si="135"/>
        <v>0</v>
      </c>
      <c r="M659" s="1018">
        <f t="shared" si="136"/>
        <v>0</v>
      </c>
      <c r="N659" s="956">
        <f t="shared" si="138"/>
        <v>0</v>
      </c>
      <c r="O659" s="956">
        <f t="shared" si="139"/>
        <v>0</v>
      </c>
      <c r="P659" s="1019">
        <f t="shared" si="137"/>
        <v>89.3572727272727</v>
      </c>
      <c r="Q659" s="675">
        <f t="shared" si="140"/>
        <v>72.8096296296296</v>
      </c>
    </row>
    <row r="660" spans="1:17">
      <c r="A660" s="1010">
        <v>45307</v>
      </c>
      <c r="B660" s="670">
        <v>2265.95</v>
      </c>
      <c r="C660" s="38">
        <v>5197</v>
      </c>
      <c r="D660" s="37">
        <v>552</v>
      </c>
      <c r="E660" s="37">
        <v>0</v>
      </c>
      <c r="F660" s="670">
        <v>0</v>
      </c>
      <c r="G660" s="37">
        <v>20</v>
      </c>
      <c r="H660" s="37">
        <v>2</v>
      </c>
      <c r="I660" s="37">
        <v>2</v>
      </c>
      <c r="J660" s="1018">
        <f t="shared" si="133"/>
        <v>0.106215124110063</v>
      </c>
      <c r="K660" s="1019">
        <f t="shared" si="134"/>
        <v>4.10498188405797</v>
      </c>
      <c r="L660" s="1020">
        <f t="shared" si="135"/>
        <v>0</v>
      </c>
      <c r="M660" s="1018">
        <f t="shared" si="136"/>
        <v>0</v>
      </c>
      <c r="N660" s="956">
        <f t="shared" si="138"/>
        <v>0</v>
      </c>
      <c r="O660" s="956">
        <f t="shared" si="139"/>
        <v>0</v>
      </c>
      <c r="P660" s="1019">
        <f t="shared" si="137"/>
        <v>113.2975</v>
      </c>
      <c r="Q660" s="675">
        <f t="shared" si="140"/>
        <v>102.997727272727</v>
      </c>
    </row>
    <row r="661" spans="1:17">
      <c r="A661" s="1010">
        <v>45308</v>
      </c>
      <c r="B661" s="670">
        <v>1887.44</v>
      </c>
      <c r="C661" s="38">
        <v>4577</v>
      </c>
      <c r="D661" s="37">
        <v>441</v>
      </c>
      <c r="E661" s="37">
        <v>0</v>
      </c>
      <c r="F661" s="670">
        <v>0</v>
      </c>
      <c r="G661" s="37">
        <v>16</v>
      </c>
      <c r="H661" s="37">
        <v>1</v>
      </c>
      <c r="I661" s="37">
        <v>2</v>
      </c>
      <c r="J661" s="1018">
        <f t="shared" si="133"/>
        <v>0.0963513218265239</v>
      </c>
      <c r="K661" s="1019">
        <f t="shared" si="134"/>
        <v>4.27990929705215</v>
      </c>
      <c r="L661" s="1020">
        <f t="shared" si="135"/>
        <v>0</v>
      </c>
      <c r="M661" s="1018">
        <f t="shared" si="136"/>
        <v>0</v>
      </c>
      <c r="N661" s="956">
        <f t="shared" si="138"/>
        <v>0</v>
      </c>
      <c r="O661" s="956">
        <f t="shared" si="139"/>
        <v>0</v>
      </c>
      <c r="P661" s="1019">
        <f t="shared" si="137"/>
        <v>117.965</v>
      </c>
      <c r="Q661" s="675">
        <f t="shared" si="140"/>
        <v>111.025882352941</v>
      </c>
    </row>
    <row r="662" spans="1:17">
      <c r="A662" s="1010">
        <v>45309</v>
      </c>
      <c r="B662" s="670">
        <v>2045.73</v>
      </c>
      <c r="C662" s="37">
        <v>4094</v>
      </c>
      <c r="D662" s="37">
        <v>459</v>
      </c>
      <c r="E662" s="37">
        <v>0</v>
      </c>
      <c r="F662" s="670">
        <v>0</v>
      </c>
      <c r="G662" s="37">
        <v>26</v>
      </c>
      <c r="H662" s="37">
        <v>4</v>
      </c>
      <c r="I662" s="37">
        <v>3</v>
      </c>
      <c r="J662" s="1018">
        <f t="shared" si="133"/>
        <v>0.112115290669272</v>
      </c>
      <c r="K662" s="1019">
        <f t="shared" si="134"/>
        <v>4.45692810457516</v>
      </c>
      <c r="L662" s="1020">
        <f t="shared" si="135"/>
        <v>0</v>
      </c>
      <c r="M662" s="1018">
        <f t="shared" si="136"/>
        <v>0</v>
      </c>
      <c r="N662" s="956">
        <f t="shared" si="138"/>
        <v>0</v>
      </c>
      <c r="O662" s="956">
        <f t="shared" si="139"/>
        <v>0</v>
      </c>
      <c r="P662" s="1019">
        <f t="shared" si="137"/>
        <v>78.6819230769231</v>
      </c>
      <c r="Q662" s="675">
        <f t="shared" si="140"/>
        <v>68.191</v>
      </c>
    </row>
    <row r="663" spans="1:17">
      <c r="A663" s="1010">
        <v>45310</v>
      </c>
      <c r="B663" s="670">
        <v>1944.33</v>
      </c>
      <c r="C663" s="37">
        <v>3997</v>
      </c>
      <c r="D663" s="37">
        <v>394</v>
      </c>
      <c r="E663" s="37">
        <v>0</v>
      </c>
      <c r="F663" s="670">
        <v>0</v>
      </c>
      <c r="G663" s="37">
        <v>26</v>
      </c>
      <c r="H663" s="37">
        <v>4</v>
      </c>
      <c r="I663" s="37">
        <v>4</v>
      </c>
      <c r="J663" s="1018">
        <f t="shared" si="133"/>
        <v>0.0985739304478359</v>
      </c>
      <c r="K663" s="1019">
        <f t="shared" si="134"/>
        <v>4.93484771573604</v>
      </c>
      <c r="L663" s="1020">
        <f t="shared" si="135"/>
        <v>0</v>
      </c>
      <c r="M663" s="1018">
        <f t="shared" si="136"/>
        <v>0</v>
      </c>
      <c r="N663" s="956">
        <f t="shared" si="138"/>
        <v>0</v>
      </c>
      <c r="O663" s="956">
        <f t="shared" si="139"/>
        <v>0</v>
      </c>
      <c r="P663" s="1019">
        <f t="shared" si="137"/>
        <v>74.7819230769231</v>
      </c>
      <c r="Q663" s="675">
        <f t="shared" si="140"/>
        <v>64.811</v>
      </c>
    </row>
    <row r="664" spans="1:17">
      <c r="A664" s="1010">
        <v>45311</v>
      </c>
      <c r="B664" s="670">
        <v>1981.61</v>
      </c>
      <c r="C664" s="37">
        <v>4333</v>
      </c>
      <c r="D664" s="37">
        <v>385</v>
      </c>
      <c r="E664" s="37">
        <v>0</v>
      </c>
      <c r="F664" s="670">
        <v>0</v>
      </c>
      <c r="G664" s="37">
        <v>18</v>
      </c>
      <c r="H664" s="37">
        <v>1</v>
      </c>
      <c r="I664" s="37">
        <v>2</v>
      </c>
      <c r="J664" s="1018">
        <f t="shared" si="133"/>
        <v>0.0888529886914378</v>
      </c>
      <c r="K664" s="1019">
        <f t="shared" si="134"/>
        <v>5.14703896103896</v>
      </c>
      <c r="L664" s="1020">
        <f t="shared" si="135"/>
        <v>0</v>
      </c>
      <c r="M664" s="1018">
        <f t="shared" si="136"/>
        <v>0</v>
      </c>
      <c r="N664" s="956">
        <f t="shared" si="138"/>
        <v>0</v>
      </c>
      <c r="O664" s="956">
        <f t="shared" si="139"/>
        <v>0</v>
      </c>
      <c r="P664" s="1019">
        <f t="shared" si="137"/>
        <v>110.089444444444</v>
      </c>
      <c r="Q664" s="675">
        <f t="shared" si="140"/>
        <v>104.295263157895</v>
      </c>
    </row>
    <row r="665" spans="1:17">
      <c r="A665" s="1010">
        <v>45312</v>
      </c>
      <c r="B665" s="670">
        <v>2142.49</v>
      </c>
      <c r="C665" s="37">
        <v>4422</v>
      </c>
      <c r="D665" s="37">
        <v>416</v>
      </c>
      <c r="E665" s="37">
        <v>0</v>
      </c>
      <c r="F665" s="670">
        <v>0</v>
      </c>
      <c r="G665" s="37">
        <v>23</v>
      </c>
      <c r="H665" s="37">
        <v>7</v>
      </c>
      <c r="I665" s="37">
        <v>6</v>
      </c>
      <c r="J665" s="1018">
        <f t="shared" si="133"/>
        <v>0.094075079149706</v>
      </c>
      <c r="K665" s="1019">
        <f t="shared" si="134"/>
        <v>5.15021634615385</v>
      </c>
      <c r="L665" s="1020">
        <f t="shared" si="135"/>
        <v>0</v>
      </c>
      <c r="M665" s="1018">
        <f t="shared" si="136"/>
        <v>0</v>
      </c>
      <c r="N665" s="956">
        <f t="shared" si="138"/>
        <v>0</v>
      </c>
      <c r="O665" s="956">
        <f t="shared" si="139"/>
        <v>0</v>
      </c>
      <c r="P665" s="1019">
        <f t="shared" si="137"/>
        <v>93.1517391304348</v>
      </c>
      <c r="Q665" s="675">
        <f t="shared" si="140"/>
        <v>71.4163333333333</v>
      </c>
    </row>
    <row r="666" spans="1:17">
      <c r="A666" s="1010">
        <v>45313</v>
      </c>
      <c r="B666" s="670">
        <v>1965.2</v>
      </c>
      <c r="C666" s="38">
        <v>5306</v>
      </c>
      <c r="D666" s="37">
        <v>372</v>
      </c>
      <c r="E666" s="37">
        <v>0</v>
      </c>
      <c r="F666" s="670">
        <v>0</v>
      </c>
      <c r="G666" s="37">
        <v>18</v>
      </c>
      <c r="H666" s="37">
        <v>2</v>
      </c>
      <c r="I666" s="37">
        <v>3</v>
      </c>
      <c r="J666" s="1018">
        <f t="shared" si="133"/>
        <v>0.0701093102148511</v>
      </c>
      <c r="K666" s="1019">
        <f t="shared" si="134"/>
        <v>5.28279569892473</v>
      </c>
      <c r="L666" s="1020">
        <f t="shared" si="135"/>
        <v>0</v>
      </c>
      <c r="M666" s="1018">
        <f t="shared" si="136"/>
        <v>0</v>
      </c>
      <c r="N666" s="956">
        <f t="shared" si="138"/>
        <v>0</v>
      </c>
      <c r="O666" s="956">
        <f t="shared" si="139"/>
        <v>0</v>
      </c>
      <c r="P666" s="1019">
        <f t="shared" si="137"/>
        <v>109.177777777778</v>
      </c>
      <c r="Q666" s="675">
        <f t="shared" si="140"/>
        <v>98.26</v>
      </c>
    </row>
    <row r="667" spans="1:17">
      <c r="A667" s="1010">
        <v>45314</v>
      </c>
      <c r="B667" s="670">
        <v>1745.64</v>
      </c>
      <c r="C667" s="38">
        <v>5173</v>
      </c>
      <c r="D667" s="37">
        <v>357</v>
      </c>
      <c r="E667" s="37">
        <v>0</v>
      </c>
      <c r="F667" s="670">
        <v>0</v>
      </c>
      <c r="G667" s="37">
        <v>16</v>
      </c>
      <c r="H667" s="37">
        <v>1</v>
      </c>
      <c r="I667" s="37">
        <v>1</v>
      </c>
      <c r="J667" s="1018">
        <f t="shared" si="133"/>
        <v>0.0690121786197564</v>
      </c>
      <c r="K667" s="1019">
        <f t="shared" si="134"/>
        <v>4.88974789915966</v>
      </c>
      <c r="L667" s="1020">
        <f t="shared" si="135"/>
        <v>0</v>
      </c>
      <c r="M667" s="1018">
        <f t="shared" si="136"/>
        <v>0</v>
      </c>
      <c r="N667" s="956">
        <f t="shared" si="138"/>
        <v>0</v>
      </c>
      <c r="O667" s="956">
        <f t="shared" si="139"/>
        <v>0</v>
      </c>
      <c r="P667" s="1019">
        <f t="shared" si="137"/>
        <v>109.1025</v>
      </c>
      <c r="Q667" s="675">
        <f t="shared" si="140"/>
        <v>102.684705882353</v>
      </c>
    </row>
    <row r="668" spans="1:17">
      <c r="A668" s="1010">
        <v>45315</v>
      </c>
      <c r="B668" s="670">
        <v>1932.4</v>
      </c>
      <c r="C668" s="38">
        <v>5887</v>
      </c>
      <c r="D668" s="37">
        <v>427</v>
      </c>
      <c r="E668" s="37">
        <v>0</v>
      </c>
      <c r="F668" s="670">
        <v>0</v>
      </c>
      <c r="G668" s="37">
        <v>14</v>
      </c>
      <c r="H668" s="37">
        <v>3</v>
      </c>
      <c r="I668" s="37">
        <v>1</v>
      </c>
      <c r="J668" s="1018">
        <f t="shared" si="133"/>
        <v>0.0725326991676575</v>
      </c>
      <c r="K668" s="1019">
        <f t="shared" si="134"/>
        <v>4.52552693208431</v>
      </c>
      <c r="L668" s="1020">
        <f t="shared" si="135"/>
        <v>0</v>
      </c>
      <c r="M668" s="1018">
        <f t="shared" si="136"/>
        <v>0</v>
      </c>
      <c r="N668" s="956">
        <f t="shared" si="138"/>
        <v>0</v>
      </c>
      <c r="O668" s="956">
        <f t="shared" si="139"/>
        <v>0</v>
      </c>
      <c r="P668" s="1019">
        <f t="shared" si="137"/>
        <v>138.028571428571</v>
      </c>
      <c r="Q668" s="675">
        <f t="shared" si="140"/>
        <v>113.670588235294</v>
      </c>
    </row>
    <row r="669" spans="1:17">
      <c r="A669" s="1010">
        <v>45316</v>
      </c>
      <c r="B669" s="670">
        <v>1925.14</v>
      </c>
      <c r="C669" s="38">
        <v>5070</v>
      </c>
      <c r="D669" s="37">
        <v>409</v>
      </c>
      <c r="E669" s="37">
        <v>0</v>
      </c>
      <c r="F669" s="670">
        <v>0</v>
      </c>
      <c r="G669" s="37">
        <v>20</v>
      </c>
      <c r="H669" s="37">
        <v>1</v>
      </c>
      <c r="I669" s="37">
        <v>3</v>
      </c>
      <c r="J669" s="1018">
        <f t="shared" si="133"/>
        <v>0.0806706114398422</v>
      </c>
      <c r="K669" s="1019">
        <f t="shared" si="134"/>
        <v>4.70694376528117</v>
      </c>
      <c r="L669" s="1020">
        <f t="shared" si="135"/>
        <v>0</v>
      </c>
      <c r="M669" s="1018">
        <f t="shared" si="136"/>
        <v>0</v>
      </c>
      <c r="N669" s="956">
        <f t="shared" si="138"/>
        <v>0</v>
      </c>
      <c r="O669" s="956">
        <f t="shared" si="139"/>
        <v>0</v>
      </c>
      <c r="P669" s="1019">
        <f t="shared" si="137"/>
        <v>96.257</v>
      </c>
      <c r="Q669" s="675">
        <f t="shared" si="140"/>
        <v>91.6733333333333</v>
      </c>
    </row>
    <row r="670" spans="1:17">
      <c r="A670" s="1010">
        <v>45317</v>
      </c>
      <c r="B670" s="670">
        <v>1854.37</v>
      </c>
      <c r="C670" s="37">
        <v>5555</v>
      </c>
      <c r="D670" s="37">
        <v>388</v>
      </c>
      <c r="E670" s="37">
        <v>0</v>
      </c>
      <c r="F670" s="670">
        <v>0</v>
      </c>
      <c r="G670" s="37">
        <v>24</v>
      </c>
      <c r="H670" s="37">
        <v>5</v>
      </c>
      <c r="I670" s="37">
        <v>2</v>
      </c>
      <c r="J670" s="1018">
        <f t="shared" si="133"/>
        <v>0.0698469846984699</v>
      </c>
      <c r="K670" s="1019">
        <f t="shared" si="134"/>
        <v>4.77930412371134</v>
      </c>
      <c r="L670" s="1020">
        <f t="shared" si="135"/>
        <v>0</v>
      </c>
      <c r="M670" s="1018">
        <f t="shared" si="136"/>
        <v>0</v>
      </c>
      <c r="N670" s="956">
        <f t="shared" si="138"/>
        <v>0</v>
      </c>
      <c r="O670" s="956">
        <f t="shared" si="139"/>
        <v>0</v>
      </c>
      <c r="P670" s="1019">
        <f t="shared" si="137"/>
        <v>77.2654166666667</v>
      </c>
      <c r="Q670" s="675">
        <f t="shared" si="140"/>
        <v>63.9437931034483</v>
      </c>
    </row>
    <row r="671" spans="1:17">
      <c r="A671" s="1010">
        <v>45318</v>
      </c>
      <c r="B671" s="670">
        <v>1780.96</v>
      </c>
      <c r="C671" s="37">
        <v>4731</v>
      </c>
      <c r="D671" s="37">
        <v>378</v>
      </c>
      <c r="E671" s="37">
        <v>0</v>
      </c>
      <c r="F671" s="670">
        <v>0</v>
      </c>
      <c r="G671" s="37">
        <v>21</v>
      </c>
      <c r="H671" s="37">
        <v>2</v>
      </c>
      <c r="I671" s="37">
        <v>2</v>
      </c>
      <c r="J671" s="1018">
        <f t="shared" ref="J671:J682" si="141">D671/C671</f>
        <v>0.0798985415345593</v>
      </c>
      <c r="K671" s="1019">
        <f t="shared" ref="K671:K682" si="142">B671/D671</f>
        <v>4.71153439153439</v>
      </c>
      <c r="L671" s="1020">
        <f t="shared" ref="L671:L682" si="143">F671/B671</f>
        <v>0</v>
      </c>
      <c r="M671" s="1018">
        <f t="shared" ref="M671:M682" si="144">E671/D671</f>
        <v>0</v>
      </c>
      <c r="N671" s="956">
        <f t="shared" si="138"/>
        <v>0</v>
      </c>
      <c r="O671" s="956">
        <f t="shared" si="139"/>
        <v>0</v>
      </c>
      <c r="P671" s="1019">
        <f t="shared" ref="P671:P682" si="145">B671/G671</f>
        <v>84.8076190476191</v>
      </c>
      <c r="Q671" s="675">
        <f t="shared" si="140"/>
        <v>77.4330434782609</v>
      </c>
    </row>
    <row r="672" spans="1:17">
      <c r="A672" s="1010">
        <v>45319</v>
      </c>
      <c r="B672" s="670">
        <v>1897.95</v>
      </c>
      <c r="C672" s="38">
        <v>4407</v>
      </c>
      <c r="D672" s="37">
        <v>383</v>
      </c>
      <c r="E672" s="37">
        <v>0</v>
      </c>
      <c r="F672" s="670">
        <v>0</v>
      </c>
      <c r="G672" s="37">
        <v>16</v>
      </c>
      <c r="H672" s="37">
        <v>5</v>
      </c>
      <c r="I672" s="37">
        <v>3</v>
      </c>
      <c r="J672" s="1018">
        <f t="shared" si="141"/>
        <v>0.0869071931018834</v>
      </c>
      <c r="K672" s="1019">
        <f t="shared" si="142"/>
        <v>4.95548302872063</v>
      </c>
      <c r="L672" s="1020">
        <f t="shared" si="143"/>
        <v>0</v>
      </c>
      <c r="M672" s="1018">
        <f t="shared" si="144"/>
        <v>0</v>
      </c>
      <c r="N672" s="956">
        <f t="shared" si="138"/>
        <v>0</v>
      </c>
      <c r="O672" s="956">
        <f t="shared" si="139"/>
        <v>0</v>
      </c>
      <c r="P672" s="1019">
        <f t="shared" si="145"/>
        <v>118.621875</v>
      </c>
      <c r="Q672" s="675">
        <f t="shared" si="140"/>
        <v>90.3785714285714</v>
      </c>
    </row>
    <row r="673" spans="1:17">
      <c r="A673" s="1010">
        <v>45320</v>
      </c>
      <c r="B673" s="670">
        <v>1785.78</v>
      </c>
      <c r="C673" s="38">
        <v>4289</v>
      </c>
      <c r="D673" s="37">
        <v>363</v>
      </c>
      <c r="E673" s="37">
        <v>0</v>
      </c>
      <c r="F673" s="670">
        <v>0</v>
      </c>
      <c r="G673" s="37">
        <v>20</v>
      </c>
      <c r="H673" s="37">
        <v>2</v>
      </c>
      <c r="I673" s="37">
        <v>1</v>
      </c>
      <c r="J673" s="1018">
        <f t="shared" si="141"/>
        <v>0.084635113079972</v>
      </c>
      <c r="K673" s="1019">
        <f t="shared" si="142"/>
        <v>4.91950413223141</v>
      </c>
      <c r="L673" s="1020">
        <f t="shared" si="143"/>
        <v>0</v>
      </c>
      <c r="M673" s="1018">
        <f t="shared" si="144"/>
        <v>0</v>
      </c>
      <c r="N673" s="956">
        <f t="shared" si="138"/>
        <v>0</v>
      </c>
      <c r="O673" s="956">
        <f t="shared" si="139"/>
        <v>0</v>
      </c>
      <c r="P673" s="1019">
        <f t="shared" si="145"/>
        <v>89.289</v>
      </c>
      <c r="Q673" s="675">
        <f t="shared" si="140"/>
        <v>81.1718181818182</v>
      </c>
    </row>
    <row r="674" spans="1:17">
      <c r="A674" s="1010">
        <v>45321</v>
      </c>
      <c r="B674" s="670">
        <v>1714.41</v>
      </c>
      <c r="C674" s="38">
        <v>4207</v>
      </c>
      <c r="D674" s="37">
        <v>375</v>
      </c>
      <c r="E674" s="37">
        <v>0</v>
      </c>
      <c r="F674" s="670">
        <v>0</v>
      </c>
      <c r="G674" s="37">
        <v>21</v>
      </c>
      <c r="H674" s="37">
        <v>5</v>
      </c>
      <c r="I674" s="37">
        <v>4</v>
      </c>
      <c r="J674" s="1018">
        <f t="shared" si="141"/>
        <v>0.0891371523651058</v>
      </c>
      <c r="K674" s="1019">
        <f t="shared" si="142"/>
        <v>4.57176</v>
      </c>
      <c r="L674" s="1020">
        <f t="shared" si="143"/>
        <v>0</v>
      </c>
      <c r="M674" s="1018">
        <f t="shared" si="144"/>
        <v>0</v>
      </c>
      <c r="N674" s="956">
        <f t="shared" si="138"/>
        <v>0</v>
      </c>
      <c r="O674" s="956">
        <f t="shared" si="139"/>
        <v>0</v>
      </c>
      <c r="P674" s="1019">
        <f t="shared" si="145"/>
        <v>81.6385714285714</v>
      </c>
      <c r="Q674" s="675">
        <f t="shared" si="140"/>
        <v>65.9388461538462</v>
      </c>
    </row>
    <row r="675" spans="1:17">
      <c r="A675" s="1010">
        <v>45322</v>
      </c>
      <c r="B675" s="670">
        <v>1535.21</v>
      </c>
      <c r="C675" s="38">
        <v>4670</v>
      </c>
      <c r="D675" s="37">
        <v>337</v>
      </c>
      <c r="E675" s="37">
        <v>0</v>
      </c>
      <c r="F675" s="670">
        <v>0</v>
      </c>
      <c r="G675" s="37">
        <v>14</v>
      </c>
      <c r="H675" s="37">
        <v>3</v>
      </c>
      <c r="I675" s="37">
        <v>3</v>
      </c>
      <c r="J675" s="1018">
        <f t="shared" si="141"/>
        <v>0.0721627408993576</v>
      </c>
      <c r="K675" s="1019">
        <f t="shared" si="142"/>
        <v>4.55551928783383</v>
      </c>
      <c r="L675" s="1020">
        <f t="shared" si="143"/>
        <v>0</v>
      </c>
      <c r="M675" s="1018">
        <f t="shared" si="144"/>
        <v>0</v>
      </c>
      <c r="N675" s="956">
        <f t="shared" ref="N675:N738" si="146">IF(E675=0,0,F675/E675)</f>
        <v>0</v>
      </c>
      <c r="O675" s="956">
        <f t="shared" ref="O675:O738" si="147">IF(E675=0,0,B675/E675)</f>
        <v>0</v>
      </c>
      <c r="P675" s="1019">
        <f t="shared" si="145"/>
        <v>109.657857142857</v>
      </c>
      <c r="Q675" s="675">
        <f t="shared" si="140"/>
        <v>90.3064705882353</v>
      </c>
    </row>
    <row r="676" spans="1:17">
      <c r="A676" s="1010">
        <v>45323</v>
      </c>
      <c r="B676" s="670">
        <v>1491.16</v>
      </c>
      <c r="C676" s="38">
        <v>3829</v>
      </c>
      <c r="D676" s="37">
        <v>336</v>
      </c>
      <c r="E676" s="37">
        <v>0</v>
      </c>
      <c r="F676" s="670">
        <v>0</v>
      </c>
      <c r="G676" s="37">
        <v>15</v>
      </c>
      <c r="H676" s="37">
        <v>5</v>
      </c>
      <c r="I676" s="37">
        <v>7</v>
      </c>
      <c r="J676" s="1018">
        <f t="shared" si="141"/>
        <v>0.0877513711151737</v>
      </c>
      <c r="K676" s="1019">
        <f t="shared" si="142"/>
        <v>4.43797619047619</v>
      </c>
      <c r="L676" s="1020">
        <f t="shared" si="143"/>
        <v>0</v>
      </c>
      <c r="M676" s="1018">
        <f t="shared" si="144"/>
        <v>0</v>
      </c>
      <c r="N676" s="956">
        <f t="shared" si="146"/>
        <v>0</v>
      </c>
      <c r="O676" s="956">
        <f t="shared" si="147"/>
        <v>0</v>
      </c>
      <c r="P676" s="1019">
        <f t="shared" si="145"/>
        <v>99.4106666666667</v>
      </c>
      <c r="Q676" s="675">
        <f t="shared" si="140"/>
        <v>74.558</v>
      </c>
    </row>
    <row r="677" spans="1:17">
      <c r="A677" s="1010">
        <v>45324</v>
      </c>
      <c r="B677" s="670">
        <v>1562.1</v>
      </c>
      <c r="C677" s="38">
        <v>3649</v>
      </c>
      <c r="D677" s="37">
        <v>323</v>
      </c>
      <c r="E677" s="37">
        <v>0</v>
      </c>
      <c r="F677" s="670">
        <v>0</v>
      </c>
      <c r="G677" s="37">
        <v>20</v>
      </c>
      <c r="H677" s="37">
        <v>0</v>
      </c>
      <c r="I677" s="37">
        <v>4</v>
      </c>
      <c r="J677" s="1018">
        <f t="shared" si="141"/>
        <v>0.0885174020279529</v>
      </c>
      <c r="K677" s="1019">
        <f t="shared" si="142"/>
        <v>4.83622291021672</v>
      </c>
      <c r="L677" s="1020">
        <f t="shared" si="143"/>
        <v>0</v>
      </c>
      <c r="M677" s="1018">
        <f t="shared" si="144"/>
        <v>0</v>
      </c>
      <c r="N677" s="956">
        <f t="shared" si="146"/>
        <v>0</v>
      </c>
      <c r="O677" s="956">
        <f t="shared" si="147"/>
        <v>0</v>
      </c>
      <c r="P677" s="1019">
        <f t="shared" si="145"/>
        <v>78.105</v>
      </c>
      <c r="Q677" s="675">
        <f t="shared" si="140"/>
        <v>78.105</v>
      </c>
    </row>
    <row r="678" spans="1:17">
      <c r="A678" s="1010">
        <v>45325</v>
      </c>
      <c r="B678" s="670">
        <v>1507.92</v>
      </c>
      <c r="C678" s="38">
        <v>3826</v>
      </c>
      <c r="D678" s="37">
        <v>335</v>
      </c>
      <c r="E678" s="37">
        <v>0</v>
      </c>
      <c r="F678" s="670">
        <v>0</v>
      </c>
      <c r="G678" s="37">
        <v>10</v>
      </c>
      <c r="H678" s="37">
        <v>1</v>
      </c>
      <c r="I678" s="37">
        <v>3</v>
      </c>
      <c r="J678" s="1018">
        <f t="shared" si="141"/>
        <v>0.0875588081547308</v>
      </c>
      <c r="K678" s="1019">
        <f t="shared" si="142"/>
        <v>4.50125373134328</v>
      </c>
      <c r="L678" s="1020">
        <f t="shared" si="143"/>
        <v>0</v>
      </c>
      <c r="M678" s="1018">
        <f t="shared" si="144"/>
        <v>0</v>
      </c>
      <c r="N678" s="956">
        <f t="shared" si="146"/>
        <v>0</v>
      </c>
      <c r="O678" s="956">
        <f t="shared" si="147"/>
        <v>0</v>
      </c>
      <c r="P678" s="1019">
        <f t="shared" si="145"/>
        <v>150.792</v>
      </c>
      <c r="Q678" s="675">
        <f t="shared" si="140"/>
        <v>137.083636363636</v>
      </c>
    </row>
    <row r="679" spans="1:17">
      <c r="A679" s="1010">
        <v>45326</v>
      </c>
      <c r="B679" s="670">
        <v>1651.62</v>
      </c>
      <c r="C679" s="38">
        <v>3982</v>
      </c>
      <c r="D679" s="37">
        <v>373</v>
      </c>
      <c r="E679" s="37">
        <v>1</v>
      </c>
      <c r="F679" s="670">
        <v>5447</v>
      </c>
      <c r="G679" s="37">
        <v>13</v>
      </c>
      <c r="H679" s="37">
        <v>0</v>
      </c>
      <c r="I679" s="37">
        <v>3</v>
      </c>
      <c r="J679" s="1018">
        <f t="shared" si="141"/>
        <v>0.0936715218483174</v>
      </c>
      <c r="K679" s="1019">
        <f t="shared" si="142"/>
        <v>4.42793565683646</v>
      </c>
      <c r="L679" s="1020">
        <f t="shared" si="143"/>
        <v>3.29797411026749</v>
      </c>
      <c r="M679" s="1018">
        <f t="shared" si="144"/>
        <v>0.00268096514745308</v>
      </c>
      <c r="N679" s="956">
        <f t="shared" si="146"/>
        <v>5447</v>
      </c>
      <c r="O679" s="956">
        <f t="shared" si="147"/>
        <v>1651.62</v>
      </c>
      <c r="P679" s="1019">
        <f t="shared" si="145"/>
        <v>127.047692307692</v>
      </c>
      <c r="Q679" s="675">
        <f t="shared" ref="Q679:Q710" si="148">B679/(G679+H679)</f>
        <v>127.047692307692</v>
      </c>
    </row>
    <row r="680" spans="1:17">
      <c r="A680" s="1010">
        <v>45327</v>
      </c>
      <c r="B680" s="670">
        <v>1499.65</v>
      </c>
      <c r="C680" s="38">
        <v>3466</v>
      </c>
      <c r="D680" s="37">
        <v>311</v>
      </c>
      <c r="E680" s="37">
        <v>0</v>
      </c>
      <c r="F680" s="670">
        <v>0</v>
      </c>
      <c r="G680" s="37">
        <v>10</v>
      </c>
      <c r="H680" s="37">
        <v>1</v>
      </c>
      <c r="I680" s="37">
        <v>1</v>
      </c>
      <c r="J680" s="1018">
        <f t="shared" si="141"/>
        <v>0.0897287939988459</v>
      </c>
      <c r="K680" s="1019">
        <f t="shared" si="142"/>
        <v>4.82202572347267</v>
      </c>
      <c r="L680" s="1020">
        <f t="shared" si="143"/>
        <v>0</v>
      </c>
      <c r="M680" s="1018">
        <f t="shared" si="144"/>
        <v>0</v>
      </c>
      <c r="N680" s="956">
        <f t="shared" si="146"/>
        <v>0</v>
      </c>
      <c r="O680" s="956">
        <f t="shared" si="147"/>
        <v>0</v>
      </c>
      <c r="P680" s="1019">
        <f t="shared" si="145"/>
        <v>149.965</v>
      </c>
      <c r="Q680" s="675">
        <f t="shared" si="148"/>
        <v>136.331818181818</v>
      </c>
    </row>
    <row r="681" spans="1:17">
      <c r="A681" s="1010">
        <v>45328</v>
      </c>
      <c r="B681" s="670">
        <v>1610.94</v>
      </c>
      <c r="C681" s="38">
        <v>9204</v>
      </c>
      <c r="D681" s="37">
        <v>333</v>
      </c>
      <c r="E681" s="37">
        <v>1</v>
      </c>
      <c r="F681" s="670">
        <v>7922</v>
      </c>
      <c r="G681" s="37">
        <v>14</v>
      </c>
      <c r="H681" s="37">
        <v>2</v>
      </c>
      <c r="I681" s="37">
        <v>5</v>
      </c>
      <c r="J681" s="1018">
        <f t="shared" si="141"/>
        <v>0.0361799217731421</v>
      </c>
      <c r="K681" s="1019">
        <f t="shared" si="142"/>
        <v>4.83765765765766</v>
      </c>
      <c r="L681" s="1020">
        <f t="shared" si="143"/>
        <v>4.91762573404348</v>
      </c>
      <c r="M681" s="1018">
        <f t="shared" si="144"/>
        <v>0.003003003003003</v>
      </c>
      <c r="N681" s="956">
        <f t="shared" si="146"/>
        <v>7922</v>
      </c>
      <c r="O681" s="956">
        <f t="shared" si="147"/>
        <v>1610.94</v>
      </c>
      <c r="P681" s="1019">
        <f t="shared" si="145"/>
        <v>115.067142857143</v>
      </c>
      <c r="Q681" s="675">
        <f t="shared" si="148"/>
        <v>100.68375</v>
      </c>
    </row>
    <row r="682" spans="1:17">
      <c r="A682" s="1010">
        <v>45329</v>
      </c>
      <c r="B682" s="670">
        <v>1687.36</v>
      </c>
      <c r="C682" s="38">
        <v>4075</v>
      </c>
      <c r="D682" s="37">
        <v>310</v>
      </c>
      <c r="E682" s="37">
        <v>0</v>
      </c>
      <c r="F682" s="670">
        <v>0</v>
      </c>
      <c r="G682" s="37">
        <v>21</v>
      </c>
      <c r="H682" s="37">
        <v>4</v>
      </c>
      <c r="I682" s="37">
        <v>10</v>
      </c>
      <c r="J682" s="1018">
        <f t="shared" si="141"/>
        <v>0.0760736196319018</v>
      </c>
      <c r="K682" s="1019">
        <f t="shared" si="142"/>
        <v>5.44309677419355</v>
      </c>
      <c r="L682" s="1020">
        <f t="shared" si="143"/>
        <v>0</v>
      </c>
      <c r="M682" s="1018">
        <f t="shared" si="144"/>
        <v>0</v>
      </c>
      <c r="N682" s="956">
        <f t="shared" si="146"/>
        <v>0</v>
      </c>
      <c r="O682" s="956">
        <f t="shared" si="147"/>
        <v>0</v>
      </c>
      <c r="P682" s="1019">
        <f t="shared" si="145"/>
        <v>80.3504761904762</v>
      </c>
      <c r="Q682" s="675">
        <f t="shared" si="148"/>
        <v>67.4944</v>
      </c>
    </row>
    <row r="683" spans="1:17">
      <c r="A683" s="1010">
        <v>45330</v>
      </c>
      <c r="B683" s="670">
        <v>1556.59</v>
      </c>
      <c r="C683" s="37">
        <v>5600</v>
      </c>
      <c r="D683" s="37">
        <v>296</v>
      </c>
      <c r="E683" s="37">
        <v>3</v>
      </c>
      <c r="F683" s="670">
        <v>28115</v>
      </c>
      <c r="G683" s="37">
        <v>36</v>
      </c>
      <c r="H683" s="37">
        <v>6</v>
      </c>
      <c r="I683" s="37">
        <v>3</v>
      </c>
      <c r="J683" s="1018">
        <f t="shared" ref="J683:J697" si="149">D683/C683</f>
        <v>0.0528571428571429</v>
      </c>
      <c r="K683" s="1019">
        <f t="shared" ref="K683:K739" si="150">B683/D683</f>
        <v>5.25875</v>
      </c>
      <c r="L683" s="1020">
        <f t="shared" ref="L683:L739" si="151">F683/B683</f>
        <v>18.06191739636</v>
      </c>
      <c r="M683" s="1018">
        <f t="shared" ref="M683:M739" si="152">E683/D683</f>
        <v>0.0101351351351351</v>
      </c>
      <c r="N683" s="956">
        <f t="shared" si="146"/>
        <v>9371.66666666667</v>
      </c>
      <c r="O683" s="956">
        <f t="shared" si="147"/>
        <v>518.863333333333</v>
      </c>
      <c r="P683" s="1019">
        <f t="shared" ref="P683:P733" si="153">B683/G683</f>
        <v>43.2386111111111</v>
      </c>
      <c r="Q683" s="675">
        <f t="shared" si="148"/>
        <v>37.0616666666667</v>
      </c>
    </row>
    <row r="684" spans="1:17">
      <c r="A684" s="1010">
        <v>45331</v>
      </c>
      <c r="B684" s="670">
        <v>1297.78</v>
      </c>
      <c r="C684" s="38">
        <v>4387</v>
      </c>
      <c r="D684" s="37">
        <v>270</v>
      </c>
      <c r="E684" s="37">
        <v>0</v>
      </c>
      <c r="F684" s="670">
        <v>0</v>
      </c>
      <c r="G684" s="37">
        <v>15</v>
      </c>
      <c r="H684" s="37">
        <v>1</v>
      </c>
      <c r="I684" s="37">
        <v>1</v>
      </c>
      <c r="J684" s="1018">
        <f t="shared" si="149"/>
        <v>0.0615454752678368</v>
      </c>
      <c r="K684" s="1019">
        <f t="shared" si="150"/>
        <v>4.80659259259259</v>
      </c>
      <c r="L684" s="1020">
        <f t="shared" si="151"/>
        <v>0</v>
      </c>
      <c r="M684" s="1018">
        <f t="shared" si="152"/>
        <v>0</v>
      </c>
      <c r="N684" s="956">
        <f t="shared" si="146"/>
        <v>0</v>
      </c>
      <c r="O684" s="956">
        <f t="shared" si="147"/>
        <v>0</v>
      </c>
      <c r="P684" s="1019">
        <f t="shared" si="153"/>
        <v>86.5186666666667</v>
      </c>
      <c r="Q684" s="675">
        <f t="shared" si="148"/>
        <v>81.11125</v>
      </c>
    </row>
    <row r="685" spans="1:17">
      <c r="A685" s="1010">
        <v>45332</v>
      </c>
      <c r="B685" s="670">
        <v>1246.46</v>
      </c>
      <c r="C685" s="38">
        <v>5186</v>
      </c>
      <c r="D685" s="37">
        <v>300</v>
      </c>
      <c r="E685" s="37">
        <v>0</v>
      </c>
      <c r="F685" s="670">
        <v>0</v>
      </c>
      <c r="G685" s="37">
        <v>15</v>
      </c>
      <c r="H685" s="37">
        <v>1</v>
      </c>
      <c r="I685" s="37">
        <v>2</v>
      </c>
      <c r="J685" s="1018">
        <f t="shared" si="149"/>
        <v>0.0578480524489009</v>
      </c>
      <c r="K685" s="1019">
        <f t="shared" si="150"/>
        <v>4.15486666666667</v>
      </c>
      <c r="L685" s="1020">
        <f t="shared" si="151"/>
        <v>0</v>
      </c>
      <c r="M685" s="1018">
        <f t="shared" si="152"/>
        <v>0</v>
      </c>
      <c r="N685" s="956">
        <f t="shared" si="146"/>
        <v>0</v>
      </c>
      <c r="O685" s="956">
        <f t="shared" si="147"/>
        <v>0</v>
      </c>
      <c r="P685" s="1019">
        <f t="shared" si="153"/>
        <v>83.0973333333333</v>
      </c>
      <c r="Q685" s="675">
        <f t="shared" si="148"/>
        <v>77.90375</v>
      </c>
    </row>
    <row r="686" spans="1:17">
      <c r="A686" s="1010">
        <v>45333</v>
      </c>
      <c r="B686" s="670">
        <v>1469.3</v>
      </c>
      <c r="C686" s="38">
        <v>4234</v>
      </c>
      <c r="D686" s="37">
        <v>305</v>
      </c>
      <c r="E686" s="37">
        <v>1</v>
      </c>
      <c r="F686" s="670">
        <v>16581</v>
      </c>
      <c r="G686" s="37">
        <v>24</v>
      </c>
      <c r="H686" s="37">
        <v>7</v>
      </c>
      <c r="I686" s="37">
        <v>9</v>
      </c>
      <c r="J686" s="1018">
        <f t="shared" si="149"/>
        <v>0.07203589985829</v>
      </c>
      <c r="K686" s="1019">
        <f t="shared" si="150"/>
        <v>4.81737704918033</v>
      </c>
      <c r="L686" s="1020">
        <f t="shared" si="151"/>
        <v>11.2849656298918</v>
      </c>
      <c r="M686" s="1018">
        <f t="shared" si="152"/>
        <v>0.00327868852459016</v>
      </c>
      <c r="N686" s="956">
        <f t="shared" si="146"/>
        <v>16581</v>
      </c>
      <c r="O686" s="956">
        <f t="shared" si="147"/>
        <v>1469.3</v>
      </c>
      <c r="P686" s="1019">
        <f t="shared" si="153"/>
        <v>61.2208333333333</v>
      </c>
      <c r="Q686" s="675">
        <f t="shared" si="148"/>
        <v>47.3967741935484</v>
      </c>
    </row>
    <row r="687" spans="1:17">
      <c r="A687" s="1010">
        <v>45334</v>
      </c>
      <c r="B687" s="670">
        <v>1472.87</v>
      </c>
      <c r="C687" s="38">
        <v>4346</v>
      </c>
      <c r="D687" s="37">
        <v>315</v>
      </c>
      <c r="E687" s="37">
        <v>0</v>
      </c>
      <c r="F687" s="670">
        <v>0</v>
      </c>
      <c r="G687" s="37">
        <v>12</v>
      </c>
      <c r="H687" s="37">
        <v>4</v>
      </c>
      <c r="I687" s="37">
        <v>0</v>
      </c>
      <c r="J687" s="1018">
        <f t="shared" si="149"/>
        <v>0.0724804417855499</v>
      </c>
      <c r="K687" s="1019">
        <f t="shared" si="150"/>
        <v>4.67577777777778</v>
      </c>
      <c r="L687" s="1020">
        <f t="shared" si="151"/>
        <v>0</v>
      </c>
      <c r="M687" s="1018">
        <f t="shared" si="152"/>
        <v>0</v>
      </c>
      <c r="N687" s="956">
        <f t="shared" si="146"/>
        <v>0</v>
      </c>
      <c r="O687" s="956">
        <f t="shared" si="147"/>
        <v>0</v>
      </c>
      <c r="P687" s="1019">
        <f t="shared" si="153"/>
        <v>122.739166666667</v>
      </c>
      <c r="Q687" s="675">
        <f t="shared" si="148"/>
        <v>92.054375</v>
      </c>
    </row>
    <row r="688" spans="1:17">
      <c r="A688" s="1010">
        <v>45335</v>
      </c>
      <c r="B688" s="670">
        <v>1582.65</v>
      </c>
      <c r="C688" s="38">
        <v>4029</v>
      </c>
      <c r="D688" s="37">
        <v>320</v>
      </c>
      <c r="E688" s="37">
        <v>0</v>
      </c>
      <c r="F688" s="670">
        <v>0</v>
      </c>
      <c r="G688" s="37">
        <v>35</v>
      </c>
      <c r="H688" s="37">
        <v>3</v>
      </c>
      <c r="I688" s="37">
        <v>9</v>
      </c>
      <c r="J688" s="1018">
        <f t="shared" si="149"/>
        <v>0.0794241747331844</v>
      </c>
      <c r="K688" s="1019">
        <f t="shared" si="150"/>
        <v>4.94578125</v>
      </c>
      <c r="L688" s="1020">
        <f t="shared" si="151"/>
        <v>0</v>
      </c>
      <c r="M688" s="1018">
        <f t="shared" si="152"/>
        <v>0</v>
      </c>
      <c r="N688" s="956">
        <f t="shared" si="146"/>
        <v>0</v>
      </c>
      <c r="O688" s="956">
        <f t="shared" si="147"/>
        <v>0</v>
      </c>
      <c r="P688" s="1019">
        <f t="shared" si="153"/>
        <v>45.2185714285714</v>
      </c>
      <c r="Q688" s="675">
        <f t="shared" si="148"/>
        <v>41.6486842105263</v>
      </c>
    </row>
    <row r="689" spans="1:17">
      <c r="A689" s="1010">
        <v>45336</v>
      </c>
      <c r="B689" s="670">
        <v>1626.22</v>
      </c>
      <c r="C689" s="38">
        <v>4343</v>
      </c>
      <c r="D689" s="37">
        <v>359</v>
      </c>
      <c r="E689" s="37">
        <v>1</v>
      </c>
      <c r="F689" s="670">
        <v>12754</v>
      </c>
      <c r="G689" s="37">
        <v>9</v>
      </c>
      <c r="H689" s="37">
        <v>8</v>
      </c>
      <c r="I689" s="37">
        <v>3</v>
      </c>
      <c r="J689" s="1018">
        <f t="shared" si="149"/>
        <v>0.0826617545475478</v>
      </c>
      <c r="K689" s="1019">
        <f t="shared" si="150"/>
        <v>4.52986072423398</v>
      </c>
      <c r="L689" s="1020">
        <f t="shared" si="151"/>
        <v>7.84272730626852</v>
      </c>
      <c r="M689" s="1018">
        <f t="shared" si="152"/>
        <v>0.00278551532033426</v>
      </c>
      <c r="N689" s="956">
        <f t="shared" si="146"/>
        <v>12754</v>
      </c>
      <c r="O689" s="956">
        <f t="shared" si="147"/>
        <v>1626.22</v>
      </c>
      <c r="P689" s="1019">
        <f t="shared" si="153"/>
        <v>180.691111111111</v>
      </c>
      <c r="Q689" s="675">
        <f t="shared" si="148"/>
        <v>95.66</v>
      </c>
    </row>
    <row r="690" spans="1:17">
      <c r="A690" s="1010">
        <v>45337</v>
      </c>
      <c r="B690" s="670">
        <v>1764.21</v>
      </c>
      <c r="C690" s="38">
        <v>4654</v>
      </c>
      <c r="D690" s="37">
        <v>373</v>
      </c>
      <c r="E690" s="37">
        <v>0</v>
      </c>
      <c r="F690" s="670">
        <v>0</v>
      </c>
      <c r="G690" s="37">
        <v>26</v>
      </c>
      <c r="H690" s="37">
        <v>3</v>
      </c>
      <c r="I690" s="37">
        <v>6</v>
      </c>
      <c r="J690" s="1018">
        <f t="shared" si="149"/>
        <v>0.0801461108723679</v>
      </c>
      <c r="K690" s="1019">
        <f t="shared" si="150"/>
        <v>4.7297855227882</v>
      </c>
      <c r="L690" s="1020">
        <f t="shared" si="151"/>
        <v>0</v>
      </c>
      <c r="M690" s="1018">
        <f t="shared" si="152"/>
        <v>0</v>
      </c>
      <c r="N690" s="956">
        <f t="shared" si="146"/>
        <v>0</v>
      </c>
      <c r="O690" s="956">
        <f t="shared" si="147"/>
        <v>0</v>
      </c>
      <c r="P690" s="1019">
        <f t="shared" si="153"/>
        <v>67.8542307692308</v>
      </c>
      <c r="Q690" s="675">
        <f t="shared" si="148"/>
        <v>60.8348275862069</v>
      </c>
    </row>
    <row r="691" spans="1:17">
      <c r="A691" s="1010">
        <v>45338</v>
      </c>
      <c r="B691" s="670">
        <v>1844.63</v>
      </c>
      <c r="C691" s="38">
        <v>4022</v>
      </c>
      <c r="D691" s="37">
        <v>408</v>
      </c>
      <c r="E691" s="37">
        <v>0</v>
      </c>
      <c r="F691" s="670">
        <v>0</v>
      </c>
      <c r="G691" s="37">
        <v>37</v>
      </c>
      <c r="H691" s="37">
        <v>3</v>
      </c>
      <c r="I691" s="37">
        <v>8</v>
      </c>
      <c r="J691" s="1018">
        <f t="shared" si="149"/>
        <v>0.101442068622576</v>
      </c>
      <c r="K691" s="1019">
        <f t="shared" si="150"/>
        <v>4.52115196078431</v>
      </c>
      <c r="L691" s="1020">
        <f t="shared" si="151"/>
        <v>0</v>
      </c>
      <c r="M691" s="1018">
        <f t="shared" si="152"/>
        <v>0</v>
      </c>
      <c r="N691" s="956">
        <f t="shared" si="146"/>
        <v>0</v>
      </c>
      <c r="O691" s="956">
        <f t="shared" si="147"/>
        <v>0</v>
      </c>
      <c r="P691" s="1019">
        <f t="shared" si="153"/>
        <v>49.8548648648649</v>
      </c>
      <c r="Q691" s="675">
        <f t="shared" si="148"/>
        <v>46.11575</v>
      </c>
    </row>
    <row r="692" spans="1:17">
      <c r="A692" s="1010">
        <v>45339</v>
      </c>
      <c r="B692" s="670">
        <v>1827.04</v>
      </c>
      <c r="C692" s="38">
        <v>4549</v>
      </c>
      <c r="D692" s="37">
        <v>402</v>
      </c>
      <c r="E692" s="37">
        <v>0</v>
      </c>
      <c r="F692" s="670">
        <v>0</v>
      </c>
      <c r="G692" s="37">
        <v>26</v>
      </c>
      <c r="H692" s="37">
        <v>2</v>
      </c>
      <c r="I692" s="37">
        <v>9</v>
      </c>
      <c r="J692" s="1018">
        <f t="shared" si="149"/>
        <v>0.0883710705649593</v>
      </c>
      <c r="K692" s="1019">
        <f t="shared" si="150"/>
        <v>4.54487562189055</v>
      </c>
      <c r="L692" s="1020">
        <f t="shared" si="151"/>
        <v>0</v>
      </c>
      <c r="M692" s="1018">
        <f t="shared" si="152"/>
        <v>0</v>
      </c>
      <c r="N692" s="956">
        <f t="shared" si="146"/>
        <v>0</v>
      </c>
      <c r="O692" s="956">
        <f t="shared" si="147"/>
        <v>0</v>
      </c>
      <c r="P692" s="1019">
        <f t="shared" si="153"/>
        <v>70.2707692307692</v>
      </c>
      <c r="Q692" s="675">
        <f t="shared" si="148"/>
        <v>65.2514285714286</v>
      </c>
    </row>
    <row r="693" spans="1:17">
      <c r="A693" s="1010">
        <v>45340</v>
      </c>
      <c r="B693" s="670">
        <v>1843.83</v>
      </c>
      <c r="C693" s="38">
        <v>4328</v>
      </c>
      <c r="D693" s="37">
        <v>386</v>
      </c>
      <c r="E693" s="37">
        <v>0</v>
      </c>
      <c r="F693" s="670">
        <v>0</v>
      </c>
      <c r="G693" s="37">
        <v>22</v>
      </c>
      <c r="H693" s="37">
        <v>2</v>
      </c>
      <c r="I693" s="37">
        <v>6</v>
      </c>
      <c r="J693" s="1018">
        <f t="shared" si="149"/>
        <v>0.0891866913123845</v>
      </c>
      <c r="K693" s="1019">
        <f t="shared" si="150"/>
        <v>4.77676165803109</v>
      </c>
      <c r="L693" s="1020">
        <f t="shared" si="151"/>
        <v>0</v>
      </c>
      <c r="M693" s="1018">
        <f t="shared" si="152"/>
        <v>0</v>
      </c>
      <c r="N693" s="956">
        <f t="shared" si="146"/>
        <v>0</v>
      </c>
      <c r="O693" s="956">
        <f t="shared" si="147"/>
        <v>0</v>
      </c>
      <c r="P693" s="1019">
        <f t="shared" si="153"/>
        <v>83.8104545454545</v>
      </c>
      <c r="Q693" s="675">
        <f t="shared" si="148"/>
        <v>76.82625</v>
      </c>
    </row>
    <row r="694" spans="1:17">
      <c r="A694" s="1010">
        <v>45341</v>
      </c>
      <c r="B694" s="670">
        <v>1987.38</v>
      </c>
      <c r="C694" s="38">
        <v>4875</v>
      </c>
      <c r="D694" s="37">
        <v>419</v>
      </c>
      <c r="E694" s="37">
        <v>0</v>
      </c>
      <c r="F694" s="670">
        <v>0</v>
      </c>
      <c r="G694" s="37">
        <v>43</v>
      </c>
      <c r="H694" s="37">
        <v>3</v>
      </c>
      <c r="I694" s="37">
        <v>6</v>
      </c>
      <c r="J694" s="1018">
        <f t="shared" si="149"/>
        <v>0.0859487179487179</v>
      </c>
      <c r="K694" s="1019">
        <f t="shared" si="150"/>
        <v>4.74315035799523</v>
      </c>
      <c r="L694" s="1020">
        <f t="shared" si="151"/>
        <v>0</v>
      </c>
      <c r="M694" s="1018">
        <f t="shared" si="152"/>
        <v>0</v>
      </c>
      <c r="N694" s="956">
        <f t="shared" si="146"/>
        <v>0</v>
      </c>
      <c r="O694" s="956">
        <f t="shared" si="147"/>
        <v>0</v>
      </c>
      <c r="P694" s="1019">
        <f t="shared" si="153"/>
        <v>46.2181395348837</v>
      </c>
      <c r="Q694" s="675">
        <f t="shared" si="148"/>
        <v>43.2039130434783</v>
      </c>
    </row>
    <row r="695" spans="1:17">
      <c r="A695" s="1010">
        <v>45342</v>
      </c>
      <c r="B695" s="670">
        <v>1492.33</v>
      </c>
      <c r="C695" s="38">
        <v>5063</v>
      </c>
      <c r="D695" s="37">
        <v>375</v>
      </c>
      <c r="E695" s="37">
        <v>1</v>
      </c>
      <c r="F695" s="670">
        <v>17356</v>
      </c>
      <c r="G695" s="37">
        <v>36</v>
      </c>
      <c r="H695" s="37">
        <v>3</v>
      </c>
      <c r="I695" s="37">
        <v>3</v>
      </c>
      <c r="J695" s="1018">
        <f t="shared" si="149"/>
        <v>0.0740667588386332</v>
      </c>
      <c r="K695" s="1019">
        <f t="shared" si="150"/>
        <v>3.97954666666667</v>
      </c>
      <c r="L695" s="1020">
        <f t="shared" si="151"/>
        <v>11.6301354258106</v>
      </c>
      <c r="M695" s="1018">
        <f t="shared" si="152"/>
        <v>0.00266666666666667</v>
      </c>
      <c r="N695" s="956">
        <f t="shared" si="146"/>
        <v>17356</v>
      </c>
      <c r="O695" s="956">
        <f t="shared" si="147"/>
        <v>1492.33</v>
      </c>
      <c r="P695" s="1019">
        <f t="shared" si="153"/>
        <v>41.4536111111111</v>
      </c>
      <c r="Q695" s="675">
        <f t="shared" si="148"/>
        <v>38.2648717948718</v>
      </c>
    </row>
    <row r="696" spans="1:17">
      <c r="A696" s="1010">
        <v>45343</v>
      </c>
      <c r="B696" s="670">
        <v>1485.83</v>
      </c>
      <c r="C696" s="38">
        <v>4925</v>
      </c>
      <c r="D696" s="37">
        <v>363</v>
      </c>
      <c r="E696" s="37">
        <v>0</v>
      </c>
      <c r="F696" s="670">
        <v>0</v>
      </c>
      <c r="G696" s="37">
        <v>22</v>
      </c>
      <c r="H696" s="37">
        <v>2</v>
      </c>
      <c r="I696" s="37">
        <v>4</v>
      </c>
      <c r="J696" s="1018">
        <f t="shared" si="149"/>
        <v>0.0737055837563452</v>
      </c>
      <c r="K696" s="1019">
        <f t="shared" si="150"/>
        <v>4.0931955922865</v>
      </c>
      <c r="L696" s="1020">
        <f t="shared" si="151"/>
        <v>0</v>
      </c>
      <c r="M696" s="1018">
        <f t="shared" si="152"/>
        <v>0</v>
      </c>
      <c r="N696" s="956">
        <f t="shared" si="146"/>
        <v>0</v>
      </c>
      <c r="O696" s="956">
        <f t="shared" si="147"/>
        <v>0</v>
      </c>
      <c r="P696" s="1019">
        <f t="shared" si="153"/>
        <v>67.5377272727273</v>
      </c>
      <c r="Q696" s="675">
        <f t="shared" si="148"/>
        <v>61.9095833333333</v>
      </c>
    </row>
    <row r="697" spans="1:17">
      <c r="A697" s="1010">
        <v>45344</v>
      </c>
      <c r="B697" s="670">
        <v>1490.04</v>
      </c>
      <c r="C697" s="38">
        <v>4343</v>
      </c>
      <c r="D697" s="37">
        <v>353</v>
      </c>
      <c r="E697" s="37">
        <v>0</v>
      </c>
      <c r="F697" s="670">
        <v>0</v>
      </c>
      <c r="G697" s="37">
        <v>22</v>
      </c>
      <c r="H697" s="37">
        <v>3</v>
      </c>
      <c r="I697" s="37">
        <v>3</v>
      </c>
      <c r="J697" s="1018">
        <f t="shared" si="149"/>
        <v>0.0812802210453604</v>
      </c>
      <c r="K697" s="1019">
        <f t="shared" si="150"/>
        <v>4.22107648725212</v>
      </c>
      <c r="L697" s="1020">
        <f t="shared" si="151"/>
        <v>0</v>
      </c>
      <c r="M697" s="1018">
        <f t="shared" si="152"/>
        <v>0</v>
      </c>
      <c r="N697" s="956">
        <f t="shared" si="146"/>
        <v>0</v>
      </c>
      <c r="O697" s="956">
        <f t="shared" si="147"/>
        <v>0</v>
      </c>
      <c r="P697" s="1019">
        <f t="shared" si="153"/>
        <v>67.7290909090909</v>
      </c>
      <c r="Q697" s="675">
        <f t="shared" si="148"/>
        <v>59.6016</v>
      </c>
    </row>
    <row r="698" spans="1:17">
      <c r="A698" s="1010">
        <v>45345</v>
      </c>
      <c r="B698" s="670">
        <v>1164.86</v>
      </c>
      <c r="C698" s="38">
        <v>3741</v>
      </c>
      <c r="D698" s="37">
        <v>264</v>
      </c>
      <c r="E698" s="37">
        <v>1</v>
      </c>
      <c r="F698" s="670">
        <v>14808</v>
      </c>
      <c r="G698" s="37">
        <v>34</v>
      </c>
      <c r="H698" s="37">
        <v>2</v>
      </c>
      <c r="I698" s="37">
        <v>4</v>
      </c>
      <c r="J698" s="1018">
        <f t="shared" ref="J698:J739" si="154">D698/C698</f>
        <v>0.0705693664795509</v>
      </c>
      <c r="K698" s="1019">
        <f t="shared" si="150"/>
        <v>4.41234848484848</v>
      </c>
      <c r="L698" s="1020">
        <f t="shared" si="151"/>
        <v>12.7122572669677</v>
      </c>
      <c r="M698" s="1018">
        <f t="shared" si="152"/>
        <v>0.00378787878787879</v>
      </c>
      <c r="N698" s="956">
        <f t="shared" si="146"/>
        <v>14808</v>
      </c>
      <c r="O698" s="956">
        <f t="shared" si="147"/>
        <v>1164.86</v>
      </c>
      <c r="P698" s="1019">
        <f t="shared" si="153"/>
        <v>34.2605882352941</v>
      </c>
      <c r="Q698" s="675">
        <f t="shared" si="148"/>
        <v>32.3572222222222</v>
      </c>
    </row>
    <row r="699" spans="1:17">
      <c r="A699" s="1010">
        <v>45346</v>
      </c>
      <c r="B699" s="670">
        <v>1165.16</v>
      </c>
      <c r="C699" s="38">
        <v>3856</v>
      </c>
      <c r="D699" s="37">
        <v>270</v>
      </c>
      <c r="E699" s="37">
        <v>0</v>
      </c>
      <c r="F699" s="670">
        <v>0</v>
      </c>
      <c r="G699" s="37">
        <v>18</v>
      </c>
      <c r="H699" s="37">
        <v>2</v>
      </c>
      <c r="I699" s="37">
        <v>2</v>
      </c>
      <c r="J699" s="1018">
        <f t="shared" si="154"/>
        <v>0.0700207468879668</v>
      </c>
      <c r="K699" s="1019">
        <f t="shared" si="150"/>
        <v>4.31540740740741</v>
      </c>
      <c r="L699" s="1020">
        <f t="shared" si="151"/>
        <v>0</v>
      </c>
      <c r="M699" s="1018">
        <f t="shared" si="152"/>
        <v>0</v>
      </c>
      <c r="N699" s="956">
        <f t="shared" si="146"/>
        <v>0</v>
      </c>
      <c r="O699" s="956">
        <f t="shared" si="147"/>
        <v>0</v>
      </c>
      <c r="P699" s="1019">
        <f t="shared" si="153"/>
        <v>64.7311111111111</v>
      </c>
      <c r="Q699" s="675">
        <f t="shared" si="148"/>
        <v>58.258</v>
      </c>
    </row>
    <row r="700" spans="1:17">
      <c r="A700" s="1010">
        <v>45347</v>
      </c>
      <c r="B700" s="670">
        <v>1164.65</v>
      </c>
      <c r="C700" s="37">
        <v>3015</v>
      </c>
      <c r="D700" s="37">
        <v>272</v>
      </c>
      <c r="E700" s="37">
        <v>0</v>
      </c>
      <c r="F700" s="670">
        <v>0</v>
      </c>
      <c r="G700" s="37">
        <v>25</v>
      </c>
      <c r="H700" s="37">
        <v>3</v>
      </c>
      <c r="I700" s="37">
        <v>1</v>
      </c>
      <c r="J700" s="1018">
        <f t="shared" si="154"/>
        <v>0.0902155887230514</v>
      </c>
      <c r="K700" s="1019">
        <f t="shared" si="150"/>
        <v>4.28180147058824</v>
      </c>
      <c r="L700" s="1020">
        <f t="shared" si="151"/>
        <v>0</v>
      </c>
      <c r="M700" s="1018">
        <f t="shared" si="152"/>
        <v>0</v>
      </c>
      <c r="N700" s="956">
        <f t="shared" si="146"/>
        <v>0</v>
      </c>
      <c r="O700" s="956">
        <f t="shared" si="147"/>
        <v>0</v>
      </c>
      <c r="P700" s="1019">
        <f t="shared" si="153"/>
        <v>46.586</v>
      </c>
      <c r="Q700" s="675">
        <f t="shared" si="148"/>
        <v>41.5946428571429</v>
      </c>
    </row>
    <row r="701" spans="1:17">
      <c r="A701" s="1010">
        <v>45348</v>
      </c>
      <c r="B701" s="670">
        <v>1101.17</v>
      </c>
      <c r="C701" s="37">
        <v>3381</v>
      </c>
      <c r="D701" s="37">
        <v>288</v>
      </c>
      <c r="E701" s="37">
        <v>0</v>
      </c>
      <c r="F701" s="670">
        <v>0</v>
      </c>
      <c r="G701" s="37">
        <v>17</v>
      </c>
      <c r="H701" s="37">
        <v>3</v>
      </c>
      <c r="I701" s="37">
        <v>2</v>
      </c>
      <c r="J701" s="1018">
        <f t="shared" si="154"/>
        <v>0.0851818988464951</v>
      </c>
      <c r="K701" s="1019">
        <f t="shared" si="150"/>
        <v>3.82350694444444</v>
      </c>
      <c r="L701" s="1020">
        <f t="shared" si="151"/>
        <v>0</v>
      </c>
      <c r="M701" s="1018">
        <f t="shared" si="152"/>
        <v>0</v>
      </c>
      <c r="N701" s="956">
        <f t="shared" si="146"/>
        <v>0</v>
      </c>
      <c r="O701" s="956">
        <f t="shared" si="147"/>
        <v>0</v>
      </c>
      <c r="P701" s="1019">
        <f t="shared" si="153"/>
        <v>64.7747058823529</v>
      </c>
      <c r="Q701" s="675">
        <f t="shared" si="148"/>
        <v>55.0585</v>
      </c>
    </row>
    <row r="702" spans="1:17">
      <c r="A702" s="1010">
        <v>45349</v>
      </c>
      <c r="B702" s="670">
        <v>496.01</v>
      </c>
      <c r="C702" s="38">
        <v>1911</v>
      </c>
      <c r="D702" s="37">
        <v>136</v>
      </c>
      <c r="E702" s="37">
        <v>0</v>
      </c>
      <c r="F702" s="670">
        <v>0</v>
      </c>
      <c r="G702" s="37">
        <v>6</v>
      </c>
      <c r="H702" s="37">
        <v>1</v>
      </c>
      <c r="I702" s="37">
        <v>1</v>
      </c>
      <c r="J702" s="1018">
        <f t="shared" si="154"/>
        <v>0.0711669283097855</v>
      </c>
      <c r="K702" s="1019">
        <f t="shared" si="150"/>
        <v>3.64713235294118</v>
      </c>
      <c r="L702" s="1020">
        <f t="shared" si="151"/>
        <v>0</v>
      </c>
      <c r="M702" s="1018">
        <f t="shared" si="152"/>
        <v>0</v>
      </c>
      <c r="N702" s="956">
        <f t="shared" si="146"/>
        <v>0</v>
      </c>
      <c r="O702" s="956">
        <f t="shared" si="147"/>
        <v>0</v>
      </c>
      <c r="P702" s="1019">
        <f t="shared" si="153"/>
        <v>82.6683333333333</v>
      </c>
      <c r="Q702" s="675">
        <f t="shared" si="148"/>
        <v>70.8585714285714</v>
      </c>
    </row>
    <row r="703" spans="1:17">
      <c r="A703" s="1010">
        <v>45350</v>
      </c>
      <c r="B703" s="670">
        <v>488.97</v>
      </c>
      <c r="C703" s="38">
        <v>1369</v>
      </c>
      <c r="D703" s="37">
        <v>121</v>
      </c>
      <c r="E703" s="37">
        <v>0</v>
      </c>
      <c r="F703" s="670">
        <v>0</v>
      </c>
      <c r="G703" s="37">
        <v>5</v>
      </c>
      <c r="H703" s="37">
        <v>2</v>
      </c>
      <c r="I703" s="37">
        <v>0</v>
      </c>
      <c r="J703" s="1018">
        <f t="shared" si="154"/>
        <v>0.0883856829802776</v>
      </c>
      <c r="K703" s="1019">
        <f t="shared" si="150"/>
        <v>4.04107438016529</v>
      </c>
      <c r="L703" s="1020">
        <f t="shared" si="151"/>
        <v>0</v>
      </c>
      <c r="M703" s="1018">
        <f t="shared" si="152"/>
        <v>0</v>
      </c>
      <c r="N703" s="956">
        <f t="shared" si="146"/>
        <v>0</v>
      </c>
      <c r="O703" s="956">
        <f t="shared" si="147"/>
        <v>0</v>
      </c>
      <c r="P703" s="1019">
        <f t="shared" si="153"/>
        <v>97.794</v>
      </c>
      <c r="Q703" s="675">
        <f t="shared" si="148"/>
        <v>69.8528571428571</v>
      </c>
    </row>
    <row r="704" spans="1:17">
      <c r="A704" s="1010">
        <v>45351</v>
      </c>
      <c r="B704" s="670">
        <v>492.47</v>
      </c>
      <c r="C704" s="38">
        <v>1963</v>
      </c>
      <c r="D704" s="37">
        <v>132</v>
      </c>
      <c r="E704" s="37">
        <v>0</v>
      </c>
      <c r="F704" s="670">
        <v>0</v>
      </c>
      <c r="G704" s="37">
        <v>2</v>
      </c>
      <c r="H704" s="37">
        <v>2</v>
      </c>
      <c r="I704" s="37">
        <v>0</v>
      </c>
      <c r="J704" s="1018">
        <f t="shared" si="154"/>
        <v>0.0672440142638818</v>
      </c>
      <c r="K704" s="1019">
        <f t="shared" si="150"/>
        <v>3.73083333333333</v>
      </c>
      <c r="L704" s="1020">
        <f t="shared" si="151"/>
        <v>0</v>
      </c>
      <c r="M704" s="1018">
        <f t="shared" si="152"/>
        <v>0</v>
      </c>
      <c r="N704" s="956">
        <f t="shared" si="146"/>
        <v>0</v>
      </c>
      <c r="O704" s="956">
        <f t="shared" si="147"/>
        <v>0</v>
      </c>
      <c r="P704" s="1019">
        <f t="shared" si="153"/>
        <v>246.235</v>
      </c>
      <c r="Q704" s="675">
        <f t="shared" si="148"/>
        <v>123.1175</v>
      </c>
    </row>
    <row r="705" spans="1:19">
      <c r="A705" s="1010">
        <v>45352</v>
      </c>
      <c r="B705" s="670">
        <v>496.6</v>
      </c>
      <c r="C705" s="38">
        <v>1559</v>
      </c>
      <c r="D705" s="37">
        <v>127</v>
      </c>
      <c r="E705" s="37">
        <v>0</v>
      </c>
      <c r="F705" s="670">
        <v>0</v>
      </c>
      <c r="G705" s="37">
        <v>7</v>
      </c>
      <c r="H705" s="37">
        <v>1</v>
      </c>
      <c r="I705" s="37">
        <v>1</v>
      </c>
      <c r="J705" s="1018">
        <f t="shared" si="154"/>
        <v>0.0814624759461193</v>
      </c>
      <c r="K705" s="1019">
        <f t="shared" si="150"/>
        <v>3.91023622047244</v>
      </c>
      <c r="L705" s="1020">
        <f t="shared" si="151"/>
        <v>0</v>
      </c>
      <c r="M705" s="1018">
        <f t="shared" si="152"/>
        <v>0</v>
      </c>
      <c r="N705" s="956">
        <f t="shared" si="146"/>
        <v>0</v>
      </c>
      <c r="O705" s="956">
        <f t="shared" si="147"/>
        <v>0</v>
      </c>
      <c r="P705" s="1019">
        <f t="shared" si="153"/>
        <v>70.9428571428572</v>
      </c>
      <c r="Q705" s="675">
        <f t="shared" si="148"/>
        <v>62.075</v>
      </c>
      <c r="R705">
        <f>G705+H705</f>
        <v>8</v>
      </c>
      <c r="S705" s="661">
        <f>R705/D705</f>
        <v>0.062992125984252</v>
      </c>
    </row>
    <row r="706" spans="1:19">
      <c r="A706" s="1010">
        <v>45353</v>
      </c>
      <c r="B706" s="670">
        <v>934.95</v>
      </c>
      <c r="C706" s="38">
        <v>2699</v>
      </c>
      <c r="D706" s="37">
        <v>213</v>
      </c>
      <c r="E706" s="37">
        <v>1</v>
      </c>
      <c r="F706" s="670">
        <v>21488</v>
      </c>
      <c r="G706" s="37">
        <v>15</v>
      </c>
      <c r="H706" s="37">
        <v>5</v>
      </c>
      <c r="I706" s="37">
        <v>0</v>
      </c>
      <c r="J706" s="1018">
        <f t="shared" si="154"/>
        <v>0.0789181178214153</v>
      </c>
      <c r="K706" s="1019">
        <f t="shared" si="150"/>
        <v>4.38943661971831</v>
      </c>
      <c r="L706" s="1020">
        <f t="shared" si="151"/>
        <v>22.9830472217766</v>
      </c>
      <c r="M706" s="1018">
        <f t="shared" si="152"/>
        <v>0.00469483568075117</v>
      </c>
      <c r="N706" s="956">
        <f t="shared" si="146"/>
        <v>21488</v>
      </c>
      <c r="O706" s="956">
        <f t="shared" si="147"/>
        <v>934.95</v>
      </c>
      <c r="P706" s="1019">
        <f t="shared" si="153"/>
        <v>62.33</v>
      </c>
      <c r="Q706" s="675">
        <f t="shared" si="148"/>
        <v>46.7475</v>
      </c>
      <c r="R706">
        <f t="shared" ref="R706:R737" si="155">G706+H706</f>
        <v>20</v>
      </c>
      <c r="S706" s="661">
        <f t="shared" ref="S706:S737" si="156">R706/D706</f>
        <v>0.0938967136150235</v>
      </c>
    </row>
    <row r="707" spans="1:19">
      <c r="A707" s="1010">
        <v>45354</v>
      </c>
      <c r="B707" s="670">
        <v>937.28</v>
      </c>
      <c r="C707" s="38">
        <v>2907</v>
      </c>
      <c r="D707" s="37">
        <v>243</v>
      </c>
      <c r="E707" s="37">
        <v>2</v>
      </c>
      <c r="F707" s="670">
        <v>23470</v>
      </c>
      <c r="G707" s="37">
        <v>28</v>
      </c>
      <c r="H707" s="37">
        <v>1</v>
      </c>
      <c r="I707" s="37">
        <v>5</v>
      </c>
      <c r="J707" s="1018">
        <f t="shared" si="154"/>
        <v>0.0835913312693498</v>
      </c>
      <c r="K707" s="1019">
        <f t="shared" si="150"/>
        <v>3.85711934156379</v>
      </c>
      <c r="L707" s="1020">
        <f t="shared" si="151"/>
        <v>25.0405428473882</v>
      </c>
      <c r="M707" s="1018">
        <f t="shared" si="152"/>
        <v>0.00823045267489712</v>
      </c>
      <c r="N707" s="956">
        <f t="shared" si="146"/>
        <v>11735</v>
      </c>
      <c r="O707" s="956">
        <f t="shared" si="147"/>
        <v>468.64</v>
      </c>
      <c r="P707" s="1019">
        <f t="shared" si="153"/>
        <v>33.4742857142857</v>
      </c>
      <c r="Q707" s="675">
        <f t="shared" si="148"/>
        <v>32.32</v>
      </c>
      <c r="R707">
        <f t="shared" si="155"/>
        <v>29</v>
      </c>
      <c r="S707" s="661">
        <f t="shared" si="156"/>
        <v>0.119341563786008</v>
      </c>
    </row>
    <row r="708" spans="1:19">
      <c r="A708" s="1010">
        <v>45355</v>
      </c>
      <c r="B708" s="670">
        <v>942.14</v>
      </c>
      <c r="C708" s="38">
        <v>2959</v>
      </c>
      <c r="D708" s="37">
        <v>217</v>
      </c>
      <c r="E708" s="37">
        <v>0</v>
      </c>
      <c r="F708" s="670">
        <v>0</v>
      </c>
      <c r="G708" s="37">
        <v>15</v>
      </c>
      <c r="H708" s="37">
        <v>4</v>
      </c>
      <c r="I708" s="37">
        <v>1</v>
      </c>
      <c r="J708" s="1018">
        <f t="shared" si="154"/>
        <v>0.0733355863467388</v>
      </c>
      <c r="K708" s="1019">
        <f t="shared" si="150"/>
        <v>4.34165898617512</v>
      </c>
      <c r="L708" s="1020">
        <f t="shared" si="151"/>
        <v>0</v>
      </c>
      <c r="M708" s="1018">
        <f t="shared" si="152"/>
        <v>0</v>
      </c>
      <c r="N708" s="956">
        <f t="shared" si="146"/>
        <v>0</v>
      </c>
      <c r="O708" s="956">
        <f t="shared" si="147"/>
        <v>0</v>
      </c>
      <c r="P708" s="1019">
        <f t="shared" si="153"/>
        <v>62.8093333333333</v>
      </c>
      <c r="Q708" s="675">
        <f t="shared" si="148"/>
        <v>49.5863157894737</v>
      </c>
      <c r="R708">
        <f t="shared" si="155"/>
        <v>19</v>
      </c>
      <c r="S708" s="661">
        <f t="shared" si="156"/>
        <v>0.0875576036866359</v>
      </c>
    </row>
    <row r="709" spans="1:19">
      <c r="A709" s="1010">
        <v>45356</v>
      </c>
      <c r="B709" s="670">
        <v>935.01</v>
      </c>
      <c r="C709" s="38">
        <v>2905</v>
      </c>
      <c r="D709" s="37">
        <v>225</v>
      </c>
      <c r="E709" s="37">
        <v>0</v>
      </c>
      <c r="F709" s="670">
        <v>0</v>
      </c>
      <c r="G709" s="37">
        <v>20</v>
      </c>
      <c r="H709" s="37">
        <v>2</v>
      </c>
      <c r="I709" s="37">
        <v>5</v>
      </c>
      <c r="J709" s="1018">
        <f t="shared" si="154"/>
        <v>0.0774526678141136</v>
      </c>
      <c r="K709" s="1019">
        <f t="shared" si="150"/>
        <v>4.1556</v>
      </c>
      <c r="L709" s="1020">
        <f t="shared" si="151"/>
        <v>0</v>
      </c>
      <c r="M709" s="1018">
        <f t="shared" si="152"/>
        <v>0</v>
      </c>
      <c r="N709" s="956">
        <f t="shared" si="146"/>
        <v>0</v>
      </c>
      <c r="O709" s="956">
        <f t="shared" si="147"/>
        <v>0</v>
      </c>
      <c r="P709" s="1019">
        <f t="shared" si="153"/>
        <v>46.7505</v>
      </c>
      <c r="Q709" s="675">
        <f t="shared" si="148"/>
        <v>42.5004545454545</v>
      </c>
      <c r="R709">
        <f t="shared" si="155"/>
        <v>22</v>
      </c>
      <c r="S709" s="661">
        <f t="shared" si="156"/>
        <v>0.0977777777777778</v>
      </c>
    </row>
    <row r="710" spans="1:19">
      <c r="A710" s="1010">
        <v>45357</v>
      </c>
      <c r="B710" s="670">
        <v>1514.93</v>
      </c>
      <c r="C710" s="38">
        <v>3216</v>
      </c>
      <c r="D710" s="37">
        <v>320</v>
      </c>
      <c r="E710" s="37">
        <v>0</v>
      </c>
      <c r="F710" s="670">
        <v>0</v>
      </c>
      <c r="G710" s="37">
        <v>34</v>
      </c>
      <c r="H710" s="37">
        <v>5</v>
      </c>
      <c r="I710" s="37">
        <v>4</v>
      </c>
      <c r="J710" s="1018">
        <f t="shared" si="154"/>
        <v>0.0995024875621891</v>
      </c>
      <c r="K710" s="1019">
        <f t="shared" si="150"/>
        <v>4.73415625</v>
      </c>
      <c r="L710" s="1020">
        <f t="shared" si="151"/>
        <v>0</v>
      </c>
      <c r="M710" s="1018">
        <f t="shared" si="152"/>
        <v>0</v>
      </c>
      <c r="N710" s="956">
        <f t="shared" si="146"/>
        <v>0</v>
      </c>
      <c r="O710" s="956">
        <f t="shared" si="147"/>
        <v>0</v>
      </c>
      <c r="P710" s="1019">
        <f t="shared" si="153"/>
        <v>44.5567647058824</v>
      </c>
      <c r="Q710" s="675">
        <f t="shared" si="148"/>
        <v>38.844358974359</v>
      </c>
      <c r="R710">
        <f t="shared" si="155"/>
        <v>39</v>
      </c>
      <c r="S710" s="661">
        <f t="shared" si="156"/>
        <v>0.121875</v>
      </c>
    </row>
    <row r="711" spans="1:19">
      <c r="A711" s="1010">
        <v>45358</v>
      </c>
      <c r="B711" s="670">
        <v>2619.11</v>
      </c>
      <c r="C711" s="38">
        <v>5816</v>
      </c>
      <c r="D711" s="37">
        <v>503</v>
      </c>
      <c r="E711" s="37">
        <v>10</v>
      </c>
      <c r="F711" s="670">
        <v>130212</v>
      </c>
      <c r="G711" s="37">
        <v>59</v>
      </c>
      <c r="H711" s="37">
        <v>4</v>
      </c>
      <c r="I711" s="37">
        <v>11</v>
      </c>
      <c r="J711" s="1018">
        <f t="shared" si="154"/>
        <v>0.0864855570839065</v>
      </c>
      <c r="K711" s="1019">
        <f t="shared" si="150"/>
        <v>5.20697813121272</v>
      </c>
      <c r="L711" s="1020">
        <f t="shared" si="151"/>
        <v>49.7161249432059</v>
      </c>
      <c r="M711" s="1018">
        <f t="shared" si="152"/>
        <v>0.0198807157057654</v>
      </c>
      <c r="N711" s="956">
        <f t="shared" si="146"/>
        <v>13021.2</v>
      </c>
      <c r="O711" s="956">
        <f t="shared" si="147"/>
        <v>261.911</v>
      </c>
      <c r="P711" s="1019">
        <f t="shared" si="153"/>
        <v>44.3916949152542</v>
      </c>
      <c r="Q711" s="675">
        <f t="shared" ref="Q711:Q742" si="157">B711/(G711+H711)</f>
        <v>41.5731746031746</v>
      </c>
      <c r="R711">
        <f t="shared" si="155"/>
        <v>63</v>
      </c>
      <c r="S711" s="661">
        <f t="shared" si="156"/>
        <v>0.125248508946322</v>
      </c>
    </row>
    <row r="712" spans="1:19">
      <c r="A712" s="1010">
        <v>45359</v>
      </c>
      <c r="B712" s="670">
        <v>2615.75</v>
      </c>
      <c r="C712" s="38">
        <v>7630</v>
      </c>
      <c r="D712" s="37">
        <v>480</v>
      </c>
      <c r="E712" s="37">
        <v>1</v>
      </c>
      <c r="F712" s="670">
        <v>17664</v>
      </c>
      <c r="G712" s="37">
        <v>23</v>
      </c>
      <c r="H712" s="37">
        <v>5</v>
      </c>
      <c r="I712" s="37">
        <v>0</v>
      </c>
      <c r="J712" s="1018">
        <f t="shared" si="154"/>
        <v>0.0629095674967235</v>
      </c>
      <c r="K712" s="1019">
        <f t="shared" si="150"/>
        <v>5.44947916666667</v>
      </c>
      <c r="L712" s="1020">
        <f t="shared" si="151"/>
        <v>6.75293892764981</v>
      </c>
      <c r="M712" s="1018">
        <f t="shared" si="152"/>
        <v>0.00208333333333333</v>
      </c>
      <c r="N712" s="956">
        <f t="shared" si="146"/>
        <v>17664</v>
      </c>
      <c r="O712" s="956">
        <f t="shared" si="147"/>
        <v>2615.75</v>
      </c>
      <c r="P712" s="1019">
        <f t="shared" si="153"/>
        <v>113.728260869565</v>
      </c>
      <c r="Q712" s="675">
        <f t="shared" si="157"/>
        <v>93.4196428571429</v>
      </c>
      <c r="R712">
        <f t="shared" si="155"/>
        <v>28</v>
      </c>
      <c r="S712" s="661">
        <f t="shared" si="156"/>
        <v>0.0583333333333333</v>
      </c>
    </row>
    <row r="713" spans="1:19">
      <c r="A713" s="1010">
        <v>45360</v>
      </c>
      <c r="B713" s="670">
        <v>2938.28</v>
      </c>
      <c r="C713" s="38">
        <v>8217</v>
      </c>
      <c r="D713" s="37">
        <v>558</v>
      </c>
      <c r="E713" s="37">
        <v>8</v>
      </c>
      <c r="F713" s="670">
        <v>156010</v>
      </c>
      <c r="G713" s="37">
        <v>32</v>
      </c>
      <c r="H713" s="37">
        <v>5</v>
      </c>
      <c r="I713" s="37">
        <v>7</v>
      </c>
      <c r="J713" s="1018">
        <f t="shared" si="154"/>
        <v>0.067907995618839</v>
      </c>
      <c r="K713" s="1019">
        <f t="shared" si="150"/>
        <v>5.26573476702509</v>
      </c>
      <c r="L713" s="1020">
        <f t="shared" si="151"/>
        <v>53.0956886341669</v>
      </c>
      <c r="M713" s="1018">
        <f t="shared" si="152"/>
        <v>0.014336917562724</v>
      </c>
      <c r="N713" s="956">
        <f t="shared" si="146"/>
        <v>19501.25</v>
      </c>
      <c r="O713" s="956">
        <f t="shared" si="147"/>
        <v>367.285</v>
      </c>
      <c r="P713" s="1019">
        <f t="shared" si="153"/>
        <v>91.82125</v>
      </c>
      <c r="Q713" s="675">
        <f t="shared" si="157"/>
        <v>79.412972972973</v>
      </c>
      <c r="R713">
        <f t="shared" si="155"/>
        <v>37</v>
      </c>
      <c r="S713" s="661">
        <f t="shared" si="156"/>
        <v>0.0663082437275986</v>
      </c>
    </row>
    <row r="714" spans="1:19">
      <c r="A714" s="1010">
        <v>45361</v>
      </c>
      <c r="B714" s="670">
        <v>3173.82</v>
      </c>
      <c r="C714" s="38">
        <v>10210</v>
      </c>
      <c r="D714" s="37">
        <v>658</v>
      </c>
      <c r="E714" s="37">
        <v>4</v>
      </c>
      <c r="F714" s="670">
        <v>66563</v>
      </c>
      <c r="G714" s="37">
        <v>36</v>
      </c>
      <c r="H714" s="37">
        <v>7</v>
      </c>
      <c r="I714" s="37">
        <v>8</v>
      </c>
      <c r="J714" s="1018">
        <f t="shared" si="154"/>
        <v>0.0644466209598433</v>
      </c>
      <c r="K714" s="1019">
        <f t="shared" si="150"/>
        <v>4.82343465045593</v>
      </c>
      <c r="L714" s="1020">
        <f t="shared" si="151"/>
        <v>20.9725189204177</v>
      </c>
      <c r="M714" s="1018">
        <f t="shared" si="152"/>
        <v>0.0060790273556231</v>
      </c>
      <c r="N714" s="956">
        <f t="shared" si="146"/>
        <v>16640.75</v>
      </c>
      <c r="O714" s="956">
        <f t="shared" si="147"/>
        <v>793.455</v>
      </c>
      <c r="P714" s="1019">
        <f t="shared" si="153"/>
        <v>88.1616666666667</v>
      </c>
      <c r="Q714" s="675">
        <f t="shared" si="157"/>
        <v>73.8097674418605</v>
      </c>
      <c r="R714">
        <f t="shared" si="155"/>
        <v>43</v>
      </c>
      <c r="S714" s="661">
        <f t="shared" si="156"/>
        <v>0.0653495440729483</v>
      </c>
    </row>
    <row r="715" spans="1:19">
      <c r="A715" s="1010">
        <v>45362</v>
      </c>
      <c r="B715" s="670">
        <v>2697.78</v>
      </c>
      <c r="C715" s="38">
        <v>8641</v>
      </c>
      <c r="D715" s="37">
        <v>558</v>
      </c>
      <c r="E715" s="37">
        <v>2</v>
      </c>
      <c r="F715" s="670">
        <v>31040</v>
      </c>
      <c r="G715" s="37">
        <v>55</v>
      </c>
      <c r="H715" s="37">
        <v>4</v>
      </c>
      <c r="I715" s="37">
        <v>4</v>
      </c>
      <c r="J715" s="1018">
        <f t="shared" si="154"/>
        <v>0.0645758592755468</v>
      </c>
      <c r="K715" s="1019">
        <f t="shared" si="150"/>
        <v>4.8347311827957</v>
      </c>
      <c r="L715" s="1020">
        <f t="shared" si="151"/>
        <v>11.505756585044</v>
      </c>
      <c r="M715" s="1018">
        <f t="shared" si="152"/>
        <v>0.003584229390681</v>
      </c>
      <c r="N715" s="956">
        <f t="shared" si="146"/>
        <v>15520</v>
      </c>
      <c r="O715" s="956">
        <f t="shared" si="147"/>
        <v>1348.89</v>
      </c>
      <c r="P715" s="1019">
        <f t="shared" si="153"/>
        <v>49.0505454545455</v>
      </c>
      <c r="Q715" s="675">
        <f t="shared" si="157"/>
        <v>45.7250847457627</v>
      </c>
      <c r="R715">
        <f t="shared" si="155"/>
        <v>59</v>
      </c>
      <c r="S715" s="661">
        <f t="shared" si="156"/>
        <v>0.10573476702509</v>
      </c>
    </row>
    <row r="716" spans="1:19">
      <c r="A716" s="1010">
        <v>45363</v>
      </c>
      <c r="B716" s="670">
        <v>2504.15</v>
      </c>
      <c r="C716" s="38">
        <v>8200</v>
      </c>
      <c r="D716" s="37">
        <v>515</v>
      </c>
      <c r="E716" s="37">
        <v>2</v>
      </c>
      <c r="F716" s="670">
        <v>42272</v>
      </c>
      <c r="G716" s="37">
        <v>43</v>
      </c>
      <c r="H716" s="37">
        <v>10</v>
      </c>
      <c r="I716" s="37">
        <v>2</v>
      </c>
      <c r="J716" s="1018">
        <f t="shared" si="154"/>
        <v>0.0628048780487805</v>
      </c>
      <c r="K716" s="1019">
        <f t="shared" si="150"/>
        <v>4.86242718446602</v>
      </c>
      <c r="L716" s="1020">
        <f t="shared" si="151"/>
        <v>16.8807779086716</v>
      </c>
      <c r="M716" s="1018">
        <f t="shared" si="152"/>
        <v>0.00388349514563107</v>
      </c>
      <c r="N716" s="956">
        <f t="shared" si="146"/>
        <v>21136</v>
      </c>
      <c r="O716" s="956">
        <f t="shared" si="147"/>
        <v>1252.075</v>
      </c>
      <c r="P716" s="1019">
        <f t="shared" si="153"/>
        <v>58.2360465116279</v>
      </c>
      <c r="Q716" s="675">
        <f t="shared" si="157"/>
        <v>47.2481132075472</v>
      </c>
      <c r="R716">
        <f t="shared" si="155"/>
        <v>53</v>
      </c>
      <c r="S716" s="661">
        <f t="shared" si="156"/>
        <v>0.102912621359223</v>
      </c>
    </row>
    <row r="717" spans="1:19">
      <c r="A717" s="1010">
        <v>45364</v>
      </c>
      <c r="B717" s="670">
        <v>2498.38</v>
      </c>
      <c r="C717" s="38">
        <v>7728</v>
      </c>
      <c r="D717" s="37">
        <v>528</v>
      </c>
      <c r="E717" s="37">
        <v>1</v>
      </c>
      <c r="F717" s="670">
        <v>17664</v>
      </c>
      <c r="G717" s="37">
        <v>71</v>
      </c>
      <c r="H717" s="37">
        <v>9</v>
      </c>
      <c r="I717" s="37">
        <v>14</v>
      </c>
      <c r="J717" s="1018">
        <f t="shared" si="154"/>
        <v>0.0683229813664596</v>
      </c>
      <c r="K717" s="1019">
        <f t="shared" si="150"/>
        <v>4.7317803030303</v>
      </c>
      <c r="L717" s="1020">
        <f t="shared" si="151"/>
        <v>7.07018147759748</v>
      </c>
      <c r="M717" s="1018">
        <f t="shared" si="152"/>
        <v>0.00189393939393939</v>
      </c>
      <c r="N717" s="956">
        <f t="shared" si="146"/>
        <v>17664</v>
      </c>
      <c r="O717" s="956">
        <f t="shared" si="147"/>
        <v>2498.38</v>
      </c>
      <c r="P717" s="1019">
        <f t="shared" si="153"/>
        <v>35.1884507042254</v>
      </c>
      <c r="Q717" s="675">
        <f t="shared" si="157"/>
        <v>31.22975</v>
      </c>
      <c r="R717">
        <f t="shared" si="155"/>
        <v>80</v>
      </c>
      <c r="S717" s="661">
        <f t="shared" si="156"/>
        <v>0.151515151515152</v>
      </c>
    </row>
    <row r="718" spans="1:19">
      <c r="A718" s="1010">
        <v>45365</v>
      </c>
      <c r="B718" s="670">
        <v>2363.76</v>
      </c>
      <c r="C718" s="38">
        <v>7911</v>
      </c>
      <c r="D718" s="37">
        <v>519</v>
      </c>
      <c r="E718" s="37">
        <v>5</v>
      </c>
      <c r="F718" s="670">
        <v>96704</v>
      </c>
      <c r="G718" s="37">
        <v>35</v>
      </c>
      <c r="H718" s="37">
        <v>5</v>
      </c>
      <c r="I718" s="37">
        <v>10</v>
      </c>
      <c r="J718" s="1018">
        <f t="shared" si="154"/>
        <v>0.0656048540007584</v>
      </c>
      <c r="K718" s="1019">
        <f t="shared" si="150"/>
        <v>4.55445086705202</v>
      </c>
      <c r="L718" s="1020">
        <f t="shared" si="151"/>
        <v>40.911090804481</v>
      </c>
      <c r="M718" s="1018">
        <f t="shared" si="152"/>
        <v>0.00963391136801541</v>
      </c>
      <c r="N718" s="956">
        <f t="shared" si="146"/>
        <v>19340.8</v>
      </c>
      <c r="O718" s="956">
        <f t="shared" si="147"/>
        <v>472.752</v>
      </c>
      <c r="P718" s="1019">
        <f t="shared" si="153"/>
        <v>67.536</v>
      </c>
      <c r="Q718" s="675">
        <f t="shared" si="157"/>
        <v>59.094</v>
      </c>
      <c r="R718">
        <f t="shared" si="155"/>
        <v>40</v>
      </c>
      <c r="S718" s="661">
        <f t="shared" si="156"/>
        <v>0.0770712909441233</v>
      </c>
    </row>
    <row r="719" spans="1:19">
      <c r="A719" s="1010">
        <v>45366</v>
      </c>
      <c r="B719" s="670">
        <v>2220.39</v>
      </c>
      <c r="C719" s="38">
        <v>8650</v>
      </c>
      <c r="D719" s="37">
        <v>488</v>
      </c>
      <c r="E719" s="37">
        <v>0</v>
      </c>
      <c r="F719" s="670">
        <v>0</v>
      </c>
      <c r="G719" s="37">
        <v>40</v>
      </c>
      <c r="H719" s="37">
        <v>3</v>
      </c>
      <c r="I719" s="37">
        <v>9</v>
      </c>
      <c r="J719" s="1018">
        <f t="shared" si="154"/>
        <v>0.0564161849710983</v>
      </c>
      <c r="K719" s="1019">
        <f t="shared" si="150"/>
        <v>4.54997950819672</v>
      </c>
      <c r="L719" s="1020">
        <f t="shared" si="151"/>
        <v>0</v>
      </c>
      <c r="M719" s="1018">
        <f t="shared" si="152"/>
        <v>0</v>
      </c>
      <c r="N719" s="956">
        <f t="shared" si="146"/>
        <v>0</v>
      </c>
      <c r="O719" s="956">
        <f t="shared" si="147"/>
        <v>0</v>
      </c>
      <c r="P719" s="1019">
        <f t="shared" si="153"/>
        <v>55.50975</v>
      </c>
      <c r="Q719" s="675">
        <f t="shared" si="157"/>
        <v>51.636976744186</v>
      </c>
      <c r="R719">
        <f t="shared" si="155"/>
        <v>43</v>
      </c>
      <c r="S719" s="661">
        <f t="shared" si="156"/>
        <v>0.0881147540983607</v>
      </c>
    </row>
    <row r="720" spans="1:19">
      <c r="A720" s="1010">
        <v>45367</v>
      </c>
      <c r="B720" s="670">
        <v>3203.34</v>
      </c>
      <c r="C720" s="38">
        <v>25841</v>
      </c>
      <c r="D720" s="37">
        <v>753</v>
      </c>
      <c r="E720" s="37">
        <v>0</v>
      </c>
      <c r="F720" s="670">
        <v>0</v>
      </c>
      <c r="G720" s="37">
        <v>39</v>
      </c>
      <c r="H720" s="37">
        <v>6</v>
      </c>
      <c r="I720" s="37">
        <v>10</v>
      </c>
      <c r="J720" s="1018">
        <f t="shared" si="154"/>
        <v>0.0291397391741806</v>
      </c>
      <c r="K720" s="1019">
        <f t="shared" si="150"/>
        <v>4.25410358565737</v>
      </c>
      <c r="L720" s="1020">
        <f t="shared" si="151"/>
        <v>0</v>
      </c>
      <c r="M720" s="1018">
        <f t="shared" si="152"/>
        <v>0</v>
      </c>
      <c r="N720" s="956">
        <f t="shared" si="146"/>
        <v>0</v>
      </c>
      <c r="O720" s="956">
        <f t="shared" si="147"/>
        <v>0</v>
      </c>
      <c r="P720" s="1019">
        <f t="shared" si="153"/>
        <v>82.1369230769231</v>
      </c>
      <c r="Q720" s="675">
        <f t="shared" si="157"/>
        <v>71.1853333333333</v>
      </c>
      <c r="R720">
        <f t="shared" si="155"/>
        <v>45</v>
      </c>
      <c r="S720" s="661">
        <f t="shared" si="156"/>
        <v>0.0597609561752988</v>
      </c>
    </row>
    <row r="721" spans="1:19">
      <c r="A721" s="1010">
        <v>45368</v>
      </c>
      <c r="B721" s="670">
        <v>3568.81</v>
      </c>
      <c r="C721" s="38">
        <v>25315</v>
      </c>
      <c r="D721" s="37">
        <v>780</v>
      </c>
      <c r="E721" s="37">
        <v>0</v>
      </c>
      <c r="F721" s="670">
        <v>0</v>
      </c>
      <c r="G721" s="37">
        <v>38</v>
      </c>
      <c r="H721" s="37">
        <v>7</v>
      </c>
      <c r="I721" s="37">
        <v>6</v>
      </c>
      <c r="J721" s="1018">
        <f t="shared" si="154"/>
        <v>0.0308117716768714</v>
      </c>
      <c r="K721" s="1019">
        <f t="shared" si="150"/>
        <v>4.57539743589744</v>
      </c>
      <c r="L721" s="1020">
        <f t="shared" si="151"/>
        <v>0</v>
      </c>
      <c r="M721" s="1018">
        <f t="shared" si="152"/>
        <v>0</v>
      </c>
      <c r="N721" s="956">
        <f t="shared" si="146"/>
        <v>0</v>
      </c>
      <c r="O721" s="956">
        <f t="shared" si="147"/>
        <v>0</v>
      </c>
      <c r="P721" s="1019">
        <f t="shared" si="153"/>
        <v>93.9160526315789</v>
      </c>
      <c r="Q721" s="675">
        <f t="shared" si="157"/>
        <v>79.3068888888889</v>
      </c>
      <c r="R721">
        <f t="shared" si="155"/>
        <v>45</v>
      </c>
      <c r="S721" s="661">
        <f t="shared" si="156"/>
        <v>0.0576923076923077</v>
      </c>
    </row>
    <row r="722" spans="1:19">
      <c r="A722" s="1010">
        <v>45369</v>
      </c>
      <c r="B722" s="670">
        <v>3511.29</v>
      </c>
      <c r="C722" s="38">
        <v>13964</v>
      </c>
      <c r="D722" s="37">
        <v>693</v>
      </c>
      <c r="E722" s="37">
        <v>2</v>
      </c>
      <c r="F722" s="670">
        <v>38028</v>
      </c>
      <c r="G722" s="37">
        <v>34</v>
      </c>
      <c r="H722" s="37">
        <v>7</v>
      </c>
      <c r="I722" s="37">
        <v>11</v>
      </c>
      <c r="J722" s="1018">
        <f t="shared" si="154"/>
        <v>0.0496276138642223</v>
      </c>
      <c r="K722" s="1019">
        <f t="shared" si="150"/>
        <v>5.06679653679654</v>
      </c>
      <c r="L722" s="1020">
        <f t="shared" si="151"/>
        <v>10.8302077014431</v>
      </c>
      <c r="M722" s="1018">
        <f t="shared" si="152"/>
        <v>0.00288600288600289</v>
      </c>
      <c r="N722" s="956">
        <f t="shared" si="146"/>
        <v>19014</v>
      </c>
      <c r="O722" s="956">
        <f t="shared" si="147"/>
        <v>1755.645</v>
      </c>
      <c r="P722" s="1019">
        <f t="shared" si="153"/>
        <v>103.273235294118</v>
      </c>
      <c r="Q722" s="675">
        <f t="shared" si="157"/>
        <v>85.6412195121951</v>
      </c>
      <c r="R722">
        <f t="shared" si="155"/>
        <v>41</v>
      </c>
      <c r="S722" s="661">
        <f t="shared" si="156"/>
        <v>0.0591630591630592</v>
      </c>
    </row>
    <row r="723" spans="1:19">
      <c r="A723" s="1010">
        <v>45370</v>
      </c>
      <c r="B723" s="670">
        <v>3399.76</v>
      </c>
      <c r="C723" s="38">
        <v>10168</v>
      </c>
      <c r="D723" s="37">
        <v>670</v>
      </c>
      <c r="E723" s="37">
        <v>2</v>
      </c>
      <c r="F723" s="670">
        <v>20708</v>
      </c>
      <c r="G723" s="37">
        <v>31</v>
      </c>
      <c r="H723" s="37">
        <v>4</v>
      </c>
      <c r="I723" s="37">
        <v>10</v>
      </c>
      <c r="J723" s="1018">
        <f t="shared" si="154"/>
        <v>0.0658929976396538</v>
      </c>
      <c r="K723" s="1019">
        <f t="shared" si="150"/>
        <v>5.07426865671642</v>
      </c>
      <c r="L723" s="1020">
        <f t="shared" si="151"/>
        <v>6.09101818951926</v>
      </c>
      <c r="M723" s="1018">
        <f t="shared" si="152"/>
        <v>0.00298507462686567</v>
      </c>
      <c r="N723" s="956">
        <f t="shared" si="146"/>
        <v>10354</v>
      </c>
      <c r="O723" s="956">
        <f t="shared" si="147"/>
        <v>1699.88</v>
      </c>
      <c r="P723" s="1019">
        <f t="shared" si="153"/>
        <v>109.669677419355</v>
      </c>
      <c r="Q723" s="675">
        <f t="shared" si="157"/>
        <v>97.136</v>
      </c>
      <c r="R723">
        <f t="shared" si="155"/>
        <v>35</v>
      </c>
      <c r="S723" s="661">
        <f t="shared" si="156"/>
        <v>0.0522388059701493</v>
      </c>
    </row>
    <row r="724" spans="1:19">
      <c r="A724" s="1010">
        <v>45371</v>
      </c>
      <c r="B724" s="670">
        <v>3628.84</v>
      </c>
      <c r="C724" s="38">
        <v>13731</v>
      </c>
      <c r="D724" s="37">
        <v>732</v>
      </c>
      <c r="E724" s="37">
        <v>0</v>
      </c>
      <c r="F724" s="670">
        <v>0</v>
      </c>
      <c r="G724" s="37">
        <v>47</v>
      </c>
      <c r="H724" s="37">
        <v>5</v>
      </c>
      <c r="I724" s="37">
        <v>10</v>
      </c>
      <c r="J724" s="1018">
        <f t="shared" si="154"/>
        <v>0.053310028402884</v>
      </c>
      <c r="K724" s="1019">
        <f t="shared" si="150"/>
        <v>4.95743169398907</v>
      </c>
      <c r="L724" s="1020">
        <f t="shared" si="151"/>
        <v>0</v>
      </c>
      <c r="M724" s="1018">
        <f t="shared" si="152"/>
        <v>0</v>
      </c>
      <c r="N724" s="956">
        <f t="shared" si="146"/>
        <v>0</v>
      </c>
      <c r="O724" s="956">
        <f t="shared" si="147"/>
        <v>0</v>
      </c>
      <c r="P724" s="1019">
        <f t="shared" si="153"/>
        <v>77.2093617021277</v>
      </c>
      <c r="Q724" s="675">
        <f t="shared" si="157"/>
        <v>69.7853846153846</v>
      </c>
      <c r="R724">
        <f t="shared" si="155"/>
        <v>52</v>
      </c>
      <c r="S724" s="661">
        <f t="shared" si="156"/>
        <v>0.0710382513661202</v>
      </c>
    </row>
    <row r="725" spans="1:19">
      <c r="A725" s="1010">
        <v>45372</v>
      </c>
      <c r="B725" s="670">
        <v>3534.04</v>
      </c>
      <c r="C725" s="38">
        <v>11819</v>
      </c>
      <c r="D725" s="37">
        <v>670</v>
      </c>
      <c r="E725" s="37">
        <v>3</v>
      </c>
      <c r="F725" s="670">
        <v>43416</v>
      </c>
      <c r="G725" s="37">
        <v>73</v>
      </c>
      <c r="H725" s="37">
        <v>6</v>
      </c>
      <c r="I725" s="37">
        <v>4</v>
      </c>
      <c r="J725" s="1018">
        <f t="shared" si="154"/>
        <v>0.0566883831119384</v>
      </c>
      <c r="K725" s="1019">
        <f t="shared" si="150"/>
        <v>5.27468656716418</v>
      </c>
      <c r="L725" s="1020">
        <f t="shared" si="151"/>
        <v>12.285090151781</v>
      </c>
      <c r="M725" s="1018">
        <f t="shared" si="152"/>
        <v>0.00447761194029851</v>
      </c>
      <c r="N725" s="956">
        <f t="shared" si="146"/>
        <v>14472</v>
      </c>
      <c r="O725" s="956">
        <f t="shared" si="147"/>
        <v>1178.01333333333</v>
      </c>
      <c r="P725" s="1019">
        <f t="shared" si="153"/>
        <v>48.4115068493151</v>
      </c>
      <c r="Q725" s="675">
        <f t="shared" si="157"/>
        <v>44.7346835443038</v>
      </c>
      <c r="R725">
        <f t="shared" si="155"/>
        <v>79</v>
      </c>
      <c r="S725" s="661">
        <f t="shared" si="156"/>
        <v>0.117910447761194</v>
      </c>
    </row>
    <row r="726" spans="1:19">
      <c r="A726" s="1010">
        <v>45373</v>
      </c>
      <c r="B726" s="670">
        <v>3134.9</v>
      </c>
      <c r="C726" s="38">
        <v>11147</v>
      </c>
      <c r="D726" s="37">
        <v>601</v>
      </c>
      <c r="E726" s="37">
        <v>2</v>
      </c>
      <c r="F726" s="670">
        <v>23068</v>
      </c>
      <c r="G726" s="37">
        <v>48</v>
      </c>
      <c r="H726" s="37">
        <v>7</v>
      </c>
      <c r="I726" s="37">
        <v>5</v>
      </c>
      <c r="J726" s="1018">
        <f t="shared" si="154"/>
        <v>0.0539158517986902</v>
      </c>
      <c r="K726" s="1019">
        <f t="shared" si="150"/>
        <v>5.21613976705491</v>
      </c>
      <c r="L726" s="1020">
        <f t="shared" si="151"/>
        <v>7.35844843535679</v>
      </c>
      <c r="M726" s="1018">
        <f t="shared" si="152"/>
        <v>0.00332778702163062</v>
      </c>
      <c r="N726" s="956">
        <f t="shared" si="146"/>
        <v>11534</v>
      </c>
      <c r="O726" s="956">
        <f t="shared" si="147"/>
        <v>1567.45</v>
      </c>
      <c r="P726" s="1019">
        <f t="shared" si="153"/>
        <v>65.3104166666667</v>
      </c>
      <c r="Q726" s="675">
        <f t="shared" si="157"/>
        <v>56.9981818181818</v>
      </c>
      <c r="R726">
        <f t="shared" si="155"/>
        <v>55</v>
      </c>
      <c r="S726" s="661">
        <f t="shared" si="156"/>
        <v>0.0915141430948419</v>
      </c>
    </row>
    <row r="727" spans="1:19">
      <c r="A727" s="1010">
        <v>45374</v>
      </c>
      <c r="B727" s="670">
        <v>3193.22</v>
      </c>
      <c r="C727" s="38">
        <v>12340</v>
      </c>
      <c r="D727" s="37">
        <v>621</v>
      </c>
      <c r="E727" s="37">
        <v>1</v>
      </c>
      <c r="F727" s="670">
        <v>17664</v>
      </c>
      <c r="G727" s="37">
        <v>29</v>
      </c>
      <c r="H727" s="37">
        <v>12</v>
      </c>
      <c r="I727" s="37">
        <v>3</v>
      </c>
      <c r="J727" s="1018">
        <f t="shared" si="154"/>
        <v>0.0503241491085899</v>
      </c>
      <c r="K727" s="1019">
        <f t="shared" si="150"/>
        <v>5.14206119162641</v>
      </c>
      <c r="L727" s="1020">
        <f t="shared" si="151"/>
        <v>5.53172033245439</v>
      </c>
      <c r="M727" s="1018">
        <f t="shared" si="152"/>
        <v>0.00161030595813205</v>
      </c>
      <c r="N727" s="956">
        <f t="shared" si="146"/>
        <v>17664</v>
      </c>
      <c r="O727" s="956">
        <f t="shared" si="147"/>
        <v>3193.22</v>
      </c>
      <c r="P727" s="1019">
        <f t="shared" si="153"/>
        <v>110.111034482759</v>
      </c>
      <c r="Q727" s="675">
        <f t="shared" si="157"/>
        <v>77.8834146341463</v>
      </c>
      <c r="R727">
        <f t="shared" si="155"/>
        <v>41</v>
      </c>
      <c r="S727" s="661">
        <f t="shared" si="156"/>
        <v>0.0660225442834139</v>
      </c>
    </row>
    <row r="728" spans="1:19">
      <c r="A728" s="1010">
        <v>45375</v>
      </c>
      <c r="B728" s="670">
        <v>3541.27</v>
      </c>
      <c r="C728" s="38">
        <v>11699</v>
      </c>
      <c r="D728" s="37">
        <v>696</v>
      </c>
      <c r="E728" s="37">
        <v>5</v>
      </c>
      <c r="F728" s="670">
        <v>96979</v>
      </c>
      <c r="G728" s="37">
        <v>35</v>
      </c>
      <c r="H728" s="37">
        <v>10</v>
      </c>
      <c r="I728" s="37">
        <v>6</v>
      </c>
      <c r="J728" s="1018">
        <f t="shared" si="154"/>
        <v>0.0594922642960937</v>
      </c>
      <c r="K728" s="1019">
        <f t="shared" si="150"/>
        <v>5.0880316091954</v>
      </c>
      <c r="L728" s="1020">
        <f t="shared" si="151"/>
        <v>27.3853730441339</v>
      </c>
      <c r="M728" s="1018">
        <f t="shared" si="152"/>
        <v>0.00718390804597701</v>
      </c>
      <c r="N728" s="956">
        <f t="shared" si="146"/>
        <v>19395.8</v>
      </c>
      <c r="O728" s="956">
        <f t="shared" si="147"/>
        <v>708.254</v>
      </c>
      <c r="P728" s="1019">
        <f t="shared" si="153"/>
        <v>101.179142857143</v>
      </c>
      <c r="Q728" s="675">
        <f t="shared" si="157"/>
        <v>78.6948888888889</v>
      </c>
      <c r="R728">
        <f t="shared" si="155"/>
        <v>45</v>
      </c>
      <c r="S728" s="661">
        <f t="shared" si="156"/>
        <v>0.0646551724137931</v>
      </c>
    </row>
    <row r="729" spans="1:19">
      <c r="A729" s="1010">
        <v>45376</v>
      </c>
      <c r="B729" s="670">
        <v>3561.6</v>
      </c>
      <c r="C729" s="38">
        <v>13028</v>
      </c>
      <c r="D729" s="37">
        <v>707</v>
      </c>
      <c r="E729" s="37">
        <v>1</v>
      </c>
      <c r="F729" s="670">
        <v>21952</v>
      </c>
      <c r="G729" s="37">
        <v>52</v>
      </c>
      <c r="H729" s="37">
        <v>3</v>
      </c>
      <c r="I729" s="37">
        <v>8</v>
      </c>
      <c r="J729" s="1018">
        <f t="shared" si="154"/>
        <v>0.0542677310408351</v>
      </c>
      <c r="K729" s="1019">
        <f t="shared" si="150"/>
        <v>5.03762376237624</v>
      </c>
      <c r="L729" s="1020">
        <f t="shared" si="151"/>
        <v>6.16352201257862</v>
      </c>
      <c r="M729" s="1018">
        <f t="shared" si="152"/>
        <v>0.00141442715700141</v>
      </c>
      <c r="N729" s="956">
        <f t="shared" si="146"/>
        <v>21952</v>
      </c>
      <c r="O729" s="956">
        <f t="shared" si="147"/>
        <v>3561.6</v>
      </c>
      <c r="P729" s="1019">
        <f t="shared" si="153"/>
        <v>68.4923076923077</v>
      </c>
      <c r="Q729" s="675">
        <f t="shared" si="157"/>
        <v>64.7563636363636</v>
      </c>
      <c r="R729">
        <f t="shared" si="155"/>
        <v>55</v>
      </c>
      <c r="S729" s="661">
        <f t="shared" si="156"/>
        <v>0.0777934936350778</v>
      </c>
    </row>
    <row r="730" spans="1:19">
      <c r="A730" s="1010">
        <v>45377</v>
      </c>
      <c r="B730" s="670">
        <v>3310.26</v>
      </c>
      <c r="C730" s="38">
        <v>12508</v>
      </c>
      <c r="D730" s="37">
        <v>668</v>
      </c>
      <c r="E730" s="37">
        <v>2</v>
      </c>
      <c r="F730" s="670">
        <v>27998</v>
      </c>
      <c r="G730" s="37">
        <v>39</v>
      </c>
      <c r="H730" s="37">
        <v>3</v>
      </c>
      <c r="I730" s="37">
        <v>5</v>
      </c>
      <c r="J730" s="1018">
        <f t="shared" si="154"/>
        <v>0.053405820275024</v>
      </c>
      <c r="K730" s="1019">
        <f t="shared" si="150"/>
        <v>4.95547904191617</v>
      </c>
      <c r="L730" s="1020">
        <f t="shared" si="151"/>
        <v>8.45794590153039</v>
      </c>
      <c r="M730" s="1018">
        <f t="shared" si="152"/>
        <v>0.0029940119760479</v>
      </c>
      <c r="N730" s="956">
        <f t="shared" si="146"/>
        <v>13999</v>
      </c>
      <c r="O730" s="956">
        <f t="shared" si="147"/>
        <v>1655.13</v>
      </c>
      <c r="P730" s="1019">
        <f t="shared" si="153"/>
        <v>84.8784615384616</v>
      </c>
      <c r="Q730" s="675">
        <f t="shared" si="157"/>
        <v>78.8157142857143</v>
      </c>
      <c r="R730">
        <f t="shared" si="155"/>
        <v>42</v>
      </c>
      <c r="S730" s="661">
        <f t="shared" si="156"/>
        <v>0.062874251497006</v>
      </c>
    </row>
    <row r="731" spans="1:19">
      <c r="A731" s="1010">
        <v>45378</v>
      </c>
      <c r="B731" s="670">
        <v>2599.19</v>
      </c>
      <c r="C731" s="38">
        <v>11339</v>
      </c>
      <c r="D731" s="37">
        <v>505</v>
      </c>
      <c r="E731" s="37">
        <v>2</v>
      </c>
      <c r="F731" s="670">
        <v>30979</v>
      </c>
      <c r="G731" s="37">
        <v>47</v>
      </c>
      <c r="H731" s="37">
        <v>4</v>
      </c>
      <c r="I731" s="37">
        <v>6</v>
      </c>
      <c r="J731" s="1018">
        <f t="shared" si="154"/>
        <v>0.0445365552517859</v>
      </c>
      <c r="K731" s="1019">
        <f t="shared" si="150"/>
        <v>5.14691089108911</v>
      </c>
      <c r="L731" s="1020">
        <f t="shared" si="151"/>
        <v>11.9187131375544</v>
      </c>
      <c r="M731" s="1018">
        <f t="shared" si="152"/>
        <v>0.00396039603960396</v>
      </c>
      <c r="N731" s="956">
        <f t="shared" si="146"/>
        <v>15489.5</v>
      </c>
      <c r="O731" s="956">
        <f t="shared" si="147"/>
        <v>1299.595</v>
      </c>
      <c r="P731" s="1019">
        <f t="shared" si="153"/>
        <v>55.301914893617</v>
      </c>
      <c r="Q731" s="675">
        <f t="shared" si="157"/>
        <v>50.9645098039216</v>
      </c>
      <c r="R731">
        <f t="shared" si="155"/>
        <v>51</v>
      </c>
      <c r="S731" s="661">
        <f t="shared" si="156"/>
        <v>0.100990099009901</v>
      </c>
    </row>
    <row r="732" spans="1:19">
      <c r="A732" s="1010">
        <v>45379</v>
      </c>
      <c r="B732" s="670">
        <v>2619.1</v>
      </c>
      <c r="C732" s="38">
        <v>11900</v>
      </c>
      <c r="D732" s="37">
        <v>530</v>
      </c>
      <c r="E732" s="37">
        <v>1</v>
      </c>
      <c r="F732" s="670">
        <v>21952</v>
      </c>
      <c r="G732" s="37">
        <v>14</v>
      </c>
      <c r="H732" s="37">
        <v>3</v>
      </c>
      <c r="I732" s="37">
        <v>7</v>
      </c>
      <c r="J732" s="1018">
        <f t="shared" si="154"/>
        <v>0.0445378151260504</v>
      </c>
      <c r="K732" s="1019">
        <f t="shared" si="150"/>
        <v>4.94169811320755</v>
      </c>
      <c r="L732" s="1020">
        <f t="shared" si="151"/>
        <v>8.38150509717078</v>
      </c>
      <c r="M732" s="1018">
        <f t="shared" si="152"/>
        <v>0.00188679245283019</v>
      </c>
      <c r="N732" s="956">
        <f t="shared" si="146"/>
        <v>21952</v>
      </c>
      <c r="O732" s="956">
        <f t="shared" si="147"/>
        <v>2619.1</v>
      </c>
      <c r="P732" s="1019">
        <f t="shared" si="153"/>
        <v>187.078571428571</v>
      </c>
      <c r="Q732" s="675">
        <f t="shared" si="157"/>
        <v>154.064705882353</v>
      </c>
      <c r="R732">
        <f t="shared" si="155"/>
        <v>17</v>
      </c>
      <c r="S732" s="661">
        <f t="shared" si="156"/>
        <v>0.0320754716981132</v>
      </c>
    </row>
    <row r="733" spans="1:19">
      <c r="A733" s="1010">
        <v>45380</v>
      </c>
      <c r="B733" s="670">
        <v>2404.12</v>
      </c>
      <c r="C733" s="38">
        <v>10746</v>
      </c>
      <c r="D733" s="37">
        <v>478</v>
      </c>
      <c r="E733" s="37">
        <v>0</v>
      </c>
      <c r="F733" s="670">
        <v>0</v>
      </c>
      <c r="G733" s="37">
        <v>25</v>
      </c>
      <c r="H733" s="37">
        <v>5</v>
      </c>
      <c r="I733" s="37">
        <v>4</v>
      </c>
      <c r="J733" s="1018">
        <f t="shared" si="154"/>
        <v>0.0444816675972455</v>
      </c>
      <c r="K733" s="1019">
        <f t="shared" si="150"/>
        <v>5.02953974895398</v>
      </c>
      <c r="L733" s="1020">
        <f t="shared" si="151"/>
        <v>0</v>
      </c>
      <c r="M733" s="1018">
        <f t="shared" si="152"/>
        <v>0</v>
      </c>
      <c r="N733" s="956">
        <f t="shared" si="146"/>
        <v>0</v>
      </c>
      <c r="O733" s="956">
        <f t="shared" si="147"/>
        <v>0</v>
      </c>
      <c r="P733" s="1019">
        <f t="shared" si="153"/>
        <v>96.1648</v>
      </c>
      <c r="Q733" s="675">
        <f t="shared" si="157"/>
        <v>80.1373333333333</v>
      </c>
      <c r="R733">
        <f t="shared" si="155"/>
        <v>30</v>
      </c>
      <c r="S733" s="661">
        <f t="shared" si="156"/>
        <v>0.0627615062761506</v>
      </c>
    </row>
    <row r="734" spans="1:19">
      <c r="A734" s="1010">
        <v>45381</v>
      </c>
      <c r="B734" s="670">
        <v>2541.55</v>
      </c>
      <c r="C734" s="38">
        <v>9896</v>
      </c>
      <c r="D734" s="37">
        <v>487</v>
      </c>
      <c r="E734" s="37">
        <v>0</v>
      </c>
      <c r="F734" s="670">
        <v>0</v>
      </c>
      <c r="G734" s="37">
        <v>19</v>
      </c>
      <c r="H734" s="37">
        <v>7</v>
      </c>
      <c r="I734" s="37">
        <v>8</v>
      </c>
      <c r="J734" s="1018">
        <f t="shared" si="154"/>
        <v>0.0492118027485853</v>
      </c>
      <c r="K734" s="1019">
        <f t="shared" si="150"/>
        <v>5.21878850102669</v>
      </c>
      <c r="L734" s="1020">
        <f t="shared" si="151"/>
        <v>0</v>
      </c>
      <c r="M734" s="1018">
        <f t="shared" si="152"/>
        <v>0</v>
      </c>
      <c r="N734" s="956">
        <f t="shared" si="146"/>
        <v>0</v>
      </c>
      <c r="O734" s="956">
        <f t="shared" si="147"/>
        <v>0</v>
      </c>
      <c r="P734" s="1019">
        <f t="shared" ref="P734:P770" si="158">B734/G734</f>
        <v>133.765789473684</v>
      </c>
      <c r="Q734" s="675">
        <f t="shared" si="157"/>
        <v>97.7519230769231</v>
      </c>
      <c r="R734">
        <f t="shared" si="155"/>
        <v>26</v>
      </c>
      <c r="S734" s="661">
        <f t="shared" si="156"/>
        <v>0.053388090349076</v>
      </c>
    </row>
    <row r="735" spans="1:19">
      <c r="A735" s="1010">
        <v>45382</v>
      </c>
      <c r="B735" s="670">
        <v>2591.31</v>
      </c>
      <c r="C735" s="38">
        <v>11214</v>
      </c>
      <c r="D735" s="37">
        <v>541</v>
      </c>
      <c r="E735" s="37">
        <v>0</v>
      </c>
      <c r="F735" s="670">
        <v>0</v>
      </c>
      <c r="G735" s="37">
        <v>34</v>
      </c>
      <c r="H735" s="37">
        <v>2</v>
      </c>
      <c r="I735" s="37">
        <v>4</v>
      </c>
      <c r="J735" s="1018">
        <f t="shared" si="154"/>
        <v>0.0482432673443909</v>
      </c>
      <c r="K735" s="1019">
        <f t="shared" si="150"/>
        <v>4.78985212569316</v>
      </c>
      <c r="L735" s="1020">
        <f t="shared" si="151"/>
        <v>0</v>
      </c>
      <c r="M735" s="1018">
        <f t="shared" si="152"/>
        <v>0</v>
      </c>
      <c r="N735" s="956">
        <f t="shared" si="146"/>
        <v>0</v>
      </c>
      <c r="O735" s="956">
        <f t="shared" si="147"/>
        <v>0</v>
      </c>
      <c r="P735" s="1019">
        <f t="shared" si="158"/>
        <v>76.215</v>
      </c>
      <c r="Q735" s="675">
        <f t="shared" si="157"/>
        <v>71.9808333333333</v>
      </c>
      <c r="R735">
        <f t="shared" si="155"/>
        <v>36</v>
      </c>
      <c r="S735" s="661">
        <f t="shared" si="156"/>
        <v>0.066543438077634</v>
      </c>
    </row>
    <row r="736" spans="1:19">
      <c r="A736" s="1010">
        <v>45383</v>
      </c>
      <c r="B736" s="670">
        <v>1587.8</v>
      </c>
      <c r="C736" s="38">
        <v>6195</v>
      </c>
      <c r="D736" s="37">
        <v>375</v>
      </c>
      <c r="E736" s="37">
        <v>1</v>
      </c>
      <c r="F736" s="670">
        <v>26594</v>
      </c>
      <c r="G736" s="37">
        <v>25</v>
      </c>
      <c r="H736" s="37">
        <v>5</v>
      </c>
      <c r="I736" s="37">
        <v>4</v>
      </c>
      <c r="J736" s="1018">
        <f t="shared" si="154"/>
        <v>0.0605326876513317</v>
      </c>
      <c r="K736" s="1019">
        <f t="shared" si="150"/>
        <v>4.23413333333333</v>
      </c>
      <c r="L736" s="1020">
        <f t="shared" si="151"/>
        <v>16.7489608263005</v>
      </c>
      <c r="M736" s="1018">
        <f t="shared" si="152"/>
        <v>0.00266666666666667</v>
      </c>
      <c r="N736" s="956">
        <f t="shared" si="146"/>
        <v>26594</v>
      </c>
      <c r="O736" s="956">
        <f t="shared" si="147"/>
        <v>1587.8</v>
      </c>
      <c r="P736" s="1019">
        <f t="shared" si="158"/>
        <v>63.512</v>
      </c>
      <c r="Q736" s="675">
        <f t="shared" si="157"/>
        <v>52.9266666666667</v>
      </c>
      <c r="R736">
        <f t="shared" si="155"/>
        <v>30</v>
      </c>
      <c r="S736" s="661">
        <f t="shared" si="156"/>
        <v>0.08</v>
      </c>
    </row>
    <row r="737" spans="1:19">
      <c r="A737" s="1010">
        <v>45384</v>
      </c>
      <c r="B737" s="670">
        <v>1598.25</v>
      </c>
      <c r="C737" s="38">
        <v>5864</v>
      </c>
      <c r="D737" s="37">
        <v>360</v>
      </c>
      <c r="E737" s="37">
        <v>0</v>
      </c>
      <c r="F737" s="670">
        <v>0</v>
      </c>
      <c r="G737" s="37">
        <v>32</v>
      </c>
      <c r="H737" s="37">
        <v>2</v>
      </c>
      <c r="I737" s="37">
        <v>5</v>
      </c>
      <c r="J737" s="1018">
        <f t="shared" si="154"/>
        <v>0.0613915416098226</v>
      </c>
      <c r="K737" s="1019">
        <f t="shared" si="150"/>
        <v>4.43958333333333</v>
      </c>
      <c r="L737" s="1020">
        <f t="shared" si="151"/>
        <v>0</v>
      </c>
      <c r="M737" s="1018">
        <f t="shared" si="152"/>
        <v>0</v>
      </c>
      <c r="N737" s="956">
        <f t="shared" si="146"/>
        <v>0</v>
      </c>
      <c r="O737" s="956">
        <f t="shared" si="147"/>
        <v>0</v>
      </c>
      <c r="P737" s="1019">
        <f t="shared" si="158"/>
        <v>49.9453125</v>
      </c>
      <c r="Q737" s="675">
        <f t="shared" si="157"/>
        <v>47.0073529411765</v>
      </c>
      <c r="R737">
        <f t="shared" si="155"/>
        <v>34</v>
      </c>
      <c r="S737" s="661">
        <f t="shared" si="156"/>
        <v>0.0944444444444444</v>
      </c>
    </row>
    <row r="738" spans="1:19">
      <c r="A738" s="1010">
        <v>45385</v>
      </c>
      <c r="B738" s="670">
        <v>1355.89</v>
      </c>
      <c r="C738" s="38">
        <v>7072</v>
      </c>
      <c r="D738" s="37">
        <v>328</v>
      </c>
      <c r="E738" s="37">
        <v>0</v>
      </c>
      <c r="F738" s="670">
        <v>0</v>
      </c>
      <c r="G738" s="37">
        <v>26</v>
      </c>
      <c r="H738" s="37">
        <v>1</v>
      </c>
      <c r="I738" s="37">
        <v>6</v>
      </c>
      <c r="J738" s="1018">
        <f t="shared" si="154"/>
        <v>0.0463800904977376</v>
      </c>
      <c r="K738" s="1019">
        <f t="shared" si="150"/>
        <v>4.13381097560976</v>
      </c>
      <c r="L738" s="1020">
        <f t="shared" si="151"/>
        <v>0</v>
      </c>
      <c r="M738" s="1018">
        <f t="shared" si="152"/>
        <v>0</v>
      </c>
      <c r="N738" s="956">
        <f t="shared" si="146"/>
        <v>0</v>
      </c>
      <c r="O738" s="956">
        <f t="shared" si="147"/>
        <v>0</v>
      </c>
      <c r="P738" s="1019">
        <f t="shared" si="158"/>
        <v>52.1496153846154</v>
      </c>
      <c r="Q738" s="675">
        <f t="shared" si="157"/>
        <v>50.2181481481482</v>
      </c>
      <c r="R738">
        <f t="shared" ref="R738:R770" si="159">G738+H738</f>
        <v>27</v>
      </c>
      <c r="S738" s="661">
        <f t="shared" ref="S738:S770" si="160">R738/D738</f>
        <v>0.0823170731707317</v>
      </c>
    </row>
    <row r="739" spans="1:19">
      <c r="A739" s="1010">
        <v>45386</v>
      </c>
      <c r="B739" s="670">
        <v>1383.68</v>
      </c>
      <c r="C739" s="38">
        <v>7846</v>
      </c>
      <c r="D739" s="37">
        <v>334</v>
      </c>
      <c r="E739" s="37">
        <v>0</v>
      </c>
      <c r="F739" s="670">
        <v>0</v>
      </c>
      <c r="G739" s="37">
        <v>15</v>
      </c>
      <c r="H739" s="37">
        <v>1</v>
      </c>
      <c r="I739" s="37">
        <v>0</v>
      </c>
      <c r="J739" s="1018">
        <f t="shared" si="154"/>
        <v>0.0425694621463166</v>
      </c>
      <c r="K739" s="1019">
        <f t="shared" si="150"/>
        <v>4.14275449101796</v>
      </c>
      <c r="L739" s="1020">
        <f t="shared" si="151"/>
        <v>0</v>
      </c>
      <c r="M739" s="1018">
        <f t="shared" si="152"/>
        <v>0</v>
      </c>
      <c r="N739" s="956">
        <f>IF(E739=0,0,F739/E739)</f>
        <v>0</v>
      </c>
      <c r="O739" s="956">
        <f>IF(E739=0,0,B739/E739)</f>
        <v>0</v>
      </c>
      <c r="P739" s="1019">
        <f t="shared" si="158"/>
        <v>92.2453333333333</v>
      </c>
      <c r="Q739" s="675">
        <f t="shared" si="157"/>
        <v>86.48</v>
      </c>
      <c r="R739">
        <f t="shared" si="159"/>
        <v>16</v>
      </c>
      <c r="S739" s="661">
        <f t="shared" si="160"/>
        <v>0.0479041916167665</v>
      </c>
    </row>
    <row r="740" spans="1:19">
      <c r="A740" s="1010">
        <v>45387</v>
      </c>
      <c r="B740" s="670">
        <v>1518.48</v>
      </c>
      <c r="C740" s="38">
        <v>7644</v>
      </c>
      <c r="D740" s="37">
        <v>365</v>
      </c>
      <c r="E740" s="37">
        <v>0</v>
      </c>
      <c r="F740" s="670">
        <v>0</v>
      </c>
      <c r="G740" s="37">
        <v>31</v>
      </c>
      <c r="H740" s="37">
        <v>2</v>
      </c>
      <c r="I740" s="37">
        <v>0</v>
      </c>
      <c r="J740" s="1018">
        <f t="shared" ref="J740:J770" si="161">D740/C740</f>
        <v>0.0477498691784406</v>
      </c>
      <c r="K740" s="1019">
        <f t="shared" ref="K740:K770" si="162">B740/D740</f>
        <v>4.16021917808219</v>
      </c>
      <c r="L740" s="1020">
        <f t="shared" ref="L740:L770" si="163">F740/B740</f>
        <v>0</v>
      </c>
      <c r="M740" s="1018">
        <f t="shared" ref="M740:M770" si="164">E740/D740</f>
        <v>0</v>
      </c>
      <c r="N740" s="956">
        <f t="shared" ref="N740:N770" si="165">IF(E740=0,0,F740/E740)</f>
        <v>0</v>
      </c>
      <c r="O740" s="956">
        <f t="shared" ref="O740:O770" si="166">IF(E740=0,0,B740/E740)</f>
        <v>0</v>
      </c>
      <c r="P740" s="1019">
        <f t="shared" si="158"/>
        <v>48.9832258064516</v>
      </c>
      <c r="Q740" s="675">
        <f t="shared" si="157"/>
        <v>46.0145454545455</v>
      </c>
      <c r="R740">
        <f t="shared" si="159"/>
        <v>33</v>
      </c>
      <c r="S740" s="661">
        <f t="shared" si="160"/>
        <v>0.0904109589041096</v>
      </c>
    </row>
    <row r="741" spans="1:19">
      <c r="A741" s="1010">
        <v>45388</v>
      </c>
      <c r="B741" s="670">
        <v>1594.8</v>
      </c>
      <c r="C741" s="38">
        <v>6063</v>
      </c>
      <c r="D741" s="37">
        <v>384</v>
      </c>
      <c r="E741" s="37">
        <v>1</v>
      </c>
      <c r="F741" s="670">
        <v>17427</v>
      </c>
      <c r="G741" s="37">
        <v>48</v>
      </c>
      <c r="H741" s="37">
        <v>7</v>
      </c>
      <c r="I741" s="37">
        <v>4</v>
      </c>
      <c r="J741" s="1018">
        <f t="shared" si="161"/>
        <v>0.0633349826818407</v>
      </c>
      <c r="K741" s="1019">
        <f t="shared" si="162"/>
        <v>4.153125</v>
      </c>
      <c r="L741" s="1020">
        <f t="shared" si="163"/>
        <v>10.9273890142965</v>
      </c>
      <c r="M741" s="1018">
        <f t="shared" si="164"/>
        <v>0.00260416666666667</v>
      </c>
      <c r="N741" s="956">
        <f t="shared" si="165"/>
        <v>17427</v>
      </c>
      <c r="O741" s="956">
        <f t="shared" si="166"/>
        <v>1594.8</v>
      </c>
      <c r="P741" s="1019">
        <f t="shared" si="158"/>
        <v>33.225</v>
      </c>
      <c r="Q741" s="675">
        <f t="shared" si="157"/>
        <v>28.9963636363636</v>
      </c>
      <c r="R741">
        <f t="shared" si="159"/>
        <v>55</v>
      </c>
      <c r="S741" s="661">
        <f t="shared" si="160"/>
        <v>0.143229166666667</v>
      </c>
    </row>
    <row r="742" spans="1:19">
      <c r="A742" s="1010">
        <v>45389</v>
      </c>
      <c r="B742" s="670">
        <v>1602.27</v>
      </c>
      <c r="C742" s="38">
        <v>6384</v>
      </c>
      <c r="D742" s="37">
        <v>405</v>
      </c>
      <c r="E742" s="37">
        <v>0</v>
      </c>
      <c r="F742" s="670">
        <v>0</v>
      </c>
      <c r="G742" s="37">
        <v>31</v>
      </c>
      <c r="H742" s="37">
        <v>5</v>
      </c>
      <c r="I742" s="37">
        <v>3</v>
      </c>
      <c r="J742" s="1018">
        <f t="shared" si="161"/>
        <v>0.0634398496240602</v>
      </c>
      <c r="K742" s="1019">
        <f t="shared" si="162"/>
        <v>3.95622222222222</v>
      </c>
      <c r="L742" s="1020">
        <f>H742/B742</f>
        <v>0.00312057268749961</v>
      </c>
      <c r="M742" s="1018">
        <f>G742/D742</f>
        <v>0.0765432098765432</v>
      </c>
      <c r="N742" s="956">
        <f>IF(G742=0,0,H742/G742)</f>
        <v>0.161290322580645</v>
      </c>
      <c r="O742" s="956">
        <f>IF(G742=0,0,B742/G742)</f>
        <v>51.6861290322581</v>
      </c>
      <c r="P742" s="1019">
        <f t="shared" si="158"/>
        <v>51.6861290322581</v>
      </c>
      <c r="Q742" s="675">
        <f t="shared" si="157"/>
        <v>44.5075</v>
      </c>
      <c r="R742">
        <f t="shared" si="159"/>
        <v>36</v>
      </c>
      <c r="S742" s="661">
        <f t="shared" si="160"/>
        <v>0.0888888888888889</v>
      </c>
    </row>
    <row r="743" spans="1:19">
      <c r="A743" s="1010">
        <v>45390</v>
      </c>
      <c r="B743" s="670">
        <v>1602.02</v>
      </c>
      <c r="C743" s="38">
        <v>6081</v>
      </c>
      <c r="D743" s="37">
        <v>399</v>
      </c>
      <c r="E743" s="37">
        <v>0</v>
      </c>
      <c r="F743" s="670">
        <v>0</v>
      </c>
      <c r="G743" s="37">
        <v>30</v>
      </c>
      <c r="H743" s="37">
        <v>4</v>
      </c>
      <c r="I743" s="37">
        <v>3</v>
      </c>
      <c r="J743" s="1018">
        <f t="shared" si="161"/>
        <v>0.0656142081894425</v>
      </c>
      <c r="K743" s="1019">
        <f t="shared" si="162"/>
        <v>4.01508771929825</v>
      </c>
      <c r="L743" s="1020">
        <f t="shared" si="163"/>
        <v>0</v>
      </c>
      <c r="M743" s="1018">
        <f t="shared" si="164"/>
        <v>0</v>
      </c>
      <c r="N743" s="956">
        <f t="shared" si="165"/>
        <v>0</v>
      </c>
      <c r="O743" s="956">
        <f t="shared" si="166"/>
        <v>0</v>
      </c>
      <c r="P743" s="1019">
        <f t="shared" si="158"/>
        <v>53.4006666666667</v>
      </c>
      <c r="Q743" s="675">
        <f t="shared" ref="Q743:Q770" si="167">B743/(G743+H743)</f>
        <v>47.1182352941176</v>
      </c>
      <c r="R743">
        <f t="shared" si="159"/>
        <v>34</v>
      </c>
      <c r="S743" s="661">
        <f t="shared" si="160"/>
        <v>0.0852130325814536</v>
      </c>
    </row>
    <row r="744" spans="1:19">
      <c r="A744" s="1010">
        <v>45391</v>
      </c>
      <c r="B744" s="670">
        <v>1591.81</v>
      </c>
      <c r="C744" s="38">
        <v>7203</v>
      </c>
      <c r="D744" s="37">
        <v>397</v>
      </c>
      <c r="E744" s="37">
        <v>0</v>
      </c>
      <c r="F744" s="670">
        <v>0</v>
      </c>
      <c r="G744" s="37">
        <v>23</v>
      </c>
      <c r="H744" s="37">
        <v>1</v>
      </c>
      <c r="I744" s="37">
        <v>3</v>
      </c>
      <c r="J744" s="1018">
        <f t="shared" si="161"/>
        <v>0.0551159239205886</v>
      </c>
      <c r="K744" s="1019">
        <f t="shared" si="162"/>
        <v>4.00959697732997</v>
      </c>
      <c r="L744" s="1020">
        <f t="shared" si="163"/>
        <v>0</v>
      </c>
      <c r="M744" s="1018">
        <f t="shared" si="164"/>
        <v>0</v>
      </c>
      <c r="N744" s="956">
        <f t="shared" si="165"/>
        <v>0</v>
      </c>
      <c r="O744" s="956">
        <f t="shared" si="166"/>
        <v>0</v>
      </c>
      <c r="P744" s="1019">
        <f t="shared" si="158"/>
        <v>69.2091304347826</v>
      </c>
      <c r="Q744" s="675">
        <f t="shared" si="167"/>
        <v>66.3254166666667</v>
      </c>
      <c r="R744">
        <f t="shared" si="159"/>
        <v>24</v>
      </c>
      <c r="S744" s="661">
        <f t="shared" si="160"/>
        <v>0.0604534005037783</v>
      </c>
    </row>
    <row r="745" spans="1:19">
      <c r="A745" s="1010">
        <v>45392</v>
      </c>
      <c r="B745" s="670">
        <v>1943.06</v>
      </c>
      <c r="C745" s="38">
        <v>8304</v>
      </c>
      <c r="D745" s="37">
        <v>469</v>
      </c>
      <c r="E745" s="37">
        <v>1</v>
      </c>
      <c r="F745" s="670">
        <v>11954</v>
      </c>
      <c r="G745" s="37">
        <v>40</v>
      </c>
      <c r="H745" s="37">
        <v>4</v>
      </c>
      <c r="I745" s="37">
        <v>6</v>
      </c>
      <c r="J745" s="1018">
        <f t="shared" si="161"/>
        <v>0.0564788053949904</v>
      </c>
      <c r="K745" s="1019">
        <f t="shared" si="162"/>
        <v>4.14298507462687</v>
      </c>
      <c r="L745" s="1020">
        <f t="shared" si="163"/>
        <v>6.15215176062499</v>
      </c>
      <c r="M745" s="1018">
        <f t="shared" si="164"/>
        <v>0.00213219616204691</v>
      </c>
      <c r="N745" s="956">
        <f t="shared" si="165"/>
        <v>11954</v>
      </c>
      <c r="O745" s="956">
        <f t="shared" si="166"/>
        <v>1943.06</v>
      </c>
      <c r="P745" s="1019">
        <f t="shared" si="158"/>
        <v>48.5765</v>
      </c>
      <c r="Q745" s="675">
        <f t="shared" si="167"/>
        <v>44.1604545454545</v>
      </c>
      <c r="R745">
        <f t="shared" si="159"/>
        <v>44</v>
      </c>
      <c r="S745" s="661">
        <f t="shared" si="160"/>
        <v>0.093816631130064</v>
      </c>
    </row>
    <row r="746" spans="1:19">
      <c r="A746" s="1010">
        <v>45393</v>
      </c>
      <c r="B746" s="670">
        <v>2155.28</v>
      </c>
      <c r="C746" s="38">
        <v>7518</v>
      </c>
      <c r="D746" s="37">
        <v>526</v>
      </c>
      <c r="E746" s="37">
        <v>0</v>
      </c>
      <c r="F746" s="670">
        <v>0</v>
      </c>
      <c r="G746" s="37">
        <v>34</v>
      </c>
      <c r="H746" s="37">
        <v>2</v>
      </c>
      <c r="I746" s="37">
        <v>2</v>
      </c>
      <c r="J746" s="1018">
        <f t="shared" si="161"/>
        <v>0.0699654163341314</v>
      </c>
      <c r="K746" s="1019">
        <f t="shared" si="162"/>
        <v>4.09749049429658</v>
      </c>
      <c r="L746" s="1020">
        <f t="shared" si="163"/>
        <v>0</v>
      </c>
      <c r="M746" s="1018">
        <f t="shared" si="164"/>
        <v>0</v>
      </c>
      <c r="N746" s="956">
        <f t="shared" si="165"/>
        <v>0</v>
      </c>
      <c r="O746" s="956">
        <f t="shared" si="166"/>
        <v>0</v>
      </c>
      <c r="P746" s="1019">
        <f t="shared" si="158"/>
        <v>63.3905882352941</v>
      </c>
      <c r="Q746" s="675">
        <f t="shared" si="167"/>
        <v>59.8688888888889</v>
      </c>
      <c r="R746">
        <f t="shared" si="159"/>
        <v>36</v>
      </c>
      <c r="S746" s="661">
        <f t="shared" si="160"/>
        <v>0.0684410646387833</v>
      </c>
    </row>
    <row r="747" spans="1:19">
      <c r="A747" s="1010">
        <v>45394</v>
      </c>
      <c r="B747" s="670">
        <v>1744.71</v>
      </c>
      <c r="C747" s="38">
        <v>7197</v>
      </c>
      <c r="D747" s="37">
        <v>411</v>
      </c>
      <c r="E747" s="37">
        <v>0</v>
      </c>
      <c r="F747" s="670">
        <v>0</v>
      </c>
      <c r="G747" s="37">
        <v>23</v>
      </c>
      <c r="H747" s="37">
        <v>2</v>
      </c>
      <c r="I747" s="37">
        <v>1</v>
      </c>
      <c r="J747" s="1018">
        <f t="shared" si="161"/>
        <v>0.0571071279699875</v>
      </c>
      <c r="K747" s="1019">
        <f t="shared" si="162"/>
        <v>4.24503649635037</v>
      </c>
      <c r="L747" s="1020">
        <f t="shared" si="163"/>
        <v>0</v>
      </c>
      <c r="M747" s="1018">
        <f t="shared" si="164"/>
        <v>0</v>
      </c>
      <c r="N747" s="956">
        <f t="shared" si="165"/>
        <v>0</v>
      </c>
      <c r="O747" s="956">
        <f t="shared" si="166"/>
        <v>0</v>
      </c>
      <c r="P747" s="1019">
        <f t="shared" si="158"/>
        <v>75.8569565217391</v>
      </c>
      <c r="Q747" s="675">
        <f t="shared" si="167"/>
        <v>69.7884</v>
      </c>
      <c r="R747">
        <f t="shared" si="159"/>
        <v>25</v>
      </c>
      <c r="S747" s="661">
        <f t="shared" si="160"/>
        <v>0.0608272506082725</v>
      </c>
    </row>
    <row r="748" spans="1:19">
      <c r="A748" s="1010">
        <v>45395</v>
      </c>
      <c r="B748" s="670">
        <v>1896.49</v>
      </c>
      <c r="C748" s="38">
        <v>7956</v>
      </c>
      <c r="D748" s="37">
        <v>448</v>
      </c>
      <c r="E748" s="37">
        <v>0</v>
      </c>
      <c r="F748" s="670">
        <v>0</v>
      </c>
      <c r="G748" s="37">
        <v>25</v>
      </c>
      <c r="H748" s="37">
        <v>2</v>
      </c>
      <c r="I748" s="37">
        <v>3</v>
      </c>
      <c r="J748" s="1018">
        <f t="shared" si="161"/>
        <v>0.0563097033685269</v>
      </c>
      <c r="K748" s="1019">
        <f t="shared" si="162"/>
        <v>4.23323660714286</v>
      </c>
      <c r="L748" s="1020">
        <f t="shared" si="163"/>
        <v>0</v>
      </c>
      <c r="M748" s="1018">
        <f t="shared" si="164"/>
        <v>0</v>
      </c>
      <c r="N748" s="956">
        <f t="shared" si="165"/>
        <v>0</v>
      </c>
      <c r="O748" s="956">
        <f t="shared" si="166"/>
        <v>0</v>
      </c>
      <c r="P748" s="1019">
        <f t="shared" si="158"/>
        <v>75.8596</v>
      </c>
      <c r="Q748" s="675">
        <f t="shared" si="167"/>
        <v>70.2403703703704</v>
      </c>
      <c r="R748">
        <f t="shared" si="159"/>
        <v>27</v>
      </c>
      <c r="S748" s="661">
        <f t="shared" si="160"/>
        <v>0.0602678571428571</v>
      </c>
    </row>
    <row r="749" spans="1:19">
      <c r="A749" s="1010">
        <v>45396</v>
      </c>
      <c r="B749" s="670">
        <v>2147.22</v>
      </c>
      <c r="C749" s="38">
        <v>7223</v>
      </c>
      <c r="D749" s="37">
        <v>504</v>
      </c>
      <c r="E749" s="37">
        <v>0</v>
      </c>
      <c r="F749" s="670">
        <v>0</v>
      </c>
      <c r="G749" s="37">
        <v>38</v>
      </c>
      <c r="H749" s="37">
        <v>4</v>
      </c>
      <c r="I749" s="37">
        <v>1</v>
      </c>
      <c r="J749" s="1018">
        <f t="shared" si="161"/>
        <v>0.0697771009275924</v>
      </c>
      <c r="K749" s="1019">
        <f t="shared" si="162"/>
        <v>4.26035714285714</v>
      </c>
      <c r="L749" s="1020">
        <f t="shared" si="163"/>
        <v>0</v>
      </c>
      <c r="M749" s="1018">
        <f t="shared" si="164"/>
        <v>0</v>
      </c>
      <c r="N749" s="956">
        <f t="shared" si="165"/>
        <v>0</v>
      </c>
      <c r="O749" s="956">
        <f t="shared" si="166"/>
        <v>0</v>
      </c>
      <c r="P749" s="1019">
        <f t="shared" si="158"/>
        <v>56.5057894736842</v>
      </c>
      <c r="Q749" s="675">
        <f t="shared" si="167"/>
        <v>51.1242857142857</v>
      </c>
      <c r="R749">
        <f t="shared" si="159"/>
        <v>42</v>
      </c>
      <c r="S749" s="661">
        <f t="shared" si="160"/>
        <v>0.0833333333333333</v>
      </c>
    </row>
    <row r="750" spans="1:19">
      <c r="A750" s="1010">
        <v>45397</v>
      </c>
      <c r="B750" s="670">
        <v>2097.15</v>
      </c>
      <c r="C750" s="38">
        <v>7991</v>
      </c>
      <c r="D750" s="37">
        <v>518</v>
      </c>
      <c r="E750" s="37">
        <v>1</v>
      </c>
      <c r="F750" s="670">
        <v>15654</v>
      </c>
      <c r="G750" s="37">
        <v>41</v>
      </c>
      <c r="H750" s="37">
        <v>3</v>
      </c>
      <c r="I750" s="37">
        <v>3</v>
      </c>
      <c r="J750" s="1018">
        <f t="shared" si="161"/>
        <v>0.0648229257915155</v>
      </c>
      <c r="K750" s="1019">
        <f t="shared" si="162"/>
        <v>4.04855212355212</v>
      </c>
      <c r="L750" s="1020">
        <f t="shared" si="163"/>
        <v>7.46441599313354</v>
      </c>
      <c r="M750" s="1018">
        <f t="shared" si="164"/>
        <v>0.00193050193050193</v>
      </c>
      <c r="N750" s="956">
        <f t="shared" si="165"/>
        <v>15654</v>
      </c>
      <c r="O750" s="956">
        <f t="shared" si="166"/>
        <v>2097.15</v>
      </c>
      <c r="P750" s="1019">
        <f t="shared" si="158"/>
        <v>51.15</v>
      </c>
      <c r="Q750" s="675">
        <f t="shared" si="167"/>
        <v>47.6625</v>
      </c>
      <c r="R750">
        <f t="shared" si="159"/>
        <v>44</v>
      </c>
      <c r="S750" s="661">
        <f t="shared" si="160"/>
        <v>0.0849420849420849</v>
      </c>
    </row>
    <row r="751" spans="1:19">
      <c r="A751" s="1010">
        <v>45398</v>
      </c>
      <c r="B751" s="670">
        <v>2076.7</v>
      </c>
      <c r="C751" s="38">
        <v>8816</v>
      </c>
      <c r="D751" s="37">
        <v>540</v>
      </c>
      <c r="E751" s="37">
        <v>0</v>
      </c>
      <c r="F751" s="670">
        <v>0</v>
      </c>
      <c r="G751" s="37">
        <v>33</v>
      </c>
      <c r="H751" s="37">
        <v>4</v>
      </c>
      <c r="I751" s="37">
        <v>3</v>
      </c>
      <c r="J751" s="1018">
        <f t="shared" si="161"/>
        <v>0.0612522686025408</v>
      </c>
      <c r="K751" s="1019">
        <f t="shared" si="162"/>
        <v>3.84574074074074</v>
      </c>
      <c r="L751" s="1020">
        <f t="shared" si="163"/>
        <v>0</v>
      </c>
      <c r="M751" s="1018">
        <f t="shared" si="164"/>
        <v>0</v>
      </c>
      <c r="N751" s="956">
        <f t="shared" si="165"/>
        <v>0</v>
      </c>
      <c r="O751" s="956">
        <f t="shared" si="166"/>
        <v>0</v>
      </c>
      <c r="P751" s="1019">
        <f t="shared" si="158"/>
        <v>62.930303030303</v>
      </c>
      <c r="Q751" s="675">
        <f t="shared" si="167"/>
        <v>56.127027027027</v>
      </c>
      <c r="R751">
        <f t="shared" si="159"/>
        <v>37</v>
      </c>
      <c r="S751" s="661">
        <f t="shared" si="160"/>
        <v>0.0685185185185185</v>
      </c>
    </row>
    <row r="752" spans="1:19">
      <c r="A752" s="1010">
        <v>45399</v>
      </c>
      <c r="B752" s="670">
        <v>2034.79</v>
      </c>
      <c r="C752" s="38">
        <v>6860</v>
      </c>
      <c r="D752" s="37">
        <v>512</v>
      </c>
      <c r="E752" s="37">
        <v>0</v>
      </c>
      <c r="F752" s="670">
        <v>0</v>
      </c>
      <c r="G752" s="37">
        <v>26</v>
      </c>
      <c r="H752" s="37">
        <v>3</v>
      </c>
      <c r="I752" s="37">
        <v>3</v>
      </c>
      <c r="J752" s="1018">
        <f t="shared" si="161"/>
        <v>0.0746355685131195</v>
      </c>
      <c r="K752" s="1019">
        <f t="shared" si="162"/>
        <v>3.97419921875</v>
      </c>
      <c r="L752" s="1020">
        <f t="shared" si="163"/>
        <v>0</v>
      </c>
      <c r="M752" s="1018">
        <f t="shared" si="164"/>
        <v>0</v>
      </c>
      <c r="N752" s="956">
        <f t="shared" si="165"/>
        <v>0</v>
      </c>
      <c r="O752" s="956">
        <f t="shared" si="166"/>
        <v>0</v>
      </c>
      <c r="P752" s="1019">
        <f t="shared" si="158"/>
        <v>78.2611538461538</v>
      </c>
      <c r="Q752" s="675">
        <f t="shared" si="167"/>
        <v>70.1651724137931</v>
      </c>
      <c r="R752">
        <f t="shared" si="159"/>
        <v>29</v>
      </c>
      <c r="S752" s="661">
        <f t="shared" si="160"/>
        <v>0.056640625</v>
      </c>
    </row>
    <row r="753" spans="1:19">
      <c r="A753" s="1010">
        <v>45400</v>
      </c>
      <c r="B753" s="670">
        <v>2053.05</v>
      </c>
      <c r="C753" s="38">
        <v>7481</v>
      </c>
      <c r="D753" s="37">
        <v>544</v>
      </c>
      <c r="E753" s="37">
        <v>2</v>
      </c>
      <c r="F753" s="670">
        <v>77809</v>
      </c>
      <c r="G753" s="37">
        <v>40</v>
      </c>
      <c r="H753" s="37">
        <v>2</v>
      </c>
      <c r="I753" s="37">
        <v>8</v>
      </c>
      <c r="J753" s="1018">
        <f t="shared" si="161"/>
        <v>0.0727175511295281</v>
      </c>
      <c r="K753" s="1019">
        <f t="shared" si="162"/>
        <v>3.77398897058824</v>
      </c>
      <c r="L753" s="1020">
        <f t="shared" si="163"/>
        <v>37.8992231070846</v>
      </c>
      <c r="M753" s="1018">
        <f t="shared" si="164"/>
        <v>0.00367647058823529</v>
      </c>
      <c r="N753" s="956">
        <f t="shared" si="165"/>
        <v>38904.5</v>
      </c>
      <c r="O753" s="956">
        <f t="shared" si="166"/>
        <v>1026.525</v>
      </c>
      <c r="P753" s="1019">
        <f t="shared" si="158"/>
        <v>51.32625</v>
      </c>
      <c r="Q753" s="675">
        <f t="shared" si="167"/>
        <v>48.8821428571429</v>
      </c>
      <c r="R753">
        <f t="shared" si="159"/>
        <v>42</v>
      </c>
      <c r="S753" s="661">
        <f t="shared" si="160"/>
        <v>0.0772058823529412</v>
      </c>
    </row>
    <row r="754" spans="1:19">
      <c r="A754" s="1010">
        <v>45401</v>
      </c>
      <c r="B754" s="670">
        <v>1754.58</v>
      </c>
      <c r="C754" s="38">
        <v>7684</v>
      </c>
      <c r="D754" s="37">
        <v>440</v>
      </c>
      <c r="E754" s="37">
        <v>0</v>
      </c>
      <c r="F754" s="670">
        <v>0</v>
      </c>
      <c r="G754" s="37">
        <v>21</v>
      </c>
      <c r="H754" s="37">
        <v>4</v>
      </c>
      <c r="I754" s="37">
        <v>6</v>
      </c>
      <c r="J754" s="1018">
        <f t="shared" si="161"/>
        <v>0.0572618427902134</v>
      </c>
      <c r="K754" s="1019">
        <f t="shared" si="162"/>
        <v>3.98768181818182</v>
      </c>
      <c r="L754" s="1020">
        <f t="shared" si="163"/>
        <v>0</v>
      </c>
      <c r="M754" s="1018">
        <f t="shared" si="164"/>
        <v>0</v>
      </c>
      <c r="N754" s="956">
        <f t="shared" si="165"/>
        <v>0</v>
      </c>
      <c r="O754" s="956">
        <f t="shared" si="166"/>
        <v>0</v>
      </c>
      <c r="P754" s="1019">
        <f t="shared" si="158"/>
        <v>83.5514285714286</v>
      </c>
      <c r="Q754" s="675">
        <f t="shared" si="167"/>
        <v>70.1832</v>
      </c>
      <c r="R754">
        <f t="shared" si="159"/>
        <v>25</v>
      </c>
      <c r="S754" s="661">
        <f t="shared" si="160"/>
        <v>0.0568181818181818</v>
      </c>
    </row>
    <row r="755" spans="1:19">
      <c r="A755" s="1010">
        <v>45402</v>
      </c>
      <c r="B755" s="670">
        <v>1669.28</v>
      </c>
      <c r="C755" s="38">
        <v>8166</v>
      </c>
      <c r="D755" s="37">
        <v>470</v>
      </c>
      <c r="E755" s="37">
        <v>0</v>
      </c>
      <c r="F755" s="670">
        <v>0</v>
      </c>
      <c r="G755" s="37">
        <v>27</v>
      </c>
      <c r="H755" s="37">
        <v>4</v>
      </c>
      <c r="I755" s="37">
        <v>6</v>
      </c>
      <c r="J755" s="1018">
        <f t="shared" si="161"/>
        <v>0.0575557188341905</v>
      </c>
      <c r="K755" s="1019">
        <f t="shared" si="162"/>
        <v>3.55165957446808</v>
      </c>
      <c r="L755" s="1020">
        <f t="shared" si="163"/>
        <v>0</v>
      </c>
      <c r="M755" s="1018">
        <f t="shared" si="164"/>
        <v>0</v>
      </c>
      <c r="N755" s="956">
        <f t="shared" si="165"/>
        <v>0</v>
      </c>
      <c r="O755" s="956">
        <f t="shared" si="166"/>
        <v>0</v>
      </c>
      <c r="P755" s="1019">
        <f t="shared" si="158"/>
        <v>61.8251851851852</v>
      </c>
      <c r="Q755" s="675">
        <f t="shared" si="167"/>
        <v>53.8477419354839</v>
      </c>
      <c r="R755">
        <f t="shared" si="159"/>
        <v>31</v>
      </c>
      <c r="S755" s="661">
        <f t="shared" si="160"/>
        <v>0.0659574468085106</v>
      </c>
    </row>
    <row r="756" spans="1:19">
      <c r="A756" s="1010">
        <v>45403</v>
      </c>
      <c r="B756" s="670">
        <v>1695.84</v>
      </c>
      <c r="C756" s="38">
        <v>5779</v>
      </c>
      <c r="D756" s="37">
        <v>447</v>
      </c>
      <c r="E756" s="37">
        <v>0</v>
      </c>
      <c r="F756" s="670">
        <v>0</v>
      </c>
      <c r="G756" s="37">
        <v>29</v>
      </c>
      <c r="H756" s="37">
        <v>4</v>
      </c>
      <c r="I756" s="37">
        <v>2</v>
      </c>
      <c r="J756" s="1018">
        <f t="shared" si="161"/>
        <v>0.0773490223222011</v>
      </c>
      <c r="K756" s="1019">
        <f t="shared" si="162"/>
        <v>3.7938255033557</v>
      </c>
      <c r="L756" s="1020">
        <f t="shared" si="163"/>
        <v>0</v>
      </c>
      <c r="M756" s="1018">
        <f t="shared" si="164"/>
        <v>0</v>
      </c>
      <c r="N756" s="956">
        <f t="shared" si="165"/>
        <v>0</v>
      </c>
      <c r="O756" s="956">
        <f t="shared" si="166"/>
        <v>0</v>
      </c>
      <c r="P756" s="1019">
        <f t="shared" si="158"/>
        <v>58.4772413793103</v>
      </c>
      <c r="Q756" s="675">
        <f t="shared" si="167"/>
        <v>51.3890909090909</v>
      </c>
      <c r="R756">
        <f t="shared" si="159"/>
        <v>33</v>
      </c>
      <c r="S756" s="661">
        <f t="shared" si="160"/>
        <v>0.0738255033557047</v>
      </c>
    </row>
    <row r="757" spans="1:19">
      <c r="A757" s="1010">
        <v>45404</v>
      </c>
      <c r="B757" s="670">
        <v>1883.02</v>
      </c>
      <c r="C757" s="38">
        <v>7109</v>
      </c>
      <c r="D757" s="37">
        <v>500</v>
      </c>
      <c r="E757" s="37">
        <v>0</v>
      </c>
      <c r="F757" s="670">
        <v>0</v>
      </c>
      <c r="G757" s="37">
        <v>28</v>
      </c>
      <c r="H757" s="37">
        <v>2</v>
      </c>
      <c r="I757" s="37">
        <v>1</v>
      </c>
      <c r="J757" s="1018">
        <f t="shared" si="161"/>
        <v>0.0703333802222535</v>
      </c>
      <c r="K757" s="1019">
        <f t="shared" si="162"/>
        <v>3.76604</v>
      </c>
      <c r="L757" s="1020">
        <f t="shared" si="163"/>
        <v>0</v>
      </c>
      <c r="M757" s="1018">
        <f t="shared" si="164"/>
        <v>0</v>
      </c>
      <c r="N757" s="956">
        <f t="shared" si="165"/>
        <v>0</v>
      </c>
      <c r="O757" s="956">
        <f t="shared" si="166"/>
        <v>0</v>
      </c>
      <c r="P757" s="1019">
        <f t="shared" si="158"/>
        <v>67.2507142857143</v>
      </c>
      <c r="Q757" s="675">
        <f t="shared" si="167"/>
        <v>62.7673333333333</v>
      </c>
      <c r="R757">
        <f t="shared" si="159"/>
        <v>30</v>
      </c>
      <c r="S757" s="661">
        <f t="shared" si="160"/>
        <v>0.06</v>
      </c>
    </row>
    <row r="758" spans="1:19">
      <c r="A758" s="1010">
        <v>45405</v>
      </c>
      <c r="B758" s="670">
        <v>1816.55</v>
      </c>
      <c r="C758" s="38">
        <v>7250</v>
      </c>
      <c r="D758" s="37">
        <v>467</v>
      </c>
      <c r="E758" s="37">
        <v>0</v>
      </c>
      <c r="F758" s="670">
        <v>0</v>
      </c>
      <c r="G758" s="37">
        <v>19</v>
      </c>
      <c r="H758" s="37">
        <v>3</v>
      </c>
      <c r="I758" s="37">
        <v>7</v>
      </c>
      <c r="J758" s="1018">
        <f t="shared" si="161"/>
        <v>0.0644137931034483</v>
      </c>
      <c r="K758" s="1019">
        <f t="shared" si="162"/>
        <v>3.88982869379015</v>
      </c>
      <c r="L758" s="1020">
        <f t="shared" si="163"/>
        <v>0</v>
      </c>
      <c r="M758" s="1018">
        <f t="shared" si="164"/>
        <v>0</v>
      </c>
      <c r="N758" s="956">
        <f t="shared" si="165"/>
        <v>0</v>
      </c>
      <c r="O758" s="956">
        <f t="shared" si="166"/>
        <v>0</v>
      </c>
      <c r="P758" s="1019">
        <f t="shared" si="158"/>
        <v>95.6078947368421</v>
      </c>
      <c r="Q758" s="675">
        <f t="shared" si="167"/>
        <v>82.5704545454545</v>
      </c>
      <c r="R758">
        <f t="shared" si="159"/>
        <v>22</v>
      </c>
      <c r="S758" s="661">
        <f t="shared" si="160"/>
        <v>0.0471092077087794</v>
      </c>
    </row>
    <row r="759" spans="1:19">
      <c r="A759" s="1010">
        <v>45406</v>
      </c>
      <c r="B759" s="670">
        <v>1787.48</v>
      </c>
      <c r="C759" s="38">
        <v>7715</v>
      </c>
      <c r="D759" s="37">
        <v>470</v>
      </c>
      <c r="E759" s="37">
        <v>2</v>
      </c>
      <c r="F759" s="670">
        <v>28405</v>
      </c>
      <c r="G759" s="37">
        <v>25</v>
      </c>
      <c r="H759" s="37">
        <v>2</v>
      </c>
      <c r="I759" s="37">
        <v>3</v>
      </c>
      <c r="J759" s="1018">
        <f t="shared" si="161"/>
        <v>0.0609202851587816</v>
      </c>
      <c r="K759" s="1019">
        <f t="shared" si="162"/>
        <v>3.80314893617021</v>
      </c>
      <c r="L759" s="1020">
        <f t="shared" si="163"/>
        <v>15.8910868932799</v>
      </c>
      <c r="M759" s="1018">
        <f t="shared" si="164"/>
        <v>0.00425531914893617</v>
      </c>
      <c r="N759" s="956">
        <f t="shared" si="165"/>
        <v>14202.5</v>
      </c>
      <c r="O759" s="956">
        <f t="shared" si="166"/>
        <v>893.74</v>
      </c>
      <c r="P759" s="1019">
        <f t="shared" si="158"/>
        <v>71.4992</v>
      </c>
      <c r="Q759" s="675">
        <f t="shared" si="167"/>
        <v>66.202962962963</v>
      </c>
      <c r="R759">
        <f t="shared" si="159"/>
        <v>27</v>
      </c>
      <c r="S759" s="661">
        <f t="shared" si="160"/>
        <v>0.0574468085106383</v>
      </c>
    </row>
    <row r="760" spans="1:19">
      <c r="A760" s="1010">
        <v>45407</v>
      </c>
      <c r="B760" s="670">
        <v>1687.13</v>
      </c>
      <c r="C760" s="38">
        <v>7830</v>
      </c>
      <c r="D760" s="37">
        <v>428</v>
      </c>
      <c r="E760" s="37">
        <v>0</v>
      </c>
      <c r="F760" s="670">
        <v>0</v>
      </c>
      <c r="G760" s="37">
        <v>24</v>
      </c>
      <c r="H760" s="37">
        <v>2</v>
      </c>
      <c r="I760" s="37">
        <v>2</v>
      </c>
      <c r="J760" s="1018">
        <f t="shared" si="161"/>
        <v>0.054661558109834</v>
      </c>
      <c r="K760" s="1019">
        <f t="shared" si="162"/>
        <v>3.94189252336449</v>
      </c>
      <c r="L760" s="1020">
        <f t="shared" si="163"/>
        <v>0</v>
      </c>
      <c r="M760" s="1018">
        <f t="shared" si="164"/>
        <v>0</v>
      </c>
      <c r="N760" s="956">
        <f t="shared" si="165"/>
        <v>0</v>
      </c>
      <c r="O760" s="956">
        <f t="shared" si="166"/>
        <v>0</v>
      </c>
      <c r="P760" s="1019">
        <f t="shared" si="158"/>
        <v>70.2970833333333</v>
      </c>
      <c r="Q760" s="675">
        <f t="shared" si="167"/>
        <v>64.8896153846154</v>
      </c>
      <c r="R760">
        <f t="shared" si="159"/>
        <v>26</v>
      </c>
      <c r="S760" s="661">
        <f t="shared" si="160"/>
        <v>0.0607476635514019</v>
      </c>
    </row>
    <row r="761" spans="1:19">
      <c r="A761" s="1010">
        <v>45408</v>
      </c>
      <c r="B761" s="670">
        <v>2194.66</v>
      </c>
      <c r="C761" s="38">
        <v>7073</v>
      </c>
      <c r="D761" s="37">
        <v>503</v>
      </c>
      <c r="E761" s="37">
        <v>0</v>
      </c>
      <c r="F761" s="670">
        <v>0</v>
      </c>
      <c r="G761" s="37">
        <v>48</v>
      </c>
      <c r="H761" s="37">
        <v>5</v>
      </c>
      <c r="I761" s="37">
        <v>8</v>
      </c>
      <c r="J761" s="1018">
        <f t="shared" si="161"/>
        <v>0.0711155096847165</v>
      </c>
      <c r="K761" s="1019">
        <f>B762/D762</f>
        <v>3.97751893939394</v>
      </c>
      <c r="L761" s="1020">
        <f>F762/B762</f>
        <v>8.91706703870713</v>
      </c>
      <c r="M761" s="1018">
        <f>E762/D762</f>
        <v>0.00189393939393939</v>
      </c>
      <c r="N761" s="956">
        <f>IF(E762=0,0,F762/E762)</f>
        <v>18727</v>
      </c>
      <c r="O761" s="956">
        <f>IF(E762=0,0,B762/E762)</f>
        <v>2100.13</v>
      </c>
      <c r="P761" s="1019">
        <f>B762/G762</f>
        <v>51.2226829268293</v>
      </c>
      <c r="Q761" s="675">
        <f>B762/(G762+H762)</f>
        <v>47.7302272727273</v>
      </c>
      <c r="R761">
        <f>G762+H762</f>
        <v>44</v>
      </c>
      <c r="S761" s="661">
        <f>R761/D762</f>
        <v>0.0833333333333333</v>
      </c>
    </row>
    <row r="762" spans="1:19">
      <c r="A762" s="1010">
        <v>45409</v>
      </c>
      <c r="B762" s="670">
        <v>2100.13</v>
      </c>
      <c r="C762" s="38">
        <v>7848</v>
      </c>
      <c r="D762" s="37">
        <v>528</v>
      </c>
      <c r="E762" s="37">
        <v>1</v>
      </c>
      <c r="F762" s="670">
        <v>18727</v>
      </c>
      <c r="G762" s="37">
        <v>41</v>
      </c>
      <c r="H762" s="37">
        <v>3</v>
      </c>
      <c r="I762" s="37">
        <v>5</v>
      </c>
      <c r="J762" s="1018">
        <f t="shared" si="161"/>
        <v>0.0672782874617737</v>
      </c>
      <c r="K762" s="1019">
        <f>B762/D762</f>
        <v>3.97751893939394</v>
      </c>
      <c r="L762" s="1020">
        <f>F762/B762</f>
        <v>8.91706703870713</v>
      </c>
      <c r="M762" s="1018">
        <f>E762/D762</f>
        <v>0.00189393939393939</v>
      </c>
      <c r="N762" s="956">
        <f>IF(E762=0,0,F762/E762)</f>
        <v>18727</v>
      </c>
      <c r="O762" s="956">
        <f>IF(E762=0,0,B762/E762)</f>
        <v>2100.13</v>
      </c>
      <c r="P762" s="1019">
        <f>B762/G762</f>
        <v>51.2226829268293</v>
      </c>
      <c r="Q762" s="675">
        <f>B762/(G762+H762)</f>
        <v>47.7302272727273</v>
      </c>
      <c r="R762">
        <f>G762+H762</f>
        <v>44</v>
      </c>
      <c r="S762" s="661">
        <f>R762/D762</f>
        <v>0.0833333333333333</v>
      </c>
    </row>
    <row r="763" spans="1:19">
      <c r="A763" s="1010">
        <v>45410</v>
      </c>
      <c r="B763" s="670">
        <v>2199.23</v>
      </c>
      <c r="C763" s="38">
        <v>7918</v>
      </c>
      <c r="D763" s="37">
        <v>558</v>
      </c>
      <c r="E763" s="37">
        <v>0</v>
      </c>
      <c r="F763" s="670">
        <v>0</v>
      </c>
      <c r="G763" s="37">
        <v>37</v>
      </c>
      <c r="H763" s="37">
        <v>2</v>
      </c>
      <c r="I763" s="37">
        <v>5</v>
      </c>
      <c r="J763" s="1018">
        <f t="shared" si="161"/>
        <v>0.0704723415003789</v>
      </c>
      <c r="K763" s="1019">
        <f t="shared" si="162"/>
        <v>3.94127240143369</v>
      </c>
      <c r="L763" s="1020">
        <f t="shared" si="163"/>
        <v>0</v>
      </c>
      <c r="M763" s="1018">
        <f t="shared" si="164"/>
        <v>0</v>
      </c>
      <c r="N763" s="956">
        <f t="shared" si="165"/>
        <v>0</v>
      </c>
      <c r="O763" s="956">
        <f t="shared" si="166"/>
        <v>0</v>
      </c>
      <c r="P763" s="1019">
        <f t="shared" si="158"/>
        <v>59.4386486486487</v>
      </c>
      <c r="Q763" s="675">
        <f t="shared" si="167"/>
        <v>56.3905128205128</v>
      </c>
      <c r="R763">
        <f t="shared" si="159"/>
        <v>39</v>
      </c>
      <c r="S763" s="661">
        <f t="shared" si="160"/>
        <v>0.0698924731182796</v>
      </c>
    </row>
    <row r="764" spans="1:19">
      <c r="A764" s="1010">
        <v>45411</v>
      </c>
      <c r="B764" s="670">
        <v>2212.85</v>
      </c>
      <c r="C764" s="38">
        <v>5997</v>
      </c>
      <c r="D764" s="37">
        <v>534</v>
      </c>
      <c r="E764" s="37">
        <v>0</v>
      </c>
      <c r="F764" s="670">
        <v>0</v>
      </c>
      <c r="G764" s="37">
        <v>45</v>
      </c>
      <c r="H764" s="37">
        <v>7</v>
      </c>
      <c r="I764" s="37">
        <v>7</v>
      </c>
      <c r="J764" s="1018">
        <f t="shared" si="161"/>
        <v>0.0890445222611306</v>
      </c>
      <c r="K764" s="1019">
        <f t="shared" si="162"/>
        <v>4.1439138576779</v>
      </c>
      <c r="L764" s="1020">
        <f t="shared" si="163"/>
        <v>0</v>
      </c>
      <c r="M764" s="1018">
        <f t="shared" si="164"/>
        <v>0</v>
      </c>
      <c r="N764" s="956">
        <f t="shared" si="165"/>
        <v>0</v>
      </c>
      <c r="O764" s="956">
        <f t="shared" si="166"/>
        <v>0</v>
      </c>
      <c r="P764" s="1019">
        <f t="shared" si="158"/>
        <v>49.1744444444444</v>
      </c>
      <c r="Q764" s="675">
        <f t="shared" si="167"/>
        <v>42.5548076923077</v>
      </c>
      <c r="R764">
        <f t="shared" si="159"/>
        <v>52</v>
      </c>
      <c r="S764" s="661">
        <f t="shared" si="160"/>
        <v>0.0973782771535581</v>
      </c>
    </row>
    <row r="765" spans="1:19">
      <c r="A765" s="1010">
        <v>45412</v>
      </c>
      <c r="B765" s="670">
        <v>2202.94</v>
      </c>
      <c r="C765" s="38">
        <v>7460</v>
      </c>
      <c r="D765" s="37">
        <v>542</v>
      </c>
      <c r="E765" s="37">
        <v>0</v>
      </c>
      <c r="F765" s="670">
        <v>0</v>
      </c>
      <c r="G765" s="37">
        <v>40</v>
      </c>
      <c r="H765" s="37">
        <v>3</v>
      </c>
      <c r="I765" s="37">
        <v>5</v>
      </c>
      <c r="J765" s="1018">
        <f t="shared" si="161"/>
        <v>0.0726541554959785</v>
      </c>
      <c r="K765" s="1019">
        <f t="shared" si="162"/>
        <v>4.06446494464945</v>
      </c>
      <c r="L765" s="1020">
        <f t="shared" si="163"/>
        <v>0</v>
      </c>
      <c r="M765" s="1018">
        <f t="shared" si="164"/>
        <v>0</v>
      </c>
      <c r="N765" s="956">
        <f t="shared" si="165"/>
        <v>0</v>
      </c>
      <c r="O765" s="956">
        <f t="shared" si="166"/>
        <v>0</v>
      </c>
      <c r="P765" s="1019">
        <f t="shared" si="158"/>
        <v>55.0735</v>
      </c>
      <c r="Q765" s="675">
        <f t="shared" si="167"/>
        <v>51.2311627906977</v>
      </c>
      <c r="R765">
        <f t="shared" si="159"/>
        <v>43</v>
      </c>
      <c r="S765" s="661">
        <f t="shared" si="160"/>
        <v>0.0793357933579336</v>
      </c>
    </row>
    <row r="766" spans="1:19">
      <c r="A766" s="1010">
        <v>45413</v>
      </c>
      <c r="B766" s="670">
        <v>2150.1</v>
      </c>
      <c r="C766" s="38">
        <v>8349</v>
      </c>
      <c r="D766" s="37">
        <v>550</v>
      </c>
      <c r="E766" s="37">
        <v>1</v>
      </c>
      <c r="F766" s="670">
        <v>15358</v>
      </c>
      <c r="G766" s="37">
        <v>45</v>
      </c>
      <c r="H766" s="37">
        <v>9</v>
      </c>
      <c r="I766" s="37">
        <v>9</v>
      </c>
      <c r="J766" s="1018">
        <f t="shared" si="161"/>
        <v>0.0658761528326746</v>
      </c>
      <c r="K766" s="1019">
        <f t="shared" si="162"/>
        <v>3.90927272727273</v>
      </c>
      <c r="L766" s="1020">
        <f t="shared" si="163"/>
        <v>7.14292358494954</v>
      </c>
      <c r="M766" s="1018">
        <f t="shared" si="164"/>
        <v>0.00181818181818182</v>
      </c>
      <c r="N766" s="956">
        <f t="shared" si="165"/>
        <v>15358</v>
      </c>
      <c r="O766" s="956">
        <f t="shared" si="166"/>
        <v>2150.1</v>
      </c>
      <c r="P766" s="1019">
        <f t="shared" si="158"/>
        <v>47.78</v>
      </c>
      <c r="Q766" s="675">
        <f t="shared" si="167"/>
        <v>39.8166666666667</v>
      </c>
      <c r="R766">
        <f t="shared" si="159"/>
        <v>54</v>
      </c>
      <c r="S766" s="661">
        <f t="shared" si="160"/>
        <v>0.0981818181818182</v>
      </c>
    </row>
    <row r="767" spans="1:19">
      <c r="A767" s="1010">
        <v>45414</v>
      </c>
      <c r="B767" s="670">
        <v>2208.81</v>
      </c>
      <c r="C767" s="38">
        <v>7943</v>
      </c>
      <c r="D767" s="37">
        <v>597</v>
      </c>
      <c r="E767" s="37">
        <v>2</v>
      </c>
      <c r="F767" s="670">
        <v>29438</v>
      </c>
      <c r="G767" s="37">
        <v>68</v>
      </c>
      <c r="H767" s="37">
        <v>8</v>
      </c>
      <c r="I767" s="37">
        <v>13</v>
      </c>
      <c r="J767" s="1018">
        <f t="shared" si="161"/>
        <v>0.0751605186957069</v>
      </c>
      <c r="K767" s="1019">
        <f t="shared" si="162"/>
        <v>3.69984924623116</v>
      </c>
      <c r="L767" s="1020">
        <f t="shared" si="163"/>
        <v>13.3275383577583</v>
      </c>
      <c r="M767" s="1018">
        <f t="shared" si="164"/>
        <v>0.0033500837520938</v>
      </c>
      <c r="N767" s="956">
        <f t="shared" si="165"/>
        <v>14719</v>
      </c>
      <c r="O767" s="956">
        <f t="shared" si="166"/>
        <v>1104.405</v>
      </c>
      <c r="P767" s="1019">
        <f t="shared" si="158"/>
        <v>32.4825</v>
      </c>
      <c r="Q767" s="675">
        <f t="shared" si="167"/>
        <v>29.0632894736842</v>
      </c>
      <c r="R767">
        <f t="shared" si="159"/>
        <v>76</v>
      </c>
      <c r="S767" s="661">
        <f t="shared" si="160"/>
        <v>0.127303182579564</v>
      </c>
    </row>
    <row r="768" spans="1:19">
      <c r="A768" s="1010">
        <v>45415</v>
      </c>
      <c r="B768" s="670">
        <v>2097.13</v>
      </c>
      <c r="C768" s="38">
        <v>7533</v>
      </c>
      <c r="D768" s="37">
        <v>528</v>
      </c>
      <c r="E768" s="37">
        <v>3</v>
      </c>
      <c r="F768" s="670">
        <v>55946</v>
      </c>
      <c r="G768" s="37">
        <v>28</v>
      </c>
      <c r="H768" s="37">
        <v>4</v>
      </c>
      <c r="I768" s="37">
        <v>9</v>
      </c>
      <c r="J768" s="1018">
        <f t="shared" si="161"/>
        <v>0.0700915969733174</v>
      </c>
      <c r="K768" s="1019">
        <f t="shared" si="162"/>
        <v>3.97183712121212</v>
      </c>
      <c r="L768" s="1020">
        <f t="shared" si="163"/>
        <v>26.6774115100161</v>
      </c>
      <c r="M768" s="1018">
        <f t="shared" si="164"/>
        <v>0.00568181818181818</v>
      </c>
      <c r="N768" s="956">
        <f t="shared" si="165"/>
        <v>18648.6666666667</v>
      </c>
      <c r="O768" s="956">
        <f t="shared" si="166"/>
        <v>699.043333333333</v>
      </c>
      <c r="P768" s="1019">
        <f t="shared" si="158"/>
        <v>74.8975</v>
      </c>
      <c r="Q768" s="675">
        <f t="shared" si="167"/>
        <v>65.5353125</v>
      </c>
      <c r="R768">
        <f t="shared" si="159"/>
        <v>32</v>
      </c>
      <c r="S768" s="661">
        <f t="shared" si="160"/>
        <v>0.0606060606060606</v>
      </c>
    </row>
    <row r="769" spans="1:19">
      <c r="A769" s="1010">
        <v>45416</v>
      </c>
      <c r="B769" s="670">
        <v>2207</v>
      </c>
      <c r="C769" s="38">
        <v>7125</v>
      </c>
      <c r="D769" s="37">
        <v>547</v>
      </c>
      <c r="E769" s="37">
        <v>0</v>
      </c>
      <c r="F769" s="670">
        <v>0</v>
      </c>
      <c r="G769" s="37">
        <v>33</v>
      </c>
      <c r="H769" s="37">
        <v>10</v>
      </c>
      <c r="I769" s="37">
        <v>4</v>
      </c>
      <c r="J769" s="1018">
        <f t="shared" si="161"/>
        <v>0.0767719298245614</v>
      </c>
      <c r="K769" s="1019">
        <f t="shared" si="162"/>
        <v>4.03473491773309</v>
      </c>
      <c r="L769" s="1020">
        <f t="shared" si="163"/>
        <v>0</v>
      </c>
      <c r="M769" s="1018">
        <f t="shared" si="164"/>
        <v>0</v>
      </c>
      <c r="N769" s="956">
        <f t="shared" si="165"/>
        <v>0</v>
      </c>
      <c r="O769" s="956">
        <f t="shared" si="166"/>
        <v>0</v>
      </c>
      <c r="P769" s="1019">
        <f t="shared" si="158"/>
        <v>66.8787878787879</v>
      </c>
      <c r="Q769" s="675">
        <f t="shared" si="167"/>
        <v>51.3255813953488</v>
      </c>
      <c r="R769">
        <f t="shared" si="159"/>
        <v>43</v>
      </c>
      <c r="S769" s="661">
        <f t="shared" si="160"/>
        <v>0.0786106032906764</v>
      </c>
    </row>
    <row r="770" spans="1:19">
      <c r="A770" s="1010">
        <v>45417</v>
      </c>
      <c r="B770" s="670">
        <v>2201.63</v>
      </c>
      <c r="C770" s="38">
        <v>7161</v>
      </c>
      <c r="D770" s="37">
        <v>567</v>
      </c>
      <c r="E770" s="37">
        <v>1</v>
      </c>
      <c r="F770" s="670">
        <v>15032</v>
      </c>
      <c r="G770" s="37">
        <v>37</v>
      </c>
      <c r="H770" s="37">
        <v>3</v>
      </c>
      <c r="I770" s="37">
        <v>4</v>
      </c>
      <c r="J770" s="1018">
        <f t="shared" si="161"/>
        <v>0.0791788856304985</v>
      </c>
      <c r="K770" s="1019">
        <f t="shared" si="162"/>
        <v>3.88294532627866</v>
      </c>
      <c r="L770" s="1020">
        <f t="shared" si="163"/>
        <v>6.82766859099849</v>
      </c>
      <c r="M770" s="1018">
        <f t="shared" si="164"/>
        <v>0.0017636684303351</v>
      </c>
      <c r="N770" s="956">
        <f t="shared" si="165"/>
        <v>15032</v>
      </c>
      <c r="O770" s="956">
        <f t="shared" si="166"/>
        <v>2201.63</v>
      </c>
      <c r="P770" s="1019">
        <f t="shared" si="158"/>
        <v>59.5035135135135</v>
      </c>
      <c r="Q770" s="675">
        <f t="shared" si="167"/>
        <v>55.04075</v>
      </c>
      <c r="R770">
        <f t="shared" si="159"/>
        <v>40</v>
      </c>
      <c r="S770" s="661">
        <f t="shared" si="160"/>
        <v>0.0705467372134039</v>
      </c>
    </row>
    <row r="771" spans="1:19">
      <c r="A771" s="1010">
        <v>45418</v>
      </c>
      <c r="B771" s="670">
        <v>2209.98</v>
      </c>
      <c r="C771" s="38">
        <v>7563</v>
      </c>
      <c r="D771" s="37">
        <v>563</v>
      </c>
      <c r="E771" s="37">
        <v>2</v>
      </c>
      <c r="F771" s="670">
        <v>34876</v>
      </c>
      <c r="G771" s="37">
        <v>43</v>
      </c>
      <c r="H771" s="37">
        <v>3</v>
      </c>
      <c r="I771" s="37">
        <v>6</v>
      </c>
      <c r="J771" s="1018">
        <f t="shared" ref="J771:J780" si="168">D771/C771</f>
        <v>0.0744413592489753</v>
      </c>
      <c r="K771" s="1019">
        <f t="shared" ref="K771:K780" si="169">B771/D771</f>
        <v>3.92536412078153</v>
      </c>
      <c r="L771" s="1020">
        <f t="shared" ref="L771:L780" si="170">F771/B771</f>
        <v>15.7811382908443</v>
      </c>
      <c r="M771" s="1018">
        <f t="shared" ref="M771:M780" si="171">E771/D771</f>
        <v>0.00355239786856128</v>
      </c>
      <c r="N771" s="956">
        <f t="shared" ref="N771:N780" si="172">IF(E771=0,0,F771/E771)</f>
        <v>17438</v>
      </c>
      <c r="O771" s="956">
        <f t="shared" ref="O771:O780" si="173">IF(E771=0,0,B771/E771)</f>
        <v>1104.99</v>
      </c>
      <c r="P771" s="1019">
        <f t="shared" ref="P771:P780" si="174">B771/G771</f>
        <v>51.3948837209302</v>
      </c>
      <c r="Q771" s="675">
        <f t="shared" ref="Q771:Q780" si="175">B771/(G771+H771)</f>
        <v>48.0430434782609</v>
      </c>
      <c r="R771">
        <f t="shared" ref="R771:R780" si="176">G771+H771</f>
        <v>46</v>
      </c>
      <c r="S771" s="661">
        <f t="shared" ref="S771:S780" si="177">R771/D771</f>
        <v>0.0817051509769094</v>
      </c>
    </row>
    <row r="772" spans="1:19">
      <c r="A772" s="1010">
        <v>45419</v>
      </c>
      <c r="B772" s="670">
        <v>2212.26</v>
      </c>
      <c r="C772" s="38">
        <v>5996</v>
      </c>
      <c r="D772" s="37">
        <v>568</v>
      </c>
      <c r="E772" s="37">
        <v>1</v>
      </c>
      <c r="F772" s="670">
        <v>9842</v>
      </c>
      <c r="G772" s="37">
        <v>41</v>
      </c>
      <c r="H772" s="37">
        <v>5</v>
      </c>
      <c r="I772" s="37">
        <v>2</v>
      </c>
      <c r="J772" s="1018">
        <f t="shared" si="168"/>
        <v>0.0947298198799199</v>
      </c>
      <c r="K772" s="1019">
        <f t="shared" si="169"/>
        <v>3.89482394366197</v>
      </c>
      <c r="L772" s="1020">
        <f t="shared" si="170"/>
        <v>4.44884416840697</v>
      </c>
      <c r="M772" s="1018">
        <f t="shared" si="171"/>
        <v>0.00176056338028169</v>
      </c>
      <c r="N772" s="956">
        <f t="shared" si="172"/>
        <v>9842</v>
      </c>
      <c r="O772" s="956">
        <f t="shared" si="173"/>
        <v>2212.26</v>
      </c>
      <c r="P772" s="1019">
        <f t="shared" si="174"/>
        <v>53.9575609756098</v>
      </c>
      <c r="Q772" s="675">
        <f t="shared" si="175"/>
        <v>48.0926086956522</v>
      </c>
      <c r="R772">
        <f t="shared" si="176"/>
        <v>46</v>
      </c>
      <c r="S772" s="661">
        <f t="shared" si="177"/>
        <v>0.0809859154929577</v>
      </c>
    </row>
    <row r="773" spans="1:19">
      <c r="A773" s="1010">
        <v>45420</v>
      </c>
      <c r="B773" s="670">
        <v>2204.21</v>
      </c>
      <c r="C773" s="38">
        <v>7018</v>
      </c>
      <c r="D773" s="37">
        <v>573</v>
      </c>
      <c r="E773" s="37">
        <v>2</v>
      </c>
      <c r="F773" s="670">
        <v>13997</v>
      </c>
      <c r="G773" s="37">
        <v>50</v>
      </c>
      <c r="H773" s="37">
        <v>7</v>
      </c>
      <c r="I773" s="37">
        <v>5</v>
      </c>
      <c r="J773" s="1018">
        <f t="shared" si="168"/>
        <v>0.0816471929324594</v>
      </c>
      <c r="K773" s="1019">
        <f t="shared" si="169"/>
        <v>3.84678883071553</v>
      </c>
      <c r="L773" s="1020">
        <f t="shared" si="170"/>
        <v>6.35012090499544</v>
      </c>
      <c r="M773" s="1018">
        <f t="shared" si="171"/>
        <v>0.00349040139616056</v>
      </c>
      <c r="N773" s="956">
        <f t="shared" si="172"/>
        <v>6998.5</v>
      </c>
      <c r="O773" s="956">
        <f t="shared" si="173"/>
        <v>1102.105</v>
      </c>
      <c r="P773" s="1019">
        <f t="shared" si="174"/>
        <v>44.0842</v>
      </c>
      <c r="Q773" s="675">
        <f t="shared" si="175"/>
        <v>38.670350877193</v>
      </c>
      <c r="R773">
        <f t="shared" si="176"/>
        <v>57</v>
      </c>
      <c r="S773" s="661">
        <f t="shared" si="177"/>
        <v>0.0994764397905759</v>
      </c>
    </row>
    <row r="774" spans="1:19">
      <c r="A774" s="1010">
        <v>45421</v>
      </c>
      <c r="B774" s="670">
        <v>2089.32</v>
      </c>
      <c r="C774" s="38">
        <v>6835</v>
      </c>
      <c r="D774" s="37">
        <v>528</v>
      </c>
      <c r="E774" s="37">
        <v>0</v>
      </c>
      <c r="F774" s="670">
        <v>0</v>
      </c>
      <c r="G774" s="37">
        <v>41</v>
      </c>
      <c r="H774" s="37">
        <v>4</v>
      </c>
      <c r="I774" s="37">
        <v>9</v>
      </c>
      <c r="J774" s="1018">
        <f t="shared" si="168"/>
        <v>0.0772494513533285</v>
      </c>
      <c r="K774" s="1019">
        <f t="shared" si="169"/>
        <v>3.95704545454545</v>
      </c>
      <c r="L774" s="1020">
        <f t="shared" si="170"/>
        <v>0</v>
      </c>
      <c r="M774" s="1018">
        <f t="shared" si="171"/>
        <v>0</v>
      </c>
      <c r="N774" s="956">
        <f t="shared" si="172"/>
        <v>0</v>
      </c>
      <c r="O774" s="956">
        <f t="shared" si="173"/>
        <v>0</v>
      </c>
      <c r="P774" s="1019">
        <f t="shared" si="174"/>
        <v>50.9590243902439</v>
      </c>
      <c r="Q774" s="675">
        <f t="shared" si="175"/>
        <v>46.4293333333333</v>
      </c>
      <c r="R774">
        <f t="shared" si="176"/>
        <v>45</v>
      </c>
      <c r="S774" s="661">
        <f t="shared" si="177"/>
        <v>0.0852272727272727</v>
      </c>
    </row>
    <row r="775" spans="1:19">
      <c r="A775" s="1010">
        <v>45422</v>
      </c>
      <c r="B775" s="670">
        <v>2013.76</v>
      </c>
      <c r="C775" s="38">
        <v>7034</v>
      </c>
      <c r="D775" s="37">
        <v>512</v>
      </c>
      <c r="E775" s="37">
        <v>0</v>
      </c>
      <c r="F775" s="670">
        <v>0</v>
      </c>
      <c r="G775" s="37">
        <v>40</v>
      </c>
      <c r="H775" s="37">
        <v>5</v>
      </c>
      <c r="I775" s="37">
        <v>6</v>
      </c>
      <c r="J775" s="1018">
        <f t="shared" si="168"/>
        <v>0.0727893090702303</v>
      </c>
      <c r="K775" s="1019">
        <f t="shared" si="169"/>
        <v>3.933125</v>
      </c>
      <c r="L775" s="1020">
        <f t="shared" si="170"/>
        <v>0</v>
      </c>
      <c r="M775" s="1018">
        <f t="shared" si="171"/>
        <v>0</v>
      </c>
      <c r="N775" s="956">
        <f t="shared" si="172"/>
        <v>0</v>
      </c>
      <c r="O775" s="956">
        <f t="shared" si="173"/>
        <v>0</v>
      </c>
      <c r="P775" s="1019">
        <f t="shared" si="174"/>
        <v>50.344</v>
      </c>
      <c r="Q775" s="675">
        <f t="shared" si="175"/>
        <v>44.7502222222222</v>
      </c>
      <c r="R775">
        <f t="shared" si="176"/>
        <v>45</v>
      </c>
      <c r="S775" s="661">
        <f t="shared" si="177"/>
        <v>0.087890625</v>
      </c>
    </row>
    <row r="776" spans="1:19">
      <c r="A776" s="1010">
        <v>45423</v>
      </c>
      <c r="B776" s="670">
        <v>1894.06</v>
      </c>
      <c r="C776" s="38">
        <v>6916</v>
      </c>
      <c r="D776" s="37">
        <v>467</v>
      </c>
      <c r="E776" s="37">
        <v>1</v>
      </c>
      <c r="F776" s="670">
        <v>35991</v>
      </c>
      <c r="G776" s="37">
        <v>20</v>
      </c>
      <c r="H776" s="37">
        <v>3</v>
      </c>
      <c r="I776" s="37">
        <v>3</v>
      </c>
      <c r="J776" s="1018">
        <f t="shared" si="168"/>
        <v>0.0675245806824754</v>
      </c>
      <c r="K776" s="1019">
        <f t="shared" si="169"/>
        <v>4.05580299785867</v>
      </c>
      <c r="L776" s="1020">
        <f t="shared" si="170"/>
        <v>19.0020379502233</v>
      </c>
      <c r="M776" s="1018">
        <f t="shared" si="171"/>
        <v>0.00214132762312634</v>
      </c>
      <c r="N776" s="956">
        <f t="shared" si="172"/>
        <v>35991</v>
      </c>
      <c r="O776" s="956">
        <f t="shared" si="173"/>
        <v>1894.06</v>
      </c>
      <c r="P776" s="1019">
        <f t="shared" si="174"/>
        <v>94.703</v>
      </c>
      <c r="Q776" s="675">
        <f t="shared" si="175"/>
        <v>82.3504347826087</v>
      </c>
      <c r="R776">
        <f t="shared" si="176"/>
        <v>23</v>
      </c>
      <c r="S776" s="661">
        <f t="shared" si="177"/>
        <v>0.0492505353319058</v>
      </c>
    </row>
    <row r="777" spans="1:19">
      <c r="A777" s="1010">
        <v>45424</v>
      </c>
      <c r="B777" s="670">
        <v>2131.84</v>
      </c>
      <c r="C777" s="38">
        <v>6395</v>
      </c>
      <c r="D777" s="37">
        <v>554</v>
      </c>
      <c r="E777" s="37">
        <v>0</v>
      </c>
      <c r="F777" s="670">
        <v>0</v>
      </c>
      <c r="G777" s="37">
        <v>38</v>
      </c>
      <c r="H777" s="37">
        <v>7</v>
      </c>
      <c r="I777" s="37">
        <v>4</v>
      </c>
      <c r="J777" s="1018">
        <f t="shared" si="168"/>
        <v>0.0866301798279906</v>
      </c>
      <c r="K777" s="1019">
        <f t="shared" si="169"/>
        <v>3.84808664259928</v>
      </c>
      <c r="L777" s="1020">
        <f t="shared" si="170"/>
        <v>0</v>
      </c>
      <c r="M777" s="1018">
        <f t="shared" si="171"/>
        <v>0</v>
      </c>
      <c r="N777" s="956">
        <f t="shared" si="172"/>
        <v>0</v>
      </c>
      <c r="O777" s="956">
        <f t="shared" si="173"/>
        <v>0</v>
      </c>
      <c r="P777" s="1019">
        <f t="shared" si="174"/>
        <v>56.101052631579</v>
      </c>
      <c r="Q777" s="675">
        <f t="shared" si="175"/>
        <v>47.3742222222222</v>
      </c>
      <c r="R777">
        <f t="shared" si="176"/>
        <v>45</v>
      </c>
      <c r="S777" s="661">
        <f t="shared" si="177"/>
        <v>0.0812274368231047</v>
      </c>
    </row>
    <row r="778" spans="1:19">
      <c r="A778" s="1010">
        <v>45425</v>
      </c>
      <c r="B778" s="670">
        <v>2197.03</v>
      </c>
      <c r="C778" s="38">
        <v>6882</v>
      </c>
      <c r="D778" s="37">
        <v>589</v>
      </c>
      <c r="E778" s="37">
        <v>1</v>
      </c>
      <c r="F778" s="670">
        <v>11997</v>
      </c>
      <c r="G778" s="37">
        <v>45</v>
      </c>
      <c r="H778" s="37">
        <v>7</v>
      </c>
      <c r="I778" s="37">
        <v>2</v>
      </c>
      <c r="J778" s="1018">
        <f t="shared" si="168"/>
        <v>0.0855855855855856</v>
      </c>
      <c r="K778" s="1019">
        <f t="shared" si="169"/>
        <v>3.73010186757216</v>
      </c>
      <c r="L778" s="1020">
        <f t="shared" si="170"/>
        <v>5.46055356549524</v>
      </c>
      <c r="M778" s="1018">
        <f t="shared" si="171"/>
        <v>0.00169779286926995</v>
      </c>
      <c r="N778" s="956">
        <f t="shared" si="172"/>
        <v>11997</v>
      </c>
      <c r="O778" s="956">
        <f t="shared" si="173"/>
        <v>2197.03</v>
      </c>
      <c r="P778" s="1019">
        <f t="shared" si="174"/>
        <v>48.8228888888889</v>
      </c>
      <c r="Q778" s="675">
        <f t="shared" si="175"/>
        <v>42.2505769230769</v>
      </c>
      <c r="R778">
        <f t="shared" si="176"/>
        <v>52</v>
      </c>
      <c r="S778" s="661">
        <f t="shared" si="177"/>
        <v>0.0882852292020374</v>
      </c>
    </row>
    <row r="779" spans="1:19">
      <c r="A779" s="1010">
        <v>45426</v>
      </c>
      <c r="B779" s="670">
        <v>2212.95</v>
      </c>
      <c r="C779" s="38">
        <v>6349</v>
      </c>
      <c r="D779" s="37">
        <v>582</v>
      </c>
      <c r="E779" s="37">
        <v>3</v>
      </c>
      <c r="F779" s="670">
        <v>31593</v>
      </c>
      <c r="G779" s="37">
        <v>51</v>
      </c>
      <c r="H779" s="37">
        <v>6</v>
      </c>
      <c r="I779" s="37">
        <v>8</v>
      </c>
      <c r="J779" s="1018">
        <f t="shared" si="168"/>
        <v>0.0916679792093243</v>
      </c>
      <c r="K779" s="1019">
        <f t="shared" si="169"/>
        <v>3.80231958762887</v>
      </c>
      <c r="L779" s="1020">
        <f t="shared" si="170"/>
        <v>14.2764183555887</v>
      </c>
      <c r="M779" s="1018">
        <f t="shared" si="171"/>
        <v>0.00515463917525773</v>
      </c>
      <c r="N779" s="956">
        <f t="shared" si="172"/>
        <v>10531</v>
      </c>
      <c r="O779" s="956">
        <f t="shared" si="173"/>
        <v>737.65</v>
      </c>
      <c r="P779" s="1019">
        <f t="shared" si="174"/>
        <v>43.3911764705882</v>
      </c>
      <c r="Q779" s="675">
        <f t="shared" si="175"/>
        <v>38.8236842105263</v>
      </c>
      <c r="R779">
        <f t="shared" si="176"/>
        <v>57</v>
      </c>
      <c r="S779" s="661">
        <f t="shared" si="177"/>
        <v>0.0979381443298969</v>
      </c>
    </row>
    <row r="780" spans="1:19">
      <c r="A780" s="1010">
        <v>45427</v>
      </c>
      <c r="B780" s="670">
        <v>2176.89</v>
      </c>
      <c r="C780" s="38">
        <v>6568</v>
      </c>
      <c r="D780" s="37">
        <v>614</v>
      </c>
      <c r="E780" s="37">
        <v>2</v>
      </c>
      <c r="F780" s="670">
        <v>21795</v>
      </c>
      <c r="G780" s="37">
        <v>39</v>
      </c>
      <c r="H780" s="37">
        <v>7</v>
      </c>
      <c r="I780" s="37">
        <v>8</v>
      </c>
      <c r="J780" s="1018">
        <f t="shared" si="168"/>
        <v>0.093483556638246</v>
      </c>
      <c r="K780" s="1019">
        <f t="shared" si="169"/>
        <v>3.54542345276873</v>
      </c>
      <c r="L780" s="1020">
        <f t="shared" si="170"/>
        <v>10.0119895814671</v>
      </c>
      <c r="M780" s="1018">
        <f t="shared" si="171"/>
        <v>0.00325732899022801</v>
      </c>
      <c r="N780" s="956">
        <f t="shared" si="172"/>
        <v>10897.5</v>
      </c>
      <c r="O780" s="956">
        <f t="shared" si="173"/>
        <v>1088.445</v>
      </c>
      <c r="P780" s="1019">
        <f t="shared" si="174"/>
        <v>55.8176923076923</v>
      </c>
      <c r="Q780" s="675">
        <f t="shared" si="175"/>
        <v>47.3236956521739</v>
      </c>
      <c r="R780">
        <f t="shared" si="176"/>
        <v>46</v>
      </c>
      <c r="S780" s="661">
        <f t="shared" si="177"/>
        <v>0.0749185667752443</v>
      </c>
    </row>
    <row r="781" spans="1:19">
      <c r="A781" s="1010">
        <v>45428</v>
      </c>
      <c r="B781" s="670">
        <v>2063</v>
      </c>
      <c r="C781" s="38">
        <v>5712</v>
      </c>
      <c r="D781" s="37">
        <v>559</v>
      </c>
      <c r="E781" s="37">
        <v>2</v>
      </c>
      <c r="F781" s="670">
        <v>19596</v>
      </c>
      <c r="G781" s="37">
        <v>69</v>
      </c>
      <c r="H781" s="37">
        <v>8</v>
      </c>
      <c r="I781" s="37">
        <v>4</v>
      </c>
      <c r="J781" s="1018">
        <f t="shared" ref="J781:J795" si="178">D781/C781</f>
        <v>0.0978641456582633</v>
      </c>
      <c r="K781" s="1019">
        <f t="shared" ref="K781:K795" si="179">B781/D781</f>
        <v>3.69051878354204</v>
      </c>
      <c r="L781" s="1020">
        <f t="shared" ref="L781:L795" si="180">F781/B781</f>
        <v>9.49878817256423</v>
      </c>
      <c r="M781" s="1018">
        <f t="shared" ref="M781:M795" si="181">E781/D781</f>
        <v>0.0035778175313059</v>
      </c>
      <c r="N781" s="956">
        <f t="shared" ref="N781:N795" si="182">IF(E781=0,0,F781/E781)</f>
        <v>9798</v>
      </c>
      <c r="O781" s="956">
        <f t="shared" ref="O781:O795" si="183">IF(E781=0,0,B781/E781)</f>
        <v>1031.5</v>
      </c>
      <c r="P781" s="1019">
        <f t="shared" ref="P781:P795" si="184">B781/G781</f>
        <v>29.8985507246377</v>
      </c>
      <c r="Q781" s="675">
        <f t="shared" ref="Q781:Q795" si="185">B781/(G781+H781)</f>
        <v>26.7922077922078</v>
      </c>
      <c r="R781">
        <f t="shared" ref="R781:R795" si="186">G781+H781</f>
        <v>77</v>
      </c>
      <c r="S781" s="661">
        <f t="shared" ref="S781:S795" si="187">R781/D781</f>
        <v>0.137745974955277</v>
      </c>
    </row>
    <row r="782" spans="1:19">
      <c r="A782" s="1010">
        <v>45429</v>
      </c>
      <c r="B782" s="670">
        <v>1706.87</v>
      </c>
      <c r="C782" s="38">
        <v>5675</v>
      </c>
      <c r="D782" s="37">
        <v>437</v>
      </c>
      <c r="E782" s="37">
        <v>2</v>
      </c>
      <c r="F782" s="670">
        <v>40385</v>
      </c>
      <c r="G782" s="37">
        <v>72</v>
      </c>
      <c r="H782" s="37">
        <v>5</v>
      </c>
      <c r="I782" s="37">
        <v>1</v>
      </c>
      <c r="J782" s="1018">
        <f t="shared" si="178"/>
        <v>0.0770044052863436</v>
      </c>
      <c r="K782" s="1019">
        <f t="shared" si="179"/>
        <v>3.90588100686499</v>
      </c>
      <c r="L782" s="1020">
        <f t="shared" si="180"/>
        <v>23.6602670384974</v>
      </c>
      <c r="M782" s="1018">
        <f t="shared" si="181"/>
        <v>0.0045766590389016</v>
      </c>
      <c r="N782" s="956">
        <f t="shared" si="182"/>
        <v>20192.5</v>
      </c>
      <c r="O782" s="956">
        <f t="shared" si="183"/>
        <v>853.435</v>
      </c>
      <c r="P782" s="1019">
        <f t="shared" si="184"/>
        <v>23.7065277777778</v>
      </c>
      <c r="Q782" s="675">
        <f t="shared" si="185"/>
        <v>22.1671428571429</v>
      </c>
      <c r="R782">
        <f t="shared" si="186"/>
        <v>77</v>
      </c>
      <c r="S782" s="661">
        <f t="shared" si="187"/>
        <v>0.176201372997712</v>
      </c>
    </row>
    <row r="783" spans="1:19">
      <c r="A783" s="1010">
        <v>45430</v>
      </c>
      <c r="B783" s="670">
        <v>1676.16</v>
      </c>
      <c r="C783" s="38">
        <v>4617</v>
      </c>
      <c r="D783" s="37">
        <v>396</v>
      </c>
      <c r="E783" s="37">
        <v>5</v>
      </c>
      <c r="F783" s="670">
        <v>55587</v>
      </c>
      <c r="G783" s="37">
        <v>45</v>
      </c>
      <c r="H783" s="37">
        <v>3</v>
      </c>
      <c r="I783" s="37">
        <v>5</v>
      </c>
      <c r="J783" s="1018">
        <f t="shared" si="178"/>
        <v>0.0857699805068226</v>
      </c>
      <c r="K783" s="1019">
        <f t="shared" si="179"/>
        <v>4.23272727272727</v>
      </c>
      <c r="L783" s="1020">
        <f t="shared" si="180"/>
        <v>33.1633018327606</v>
      </c>
      <c r="M783" s="1018">
        <f t="shared" si="181"/>
        <v>0.0126262626262626</v>
      </c>
      <c r="N783" s="956">
        <f t="shared" si="182"/>
        <v>11117.4</v>
      </c>
      <c r="O783" s="956">
        <f t="shared" si="183"/>
        <v>335.232</v>
      </c>
      <c r="P783" s="1019">
        <f t="shared" si="184"/>
        <v>37.248</v>
      </c>
      <c r="Q783" s="675">
        <f t="shared" si="185"/>
        <v>34.92</v>
      </c>
      <c r="R783">
        <f t="shared" si="186"/>
        <v>48</v>
      </c>
      <c r="S783" s="661">
        <f t="shared" si="187"/>
        <v>0.121212121212121</v>
      </c>
    </row>
    <row r="784" spans="1:19">
      <c r="A784" s="1010">
        <v>45431</v>
      </c>
      <c r="B784" s="670">
        <v>1697.45</v>
      </c>
      <c r="C784" s="38">
        <v>4554</v>
      </c>
      <c r="D784" s="37">
        <v>429</v>
      </c>
      <c r="E784" s="37">
        <v>3</v>
      </c>
      <c r="F784" s="670">
        <v>32550</v>
      </c>
      <c r="G784" s="37">
        <v>49</v>
      </c>
      <c r="H784" s="37">
        <v>7</v>
      </c>
      <c r="I784" s="37">
        <v>8</v>
      </c>
      <c r="J784" s="1018">
        <f t="shared" si="178"/>
        <v>0.0942028985507246</v>
      </c>
      <c r="K784" s="1019">
        <f t="shared" si="179"/>
        <v>3.95675990675991</v>
      </c>
      <c r="L784" s="1020">
        <f t="shared" si="180"/>
        <v>19.1758225573655</v>
      </c>
      <c r="M784" s="1018">
        <f t="shared" si="181"/>
        <v>0.00699300699300699</v>
      </c>
      <c r="N784" s="956">
        <f t="shared" si="182"/>
        <v>10850</v>
      </c>
      <c r="O784" s="956">
        <f t="shared" si="183"/>
        <v>565.816666666667</v>
      </c>
      <c r="P784" s="1019">
        <f t="shared" si="184"/>
        <v>34.6418367346939</v>
      </c>
      <c r="Q784" s="675">
        <f t="shared" si="185"/>
        <v>30.3116071428571</v>
      </c>
      <c r="R784">
        <f t="shared" si="186"/>
        <v>56</v>
      </c>
      <c r="S784" s="661">
        <f t="shared" si="187"/>
        <v>0.130536130536131</v>
      </c>
    </row>
    <row r="785" spans="1:19">
      <c r="A785" s="1010">
        <v>45432</v>
      </c>
      <c r="B785" s="670">
        <v>1681.69</v>
      </c>
      <c r="C785" s="38">
        <v>6482</v>
      </c>
      <c r="D785" s="37">
        <v>417</v>
      </c>
      <c r="E785" s="37">
        <v>4</v>
      </c>
      <c r="F785" s="670">
        <v>30994</v>
      </c>
      <c r="G785" s="37">
        <v>48</v>
      </c>
      <c r="H785" s="37">
        <v>5</v>
      </c>
      <c r="I785" s="37">
        <v>10</v>
      </c>
      <c r="J785" s="1018">
        <f t="shared" si="178"/>
        <v>0.0643319962974391</v>
      </c>
      <c r="K785" s="1019">
        <f t="shared" si="179"/>
        <v>4.03282973621103</v>
      </c>
      <c r="L785" s="1020">
        <f t="shared" si="180"/>
        <v>18.4302695502738</v>
      </c>
      <c r="M785" s="1018">
        <f t="shared" si="181"/>
        <v>0.00959232613908873</v>
      </c>
      <c r="N785" s="956">
        <f t="shared" si="182"/>
        <v>7748.5</v>
      </c>
      <c r="O785" s="956">
        <f t="shared" si="183"/>
        <v>420.4225</v>
      </c>
      <c r="P785" s="1019">
        <f t="shared" si="184"/>
        <v>35.0352083333333</v>
      </c>
      <c r="Q785" s="675">
        <f t="shared" si="185"/>
        <v>31.73</v>
      </c>
      <c r="R785">
        <f t="shared" si="186"/>
        <v>53</v>
      </c>
      <c r="S785" s="661">
        <f t="shared" si="187"/>
        <v>0.127098321342926</v>
      </c>
    </row>
    <row r="786" spans="1:19">
      <c r="A786" s="1010">
        <v>45433</v>
      </c>
      <c r="B786" s="670">
        <v>1714.05</v>
      </c>
      <c r="C786" s="38">
        <v>5521</v>
      </c>
      <c r="D786" s="37">
        <v>406</v>
      </c>
      <c r="E786" s="37">
        <v>8</v>
      </c>
      <c r="F786" s="670">
        <v>86449</v>
      </c>
      <c r="G786" s="37">
        <v>79</v>
      </c>
      <c r="H786" s="37">
        <v>10</v>
      </c>
      <c r="I786" s="37">
        <v>8</v>
      </c>
      <c r="J786" s="1018">
        <f t="shared" si="178"/>
        <v>0.0735374026444485</v>
      </c>
      <c r="K786" s="1019">
        <f t="shared" si="179"/>
        <v>4.22179802955665</v>
      </c>
      <c r="L786" s="1020">
        <f t="shared" si="180"/>
        <v>50.4355182170882</v>
      </c>
      <c r="M786" s="1018">
        <f t="shared" si="181"/>
        <v>0.0197044334975369</v>
      </c>
      <c r="N786" s="956">
        <f t="shared" si="182"/>
        <v>10806.125</v>
      </c>
      <c r="O786" s="956">
        <f t="shared" si="183"/>
        <v>214.25625</v>
      </c>
      <c r="P786" s="1019">
        <f t="shared" si="184"/>
        <v>21.696835443038</v>
      </c>
      <c r="Q786" s="675">
        <f t="shared" si="185"/>
        <v>19.2589887640449</v>
      </c>
      <c r="R786">
        <f t="shared" si="186"/>
        <v>89</v>
      </c>
      <c r="S786" s="661">
        <f t="shared" si="187"/>
        <v>0.219211822660099</v>
      </c>
    </row>
    <row r="787" spans="1:19">
      <c r="A787" s="1010">
        <v>45434</v>
      </c>
      <c r="B787" s="670">
        <v>1715.9</v>
      </c>
      <c r="C787" s="38">
        <v>5220</v>
      </c>
      <c r="D787" s="37">
        <v>455</v>
      </c>
      <c r="E787" s="37">
        <v>6</v>
      </c>
      <c r="F787" s="670">
        <v>68592</v>
      </c>
      <c r="G787" s="37">
        <v>56</v>
      </c>
      <c r="H787" s="37">
        <v>2</v>
      </c>
      <c r="I787" s="37">
        <v>8</v>
      </c>
      <c r="J787" s="1018">
        <f t="shared" si="178"/>
        <v>0.0871647509578544</v>
      </c>
      <c r="K787" s="1019">
        <f t="shared" si="179"/>
        <v>3.77120879120879</v>
      </c>
      <c r="L787" s="1020">
        <f t="shared" si="180"/>
        <v>39.9743574800396</v>
      </c>
      <c r="M787" s="1018">
        <f t="shared" si="181"/>
        <v>0.0131868131868132</v>
      </c>
      <c r="N787" s="956">
        <f t="shared" si="182"/>
        <v>11432</v>
      </c>
      <c r="O787" s="956">
        <f t="shared" si="183"/>
        <v>285.983333333333</v>
      </c>
      <c r="P787" s="1019">
        <f t="shared" si="184"/>
        <v>30.6410714285714</v>
      </c>
      <c r="Q787" s="675">
        <f t="shared" si="185"/>
        <v>29.5844827586207</v>
      </c>
      <c r="R787">
        <f t="shared" si="186"/>
        <v>58</v>
      </c>
      <c r="S787" s="661">
        <f t="shared" si="187"/>
        <v>0.127472527472527</v>
      </c>
    </row>
    <row r="788" spans="1:19">
      <c r="A788" s="1010">
        <v>45435</v>
      </c>
      <c r="B788" s="670">
        <v>1705</v>
      </c>
      <c r="C788" s="38">
        <v>6006</v>
      </c>
      <c r="D788" s="37">
        <v>416</v>
      </c>
      <c r="E788" s="37">
        <v>1</v>
      </c>
      <c r="F788" s="670">
        <v>19514</v>
      </c>
      <c r="G788" s="37">
        <v>47</v>
      </c>
      <c r="H788" s="37">
        <v>7</v>
      </c>
      <c r="I788" s="37">
        <v>8</v>
      </c>
      <c r="J788" s="1018">
        <f t="shared" si="178"/>
        <v>0.0692640692640693</v>
      </c>
      <c r="K788" s="1019">
        <f t="shared" si="179"/>
        <v>4.09855769230769</v>
      </c>
      <c r="L788" s="1020">
        <f t="shared" si="180"/>
        <v>11.4451612903226</v>
      </c>
      <c r="M788" s="1018">
        <f t="shared" si="181"/>
        <v>0.00240384615384615</v>
      </c>
      <c r="N788" s="956">
        <f t="shared" si="182"/>
        <v>19514</v>
      </c>
      <c r="O788" s="956">
        <f t="shared" si="183"/>
        <v>1705</v>
      </c>
      <c r="P788" s="1019">
        <f t="shared" si="184"/>
        <v>36.2765957446809</v>
      </c>
      <c r="Q788" s="675">
        <f t="shared" si="185"/>
        <v>31.5740740740741</v>
      </c>
      <c r="R788">
        <f t="shared" si="186"/>
        <v>54</v>
      </c>
      <c r="S788" s="661">
        <f t="shared" si="187"/>
        <v>0.129807692307692</v>
      </c>
    </row>
    <row r="789" spans="1:19">
      <c r="A789" s="1010">
        <v>45436</v>
      </c>
      <c r="B789" s="670">
        <v>1628.65</v>
      </c>
      <c r="C789" s="38">
        <v>6835</v>
      </c>
      <c r="D789" s="37">
        <v>417</v>
      </c>
      <c r="E789" s="37">
        <v>2</v>
      </c>
      <c r="F789" s="670">
        <v>16596</v>
      </c>
      <c r="G789" s="37">
        <v>51</v>
      </c>
      <c r="H789" s="37">
        <v>3</v>
      </c>
      <c r="I789" s="37">
        <v>11</v>
      </c>
      <c r="J789" s="1018">
        <f t="shared" si="178"/>
        <v>0.0610095098756401</v>
      </c>
      <c r="K789" s="1019">
        <f t="shared" si="179"/>
        <v>3.90563549160671</v>
      </c>
      <c r="L789" s="1020">
        <f t="shared" si="180"/>
        <v>10.1900346913088</v>
      </c>
      <c r="M789" s="1018">
        <f t="shared" si="181"/>
        <v>0.00479616306954436</v>
      </c>
      <c r="N789" s="956">
        <f t="shared" si="182"/>
        <v>8298</v>
      </c>
      <c r="O789" s="956">
        <f t="shared" si="183"/>
        <v>814.325</v>
      </c>
      <c r="P789" s="1019">
        <f t="shared" si="184"/>
        <v>31.9343137254902</v>
      </c>
      <c r="Q789" s="675">
        <f t="shared" si="185"/>
        <v>30.1601851851852</v>
      </c>
      <c r="R789">
        <f t="shared" si="186"/>
        <v>54</v>
      </c>
      <c r="S789" s="661">
        <f t="shared" si="187"/>
        <v>0.129496402877698</v>
      </c>
    </row>
    <row r="790" spans="1:19">
      <c r="A790" s="1010">
        <v>45437</v>
      </c>
      <c r="B790" s="670">
        <v>1862.99</v>
      </c>
      <c r="C790" s="38">
        <v>7697</v>
      </c>
      <c r="D790" s="37">
        <v>465</v>
      </c>
      <c r="E790" s="37">
        <v>3</v>
      </c>
      <c r="F790" s="670">
        <v>83979</v>
      </c>
      <c r="G790" s="37">
        <v>29</v>
      </c>
      <c r="H790" s="37">
        <v>4</v>
      </c>
      <c r="I790" s="37">
        <v>9</v>
      </c>
      <c r="J790" s="1018">
        <f t="shared" si="178"/>
        <v>0.0604131479797324</v>
      </c>
      <c r="K790" s="1019">
        <f t="shared" si="179"/>
        <v>4.00643010752688</v>
      </c>
      <c r="L790" s="1020">
        <f t="shared" si="180"/>
        <v>45.0775366480765</v>
      </c>
      <c r="M790" s="1018">
        <f t="shared" si="181"/>
        <v>0.00645161290322581</v>
      </c>
      <c r="N790" s="956">
        <f t="shared" si="182"/>
        <v>27993</v>
      </c>
      <c r="O790" s="956">
        <f t="shared" si="183"/>
        <v>620.996666666667</v>
      </c>
      <c r="P790" s="1019">
        <f t="shared" si="184"/>
        <v>64.2410344827586</v>
      </c>
      <c r="Q790" s="675">
        <f t="shared" si="185"/>
        <v>56.4542424242424</v>
      </c>
      <c r="R790">
        <f t="shared" si="186"/>
        <v>33</v>
      </c>
      <c r="S790" s="661">
        <f t="shared" si="187"/>
        <v>0.0709677419354839</v>
      </c>
    </row>
    <row r="791" spans="1:19">
      <c r="A791" s="1010">
        <v>45438</v>
      </c>
      <c r="B791" s="670">
        <v>1643.68</v>
      </c>
      <c r="C791" s="38">
        <v>7123</v>
      </c>
      <c r="D791" s="37">
        <v>416</v>
      </c>
      <c r="E791" s="37">
        <v>1</v>
      </c>
      <c r="F791" s="670">
        <v>21790</v>
      </c>
      <c r="G791" s="37">
        <v>25</v>
      </c>
      <c r="H791" s="37">
        <v>1</v>
      </c>
      <c r="I791" s="37">
        <v>8</v>
      </c>
      <c r="J791" s="1018">
        <f t="shared" si="178"/>
        <v>0.0584023585567879</v>
      </c>
      <c r="K791" s="1019">
        <f t="shared" si="179"/>
        <v>3.95115384615385</v>
      </c>
      <c r="L791" s="1020">
        <f t="shared" si="180"/>
        <v>13.2568383140271</v>
      </c>
      <c r="M791" s="1018">
        <f t="shared" si="181"/>
        <v>0.00240384615384615</v>
      </c>
      <c r="N791" s="956">
        <f t="shared" si="182"/>
        <v>21790</v>
      </c>
      <c r="O791" s="956">
        <f t="shared" si="183"/>
        <v>1643.68</v>
      </c>
      <c r="P791" s="1019">
        <f t="shared" si="184"/>
        <v>65.7472</v>
      </c>
      <c r="Q791" s="675">
        <f t="shared" si="185"/>
        <v>63.2184615384615</v>
      </c>
      <c r="R791">
        <f t="shared" si="186"/>
        <v>26</v>
      </c>
      <c r="S791" s="661">
        <f t="shared" si="187"/>
        <v>0.0625</v>
      </c>
    </row>
    <row r="792" spans="1:19">
      <c r="A792" s="1010">
        <v>45439</v>
      </c>
      <c r="B792" s="670">
        <v>2363.53</v>
      </c>
      <c r="C792" s="38">
        <v>9937</v>
      </c>
      <c r="D792" s="37">
        <v>497</v>
      </c>
      <c r="E792" s="37">
        <v>1</v>
      </c>
      <c r="F792" s="670">
        <v>9798</v>
      </c>
      <c r="G792" s="37">
        <v>43</v>
      </c>
      <c r="H792" s="37">
        <v>8</v>
      </c>
      <c r="I792" s="37">
        <v>9</v>
      </c>
      <c r="J792" s="1018">
        <f t="shared" si="178"/>
        <v>0.0500150950991245</v>
      </c>
      <c r="K792" s="1019">
        <f t="shared" si="179"/>
        <v>4.75559356136821</v>
      </c>
      <c r="L792" s="1020">
        <f t="shared" si="180"/>
        <v>4.14549423954847</v>
      </c>
      <c r="M792" s="1018">
        <f t="shared" si="181"/>
        <v>0.00201207243460765</v>
      </c>
      <c r="N792" s="956">
        <f t="shared" si="182"/>
        <v>9798</v>
      </c>
      <c r="O792" s="956">
        <f t="shared" si="183"/>
        <v>2363.53</v>
      </c>
      <c r="P792" s="1019">
        <f t="shared" si="184"/>
        <v>54.9658139534884</v>
      </c>
      <c r="Q792" s="675">
        <f t="shared" si="185"/>
        <v>46.3437254901961</v>
      </c>
      <c r="R792">
        <f t="shared" si="186"/>
        <v>51</v>
      </c>
      <c r="S792" s="661">
        <f t="shared" si="187"/>
        <v>0.10261569416499</v>
      </c>
    </row>
    <row r="793" spans="1:19">
      <c r="A793" s="1010">
        <v>45440</v>
      </c>
      <c r="B793" s="670">
        <v>3301.78</v>
      </c>
      <c r="C793" s="38">
        <v>8776</v>
      </c>
      <c r="D793" s="37">
        <v>665</v>
      </c>
      <c r="E793" s="37">
        <v>2</v>
      </c>
      <c r="F793" s="670">
        <v>21931</v>
      </c>
      <c r="G793" s="37">
        <v>29</v>
      </c>
      <c r="H793" s="37">
        <v>6</v>
      </c>
      <c r="I793" s="37">
        <v>9</v>
      </c>
      <c r="J793" s="1018">
        <f t="shared" si="178"/>
        <v>0.0757748404740201</v>
      </c>
      <c r="K793" s="1019">
        <f t="shared" si="179"/>
        <v>4.96508270676692</v>
      </c>
      <c r="L793" s="1020">
        <f t="shared" si="180"/>
        <v>6.64217482691154</v>
      </c>
      <c r="M793" s="1018">
        <f t="shared" si="181"/>
        <v>0.00300751879699248</v>
      </c>
      <c r="N793" s="956">
        <f t="shared" si="182"/>
        <v>10965.5</v>
      </c>
      <c r="O793" s="956">
        <f t="shared" si="183"/>
        <v>1650.89</v>
      </c>
      <c r="P793" s="1019">
        <f t="shared" si="184"/>
        <v>113.854482758621</v>
      </c>
      <c r="Q793" s="675">
        <f t="shared" si="185"/>
        <v>94.3365714285714</v>
      </c>
      <c r="R793">
        <f t="shared" si="186"/>
        <v>35</v>
      </c>
      <c r="S793" s="661">
        <f t="shared" si="187"/>
        <v>0.0526315789473684</v>
      </c>
    </row>
    <row r="794" spans="1:19">
      <c r="A794" s="1010">
        <v>45441</v>
      </c>
      <c r="B794" s="670">
        <v>3189.2</v>
      </c>
      <c r="C794" s="38">
        <v>9507</v>
      </c>
      <c r="D794" s="37">
        <v>681</v>
      </c>
      <c r="E794" s="37">
        <v>0</v>
      </c>
      <c r="F794" s="670">
        <v>0</v>
      </c>
      <c r="G794" s="37">
        <v>51</v>
      </c>
      <c r="H794" s="37">
        <v>7</v>
      </c>
      <c r="I794" s="37">
        <v>6</v>
      </c>
      <c r="J794" s="1018">
        <f t="shared" si="178"/>
        <v>0.0716314294730199</v>
      </c>
      <c r="K794" s="1019">
        <f t="shared" si="179"/>
        <v>4.68311306901615</v>
      </c>
      <c r="L794" s="1020">
        <f t="shared" si="180"/>
        <v>0</v>
      </c>
      <c r="M794" s="1018">
        <f t="shared" si="181"/>
        <v>0</v>
      </c>
      <c r="N794" s="956">
        <f t="shared" si="182"/>
        <v>0</v>
      </c>
      <c r="O794" s="956">
        <f t="shared" si="183"/>
        <v>0</v>
      </c>
      <c r="P794" s="1019">
        <f t="shared" si="184"/>
        <v>62.5333333333333</v>
      </c>
      <c r="Q794" s="675">
        <f t="shared" si="185"/>
        <v>54.9862068965517</v>
      </c>
      <c r="R794">
        <f t="shared" si="186"/>
        <v>58</v>
      </c>
      <c r="S794" s="661">
        <f t="shared" si="187"/>
        <v>0.0851688693098385</v>
      </c>
    </row>
    <row r="795" spans="1:19">
      <c r="A795" s="1010">
        <v>45442</v>
      </c>
      <c r="B795" s="670">
        <v>3368.35</v>
      </c>
      <c r="C795" s="38">
        <v>10644</v>
      </c>
      <c r="D795" s="37">
        <v>698</v>
      </c>
      <c r="E795" s="37">
        <v>5</v>
      </c>
      <c r="F795" s="670">
        <v>80761</v>
      </c>
      <c r="G795" s="37">
        <v>50</v>
      </c>
      <c r="H795" s="37">
        <v>2</v>
      </c>
      <c r="I795" s="37">
        <v>7</v>
      </c>
      <c r="J795" s="1018">
        <f t="shared" si="178"/>
        <v>0.0655768508079669</v>
      </c>
      <c r="K795" s="1019">
        <f t="shared" si="179"/>
        <v>4.82571633237822</v>
      </c>
      <c r="L795" s="1020">
        <f t="shared" si="180"/>
        <v>23.9764276277703</v>
      </c>
      <c r="M795" s="1018">
        <f t="shared" si="181"/>
        <v>0.00716332378223496</v>
      </c>
      <c r="N795" s="956">
        <f t="shared" si="182"/>
        <v>16152.2</v>
      </c>
      <c r="O795" s="956">
        <f t="shared" si="183"/>
        <v>673.67</v>
      </c>
      <c r="P795" s="1019">
        <f t="shared" si="184"/>
        <v>67.367</v>
      </c>
      <c r="Q795" s="675">
        <f t="shared" si="185"/>
        <v>64.7759615384615</v>
      </c>
      <c r="R795">
        <f t="shared" si="186"/>
        <v>52</v>
      </c>
      <c r="S795" s="661">
        <f t="shared" si="187"/>
        <v>0.0744985673352436</v>
      </c>
    </row>
    <row r="796" spans="1:19">
      <c r="A796" s="1010">
        <v>45443</v>
      </c>
      <c r="B796" s="670">
        <v>3295.6</v>
      </c>
      <c r="C796" s="38">
        <v>10631</v>
      </c>
      <c r="D796" s="37">
        <v>624</v>
      </c>
      <c r="E796" s="37">
        <v>0</v>
      </c>
      <c r="F796" s="670">
        <v>0</v>
      </c>
      <c r="G796" s="37">
        <v>35</v>
      </c>
      <c r="H796" s="37">
        <v>4</v>
      </c>
      <c r="I796" s="37">
        <v>6</v>
      </c>
      <c r="J796" s="1018">
        <f t="shared" ref="J796:J827" si="188">D796/C796</f>
        <v>0.0586962656382278</v>
      </c>
      <c r="K796" s="1019">
        <f t="shared" ref="K796:K827" si="189">B796/D796</f>
        <v>5.28141025641026</v>
      </c>
      <c r="L796" s="1020">
        <f t="shared" ref="L796:L827" si="190">F796/B796</f>
        <v>0</v>
      </c>
      <c r="M796" s="1018">
        <f t="shared" ref="M796:M827" si="191">E796/D796</f>
        <v>0</v>
      </c>
      <c r="N796" s="956">
        <f t="shared" ref="N796:N827" si="192">IF(E796=0,0,F796/E796)</f>
        <v>0</v>
      </c>
      <c r="O796" s="956">
        <f t="shared" ref="O796:O827" si="193">IF(E796=0,0,B796/E796)</f>
        <v>0</v>
      </c>
      <c r="P796" s="1019">
        <f t="shared" ref="P796:P827" si="194">B796/G796</f>
        <v>94.16</v>
      </c>
      <c r="Q796" s="675">
        <f t="shared" ref="Q796:Q827" si="195">B796/(G796+H796)</f>
        <v>84.5025641025641</v>
      </c>
      <c r="R796">
        <f t="shared" ref="R796:R827" si="196">G796+H796</f>
        <v>39</v>
      </c>
      <c r="S796" s="661">
        <f t="shared" ref="S796:S827" si="197">R796/D796</f>
        <v>0.0625</v>
      </c>
    </row>
    <row r="797" spans="1:19">
      <c r="A797" s="1010">
        <v>45444</v>
      </c>
      <c r="B797" s="670">
        <v>3319.95</v>
      </c>
      <c r="C797" s="38">
        <v>12744</v>
      </c>
      <c r="D797" s="37">
        <v>662</v>
      </c>
      <c r="E797" s="37">
        <v>1</v>
      </c>
      <c r="F797" s="670">
        <v>11997</v>
      </c>
      <c r="G797" s="37">
        <v>58</v>
      </c>
      <c r="H797" s="37">
        <v>6</v>
      </c>
      <c r="I797" s="37">
        <v>8</v>
      </c>
      <c r="J797" s="1018">
        <f t="shared" si="188"/>
        <v>0.0519460138104206</v>
      </c>
      <c r="K797" s="1019">
        <f t="shared" si="189"/>
        <v>5.01503021148036</v>
      </c>
      <c r="L797" s="1020">
        <f t="shared" si="190"/>
        <v>3.61360863868432</v>
      </c>
      <c r="M797" s="1018">
        <f t="shared" si="191"/>
        <v>0.00151057401812689</v>
      </c>
      <c r="N797" s="956">
        <f t="shared" si="192"/>
        <v>11997</v>
      </c>
      <c r="O797" s="956">
        <f t="shared" si="193"/>
        <v>3319.95</v>
      </c>
      <c r="P797" s="1019">
        <f t="shared" si="194"/>
        <v>57.2405172413793</v>
      </c>
      <c r="Q797" s="675">
        <f t="shared" si="195"/>
        <v>51.87421875</v>
      </c>
      <c r="R797">
        <f t="shared" si="196"/>
        <v>64</v>
      </c>
      <c r="S797" s="661">
        <f t="shared" si="197"/>
        <v>0.0966767371601208</v>
      </c>
    </row>
    <row r="798" spans="1:19">
      <c r="A798" s="1010">
        <v>45445</v>
      </c>
      <c r="B798" s="670">
        <v>3437.26</v>
      </c>
      <c r="C798" s="38">
        <v>11575</v>
      </c>
      <c r="D798" s="37">
        <v>722</v>
      </c>
      <c r="E798" s="37">
        <v>3</v>
      </c>
      <c r="F798" s="670">
        <v>28593</v>
      </c>
      <c r="G798" s="37">
        <v>38</v>
      </c>
      <c r="H798" s="37">
        <v>5</v>
      </c>
      <c r="I798" s="37">
        <v>4</v>
      </c>
      <c r="J798" s="1018">
        <f t="shared" si="188"/>
        <v>0.0623758099352052</v>
      </c>
      <c r="K798" s="1019">
        <f t="shared" si="189"/>
        <v>4.76074792243767</v>
      </c>
      <c r="L798" s="1020">
        <f t="shared" si="190"/>
        <v>8.31854442201055</v>
      </c>
      <c r="M798" s="1018">
        <f t="shared" si="191"/>
        <v>0.00415512465373961</v>
      </c>
      <c r="N798" s="956">
        <f t="shared" si="192"/>
        <v>9531</v>
      </c>
      <c r="O798" s="956">
        <f t="shared" si="193"/>
        <v>1145.75333333333</v>
      </c>
      <c r="P798" s="1019">
        <f t="shared" si="194"/>
        <v>90.4542105263158</v>
      </c>
      <c r="Q798" s="675">
        <f t="shared" si="195"/>
        <v>79.9362790697675</v>
      </c>
      <c r="R798">
        <f t="shared" si="196"/>
        <v>43</v>
      </c>
      <c r="S798" s="661">
        <f t="shared" si="197"/>
        <v>0.0595567867036011</v>
      </c>
    </row>
    <row r="799" spans="1:19">
      <c r="A799" s="1010">
        <v>45446</v>
      </c>
      <c r="B799" s="670">
        <v>3253.15</v>
      </c>
      <c r="C799" s="38">
        <v>12287</v>
      </c>
      <c r="D799" s="37">
        <v>704</v>
      </c>
      <c r="E799" s="37">
        <v>1</v>
      </c>
      <c r="F799" s="670">
        <v>11997</v>
      </c>
      <c r="G799" s="37">
        <v>62</v>
      </c>
      <c r="H799" s="37">
        <v>8</v>
      </c>
      <c r="I799" s="37">
        <v>8</v>
      </c>
      <c r="J799" s="1018">
        <f t="shared" si="188"/>
        <v>0.0572963294538944</v>
      </c>
      <c r="K799" s="1019">
        <f t="shared" si="189"/>
        <v>4.62095170454545</v>
      </c>
      <c r="L799" s="1020">
        <f t="shared" si="190"/>
        <v>3.68781027619384</v>
      </c>
      <c r="M799" s="1018">
        <f t="shared" si="191"/>
        <v>0.00142045454545455</v>
      </c>
      <c r="N799" s="956">
        <f t="shared" si="192"/>
        <v>11997</v>
      </c>
      <c r="O799" s="956">
        <f t="shared" si="193"/>
        <v>3253.15</v>
      </c>
      <c r="P799" s="1019">
        <f t="shared" si="194"/>
        <v>52.4701612903226</v>
      </c>
      <c r="Q799" s="675">
        <f t="shared" si="195"/>
        <v>46.4735714285714</v>
      </c>
      <c r="R799">
        <f t="shared" si="196"/>
        <v>70</v>
      </c>
      <c r="S799" s="661">
        <f t="shared" si="197"/>
        <v>0.0994318181818182</v>
      </c>
    </row>
    <row r="800" spans="1:19">
      <c r="A800" s="1010">
        <v>45447</v>
      </c>
      <c r="B800" s="670">
        <v>3353.3</v>
      </c>
      <c r="C800" s="38">
        <v>11976</v>
      </c>
      <c r="D800" s="37">
        <v>736</v>
      </c>
      <c r="E800" s="37">
        <v>2</v>
      </c>
      <c r="F800" s="670">
        <v>19596</v>
      </c>
      <c r="G800" s="37">
        <v>60</v>
      </c>
      <c r="H800" s="37">
        <v>7</v>
      </c>
      <c r="I800" s="37">
        <v>12</v>
      </c>
      <c r="J800" s="1018">
        <f t="shared" si="188"/>
        <v>0.0614562458249833</v>
      </c>
      <c r="K800" s="1019">
        <f t="shared" si="189"/>
        <v>4.55611413043478</v>
      </c>
      <c r="L800" s="1020">
        <f t="shared" si="190"/>
        <v>5.8437956639728</v>
      </c>
      <c r="M800" s="1018">
        <f t="shared" si="191"/>
        <v>0.00271739130434783</v>
      </c>
      <c r="N800" s="956">
        <f t="shared" si="192"/>
        <v>9798</v>
      </c>
      <c r="O800" s="956">
        <f t="shared" si="193"/>
        <v>1676.65</v>
      </c>
      <c r="P800" s="1019">
        <f t="shared" si="194"/>
        <v>55.8883333333333</v>
      </c>
      <c r="Q800" s="675">
        <f t="shared" si="195"/>
        <v>50.0492537313433</v>
      </c>
      <c r="R800">
        <f t="shared" si="196"/>
        <v>67</v>
      </c>
      <c r="S800" s="661">
        <f t="shared" si="197"/>
        <v>0.0910326086956522</v>
      </c>
    </row>
    <row r="801" spans="1:19">
      <c r="A801" s="1010">
        <v>45448</v>
      </c>
      <c r="B801" s="670">
        <v>2733.68</v>
      </c>
      <c r="C801" s="38">
        <v>10074</v>
      </c>
      <c r="D801" s="37">
        <v>646</v>
      </c>
      <c r="E801" s="37">
        <v>2</v>
      </c>
      <c r="F801" s="670">
        <v>42402</v>
      </c>
      <c r="G801" s="37">
        <v>58</v>
      </c>
      <c r="H801" s="37">
        <v>3</v>
      </c>
      <c r="I801" s="37">
        <v>8</v>
      </c>
      <c r="J801" s="1018">
        <f t="shared" si="188"/>
        <v>0.0641254715108199</v>
      </c>
      <c r="K801" s="1019">
        <f t="shared" si="189"/>
        <v>4.23170278637771</v>
      </c>
      <c r="L801" s="1020">
        <f t="shared" si="190"/>
        <v>15.5109595856135</v>
      </c>
      <c r="M801" s="1018">
        <f t="shared" si="191"/>
        <v>0.00309597523219814</v>
      </c>
      <c r="N801" s="956">
        <f t="shared" si="192"/>
        <v>21201</v>
      </c>
      <c r="O801" s="956">
        <f t="shared" si="193"/>
        <v>1366.84</v>
      </c>
      <c r="P801" s="1019">
        <f t="shared" si="194"/>
        <v>47.1324137931034</v>
      </c>
      <c r="Q801" s="675">
        <f t="shared" si="195"/>
        <v>44.8144262295082</v>
      </c>
      <c r="R801">
        <f t="shared" si="196"/>
        <v>61</v>
      </c>
      <c r="S801" s="661">
        <f t="shared" si="197"/>
        <v>0.0944272445820433</v>
      </c>
    </row>
    <row r="802" spans="1:19">
      <c r="A802" s="1010">
        <v>45449</v>
      </c>
      <c r="B802" s="670">
        <v>2608.93</v>
      </c>
      <c r="C802" s="38">
        <v>9898</v>
      </c>
      <c r="D802" s="37">
        <v>613</v>
      </c>
      <c r="E802" s="37">
        <v>3</v>
      </c>
      <c r="F802" s="670">
        <v>30737</v>
      </c>
      <c r="G802" s="37">
        <v>74</v>
      </c>
      <c r="H802" s="37">
        <v>4</v>
      </c>
      <c r="I802" s="37">
        <v>10</v>
      </c>
      <c r="J802" s="1018">
        <f t="shared" si="188"/>
        <v>0.0619317033744191</v>
      </c>
      <c r="K802" s="1019">
        <f t="shared" si="189"/>
        <v>4.25600326264274</v>
      </c>
      <c r="L802" s="1020">
        <f t="shared" si="190"/>
        <v>11.7814582989961</v>
      </c>
      <c r="M802" s="1018">
        <f t="shared" si="191"/>
        <v>0.00489396411092985</v>
      </c>
      <c r="N802" s="956">
        <f t="shared" si="192"/>
        <v>10245.6666666667</v>
      </c>
      <c r="O802" s="956">
        <f t="shared" si="193"/>
        <v>869.643333333333</v>
      </c>
      <c r="P802" s="1019">
        <f t="shared" si="194"/>
        <v>35.2558108108108</v>
      </c>
      <c r="Q802" s="675">
        <f t="shared" si="195"/>
        <v>33.4478205128205</v>
      </c>
      <c r="R802">
        <f t="shared" si="196"/>
        <v>78</v>
      </c>
      <c r="S802" s="661">
        <f t="shared" si="197"/>
        <v>0.127243066884176</v>
      </c>
    </row>
    <row r="803" spans="1:19">
      <c r="A803" s="1010">
        <v>45450</v>
      </c>
      <c r="B803" s="670">
        <v>2433.68</v>
      </c>
      <c r="C803" s="38">
        <v>10274</v>
      </c>
      <c r="D803" s="37">
        <v>554</v>
      </c>
      <c r="E803" s="37">
        <v>2</v>
      </c>
      <c r="F803" s="670">
        <v>23994</v>
      </c>
      <c r="G803" s="37">
        <v>39</v>
      </c>
      <c r="H803" s="37">
        <v>5</v>
      </c>
      <c r="I803" s="37">
        <v>4</v>
      </c>
      <c r="J803" s="1018">
        <f t="shared" si="188"/>
        <v>0.0539225228732723</v>
      </c>
      <c r="K803" s="1019">
        <f t="shared" si="189"/>
        <v>4.39292418772563</v>
      </c>
      <c r="L803" s="1020">
        <f t="shared" si="190"/>
        <v>9.8591433549193</v>
      </c>
      <c r="M803" s="1018">
        <f t="shared" si="191"/>
        <v>0.0036101083032491</v>
      </c>
      <c r="N803" s="956">
        <f t="shared" si="192"/>
        <v>11997</v>
      </c>
      <c r="O803" s="956">
        <f t="shared" si="193"/>
        <v>1216.84</v>
      </c>
      <c r="P803" s="1019">
        <f t="shared" si="194"/>
        <v>62.4020512820513</v>
      </c>
      <c r="Q803" s="675">
        <f t="shared" si="195"/>
        <v>55.3109090909091</v>
      </c>
      <c r="R803">
        <f t="shared" si="196"/>
        <v>44</v>
      </c>
      <c r="S803" s="661">
        <f t="shared" si="197"/>
        <v>0.0794223826714801</v>
      </c>
    </row>
    <row r="804" spans="1:19">
      <c r="A804" s="1010">
        <v>45451</v>
      </c>
      <c r="B804" s="670">
        <v>2520.52</v>
      </c>
      <c r="C804" s="38">
        <v>10028</v>
      </c>
      <c r="D804" s="37">
        <v>569</v>
      </c>
      <c r="E804" s="37">
        <v>1</v>
      </c>
      <c r="F804" s="670">
        <v>9798</v>
      </c>
      <c r="G804" s="37">
        <v>23</v>
      </c>
      <c r="H804" s="37">
        <v>11</v>
      </c>
      <c r="I804" s="37">
        <v>4</v>
      </c>
      <c r="J804" s="1018">
        <f t="shared" si="188"/>
        <v>0.0567411248504188</v>
      </c>
      <c r="K804" s="1019">
        <f t="shared" si="189"/>
        <v>4.42973637961336</v>
      </c>
      <c r="L804" s="1020">
        <f t="shared" si="190"/>
        <v>3.88729309824957</v>
      </c>
      <c r="M804" s="1018">
        <f t="shared" si="191"/>
        <v>0.00175746924428822</v>
      </c>
      <c r="N804" s="956">
        <f t="shared" si="192"/>
        <v>9798</v>
      </c>
      <c r="O804" s="956">
        <f t="shared" si="193"/>
        <v>2520.52</v>
      </c>
      <c r="P804" s="1019">
        <f t="shared" si="194"/>
        <v>109.587826086957</v>
      </c>
      <c r="Q804" s="675">
        <f t="shared" si="195"/>
        <v>74.1329411764706</v>
      </c>
      <c r="R804">
        <f t="shared" si="196"/>
        <v>34</v>
      </c>
      <c r="S804" s="661">
        <f t="shared" si="197"/>
        <v>0.0597539543057996</v>
      </c>
    </row>
    <row r="805" spans="1:19">
      <c r="A805" s="1010">
        <v>45452</v>
      </c>
      <c r="B805" s="670">
        <v>2562.34</v>
      </c>
      <c r="C805" s="38">
        <v>10133</v>
      </c>
      <c r="D805" s="37">
        <v>577</v>
      </c>
      <c r="E805" s="37">
        <v>2</v>
      </c>
      <c r="F805" s="670">
        <v>59275</v>
      </c>
      <c r="G805" s="37">
        <v>44</v>
      </c>
      <c r="H805" s="37">
        <v>0</v>
      </c>
      <c r="I805" s="37">
        <v>2</v>
      </c>
      <c r="J805" s="1018">
        <f t="shared" si="188"/>
        <v>0.0569426625875851</v>
      </c>
      <c r="K805" s="1019">
        <f t="shared" si="189"/>
        <v>4.4407972270364</v>
      </c>
      <c r="L805" s="1020">
        <f t="shared" si="190"/>
        <v>23.1331517284982</v>
      </c>
      <c r="M805" s="1018">
        <f t="shared" si="191"/>
        <v>0.00346620450606586</v>
      </c>
      <c r="N805" s="956">
        <f t="shared" si="192"/>
        <v>29637.5</v>
      </c>
      <c r="O805" s="956">
        <f t="shared" si="193"/>
        <v>1281.17</v>
      </c>
      <c r="P805" s="1019">
        <f t="shared" si="194"/>
        <v>58.235</v>
      </c>
      <c r="Q805" s="675">
        <f t="shared" si="195"/>
        <v>58.235</v>
      </c>
      <c r="R805">
        <f t="shared" si="196"/>
        <v>44</v>
      </c>
      <c r="S805" s="661">
        <f t="shared" si="197"/>
        <v>0.0762564991334489</v>
      </c>
    </row>
    <row r="806" spans="1:19">
      <c r="A806" s="1010">
        <v>45453</v>
      </c>
      <c r="B806" s="670">
        <v>2574.69</v>
      </c>
      <c r="C806" s="38">
        <v>9239</v>
      </c>
      <c r="D806" s="37">
        <v>599</v>
      </c>
      <c r="E806" s="37">
        <v>0</v>
      </c>
      <c r="F806" s="670">
        <v>0</v>
      </c>
      <c r="G806" s="37">
        <v>28</v>
      </c>
      <c r="H806" s="37">
        <v>5</v>
      </c>
      <c r="I806" s="37">
        <v>2</v>
      </c>
      <c r="J806" s="1018">
        <f t="shared" si="188"/>
        <v>0.0648338564779738</v>
      </c>
      <c r="K806" s="1019">
        <f t="shared" si="189"/>
        <v>4.29831385642738</v>
      </c>
      <c r="L806" s="1020">
        <f t="shared" si="190"/>
        <v>0</v>
      </c>
      <c r="M806" s="1018">
        <f t="shared" si="191"/>
        <v>0</v>
      </c>
      <c r="N806" s="956">
        <f t="shared" si="192"/>
        <v>0</v>
      </c>
      <c r="O806" s="956">
        <f t="shared" si="193"/>
        <v>0</v>
      </c>
      <c r="P806" s="1019">
        <f t="shared" si="194"/>
        <v>91.9532142857143</v>
      </c>
      <c r="Q806" s="675">
        <f t="shared" si="195"/>
        <v>78.0209090909091</v>
      </c>
      <c r="R806">
        <f t="shared" si="196"/>
        <v>33</v>
      </c>
      <c r="S806" s="661">
        <f t="shared" si="197"/>
        <v>0.0550918196994992</v>
      </c>
    </row>
    <row r="807" spans="1:19">
      <c r="A807" s="1010">
        <v>45454</v>
      </c>
      <c r="B807" s="670">
        <v>2568.54</v>
      </c>
      <c r="C807" s="38">
        <v>11989</v>
      </c>
      <c r="D807" s="37">
        <v>589</v>
      </c>
      <c r="E807" s="37">
        <v>2</v>
      </c>
      <c r="F807" s="670">
        <v>18795</v>
      </c>
      <c r="G807" s="37">
        <v>43</v>
      </c>
      <c r="H807" s="37">
        <v>7</v>
      </c>
      <c r="I807" s="37">
        <v>7</v>
      </c>
      <c r="J807" s="1018">
        <f t="shared" si="188"/>
        <v>0.0491283676703645</v>
      </c>
      <c r="K807" s="1019">
        <f t="shared" si="189"/>
        <v>4.36084889643463</v>
      </c>
      <c r="L807" s="1020">
        <f t="shared" si="190"/>
        <v>7.31738653086968</v>
      </c>
      <c r="M807" s="1018">
        <f t="shared" si="191"/>
        <v>0.0033955857385399</v>
      </c>
      <c r="N807" s="956">
        <f t="shared" si="192"/>
        <v>9397.5</v>
      </c>
      <c r="O807" s="956">
        <f t="shared" si="193"/>
        <v>1284.27</v>
      </c>
      <c r="P807" s="1019">
        <f t="shared" si="194"/>
        <v>59.733488372093</v>
      </c>
      <c r="Q807" s="675">
        <f t="shared" si="195"/>
        <v>51.3708</v>
      </c>
      <c r="R807">
        <f t="shared" si="196"/>
        <v>50</v>
      </c>
      <c r="S807" s="661">
        <f t="shared" si="197"/>
        <v>0.0848896434634974</v>
      </c>
    </row>
    <row r="808" spans="1:19">
      <c r="A808" s="1010">
        <v>45455</v>
      </c>
      <c r="B808" s="670">
        <v>2611.23</v>
      </c>
      <c r="C808" s="38">
        <v>9762</v>
      </c>
      <c r="D808" s="37">
        <v>566</v>
      </c>
      <c r="E808" s="37">
        <v>4</v>
      </c>
      <c r="F808" s="670">
        <v>45789</v>
      </c>
      <c r="G808" s="37">
        <v>60</v>
      </c>
      <c r="H808" s="37">
        <v>6</v>
      </c>
      <c r="I808" s="37">
        <v>5</v>
      </c>
      <c r="J808" s="1018">
        <f t="shared" si="188"/>
        <v>0.057979922147101</v>
      </c>
      <c r="K808" s="1019">
        <f t="shared" si="189"/>
        <v>4.61348056537102</v>
      </c>
      <c r="L808" s="1020">
        <f t="shared" si="190"/>
        <v>17.5354143449639</v>
      </c>
      <c r="M808" s="1018">
        <f t="shared" si="191"/>
        <v>0.00706713780918728</v>
      </c>
      <c r="N808" s="956">
        <f t="shared" si="192"/>
        <v>11447.25</v>
      </c>
      <c r="O808" s="956">
        <f t="shared" si="193"/>
        <v>652.8075</v>
      </c>
      <c r="P808" s="1019">
        <f t="shared" si="194"/>
        <v>43.5205</v>
      </c>
      <c r="Q808" s="675">
        <f t="shared" si="195"/>
        <v>39.5640909090909</v>
      </c>
      <c r="R808">
        <f t="shared" si="196"/>
        <v>66</v>
      </c>
      <c r="S808" s="661">
        <f t="shared" si="197"/>
        <v>0.11660777385159</v>
      </c>
    </row>
    <row r="809" spans="1:19">
      <c r="A809" s="1010">
        <v>45456</v>
      </c>
      <c r="B809" s="670">
        <v>2621.04</v>
      </c>
      <c r="C809" s="38">
        <v>8152</v>
      </c>
      <c r="D809" s="37">
        <v>556</v>
      </c>
      <c r="E809" s="37">
        <v>5</v>
      </c>
      <c r="F809" s="670">
        <v>56281</v>
      </c>
      <c r="G809" s="37">
        <v>54</v>
      </c>
      <c r="H809" s="37">
        <v>8</v>
      </c>
      <c r="I809" s="37">
        <v>8</v>
      </c>
      <c r="J809" s="1018">
        <f t="shared" si="188"/>
        <v>0.0682041216879293</v>
      </c>
      <c r="K809" s="1019">
        <f t="shared" si="189"/>
        <v>4.71410071942446</v>
      </c>
      <c r="L809" s="1020">
        <f t="shared" si="190"/>
        <v>21.4727741659799</v>
      </c>
      <c r="M809" s="1018">
        <f t="shared" si="191"/>
        <v>0.00899280575539568</v>
      </c>
      <c r="N809" s="956">
        <f t="shared" si="192"/>
        <v>11256.2</v>
      </c>
      <c r="O809" s="956">
        <f t="shared" si="193"/>
        <v>524.208</v>
      </c>
      <c r="P809" s="1019">
        <f t="shared" si="194"/>
        <v>48.5377777777778</v>
      </c>
      <c r="Q809" s="675">
        <f t="shared" si="195"/>
        <v>42.2748387096774</v>
      </c>
      <c r="R809">
        <f t="shared" si="196"/>
        <v>62</v>
      </c>
      <c r="S809" s="661">
        <f t="shared" si="197"/>
        <v>0.111510791366906</v>
      </c>
    </row>
    <row r="810" spans="1:19">
      <c r="A810" s="1010">
        <v>45457</v>
      </c>
      <c r="B810" s="670">
        <v>2603.1</v>
      </c>
      <c r="C810" s="38">
        <v>9042</v>
      </c>
      <c r="D810" s="37">
        <v>610</v>
      </c>
      <c r="E810" s="37">
        <v>0</v>
      </c>
      <c r="F810" s="670">
        <v>0</v>
      </c>
      <c r="G810" s="37">
        <v>43</v>
      </c>
      <c r="H810" s="37">
        <v>4</v>
      </c>
      <c r="I810" s="37">
        <v>6</v>
      </c>
      <c r="J810" s="1018">
        <f t="shared" si="188"/>
        <v>0.0674629506746295</v>
      </c>
      <c r="K810" s="1019">
        <f t="shared" si="189"/>
        <v>4.26737704918033</v>
      </c>
      <c r="L810" s="1020">
        <f t="shared" si="190"/>
        <v>0</v>
      </c>
      <c r="M810" s="1018">
        <f t="shared" si="191"/>
        <v>0</v>
      </c>
      <c r="N810" s="956">
        <f t="shared" si="192"/>
        <v>0</v>
      </c>
      <c r="O810" s="956">
        <f t="shared" si="193"/>
        <v>0</v>
      </c>
      <c r="P810" s="1019">
        <f t="shared" si="194"/>
        <v>60.5372093023256</v>
      </c>
      <c r="Q810" s="675">
        <f t="shared" si="195"/>
        <v>55.3851063829787</v>
      </c>
      <c r="R810">
        <f t="shared" si="196"/>
        <v>47</v>
      </c>
      <c r="S810" s="661">
        <f t="shared" si="197"/>
        <v>0.0770491803278689</v>
      </c>
    </row>
    <row r="811" spans="1:19">
      <c r="A811" s="1010">
        <v>45458</v>
      </c>
      <c r="B811" s="670">
        <v>3448.18</v>
      </c>
      <c r="C811" s="38">
        <v>13292</v>
      </c>
      <c r="D811" s="37">
        <v>743</v>
      </c>
      <c r="E811" s="37">
        <v>2</v>
      </c>
      <c r="F811" s="670">
        <v>37260</v>
      </c>
      <c r="G811" s="37">
        <v>31</v>
      </c>
      <c r="H811" s="37">
        <v>6</v>
      </c>
      <c r="I811" s="37">
        <v>8</v>
      </c>
      <c r="J811" s="1018">
        <f t="shared" si="188"/>
        <v>0.0558982846825158</v>
      </c>
      <c r="K811" s="1019">
        <f t="shared" si="189"/>
        <v>4.64088829071332</v>
      </c>
      <c r="L811" s="1020">
        <f t="shared" si="190"/>
        <v>10.8057003984711</v>
      </c>
      <c r="M811" s="1018">
        <f t="shared" si="191"/>
        <v>0.00269179004037685</v>
      </c>
      <c r="N811" s="956">
        <f t="shared" si="192"/>
        <v>18630</v>
      </c>
      <c r="O811" s="956">
        <f t="shared" si="193"/>
        <v>1724.09</v>
      </c>
      <c r="P811" s="1019">
        <f t="shared" si="194"/>
        <v>111.231612903226</v>
      </c>
      <c r="Q811" s="675">
        <f t="shared" si="195"/>
        <v>93.194054054054</v>
      </c>
      <c r="R811">
        <f t="shared" si="196"/>
        <v>37</v>
      </c>
      <c r="S811" s="661">
        <f t="shared" si="197"/>
        <v>0.0497981157469717</v>
      </c>
    </row>
    <row r="812" spans="1:19">
      <c r="A812" s="1010">
        <v>45459</v>
      </c>
      <c r="B812" s="670">
        <v>3547.53</v>
      </c>
      <c r="C812" s="38">
        <v>14352</v>
      </c>
      <c r="D812" s="37">
        <v>792</v>
      </c>
      <c r="E812" s="37">
        <v>2</v>
      </c>
      <c r="F812" s="670">
        <v>44692</v>
      </c>
      <c r="G812" s="37">
        <v>34</v>
      </c>
      <c r="H812" s="37">
        <v>6</v>
      </c>
      <c r="I812" s="37">
        <v>6</v>
      </c>
      <c r="J812" s="1018">
        <f t="shared" si="188"/>
        <v>0.0551839464882943</v>
      </c>
      <c r="K812" s="1019">
        <f t="shared" si="189"/>
        <v>4.47920454545455</v>
      </c>
      <c r="L812" s="1020">
        <f t="shared" si="190"/>
        <v>12.5980611862338</v>
      </c>
      <c r="M812" s="1018">
        <f t="shared" si="191"/>
        <v>0.00252525252525253</v>
      </c>
      <c r="N812" s="956">
        <f t="shared" si="192"/>
        <v>22346</v>
      </c>
      <c r="O812" s="956">
        <f t="shared" si="193"/>
        <v>1773.765</v>
      </c>
      <c r="P812" s="1019">
        <f t="shared" si="194"/>
        <v>104.339117647059</v>
      </c>
      <c r="Q812" s="675">
        <f t="shared" si="195"/>
        <v>88.68825</v>
      </c>
      <c r="R812">
        <f t="shared" si="196"/>
        <v>40</v>
      </c>
      <c r="S812" s="661">
        <f t="shared" si="197"/>
        <v>0.0505050505050505</v>
      </c>
    </row>
    <row r="813" spans="1:19">
      <c r="A813" s="1010">
        <v>45460</v>
      </c>
      <c r="B813" s="670">
        <v>3537.69</v>
      </c>
      <c r="C813" s="38">
        <v>16793</v>
      </c>
      <c r="D813" s="37">
        <v>762</v>
      </c>
      <c r="E813" s="37">
        <v>6</v>
      </c>
      <c r="F813" s="670">
        <v>71424</v>
      </c>
      <c r="G813" s="37">
        <v>66</v>
      </c>
      <c r="H813" s="37">
        <v>5</v>
      </c>
      <c r="I813" s="37">
        <v>5</v>
      </c>
      <c r="J813" s="1018">
        <f t="shared" si="188"/>
        <v>0.045376049544453</v>
      </c>
      <c r="K813" s="1019">
        <f t="shared" si="189"/>
        <v>4.64263779527559</v>
      </c>
      <c r="L813" s="1020">
        <f t="shared" si="190"/>
        <v>20.1894456552157</v>
      </c>
      <c r="M813" s="1018">
        <f t="shared" si="191"/>
        <v>0.0078740157480315</v>
      </c>
      <c r="N813" s="956">
        <f t="shared" si="192"/>
        <v>11904</v>
      </c>
      <c r="O813" s="956">
        <f t="shared" si="193"/>
        <v>589.615</v>
      </c>
      <c r="P813" s="1019">
        <f t="shared" si="194"/>
        <v>53.6013636363636</v>
      </c>
      <c r="Q813" s="675">
        <f t="shared" si="195"/>
        <v>49.8266197183099</v>
      </c>
      <c r="R813">
        <f t="shared" si="196"/>
        <v>71</v>
      </c>
      <c r="S813" s="661">
        <f t="shared" si="197"/>
        <v>0.0931758530183727</v>
      </c>
    </row>
    <row r="814" spans="1:19">
      <c r="A814" s="1010">
        <v>45461</v>
      </c>
      <c r="B814" s="670">
        <v>3543.84</v>
      </c>
      <c r="C814" s="38">
        <v>15305</v>
      </c>
      <c r="D814" s="37">
        <v>775</v>
      </c>
      <c r="E814" s="37">
        <v>6</v>
      </c>
      <c r="F814" s="670">
        <v>49390</v>
      </c>
      <c r="G814" s="37">
        <v>56</v>
      </c>
      <c r="H814" s="37">
        <v>12</v>
      </c>
      <c r="I814" s="37">
        <v>15</v>
      </c>
      <c r="J814" s="1018">
        <f t="shared" si="188"/>
        <v>0.0506370467167592</v>
      </c>
      <c r="K814" s="1019">
        <f t="shared" si="189"/>
        <v>4.57269677419355</v>
      </c>
      <c r="L814" s="1020">
        <f t="shared" si="190"/>
        <v>13.936859451894</v>
      </c>
      <c r="M814" s="1018">
        <f t="shared" si="191"/>
        <v>0.00774193548387097</v>
      </c>
      <c r="N814" s="956">
        <f t="shared" si="192"/>
        <v>8231.66666666667</v>
      </c>
      <c r="O814" s="956">
        <f t="shared" si="193"/>
        <v>590.64</v>
      </c>
      <c r="P814" s="1019">
        <f t="shared" si="194"/>
        <v>63.2828571428571</v>
      </c>
      <c r="Q814" s="675">
        <f t="shared" si="195"/>
        <v>52.1152941176471</v>
      </c>
      <c r="R814">
        <f t="shared" si="196"/>
        <v>68</v>
      </c>
      <c r="S814" s="661">
        <f t="shared" si="197"/>
        <v>0.087741935483871</v>
      </c>
    </row>
    <row r="815" spans="1:19">
      <c r="A815" s="1010">
        <v>45462</v>
      </c>
      <c r="B815" s="670">
        <v>3128.93</v>
      </c>
      <c r="C815" s="38">
        <v>19309</v>
      </c>
      <c r="D815" s="37">
        <v>697</v>
      </c>
      <c r="E815" s="37">
        <v>3</v>
      </c>
      <c r="F815" s="670">
        <v>30792</v>
      </c>
      <c r="G815" s="37">
        <v>33</v>
      </c>
      <c r="H815" s="37">
        <v>3</v>
      </c>
      <c r="I815" s="37">
        <v>9</v>
      </c>
      <c r="J815" s="1018">
        <f t="shared" si="188"/>
        <v>0.0360971567662748</v>
      </c>
      <c r="K815" s="1019">
        <f t="shared" si="189"/>
        <v>4.48913916786227</v>
      </c>
      <c r="L815" s="1020">
        <f t="shared" si="190"/>
        <v>9.84106387806694</v>
      </c>
      <c r="M815" s="1018">
        <f t="shared" si="191"/>
        <v>0.00430416068866571</v>
      </c>
      <c r="N815" s="956">
        <f t="shared" si="192"/>
        <v>10264</v>
      </c>
      <c r="O815" s="956">
        <f t="shared" si="193"/>
        <v>1042.97666666667</v>
      </c>
      <c r="P815" s="1019">
        <f t="shared" si="194"/>
        <v>94.8160606060606</v>
      </c>
      <c r="Q815" s="675">
        <f t="shared" si="195"/>
        <v>86.9147222222222</v>
      </c>
      <c r="R815">
        <f t="shared" si="196"/>
        <v>36</v>
      </c>
      <c r="S815" s="661">
        <f t="shared" si="197"/>
        <v>0.0516499282639885</v>
      </c>
    </row>
    <row r="816" spans="1:19">
      <c r="A816" s="1010">
        <v>45463</v>
      </c>
      <c r="B816" s="670">
        <v>3683.38</v>
      </c>
      <c r="C816" s="38">
        <v>26022</v>
      </c>
      <c r="D816" s="37">
        <v>835</v>
      </c>
      <c r="E816" s="37">
        <v>2</v>
      </c>
      <c r="F816" s="670">
        <v>19831</v>
      </c>
      <c r="G816" s="37">
        <v>38</v>
      </c>
      <c r="H816" s="37">
        <v>9</v>
      </c>
      <c r="I816" s="37">
        <v>8</v>
      </c>
      <c r="J816" s="1018">
        <f t="shared" si="188"/>
        <v>0.032088233033587</v>
      </c>
      <c r="K816" s="1019">
        <f t="shared" si="189"/>
        <v>4.41123353293413</v>
      </c>
      <c r="L816" s="1020">
        <f t="shared" si="190"/>
        <v>5.38391368797137</v>
      </c>
      <c r="M816" s="1018">
        <f t="shared" si="191"/>
        <v>0.00239520958083832</v>
      </c>
      <c r="N816" s="956">
        <f t="shared" si="192"/>
        <v>9915.5</v>
      </c>
      <c r="O816" s="956">
        <f t="shared" si="193"/>
        <v>1841.69</v>
      </c>
      <c r="P816" s="1019">
        <f t="shared" si="194"/>
        <v>96.931052631579</v>
      </c>
      <c r="Q816" s="675">
        <f t="shared" si="195"/>
        <v>78.3697872340426</v>
      </c>
      <c r="R816">
        <f t="shared" si="196"/>
        <v>47</v>
      </c>
      <c r="S816" s="661">
        <f t="shared" si="197"/>
        <v>0.0562874251497006</v>
      </c>
    </row>
    <row r="817" spans="1:19">
      <c r="A817" s="1010">
        <v>45464</v>
      </c>
      <c r="B817" s="670">
        <v>2586.94</v>
      </c>
      <c r="C817" s="38">
        <v>15073</v>
      </c>
      <c r="D817" s="37">
        <v>612</v>
      </c>
      <c r="E817" s="37">
        <v>0</v>
      </c>
      <c r="F817" s="670">
        <v>0</v>
      </c>
      <c r="G817" s="37">
        <v>23</v>
      </c>
      <c r="H817" s="37">
        <v>3</v>
      </c>
      <c r="I817" s="37">
        <v>3</v>
      </c>
      <c r="J817" s="1018">
        <f t="shared" si="188"/>
        <v>0.0406024016453261</v>
      </c>
      <c r="K817" s="1019">
        <f t="shared" si="189"/>
        <v>4.22702614379085</v>
      </c>
      <c r="L817" s="1020">
        <f t="shared" si="190"/>
        <v>0</v>
      </c>
      <c r="M817" s="1018">
        <f t="shared" si="191"/>
        <v>0</v>
      </c>
      <c r="N817" s="956">
        <f t="shared" si="192"/>
        <v>0</v>
      </c>
      <c r="O817" s="956">
        <f t="shared" si="193"/>
        <v>0</v>
      </c>
      <c r="P817" s="1019">
        <f t="shared" si="194"/>
        <v>112.475652173913</v>
      </c>
      <c r="Q817" s="675">
        <f t="shared" si="195"/>
        <v>99.4976923076923</v>
      </c>
      <c r="R817">
        <f t="shared" si="196"/>
        <v>26</v>
      </c>
      <c r="S817" s="661">
        <f t="shared" si="197"/>
        <v>0.042483660130719</v>
      </c>
    </row>
    <row r="818" spans="1:19">
      <c r="A818" s="1010">
        <v>45465</v>
      </c>
      <c r="B818" s="670">
        <v>2246.55</v>
      </c>
      <c r="C818" s="38">
        <v>11897</v>
      </c>
      <c r="D818" s="37">
        <v>528</v>
      </c>
      <c r="E818" s="37">
        <v>1</v>
      </c>
      <c r="F818" s="670">
        <v>26020</v>
      </c>
      <c r="G818" s="37">
        <v>40</v>
      </c>
      <c r="H818" s="37">
        <v>2</v>
      </c>
      <c r="I818" s="37">
        <v>4</v>
      </c>
      <c r="J818" s="1018">
        <f t="shared" si="188"/>
        <v>0.0443809363705136</v>
      </c>
      <c r="K818" s="1019">
        <f t="shared" si="189"/>
        <v>4.25482954545455</v>
      </c>
      <c r="L818" s="1020">
        <f t="shared" si="190"/>
        <v>11.5822038236407</v>
      </c>
      <c r="M818" s="1018">
        <f t="shared" si="191"/>
        <v>0.00189393939393939</v>
      </c>
      <c r="N818" s="956">
        <f t="shared" si="192"/>
        <v>26020</v>
      </c>
      <c r="O818" s="956">
        <f t="shared" si="193"/>
        <v>2246.55</v>
      </c>
      <c r="P818" s="1019">
        <f t="shared" si="194"/>
        <v>56.16375</v>
      </c>
      <c r="Q818" s="675">
        <f t="shared" si="195"/>
        <v>53.4892857142857</v>
      </c>
      <c r="R818">
        <f t="shared" si="196"/>
        <v>42</v>
      </c>
      <c r="S818" s="661">
        <f t="shared" si="197"/>
        <v>0.0795454545454545</v>
      </c>
    </row>
    <row r="819" spans="1:19">
      <c r="A819" s="1010">
        <v>45466</v>
      </c>
      <c r="B819" s="670">
        <v>2451.06</v>
      </c>
      <c r="C819" s="38">
        <v>10559</v>
      </c>
      <c r="D819" s="37">
        <v>597</v>
      </c>
      <c r="E819" s="37">
        <v>1</v>
      </c>
      <c r="F819" s="670">
        <v>7657</v>
      </c>
      <c r="G819" s="37">
        <v>40</v>
      </c>
      <c r="H819" s="37">
        <v>2</v>
      </c>
      <c r="I819" s="37">
        <v>5</v>
      </c>
      <c r="J819" s="1018">
        <f t="shared" si="188"/>
        <v>0.056539445023203</v>
      </c>
      <c r="K819" s="1019">
        <f t="shared" si="189"/>
        <v>4.10562814070352</v>
      </c>
      <c r="L819" s="1020">
        <f t="shared" si="190"/>
        <v>3.12395453395674</v>
      </c>
      <c r="M819" s="1018">
        <f t="shared" si="191"/>
        <v>0.0016750418760469</v>
      </c>
      <c r="N819" s="956">
        <f t="shared" si="192"/>
        <v>7657</v>
      </c>
      <c r="O819" s="956">
        <f t="shared" si="193"/>
        <v>2451.06</v>
      </c>
      <c r="P819" s="1019">
        <f t="shared" si="194"/>
        <v>61.2765</v>
      </c>
      <c r="Q819" s="675">
        <f t="shared" si="195"/>
        <v>58.3585714285714</v>
      </c>
      <c r="R819">
        <f t="shared" si="196"/>
        <v>42</v>
      </c>
      <c r="S819" s="661">
        <f t="shared" si="197"/>
        <v>0.0703517587939698</v>
      </c>
    </row>
    <row r="820" spans="1:19">
      <c r="A820" s="1010">
        <v>45467</v>
      </c>
      <c r="B820" s="670">
        <v>2768.05</v>
      </c>
      <c r="C820" s="37">
        <v>11686</v>
      </c>
      <c r="D820" s="37">
        <v>711</v>
      </c>
      <c r="E820" s="37">
        <v>0</v>
      </c>
      <c r="F820" s="670">
        <v>0</v>
      </c>
      <c r="G820" s="37">
        <v>31</v>
      </c>
      <c r="H820" s="37">
        <v>9</v>
      </c>
      <c r="I820" s="37">
        <v>5</v>
      </c>
      <c r="J820" s="1018">
        <f t="shared" si="188"/>
        <v>0.0608420332021222</v>
      </c>
      <c r="K820" s="1019">
        <f t="shared" si="189"/>
        <v>3.89317862165963</v>
      </c>
      <c r="L820" s="1020">
        <f t="shared" si="190"/>
        <v>0</v>
      </c>
      <c r="M820" s="1018">
        <f t="shared" si="191"/>
        <v>0</v>
      </c>
      <c r="N820" s="956">
        <f t="shared" si="192"/>
        <v>0</v>
      </c>
      <c r="O820" s="956">
        <f t="shared" si="193"/>
        <v>0</v>
      </c>
      <c r="P820" s="1019">
        <f t="shared" si="194"/>
        <v>89.291935483871</v>
      </c>
      <c r="Q820" s="675">
        <f t="shared" si="195"/>
        <v>69.20125</v>
      </c>
      <c r="R820">
        <f t="shared" si="196"/>
        <v>40</v>
      </c>
      <c r="S820" s="661">
        <f t="shared" si="197"/>
        <v>0.0562587904360056</v>
      </c>
    </row>
    <row r="821" spans="1:19">
      <c r="A821" s="1010">
        <v>45468</v>
      </c>
      <c r="B821" s="670">
        <v>3029.59</v>
      </c>
      <c r="C821" s="37">
        <v>12059</v>
      </c>
      <c r="D821" s="37">
        <v>680</v>
      </c>
      <c r="E821" s="37">
        <v>1</v>
      </c>
      <c r="F821" s="670">
        <v>17054</v>
      </c>
      <c r="G821" s="37">
        <v>47</v>
      </c>
      <c r="H821" s="37">
        <v>4</v>
      </c>
      <c r="I821" s="37">
        <v>1</v>
      </c>
      <c r="J821" s="1018">
        <f t="shared" si="188"/>
        <v>0.0563894186914338</v>
      </c>
      <c r="K821" s="1019">
        <f t="shared" si="189"/>
        <v>4.45527941176471</v>
      </c>
      <c r="L821" s="1020">
        <f t="shared" si="190"/>
        <v>5.62914453770972</v>
      </c>
      <c r="M821" s="1018">
        <f t="shared" si="191"/>
        <v>0.00147058823529412</v>
      </c>
      <c r="N821" s="956">
        <f t="shared" si="192"/>
        <v>17054</v>
      </c>
      <c r="O821" s="956">
        <f t="shared" si="193"/>
        <v>3029.59</v>
      </c>
      <c r="P821" s="1019">
        <f t="shared" si="194"/>
        <v>64.4593617021277</v>
      </c>
      <c r="Q821" s="675">
        <f t="shared" si="195"/>
        <v>59.4037254901961</v>
      </c>
      <c r="R821">
        <f t="shared" si="196"/>
        <v>51</v>
      </c>
      <c r="S821" s="661">
        <f t="shared" si="197"/>
        <v>0.075</v>
      </c>
    </row>
    <row r="822" spans="1:19">
      <c r="A822" s="1010">
        <v>45469</v>
      </c>
      <c r="B822" s="670">
        <v>3136.71</v>
      </c>
      <c r="C822" s="37">
        <v>13586</v>
      </c>
      <c r="D822" s="37">
        <v>707</v>
      </c>
      <c r="E822" s="37">
        <v>0</v>
      </c>
      <c r="F822" s="670">
        <v>0</v>
      </c>
      <c r="G822" s="37">
        <v>46</v>
      </c>
      <c r="H822" s="37">
        <v>4</v>
      </c>
      <c r="I822" s="37">
        <v>4</v>
      </c>
      <c r="J822" s="1018">
        <f t="shared" si="188"/>
        <v>0.0520388635359929</v>
      </c>
      <c r="K822" s="1019">
        <f t="shared" si="189"/>
        <v>4.43664780763791</v>
      </c>
      <c r="L822" s="1020">
        <f t="shared" si="190"/>
        <v>0</v>
      </c>
      <c r="M822" s="1018">
        <f t="shared" si="191"/>
        <v>0</v>
      </c>
      <c r="N822" s="956">
        <f t="shared" si="192"/>
        <v>0</v>
      </c>
      <c r="O822" s="956">
        <f t="shared" si="193"/>
        <v>0</v>
      </c>
      <c r="P822" s="1019">
        <f t="shared" si="194"/>
        <v>68.189347826087</v>
      </c>
      <c r="Q822" s="675">
        <f t="shared" si="195"/>
        <v>62.7342</v>
      </c>
      <c r="R822">
        <f t="shared" si="196"/>
        <v>50</v>
      </c>
      <c r="S822" s="661">
        <f t="shared" si="197"/>
        <v>0.0707213578500707</v>
      </c>
    </row>
    <row r="823" spans="1:19">
      <c r="A823" s="1010">
        <v>45470</v>
      </c>
      <c r="B823" s="670">
        <v>2651.04</v>
      </c>
      <c r="C823" s="37">
        <v>13227</v>
      </c>
      <c r="D823" s="37">
        <v>588</v>
      </c>
      <c r="E823" s="37">
        <v>0</v>
      </c>
      <c r="F823" s="670">
        <v>0</v>
      </c>
      <c r="G823" s="37">
        <v>27</v>
      </c>
      <c r="H823" s="37">
        <v>7</v>
      </c>
      <c r="I823" s="37">
        <v>1</v>
      </c>
      <c r="J823" s="1018">
        <f t="shared" si="188"/>
        <v>0.0444545248355636</v>
      </c>
      <c r="K823" s="1019">
        <f t="shared" si="189"/>
        <v>4.50857142857143</v>
      </c>
      <c r="L823" s="1020">
        <f t="shared" si="190"/>
        <v>0</v>
      </c>
      <c r="M823" s="1018">
        <f t="shared" si="191"/>
        <v>0</v>
      </c>
      <c r="N823" s="956">
        <f t="shared" si="192"/>
        <v>0</v>
      </c>
      <c r="O823" s="956">
        <f t="shared" si="193"/>
        <v>0</v>
      </c>
      <c r="P823" s="1019">
        <f t="shared" si="194"/>
        <v>98.1866666666667</v>
      </c>
      <c r="Q823" s="675">
        <f t="shared" si="195"/>
        <v>77.9717647058824</v>
      </c>
      <c r="R823">
        <f t="shared" si="196"/>
        <v>34</v>
      </c>
      <c r="S823" s="661">
        <f t="shared" si="197"/>
        <v>0.0578231292517007</v>
      </c>
    </row>
    <row r="824" spans="1:19">
      <c r="A824" s="1010">
        <v>45471</v>
      </c>
      <c r="B824" s="670">
        <v>2935.78</v>
      </c>
      <c r="C824" s="37">
        <v>15527</v>
      </c>
      <c r="D824" s="37">
        <v>651</v>
      </c>
      <c r="E824" s="37">
        <v>0</v>
      </c>
      <c r="F824" s="670">
        <v>0</v>
      </c>
      <c r="G824" s="37">
        <v>46</v>
      </c>
      <c r="H824" s="37">
        <v>6</v>
      </c>
      <c r="I824" s="37">
        <v>5</v>
      </c>
      <c r="J824" s="1018">
        <f t="shared" si="188"/>
        <v>0.0419269659303149</v>
      </c>
      <c r="K824" s="1019">
        <f t="shared" si="189"/>
        <v>4.50964669738863</v>
      </c>
      <c r="L824" s="1020">
        <f t="shared" si="190"/>
        <v>0</v>
      </c>
      <c r="M824" s="1018">
        <f t="shared" si="191"/>
        <v>0</v>
      </c>
      <c r="N824" s="956">
        <f t="shared" si="192"/>
        <v>0</v>
      </c>
      <c r="O824" s="956">
        <f t="shared" si="193"/>
        <v>0</v>
      </c>
      <c r="P824" s="1019">
        <f t="shared" si="194"/>
        <v>63.8213043478261</v>
      </c>
      <c r="Q824" s="675">
        <f t="shared" si="195"/>
        <v>56.4573076923077</v>
      </c>
      <c r="R824">
        <f t="shared" si="196"/>
        <v>52</v>
      </c>
      <c r="S824" s="661">
        <f t="shared" si="197"/>
        <v>0.0798771121351766</v>
      </c>
    </row>
    <row r="825" spans="1:19">
      <c r="A825" s="1010">
        <v>45472</v>
      </c>
      <c r="B825" s="670">
        <v>3327.33</v>
      </c>
      <c r="C825" s="37">
        <v>14760</v>
      </c>
      <c r="D825" s="37">
        <v>759</v>
      </c>
      <c r="E825" s="37">
        <v>0</v>
      </c>
      <c r="F825" s="670">
        <v>0</v>
      </c>
      <c r="G825" s="37">
        <v>43</v>
      </c>
      <c r="H825" s="37">
        <v>3</v>
      </c>
      <c r="I825" s="37">
        <v>4</v>
      </c>
      <c r="J825" s="1018">
        <f t="shared" si="188"/>
        <v>0.0514227642276423</v>
      </c>
      <c r="K825" s="1019">
        <f t="shared" si="189"/>
        <v>4.38383399209486</v>
      </c>
      <c r="L825" s="1020">
        <f t="shared" si="190"/>
        <v>0</v>
      </c>
      <c r="M825" s="1018">
        <f t="shared" si="191"/>
        <v>0</v>
      </c>
      <c r="N825" s="956">
        <f t="shared" si="192"/>
        <v>0</v>
      </c>
      <c r="O825" s="956">
        <f t="shared" si="193"/>
        <v>0</v>
      </c>
      <c r="P825" s="1019">
        <f t="shared" si="194"/>
        <v>77.3797674418605</v>
      </c>
      <c r="Q825" s="675">
        <f t="shared" si="195"/>
        <v>72.3332608695652</v>
      </c>
      <c r="R825">
        <f t="shared" si="196"/>
        <v>46</v>
      </c>
      <c r="S825" s="661">
        <f t="shared" si="197"/>
        <v>0.0606060606060606</v>
      </c>
    </row>
    <row r="826" spans="1:19">
      <c r="A826" s="1010">
        <v>45473</v>
      </c>
      <c r="B826" s="670">
        <v>3651.42</v>
      </c>
      <c r="C826" s="37">
        <v>15335</v>
      </c>
      <c r="D826" s="37">
        <v>864</v>
      </c>
      <c r="E826" s="37">
        <v>0</v>
      </c>
      <c r="F826" s="670">
        <v>0</v>
      </c>
      <c r="G826" s="37">
        <v>39</v>
      </c>
      <c r="H826" s="37">
        <v>4</v>
      </c>
      <c r="I826" s="37">
        <v>2</v>
      </c>
      <c r="J826" s="1018">
        <f t="shared" si="188"/>
        <v>0.0563417019889143</v>
      </c>
      <c r="K826" s="1019">
        <f t="shared" si="189"/>
        <v>4.22618055555556</v>
      </c>
      <c r="L826" s="1020">
        <f t="shared" si="190"/>
        <v>0</v>
      </c>
      <c r="M826" s="1018">
        <f t="shared" si="191"/>
        <v>0</v>
      </c>
      <c r="N826" s="956">
        <f t="shared" si="192"/>
        <v>0</v>
      </c>
      <c r="O826" s="956">
        <f t="shared" si="193"/>
        <v>0</v>
      </c>
      <c r="P826" s="1019">
        <f t="shared" si="194"/>
        <v>93.6261538461539</v>
      </c>
      <c r="Q826" s="675">
        <f t="shared" si="195"/>
        <v>84.9167441860465</v>
      </c>
      <c r="R826">
        <f t="shared" si="196"/>
        <v>43</v>
      </c>
      <c r="S826" s="661">
        <f t="shared" si="197"/>
        <v>0.0497685185185185</v>
      </c>
    </row>
    <row r="827" spans="1:19">
      <c r="A827" s="1010">
        <v>45474</v>
      </c>
      <c r="B827" s="670">
        <v>3418.66</v>
      </c>
      <c r="C827" s="37">
        <v>16383</v>
      </c>
      <c r="D827" s="37">
        <v>806</v>
      </c>
      <c r="E827" s="37">
        <v>0</v>
      </c>
      <c r="F827" s="670">
        <v>0</v>
      </c>
      <c r="G827" s="37">
        <v>64</v>
      </c>
      <c r="H827" s="37">
        <v>0</v>
      </c>
      <c r="I827" s="37">
        <v>4</v>
      </c>
      <c r="J827" s="1018">
        <f t="shared" si="188"/>
        <v>0.0491973387047549</v>
      </c>
      <c r="K827" s="1019">
        <f t="shared" si="189"/>
        <v>4.24151364764268</v>
      </c>
      <c r="L827" s="1020">
        <f t="shared" si="190"/>
        <v>0</v>
      </c>
      <c r="M827" s="1018">
        <f t="shared" si="191"/>
        <v>0</v>
      </c>
      <c r="N827" s="956">
        <f t="shared" si="192"/>
        <v>0</v>
      </c>
      <c r="O827" s="956">
        <f t="shared" si="193"/>
        <v>0</v>
      </c>
      <c r="P827" s="1019">
        <f t="shared" si="194"/>
        <v>53.4165625</v>
      </c>
      <c r="Q827" s="675">
        <f t="shared" si="195"/>
        <v>53.4165625</v>
      </c>
      <c r="R827">
        <f t="shared" si="196"/>
        <v>64</v>
      </c>
      <c r="S827" s="661">
        <f t="shared" si="197"/>
        <v>0.0794044665012407</v>
      </c>
    </row>
    <row r="828" spans="1:19">
      <c r="A828" s="1010">
        <v>45475</v>
      </c>
      <c r="B828" s="670">
        <v>2875.63</v>
      </c>
      <c r="C828" s="37">
        <v>16076</v>
      </c>
      <c r="D828" s="37">
        <v>704</v>
      </c>
      <c r="E828" s="37">
        <v>0</v>
      </c>
      <c r="F828" s="670">
        <v>0</v>
      </c>
      <c r="G828" s="37">
        <v>40</v>
      </c>
      <c r="H828" s="37">
        <v>3</v>
      </c>
      <c r="I828" s="37">
        <v>5</v>
      </c>
      <c r="J828" s="1018">
        <f t="shared" ref="J828:J860" si="198">D828/C828</f>
        <v>0.0437919880567305</v>
      </c>
      <c r="K828" s="1019">
        <f t="shared" ref="K828:K860" si="199">B828/D828</f>
        <v>4.08470170454545</v>
      </c>
      <c r="L828" s="1020">
        <f t="shared" ref="L828:L860" si="200">F828/B828</f>
        <v>0</v>
      </c>
      <c r="M828" s="1018">
        <f t="shared" ref="M828:M860" si="201">E828/D828</f>
        <v>0</v>
      </c>
      <c r="N828" s="956">
        <f t="shared" ref="N828:N860" si="202">IF(E828=0,0,F828/E828)</f>
        <v>0</v>
      </c>
      <c r="O828" s="956">
        <f t="shared" ref="O828:O860" si="203">IF(E828=0,0,B828/E828)</f>
        <v>0</v>
      </c>
      <c r="P828" s="1019">
        <f t="shared" ref="P828:P860" si="204">B828/G828</f>
        <v>71.89075</v>
      </c>
      <c r="Q828" s="675">
        <f t="shared" ref="Q828:Q860" si="205">B828/(G828+H828)</f>
        <v>66.8751162790698</v>
      </c>
      <c r="R828">
        <f t="shared" ref="R828:R860" si="206">G828+H828</f>
        <v>43</v>
      </c>
      <c r="S828" s="661">
        <f t="shared" ref="S828:S860" si="207">R828/D828</f>
        <v>0.0610795454545455</v>
      </c>
    </row>
    <row r="829" spans="1:19">
      <c r="A829" s="1010">
        <v>45476</v>
      </c>
      <c r="B829" s="670">
        <v>2237.21</v>
      </c>
      <c r="C829" s="37">
        <v>11206</v>
      </c>
      <c r="D829" s="37">
        <v>550</v>
      </c>
      <c r="E829" s="37">
        <v>0</v>
      </c>
      <c r="F829" s="670">
        <v>0</v>
      </c>
      <c r="G829" s="37">
        <v>25</v>
      </c>
      <c r="H829" s="37">
        <v>2</v>
      </c>
      <c r="I829" s="37">
        <v>3</v>
      </c>
      <c r="J829" s="1018">
        <f t="shared" si="198"/>
        <v>0.0490808495448867</v>
      </c>
      <c r="K829" s="1019">
        <f t="shared" si="199"/>
        <v>4.06765454545455</v>
      </c>
      <c r="L829" s="1020">
        <f t="shared" si="200"/>
        <v>0</v>
      </c>
      <c r="M829" s="1018">
        <f t="shared" si="201"/>
        <v>0</v>
      </c>
      <c r="N829" s="956">
        <f t="shared" si="202"/>
        <v>0</v>
      </c>
      <c r="O829" s="956">
        <f t="shared" si="203"/>
        <v>0</v>
      </c>
      <c r="P829" s="1019">
        <f t="shared" si="204"/>
        <v>89.4884</v>
      </c>
      <c r="Q829" s="675">
        <f t="shared" si="205"/>
        <v>82.8596296296296</v>
      </c>
      <c r="R829">
        <f t="shared" si="206"/>
        <v>27</v>
      </c>
      <c r="S829" s="661">
        <f t="shared" si="207"/>
        <v>0.0490909090909091</v>
      </c>
    </row>
    <row r="830" spans="1:19">
      <c r="A830" s="1010">
        <v>45477</v>
      </c>
      <c r="B830" s="670">
        <v>2244</v>
      </c>
      <c r="C830" s="37">
        <v>10358</v>
      </c>
      <c r="D830" s="37">
        <v>554</v>
      </c>
      <c r="E830" s="37">
        <v>0</v>
      </c>
      <c r="F830" s="670">
        <v>0</v>
      </c>
      <c r="G830" s="37">
        <v>38</v>
      </c>
      <c r="H830" s="37">
        <v>3</v>
      </c>
      <c r="I830" s="37">
        <v>5</v>
      </c>
      <c r="J830" s="1018">
        <f t="shared" si="198"/>
        <v>0.0534852288086503</v>
      </c>
      <c r="K830" s="1019">
        <f t="shared" si="199"/>
        <v>4.05054151624549</v>
      </c>
      <c r="L830" s="1020">
        <f t="shared" si="200"/>
        <v>0</v>
      </c>
      <c r="M830" s="1018">
        <f t="shared" si="201"/>
        <v>0</v>
      </c>
      <c r="N830" s="956">
        <f t="shared" si="202"/>
        <v>0</v>
      </c>
      <c r="O830" s="956">
        <f t="shared" si="203"/>
        <v>0</v>
      </c>
      <c r="P830" s="1019">
        <f t="shared" si="204"/>
        <v>59.0526315789474</v>
      </c>
      <c r="Q830" s="675">
        <f t="shared" si="205"/>
        <v>54.7317073170732</v>
      </c>
      <c r="R830">
        <f t="shared" si="206"/>
        <v>41</v>
      </c>
      <c r="S830" s="661">
        <f t="shared" si="207"/>
        <v>0.0740072202166065</v>
      </c>
    </row>
    <row r="831" spans="1:19">
      <c r="A831" s="1010">
        <v>45478</v>
      </c>
      <c r="B831" s="670">
        <v>2222.52</v>
      </c>
      <c r="C831" s="37">
        <v>12825</v>
      </c>
      <c r="D831" s="37">
        <v>590</v>
      </c>
      <c r="E831" s="37">
        <v>0</v>
      </c>
      <c r="F831" s="670">
        <v>0</v>
      </c>
      <c r="G831" s="37">
        <v>28</v>
      </c>
      <c r="H831" s="37">
        <v>4</v>
      </c>
      <c r="I831" s="37">
        <v>2</v>
      </c>
      <c r="J831" s="1018">
        <f t="shared" si="198"/>
        <v>0.0460038986354776</v>
      </c>
      <c r="K831" s="1019">
        <f t="shared" si="199"/>
        <v>3.76698305084746</v>
      </c>
      <c r="L831" s="1020">
        <f t="shared" si="200"/>
        <v>0</v>
      </c>
      <c r="M831" s="1018">
        <f t="shared" si="201"/>
        <v>0</v>
      </c>
      <c r="N831" s="956">
        <f t="shared" si="202"/>
        <v>0</v>
      </c>
      <c r="O831" s="956">
        <f t="shared" si="203"/>
        <v>0</v>
      </c>
      <c r="P831" s="1019">
        <f t="shared" si="204"/>
        <v>79.3757142857143</v>
      </c>
      <c r="Q831" s="675">
        <f t="shared" si="205"/>
        <v>69.45375</v>
      </c>
      <c r="R831">
        <f t="shared" si="206"/>
        <v>32</v>
      </c>
      <c r="S831" s="661">
        <f t="shared" si="207"/>
        <v>0.0542372881355932</v>
      </c>
    </row>
    <row r="832" spans="1:19">
      <c r="A832" s="1010">
        <v>45479</v>
      </c>
      <c r="B832" s="670">
        <v>2244</v>
      </c>
      <c r="C832" s="37">
        <v>10805</v>
      </c>
      <c r="D832" s="37">
        <v>589</v>
      </c>
      <c r="E832" s="37">
        <v>3</v>
      </c>
      <c r="F832" s="670">
        <v>34842</v>
      </c>
      <c r="G832" s="37">
        <v>32</v>
      </c>
      <c r="H832" s="37">
        <v>5</v>
      </c>
      <c r="I832" s="37">
        <v>4</v>
      </c>
      <c r="J832" s="1018">
        <f t="shared" si="198"/>
        <v>0.0545118000925497</v>
      </c>
      <c r="K832" s="1019">
        <f t="shared" si="199"/>
        <v>3.80984719864177</v>
      </c>
      <c r="L832" s="1020">
        <f t="shared" si="200"/>
        <v>15.5267379679144</v>
      </c>
      <c r="M832" s="1018">
        <f t="shared" si="201"/>
        <v>0.00509337860780985</v>
      </c>
      <c r="N832" s="956">
        <f t="shared" si="202"/>
        <v>11614</v>
      </c>
      <c r="O832" s="956">
        <f t="shared" si="203"/>
        <v>748</v>
      </c>
      <c r="P832" s="1019">
        <f t="shared" si="204"/>
        <v>70.125</v>
      </c>
      <c r="Q832" s="675">
        <f t="shared" si="205"/>
        <v>60.6486486486486</v>
      </c>
      <c r="R832">
        <f t="shared" si="206"/>
        <v>37</v>
      </c>
      <c r="S832" s="661">
        <f t="shared" si="207"/>
        <v>0.0628183361629881</v>
      </c>
    </row>
    <row r="833" spans="1:19">
      <c r="A833" s="1010">
        <v>45480</v>
      </c>
      <c r="B833" s="670">
        <v>2244</v>
      </c>
      <c r="C833" s="37">
        <v>10623</v>
      </c>
      <c r="D833" s="37">
        <v>580</v>
      </c>
      <c r="E833" s="37">
        <v>0</v>
      </c>
      <c r="F833" s="670">
        <v>0</v>
      </c>
      <c r="G833" s="37">
        <v>26</v>
      </c>
      <c r="H833" s="37">
        <v>2</v>
      </c>
      <c r="I833" s="37">
        <v>3</v>
      </c>
      <c r="J833" s="1018">
        <f t="shared" si="198"/>
        <v>0.0545985126612068</v>
      </c>
      <c r="K833" s="1019">
        <f t="shared" si="199"/>
        <v>3.86896551724138</v>
      </c>
      <c r="L833" s="1020">
        <f t="shared" si="200"/>
        <v>0</v>
      </c>
      <c r="M833" s="1018">
        <f t="shared" si="201"/>
        <v>0</v>
      </c>
      <c r="N833" s="956">
        <f t="shared" si="202"/>
        <v>0</v>
      </c>
      <c r="O833" s="956">
        <f t="shared" si="203"/>
        <v>0</v>
      </c>
      <c r="P833" s="1019">
        <f t="shared" si="204"/>
        <v>86.3076923076923</v>
      </c>
      <c r="Q833" s="675">
        <f t="shared" si="205"/>
        <v>80.1428571428571</v>
      </c>
      <c r="R833">
        <f t="shared" si="206"/>
        <v>28</v>
      </c>
      <c r="S833" s="661">
        <f t="shared" si="207"/>
        <v>0.0482758620689655</v>
      </c>
    </row>
    <row r="834" spans="1:19">
      <c r="A834" s="1010">
        <v>45481</v>
      </c>
      <c r="B834" s="670">
        <v>2236.54</v>
      </c>
      <c r="C834" s="37">
        <v>10694</v>
      </c>
      <c r="D834" s="37">
        <v>602</v>
      </c>
      <c r="E834" s="37">
        <v>0</v>
      </c>
      <c r="F834" s="670">
        <v>0</v>
      </c>
      <c r="G834" s="37">
        <v>30</v>
      </c>
      <c r="H834" s="37">
        <v>3</v>
      </c>
      <c r="I834" s="37">
        <v>3</v>
      </c>
      <c r="J834" s="1018">
        <f t="shared" si="198"/>
        <v>0.0562932485505891</v>
      </c>
      <c r="K834" s="1019">
        <f t="shared" si="199"/>
        <v>3.71518272425249</v>
      </c>
      <c r="L834" s="1020">
        <f t="shared" si="200"/>
        <v>0</v>
      </c>
      <c r="M834" s="1018">
        <f t="shared" si="201"/>
        <v>0</v>
      </c>
      <c r="N834" s="956">
        <f t="shared" si="202"/>
        <v>0</v>
      </c>
      <c r="O834" s="956">
        <f t="shared" si="203"/>
        <v>0</v>
      </c>
      <c r="P834" s="1019">
        <f t="shared" si="204"/>
        <v>74.5513333333333</v>
      </c>
      <c r="Q834" s="675">
        <f t="shared" si="205"/>
        <v>67.7739393939394</v>
      </c>
      <c r="R834">
        <f t="shared" si="206"/>
        <v>33</v>
      </c>
      <c r="S834" s="661">
        <f t="shared" si="207"/>
        <v>0.0548172757475083</v>
      </c>
    </row>
    <row r="835" spans="1:19">
      <c r="A835" s="1010">
        <v>45482</v>
      </c>
      <c r="B835" s="670">
        <v>2518.67</v>
      </c>
      <c r="C835" s="37">
        <v>11779</v>
      </c>
      <c r="D835" s="37">
        <v>656</v>
      </c>
      <c r="E835" s="37">
        <v>0</v>
      </c>
      <c r="F835" s="670">
        <v>0</v>
      </c>
      <c r="G835" s="37">
        <v>31</v>
      </c>
      <c r="H835" s="37">
        <v>5</v>
      </c>
      <c r="I835" s="37">
        <v>5</v>
      </c>
      <c r="J835" s="1018">
        <f t="shared" si="198"/>
        <v>0.0556923338144155</v>
      </c>
      <c r="K835" s="1019">
        <f t="shared" si="199"/>
        <v>3.83943597560976</v>
      </c>
      <c r="L835" s="1020">
        <f t="shared" si="200"/>
        <v>0</v>
      </c>
      <c r="M835" s="1018">
        <f t="shared" si="201"/>
        <v>0</v>
      </c>
      <c r="N835" s="956">
        <f t="shared" si="202"/>
        <v>0</v>
      </c>
      <c r="O835" s="956">
        <f t="shared" si="203"/>
        <v>0</v>
      </c>
      <c r="P835" s="1019">
        <f t="shared" si="204"/>
        <v>81.2474193548387</v>
      </c>
      <c r="Q835" s="675">
        <f t="shared" si="205"/>
        <v>69.9630555555556</v>
      </c>
      <c r="R835">
        <f t="shared" si="206"/>
        <v>36</v>
      </c>
      <c r="S835" s="661">
        <f t="shared" si="207"/>
        <v>0.0548780487804878</v>
      </c>
    </row>
    <row r="836" spans="1:19">
      <c r="A836" s="1010">
        <v>45483</v>
      </c>
      <c r="B836" s="670">
        <v>2505.52</v>
      </c>
      <c r="C836" s="37">
        <v>13858</v>
      </c>
      <c r="D836" s="37">
        <v>695</v>
      </c>
      <c r="E836" s="37">
        <v>0</v>
      </c>
      <c r="F836" s="670">
        <v>0</v>
      </c>
      <c r="G836" s="37">
        <v>37</v>
      </c>
      <c r="H836" s="37">
        <v>7</v>
      </c>
      <c r="I836" s="37">
        <v>5</v>
      </c>
      <c r="J836" s="1018">
        <f t="shared" si="198"/>
        <v>0.0501515370183288</v>
      </c>
      <c r="K836" s="1019">
        <f t="shared" si="199"/>
        <v>3.60506474820144</v>
      </c>
      <c r="L836" s="1020">
        <f t="shared" si="200"/>
        <v>0</v>
      </c>
      <c r="M836" s="1018">
        <f t="shared" si="201"/>
        <v>0</v>
      </c>
      <c r="N836" s="956">
        <f t="shared" si="202"/>
        <v>0</v>
      </c>
      <c r="O836" s="956">
        <f t="shared" si="203"/>
        <v>0</v>
      </c>
      <c r="P836" s="1019">
        <f t="shared" si="204"/>
        <v>67.7167567567568</v>
      </c>
      <c r="Q836" s="675">
        <f t="shared" si="205"/>
        <v>56.9436363636364</v>
      </c>
      <c r="R836">
        <f t="shared" si="206"/>
        <v>44</v>
      </c>
      <c r="S836" s="661">
        <f t="shared" si="207"/>
        <v>0.0633093525179856</v>
      </c>
    </row>
    <row r="837" spans="1:19">
      <c r="A837" s="1010">
        <v>45484</v>
      </c>
      <c r="B837" s="670">
        <v>2527.26</v>
      </c>
      <c r="C837" s="37">
        <v>11946</v>
      </c>
      <c r="D837" s="37">
        <v>683</v>
      </c>
      <c r="E837" s="37">
        <v>1</v>
      </c>
      <c r="F837" s="670">
        <v>6798</v>
      </c>
      <c r="G837" s="37">
        <v>31</v>
      </c>
      <c r="H837" s="37">
        <v>5</v>
      </c>
      <c r="I837" s="37">
        <v>9</v>
      </c>
      <c r="J837" s="1018">
        <f t="shared" si="198"/>
        <v>0.0571739494391428</v>
      </c>
      <c r="K837" s="1019">
        <f t="shared" si="199"/>
        <v>3.70023426061493</v>
      </c>
      <c r="L837" s="1020">
        <f t="shared" si="200"/>
        <v>2.68986966121412</v>
      </c>
      <c r="M837" s="1018">
        <f t="shared" si="201"/>
        <v>0.00146412884333821</v>
      </c>
      <c r="N837" s="956">
        <f t="shared" si="202"/>
        <v>6798</v>
      </c>
      <c r="O837" s="956">
        <f t="shared" si="203"/>
        <v>2527.26</v>
      </c>
      <c r="P837" s="1019">
        <f t="shared" si="204"/>
        <v>81.5245161290323</v>
      </c>
      <c r="Q837" s="675">
        <f t="shared" si="205"/>
        <v>70.2016666666667</v>
      </c>
      <c r="R837">
        <f t="shared" si="206"/>
        <v>36</v>
      </c>
      <c r="S837" s="661">
        <f t="shared" si="207"/>
        <v>0.0527086383601757</v>
      </c>
    </row>
    <row r="838" spans="1:19">
      <c r="A838" s="1010">
        <v>45485</v>
      </c>
      <c r="B838" s="670">
        <v>2524.53</v>
      </c>
      <c r="C838" s="37">
        <v>11047</v>
      </c>
      <c r="D838" s="37">
        <v>647</v>
      </c>
      <c r="E838" s="37">
        <v>0</v>
      </c>
      <c r="F838" s="670">
        <v>0</v>
      </c>
      <c r="G838" s="37">
        <v>41</v>
      </c>
      <c r="H838" s="37">
        <v>3</v>
      </c>
      <c r="I838" s="37">
        <v>3</v>
      </c>
      <c r="J838" s="1018">
        <f t="shared" si="198"/>
        <v>0.0585679369964696</v>
      </c>
      <c r="K838" s="1019">
        <f t="shared" si="199"/>
        <v>3.90190108191654</v>
      </c>
      <c r="L838" s="1020">
        <f t="shared" si="200"/>
        <v>0</v>
      </c>
      <c r="M838" s="1018">
        <f t="shared" si="201"/>
        <v>0</v>
      </c>
      <c r="N838" s="956">
        <f t="shared" si="202"/>
        <v>0</v>
      </c>
      <c r="O838" s="956">
        <f t="shared" si="203"/>
        <v>0</v>
      </c>
      <c r="P838" s="1019">
        <f t="shared" si="204"/>
        <v>61.5739024390244</v>
      </c>
      <c r="Q838" s="675">
        <f t="shared" si="205"/>
        <v>57.3756818181818</v>
      </c>
      <c r="R838">
        <f t="shared" si="206"/>
        <v>44</v>
      </c>
      <c r="S838" s="661">
        <f t="shared" si="207"/>
        <v>0.0680061823802164</v>
      </c>
    </row>
    <row r="839" spans="1:19">
      <c r="A839" s="1010">
        <v>45486</v>
      </c>
      <c r="B839" s="670">
        <v>2544</v>
      </c>
      <c r="C839" s="37">
        <v>9084</v>
      </c>
      <c r="D839" s="37">
        <v>658</v>
      </c>
      <c r="E839" s="37">
        <v>0</v>
      </c>
      <c r="F839" s="670">
        <v>0</v>
      </c>
      <c r="G839" s="37">
        <v>38</v>
      </c>
      <c r="H839" s="37">
        <v>5</v>
      </c>
      <c r="I839" s="37">
        <v>7</v>
      </c>
      <c r="J839" s="1018">
        <f t="shared" si="198"/>
        <v>0.0724350506384853</v>
      </c>
      <c r="K839" s="1019">
        <f t="shared" si="199"/>
        <v>3.86626139817629</v>
      </c>
      <c r="L839" s="1020">
        <f t="shared" si="200"/>
        <v>0</v>
      </c>
      <c r="M839" s="1018">
        <f t="shared" si="201"/>
        <v>0</v>
      </c>
      <c r="N839" s="956">
        <f t="shared" si="202"/>
        <v>0</v>
      </c>
      <c r="O839" s="956">
        <f t="shared" si="203"/>
        <v>0</v>
      </c>
      <c r="P839" s="1019">
        <f t="shared" si="204"/>
        <v>66.9473684210526</v>
      </c>
      <c r="Q839" s="675">
        <f t="shared" si="205"/>
        <v>59.1627906976744</v>
      </c>
      <c r="R839">
        <f t="shared" si="206"/>
        <v>43</v>
      </c>
      <c r="S839" s="661">
        <f t="shared" si="207"/>
        <v>0.0653495440729483</v>
      </c>
    </row>
    <row r="840" spans="1:19">
      <c r="A840" s="1010">
        <v>45487</v>
      </c>
      <c r="B840" s="670">
        <v>2544</v>
      </c>
      <c r="C840" s="37">
        <v>9931</v>
      </c>
      <c r="D840" s="37">
        <v>675</v>
      </c>
      <c r="E840" s="37">
        <v>1</v>
      </c>
      <c r="F840" s="670">
        <v>11997</v>
      </c>
      <c r="G840" s="37">
        <v>41</v>
      </c>
      <c r="H840" s="37">
        <v>4</v>
      </c>
      <c r="I840" s="37">
        <v>7</v>
      </c>
      <c r="J840" s="1018">
        <f t="shared" si="198"/>
        <v>0.0679689860034236</v>
      </c>
      <c r="K840" s="1019">
        <f t="shared" si="199"/>
        <v>3.76888888888889</v>
      </c>
      <c r="L840" s="1020">
        <f t="shared" si="200"/>
        <v>4.71580188679245</v>
      </c>
      <c r="M840" s="1018">
        <f t="shared" si="201"/>
        <v>0.00148148148148148</v>
      </c>
      <c r="N840" s="956">
        <f t="shared" si="202"/>
        <v>11997</v>
      </c>
      <c r="O840" s="956">
        <f t="shared" si="203"/>
        <v>2544</v>
      </c>
      <c r="P840" s="1019">
        <f t="shared" si="204"/>
        <v>62.0487804878049</v>
      </c>
      <c r="Q840" s="675">
        <f t="shared" si="205"/>
        <v>56.5333333333333</v>
      </c>
      <c r="R840">
        <f t="shared" si="206"/>
        <v>45</v>
      </c>
      <c r="S840" s="661">
        <f t="shared" si="207"/>
        <v>0.0666666666666667</v>
      </c>
    </row>
    <row r="841" spans="1:19">
      <c r="A841" s="1010">
        <v>45488</v>
      </c>
      <c r="B841" s="670">
        <v>2480.8</v>
      </c>
      <c r="C841" s="37">
        <v>10219</v>
      </c>
      <c r="D841" s="37">
        <v>634</v>
      </c>
      <c r="E841" s="37">
        <v>2</v>
      </c>
      <c r="F841" s="670">
        <v>23994</v>
      </c>
      <c r="G841" s="37">
        <v>32</v>
      </c>
      <c r="H841" s="37">
        <v>3</v>
      </c>
      <c r="I841" s="37">
        <v>7</v>
      </c>
      <c r="J841" s="1018">
        <f t="shared" si="198"/>
        <v>0.0620412956257951</v>
      </c>
      <c r="K841" s="1019">
        <f t="shared" si="199"/>
        <v>3.91293375394322</v>
      </c>
      <c r="L841" s="1020">
        <f t="shared" si="200"/>
        <v>9.67188003869719</v>
      </c>
      <c r="M841" s="1018">
        <f t="shared" si="201"/>
        <v>0.00315457413249211</v>
      </c>
      <c r="N841" s="956">
        <f t="shared" si="202"/>
        <v>11997</v>
      </c>
      <c r="O841" s="956">
        <f t="shared" si="203"/>
        <v>1240.4</v>
      </c>
      <c r="P841" s="1019">
        <f t="shared" si="204"/>
        <v>77.525</v>
      </c>
      <c r="Q841" s="675">
        <f t="shared" si="205"/>
        <v>70.88</v>
      </c>
      <c r="R841">
        <f t="shared" si="206"/>
        <v>35</v>
      </c>
      <c r="S841" s="661">
        <f t="shared" si="207"/>
        <v>0.055205047318612</v>
      </c>
    </row>
    <row r="842" spans="1:19">
      <c r="A842" s="1010">
        <v>45489</v>
      </c>
      <c r="B842" s="670">
        <v>2353.57</v>
      </c>
      <c r="C842" s="37">
        <v>8677</v>
      </c>
      <c r="D842" s="37">
        <v>645</v>
      </c>
      <c r="E842" s="37">
        <v>1</v>
      </c>
      <c r="F842" s="670">
        <v>11997</v>
      </c>
      <c r="G842" s="37">
        <v>41</v>
      </c>
      <c r="H842" s="37">
        <v>5</v>
      </c>
      <c r="I842" s="37">
        <v>2</v>
      </c>
      <c r="J842" s="1018">
        <f t="shared" si="198"/>
        <v>0.0743344473896508</v>
      </c>
      <c r="K842" s="1019">
        <f t="shared" si="199"/>
        <v>3.64894573643411</v>
      </c>
      <c r="L842" s="1020">
        <f t="shared" si="200"/>
        <v>5.09736272981046</v>
      </c>
      <c r="M842" s="1018">
        <f t="shared" si="201"/>
        <v>0.00155038759689922</v>
      </c>
      <c r="N842" s="956">
        <f t="shared" si="202"/>
        <v>11997</v>
      </c>
      <c r="O842" s="956">
        <f t="shared" si="203"/>
        <v>2353.57</v>
      </c>
      <c r="P842" s="1019">
        <f t="shared" si="204"/>
        <v>57.4041463414634</v>
      </c>
      <c r="Q842" s="675">
        <f t="shared" si="205"/>
        <v>51.1645652173913</v>
      </c>
      <c r="R842">
        <f t="shared" si="206"/>
        <v>46</v>
      </c>
      <c r="S842" s="661">
        <f t="shared" si="207"/>
        <v>0.0713178294573643</v>
      </c>
    </row>
    <row r="843" spans="1:19">
      <c r="A843" s="1010">
        <v>45490</v>
      </c>
      <c r="B843" s="670">
        <v>2160.44</v>
      </c>
      <c r="C843" s="37">
        <v>7515</v>
      </c>
      <c r="D843" s="37">
        <v>617</v>
      </c>
      <c r="E843" s="37">
        <v>0</v>
      </c>
      <c r="F843" s="670">
        <v>0</v>
      </c>
      <c r="G843" s="37">
        <v>26</v>
      </c>
      <c r="H843" s="37">
        <v>2</v>
      </c>
      <c r="I843" s="37">
        <v>4</v>
      </c>
      <c r="J843" s="1018">
        <f t="shared" si="198"/>
        <v>0.0821024617431803</v>
      </c>
      <c r="K843" s="1019">
        <f t="shared" si="199"/>
        <v>3.50152350081037</v>
      </c>
      <c r="L843" s="1020">
        <f t="shared" si="200"/>
        <v>0</v>
      </c>
      <c r="M843" s="1018">
        <f t="shared" si="201"/>
        <v>0</v>
      </c>
      <c r="N843" s="956">
        <f t="shared" si="202"/>
        <v>0</v>
      </c>
      <c r="O843" s="956">
        <f t="shared" si="203"/>
        <v>0</v>
      </c>
      <c r="P843" s="1019">
        <f t="shared" si="204"/>
        <v>83.0938461538462</v>
      </c>
      <c r="Q843" s="675">
        <f t="shared" si="205"/>
        <v>77.1585714285714</v>
      </c>
      <c r="R843">
        <f t="shared" si="206"/>
        <v>28</v>
      </c>
      <c r="S843" s="661">
        <f t="shared" si="207"/>
        <v>0.0453808752025932</v>
      </c>
    </row>
    <row r="844" spans="1:19">
      <c r="A844" s="1010">
        <v>45491</v>
      </c>
      <c r="B844" s="670">
        <v>2150.51</v>
      </c>
      <c r="C844" s="37">
        <v>7974</v>
      </c>
      <c r="D844" s="37">
        <v>662</v>
      </c>
      <c r="E844" s="37">
        <v>1</v>
      </c>
      <c r="F844" s="670">
        <v>11997</v>
      </c>
      <c r="G844" s="37">
        <v>30</v>
      </c>
      <c r="H844" s="37">
        <v>2</v>
      </c>
      <c r="I844" s="37">
        <v>4</v>
      </c>
      <c r="J844" s="1018">
        <f t="shared" si="198"/>
        <v>0.0830198143967896</v>
      </c>
      <c r="K844" s="1019">
        <f t="shared" si="199"/>
        <v>3.24850453172205</v>
      </c>
      <c r="L844" s="1020">
        <f t="shared" si="200"/>
        <v>5.57867668599541</v>
      </c>
      <c r="M844" s="1018">
        <f t="shared" si="201"/>
        <v>0.00151057401812689</v>
      </c>
      <c r="N844" s="956">
        <f t="shared" si="202"/>
        <v>11997</v>
      </c>
      <c r="O844" s="956">
        <f t="shared" si="203"/>
        <v>2150.51</v>
      </c>
      <c r="P844" s="1019">
        <f t="shared" si="204"/>
        <v>71.6836666666667</v>
      </c>
      <c r="Q844" s="675">
        <f t="shared" si="205"/>
        <v>67.2034375</v>
      </c>
      <c r="R844">
        <f t="shared" si="206"/>
        <v>32</v>
      </c>
      <c r="S844" s="661">
        <f t="shared" si="207"/>
        <v>0.0483383685800604</v>
      </c>
    </row>
    <row r="845" spans="1:19">
      <c r="A845" s="1010">
        <v>45492</v>
      </c>
      <c r="B845" s="670">
        <v>2156.11</v>
      </c>
      <c r="C845" s="37">
        <v>7816</v>
      </c>
      <c r="D845" s="37">
        <v>607</v>
      </c>
      <c r="E845" s="37">
        <v>3</v>
      </c>
      <c r="F845" s="670">
        <v>35991</v>
      </c>
      <c r="G845" s="37">
        <v>44</v>
      </c>
      <c r="H845" s="37">
        <v>4</v>
      </c>
      <c r="I845" s="37">
        <v>11</v>
      </c>
      <c r="J845" s="1018">
        <f t="shared" si="198"/>
        <v>0.077661207778915</v>
      </c>
      <c r="K845" s="1019">
        <f t="shared" si="199"/>
        <v>3.55207578253707</v>
      </c>
      <c r="L845" s="1020">
        <f t="shared" si="200"/>
        <v>16.692562067798</v>
      </c>
      <c r="M845" s="1018">
        <f t="shared" si="201"/>
        <v>0.00494233937397035</v>
      </c>
      <c r="N845" s="956">
        <f t="shared" si="202"/>
        <v>11997</v>
      </c>
      <c r="O845" s="956">
        <f t="shared" si="203"/>
        <v>718.703333333333</v>
      </c>
      <c r="P845" s="1019">
        <f t="shared" si="204"/>
        <v>49.0025</v>
      </c>
      <c r="Q845" s="675">
        <f t="shared" si="205"/>
        <v>44.9189583333333</v>
      </c>
      <c r="R845">
        <f t="shared" si="206"/>
        <v>48</v>
      </c>
      <c r="S845" s="661">
        <f t="shared" si="207"/>
        <v>0.0790774299835255</v>
      </c>
    </row>
    <row r="846" spans="1:19">
      <c r="A846" s="1010">
        <v>45493</v>
      </c>
      <c r="B846" s="670">
        <v>2139.74</v>
      </c>
      <c r="C846" s="37">
        <v>6579</v>
      </c>
      <c r="D846" s="37">
        <v>583</v>
      </c>
      <c r="E846" s="37">
        <v>7</v>
      </c>
      <c r="F846" s="670">
        <v>90231</v>
      </c>
      <c r="G846" s="37">
        <v>43</v>
      </c>
      <c r="H846" s="37">
        <v>9</v>
      </c>
      <c r="I846" s="37">
        <v>3</v>
      </c>
      <c r="J846" s="1018">
        <f t="shared" si="198"/>
        <v>0.0886152910776714</v>
      </c>
      <c r="K846" s="1019">
        <f t="shared" si="199"/>
        <v>3.67022298456261</v>
      </c>
      <c r="L846" s="1020">
        <f t="shared" si="200"/>
        <v>42.1691420452952</v>
      </c>
      <c r="M846" s="1018">
        <f t="shared" si="201"/>
        <v>0.0120068610634648</v>
      </c>
      <c r="N846" s="956">
        <f t="shared" si="202"/>
        <v>12890.1428571429</v>
      </c>
      <c r="O846" s="956">
        <f t="shared" si="203"/>
        <v>305.677142857143</v>
      </c>
      <c r="P846" s="1019">
        <f t="shared" si="204"/>
        <v>49.7613953488372</v>
      </c>
      <c r="Q846" s="675">
        <f t="shared" si="205"/>
        <v>41.1488461538462</v>
      </c>
      <c r="R846">
        <f t="shared" si="206"/>
        <v>52</v>
      </c>
      <c r="S846" s="661">
        <f t="shared" si="207"/>
        <v>0.0891938250428816</v>
      </c>
    </row>
    <row r="847" spans="1:19">
      <c r="A847" s="1010">
        <v>45494</v>
      </c>
      <c r="B847" s="670">
        <v>2173</v>
      </c>
      <c r="C847" s="37">
        <v>5445</v>
      </c>
      <c r="D847" s="37">
        <v>650</v>
      </c>
      <c r="E847" s="37">
        <v>10</v>
      </c>
      <c r="F847" s="670">
        <v>91179</v>
      </c>
      <c r="G847" s="37">
        <v>43</v>
      </c>
      <c r="H847" s="37">
        <v>7</v>
      </c>
      <c r="I847" s="37">
        <v>7</v>
      </c>
      <c r="J847" s="1018">
        <f t="shared" si="198"/>
        <v>0.119375573921028</v>
      </c>
      <c r="K847" s="1019">
        <f t="shared" si="199"/>
        <v>3.34307692307692</v>
      </c>
      <c r="L847" s="1020">
        <f t="shared" si="200"/>
        <v>41.9599631845375</v>
      </c>
      <c r="M847" s="1018">
        <f t="shared" si="201"/>
        <v>0.0153846153846154</v>
      </c>
      <c r="N847" s="956">
        <f t="shared" si="202"/>
        <v>9117.9</v>
      </c>
      <c r="O847" s="956">
        <f t="shared" si="203"/>
        <v>217.3</v>
      </c>
      <c r="P847" s="1019">
        <f t="shared" si="204"/>
        <v>50.5348837209302</v>
      </c>
      <c r="Q847" s="675">
        <f t="shared" si="205"/>
        <v>43.46</v>
      </c>
      <c r="R847">
        <f t="shared" si="206"/>
        <v>50</v>
      </c>
      <c r="S847" s="661">
        <f t="shared" si="207"/>
        <v>0.0769230769230769</v>
      </c>
    </row>
    <row r="848" spans="1:19">
      <c r="A848" s="1010">
        <v>45495</v>
      </c>
      <c r="B848" s="670">
        <v>2138.38</v>
      </c>
      <c r="C848" s="37">
        <v>5916</v>
      </c>
      <c r="D848" s="37">
        <v>646</v>
      </c>
      <c r="E848" s="37">
        <v>2</v>
      </c>
      <c r="F848" s="670">
        <v>32068</v>
      </c>
      <c r="G848" s="37">
        <v>36</v>
      </c>
      <c r="H848" s="37">
        <v>5</v>
      </c>
      <c r="I848" s="37">
        <v>7</v>
      </c>
      <c r="J848" s="1018">
        <f t="shared" si="198"/>
        <v>0.109195402298851</v>
      </c>
      <c r="K848" s="1019">
        <f t="shared" si="199"/>
        <v>3.31018575851393</v>
      </c>
      <c r="L848" s="1020">
        <f t="shared" si="200"/>
        <v>14.9963991432767</v>
      </c>
      <c r="M848" s="1018">
        <f t="shared" si="201"/>
        <v>0.00309597523219814</v>
      </c>
      <c r="N848" s="956">
        <f t="shared" si="202"/>
        <v>16034</v>
      </c>
      <c r="O848" s="956">
        <f t="shared" si="203"/>
        <v>1069.19</v>
      </c>
      <c r="P848" s="1019">
        <f t="shared" si="204"/>
        <v>59.3994444444444</v>
      </c>
      <c r="Q848" s="675">
        <f t="shared" si="205"/>
        <v>52.1556097560976</v>
      </c>
      <c r="R848">
        <f t="shared" si="206"/>
        <v>41</v>
      </c>
      <c r="S848" s="661">
        <f t="shared" si="207"/>
        <v>0.0634674922600619</v>
      </c>
    </row>
    <row r="849" spans="1:19">
      <c r="A849" s="1010">
        <v>45496</v>
      </c>
      <c r="B849" s="670">
        <v>2171.35</v>
      </c>
      <c r="C849" s="37">
        <v>5752</v>
      </c>
      <c r="D849" s="37">
        <v>581</v>
      </c>
      <c r="E849" s="37">
        <v>0</v>
      </c>
      <c r="F849" s="670">
        <v>0</v>
      </c>
      <c r="G849" s="37">
        <v>28</v>
      </c>
      <c r="H849" s="37">
        <v>1</v>
      </c>
      <c r="I849" s="37">
        <v>3</v>
      </c>
      <c r="J849" s="1018">
        <f t="shared" si="198"/>
        <v>0.101008344923505</v>
      </c>
      <c r="K849" s="1019">
        <f t="shared" si="199"/>
        <v>3.73726333907057</v>
      </c>
      <c r="L849" s="1020">
        <f t="shared" si="200"/>
        <v>0</v>
      </c>
      <c r="M849" s="1018">
        <f t="shared" si="201"/>
        <v>0</v>
      </c>
      <c r="N849" s="956">
        <f t="shared" si="202"/>
        <v>0</v>
      </c>
      <c r="O849" s="956">
        <f t="shared" si="203"/>
        <v>0</v>
      </c>
      <c r="P849" s="1019">
        <f t="shared" si="204"/>
        <v>77.5482142857143</v>
      </c>
      <c r="Q849" s="675">
        <f t="shared" si="205"/>
        <v>74.8741379310345</v>
      </c>
      <c r="R849">
        <f t="shared" si="206"/>
        <v>29</v>
      </c>
      <c r="S849" s="661">
        <f t="shared" si="207"/>
        <v>0.0499139414802065</v>
      </c>
    </row>
    <row r="850" spans="1:19">
      <c r="A850" s="1010">
        <v>45497</v>
      </c>
      <c r="B850" s="670">
        <v>2169.15</v>
      </c>
      <c r="C850" s="37">
        <v>6597</v>
      </c>
      <c r="D850" s="37">
        <v>557</v>
      </c>
      <c r="E850" s="37">
        <v>2</v>
      </c>
      <c r="F850" s="670">
        <v>55821</v>
      </c>
      <c r="G850" s="37">
        <v>38</v>
      </c>
      <c r="H850" s="37">
        <v>4</v>
      </c>
      <c r="I850" s="37">
        <v>7</v>
      </c>
      <c r="J850" s="1018">
        <f t="shared" si="198"/>
        <v>0.0844323177201758</v>
      </c>
      <c r="K850" s="1019">
        <f t="shared" si="199"/>
        <v>3.8943447037702</v>
      </c>
      <c r="L850" s="1020">
        <f t="shared" si="200"/>
        <v>25.7340432888459</v>
      </c>
      <c r="M850" s="1018">
        <f t="shared" si="201"/>
        <v>0.00359066427289048</v>
      </c>
      <c r="N850" s="956">
        <f t="shared" si="202"/>
        <v>27910.5</v>
      </c>
      <c r="O850" s="956">
        <f t="shared" si="203"/>
        <v>1084.575</v>
      </c>
      <c r="P850" s="1019">
        <f t="shared" si="204"/>
        <v>57.0828947368421</v>
      </c>
      <c r="Q850" s="675">
        <f t="shared" si="205"/>
        <v>51.6464285714286</v>
      </c>
      <c r="R850">
        <f t="shared" si="206"/>
        <v>42</v>
      </c>
      <c r="S850" s="661">
        <f t="shared" si="207"/>
        <v>0.0754039497307002</v>
      </c>
    </row>
    <row r="851" spans="1:19">
      <c r="A851" s="1010">
        <v>45498</v>
      </c>
      <c r="B851" s="670">
        <v>2150.52</v>
      </c>
      <c r="C851" s="37">
        <v>7430</v>
      </c>
      <c r="D851" s="37">
        <v>541</v>
      </c>
      <c r="E851" s="37">
        <v>0</v>
      </c>
      <c r="F851" s="670">
        <v>0</v>
      </c>
      <c r="G851" s="37">
        <v>23</v>
      </c>
      <c r="H851" s="37">
        <v>6</v>
      </c>
      <c r="I851" s="37">
        <v>5</v>
      </c>
      <c r="J851" s="1018">
        <f t="shared" si="198"/>
        <v>0.0728129205921938</v>
      </c>
      <c r="K851" s="1019">
        <f t="shared" si="199"/>
        <v>3.9750831792976</v>
      </c>
      <c r="L851" s="1020">
        <f t="shared" si="200"/>
        <v>0</v>
      </c>
      <c r="M851" s="1018">
        <f t="shared" si="201"/>
        <v>0</v>
      </c>
      <c r="N851" s="956">
        <f t="shared" si="202"/>
        <v>0</v>
      </c>
      <c r="O851" s="956">
        <f t="shared" si="203"/>
        <v>0</v>
      </c>
      <c r="P851" s="1019">
        <f t="shared" si="204"/>
        <v>93.5008695652174</v>
      </c>
      <c r="Q851" s="675">
        <f t="shared" si="205"/>
        <v>74.1558620689655</v>
      </c>
      <c r="R851">
        <f t="shared" si="206"/>
        <v>29</v>
      </c>
      <c r="S851" s="661">
        <f t="shared" si="207"/>
        <v>0.0536044362292052</v>
      </c>
    </row>
    <row r="852" spans="1:19">
      <c r="A852" s="1010">
        <v>45499</v>
      </c>
      <c r="B852" s="670">
        <v>2135.03</v>
      </c>
      <c r="C852" s="37">
        <v>7955</v>
      </c>
      <c r="D852" s="37">
        <v>546</v>
      </c>
      <c r="E852" s="37">
        <v>1</v>
      </c>
      <c r="F852" s="670">
        <v>18336</v>
      </c>
      <c r="G852" s="37">
        <v>31</v>
      </c>
      <c r="H852" s="37">
        <v>4</v>
      </c>
      <c r="I852" s="37">
        <v>2</v>
      </c>
      <c r="J852" s="1018">
        <f t="shared" si="198"/>
        <v>0.0686360779384035</v>
      </c>
      <c r="K852" s="1019">
        <f t="shared" si="199"/>
        <v>3.91031135531136</v>
      </c>
      <c r="L852" s="1020">
        <f t="shared" si="200"/>
        <v>8.58816972126855</v>
      </c>
      <c r="M852" s="1018">
        <f t="shared" si="201"/>
        <v>0.00183150183150183</v>
      </c>
      <c r="N852" s="956">
        <f t="shared" si="202"/>
        <v>18336</v>
      </c>
      <c r="O852" s="956">
        <f t="shared" si="203"/>
        <v>2135.03</v>
      </c>
      <c r="P852" s="1019">
        <f t="shared" si="204"/>
        <v>68.871935483871</v>
      </c>
      <c r="Q852" s="675">
        <f t="shared" si="205"/>
        <v>61.0008571428572</v>
      </c>
      <c r="R852">
        <f t="shared" si="206"/>
        <v>35</v>
      </c>
      <c r="S852" s="661">
        <f t="shared" si="207"/>
        <v>0.0641025641025641</v>
      </c>
    </row>
    <row r="853" spans="1:19">
      <c r="A853" s="1010">
        <v>45500</v>
      </c>
      <c r="B853" s="670">
        <v>2115.64</v>
      </c>
      <c r="C853" s="37">
        <v>7878</v>
      </c>
      <c r="D853" s="37">
        <v>533</v>
      </c>
      <c r="E853" s="37">
        <v>0</v>
      </c>
      <c r="F853" s="670">
        <v>0</v>
      </c>
      <c r="G853" s="37">
        <v>20</v>
      </c>
      <c r="H853" s="37">
        <v>10</v>
      </c>
      <c r="I853" s="37">
        <v>1</v>
      </c>
      <c r="J853" s="1018">
        <f t="shared" si="198"/>
        <v>0.0676567656765677</v>
      </c>
      <c r="K853" s="1019">
        <f t="shared" si="199"/>
        <v>3.96930581613508</v>
      </c>
      <c r="L853" s="1020">
        <f t="shared" si="200"/>
        <v>0</v>
      </c>
      <c r="M853" s="1018">
        <f t="shared" si="201"/>
        <v>0</v>
      </c>
      <c r="N853" s="956">
        <f t="shared" si="202"/>
        <v>0</v>
      </c>
      <c r="O853" s="956">
        <f t="shared" si="203"/>
        <v>0</v>
      </c>
      <c r="P853" s="1019">
        <f t="shared" si="204"/>
        <v>105.782</v>
      </c>
      <c r="Q853" s="675">
        <f t="shared" si="205"/>
        <v>70.5213333333333</v>
      </c>
      <c r="R853">
        <f t="shared" si="206"/>
        <v>30</v>
      </c>
      <c r="S853" s="661">
        <f t="shared" si="207"/>
        <v>0.0562851782363977</v>
      </c>
    </row>
    <row r="854" spans="1:19">
      <c r="A854" s="1010">
        <v>45501</v>
      </c>
      <c r="B854" s="670">
        <v>2156.78</v>
      </c>
      <c r="C854" s="37">
        <v>8350</v>
      </c>
      <c r="D854" s="37">
        <v>564</v>
      </c>
      <c r="E854" s="37">
        <v>0</v>
      </c>
      <c r="F854" s="670">
        <v>0</v>
      </c>
      <c r="G854" s="37">
        <v>27</v>
      </c>
      <c r="H854" s="37">
        <v>4</v>
      </c>
      <c r="I854" s="37">
        <v>7</v>
      </c>
      <c r="J854" s="1018">
        <f t="shared" si="198"/>
        <v>0.0675449101796407</v>
      </c>
      <c r="K854" s="1019">
        <f t="shared" si="199"/>
        <v>3.8240780141844</v>
      </c>
      <c r="L854" s="1020">
        <f t="shared" si="200"/>
        <v>0</v>
      </c>
      <c r="M854" s="1018">
        <f t="shared" si="201"/>
        <v>0</v>
      </c>
      <c r="N854" s="956">
        <f t="shared" si="202"/>
        <v>0</v>
      </c>
      <c r="O854" s="956">
        <f t="shared" si="203"/>
        <v>0</v>
      </c>
      <c r="P854" s="1019">
        <f t="shared" si="204"/>
        <v>79.8807407407407</v>
      </c>
      <c r="Q854" s="675">
        <f t="shared" si="205"/>
        <v>69.5735483870968</v>
      </c>
      <c r="R854">
        <f t="shared" si="206"/>
        <v>31</v>
      </c>
      <c r="S854" s="661">
        <f t="shared" si="207"/>
        <v>0.0549645390070922</v>
      </c>
    </row>
    <row r="855" spans="1:19">
      <c r="A855" s="1010">
        <v>45502</v>
      </c>
      <c r="B855" s="670">
        <v>2144.85</v>
      </c>
      <c r="C855" s="37">
        <v>8979</v>
      </c>
      <c r="D855" s="37">
        <v>563</v>
      </c>
      <c r="E855" s="37">
        <v>0</v>
      </c>
      <c r="F855" s="670">
        <v>0</v>
      </c>
      <c r="G855" s="37">
        <v>24</v>
      </c>
      <c r="H855" s="37">
        <v>2</v>
      </c>
      <c r="I855" s="37">
        <v>1</v>
      </c>
      <c r="J855" s="1018">
        <f t="shared" si="198"/>
        <v>0.0627018598953113</v>
      </c>
      <c r="K855" s="1019">
        <f t="shared" si="199"/>
        <v>3.80968028419183</v>
      </c>
      <c r="L855" s="1020">
        <f t="shared" si="200"/>
        <v>0</v>
      </c>
      <c r="M855" s="1018">
        <f t="shared" si="201"/>
        <v>0</v>
      </c>
      <c r="N855" s="956">
        <f t="shared" si="202"/>
        <v>0</v>
      </c>
      <c r="O855" s="956">
        <f t="shared" si="203"/>
        <v>0</v>
      </c>
      <c r="P855" s="1019">
        <f t="shared" si="204"/>
        <v>89.36875</v>
      </c>
      <c r="Q855" s="675">
        <f t="shared" si="205"/>
        <v>82.4942307692308</v>
      </c>
      <c r="R855">
        <f t="shared" si="206"/>
        <v>26</v>
      </c>
      <c r="S855" s="661">
        <f t="shared" si="207"/>
        <v>0.0461811722912966</v>
      </c>
    </row>
    <row r="856" spans="1:19">
      <c r="A856" s="1010">
        <v>45503</v>
      </c>
      <c r="B856" s="670">
        <v>1290.14</v>
      </c>
      <c r="C856" s="37">
        <v>5536</v>
      </c>
      <c r="D856" s="37">
        <v>359</v>
      </c>
      <c r="E856" s="37">
        <v>3</v>
      </c>
      <c r="F856" s="670">
        <v>93134</v>
      </c>
      <c r="G856" s="37">
        <v>16</v>
      </c>
      <c r="H856" s="37">
        <v>0</v>
      </c>
      <c r="I856" s="37">
        <v>1</v>
      </c>
      <c r="J856" s="1018">
        <f t="shared" si="198"/>
        <v>0.0648482658959538</v>
      </c>
      <c r="K856" s="1019">
        <f t="shared" si="199"/>
        <v>3.59370473537604</v>
      </c>
      <c r="L856" s="1020">
        <f t="shared" si="200"/>
        <v>72.1890647526625</v>
      </c>
      <c r="M856" s="1018">
        <f t="shared" si="201"/>
        <v>0.00835654596100279</v>
      </c>
      <c r="N856" s="956">
        <f t="shared" si="202"/>
        <v>31044.6666666667</v>
      </c>
      <c r="O856" s="956">
        <f t="shared" si="203"/>
        <v>430.046666666667</v>
      </c>
      <c r="P856" s="1019">
        <f t="shared" si="204"/>
        <v>80.63375</v>
      </c>
      <c r="Q856" s="675">
        <f t="shared" si="205"/>
        <v>80.63375</v>
      </c>
      <c r="R856">
        <f t="shared" si="206"/>
        <v>16</v>
      </c>
      <c r="S856" s="661">
        <f t="shared" si="207"/>
        <v>0.0445682451253482</v>
      </c>
    </row>
    <row r="857" spans="1:19">
      <c r="A857" s="1010">
        <v>45504</v>
      </c>
      <c r="B857" s="670">
        <v>1294.58</v>
      </c>
      <c r="C857" s="37">
        <v>5326</v>
      </c>
      <c r="D857" s="37">
        <v>372</v>
      </c>
      <c r="E857" s="37">
        <v>3</v>
      </c>
      <c r="F857" s="670">
        <v>34599</v>
      </c>
      <c r="G857" s="37">
        <v>13</v>
      </c>
      <c r="H857" s="37">
        <v>3</v>
      </c>
      <c r="I857" s="37">
        <v>3</v>
      </c>
      <c r="J857" s="1018">
        <f t="shared" si="198"/>
        <v>0.0698460383026662</v>
      </c>
      <c r="K857" s="1019">
        <f t="shared" si="199"/>
        <v>3.48005376344086</v>
      </c>
      <c r="L857" s="1020">
        <f t="shared" si="200"/>
        <v>26.7260424230252</v>
      </c>
      <c r="M857" s="1018">
        <f t="shared" si="201"/>
        <v>0.00806451612903226</v>
      </c>
      <c r="N857" s="956">
        <f t="shared" si="202"/>
        <v>11533</v>
      </c>
      <c r="O857" s="956">
        <f t="shared" si="203"/>
        <v>431.526666666667</v>
      </c>
      <c r="P857" s="1019">
        <f t="shared" si="204"/>
        <v>99.5830769230769</v>
      </c>
      <c r="Q857" s="675">
        <f t="shared" si="205"/>
        <v>80.91125</v>
      </c>
      <c r="R857">
        <f t="shared" si="206"/>
        <v>16</v>
      </c>
      <c r="S857" s="661">
        <f t="shared" si="207"/>
        <v>0.043010752688172</v>
      </c>
    </row>
    <row r="858" spans="1:19">
      <c r="A858" s="1010">
        <v>45505</v>
      </c>
      <c r="B858" s="670">
        <v>1766.87</v>
      </c>
      <c r="C858" s="37">
        <v>7579</v>
      </c>
      <c r="D858" s="37">
        <v>511</v>
      </c>
      <c r="E858" s="37">
        <v>0</v>
      </c>
      <c r="F858" s="670">
        <v>0</v>
      </c>
      <c r="G858" s="37">
        <v>41</v>
      </c>
      <c r="H858" s="37">
        <v>8</v>
      </c>
      <c r="I858" s="37">
        <v>1</v>
      </c>
      <c r="J858" s="1018">
        <f t="shared" si="198"/>
        <v>0.067423142894841</v>
      </c>
      <c r="K858" s="1019">
        <f t="shared" si="199"/>
        <v>3.45767123287671</v>
      </c>
      <c r="L858" s="1020">
        <f t="shared" si="200"/>
        <v>0</v>
      </c>
      <c r="M858" s="1018">
        <f t="shared" si="201"/>
        <v>0</v>
      </c>
      <c r="N858" s="956">
        <f t="shared" si="202"/>
        <v>0</v>
      </c>
      <c r="O858" s="956">
        <f t="shared" si="203"/>
        <v>0</v>
      </c>
      <c r="P858" s="1019">
        <f t="shared" si="204"/>
        <v>43.0943902439024</v>
      </c>
      <c r="Q858" s="675">
        <f t="shared" si="205"/>
        <v>36.0585714285714</v>
      </c>
      <c r="R858">
        <f t="shared" si="206"/>
        <v>49</v>
      </c>
      <c r="S858" s="661">
        <f t="shared" si="207"/>
        <v>0.0958904109589041</v>
      </c>
    </row>
    <row r="859" spans="1:19">
      <c r="A859" s="1010">
        <v>45506</v>
      </c>
      <c r="B859" s="670">
        <v>1721.39</v>
      </c>
      <c r="C859" s="37">
        <v>7454</v>
      </c>
      <c r="D859" s="37">
        <v>502</v>
      </c>
      <c r="E859" s="37">
        <v>0</v>
      </c>
      <c r="F859" s="670">
        <v>0</v>
      </c>
      <c r="G859" s="37">
        <v>29</v>
      </c>
      <c r="H859" s="37">
        <v>5</v>
      </c>
      <c r="I859" s="37">
        <v>2</v>
      </c>
      <c r="J859" s="1018">
        <f t="shared" si="198"/>
        <v>0.0673463911993561</v>
      </c>
      <c r="K859" s="1019">
        <f t="shared" si="199"/>
        <v>3.42906374501992</v>
      </c>
      <c r="L859" s="1020">
        <f t="shared" si="200"/>
        <v>0</v>
      </c>
      <c r="M859" s="1018">
        <f t="shared" si="201"/>
        <v>0</v>
      </c>
      <c r="N859" s="956">
        <f t="shared" si="202"/>
        <v>0</v>
      </c>
      <c r="O859" s="956">
        <f t="shared" si="203"/>
        <v>0</v>
      </c>
      <c r="P859" s="1019">
        <f t="shared" si="204"/>
        <v>59.358275862069</v>
      </c>
      <c r="Q859" s="675">
        <f t="shared" si="205"/>
        <v>50.6291176470588</v>
      </c>
      <c r="R859">
        <f t="shared" si="206"/>
        <v>34</v>
      </c>
      <c r="S859" s="661">
        <f t="shared" si="207"/>
        <v>0.0677290836653386</v>
      </c>
    </row>
    <row r="860" spans="1:19">
      <c r="A860" s="1010">
        <v>45507</v>
      </c>
      <c r="B860" s="670">
        <v>1839.91</v>
      </c>
      <c r="C860" s="37">
        <v>6492</v>
      </c>
      <c r="D860" s="37">
        <v>512</v>
      </c>
      <c r="E860" s="37">
        <v>1</v>
      </c>
      <c r="F860" s="670">
        <v>12534</v>
      </c>
      <c r="G860" s="37">
        <v>23</v>
      </c>
      <c r="H860" s="37">
        <v>3</v>
      </c>
      <c r="I860" s="37">
        <v>4</v>
      </c>
      <c r="J860" s="1018">
        <f t="shared" si="198"/>
        <v>0.0788662969808996</v>
      </c>
      <c r="K860" s="1019">
        <f t="shared" si="199"/>
        <v>3.59357421875</v>
      </c>
      <c r="L860" s="1020">
        <f t="shared" si="200"/>
        <v>6.81228973156296</v>
      </c>
      <c r="M860" s="1018">
        <f t="shared" si="201"/>
        <v>0.001953125</v>
      </c>
      <c r="N860" s="956">
        <f t="shared" si="202"/>
        <v>12534</v>
      </c>
      <c r="O860" s="956">
        <f t="shared" si="203"/>
        <v>1839.91</v>
      </c>
      <c r="P860" s="1019">
        <f t="shared" si="204"/>
        <v>79.9960869565217</v>
      </c>
      <c r="Q860" s="675">
        <f t="shared" si="205"/>
        <v>70.7657692307692</v>
      </c>
      <c r="R860">
        <f t="shared" si="206"/>
        <v>26</v>
      </c>
      <c r="S860" s="661">
        <f t="shared" si="207"/>
        <v>0.05078125</v>
      </c>
    </row>
    <row r="861" spans="1:19">
      <c r="A861" s="1010">
        <v>45508</v>
      </c>
      <c r="B861" s="670">
        <v>1793.43</v>
      </c>
      <c r="C861" s="37">
        <v>7027</v>
      </c>
      <c r="D861" s="37">
        <v>522</v>
      </c>
      <c r="E861" s="37">
        <v>0</v>
      </c>
      <c r="F861" s="670">
        <v>0</v>
      </c>
      <c r="G861" s="37">
        <v>15</v>
      </c>
      <c r="H861" s="37">
        <v>4</v>
      </c>
      <c r="I861" s="37">
        <v>4</v>
      </c>
      <c r="J861" s="1018">
        <f t="shared" ref="J861:J901" si="208">D861/C861</f>
        <v>0.0742849010957734</v>
      </c>
      <c r="K861" s="1019">
        <f t="shared" ref="K861:K901" si="209">B861/D861</f>
        <v>3.43568965517241</v>
      </c>
      <c r="L861" s="1020">
        <f t="shared" ref="L861:L901" si="210">F861/B861</f>
        <v>0</v>
      </c>
      <c r="M861" s="1018">
        <f t="shared" ref="M861:M901" si="211">E861/D861</f>
        <v>0</v>
      </c>
      <c r="N861" s="956">
        <f t="shared" ref="N861:N901" si="212">IF(E861=0,0,F861/E861)</f>
        <v>0</v>
      </c>
      <c r="O861" s="956">
        <f t="shared" ref="O861:O901" si="213">IF(E861=0,0,B861/E861)</f>
        <v>0</v>
      </c>
      <c r="P861" s="1019">
        <f t="shared" ref="P861:P901" si="214">B861/G861</f>
        <v>119.562</v>
      </c>
      <c r="Q861" s="675">
        <f t="shared" ref="Q861:Q901" si="215">B861/(G861+H861)</f>
        <v>94.3910526315789</v>
      </c>
      <c r="R861">
        <f t="shared" ref="R861:R901" si="216">G861+H861</f>
        <v>19</v>
      </c>
      <c r="S861" s="661">
        <f t="shared" ref="S861:S901" si="217">R861/D861</f>
        <v>0.0363984674329502</v>
      </c>
    </row>
    <row r="862" spans="1:19">
      <c r="A862" s="1010">
        <v>45509</v>
      </c>
      <c r="B862" s="670">
        <v>1857.46</v>
      </c>
      <c r="C862" s="37">
        <v>5926</v>
      </c>
      <c r="D862" s="37">
        <v>554</v>
      </c>
      <c r="E862" s="37">
        <v>0</v>
      </c>
      <c r="F862" s="670">
        <v>0</v>
      </c>
      <c r="G862" s="37">
        <v>34</v>
      </c>
      <c r="H862" s="37">
        <v>5</v>
      </c>
      <c r="I862" s="37">
        <v>3</v>
      </c>
      <c r="J862" s="1018">
        <f t="shared" si="208"/>
        <v>0.0934863314208572</v>
      </c>
      <c r="K862" s="1019">
        <f t="shared" si="209"/>
        <v>3.35281588447653</v>
      </c>
      <c r="L862" s="1020">
        <f t="shared" si="210"/>
        <v>0</v>
      </c>
      <c r="M862" s="1018">
        <f t="shared" si="211"/>
        <v>0</v>
      </c>
      <c r="N862" s="956">
        <f t="shared" si="212"/>
        <v>0</v>
      </c>
      <c r="O862" s="956">
        <f t="shared" si="213"/>
        <v>0</v>
      </c>
      <c r="P862" s="1019">
        <f t="shared" si="214"/>
        <v>54.6311764705882</v>
      </c>
      <c r="Q862" s="675">
        <f t="shared" si="215"/>
        <v>47.6271794871795</v>
      </c>
      <c r="R862">
        <f t="shared" si="216"/>
        <v>39</v>
      </c>
      <c r="S862" s="661">
        <f t="shared" si="217"/>
        <v>0.0703971119133574</v>
      </c>
    </row>
    <row r="863" spans="1:19">
      <c r="A863" s="1010">
        <v>45510</v>
      </c>
      <c r="B863" s="670">
        <v>1817.85</v>
      </c>
      <c r="C863" s="37">
        <v>6565</v>
      </c>
      <c r="D863" s="37">
        <v>523</v>
      </c>
      <c r="E863" s="37">
        <v>1</v>
      </c>
      <c r="F863" s="670">
        <v>13154</v>
      </c>
      <c r="G863" s="37">
        <v>33</v>
      </c>
      <c r="H863" s="37">
        <v>3</v>
      </c>
      <c r="I863" s="37">
        <v>4</v>
      </c>
      <c r="J863" s="1018">
        <f t="shared" si="208"/>
        <v>0.0796648895658797</v>
      </c>
      <c r="K863" s="1019">
        <f t="shared" si="209"/>
        <v>3.47581261950287</v>
      </c>
      <c r="L863" s="1020">
        <f t="shared" si="210"/>
        <v>7.23602057375471</v>
      </c>
      <c r="M863" s="1018">
        <f t="shared" si="211"/>
        <v>0.00191204588910134</v>
      </c>
      <c r="N863" s="956">
        <f t="shared" si="212"/>
        <v>13154</v>
      </c>
      <c r="O863" s="956">
        <f t="shared" si="213"/>
        <v>1817.85</v>
      </c>
      <c r="P863" s="1019">
        <f t="shared" si="214"/>
        <v>55.0863636363636</v>
      </c>
      <c r="Q863" s="675">
        <f t="shared" si="215"/>
        <v>50.4958333333333</v>
      </c>
      <c r="R863">
        <f t="shared" si="216"/>
        <v>36</v>
      </c>
      <c r="S863" s="661">
        <f t="shared" si="217"/>
        <v>0.0688336520076482</v>
      </c>
    </row>
    <row r="864" spans="1:19">
      <c r="A864" s="1010">
        <v>45511</v>
      </c>
      <c r="B864" s="670">
        <v>1863.49</v>
      </c>
      <c r="C864" s="37">
        <v>5880</v>
      </c>
      <c r="D864" s="37">
        <v>518</v>
      </c>
      <c r="E864" s="37">
        <v>0</v>
      </c>
      <c r="F864" s="670">
        <v>0</v>
      </c>
      <c r="G864" s="37">
        <v>25</v>
      </c>
      <c r="H864" s="37">
        <v>7</v>
      </c>
      <c r="I864" s="37">
        <v>3</v>
      </c>
      <c r="J864" s="1018">
        <f t="shared" si="208"/>
        <v>0.0880952380952381</v>
      </c>
      <c r="K864" s="1019">
        <f t="shared" si="209"/>
        <v>3.59747104247104</v>
      </c>
      <c r="L864" s="1020">
        <f t="shared" si="210"/>
        <v>0</v>
      </c>
      <c r="M864" s="1018">
        <f t="shared" si="211"/>
        <v>0</v>
      </c>
      <c r="N864" s="956">
        <f t="shared" si="212"/>
        <v>0</v>
      </c>
      <c r="O864" s="956">
        <f t="shared" si="213"/>
        <v>0</v>
      </c>
      <c r="P864" s="1019">
        <f t="shared" si="214"/>
        <v>74.5396</v>
      </c>
      <c r="Q864" s="675">
        <f t="shared" si="215"/>
        <v>58.2340625</v>
      </c>
      <c r="R864">
        <f t="shared" si="216"/>
        <v>32</v>
      </c>
      <c r="S864" s="661">
        <f t="shared" si="217"/>
        <v>0.0617760617760618</v>
      </c>
    </row>
    <row r="865" spans="1:19">
      <c r="A865" s="1010">
        <v>45512</v>
      </c>
      <c r="B865" s="670">
        <v>1859.04</v>
      </c>
      <c r="C865" s="37">
        <v>4514</v>
      </c>
      <c r="D865" s="37">
        <v>562</v>
      </c>
      <c r="E865" s="37">
        <v>1</v>
      </c>
      <c r="F865" s="670">
        <v>14654</v>
      </c>
      <c r="G865" s="37">
        <v>24</v>
      </c>
      <c r="H865" s="37">
        <v>4</v>
      </c>
      <c r="I865" s="37">
        <v>9</v>
      </c>
      <c r="J865" s="1018">
        <f t="shared" si="208"/>
        <v>0.124501550731059</v>
      </c>
      <c r="K865" s="1019">
        <f t="shared" si="209"/>
        <v>3.30790035587189</v>
      </c>
      <c r="L865" s="1020">
        <f t="shared" si="210"/>
        <v>7.88256304329116</v>
      </c>
      <c r="M865" s="1018">
        <f t="shared" si="211"/>
        <v>0.00177935943060498</v>
      </c>
      <c r="N865" s="956">
        <f t="shared" si="212"/>
        <v>14654</v>
      </c>
      <c r="O865" s="956">
        <f t="shared" si="213"/>
        <v>1859.04</v>
      </c>
      <c r="P865" s="1019">
        <f t="shared" si="214"/>
        <v>77.46</v>
      </c>
      <c r="Q865" s="675">
        <f t="shared" si="215"/>
        <v>66.3942857142857</v>
      </c>
      <c r="R865">
        <f t="shared" si="216"/>
        <v>28</v>
      </c>
      <c r="S865" s="661">
        <f t="shared" si="217"/>
        <v>0.0498220640569395</v>
      </c>
    </row>
    <row r="866" spans="1:19">
      <c r="A866" s="1010">
        <v>45513</v>
      </c>
      <c r="B866" s="670">
        <v>1657.76</v>
      </c>
      <c r="C866" s="37">
        <v>4730</v>
      </c>
      <c r="D866" s="37">
        <v>506</v>
      </c>
      <c r="E866" s="37">
        <v>2</v>
      </c>
      <c r="F866" s="670">
        <v>68341.96</v>
      </c>
      <c r="G866" s="37">
        <v>22</v>
      </c>
      <c r="H866" s="37">
        <v>6</v>
      </c>
      <c r="I866" s="37">
        <v>4</v>
      </c>
      <c r="J866" s="1018">
        <f t="shared" si="208"/>
        <v>0.106976744186047</v>
      </c>
      <c r="K866" s="1019">
        <f t="shared" si="209"/>
        <v>3.27620553359684</v>
      </c>
      <c r="L866" s="1020">
        <f t="shared" si="210"/>
        <v>41.2254849917962</v>
      </c>
      <c r="M866" s="1018">
        <f t="shared" si="211"/>
        <v>0.00395256916996047</v>
      </c>
      <c r="N866" s="956">
        <f t="shared" si="212"/>
        <v>34170.98</v>
      </c>
      <c r="O866" s="956">
        <f t="shared" si="213"/>
        <v>828.88</v>
      </c>
      <c r="P866" s="1019">
        <f t="shared" si="214"/>
        <v>75.3527272727273</v>
      </c>
      <c r="Q866" s="675">
        <f t="shared" si="215"/>
        <v>59.2057142857143</v>
      </c>
      <c r="R866">
        <f t="shared" si="216"/>
        <v>28</v>
      </c>
      <c r="S866" s="661">
        <f t="shared" si="217"/>
        <v>0.0553359683794466</v>
      </c>
    </row>
    <row r="867" spans="1:19">
      <c r="A867" s="1010">
        <v>45514</v>
      </c>
      <c r="B867" s="670">
        <v>1627.91</v>
      </c>
      <c r="C867" s="37">
        <v>5326</v>
      </c>
      <c r="D867" s="37">
        <v>493</v>
      </c>
      <c r="E867" s="37">
        <v>6</v>
      </c>
      <c r="F867" s="670">
        <v>62111</v>
      </c>
      <c r="G867" s="37">
        <v>30</v>
      </c>
      <c r="H867" s="37">
        <v>3</v>
      </c>
      <c r="I867" s="37">
        <v>3</v>
      </c>
      <c r="J867" s="1018">
        <f t="shared" si="208"/>
        <v>0.0925647765677807</v>
      </c>
      <c r="K867" s="1019">
        <f t="shared" si="209"/>
        <v>3.30204868154158</v>
      </c>
      <c r="L867" s="1020">
        <f t="shared" si="210"/>
        <v>38.1538291428887</v>
      </c>
      <c r="M867" s="1018">
        <f t="shared" si="211"/>
        <v>0.0121703853955375</v>
      </c>
      <c r="N867" s="956">
        <f t="shared" si="212"/>
        <v>10351.8333333333</v>
      </c>
      <c r="O867" s="956">
        <f t="shared" si="213"/>
        <v>271.318333333333</v>
      </c>
      <c r="P867" s="1019">
        <f t="shared" si="214"/>
        <v>54.2636666666667</v>
      </c>
      <c r="Q867" s="675">
        <f t="shared" si="215"/>
        <v>49.3306060606061</v>
      </c>
      <c r="R867">
        <f t="shared" si="216"/>
        <v>33</v>
      </c>
      <c r="S867" s="661">
        <f t="shared" si="217"/>
        <v>0.0669371196754564</v>
      </c>
    </row>
    <row r="868" spans="1:19">
      <c r="A868" s="1010">
        <v>45515</v>
      </c>
      <c r="B868" s="670">
        <v>1652.62</v>
      </c>
      <c r="C868" s="37">
        <v>4541</v>
      </c>
      <c r="D868" s="37">
        <v>503</v>
      </c>
      <c r="E868" s="37">
        <v>0</v>
      </c>
      <c r="F868" s="670">
        <v>0</v>
      </c>
      <c r="G868" s="37">
        <v>30</v>
      </c>
      <c r="H868" s="37">
        <v>1</v>
      </c>
      <c r="I868" s="37">
        <v>3</v>
      </c>
      <c r="J868" s="1018">
        <f t="shared" si="208"/>
        <v>0.110768553182118</v>
      </c>
      <c r="K868" s="1019">
        <f t="shared" si="209"/>
        <v>3.2855268389662</v>
      </c>
      <c r="L868" s="1020">
        <f t="shared" si="210"/>
        <v>0</v>
      </c>
      <c r="M868" s="1018">
        <f t="shared" si="211"/>
        <v>0</v>
      </c>
      <c r="N868" s="956">
        <f t="shared" si="212"/>
        <v>0</v>
      </c>
      <c r="O868" s="956">
        <f t="shared" si="213"/>
        <v>0</v>
      </c>
      <c r="P868" s="1019">
        <f t="shared" si="214"/>
        <v>55.0873333333333</v>
      </c>
      <c r="Q868" s="675">
        <f t="shared" si="215"/>
        <v>53.3103225806452</v>
      </c>
      <c r="R868">
        <f t="shared" si="216"/>
        <v>31</v>
      </c>
      <c r="S868" s="661">
        <f t="shared" si="217"/>
        <v>0.0616302186878728</v>
      </c>
    </row>
    <row r="869" spans="1:19">
      <c r="A869" s="1010">
        <v>45516</v>
      </c>
      <c r="B869" s="670">
        <v>1669.17</v>
      </c>
      <c r="C869" s="37">
        <v>5238</v>
      </c>
      <c r="D869" s="37">
        <v>540</v>
      </c>
      <c r="E869" s="37">
        <v>3</v>
      </c>
      <c r="F869" s="670">
        <v>19494</v>
      </c>
      <c r="G869" s="37">
        <v>38</v>
      </c>
      <c r="H869" s="37">
        <v>5</v>
      </c>
      <c r="I869" s="37">
        <v>7</v>
      </c>
      <c r="J869" s="1018">
        <f t="shared" si="208"/>
        <v>0.103092783505155</v>
      </c>
      <c r="K869" s="1019">
        <f t="shared" si="209"/>
        <v>3.09105555555556</v>
      </c>
      <c r="L869" s="1020">
        <f t="shared" si="210"/>
        <v>11.6788583547512</v>
      </c>
      <c r="M869" s="1018">
        <f t="shared" si="211"/>
        <v>0.00555555555555556</v>
      </c>
      <c r="N869" s="956">
        <f t="shared" si="212"/>
        <v>6498</v>
      </c>
      <c r="O869" s="956">
        <f t="shared" si="213"/>
        <v>556.39</v>
      </c>
      <c r="P869" s="1019">
        <f t="shared" si="214"/>
        <v>43.9255263157895</v>
      </c>
      <c r="Q869" s="675">
        <f t="shared" si="215"/>
        <v>38.8179069767442</v>
      </c>
      <c r="R869">
        <f t="shared" si="216"/>
        <v>43</v>
      </c>
      <c r="S869" s="661">
        <f t="shared" si="217"/>
        <v>0.0796296296296296</v>
      </c>
    </row>
    <row r="870" spans="1:19">
      <c r="A870" s="1010">
        <v>45517</v>
      </c>
      <c r="B870" s="670">
        <v>1674.11</v>
      </c>
      <c r="C870" s="37">
        <v>4578</v>
      </c>
      <c r="D870" s="37">
        <v>530</v>
      </c>
      <c r="E870" s="37">
        <v>0</v>
      </c>
      <c r="F870" s="670">
        <v>0</v>
      </c>
      <c r="G870" s="37">
        <v>45</v>
      </c>
      <c r="H870" s="37">
        <v>1</v>
      </c>
      <c r="I870" s="37">
        <v>5</v>
      </c>
      <c r="J870" s="1018">
        <f t="shared" si="208"/>
        <v>0.115771079073831</v>
      </c>
      <c r="K870" s="1019">
        <f t="shared" si="209"/>
        <v>3.15869811320755</v>
      </c>
      <c r="L870" s="1020">
        <f t="shared" si="210"/>
        <v>0</v>
      </c>
      <c r="M870" s="1018">
        <f t="shared" si="211"/>
        <v>0</v>
      </c>
      <c r="N870" s="956">
        <f t="shared" si="212"/>
        <v>0</v>
      </c>
      <c r="O870" s="956">
        <f t="shared" si="213"/>
        <v>0</v>
      </c>
      <c r="P870" s="1019">
        <f t="shared" si="214"/>
        <v>37.2024444444444</v>
      </c>
      <c r="Q870" s="675">
        <f t="shared" si="215"/>
        <v>36.3936956521739</v>
      </c>
      <c r="R870">
        <f t="shared" si="216"/>
        <v>46</v>
      </c>
      <c r="S870" s="661">
        <f t="shared" si="217"/>
        <v>0.0867924528301887</v>
      </c>
    </row>
    <row r="871" spans="1:19">
      <c r="A871" s="1010">
        <v>45518</v>
      </c>
      <c r="B871" s="670">
        <v>1811.05</v>
      </c>
      <c r="C871" s="37">
        <v>6140</v>
      </c>
      <c r="D871" s="37">
        <v>603</v>
      </c>
      <c r="E871" s="37">
        <v>0</v>
      </c>
      <c r="F871" s="670">
        <v>0</v>
      </c>
      <c r="G871" s="37">
        <v>31</v>
      </c>
      <c r="H871" s="37">
        <v>4</v>
      </c>
      <c r="I871" s="37">
        <v>3</v>
      </c>
      <c r="J871" s="1018">
        <f t="shared" si="208"/>
        <v>0.0982084690553746</v>
      </c>
      <c r="K871" s="1019">
        <f t="shared" si="209"/>
        <v>3.00339966832504</v>
      </c>
      <c r="L871" s="1020">
        <f t="shared" si="210"/>
        <v>0</v>
      </c>
      <c r="M871" s="1018">
        <f t="shared" si="211"/>
        <v>0</v>
      </c>
      <c r="N871" s="956">
        <f t="shared" si="212"/>
        <v>0</v>
      </c>
      <c r="O871" s="956">
        <f t="shared" si="213"/>
        <v>0</v>
      </c>
      <c r="P871" s="1019">
        <f t="shared" si="214"/>
        <v>58.4209677419355</v>
      </c>
      <c r="Q871" s="675">
        <f t="shared" si="215"/>
        <v>51.7442857142857</v>
      </c>
      <c r="R871">
        <f t="shared" si="216"/>
        <v>35</v>
      </c>
      <c r="S871" s="661">
        <f t="shared" si="217"/>
        <v>0.0580431177446103</v>
      </c>
    </row>
    <row r="872" spans="1:19">
      <c r="A872" s="1010">
        <v>45519</v>
      </c>
      <c r="B872" s="670">
        <v>1861.4</v>
      </c>
      <c r="C872" s="37">
        <v>6245</v>
      </c>
      <c r="D872" s="37">
        <v>579</v>
      </c>
      <c r="E872" s="37">
        <v>0</v>
      </c>
      <c r="F872" s="670">
        <v>0</v>
      </c>
      <c r="G872" s="37">
        <v>54</v>
      </c>
      <c r="H872" s="37">
        <v>6</v>
      </c>
      <c r="I872" s="37">
        <v>2</v>
      </c>
      <c r="J872" s="1018">
        <f t="shared" si="208"/>
        <v>0.0927141713370697</v>
      </c>
      <c r="K872" s="1019">
        <f t="shared" si="209"/>
        <v>3.21485319516408</v>
      </c>
      <c r="L872" s="1020">
        <f t="shared" si="210"/>
        <v>0</v>
      </c>
      <c r="M872" s="1018">
        <f t="shared" si="211"/>
        <v>0</v>
      </c>
      <c r="N872" s="956">
        <f t="shared" si="212"/>
        <v>0</v>
      </c>
      <c r="O872" s="956">
        <f t="shared" si="213"/>
        <v>0</v>
      </c>
      <c r="P872" s="1019">
        <f t="shared" si="214"/>
        <v>34.4703703703704</v>
      </c>
      <c r="Q872" s="675">
        <f t="shared" si="215"/>
        <v>31.0233333333333</v>
      </c>
      <c r="R872">
        <f t="shared" si="216"/>
        <v>60</v>
      </c>
      <c r="S872" s="661">
        <f t="shared" si="217"/>
        <v>0.103626943005181</v>
      </c>
    </row>
    <row r="873" spans="1:19">
      <c r="A873" s="1010">
        <v>45520</v>
      </c>
      <c r="B873" s="670">
        <v>1777.55</v>
      </c>
      <c r="C873" s="37">
        <v>6456</v>
      </c>
      <c r="D873" s="37">
        <v>576</v>
      </c>
      <c r="E873" s="37">
        <v>0</v>
      </c>
      <c r="F873" s="670">
        <v>0</v>
      </c>
      <c r="G873" s="37">
        <v>36</v>
      </c>
      <c r="H873" s="37">
        <v>4</v>
      </c>
      <c r="I873" s="37">
        <v>3</v>
      </c>
      <c r="J873" s="1018">
        <f t="shared" si="208"/>
        <v>0.0892193308550186</v>
      </c>
      <c r="K873" s="1019">
        <f t="shared" si="209"/>
        <v>3.08602430555556</v>
      </c>
      <c r="L873" s="1020">
        <f t="shared" si="210"/>
        <v>0</v>
      </c>
      <c r="M873" s="1018">
        <f t="shared" si="211"/>
        <v>0</v>
      </c>
      <c r="N873" s="956">
        <f t="shared" si="212"/>
        <v>0</v>
      </c>
      <c r="O873" s="956">
        <f t="shared" si="213"/>
        <v>0</v>
      </c>
      <c r="P873" s="1019">
        <f t="shared" si="214"/>
        <v>49.3763888888889</v>
      </c>
      <c r="Q873" s="675">
        <f t="shared" si="215"/>
        <v>44.43875</v>
      </c>
      <c r="R873">
        <f t="shared" si="216"/>
        <v>40</v>
      </c>
      <c r="S873" s="661">
        <f t="shared" si="217"/>
        <v>0.0694444444444444</v>
      </c>
    </row>
    <row r="874" spans="1:19">
      <c r="A874" s="1010">
        <v>45521</v>
      </c>
      <c r="B874" s="670">
        <v>1726.77</v>
      </c>
      <c r="C874" s="37">
        <v>6854</v>
      </c>
      <c r="D874" s="37">
        <v>566</v>
      </c>
      <c r="E874" s="37">
        <v>1</v>
      </c>
      <c r="F874" s="670">
        <v>9798</v>
      </c>
      <c r="G874" s="37">
        <v>44</v>
      </c>
      <c r="H874" s="37">
        <v>5</v>
      </c>
      <c r="I874" s="37">
        <v>1</v>
      </c>
      <c r="J874" s="1018">
        <f t="shared" si="208"/>
        <v>0.0825795156113219</v>
      </c>
      <c r="K874" s="1019">
        <f t="shared" si="209"/>
        <v>3.05083038869258</v>
      </c>
      <c r="L874" s="1020">
        <f t="shared" si="210"/>
        <v>5.67417780017026</v>
      </c>
      <c r="M874" s="1018">
        <f t="shared" si="211"/>
        <v>0.00176678445229682</v>
      </c>
      <c r="N874" s="956">
        <f t="shared" si="212"/>
        <v>9798</v>
      </c>
      <c r="O874" s="956">
        <f t="shared" si="213"/>
        <v>1726.77</v>
      </c>
      <c r="P874" s="1019">
        <f t="shared" si="214"/>
        <v>39.2447727272727</v>
      </c>
      <c r="Q874" s="675">
        <f t="shared" si="215"/>
        <v>35.2402040816327</v>
      </c>
      <c r="R874">
        <f t="shared" si="216"/>
        <v>49</v>
      </c>
      <c r="S874" s="661">
        <f t="shared" si="217"/>
        <v>0.0865724381625442</v>
      </c>
    </row>
    <row r="875" spans="1:19">
      <c r="A875" s="1010">
        <v>45522</v>
      </c>
      <c r="B875" s="670">
        <v>1835.93</v>
      </c>
      <c r="C875" s="37">
        <v>7476</v>
      </c>
      <c r="D875" s="37">
        <v>610</v>
      </c>
      <c r="E875" s="37">
        <v>2</v>
      </c>
      <c r="F875" s="670">
        <v>72244</v>
      </c>
      <c r="G875" s="37">
        <v>42</v>
      </c>
      <c r="H875" s="37">
        <v>4</v>
      </c>
      <c r="I875" s="37">
        <v>5</v>
      </c>
      <c r="J875" s="1018">
        <f t="shared" si="208"/>
        <v>0.0815944355270198</v>
      </c>
      <c r="K875" s="1019">
        <f t="shared" si="209"/>
        <v>3.00972131147541</v>
      </c>
      <c r="L875" s="1020">
        <f t="shared" si="210"/>
        <v>39.3500841535353</v>
      </c>
      <c r="M875" s="1018">
        <f t="shared" si="211"/>
        <v>0.00327868852459016</v>
      </c>
      <c r="N875" s="956">
        <f t="shared" si="212"/>
        <v>36122</v>
      </c>
      <c r="O875" s="956">
        <f t="shared" si="213"/>
        <v>917.965</v>
      </c>
      <c r="P875" s="1019">
        <f t="shared" si="214"/>
        <v>43.7126190476191</v>
      </c>
      <c r="Q875" s="675">
        <f t="shared" si="215"/>
        <v>39.9115217391304</v>
      </c>
      <c r="R875">
        <f t="shared" si="216"/>
        <v>46</v>
      </c>
      <c r="S875" s="661">
        <f t="shared" si="217"/>
        <v>0.0754098360655738</v>
      </c>
    </row>
    <row r="876" spans="1:19">
      <c r="A876" s="1010">
        <v>45523</v>
      </c>
      <c r="B876" s="670">
        <v>1825.9</v>
      </c>
      <c r="C876" s="37">
        <v>8269</v>
      </c>
      <c r="D876" s="37">
        <v>599</v>
      </c>
      <c r="E876" s="37">
        <v>1</v>
      </c>
      <c r="F876" s="670">
        <v>11894</v>
      </c>
      <c r="G876" s="37">
        <v>41</v>
      </c>
      <c r="H876" s="37">
        <v>2</v>
      </c>
      <c r="I876" s="37">
        <v>6</v>
      </c>
      <c r="J876" s="1018">
        <f t="shared" si="208"/>
        <v>0.0724392308622566</v>
      </c>
      <c r="K876" s="1019">
        <f t="shared" si="209"/>
        <v>3.04824707846411</v>
      </c>
      <c r="L876" s="1020">
        <f t="shared" si="210"/>
        <v>6.51404786680541</v>
      </c>
      <c r="M876" s="1018">
        <f t="shared" si="211"/>
        <v>0.00166944908180301</v>
      </c>
      <c r="N876" s="956">
        <f t="shared" si="212"/>
        <v>11894</v>
      </c>
      <c r="O876" s="956">
        <f t="shared" si="213"/>
        <v>1825.9</v>
      </c>
      <c r="P876" s="1019">
        <f t="shared" si="214"/>
        <v>44.5341463414634</v>
      </c>
      <c r="Q876" s="675">
        <f t="shared" si="215"/>
        <v>42.4627906976744</v>
      </c>
      <c r="R876">
        <f t="shared" si="216"/>
        <v>43</v>
      </c>
      <c r="S876" s="661">
        <f t="shared" si="217"/>
        <v>0.0717863105175292</v>
      </c>
    </row>
    <row r="877" spans="1:19">
      <c r="A877" s="1010">
        <v>45524</v>
      </c>
      <c r="B877" s="670">
        <v>1798.44</v>
      </c>
      <c r="C877" s="37">
        <v>6182</v>
      </c>
      <c r="D877" s="37">
        <v>549</v>
      </c>
      <c r="E877" s="37">
        <v>4</v>
      </c>
      <c r="F877" s="670">
        <v>35391</v>
      </c>
      <c r="G877" s="37">
        <v>31</v>
      </c>
      <c r="H877" s="37">
        <v>5</v>
      </c>
      <c r="I877" s="37">
        <v>0</v>
      </c>
      <c r="J877" s="1018">
        <f t="shared" si="208"/>
        <v>0.0888062115820123</v>
      </c>
      <c r="K877" s="1019">
        <f t="shared" si="209"/>
        <v>3.27584699453552</v>
      </c>
      <c r="L877" s="1020">
        <f t="shared" si="210"/>
        <v>19.6787215586842</v>
      </c>
      <c r="M877" s="1018">
        <f t="shared" si="211"/>
        <v>0.00728597449908925</v>
      </c>
      <c r="N877" s="956">
        <f t="shared" si="212"/>
        <v>8847.75</v>
      </c>
      <c r="O877" s="956">
        <f t="shared" si="213"/>
        <v>449.61</v>
      </c>
      <c r="P877" s="1019">
        <f t="shared" si="214"/>
        <v>58.0141935483871</v>
      </c>
      <c r="Q877" s="675">
        <f t="shared" si="215"/>
        <v>49.9566666666667</v>
      </c>
      <c r="R877">
        <f t="shared" si="216"/>
        <v>36</v>
      </c>
      <c r="S877" s="661">
        <f t="shared" si="217"/>
        <v>0.0655737704918033</v>
      </c>
    </row>
    <row r="878" spans="1:19">
      <c r="A878" s="1010">
        <v>45525</v>
      </c>
      <c r="B878" s="670">
        <v>1762.39</v>
      </c>
      <c r="C878" s="37">
        <v>6017</v>
      </c>
      <c r="D878" s="37">
        <v>574</v>
      </c>
      <c r="E878" s="37">
        <v>1</v>
      </c>
      <c r="F878" s="670">
        <v>14037</v>
      </c>
      <c r="G878" s="37">
        <v>33</v>
      </c>
      <c r="H878" s="37">
        <v>1</v>
      </c>
      <c r="I878" s="37">
        <v>6</v>
      </c>
      <c r="J878" s="1018">
        <f t="shared" si="208"/>
        <v>0.0953963769320259</v>
      </c>
      <c r="K878" s="1019">
        <f t="shared" si="209"/>
        <v>3.07036585365854</v>
      </c>
      <c r="L878" s="1020">
        <f t="shared" si="210"/>
        <v>7.96475241007949</v>
      </c>
      <c r="M878" s="1018">
        <f t="shared" si="211"/>
        <v>0.00174216027874564</v>
      </c>
      <c r="N878" s="956">
        <f t="shared" si="212"/>
        <v>14037</v>
      </c>
      <c r="O878" s="956">
        <f t="shared" si="213"/>
        <v>1762.39</v>
      </c>
      <c r="P878" s="1019">
        <f t="shared" si="214"/>
        <v>53.4057575757576</v>
      </c>
      <c r="Q878" s="675">
        <f t="shared" si="215"/>
        <v>51.835</v>
      </c>
      <c r="R878">
        <f t="shared" si="216"/>
        <v>34</v>
      </c>
      <c r="S878" s="661">
        <f t="shared" si="217"/>
        <v>0.0592334494773519</v>
      </c>
    </row>
    <row r="879" spans="1:19">
      <c r="A879" s="1010">
        <v>45526</v>
      </c>
      <c r="B879" s="670">
        <v>1595.07</v>
      </c>
      <c r="C879" s="37">
        <v>6519</v>
      </c>
      <c r="D879" s="37">
        <v>523</v>
      </c>
      <c r="E879" s="37">
        <v>0</v>
      </c>
      <c r="F879" s="670">
        <v>0</v>
      </c>
      <c r="G879" s="37">
        <v>34</v>
      </c>
      <c r="H879" s="37">
        <v>5</v>
      </c>
      <c r="I879" s="37">
        <v>2</v>
      </c>
      <c r="J879" s="1018">
        <f t="shared" si="208"/>
        <v>0.0802270286853812</v>
      </c>
      <c r="K879" s="1019">
        <f t="shared" si="209"/>
        <v>3.04984703632887</v>
      </c>
      <c r="L879" s="1020">
        <f t="shared" si="210"/>
        <v>0</v>
      </c>
      <c r="M879" s="1018">
        <f t="shared" si="211"/>
        <v>0</v>
      </c>
      <c r="N879" s="956">
        <f t="shared" si="212"/>
        <v>0</v>
      </c>
      <c r="O879" s="956">
        <f t="shared" si="213"/>
        <v>0</v>
      </c>
      <c r="P879" s="1019">
        <f t="shared" si="214"/>
        <v>46.9138235294118</v>
      </c>
      <c r="Q879" s="675">
        <f t="shared" si="215"/>
        <v>40.8992307692308</v>
      </c>
      <c r="R879">
        <f t="shared" si="216"/>
        <v>39</v>
      </c>
      <c r="S879" s="661">
        <f t="shared" si="217"/>
        <v>0.0745697896749522</v>
      </c>
    </row>
    <row r="880" spans="1:19">
      <c r="A880" s="1010">
        <v>45527</v>
      </c>
      <c r="B880" s="670">
        <v>1539.18</v>
      </c>
      <c r="C880" s="37">
        <v>7168</v>
      </c>
      <c r="D880" s="37">
        <v>484</v>
      </c>
      <c r="E880" s="37">
        <v>2</v>
      </c>
      <c r="F880" s="670">
        <v>29745</v>
      </c>
      <c r="G880" s="37">
        <v>18</v>
      </c>
      <c r="H880" s="37">
        <v>2</v>
      </c>
      <c r="I880" s="37">
        <v>3</v>
      </c>
      <c r="J880" s="1018">
        <f t="shared" si="208"/>
        <v>0.0675223214285714</v>
      </c>
      <c r="K880" s="1019">
        <f t="shared" si="209"/>
        <v>3.18012396694215</v>
      </c>
      <c r="L880" s="1020">
        <f t="shared" si="210"/>
        <v>19.325225119869</v>
      </c>
      <c r="M880" s="1018">
        <f t="shared" si="211"/>
        <v>0.00413223140495868</v>
      </c>
      <c r="N880" s="956">
        <f t="shared" si="212"/>
        <v>14872.5</v>
      </c>
      <c r="O880" s="956">
        <f t="shared" si="213"/>
        <v>769.59</v>
      </c>
      <c r="P880" s="1019">
        <f t="shared" si="214"/>
        <v>85.51</v>
      </c>
      <c r="Q880" s="675">
        <f t="shared" si="215"/>
        <v>76.959</v>
      </c>
      <c r="R880">
        <f t="shared" si="216"/>
        <v>20</v>
      </c>
      <c r="S880" s="661">
        <f t="shared" si="217"/>
        <v>0.0413223140495868</v>
      </c>
    </row>
    <row r="881" spans="1:19">
      <c r="A881" s="1010">
        <v>45528</v>
      </c>
      <c r="B881" s="670">
        <v>1867.57</v>
      </c>
      <c r="C881" s="37">
        <v>6198</v>
      </c>
      <c r="D881" s="37">
        <v>574</v>
      </c>
      <c r="E881" s="37">
        <v>1</v>
      </c>
      <c r="F881" s="670">
        <v>9798</v>
      </c>
      <c r="G881" s="37">
        <v>36</v>
      </c>
      <c r="H881" s="37">
        <v>2</v>
      </c>
      <c r="I881" s="37">
        <v>2</v>
      </c>
      <c r="J881" s="1018">
        <f t="shared" si="208"/>
        <v>0.0926105195224266</v>
      </c>
      <c r="K881" s="1019">
        <f t="shared" si="209"/>
        <v>3.253606271777</v>
      </c>
      <c r="L881" s="1020">
        <f t="shared" si="210"/>
        <v>5.24638969355901</v>
      </c>
      <c r="M881" s="1018">
        <f t="shared" si="211"/>
        <v>0.00174216027874564</v>
      </c>
      <c r="N881" s="956">
        <f t="shared" si="212"/>
        <v>9798</v>
      </c>
      <c r="O881" s="956">
        <f t="shared" si="213"/>
        <v>1867.57</v>
      </c>
      <c r="P881" s="1019">
        <f t="shared" si="214"/>
        <v>51.8769444444444</v>
      </c>
      <c r="Q881" s="675">
        <f t="shared" si="215"/>
        <v>49.1465789473684</v>
      </c>
      <c r="R881">
        <f t="shared" si="216"/>
        <v>38</v>
      </c>
      <c r="S881" s="661">
        <f t="shared" si="217"/>
        <v>0.0662020905923345</v>
      </c>
    </row>
    <row r="882" spans="1:19">
      <c r="A882" s="1010">
        <v>45529</v>
      </c>
      <c r="B882" s="670">
        <v>1768.48</v>
      </c>
      <c r="C882" s="37">
        <v>5968</v>
      </c>
      <c r="D882" s="37">
        <v>558</v>
      </c>
      <c r="E882" s="37">
        <v>0</v>
      </c>
      <c r="F882" s="670">
        <v>0</v>
      </c>
      <c r="G882" s="37">
        <v>41</v>
      </c>
      <c r="H882" s="37">
        <v>5</v>
      </c>
      <c r="I882" s="37">
        <v>6</v>
      </c>
      <c r="J882" s="1018">
        <f t="shared" si="208"/>
        <v>0.0934986595174263</v>
      </c>
      <c r="K882" s="1019">
        <f t="shared" si="209"/>
        <v>3.16931899641577</v>
      </c>
      <c r="L882" s="1020">
        <f t="shared" si="210"/>
        <v>0</v>
      </c>
      <c r="M882" s="1018">
        <f t="shared" si="211"/>
        <v>0</v>
      </c>
      <c r="N882" s="956">
        <f t="shared" si="212"/>
        <v>0</v>
      </c>
      <c r="O882" s="956">
        <f t="shared" si="213"/>
        <v>0</v>
      </c>
      <c r="P882" s="1019">
        <f t="shared" si="214"/>
        <v>43.1336585365854</v>
      </c>
      <c r="Q882" s="675">
        <f t="shared" si="215"/>
        <v>38.4452173913043</v>
      </c>
      <c r="R882">
        <f t="shared" si="216"/>
        <v>46</v>
      </c>
      <c r="S882" s="661">
        <f t="shared" si="217"/>
        <v>0.0824372759856631</v>
      </c>
    </row>
    <row r="883" spans="1:19">
      <c r="A883" s="1010">
        <v>45530</v>
      </c>
      <c r="B883" s="670">
        <v>2219.68</v>
      </c>
      <c r="C883" s="37">
        <v>6487</v>
      </c>
      <c r="D883" s="37">
        <v>684</v>
      </c>
      <c r="E883" s="37">
        <v>2</v>
      </c>
      <c r="F883" s="670">
        <v>8343.9</v>
      </c>
      <c r="G883" s="37">
        <v>51</v>
      </c>
      <c r="H883" s="37">
        <v>3</v>
      </c>
      <c r="I883" s="37">
        <v>5</v>
      </c>
      <c r="J883" s="1018">
        <f t="shared" si="208"/>
        <v>0.105441652535841</v>
      </c>
      <c r="K883" s="1019">
        <f t="shared" si="209"/>
        <v>3.24514619883041</v>
      </c>
      <c r="L883" s="1020">
        <f t="shared" si="210"/>
        <v>3.75905535933107</v>
      </c>
      <c r="M883" s="1018">
        <f t="shared" si="211"/>
        <v>0.00292397660818713</v>
      </c>
      <c r="N883" s="956">
        <f t="shared" si="212"/>
        <v>4171.95</v>
      </c>
      <c r="O883" s="956">
        <f t="shared" si="213"/>
        <v>1109.84</v>
      </c>
      <c r="P883" s="1019">
        <f t="shared" si="214"/>
        <v>43.523137254902</v>
      </c>
      <c r="Q883" s="675">
        <f t="shared" si="215"/>
        <v>41.1051851851852</v>
      </c>
      <c r="R883">
        <f t="shared" si="216"/>
        <v>54</v>
      </c>
      <c r="S883" s="661">
        <f t="shared" si="217"/>
        <v>0.0789473684210526</v>
      </c>
    </row>
    <row r="884" spans="1:19">
      <c r="A884" s="1010">
        <v>45531</v>
      </c>
      <c r="B884" s="670">
        <v>1937.38</v>
      </c>
      <c r="C884" s="37">
        <v>6967</v>
      </c>
      <c r="D884" s="37">
        <v>661</v>
      </c>
      <c r="E884" s="37">
        <v>0</v>
      </c>
      <c r="F884" s="670">
        <v>0</v>
      </c>
      <c r="G884" s="37">
        <v>24</v>
      </c>
      <c r="H884" s="37">
        <v>1</v>
      </c>
      <c r="I884" s="37">
        <v>6</v>
      </c>
      <c r="J884" s="1018">
        <f t="shared" si="208"/>
        <v>0.094875843261088</v>
      </c>
      <c r="K884" s="1019">
        <f t="shared" si="209"/>
        <v>2.93098335854765</v>
      </c>
      <c r="L884" s="1020">
        <f t="shared" si="210"/>
        <v>0</v>
      </c>
      <c r="M884" s="1018">
        <f t="shared" si="211"/>
        <v>0</v>
      </c>
      <c r="N884" s="956">
        <f t="shared" si="212"/>
        <v>0</v>
      </c>
      <c r="O884" s="956">
        <f t="shared" si="213"/>
        <v>0</v>
      </c>
      <c r="P884" s="1019">
        <f t="shared" si="214"/>
        <v>80.7241666666667</v>
      </c>
      <c r="Q884" s="675">
        <f t="shared" si="215"/>
        <v>77.4952</v>
      </c>
      <c r="R884">
        <f t="shared" si="216"/>
        <v>25</v>
      </c>
      <c r="S884" s="661">
        <f t="shared" si="217"/>
        <v>0.037821482602118</v>
      </c>
    </row>
    <row r="885" spans="1:19">
      <c r="A885" s="1010">
        <v>45532</v>
      </c>
      <c r="B885" s="670">
        <v>1940.03</v>
      </c>
      <c r="C885" s="37">
        <v>7070</v>
      </c>
      <c r="D885" s="37">
        <v>663</v>
      </c>
      <c r="E885" s="37">
        <v>1</v>
      </c>
      <c r="F885" s="670">
        <v>12898</v>
      </c>
      <c r="G885" s="37">
        <v>26</v>
      </c>
      <c r="H885" s="37">
        <v>4</v>
      </c>
      <c r="I885" s="37">
        <v>4</v>
      </c>
      <c r="J885" s="1018">
        <f t="shared" si="208"/>
        <v>0.0937765205091938</v>
      </c>
      <c r="K885" s="1019">
        <f t="shared" si="209"/>
        <v>2.92613876319759</v>
      </c>
      <c r="L885" s="1020">
        <f t="shared" si="210"/>
        <v>6.64835079869899</v>
      </c>
      <c r="M885" s="1018">
        <f t="shared" si="211"/>
        <v>0.00150829562594268</v>
      </c>
      <c r="N885" s="956">
        <f t="shared" si="212"/>
        <v>12898</v>
      </c>
      <c r="O885" s="956">
        <f t="shared" si="213"/>
        <v>1940.03</v>
      </c>
      <c r="P885" s="1019">
        <f t="shared" si="214"/>
        <v>74.6165384615385</v>
      </c>
      <c r="Q885" s="675">
        <f t="shared" si="215"/>
        <v>64.6676666666667</v>
      </c>
      <c r="R885">
        <f t="shared" si="216"/>
        <v>30</v>
      </c>
      <c r="S885" s="661">
        <f t="shared" si="217"/>
        <v>0.0452488687782805</v>
      </c>
    </row>
    <row r="886" spans="1:19">
      <c r="A886" s="1010">
        <v>45533</v>
      </c>
      <c r="B886" s="670">
        <v>1843.66</v>
      </c>
      <c r="C886" s="37">
        <v>7140</v>
      </c>
      <c r="D886" s="37">
        <v>587</v>
      </c>
      <c r="E886" s="37">
        <v>0</v>
      </c>
      <c r="F886" s="670">
        <v>0</v>
      </c>
      <c r="G886" s="37">
        <v>25</v>
      </c>
      <c r="H886" s="37">
        <v>4</v>
      </c>
      <c r="I886" s="37">
        <v>2</v>
      </c>
      <c r="J886" s="1018">
        <f t="shared" si="208"/>
        <v>0.0822128851540616</v>
      </c>
      <c r="K886" s="1019">
        <f t="shared" si="209"/>
        <v>3.14081771720613</v>
      </c>
      <c r="L886" s="1020">
        <f t="shared" si="210"/>
        <v>0</v>
      </c>
      <c r="M886" s="1018">
        <f t="shared" si="211"/>
        <v>0</v>
      </c>
      <c r="N886" s="956">
        <f t="shared" si="212"/>
        <v>0</v>
      </c>
      <c r="O886" s="956">
        <f t="shared" si="213"/>
        <v>0</v>
      </c>
      <c r="P886" s="1019">
        <f t="shared" si="214"/>
        <v>73.7464</v>
      </c>
      <c r="Q886" s="675">
        <f t="shared" si="215"/>
        <v>63.5744827586207</v>
      </c>
      <c r="R886">
        <f t="shared" si="216"/>
        <v>29</v>
      </c>
      <c r="S886" s="661">
        <f t="shared" si="217"/>
        <v>0.0494037478705281</v>
      </c>
    </row>
    <row r="887" spans="1:19">
      <c r="A887" s="1010">
        <v>45534</v>
      </c>
      <c r="B887" s="670">
        <v>1642.74</v>
      </c>
      <c r="C887" s="37">
        <v>6824</v>
      </c>
      <c r="D887" s="37">
        <v>549</v>
      </c>
      <c r="E887" s="37">
        <v>0</v>
      </c>
      <c r="F887" s="670">
        <v>0</v>
      </c>
      <c r="G887" s="37">
        <v>31</v>
      </c>
      <c r="H887" s="37">
        <v>2</v>
      </c>
      <c r="I887" s="37">
        <v>3</v>
      </c>
      <c r="J887" s="1018">
        <f t="shared" si="208"/>
        <v>0.0804513481828839</v>
      </c>
      <c r="K887" s="1019">
        <f t="shared" si="209"/>
        <v>2.99224043715847</v>
      </c>
      <c r="L887" s="1020">
        <f t="shared" si="210"/>
        <v>0</v>
      </c>
      <c r="M887" s="1018">
        <f t="shared" si="211"/>
        <v>0</v>
      </c>
      <c r="N887" s="956">
        <f t="shared" si="212"/>
        <v>0</v>
      </c>
      <c r="O887" s="956">
        <f t="shared" si="213"/>
        <v>0</v>
      </c>
      <c r="P887" s="1019">
        <f t="shared" si="214"/>
        <v>52.9916129032258</v>
      </c>
      <c r="Q887" s="675">
        <f t="shared" si="215"/>
        <v>49.78</v>
      </c>
      <c r="R887">
        <f t="shared" si="216"/>
        <v>33</v>
      </c>
      <c r="S887" s="661">
        <f t="shared" si="217"/>
        <v>0.0601092896174863</v>
      </c>
    </row>
    <row r="888" spans="1:19">
      <c r="A888" s="1010">
        <v>45535</v>
      </c>
      <c r="B888" s="670">
        <v>1997.15</v>
      </c>
      <c r="C888" s="37">
        <v>7797</v>
      </c>
      <c r="D888" s="37">
        <v>636</v>
      </c>
      <c r="E888" s="37">
        <v>0</v>
      </c>
      <c r="F888" s="670">
        <v>0</v>
      </c>
      <c r="G888" s="37">
        <v>25</v>
      </c>
      <c r="H888" s="37">
        <v>4</v>
      </c>
      <c r="I888" s="37">
        <v>3</v>
      </c>
      <c r="J888" s="1018">
        <f t="shared" si="208"/>
        <v>0.0815698345517507</v>
      </c>
      <c r="K888" s="1019">
        <f t="shared" si="209"/>
        <v>3.14017295597484</v>
      </c>
      <c r="L888" s="1020">
        <f t="shared" si="210"/>
        <v>0</v>
      </c>
      <c r="M888" s="1018">
        <f t="shared" si="211"/>
        <v>0</v>
      </c>
      <c r="N888" s="956">
        <f t="shared" si="212"/>
        <v>0</v>
      </c>
      <c r="O888" s="956">
        <f t="shared" si="213"/>
        <v>0</v>
      </c>
      <c r="P888" s="1019">
        <f t="shared" si="214"/>
        <v>79.886</v>
      </c>
      <c r="Q888" s="675">
        <f t="shared" si="215"/>
        <v>68.8672413793103</v>
      </c>
      <c r="R888">
        <f t="shared" si="216"/>
        <v>29</v>
      </c>
      <c r="S888" s="661">
        <f t="shared" si="217"/>
        <v>0.0455974842767296</v>
      </c>
    </row>
    <row r="889" spans="1:19">
      <c r="A889" s="1010">
        <v>45536</v>
      </c>
      <c r="B889" s="670">
        <v>2081.31</v>
      </c>
      <c r="C889" s="37">
        <v>7295</v>
      </c>
      <c r="D889" s="37">
        <v>639</v>
      </c>
      <c r="E889" s="37">
        <v>0</v>
      </c>
      <c r="F889" s="670">
        <v>0</v>
      </c>
      <c r="G889" s="37">
        <v>28</v>
      </c>
      <c r="H889" s="37">
        <v>7</v>
      </c>
      <c r="I889" s="37">
        <v>7</v>
      </c>
      <c r="J889" s="1018">
        <f t="shared" si="208"/>
        <v>0.0875942426319397</v>
      </c>
      <c r="K889" s="1019">
        <f t="shared" si="209"/>
        <v>3.25713615023474</v>
      </c>
      <c r="L889" s="1020">
        <f t="shared" si="210"/>
        <v>0</v>
      </c>
      <c r="M889" s="1018">
        <f t="shared" si="211"/>
        <v>0</v>
      </c>
      <c r="N889" s="956">
        <f t="shared" si="212"/>
        <v>0</v>
      </c>
      <c r="O889" s="956">
        <f t="shared" si="213"/>
        <v>0</v>
      </c>
      <c r="P889" s="1019">
        <f t="shared" si="214"/>
        <v>74.3325</v>
      </c>
      <c r="Q889" s="675">
        <f t="shared" si="215"/>
        <v>59.466</v>
      </c>
      <c r="R889">
        <f t="shared" si="216"/>
        <v>35</v>
      </c>
      <c r="S889" s="661">
        <f t="shared" si="217"/>
        <v>0.054773082942097</v>
      </c>
    </row>
    <row r="890" spans="1:19">
      <c r="A890" s="1010">
        <v>45537</v>
      </c>
      <c r="B890" s="670">
        <v>1755.21</v>
      </c>
      <c r="C890" s="37">
        <v>7488</v>
      </c>
      <c r="D890" s="37">
        <v>561</v>
      </c>
      <c r="E890" s="37">
        <v>0</v>
      </c>
      <c r="F890" s="670">
        <v>0</v>
      </c>
      <c r="G890" s="37">
        <v>37</v>
      </c>
      <c r="H890" s="37">
        <v>2</v>
      </c>
      <c r="I890" s="37">
        <v>4</v>
      </c>
      <c r="J890" s="1018">
        <f t="shared" si="208"/>
        <v>0.0749198717948718</v>
      </c>
      <c r="K890" s="1019">
        <f t="shared" si="209"/>
        <v>3.12871657754011</v>
      </c>
      <c r="L890" s="1020">
        <f t="shared" si="210"/>
        <v>0</v>
      </c>
      <c r="M890" s="1018">
        <f t="shared" si="211"/>
        <v>0</v>
      </c>
      <c r="N890" s="956">
        <f t="shared" si="212"/>
        <v>0</v>
      </c>
      <c r="O890" s="956">
        <f t="shared" si="213"/>
        <v>0</v>
      </c>
      <c r="P890" s="1019">
        <f t="shared" si="214"/>
        <v>47.4381081081081</v>
      </c>
      <c r="Q890" s="675">
        <f t="shared" si="215"/>
        <v>45.0053846153846</v>
      </c>
      <c r="R890">
        <f t="shared" si="216"/>
        <v>39</v>
      </c>
      <c r="S890" s="661">
        <f t="shared" si="217"/>
        <v>0.0695187165775401</v>
      </c>
    </row>
    <row r="891" spans="1:19">
      <c r="A891" s="1010">
        <v>45538</v>
      </c>
      <c r="B891" s="670">
        <v>1824.71</v>
      </c>
      <c r="C891" s="37">
        <v>8669</v>
      </c>
      <c r="D891" s="37">
        <v>583</v>
      </c>
      <c r="E891" s="37">
        <v>0</v>
      </c>
      <c r="F891" s="670">
        <v>0</v>
      </c>
      <c r="G891" s="37">
        <v>44</v>
      </c>
      <c r="H891" s="37">
        <v>7</v>
      </c>
      <c r="I891" s="37">
        <v>4</v>
      </c>
      <c r="J891" s="1018">
        <f t="shared" si="208"/>
        <v>0.0672511246971969</v>
      </c>
      <c r="K891" s="1019">
        <f t="shared" si="209"/>
        <v>3.1298627787307</v>
      </c>
      <c r="L891" s="1020">
        <f t="shared" si="210"/>
        <v>0</v>
      </c>
      <c r="M891" s="1018">
        <f t="shared" si="211"/>
        <v>0</v>
      </c>
      <c r="N891" s="956">
        <f t="shared" si="212"/>
        <v>0</v>
      </c>
      <c r="O891" s="956">
        <f t="shared" si="213"/>
        <v>0</v>
      </c>
      <c r="P891" s="1019">
        <f t="shared" si="214"/>
        <v>41.4706818181818</v>
      </c>
      <c r="Q891" s="675">
        <f t="shared" si="215"/>
        <v>35.7786274509804</v>
      </c>
      <c r="R891">
        <f t="shared" si="216"/>
        <v>51</v>
      </c>
      <c r="S891" s="661">
        <f t="shared" si="217"/>
        <v>0.0874785591766724</v>
      </c>
    </row>
    <row r="892" spans="1:19">
      <c r="A892" s="1010">
        <v>45539</v>
      </c>
      <c r="B892" s="670">
        <v>2103.92</v>
      </c>
      <c r="C892" s="37">
        <v>8974</v>
      </c>
      <c r="D892" s="37">
        <v>647</v>
      </c>
      <c r="E892" s="37">
        <v>0</v>
      </c>
      <c r="F892" s="670">
        <v>0</v>
      </c>
      <c r="G892" s="37">
        <v>44</v>
      </c>
      <c r="H892" s="37">
        <v>5</v>
      </c>
      <c r="I892" s="37">
        <v>3</v>
      </c>
      <c r="J892" s="1018">
        <f t="shared" si="208"/>
        <v>0.0720971696010698</v>
      </c>
      <c r="K892" s="1019">
        <f t="shared" si="209"/>
        <v>3.25180834621329</v>
      </c>
      <c r="L892" s="1020">
        <f t="shared" si="210"/>
        <v>0</v>
      </c>
      <c r="M892" s="1018">
        <f t="shared" si="211"/>
        <v>0</v>
      </c>
      <c r="N892" s="956">
        <f t="shared" si="212"/>
        <v>0</v>
      </c>
      <c r="O892" s="956">
        <f t="shared" si="213"/>
        <v>0</v>
      </c>
      <c r="P892" s="1019">
        <f t="shared" si="214"/>
        <v>47.8163636363636</v>
      </c>
      <c r="Q892" s="675">
        <f t="shared" si="215"/>
        <v>42.9371428571429</v>
      </c>
      <c r="R892">
        <f t="shared" si="216"/>
        <v>49</v>
      </c>
      <c r="S892" s="661">
        <f t="shared" si="217"/>
        <v>0.0757341576506955</v>
      </c>
    </row>
    <row r="893" spans="1:19">
      <c r="A893" s="1010">
        <v>45540</v>
      </c>
      <c r="B893" s="670">
        <v>1906.75</v>
      </c>
      <c r="C893" s="37">
        <v>9070</v>
      </c>
      <c r="D893" s="37">
        <v>611</v>
      </c>
      <c r="E893" s="37">
        <v>1</v>
      </c>
      <c r="F893" s="670">
        <v>13185</v>
      </c>
      <c r="G893" s="37">
        <v>39</v>
      </c>
      <c r="H893" s="37">
        <v>2</v>
      </c>
      <c r="I893" s="37">
        <v>4</v>
      </c>
      <c r="J893" s="1018">
        <f t="shared" si="208"/>
        <v>0.0673649393605292</v>
      </c>
      <c r="K893" s="1019">
        <f t="shared" si="209"/>
        <v>3.12070376432079</v>
      </c>
      <c r="L893" s="1020">
        <f t="shared" si="210"/>
        <v>6.91490756522879</v>
      </c>
      <c r="M893" s="1018">
        <f t="shared" si="211"/>
        <v>0.0016366612111293</v>
      </c>
      <c r="N893" s="956">
        <f t="shared" si="212"/>
        <v>13185</v>
      </c>
      <c r="O893" s="956">
        <f t="shared" si="213"/>
        <v>1906.75</v>
      </c>
      <c r="P893" s="1019">
        <f t="shared" si="214"/>
        <v>48.8910256410256</v>
      </c>
      <c r="Q893" s="675">
        <f t="shared" si="215"/>
        <v>46.5060975609756</v>
      </c>
      <c r="R893">
        <f t="shared" si="216"/>
        <v>41</v>
      </c>
      <c r="S893" s="661">
        <f t="shared" si="217"/>
        <v>0.0671031096563011</v>
      </c>
    </row>
    <row r="894" spans="1:19">
      <c r="A894" s="1010">
        <v>45541</v>
      </c>
      <c r="B894" s="670">
        <v>1775.77</v>
      </c>
      <c r="C894" s="37">
        <v>8274</v>
      </c>
      <c r="D894" s="37">
        <v>581</v>
      </c>
      <c r="E894" s="37">
        <v>1</v>
      </c>
      <c r="F894" s="670">
        <v>9.9</v>
      </c>
      <c r="G894" s="37">
        <v>29</v>
      </c>
      <c r="H894" s="37">
        <v>3</v>
      </c>
      <c r="I894" s="37">
        <v>7</v>
      </c>
      <c r="J894" s="1018">
        <f t="shared" si="208"/>
        <v>0.0702199661590524</v>
      </c>
      <c r="K894" s="1019">
        <f t="shared" si="209"/>
        <v>3.05640275387263</v>
      </c>
      <c r="L894" s="1020">
        <f t="shared" si="210"/>
        <v>0.00557504631793532</v>
      </c>
      <c r="M894" s="1018">
        <f t="shared" si="211"/>
        <v>0.00172117039586919</v>
      </c>
      <c r="N894" s="956">
        <f t="shared" si="212"/>
        <v>9.9</v>
      </c>
      <c r="O894" s="956">
        <f t="shared" si="213"/>
        <v>1775.77</v>
      </c>
      <c r="P894" s="1019">
        <f t="shared" si="214"/>
        <v>61.2334482758621</v>
      </c>
      <c r="Q894" s="675">
        <f t="shared" si="215"/>
        <v>55.4928125</v>
      </c>
      <c r="R894">
        <f t="shared" si="216"/>
        <v>32</v>
      </c>
      <c r="S894" s="661">
        <f t="shared" si="217"/>
        <v>0.0550774526678141</v>
      </c>
    </row>
    <row r="895" spans="1:19">
      <c r="A895" s="1010">
        <v>45542</v>
      </c>
      <c r="B895" s="670">
        <v>1825.1</v>
      </c>
      <c r="C895" s="37">
        <v>8220</v>
      </c>
      <c r="D895" s="37">
        <v>604</v>
      </c>
      <c r="E895" s="37">
        <v>4</v>
      </c>
      <c r="F895" s="670">
        <v>22871.9</v>
      </c>
      <c r="G895" s="37">
        <v>44</v>
      </c>
      <c r="H895" s="37">
        <v>5</v>
      </c>
      <c r="I895" s="37">
        <v>2</v>
      </c>
      <c r="J895" s="1018">
        <f t="shared" si="208"/>
        <v>0.0734793187347932</v>
      </c>
      <c r="K895" s="1019">
        <f t="shared" si="209"/>
        <v>3.02168874172185</v>
      </c>
      <c r="L895" s="1020">
        <f t="shared" si="210"/>
        <v>12.5318612678757</v>
      </c>
      <c r="M895" s="1018">
        <f t="shared" si="211"/>
        <v>0.00662251655629139</v>
      </c>
      <c r="N895" s="956">
        <f t="shared" si="212"/>
        <v>5717.975</v>
      </c>
      <c r="O895" s="956">
        <f t="shared" si="213"/>
        <v>456.275</v>
      </c>
      <c r="P895" s="1019">
        <f t="shared" si="214"/>
        <v>41.4795454545455</v>
      </c>
      <c r="Q895" s="675">
        <f t="shared" si="215"/>
        <v>37.2469387755102</v>
      </c>
      <c r="R895">
        <f t="shared" si="216"/>
        <v>49</v>
      </c>
      <c r="S895" s="661">
        <f t="shared" si="217"/>
        <v>0.0811258278145695</v>
      </c>
    </row>
    <row r="896" spans="1:19">
      <c r="A896" s="1010">
        <v>45543</v>
      </c>
      <c r="B896" s="670">
        <v>1192.78</v>
      </c>
      <c r="C896" s="37">
        <v>5075</v>
      </c>
      <c r="D896" s="37">
        <v>382</v>
      </c>
      <c r="E896" s="37">
        <v>0</v>
      </c>
      <c r="F896" s="670">
        <v>0</v>
      </c>
      <c r="G896" s="37">
        <v>15</v>
      </c>
      <c r="H896" s="37">
        <v>1</v>
      </c>
      <c r="I896" s="37">
        <v>1</v>
      </c>
      <c r="J896" s="1018">
        <f t="shared" si="208"/>
        <v>0.0752709359605911</v>
      </c>
      <c r="K896" s="1019">
        <f t="shared" si="209"/>
        <v>3.12246073298429</v>
      </c>
      <c r="L896" s="1020">
        <f t="shared" si="210"/>
        <v>0</v>
      </c>
      <c r="M896" s="1018">
        <f t="shared" si="211"/>
        <v>0</v>
      </c>
      <c r="N896" s="956">
        <f t="shared" si="212"/>
        <v>0</v>
      </c>
      <c r="O896" s="956">
        <f t="shared" si="213"/>
        <v>0</v>
      </c>
      <c r="P896" s="1019">
        <f t="shared" si="214"/>
        <v>79.5186666666667</v>
      </c>
      <c r="Q896" s="675">
        <f t="shared" si="215"/>
        <v>74.54875</v>
      </c>
      <c r="R896">
        <f t="shared" si="216"/>
        <v>16</v>
      </c>
      <c r="S896" s="661">
        <f t="shared" si="217"/>
        <v>0.0418848167539267</v>
      </c>
    </row>
    <row r="897" spans="1:19">
      <c r="A897" s="1010">
        <v>45544</v>
      </c>
      <c r="B897" s="670">
        <v>1620.53</v>
      </c>
      <c r="C897" s="37">
        <v>6534</v>
      </c>
      <c r="D897" s="37">
        <v>495</v>
      </c>
      <c r="E897" s="37">
        <v>0</v>
      </c>
      <c r="F897" s="670">
        <v>0</v>
      </c>
      <c r="G897" s="37">
        <v>20</v>
      </c>
      <c r="H897" s="37">
        <v>5</v>
      </c>
      <c r="I897" s="37">
        <v>2</v>
      </c>
      <c r="J897" s="1018">
        <f t="shared" si="208"/>
        <v>0.0757575757575758</v>
      </c>
      <c r="K897" s="1019">
        <f t="shared" si="209"/>
        <v>3.27379797979798</v>
      </c>
      <c r="L897" s="1020">
        <f t="shared" si="210"/>
        <v>0</v>
      </c>
      <c r="M897" s="1018">
        <f t="shared" si="211"/>
        <v>0</v>
      </c>
      <c r="N897" s="956">
        <f t="shared" si="212"/>
        <v>0</v>
      </c>
      <c r="O897" s="956">
        <f t="shared" si="213"/>
        <v>0</v>
      </c>
      <c r="P897" s="1019">
        <f t="shared" si="214"/>
        <v>81.0265</v>
      </c>
      <c r="Q897" s="675">
        <f t="shared" si="215"/>
        <v>64.8212</v>
      </c>
      <c r="R897">
        <f t="shared" si="216"/>
        <v>25</v>
      </c>
      <c r="S897" s="661">
        <f t="shared" si="217"/>
        <v>0.0505050505050505</v>
      </c>
    </row>
    <row r="898" spans="1:19">
      <c r="A898" s="1010">
        <v>45545</v>
      </c>
      <c r="B898" s="670">
        <v>2101.48</v>
      </c>
      <c r="C898" s="37">
        <v>9618</v>
      </c>
      <c r="D898" s="37">
        <v>682</v>
      </c>
      <c r="E898" s="37">
        <v>0</v>
      </c>
      <c r="F898" s="670">
        <v>0</v>
      </c>
      <c r="G898" s="37">
        <v>37</v>
      </c>
      <c r="H898" s="37">
        <v>5</v>
      </c>
      <c r="I898" s="37">
        <v>3</v>
      </c>
      <c r="J898" s="1018">
        <f t="shared" si="208"/>
        <v>0.0709087128301102</v>
      </c>
      <c r="K898" s="1019">
        <f t="shared" si="209"/>
        <v>3.08134897360704</v>
      </c>
      <c r="L898" s="1020">
        <f t="shared" si="210"/>
        <v>0</v>
      </c>
      <c r="M898" s="1018">
        <f t="shared" si="211"/>
        <v>0</v>
      </c>
      <c r="N898" s="956">
        <f t="shared" si="212"/>
        <v>0</v>
      </c>
      <c r="O898" s="956">
        <f t="shared" si="213"/>
        <v>0</v>
      </c>
      <c r="P898" s="1019">
        <f t="shared" si="214"/>
        <v>56.7967567567568</v>
      </c>
      <c r="Q898" s="675">
        <f t="shared" si="215"/>
        <v>50.0352380952381</v>
      </c>
      <c r="R898">
        <f t="shared" si="216"/>
        <v>42</v>
      </c>
      <c r="S898" s="661">
        <f t="shared" si="217"/>
        <v>0.06158357771261</v>
      </c>
    </row>
    <row r="899" spans="1:19">
      <c r="A899" s="1010">
        <v>45546</v>
      </c>
      <c r="B899" s="670">
        <v>2750.28</v>
      </c>
      <c r="C899" s="37">
        <v>12658</v>
      </c>
      <c r="D899" s="37">
        <v>859</v>
      </c>
      <c r="E899" s="37">
        <v>1</v>
      </c>
      <c r="F899" s="670">
        <v>9.9</v>
      </c>
      <c r="G899" s="37">
        <v>28</v>
      </c>
      <c r="H899" s="37">
        <v>2</v>
      </c>
      <c r="I899" s="37">
        <v>2</v>
      </c>
      <c r="J899" s="1018">
        <f t="shared" si="208"/>
        <v>0.0678622215199874</v>
      </c>
      <c r="K899" s="1019">
        <f t="shared" si="209"/>
        <v>3.20172293364377</v>
      </c>
      <c r="L899" s="1020">
        <f t="shared" si="210"/>
        <v>0.00359963349186265</v>
      </c>
      <c r="M899" s="1018">
        <f t="shared" si="211"/>
        <v>0.00116414435389988</v>
      </c>
      <c r="N899" s="956">
        <f t="shared" si="212"/>
        <v>9.9</v>
      </c>
      <c r="O899" s="956">
        <f t="shared" si="213"/>
        <v>2750.28</v>
      </c>
      <c r="P899" s="1019">
        <f t="shared" si="214"/>
        <v>98.2242857142857</v>
      </c>
      <c r="Q899" s="675">
        <f t="shared" si="215"/>
        <v>91.676</v>
      </c>
      <c r="R899">
        <f t="shared" si="216"/>
        <v>30</v>
      </c>
      <c r="S899" s="661">
        <f t="shared" si="217"/>
        <v>0.0349243306169965</v>
      </c>
    </row>
    <row r="900" spans="1:19">
      <c r="A900" s="1010">
        <v>45547</v>
      </c>
      <c r="B900" s="670">
        <v>2562.45</v>
      </c>
      <c r="C900" s="37">
        <v>17201</v>
      </c>
      <c r="D900" s="37">
        <v>889</v>
      </c>
      <c r="E900" s="37">
        <v>2</v>
      </c>
      <c r="F900" s="670">
        <v>10691.9</v>
      </c>
      <c r="G900" s="37">
        <v>41</v>
      </c>
      <c r="H900" s="37">
        <v>10</v>
      </c>
      <c r="I900" s="37">
        <v>8</v>
      </c>
      <c r="J900" s="1018">
        <f t="shared" si="208"/>
        <v>0.051683041683623</v>
      </c>
      <c r="K900" s="1019">
        <f t="shared" si="209"/>
        <v>2.88239595050619</v>
      </c>
      <c r="L900" s="1020">
        <f t="shared" si="210"/>
        <v>4.17253019571114</v>
      </c>
      <c r="M900" s="1018">
        <f t="shared" si="211"/>
        <v>0.00224971878515186</v>
      </c>
      <c r="N900" s="956">
        <f t="shared" si="212"/>
        <v>5345.95</v>
      </c>
      <c r="O900" s="956">
        <f t="shared" si="213"/>
        <v>1281.225</v>
      </c>
      <c r="P900" s="1019">
        <f t="shared" si="214"/>
        <v>62.4987804878049</v>
      </c>
      <c r="Q900" s="675">
        <f t="shared" si="215"/>
        <v>50.2441176470588</v>
      </c>
      <c r="R900">
        <f t="shared" si="216"/>
        <v>51</v>
      </c>
      <c r="S900" s="661">
        <f t="shared" si="217"/>
        <v>0.0573678290213723</v>
      </c>
    </row>
    <row r="901" spans="1:19">
      <c r="A901" s="1010">
        <v>45548</v>
      </c>
      <c r="B901" s="670">
        <v>2742.49</v>
      </c>
      <c r="C901" s="37">
        <v>19133</v>
      </c>
      <c r="D901" s="37">
        <v>964</v>
      </c>
      <c r="E901" s="37">
        <v>2</v>
      </c>
      <c r="F901" s="670">
        <v>26942</v>
      </c>
      <c r="G901" s="37">
        <v>66</v>
      </c>
      <c r="H901" s="37">
        <v>12</v>
      </c>
      <c r="I901" s="37">
        <v>2</v>
      </c>
      <c r="J901" s="1018">
        <f t="shared" si="208"/>
        <v>0.050384153034025</v>
      </c>
      <c r="K901" s="1019">
        <f t="shared" si="209"/>
        <v>2.84490663900415</v>
      </c>
      <c r="L901" s="1020">
        <f t="shared" si="210"/>
        <v>9.82391913917644</v>
      </c>
      <c r="M901" s="1018">
        <f t="shared" si="211"/>
        <v>0.0020746887966805</v>
      </c>
      <c r="N901" s="956">
        <f t="shared" si="212"/>
        <v>13471</v>
      </c>
      <c r="O901" s="956">
        <f t="shared" si="213"/>
        <v>1371.245</v>
      </c>
      <c r="P901" s="1019">
        <f t="shared" si="214"/>
        <v>41.5528787878788</v>
      </c>
      <c r="Q901" s="675">
        <f t="shared" si="215"/>
        <v>35.1601282051282</v>
      </c>
      <c r="R901">
        <f t="shared" si="216"/>
        <v>78</v>
      </c>
      <c r="S901" s="661">
        <f t="shared" si="217"/>
        <v>0.0809128630705394</v>
      </c>
    </row>
    <row r="902" spans="1:19">
      <c r="A902" s="1010">
        <v>45549</v>
      </c>
      <c r="B902" s="670">
        <v>2107.72</v>
      </c>
      <c r="C902" s="37">
        <v>17508</v>
      </c>
      <c r="D902" s="37">
        <v>690</v>
      </c>
      <c r="E902" s="37">
        <v>0</v>
      </c>
      <c r="F902" s="670">
        <v>0</v>
      </c>
      <c r="G902" s="37">
        <v>35</v>
      </c>
      <c r="H902" s="37">
        <v>5</v>
      </c>
      <c r="I902" s="37">
        <v>7</v>
      </c>
      <c r="J902" s="1018">
        <f t="shared" ref="J902:J920" si="218">D902/C902</f>
        <v>0.0394105551747772</v>
      </c>
      <c r="K902" s="1019">
        <f t="shared" ref="K902:K920" si="219">B902/D902</f>
        <v>3.05466666666667</v>
      </c>
      <c r="L902" s="1020">
        <f t="shared" ref="L902:L920" si="220">F902/B902</f>
        <v>0</v>
      </c>
      <c r="M902" s="1018">
        <f t="shared" ref="M902:M920" si="221">E902/D902</f>
        <v>0</v>
      </c>
      <c r="N902" s="956">
        <f t="shared" ref="N902:N920" si="222">IF(E902=0,0,F902/E902)</f>
        <v>0</v>
      </c>
      <c r="O902" s="956">
        <f t="shared" ref="O902:O920" si="223">IF(E902=0,0,B902/E902)</f>
        <v>0</v>
      </c>
      <c r="P902" s="1019">
        <f t="shared" ref="P902:P920" si="224">B902/G902</f>
        <v>60.2205714285714</v>
      </c>
      <c r="Q902" s="675">
        <f t="shared" ref="Q902:Q920" si="225">B902/(G902+H902)</f>
        <v>52.693</v>
      </c>
      <c r="R902">
        <f t="shared" ref="R902:R920" si="226">G902+H902</f>
        <v>40</v>
      </c>
      <c r="S902" s="661">
        <f t="shared" ref="S902:S920" si="227">R902/D902</f>
        <v>0.0579710144927536</v>
      </c>
    </row>
    <row r="903" spans="1:19">
      <c r="A903" s="1010">
        <v>45550</v>
      </c>
      <c r="B903" s="670">
        <v>2053.54</v>
      </c>
      <c r="C903" s="37">
        <v>16417</v>
      </c>
      <c r="D903" s="37">
        <v>679</v>
      </c>
      <c r="E903" s="37">
        <v>0</v>
      </c>
      <c r="F903" s="670">
        <v>0</v>
      </c>
      <c r="G903" s="37">
        <v>36</v>
      </c>
      <c r="H903" s="37">
        <v>8</v>
      </c>
      <c r="I903" s="37">
        <v>2</v>
      </c>
      <c r="J903" s="1018">
        <f t="shared" si="218"/>
        <v>0.0413595663032223</v>
      </c>
      <c r="K903" s="1019">
        <f t="shared" si="219"/>
        <v>3.02435935198822</v>
      </c>
      <c r="L903" s="1020">
        <f t="shared" si="220"/>
        <v>0</v>
      </c>
      <c r="M903" s="1018">
        <f t="shared" si="221"/>
        <v>0</v>
      </c>
      <c r="N903" s="956">
        <f t="shared" si="222"/>
        <v>0</v>
      </c>
      <c r="O903" s="956">
        <f t="shared" si="223"/>
        <v>0</v>
      </c>
      <c r="P903" s="1019">
        <f t="shared" si="224"/>
        <v>57.0427777777778</v>
      </c>
      <c r="Q903" s="675">
        <f t="shared" si="225"/>
        <v>46.6713636363636</v>
      </c>
      <c r="R903">
        <f t="shared" si="226"/>
        <v>44</v>
      </c>
      <c r="S903" s="661">
        <f t="shared" si="227"/>
        <v>0.0648011782032401</v>
      </c>
    </row>
    <row r="904" spans="1:19">
      <c r="A904" s="1010">
        <v>45551</v>
      </c>
      <c r="B904" s="670">
        <v>2634.36</v>
      </c>
      <c r="C904" s="37">
        <v>15407</v>
      </c>
      <c r="D904" s="37">
        <v>822</v>
      </c>
      <c r="E904" s="37">
        <v>0</v>
      </c>
      <c r="F904" s="670">
        <v>0</v>
      </c>
      <c r="G904" s="37">
        <v>29</v>
      </c>
      <c r="H904" s="37">
        <v>4</v>
      </c>
      <c r="I904" s="37">
        <v>7</v>
      </c>
      <c r="J904" s="1018">
        <f t="shared" si="218"/>
        <v>0.053352372298306</v>
      </c>
      <c r="K904" s="1019">
        <f t="shared" si="219"/>
        <v>3.20481751824818</v>
      </c>
      <c r="L904" s="1020">
        <f t="shared" si="220"/>
        <v>0</v>
      </c>
      <c r="M904" s="1018">
        <f t="shared" si="221"/>
        <v>0</v>
      </c>
      <c r="N904" s="956">
        <f t="shared" si="222"/>
        <v>0</v>
      </c>
      <c r="O904" s="956">
        <f t="shared" si="223"/>
        <v>0</v>
      </c>
      <c r="P904" s="1019">
        <f t="shared" si="224"/>
        <v>90.84</v>
      </c>
      <c r="Q904" s="675">
        <f t="shared" si="225"/>
        <v>79.8290909090909</v>
      </c>
      <c r="R904">
        <f t="shared" si="226"/>
        <v>33</v>
      </c>
      <c r="S904" s="661">
        <f t="shared" si="227"/>
        <v>0.0401459854014599</v>
      </c>
    </row>
    <row r="905" spans="1:19">
      <c r="A905" s="1010">
        <v>45552</v>
      </c>
      <c r="B905" s="670">
        <v>2969.97</v>
      </c>
      <c r="C905" s="37">
        <v>16935</v>
      </c>
      <c r="D905" s="37">
        <v>938</v>
      </c>
      <c r="E905" s="37">
        <v>0</v>
      </c>
      <c r="F905" s="670">
        <v>0</v>
      </c>
      <c r="G905" s="37">
        <v>27</v>
      </c>
      <c r="H905" s="37">
        <v>5</v>
      </c>
      <c r="I905" s="37">
        <v>2</v>
      </c>
      <c r="J905" s="1018">
        <f t="shared" si="218"/>
        <v>0.055388249188072</v>
      </c>
      <c r="K905" s="1019">
        <f t="shared" si="219"/>
        <v>3.16627931769723</v>
      </c>
      <c r="L905" s="1020">
        <f t="shared" si="220"/>
        <v>0</v>
      </c>
      <c r="M905" s="1018">
        <f t="shared" si="221"/>
        <v>0</v>
      </c>
      <c r="N905" s="956">
        <f t="shared" si="222"/>
        <v>0</v>
      </c>
      <c r="O905" s="956">
        <f t="shared" si="223"/>
        <v>0</v>
      </c>
      <c r="P905" s="1019">
        <f t="shared" si="224"/>
        <v>109.998888888889</v>
      </c>
      <c r="Q905" s="675">
        <f t="shared" si="225"/>
        <v>92.8115625</v>
      </c>
      <c r="R905">
        <f t="shared" si="226"/>
        <v>32</v>
      </c>
      <c r="S905" s="661">
        <f t="shared" si="227"/>
        <v>0.0341151385927505</v>
      </c>
    </row>
    <row r="906" spans="1:19">
      <c r="A906" s="1010">
        <v>45553</v>
      </c>
      <c r="B906" s="670">
        <v>2800.95</v>
      </c>
      <c r="C906" s="37">
        <v>18160</v>
      </c>
      <c r="D906" s="37">
        <v>902</v>
      </c>
      <c r="E906" s="37">
        <v>0</v>
      </c>
      <c r="F906" s="670">
        <v>0</v>
      </c>
      <c r="G906" s="37">
        <v>48</v>
      </c>
      <c r="H906" s="37">
        <v>1</v>
      </c>
      <c r="I906" s="37">
        <v>7</v>
      </c>
      <c r="J906" s="1018">
        <f t="shared" si="218"/>
        <v>0.0496696035242291</v>
      </c>
      <c r="K906" s="1019">
        <f t="shared" si="219"/>
        <v>3.10526607538803</v>
      </c>
      <c r="L906" s="1020">
        <f t="shared" si="220"/>
        <v>0</v>
      </c>
      <c r="M906" s="1018">
        <f t="shared" si="221"/>
        <v>0</v>
      </c>
      <c r="N906" s="956">
        <f t="shared" si="222"/>
        <v>0</v>
      </c>
      <c r="O906" s="956">
        <f t="shared" si="223"/>
        <v>0</v>
      </c>
      <c r="P906" s="1019">
        <f t="shared" si="224"/>
        <v>58.353125</v>
      </c>
      <c r="Q906" s="675">
        <f t="shared" si="225"/>
        <v>57.1622448979592</v>
      </c>
      <c r="R906">
        <f t="shared" si="226"/>
        <v>49</v>
      </c>
      <c r="S906" s="661">
        <f t="shared" si="227"/>
        <v>0.0543237250554324</v>
      </c>
    </row>
    <row r="907" spans="1:19">
      <c r="A907" s="1010">
        <v>45554</v>
      </c>
      <c r="B907" s="670">
        <v>2656.44</v>
      </c>
      <c r="C907" s="37">
        <v>17093</v>
      </c>
      <c r="D907" s="37">
        <v>848</v>
      </c>
      <c r="E907" s="37">
        <v>1</v>
      </c>
      <c r="F907" s="670">
        <v>11842</v>
      </c>
      <c r="G907" s="37">
        <v>41</v>
      </c>
      <c r="H907" s="37">
        <v>7</v>
      </c>
      <c r="I907" s="37">
        <v>1</v>
      </c>
      <c r="J907" s="1018">
        <f t="shared" si="218"/>
        <v>0.0496109518516352</v>
      </c>
      <c r="K907" s="1019">
        <f t="shared" si="219"/>
        <v>3.13259433962264</v>
      </c>
      <c r="L907" s="1020">
        <f t="shared" si="220"/>
        <v>4.45784583879177</v>
      </c>
      <c r="M907" s="1018">
        <f t="shared" si="221"/>
        <v>0.00117924528301887</v>
      </c>
      <c r="N907" s="956">
        <f t="shared" si="222"/>
        <v>11842</v>
      </c>
      <c r="O907" s="956">
        <f t="shared" si="223"/>
        <v>2656.44</v>
      </c>
      <c r="P907" s="1019">
        <f t="shared" si="224"/>
        <v>64.7912195121951</v>
      </c>
      <c r="Q907" s="675">
        <f t="shared" si="225"/>
        <v>55.3425</v>
      </c>
      <c r="R907">
        <f t="shared" si="226"/>
        <v>48</v>
      </c>
      <c r="S907" s="661">
        <f t="shared" si="227"/>
        <v>0.0566037735849057</v>
      </c>
    </row>
    <row r="908" spans="1:19">
      <c r="A908" s="1010">
        <v>45555</v>
      </c>
      <c r="B908" s="670">
        <v>2937.06</v>
      </c>
      <c r="C908" s="37">
        <v>18013</v>
      </c>
      <c r="D908" s="37">
        <v>936</v>
      </c>
      <c r="E908" s="37">
        <v>0</v>
      </c>
      <c r="F908" s="670">
        <v>0</v>
      </c>
      <c r="G908" s="37">
        <v>32</v>
      </c>
      <c r="H908" s="37">
        <v>3</v>
      </c>
      <c r="I908" s="37">
        <v>3</v>
      </c>
      <c r="J908" s="1018">
        <f t="shared" si="218"/>
        <v>0.0519624715483262</v>
      </c>
      <c r="K908" s="1019">
        <f t="shared" si="219"/>
        <v>3.13788461538462</v>
      </c>
      <c r="L908" s="1020">
        <f t="shared" si="220"/>
        <v>0</v>
      </c>
      <c r="M908" s="1018">
        <f t="shared" si="221"/>
        <v>0</v>
      </c>
      <c r="N908" s="956">
        <f t="shared" si="222"/>
        <v>0</v>
      </c>
      <c r="O908" s="956">
        <f t="shared" si="223"/>
        <v>0</v>
      </c>
      <c r="P908" s="1019">
        <f t="shared" si="224"/>
        <v>91.783125</v>
      </c>
      <c r="Q908" s="675">
        <f t="shared" si="225"/>
        <v>83.916</v>
      </c>
      <c r="R908">
        <f t="shared" si="226"/>
        <v>35</v>
      </c>
      <c r="S908" s="661">
        <f t="shared" si="227"/>
        <v>0.0373931623931624</v>
      </c>
    </row>
    <row r="909" spans="1:19">
      <c r="A909" s="1010">
        <v>45556</v>
      </c>
      <c r="B909" s="670">
        <v>2726.35</v>
      </c>
      <c r="C909" s="37">
        <v>17296</v>
      </c>
      <c r="D909" s="37">
        <v>826</v>
      </c>
      <c r="E909" s="37">
        <v>0</v>
      </c>
      <c r="F909" s="670">
        <v>0</v>
      </c>
      <c r="G909" s="37">
        <v>33</v>
      </c>
      <c r="H909" s="37">
        <v>7</v>
      </c>
      <c r="I909" s="37">
        <v>4</v>
      </c>
      <c r="J909" s="1018">
        <f t="shared" si="218"/>
        <v>0.0477567067530065</v>
      </c>
      <c r="K909" s="1019">
        <f t="shared" si="219"/>
        <v>3.30066585956416</v>
      </c>
      <c r="L909" s="1020">
        <f t="shared" si="220"/>
        <v>0</v>
      </c>
      <c r="M909" s="1018">
        <f t="shared" si="221"/>
        <v>0</v>
      </c>
      <c r="N909" s="956">
        <f t="shared" si="222"/>
        <v>0</v>
      </c>
      <c r="O909" s="956">
        <f t="shared" si="223"/>
        <v>0</v>
      </c>
      <c r="P909" s="1019">
        <f t="shared" si="224"/>
        <v>82.6166666666667</v>
      </c>
      <c r="Q909" s="675">
        <f t="shared" si="225"/>
        <v>68.15875</v>
      </c>
      <c r="R909">
        <f t="shared" si="226"/>
        <v>40</v>
      </c>
      <c r="S909" s="661">
        <f t="shared" si="227"/>
        <v>0.0484261501210654</v>
      </c>
    </row>
    <row r="910" spans="1:19">
      <c r="A910" s="1010">
        <v>45557</v>
      </c>
      <c r="B910" s="670">
        <v>1847.07</v>
      </c>
      <c r="C910" s="37">
        <v>11680</v>
      </c>
      <c r="D910" s="37">
        <v>573</v>
      </c>
      <c r="E910" s="37">
        <v>1</v>
      </c>
      <c r="F910" s="670">
        <v>10514</v>
      </c>
      <c r="G910" s="37">
        <v>28</v>
      </c>
      <c r="H910" s="37">
        <v>6</v>
      </c>
      <c r="I910" s="37">
        <v>3</v>
      </c>
      <c r="J910" s="1018">
        <f t="shared" si="218"/>
        <v>0.0490582191780822</v>
      </c>
      <c r="K910" s="1019">
        <f t="shared" si="219"/>
        <v>3.22350785340314</v>
      </c>
      <c r="L910" s="1020">
        <f t="shared" si="220"/>
        <v>5.69225855002788</v>
      </c>
      <c r="M910" s="1018">
        <f t="shared" si="221"/>
        <v>0.00174520069808028</v>
      </c>
      <c r="N910" s="956">
        <f t="shared" si="222"/>
        <v>10514</v>
      </c>
      <c r="O910" s="956">
        <f t="shared" si="223"/>
        <v>1847.07</v>
      </c>
      <c r="P910" s="1019">
        <f t="shared" si="224"/>
        <v>65.9667857142857</v>
      </c>
      <c r="Q910" s="675">
        <f t="shared" si="225"/>
        <v>54.3255882352941</v>
      </c>
      <c r="R910">
        <f t="shared" si="226"/>
        <v>34</v>
      </c>
      <c r="S910" s="661">
        <f t="shared" si="227"/>
        <v>0.0593368237347295</v>
      </c>
    </row>
    <row r="911" spans="1:19">
      <c r="A911" s="1010">
        <v>45558</v>
      </c>
      <c r="B911" s="670">
        <v>1559.42</v>
      </c>
      <c r="C911" s="37">
        <v>9965</v>
      </c>
      <c r="D911" s="37">
        <v>469</v>
      </c>
      <c r="E911" s="37">
        <v>0</v>
      </c>
      <c r="F911" s="670">
        <v>0</v>
      </c>
      <c r="G911" s="37">
        <v>20</v>
      </c>
      <c r="H911" s="37">
        <v>6</v>
      </c>
      <c r="I911" s="37">
        <v>3</v>
      </c>
      <c r="J911" s="1018">
        <f t="shared" si="218"/>
        <v>0.0470647265429001</v>
      </c>
      <c r="K911" s="1019">
        <f t="shared" si="219"/>
        <v>3.32498933901919</v>
      </c>
      <c r="L911" s="1020">
        <f t="shared" si="220"/>
        <v>0</v>
      </c>
      <c r="M911" s="1018">
        <f t="shared" si="221"/>
        <v>0</v>
      </c>
      <c r="N911" s="956">
        <f t="shared" si="222"/>
        <v>0</v>
      </c>
      <c r="O911" s="956">
        <f t="shared" si="223"/>
        <v>0</v>
      </c>
      <c r="P911" s="1019">
        <f t="shared" si="224"/>
        <v>77.971</v>
      </c>
      <c r="Q911" s="675">
        <f t="shared" si="225"/>
        <v>59.9776923076923</v>
      </c>
      <c r="R911">
        <f t="shared" si="226"/>
        <v>26</v>
      </c>
      <c r="S911" s="661">
        <f t="shared" si="227"/>
        <v>0.0554371002132196</v>
      </c>
    </row>
    <row r="912" spans="1:19">
      <c r="A912" s="1010">
        <v>45559</v>
      </c>
      <c r="B912" s="670">
        <v>1812.89</v>
      </c>
      <c r="C912" s="37">
        <v>12403</v>
      </c>
      <c r="D912" s="37">
        <v>550</v>
      </c>
      <c r="E912" s="37">
        <v>0</v>
      </c>
      <c r="F912" s="670">
        <v>0</v>
      </c>
      <c r="G912" s="37">
        <v>18</v>
      </c>
      <c r="H912" s="37">
        <v>8</v>
      </c>
      <c r="I912" s="37">
        <v>3</v>
      </c>
      <c r="J912" s="1018">
        <f t="shared" si="218"/>
        <v>0.0443441102958962</v>
      </c>
      <c r="K912" s="1019">
        <f t="shared" si="219"/>
        <v>3.29616363636364</v>
      </c>
      <c r="L912" s="1020">
        <f t="shared" si="220"/>
        <v>0</v>
      </c>
      <c r="M912" s="1018">
        <f t="shared" si="221"/>
        <v>0</v>
      </c>
      <c r="N912" s="956">
        <f t="shared" si="222"/>
        <v>0</v>
      </c>
      <c r="O912" s="956">
        <f t="shared" si="223"/>
        <v>0</v>
      </c>
      <c r="P912" s="1019">
        <f t="shared" si="224"/>
        <v>100.716111111111</v>
      </c>
      <c r="Q912" s="675">
        <f t="shared" si="225"/>
        <v>69.7265384615385</v>
      </c>
      <c r="R912">
        <f t="shared" si="226"/>
        <v>26</v>
      </c>
      <c r="S912" s="661">
        <f t="shared" si="227"/>
        <v>0.0472727272727273</v>
      </c>
    </row>
    <row r="913" spans="1:19">
      <c r="A913" s="1010">
        <v>45560</v>
      </c>
      <c r="B913" s="670">
        <v>1674.32</v>
      </c>
      <c r="C913" s="37">
        <v>13103</v>
      </c>
      <c r="D913" s="37">
        <v>506</v>
      </c>
      <c r="E913" s="37">
        <v>1</v>
      </c>
      <c r="F913" s="670">
        <v>2832</v>
      </c>
      <c r="G913" s="37">
        <v>13</v>
      </c>
      <c r="H913" s="37">
        <v>4</v>
      </c>
      <c r="I913" s="37">
        <v>4</v>
      </c>
      <c r="J913" s="1018">
        <f t="shared" si="218"/>
        <v>0.0386171105853621</v>
      </c>
      <c r="K913" s="1019">
        <f t="shared" si="219"/>
        <v>3.30893280632411</v>
      </c>
      <c r="L913" s="1020">
        <f t="shared" si="220"/>
        <v>1.6914329399398</v>
      </c>
      <c r="M913" s="1018">
        <f t="shared" si="221"/>
        <v>0.00197628458498024</v>
      </c>
      <c r="N913" s="956">
        <f t="shared" si="222"/>
        <v>2832</v>
      </c>
      <c r="O913" s="956">
        <f t="shared" si="223"/>
        <v>1674.32</v>
      </c>
      <c r="P913" s="1019">
        <f t="shared" si="224"/>
        <v>128.793846153846</v>
      </c>
      <c r="Q913" s="675">
        <f t="shared" si="225"/>
        <v>98.4894117647059</v>
      </c>
      <c r="R913">
        <f t="shared" si="226"/>
        <v>17</v>
      </c>
      <c r="S913" s="661">
        <f t="shared" si="227"/>
        <v>0.033596837944664</v>
      </c>
    </row>
    <row r="914" spans="1:19">
      <c r="A914" s="1010">
        <v>45561</v>
      </c>
      <c r="B914" s="670">
        <v>1661.57</v>
      </c>
      <c r="C914" s="37">
        <v>11968</v>
      </c>
      <c r="D914" s="37">
        <v>543</v>
      </c>
      <c r="E914" s="37">
        <v>0</v>
      </c>
      <c r="F914" s="670">
        <v>0</v>
      </c>
      <c r="G914" s="37">
        <v>23</v>
      </c>
      <c r="H914" s="37">
        <v>6</v>
      </c>
      <c r="I914" s="37">
        <v>0</v>
      </c>
      <c r="J914" s="1018">
        <f t="shared" si="218"/>
        <v>0.0453709893048128</v>
      </c>
      <c r="K914" s="1019">
        <f t="shared" si="219"/>
        <v>3.05998158379374</v>
      </c>
      <c r="L914" s="1020">
        <f t="shared" si="220"/>
        <v>0</v>
      </c>
      <c r="M914" s="1018">
        <f t="shared" si="221"/>
        <v>0</v>
      </c>
      <c r="N914" s="956">
        <f t="shared" si="222"/>
        <v>0</v>
      </c>
      <c r="O914" s="956">
        <f t="shared" si="223"/>
        <v>0</v>
      </c>
      <c r="P914" s="1019">
        <f t="shared" si="224"/>
        <v>72.2421739130435</v>
      </c>
      <c r="Q914" s="675">
        <f t="shared" si="225"/>
        <v>57.2955172413793</v>
      </c>
      <c r="R914">
        <f t="shared" si="226"/>
        <v>29</v>
      </c>
      <c r="S914" s="661">
        <f t="shared" si="227"/>
        <v>0.0534069981583794</v>
      </c>
    </row>
    <row r="915" spans="1:19">
      <c r="A915" s="1010">
        <v>45562</v>
      </c>
      <c r="B915" s="670">
        <v>1830.47</v>
      </c>
      <c r="C915" s="37">
        <v>11536</v>
      </c>
      <c r="D915" s="37">
        <v>574</v>
      </c>
      <c r="E915" s="37">
        <v>4</v>
      </c>
      <c r="F915" s="670">
        <v>58252</v>
      </c>
      <c r="G915" s="37">
        <v>26</v>
      </c>
      <c r="H915" s="37">
        <v>12</v>
      </c>
      <c r="I915" s="37">
        <v>6</v>
      </c>
      <c r="J915" s="1018">
        <f t="shared" si="218"/>
        <v>0.0497572815533981</v>
      </c>
      <c r="K915" s="1019">
        <f t="shared" si="219"/>
        <v>3.18897212543554</v>
      </c>
      <c r="L915" s="1020">
        <f t="shared" si="220"/>
        <v>31.8235207351117</v>
      </c>
      <c r="M915" s="1018">
        <f t="shared" si="221"/>
        <v>0.00696864111498258</v>
      </c>
      <c r="N915" s="956">
        <f t="shared" si="222"/>
        <v>14563</v>
      </c>
      <c r="O915" s="956">
        <f t="shared" si="223"/>
        <v>457.6175</v>
      </c>
      <c r="P915" s="1019">
        <f t="shared" si="224"/>
        <v>70.4026923076923</v>
      </c>
      <c r="Q915" s="675">
        <f t="shared" si="225"/>
        <v>48.1702631578947</v>
      </c>
      <c r="R915">
        <f t="shared" si="226"/>
        <v>38</v>
      </c>
      <c r="S915" s="661">
        <f t="shared" si="227"/>
        <v>0.0662020905923345</v>
      </c>
    </row>
    <row r="916" spans="1:19">
      <c r="A916" s="1010">
        <v>45563</v>
      </c>
      <c r="B916" s="670">
        <v>1715.86</v>
      </c>
      <c r="C916" s="37">
        <v>13629</v>
      </c>
      <c r="D916" s="37">
        <v>523</v>
      </c>
      <c r="E916" s="37">
        <v>0</v>
      </c>
      <c r="F916" s="670">
        <v>0</v>
      </c>
      <c r="G916" s="37">
        <v>16</v>
      </c>
      <c r="H916" s="37">
        <v>2</v>
      </c>
      <c r="I916" s="37">
        <v>2</v>
      </c>
      <c r="J916" s="1018">
        <f t="shared" si="218"/>
        <v>0.0383740553232079</v>
      </c>
      <c r="K916" s="1019">
        <f t="shared" si="219"/>
        <v>3.28080305927342</v>
      </c>
      <c r="L916" s="1020">
        <f t="shared" si="220"/>
        <v>0</v>
      </c>
      <c r="M916" s="1018">
        <f t="shared" si="221"/>
        <v>0</v>
      </c>
      <c r="N916" s="956">
        <f t="shared" si="222"/>
        <v>0</v>
      </c>
      <c r="O916" s="956">
        <f t="shared" si="223"/>
        <v>0</v>
      </c>
      <c r="P916" s="1019">
        <f t="shared" si="224"/>
        <v>107.24125</v>
      </c>
      <c r="Q916" s="675">
        <f t="shared" si="225"/>
        <v>95.3255555555556</v>
      </c>
      <c r="R916">
        <f t="shared" si="226"/>
        <v>18</v>
      </c>
      <c r="S916" s="661">
        <f t="shared" si="227"/>
        <v>0.0344168260038241</v>
      </c>
    </row>
    <row r="917" spans="1:19">
      <c r="A917" s="1010">
        <v>45564</v>
      </c>
      <c r="B917" s="670">
        <v>1858.77</v>
      </c>
      <c r="C917" s="37">
        <v>13345</v>
      </c>
      <c r="D917" s="37">
        <v>576</v>
      </c>
      <c r="E917" s="37">
        <v>0</v>
      </c>
      <c r="F917" s="670">
        <v>0</v>
      </c>
      <c r="G917" s="37">
        <v>32</v>
      </c>
      <c r="H917" s="37">
        <v>2</v>
      </c>
      <c r="I917" s="37">
        <v>2</v>
      </c>
      <c r="J917" s="1018">
        <f t="shared" si="218"/>
        <v>0.0431622330460847</v>
      </c>
      <c r="K917" s="1019">
        <f t="shared" si="219"/>
        <v>3.22703125</v>
      </c>
      <c r="L917" s="1020">
        <f t="shared" si="220"/>
        <v>0</v>
      </c>
      <c r="M917" s="1018">
        <f t="shared" si="221"/>
        <v>0</v>
      </c>
      <c r="N917" s="956">
        <f t="shared" si="222"/>
        <v>0</v>
      </c>
      <c r="O917" s="956">
        <f t="shared" si="223"/>
        <v>0</v>
      </c>
      <c r="P917" s="1019">
        <f t="shared" si="224"/>
        <v>58.0865625</v>
      </c>
      <c r="Q917" s="675">
        <f t="shared" si="225"/>
        <v>54.6697058823529</v>
      </c>
      <c r="R917">
        <f t="shared" si="226"/>
        <v>34</v>
      </c>
      <c r="S917" s="661">
        <f t="shared" si="227"/>
        <v>0.0590277777777778</v>
      </c>
    </row>
    <row r="918" spans="1:19">
      <c r="A918" s="1010">
        <v>45565</v>
      </c>
      <c r="B918" s="670">
        <v>1582.83</v>
      </c>
      <c r="C918" s="37">
        <v>15559</v>
      </c>
      <c r="D918" s="37">
        <v>469</v>
      </c>
      <c r="E918" s="37">
        <v>0</v>
      </c>
      <c r="F918" s="670">
        <v>0</v>
      </c>
      <c r="G918" s="37">
        <v>18</v>
      </c>
      <c r="H918" s="37">
        <v>6</v>
      </c>
      <c r="I918" s="37">
        <v>2</v>
      </c>
      <c r="J918" s="1018">
        <f t="shared" si="218"/>
        <v>0.0301433254065171</v>
      </c>
      <c r="K918" s="1019">
        <f t="shared" si="219"/>
        <v>3.37490405117271</v>
      </c>
      <c r="L918" s="1020">
        <f t="shared" si="220"/>
        <v>0</v>
      </c>
      <c r="M918" s="1018">
        <f t="shared" si="221"/>
        <v>0</v>
      </c>
      <c r="N918" s="956">
        <f t="shared" si="222"/>
        <v>0</v>
      </c>
      <c r="O918" s="956">
        <f t="shared" si="223"/>
        <v>0</v>
      </c>
      <c r="P918" s="1019">
        <f t="shared" si="224"/>
        <v>87.935</v>
      </c>
      <c r="Q918" s="675">
        <f t="shared" si="225"/>
        <v>65.95125</v>
      </c>
      <c r="R918">
        <f t="shared" si="226"/>
        <v>24</v>
      </c>
      <c r="S918" s="661">
        <f t="shared" si="227"/>
        <v>0.0511727078891258</v>
      </c>
    </row>
    <row r="919" spans="1:19">
      <c r="A919" s="1010">
        <v>45566</v>
      </c>
      <c r="B919" s="670">
        <v>1821.59</v>
      </c>
      <c r="C919" s="37">
        <v>17053</v>
      </c>
      <c r="D919" s="37">
        <v>562</v>
      </c>
      <c r="E919" s="37">
        <v>0</v>
      </c>
      <c r="F919" s="670">
        <v>0</v>
      </c>
      <c r="G919" s="37">
        <v>20</v>
      </c>
      <c r="H919" s="37">
        <v>4</v>
      </c>
      <c r="I919" s="37">
        <v>1</v>
      </c>
      <c r="J919" s="1018">
        <f t="shared" si="218"/>
        <v>0.0329560781094236</v>
      </c>
      <c r="K919" s="1019">
        <f t="shared" si="219"/>
        <v>3.24126334519573</v>
      </c>
      <c r="L919" s="1020">
        <f t="shared" si="220"/>
        <v>0</v>
      </c>
      <c r="M919" s="1018">
        <f t="shared" si="221"/>
        <v>0</v>
      </c>
      <c r="N919" s="956">
        <f t="shared" si="222"/>
        <v>0</v>
      </c>
      <c r="O919" s="956">
        <f t="shared" si="223"/>
        <v>0</v>
      </c>
      <c r="P919" s="1019">
        <f t="shared" si="224"/>
        <v>91.0795</v>
      </c>
      <c r="Q919" s="675">
        <f t="shared" si="225"/>
        <v>75.8995833333333</v>
      </c>
      <c r="R919">
        <f t="shared" si="226"/>
        <v>24</v>
      </c>
      <c r="S919" s="661">
        <f t="shared" si="227"/>
        <v>0.0427046263345196</v>
      </c>
    </row>
    <row r="920" spans="1:19">
      <c r="A920" s="1010">
        <v>45567</v>
      </c>
      <c r="B920" s="670">
        <v>1799.71</v>
      </c>
      <c r="C920" s="37">
        <v>13157</v>
      </c>
      <c r="D920" s="37">
        <v>499</v>
      </c>
      <c r="E920" s="37">
        <v>4</v>
      </c>
      <c r="F920" s="670">
        <v>62757</v>
      </c>
      <c r="G920" s="37">
        <v>39</v>
      </c>
      <c r="H920" s="37">
        <v>1</v>
      </c>
      <c r="I920" s="37">
        <v>4</v>
      </c>
      <c r="J920" s="1018">
        <f t="shared" si="218"/>
        <v>0.0379265790073725</v>
      </c>
      <c r="K920" s="1019">
        <f t="shared" si="219"/>
        <v>3.60663326653307</v>
      </c>
      <c r="L920" s="1020">
        <f t="shared" si="220"/>
        <v>34.8706180440182</v>
      </c>
      <c r="M920" s="1018">
        <f t="shared" si="221"/>
        <v>0.00801603206412826</v>
      </c>
      <c r="N920" s="956">
        <f t="shared" si="222"/>
        <v>15689.25</v>
      </c>
      <c r="O920" s="956">
        <f t="shared" si="223"/>
        <v>449.9275</v>
      </c>
      <c r="P920" s="1019">
        <f t="shared" si="224"/>
        <v>46.1464102564103</v>
      </c>
      <c r="Q920" s="675">
        <f t="shared" si="225"/>
        <v>44.99275</v>
      </c>
      <c r="R920">
        <f t="shared" si="226"/>
        <v>40</v>
      </c>
      <c r="S920" s="661">
        <f t="shared" si="227"/>
        <v>0.0801603206412826</v>
      </c>
    </row>
    <row r="921" spans="1:19">
      <c r="A921" s="1010">
        <v>45568</v>
      </c>
      <c r="B921" s="670">
        <v>1702.14</v>
      </c>
      <c r="C921" s="37">
        <v>15299</v>
      </c>
      <c r="D921" s="37">
        <v>504</v>
      </c>
      <c r="E921" s="37">
        <v>0</v>
      </c>
      <c r="F921" s="670">
        <v>0</v>
      </c>
      <c r="G921" s="37">
        <v>36</v>
      </c>
      <c r="H921" s="37">
        <v>5</v>
      </c>
      <c r="I921" s="37">
        <v>4</v>
      </c>
      <c r="J921" s="1018">
        <f t="shared" ref="J921:J968" si="228">D921/C921</f>
        <v>0.0329433296293875</v>
      </c>
      <c r="K921" s="1019">
        <f t="shared" ref="K921:K968" si="229">B921/D921</f>
        <v>3.3772619047619</v>
      </c>
      <c r="L921" s="1020">
        <f t="shared" ref="L921:L968" si="230">F921/B921</f>
        <v>0</v>
      </c>
      <c r="M921" s="1018">
        <f t="shared" ref="M921:M968" si="231">E921/D921</f>
        <v>0</v>
      </c>
      <c r="N921" s="956">
        <f t="shared" ref="N921:N968" si="232">IF(E921=0,0,F921/E921)</f>
        <v>0</v>
      </c>
      <c r="O921" s="956">
        <f t="shared" ref="O921:O968" si="233">IF(E921=0,0,B921/E921)</f>
        <v>0</v>
      </c>
      <c r="P921" s="1019">
        <f t="shared" ref="P921:P968" si="234">B921/G921</f>
        <v>47.2816666666667</v>
      </c>
      <c r="Q921" s="675">
        <f t="shared" ref="Q921:Q968" si="235">B921/(G921+H921)</f>
        <v>41.5156097560976</v>
      </c>
      <c r="R921">
        <f t="shared" ref="R921:R968" si="236">G921+H921</f>
        <v>41</v>
      </c>
      <c r="S921" s="661">
        <f t="shared" ref="S921:S968" si="237">R921/D921</f>
        <v>0.0813492063492064</v>
      </c>
    </row>
    <row r="922" spans="1:19">
      <c r="A922" s="1010">
        <v>45569</v>
      </c>
      <c r="B922" s="670">
        <v>1780.31</v>
      </c>
      <c r="C922" s="37">
        <v>13486</v>
      </c>
      <c r="D922" s="37">
        <v>541</v>
      </c>
      <c r="E922" s="37">
        <v>0</v>
      </c>
      <c r="F922" s="670">
        <v>0</v>
      </c>
      <c r="G922" s="37">
        <v>17</v>
      </c>
      <c r="H922" s="37">
        <v>10</v>
      </c>
      <c r="I922" s="37">
        <v>5</v>
      </c>
      <c r="J922" s="1018">
        <f t="shared" si="228"/>
        <v>0.0401156755153493</v>
      </c>
      <c r="K922" s="1019">
        <f t="shared" si="229"/>
        <v>3.29077634011091</v>
      </c>
      <c r="L922" s="1020">
        <f t="shared" si="230"/>
        <v>0</v>
      </c>
      <c r="M922" s="1018">
        <f t="shared" si="231"/>
        <v>0</v>
      </c>
      <c r="N922" s="956">
        <f t="shared" si="232"/>
        <v>0</v>
      </c>
      <c r="O922" s="956">
        <f t="shared" si="233"/>
        <v>0</v>
      </c>
      <c r="P922" s="1019">
        <f t="shared" si="234"/>
        <v>104.724117647059</v>
      </c>
      <c r="Q922" s="675">
        <f t="shared" si="235"/>
        <v>65.9374074074074</v>
      </c>
      <c r="R922">
        <f t="shared" si="236"/>
        <v>27</v>
      </c>
      <c r="S922" s="661">
        <f t="shared" si="237"/>
        <v>0.0499075785582255</v>
      </c>
    </row>
    <row r="923" spans="1:19">
      <c r="A923" s="1010">
        <v>45570</v>
      </c>
      <c r="B923" s="670">
        <v>1633.34</v>
      </c>
      <c r="C923" s="37">
        <v>12900</v>
      </c>
      <c r="D923" s="37">
        <v>492</v>
      </c>
      <c r="E923" s="37">
        <v>0</v>
      </c>
      <c r="F923" s="670">
        <v>0</v>
      </c>
      <c r="G923" s="37">
        <v>24</v>
      </c>
      <c r="H923" s="37">
        <v>10</v>
      </c>
      <c r="I923" s="37">
        <v>2</v>
      </c>
      <c r="J923" s="1018">
        <f t="shared" si="228"/>
        <v>0.0381395348837209</v>
      </c>
      <c r="K923" s="1019">
        <f t="shared" si="229"/>
        <v>3.31979674796748</v>
      </c>
      <c r="L923" s="1020">
        <f t="shared" si="230"/>
        <v>0</v>
      </c>
      <c r="M923" s="1018">
        <f t="shared" si="231"/>
        <v>0</v>
      </c>
      <c r="N923" s="956">
        <f t="shared" si="232"/>
        <v>0</v>
      </c>
      <c r="O923" s="956">
        <f t="shared" si="233"/>
        <v>0</v>
      </c>
      <c r="P923" s="1019">
        <f t="shared" si="234"/>
        <v>68.0558333333333</v>
      </c>
      <c r="Q923" s="675">
        <f t="shared" si="235"/>
        <v>48.0394117647059</v>
      </c>
      <c r="R923">
        <f t="shared" si="236"/>
        <v>34</v>
      </c>
      <c r="S923" s="661">
        <f t="shared" si="237"/>
        <v>0.0691056910569106</v>
      </c>
    </row>
    <row r="924" spans="1:19">
      <c r="A924" s="1010">
        <v>45571</v>
      </c>
      <c r="B924" s="670">
        <v>1751.51</v>
      </c>
      <c r="C924" s="37">
        <v>10096</v>
      </c>
      <c r="D924" s="37">
        <v>516</v>
      </c>
      <c r="E924" s="37">
        <v>1</v>
      </c>
      <c r="F924" s="670">
        <v>11266</v>
      </c>
      <c r="G924" s="37">
        <v>45</v>
      </c>
      <c r="H924" s="37">
        <v>11</v>
      </c>
      <c r="I924" s="37">
        <v>4</v>
      </c>
      <c r="J924" s="1018">
        <f t="shared" si="228"/>
        <v>0.0511093502377179</v>
      </c>
      <c r="K924" s="1019">
        <f t="shared" si="229"/>
        <v>3.3943992248062</v>
      </c>
      <c r="L924" s="1020">
        <f t="shared" si="230"/>
        <v>6.43216424684986</v>
      </c>
      <c r="M924" s="1018">
        <f t="shared" si="231"/>
        <v>0.00193798449612403</v>
      </c>
      <c r="N924" s="956">
        <f t="shared" si="232"/>
        <v>11266</v>
      </c>
      <c r="O924" s="956">
        <f t="shared" si="233"/>
        <v>1751.51</v>
      </c>
      <c r="P924" s="1019">
        <f t="shared" si="234"/>
        <v>38.9224444444444</v>
      </c>
      <c r="Q924" s="675">
        <f t="shared" si="235"/>
        <v>31.2769642857143</v>
      </c>
      <c r="R924">
        <f t="shared" si="236"/>
        <v>56</v>
      </c>
      <c r="S924" s="661">
        <f t="shared" si="237"/>
        <v>0.108527131782946</v>
      </c>
    </row>
    <row r="925" spans="1:19">
      <c r="A925" s="1010">
        <v>45572</v>
      </c>
      <c r="B925" s="670">
        <v>1768.65</v>
      </c>
      <c r="C925" s="37">
        <v>9127</v>
      </c>
      <c r="D925" s="37">
        <v>546</v>
      </c>
      <c r="E925" s="37">
        <v>1</v>
      </c>
      <c r="F925" s="670">
        <v>1349.76</v>
      </c>
      <c r="G925" s="37">
        <v>50</v>
      </c>
      <c r="H925" s="37">
        <v>13</v>
      </c>
      <c r="I925" s="37">
        <v>9</v>
      </c>
      <c r="J925" s="1018">
        <f t="shared" si="228"/>
        <v>0.0598225046565136</v>
      </c>
      <c r="K925" s="1019">
        <f t="shared" si="229"/>
        <v>3.23928571428571</v>
      </c>
      <c r="L925" s="1020">
        <f t="shared" si="230"/>
        <v>0.763158341107624</v>
      </c>
      <c r="M925" s="1018">
        <f t="shared" si="231"/>
        <v>0.00183150183150183</v>
      </c>
      <c r="N925" s="956">
        <f t="shared" si="232"/>
        <v>1349.76</v>
      </c>
      <c r="O925" s="956">
        <f t="shared" si="233"/>
        <v>1768.65</v>
      </c>
      <c r="P925" s="1019">
        <f t="shared" si="234"/>
        <v>35.373</v>
      </c>
      <c r="Q925" s="675">
        <f t="shared" si="235"/>
        <v>28.0738095238095</v>
      </c>
      <c r="R925">
        <f t="shared" si="236"/>
        <v>63</v>
      </c>
      <c r="S925" s="661">
        <f t="shared" si="237"/>
        <v>0.115384615384615</v>
      </c>
    </row>
    <row r="926" spans="1:19">
      <c r="A926" s="1010">
        <v>45573</v>
      </c>
      <c r="B926" s="670">
        <v>1745.28</v>
      </c>
      <c r="C926" s="37">
        <v>9722</v>
      </c>
      <c r="D926" s="37">
        <v>528</v>
      </c>
      <c r="E926" s="37">
        <v>1</v>
      </c>
      <c r="F926" s="670">
        <v>11097</v>
      </c>
      <c r="G926" s="37">
        <v>45</v>
      </c>
      <c r="H926" s="37">
        <v>6</v>
      </c>
      <c r="I926" s="37">
        <v>5</v>
      </c>
      <c r="J926" s="1018">
        <f t="shared" si="228"/>
        <v>0.054309812795721</v>
      </c>
      <c r="K926" s="1019">
        <f t="shared" si="229"/>
        <v>3.30545454545455</v>
      </c>
      <c r="L926" s="1020">
        <f t="shared" si="230"/>
        <v>6.35829207920792</v>
      </c>
      <c r="M926" s="1018">
        <f t="shared" si="231"/>
        <v>0.00189393939393939</v>
      </c>
      <c r="N926" s="956">
        <f t="shared" si="232"/>
        <v>11097</v>
      </c>
      <c r="O926" s="956">
        <f t="shared" si="233"/>
        <v>1745.28</v>
      </c>
      <c r="P926" s="1019">
        <f t="shared" si="234"/>
        <v>38.784</v>
      </c>
      <c r="Q926" s="675">
        <f t="shared" si="235"/>
        <v>34.2211764705882</v>
      </c>
      <c r="R926">
        <f t="shared" si="236"/>
        <v>51</v>
      </c>
      <c r="S926" s="661">
        <f t="shared" si="237"/>
        <v>0.0965909090909091</v>
      </c>
    </row>
    <row r="927" spans="1:19">
      <c r="A927" s="1010">
        <v>45574</v>
      </c>
      <c r="B927" s="670">
        <v>1294.49</v>
      </c>
      <c r="C927" s="37">
        <v>5497</v>
      </c>
      <c r="D927" s="37">
        <v>382</v>
      </c>
      <c r="E927" s="37">
        <v>1</v>
      </c>
      <c r="F927" s="670">
        <v>11097</v>
      </c>
      <c r="G927" s="37">
        <v>35</v>
      </c>
      <c r="H927" s="37">
        <v>7</v>
      </c>
      <c r="I927" s="37">
        <v>1</v>
      </c>
      <c r="J927" s="1018">
        <f t="shared" si="228"/>
        <v>0.0694924504275059</v>
      </c>
      <c r="K927" s="1019">
        <f t="shared" si="229"/>
        <v>3.38871727748691</v>
      </c>
      <c r="L927" s="1020">
        <f t="shared" si="230"/>
        <v>8.57248800685984</v>
      </c>
      <c r="M927" s="1018">
        <f t="shared" si="231"/>
        <v>0.00261780104712042</v>
      </c>
      <c r="N927" s="956">
        <f t="shared" si="232"/>
        <v>11097</v>
      </c>
      <c r="O927" s="956">
        <f t="shared" si="233"/>
        <v>1294.49</v>
      </c>
      <c r="P927" s="1019">
        <f t="shared" si="234"/>
        <v>36.9854285714286</v>
      </c>
      <c r="Q927" s="675">
        <f t="shared" si="235"/>
        <v>30.8211904761905</v>
      </c>
      <c r="R927">
        <f t="shared" si="236"/>
        <v>42</v>
      </c>
      <c r="S927" s="661">
        <f t="shared" si="237"/>
        <v>0.109947643979058</v>
      </c>
    </row>
    <row r="928" spans="1:19">
      <c r="A928" s="1010">
        <v>45575</v>
      </c>
      <c r="B928" s="670">
        <v>1798.66</v>
      </c>
      <c r="C928" s="37">
        <v>9965</v>
      </c>
      <c r="D928" s="37">
        <v>542</v>
      </c>
      <c r="E928" s="37">
        <v>3</v>
      </c>
      <c r="F928" s="670">
        <v>36276</v>
      </c>
      <c r="G928" s="37">
        <v>47</v>
      </c>
      <c r="H928" s="37">
        <v>10</v>
      </c>
      <c r="I928" s="37">
        <v>6</v>
      </c>
      <c r="J928" s="1018">
        <f t="shared" si="228"/>
        <v>0.054390366281987</v>
      </c>
      <c r="K928" s="1019">
        <f t="shared" si="229"/>
        <v>3.31856088560886</v>
      </c>
      <c r="L928" s="1020">
        <f t="shared" si="230"/>
        <v>20.1683475476188</v>
      </c>
      <c r="M928" s="1018">
        <f t="shared" si="231"/>
        <v>0.00553505535055351</v>
      </c>
      <c r="N928" s="956">
        <f t="shared" si="232"/>
        <v>12092</v>
      </c>
      <c r="O928" s="956">
        <f t="shared" si="233"/>
        <v>599.553333333333</v>
      </c>
      <c r="P928" s="1019">
        <f t="shared" si="234"/>
        <v>38.2693617021277</v>
      </c>
      <c r="Q928" s="675">
        <f t="shared" si="235"/>
        <v>31.5554385964912</v>
      </c>
      <c r="R928">
        <f t="shared" si="236"/>
        <v>57</v>
      </c>
      <c r="S928" s="661">
        <f t="shared" si="237"/>
        <v>0.105166051660517</v>
      </c>
    </row>
    <row r="929" spans="1:19">
      <c r="A929" s="1010">
        <v>45576</v>
      </c>
      <c r="B929" s="670">
        <v>1847.61</v>
      </c>
      <c r="C929" s="37">
        <v>14071</v>
      </c>
      <c r="D929" s="37">
        <v>565</v>
      </c>
      <c r="E929" s="37">
        <v>3</v>
      </c>
      <c r="F929" s="670">
        <v>25689</v>
      </c>
      <c r="G929" s="37">
        <v>53</v>
      </c>
      <c r="H929" s="37">
        <v>6</v>
      </c>
      <c r="I929" s="37">
        <v>2</v>
      </c>
      <c r="J929" s="1018">
        <f t="shared" si="228"/>
        <v>0.0401535072134177</v>
      </c>
      <c r="K929" s="1019">
        <f t="shared" si="229"/>
        <v>3.27010619469027</v>
      </c>
      <c r="L929" s="1020">
        <f t="shared" si="230"/>
        <v>13.9039082923344</v>
      </c>
      <c r="M929" s="1018">
        <f t="shared" si="231"/>
        <v>0.00530973451327434</v>
      </c>
      <c r="N929" s="956">
        <f t="shared" si="232"/>
        <v>8563</v>
      </c>
      <c r="O929" s="956">
        <f t="shared" si="233"/>
        <v>615.87</v>
      </c>
      <c r="P929" s="1019">
        <f t="shared" si="234"/>
        <v>34.8605660377359</v>
      </c>
      <c r="Q929" s="675">
        <f t="shared" si="235"/>
        <v>31.3154237288136</v>
      </c>
      <c r="R929">
        <f t="shared" si="236"/>
        <v>59</v>
      </c>
      <c r="S929" s="661">
        <f t="shared" si="237"/>
        <v>0.104424778761062</v>
      </c>
    </row>
    <row r="930" spans="1:19">
      <c r="A930" s="1010">
        <v>45577</v>
      </c>
      <c r="B930" s="670">
        <v>1450.24</v>
      </c>
      <c r="C930" s="37">
        <v>6622</v>
      </c>
      <c r="D930" s="37">
        <v>448</v>
      </c>
      <c r="E930" s="37">
        <v>0</v>
      </c>
      <c r="F930" s="670">
        <v>0</v>
      </c>
      <c r="G930" s="37">
        <v>32</v>
      </c>
      <c r="H930" s="37">
        <v>6</v>
      </c>
      <c r="I930" s="37">
        <v>6</v>
      </c>
      <c r="J930" s="1018">
        <f t="shared" si="228"/>
        <v>0.0676532769556025</v>
      </c>
      <c r="K930" s="1019">
        <f t="shared" si="229"/>
        <v>3.23714285714286</v>
      </c>
      <c r="L930" s="1020">
        <f t="shared" si="230"/>
        <v>0</v>
      </c>
      <c r="M930" s="1018">
        <f t="shared" si="231"/>
        <v>0</v>
      </c>
      <c r="N930" s="956">
        <f t="shared" si="232"/>
        <v>0</v>
      </c>
      <c r="O930" s="956">
        <f t="shared" si="233"/>
        <v>0</v>
      </c>
      <c r="P930" s="1019">
        <f t="shared" si="234"/>
        <v>45.32</v>
      </c>
      <c r="Q930" s="675">
        <f t="shared" si="235"/>
        <v>38.1642105263158</v>
      </c>
      <c r="R930">
        <f t="shared" si="236"/>
        <v>38</v>
      </c>
      <c r="S930" s="661">
        <f t="shared" si="237"/>
        <v>0.0848214285714286</v>
      </c>
    </row>
    <row r="931" spans="1:19">
      <c r="A931" s="1010">
        <v>45578</v>
      </c>
      <c r="B931" s="670">
        <v>1357.84</v>
      </c>
      <c r="C931" s="37">
        <v>8769</v>
      </c>
      <c r="D931" s="37">
        <v>448</v>
      </c>
      <c r="E931" s="37">
        <v>5</v>
      </c>
      <c r="F931" s="670">
        <v>58673</v>
      </c>
      <c r="G931" s="37">
        <v>61</v>
      </c>
      <c r="H931" s="37">
        <v>8</v>
      </c>
      <c r="I931" s="37">
        <v>2</v>
      </c>
      <c r="J931" s="1018">
        <f t="shared" si="228"/>
        <v>0.0510890637472916</v>
      </c>
      <c r="K931" s="1019">
        <f t="shared" si="229"/>
        <v>3.03089285714286</v>
      </c>
      <c r="L931" s="1020">
        <f t="shared" si="230"/>
        <v>43.2105402698403</v>
      </c>
      <c r="M931" s="1018">
        <f t="shared" si="231"/>
        <v>0.0111607142857143</v>
      </c>
      <c r="N931" s="956">
        <f t="shared" si="232"/>
        <v>11734.6</v>
      </c>
      <c r="O931" s="956">
        <f t="shared" si="233"/>
        <v>271.568</v>
      </c>
      <c r="P931" s="1019">
        <f t="shared" si="234"/>
        <v>22.2596721311475</v>
      </c>
      <c r="Q931" s="675">
        <f t="shared" si="235"/>
        <v>19.6788405797101</v>
      </c>
      <c r="R931">
        <f t="shared" si="236"/>
        <v>69</v>
      </c>
      <c r="S931" s="661">
        <f t="shared" si="237"/>
        <v>0.154017857142857</v>
      </c>
    </row>
    <row r="932" spans="1:19">
      <c r="A932" s="1010">
        <v>45579</v>
      </c>
      <c r="B932" s="670">
        <v>2444.13</v>
      </c>
      <c r="C932" s="37">
        <v>11370</v>
      </c>
      <c r="D932" s="37">
        <v>743</v>
      </c>
      <c r="E932" s="37">
        <v>14</v>
      </c>
      <c r="F932" s="670">
        <v>121471</v>
      </c>
      <c r="G932" s="37">
        <v>89</v>
      </c>
      <c r="H932" s="37">
        <v>15</v>
      </c>
      <c r="I932" s="37">
        <v>18</v>
      </c>
      <c r="J932" s="1018">
        <f t="shared" si="228"/>
        <v>0.0653474054529463</v>
      </c>
      <c r="K932" s="1019">
        <f t="shared" si="229"/>
        <v>3.28954239569314</v>
      </c>
      <c r="L932" s="1020">
        <f t="shared" si="230"/>
        <v>49.6990749264564</v>
      </c>
      <c r="M932" s="1018">
        <f t="shared" si="231"/>
        <v>0.018842530282638</v>
      </c>
      <c r="N932" s="956">
        <f t="shared" si="232"/>
        <v>8676.5</v>
      </c>
      <c r="O932" s="956">
        <f t="shared" si="233"/>
        <v>174.580714285714</v>
      </c>
      <c r="P932" s="1019">
        <f t="shared" si="234"/>
        <v>27.4621348314607</v>
      </c>
      <c r="Q932" s="675">
        <f t="shared" si="235"/>
        <v>23.50125</v>
      </c>
      <c r="R932">
        <f t="shared" si="236"/>
        <v>104</v>
      </c>
      <c r="S932" s="661">
        <f t="shared" si="237"/>
        <v>0.139973082099596</v>
      </c>
    </row>
    <row r="933" spans="1:19">
      <c r="A933" s="1010">
        <v>45580</v>
      </c>
      <c r="B933" s="670">
        <v>3491.53</v>
      </c>
      <c r="C933" s="37">
        <v>12809</v>
      </c>
      <c r="D933" s="37">
        <v>1044</v>
      </c>
      <c r="E933" s="37">
        <v>15</v>
      </c>
      <c r="F933" s="670">
        <v>159934</v>
      </c>
      <c r="G933" s="37">
        <v>113</v>
      </c>
      <c r="H933" s="37">
        <v>25</v>
      </c>
      <c r="I933" s="37">
        <v>19</v>
      </c>
      <c r="J933" s="1018">
        <f t="shared" si="228"/>
        <v>0.0815051916621126</v>
      </c>
      <c r="K933" s="1019">
        <f t="shared" si="229"/>
        <v>3.34437739463602</v>
      </c>
      <c r="L933" s="1020">
        <f t="shared" si="230"/>
        <v>45.8062797684683</v>
      </c>
      <c r="M933" s="1018">
        <f t="shared" si="231"/>
        <v>0.014367816091954</v>
      </c>
      <c r="N933" s="956">
        <f t="shared" si="232"/>
        <v>10662.2666666667</v>
      </c>
      <c r="O933" s="956">
        <f t="shared" si="233"/>
        <v>232.768666666667</v>
      </c>
      <c r="P933" s="1019">
        <f t="shared" si="234"/>
        <v>30.8984955752212</v>
      </c>
      <c r="Q933" s="675">
        <f t="shared" si="235"/>
        <v>25.3009420289855</v>
      </c>
      <c r="R933">
        <f t="shared" si="236"/>
        <v>138</v>
      </c>
      <c r="S933" s="661">
        <f t="shared" si="237"/>
        <v>0.132183908045977</v>
      </c>
    </row>
    <row r="934" spans="1:19">
      <c r="A934" s="1010">
        <v>45581</v>
      </c>
      <c r="B934" s="670">
        <v>2832.87</v>
      </c>
      <c r="C934" s="37">
        <v>12731</v>
      </c>
      <c r="D934" s="37">
        <v>831</v>
      </c>
      <c r="E934" s="37">
        <v>8</v>
      </c>
      <c r="F934" s="670">
        <v>85760</v>
      </c>
      <c r="G934" s="37">
        <v>129</v>
      </c>
      <c r="H934" s="37">
        <v>10</v>
      </c>
      <c r="I934" s="37">
        <v>13</v>
      </c>
      <c r="J934" s="1018">
        <f t="shared" si="228"/>
        <v>0.0652737412614877</v>
      </c>
      <c r="K934" s="1019">
        <f t="shared" si="229"/>
        <v>3.40898916967509</v>
      </c>
      <c r="L934" s="1020">
        <f t="shared" si="230"/>
        <v>30.273185850392</v>
      </c>
      <c r="M934" s="1018">
        <f t="shared" si="231"/>
        <v>0.00962695547533093</v>
      </c>
      <c r="N934" s="956">
        <f t="shared" si="232"/>
        <v>10720</v>
      </c>
      <c r="O934" s="956">
        <f t="shared" si="233"/>
        <v>354.10875</v>
      </c>
      <c r="P934" s="1019">
        <f t="shared" si="234"/>
        <v>21.9602325581395</v>
      </c>
      <c r="Q934" s="675">
        <f t="shared" si="235"/>
        <v>20.3803597122302</v>
      </c>
      <c r="R934">
        <f t="shared" si="236"/>
        <v>139</v>
      </c>
      <c r="S934" s="661">
        <f t="shared" si="237"/>
        <v>0.167268351383875</v>
      </c>
    </row>
    <row r="935" spans="1:19">
      <c r="A935" s="1010">
        <v>45582</v>
      </c>
      <c r="B935" s="670">
        <v>1808.7</v>
      </c>
      <c r="C935" s="37">
        <v>9555</v>
      </c>
      <c r="D935" s="37">
        <v>525</v>
      </c>
      <c r="E935" s="37">
        <v>2</v>
      </c>
      <c r="F935" s="670">
        <v>20295</v>
      </c>
      <c r="G935" s="37">
        <v>83</v>
      </c>
      <c r="H935" s="37">
        <v>9</v>
      </c>
      <c r="I935" s="37">
        <v>16</v>
      </c>
      <c r="J935" s="1018">
        <f t="shared" si="228"/>
        <v>0.0549450549450549</v>
      </c>
      <c r="K935" s="1019">
        <f t="shared" si="229"/>
        <v>3.44514285714286</v>
      </c>
      <c r="L935" s="1020">
        <f t="shared" si="230"/>
        <v>11.2207662962349</v>
      </c>
      <c r="M935" s="1018">
        <f t="shared" si="231"/>
        <v>0.00380952380952381</v>
      </c>
      <c r="N935" s="956">
        <f t="shared" si="232"/>
        <v>10147.5</v>
      </c>
      <c r="O935" s="956">
        <f t="shared" si="233"/>
        <v>904.35</v>
      </c>
      <c r="P935" s="1019">
        <f t="shared" si="234"/>
        <v>21.7915662650602</v>
      </c>
      <c r="Q935" s="675">
        <f t="shared" si="235"/>
        <v>19.6597826086957</v>
      </c>
      <c r="R935">
        <f t="shared" si="236"/>
        <v>92</v>
      </c>
      <c r="S935" s="661">
        <f t="shared" si="237"/>
        <v>0.175238095238095</v>
      </c>
    </row>
    <row r="936" spans="1:19">
      <c r="A936" s="1010">
        <v>45583</v>
      </c>
      <c r="B936" s="670">
        <v>2605.66</v>
      </c>
      <c r="C936" s="37">
        <v>11871</v>
      </c>
      <c r="D936" s="37">
        <v>764</v>
      </c>
      <c r="E936" s="37">
        <v>4</v>
      </c>
      <c r="F936" s="670">
        <v>46156</v>
      </c>
      <c r="G936" s="37">
        <v>101</v>
      </c>
      <c r="H936" s="37">
        <v>10</v>
      </c>
      <c r="I936" s="37">
        <v>20</v>
      </c>
      <c r="J936" s="1018">
        <f t="shared" si="228"/>
        <v>0.0643585207648892</v>
      </c>
      <c r="K936" s="1019">
        <f t="shared" si="229"/>
        <v>3.41054973821989</v>
      </c>
      <c r="L936" s="1020">
        <f t="shared" si="230"/>
        <v>17.7137462293622</v>
      </c>
      <c r="M936" s="1018">
        <f t="shared" si="231"/>
        <v>0.00523560209424084</v>
      </c>
      <c r="N936" s="956">
        <f t="shared" si="232"/>
        <v>11539</v>
      </c>
      <c r="O936" s="956">
        <f t="shared" si="233"/>
        <v>651.415</v>
      </c>
      <c r="P936" s="1019">
        <f t="shared" si="234"/>
        <v>25.7986138613861</v>
      </c>
      <c r="Q936" s="675">
        <f t="shared" si="235"/>
        <v>23.4744144144144</v>
      </c>
      <c r="R936">
        <f t="shared" si="236"/>
        <v>111</v>
      </c>
      <c r="S936" s="661">
        <f t="shared" si="237"/>
        <v>0.145287958115183</v>
      </c>
    </row>
    <row r="937" spans="1:19">
      <c r="A937" s="1010">
        <v>45584</v>
      </c>
      <c r="B937" s="670">
        <v>2532.57</v>
      </c>
      <c r="C937" s="37">
        <v>9593</v>
      </c>
      <c r="D937" s="37">
        <v>743</v>
      </c>
      <c r="E937" s="37">
        <v>0</v>
      </c>
      <c r="F937" s="670">
        <v>0</v>
      </c>
      <c r="G937" s="37">
        <v>94</v>
      </c>
      <c r="H937" s="37">
        <v>24</v>
      </c>
      <c r="I937" s="37">
        <v>12</v>
      </c>
      <c r="J937" s="1018">
        <f t="shared" si="228"/>
        <v>0.0774523089752945</v>
      </c>
      <c r="K937" s="1019">
        <f t="shared" si="229"/>
        <v>3.4085733512786</v>
      </c>
      <c r="L937" s="1020">
        <f t="shared" si="230"/>
        <v>0</v>
      </c>
      <c r="M937" s="1018">
        <f t="shared" si="231"/>
        <v>0</v>
      </c>
      <c r="N937" s="956">
        <f t="shared" si="232"/>
        <v>0</v>
      </c>
      <c r="O937" s="956">
        <f t="shared" si="233"/>
        <v>0</v>
      </c>
      <c r="P937" s="1019">
        <f t="shared" si="234"/>
        <v>26.9422340425532</v>
      </c>
      <c r="Q937" s="675">
        <f t="shared" si="235"/>
        <v>21.4624576271186</v>
      </c>
      <c r="R937">
        <f t="shared" si="236"/>
        <v>118</v>
      </c>
      <c r="S937" s="661">
        <f t="shared" si="237"/>
        <v>0.158815612382234</v>
      </c>
    </row>
    <row r="938" spans="1:19">
      <c r="A938" s="1010">
        <v>45585</v>
      </c>
      <c r="B938" s="670">
        <v>2074.29</v>
      </c>
      <c r="C938" s="37">
        <v>12301</v>
      </c>
      <c r="D938" s="37">
        <v>637</v>
      </c>
      <c r="E938" s="37">
        <v>2</v>
      </c>
      <c r="F938" s="670">
        <v>22194</v>
      </c>
      <c r="G938" s="37">
        <v>93</v>
      </c>
      <c r="H938" s="37">
        <v>11</v>
      </c>
      <c r="I938" s="37">
        <v>13</v>
      </c>
      <c r="J938" s="1018">
        <f t="shared" si="228"/>
        <v>0.0517844077717259</v>
      </c>
      <c r="K938" s="1019">
        <f t="shared" si="229"/>
        <v>3.25634222919937</v>
      </c>
      <c r="L938" s="1020">
        <f t="shared" si="230"/>
        <v>10.6995646703209</v>
      </c>
      <c r="M938" s="1018">
        <f t="shared" si="231"/>
        <v>0.00313971742543171</v>
      </c>
      <c r="N938" s="956">
        <f t="shared" si="232"/>
        <v>11097</v>
      </c>
      <c r="O938" s="956">
        <f t="shared" si="233"/>
        <v>1037.145</v>
      </c>
      <c r="P938" s="1019">
        <f t="shared" si="234"/>
        <v>22.3041935483871</v>
      </c>
      <c r="Q938" s="675">
        <f t="shared" si="235"/>
        <v>19.9450961538462</v>
      </c>
      <c r="R938">
        <f t="shared" si="236"/>
        <v>104</v>
      </c>
      <c r="S938" s="661">
        <f t="shared" si="237"/>
        <v>0.163265306122449</v>
      </c>
    </row>
    <row r="939" spans="1:19">
      <c r="A939" s="1010">
        <v>45586</v>
      </c>
      <c r="B939" s="670">
        <v>4772.46</v>
      </c>
      <c r="C939" s="37">
        <v>19552</v>
      </c>
      <c r="D939" s="37">
        <v>1303</v>
      </c>
      <c r="E939" s="37">
        <v>13</v>
      </c>
      <c r="F939" s="670">
        <v>109426.28</v>
      </c>
      <c r="G939" s="37">
        <v>156</v>
      </c>
      <c r="H939" s="37">
        <v>14</v>
      </c>
      <c r="I939" s="37">
        <v>19</v>
      </c>
      <c r="J939" s="1018">
        <f t="shared" si="228"/>
        <v>0.066642798690671</v>
      </c>
      <c r="K939" s="1019">
        <f t="shared" si="229"/>
        <v>3.66267075978511</v>
      </c>
      <c r="L939" s="1020">
        <f t="shared" si="230"/>
        <v>22.9286950545421</v>
      </c>
      <c r="M939" s="1018">
        <f t="shared" si="231"/>
        <v>0.00997697620874904</v>
      </c>
      <c r="N939" s="956">
        <f t="shared" si="232"/>
        <v>8417.40615384615</v>
      </c>
      <c r="O939" s="956">
        <f t="shared" si="233"/>
        <v>367.112307692308</v>
      </c>
      <c r="P939" s="1019">
        <f t="shared" si="234"/>
        <v>30.5926923076923</v>
      </c>
      <c r="Q939" s="675">
        <f t="shared" si="235"/>
        <v>28.0732941176471</v>
      </c>
      <c r="R939">
        <f t="shared" si="236"/>
        <v>170</v>
      </c>
      <c r="S939" s="661">
        <f t="shared" si="237"/>
        <v>0.130468150422103</v>
      </c>
    </row>
    <row r="940" spans="1:19">
      <c r="A940" s="1010">
        <v>45587</v>
      </c>
      <c r="B940" s="670">
        <v>4586.36</v>
      </c>
      <c r="C940" s="37">
        <v>21605</v>
      </c>
      <c r="D940" s="37">
        <v>1325</v>
      </c>
      <c r="E940" s="37">
        <v>11</v>
      </c>
      <c r="F940" s="670">
        <v>132762</v>
      </c>
      <c r="G940" s="37">
        <v>152</v>
      </c>
      <c r="H940" s="37">
        <v>11</v>
      </c>
      <c r="I940" s="37">
        <v>17</v>
      </c>
      <c r="J940" s="1018">
        <f t="shared" si="228"/>
        <v>0.0613283962045823</v>
      </c>
      <c r="K940" s="1019">
        <f t="shared" si="229"/>
        <v>3.46140377358491</v>
      </c>
      <c r="L940" s="1020">
        <f t="shared" si="230"/>
        <v>28.9471389075432</v>
      </c>
      <c r="M940" s="1018">
        <f t="shared" si="231"/>
        <v>0.00830188679245283</v>
      </c>
      <c r="N940" s="956">
        <f t="shared" si="232"/>
        <v>12069.2727272727</v>
      </c>
      <c r="O940" s="956">
        <f t="shared" si="233"/>
        <v>416.941818181818</v>
      </c>
      <c r="P940" s="1019">
        <f t="shared" si="234"/>
        <v>30.1734210526316</v>
      </c>
      <c r="Q940" s="675">
        <f t="shared" si="235"/>
        <v>28.1371779141104</v>
      </c>
      <c r="R940">
        <f t="shared" si="236"/>
        <v>163</v>
      </c>
      <c r="S940" s="661">
        <f t="shared" si="237"/>
        <v>0.123018867924528</v>
      </c>
    </row>
    <row r="941" spans="1:19">
      <c r="A941" s="1010">
        <v>45588</v>
      </c>
      <c r="B941" s="670">
        <v>4679.32</v>
      </c>
      <c r="C941" s="37">
        <v>23365</v>
      </c>
      <c r="D941" s="37">
        <v>1260</v>
      </c>
      <c r="E941" s="37">
        <v>6</v>
      </c>
      <c r="F941" s="670">
        <v>76881</v>
      </c>
      <c r="G941" s="37">
        <v>115</v>
      </c>
      <c r="H941" s="37">
        <v>15</v>
      </c>
      <c r="I941" s="37">
        <v>13</v>
      </c>
      <c r="J941" s="1018">
        <f t="shared" si="228"/>
        <v>0.0539268136101006</v>
      </c>
      <c r="K941" s="1019">
        <f t="shared" si="229"/>
        <v>3.71374603174603</v>
      </c>
      <c r="L941" s="1020">
        <f t="shared" si="230"/>
        <v>16.4299513604541</v>
      </c>
      <c r="M941" s="1018">
        <f t="shared" si="231"/>
        <v>0.00476190476190476</v>
      </c>
      <c r="N941" s="956">
        <f t="shared" si="232"/>
        <v>12813.5</v>
      </c>
      <c r="O941" s="956">
        <f t="shared" si="233"/>
        <v>779.886666666667</v>
      </c>
      <c r="P941" s="1019">
        <f t="shared" si="234"/>
        <v>40.6897391304348</v>
      </c>
      <c r="Q941" s="675">
        <f t="shared" si="235"/>
        <v>35.9947692307692</v>
      </c>
      <c r="R941">
        <f t="shared" si="236"/>
        <v>130</v>
      </c>
      <c r="S941" s="661">
        <f t="shared" si="237"/>
        <v>0.103174603174603</v>
      </c>
    </row>
    <row r="942" spans="1:19">
      <c r="A942" s="1010">
        <v>45589</v>
      </c>
      <c r="B942" s="670">
        <v>3474.84</v>
      </c>
      <c r="C942" s="37">
        <v>29726</v>
      </c>
      <c r="D942" s="37">
        <v>942</v>
      </c>
      <c r="E942" s="37">
        <v>4</v>
      </c>
      <c r="F942" s="670">
        <v>33891</v>
      </c>
      <c r="G942" s="37">
        <v>96</v>
      </c>
      <c r="H942" s="37">
        <v>7</v>
      </c>
      <c r="I942" s="37">
        <v>14</v>
      </c>
      <c r="J942" s="1018">
        <f t="shared" si="228"/>
        <v>0.031689430128507</v>
      </c>
      <c r="K942" s="1019">
        <f t="shared" si="229"/>
        <v>3.6887898089172</v>
      </c>
      <c r="L942" s="1020">
        <f t="shared" si="230"/>
        <v>9.75325482612149</v>
      </c>
      <c r="M942" s="1018">
        <f t="shared" si="231"/>
        <v>0.00424628450106157</v>
      </c>
      <c r="N942" s="956">
        <f t="shared" si="232"/>
        <v>8472.75</v>
      </c>
      <c r="O942" s="956">
        <f t="shared" si="233"/>
        <v>868.71</v>
      </c>
      <c r="P942" s="1019">
        <f t="shared" si="234"/>
        <v>36.19625</v>
      </c>
      <c r="Q942" s="675">
        <f t="shared" si="235"/>
        <v>33.7363106796117</v>
      </c>
      <c r="R942">
        <f t="shared" si="236"/>
        <v>103</v>
      </c>
      <c r="S942" s="661">
        <f t="shared" si="237"/>
        <v>0.109341825902335</v>
      </c>
    </row>
    <row r="943" spans="1:19">
      <c r="A943" s="1010">
        <v>45590</v>
      </c>
      <c r="B943" s="670">
        <v>4915.96</v>
      </c>
      <c r="C943" s="37">
        <v>33280</v>
      </c>
      <c r="D943" s="37">
        <v>1177</v>
      </c>
      <c r="E943" s="37">
        <v>7</v>
      </c>
      <c r="F943" s="670">
        <v>67683</v>
      </c>
      <c r="G943" s="37">
        <v>79</v>
      </c>
      <c r="H943" s="37">
        <v>9</v>
      </c>
      <c r="I943" s="37">
        <v>10</v>
      </c>
      <c r="J943" s="1018">
        <f t="shared" si="228"/>
        <v>0.0353665865384615</v>
      </c>
      <c r="K943" s="1019">
        <f t="shared" si="229"/>
        <v>4.17668649107901</v>
      </c>
      <c r="L943" s="1020">
        <f t="shared" si="230"/>
        <v>13.7680127584439</v>
      </c>
      <c r="M943" s="1018">
        <f t="shared" si="231"/>
        <v>0.00594732370433305</v>
      </c>
      <c r="N943" s="956">
        <f t="shared" si="232"/>
        <v>9669</v>
      </c>
      <c r="O943" s="956">
        <f t="shared" si="233"/>
        <v>702.28</v>
      </c>
      <c r="P943" s="1019">
        <f t="shared" si="234"/>
        <v>62.2273417721519</v>
      </c>
      <c r="Q943" s="675">
        <f t="shared" si="235"/>
        <v>55.8631818181818</v>
      </c>
      <c r="R943">
        <f t="shared" si="236"/>
        <v>88</v>
      </c>
      <c r="S943" s="661">
        <f t="shared" si="237"/>
        <v>0.0747663551401869</v>
      </c>
    </row>
    <row r="944" spans="1:19">
      <c r="A944" s="1010">
        <v>45591</v>
      </c>
      <c r="B944" s="670">
        <v>4146.17</v>
      </c>
      <c r="C944" s="37">
        <v>33019</v>
      </c>
      <c r="D944" s="37">
        <v>992</v>
      </c>
      <c r="E944" s="37">
        <v>5</v>
      </c>
      <c r="F944" s="670">
        <v>42953</v>
      </c>
      <c r="G944" s="37">
        <v>75</v>
      </c>
      <c r="H944" s="37">
        <v>12</v>
      </c>
      <c r="I944" s="37">
        <v>10</v>
      </c>
      <c r="J944" s="1018">
        <f t="shared" si="228"/>
        <v>0.030043308398195</v>
      </c>
      <c r="K944" s="1019">
        <f t="shared" si="229"/>
        <v>4.17960685483871</v>
      </c>
      <c r="L944" s="1020">
        <f t="shared" si="230"/>
        <v>10.3596813444697</v>
      </c>
      <c r="M944" s="1018">
        <f t="shared" si="231"/>
        <v>0.00504032258064516</v>
      </c>
      <c r="N944" s="956">
        <f t="shared" si="232"/>
        <v>8590.6</v>
      </c>
      <c r="O944" s="956">
        <f t="shared" si="233"/>
        <v>829.234</v>
      </c>
      <c r="P944" s="1019">
        <f t="shared" si="234"/>
        <v>55.2822666666667</v>
      </c>
      <c r="Q944" s="675">
        <f t="shared" si="235"/>
        <v>47.6571264367816</v>
      </c>
      <c r="R944">
        <f t="shared" si="236"/>
        <v>87</v>
      </c>
      <c r="S944" s="661">
        <f t="shared" si="237"/>
        <v>0.0877016129032258</v>
      </c>
    </row>
    <row r="945" spans="1:19">
      <c r="A945" s="1010">
        <v>45592</v>
      </c>
      <c r="B945" s="670">
        <v>4386.11</v>
      </c>
      <c r="C945" s="37">
        <v>33639</v>
      </c>
      <c r="D945" s="37">
        <v>1113</v>
      </c>
      <c r="E945" s="37">
        <v>0</v>
      </c>
      <c r="F945" s="670">
        <v>0</v>
      </c>
      <c r="G945" s="37">
        <v>64</v>
      </c>
      <c r="H945" s="37">
        <v>7</v>
      </c>
      <c r="I945" s="37">
        <v>4</v>
      </c>
      <c r="J945" s="1018">
        <f t="shared" si="228"/>
        <v>0.0330865959154553</v>
      </c>
      <c r="K945" s="1019">
        <f t="shared" si="229"/>
        <v>3.94079964061096</v>
      </c>
      <c r="L945" s="1020">
        <f t="shared" si="230"/>
        <v>0</v>
      </c>
      <c r="M945" s="1018">
        <f t="shared" si="231"/>
        <v>0</v>
      </c>
      <c r="N945" s="956">
        <f t="shared" si="232"/>
        <v>0</v>
      </c>
      <c r="O945" s="956">
        <f t="shared" si="233"/>
        <v>0</v>
      </c>
      <c r="P945" s="1019">
        <f t="shared" si="234"/>
        <v>68.53296875</v>
      </c>
      <c r="Q945" s="675">
        <f t="shared" si="235"/>
        <v>61.7761971830986</v>
      </c>
      <c r="R945">
        <f t="shared" si="236"/>
        <v>71</v>
      </c>
      <c r="S945" s="661">
        <f t="shared" si="237"/>
        <v>0.0637915543575921</v>
      </c>
    </row>
    <row r="946" spans="1:19">
      <c r="A946" s="1010">
        <v>45593</v>
      </c>
      <c r="B946" s="670">
        <v>5137.87</v>
      </c>
      <c r="C946" s="37">
        <v>29292</v>
      </c>
      <c r="D946" s="37">
        <v>1222</v>
      </c>
      <c r="E946" s="37">
        <v>6</v>
      </c>
      <c r="F946" s="670">
        <v>63565</v>
      </c>
      <c r="G946" s="37">
        <v>77</v>
      </c>
      <c r="H946" s="37">
        <v>14</v>
      </c>
      <c r="I946" s="37">
        <v>18</v>
      </c>
      <c r="J946" s="1018">
        <f t="shared" si="228"/>
        <v>0.0417178751877646</v>
      </c>
      <c r="K946" s="1019">
        <f t="shared" si="229"/>
        <v>4.20447626841244</v>
      </c>
      <c r="L946" s="1020">
        <f t="shared" si="230"/>
        <v>12.3718583771096</v>
      </c>
      <c r="M946" s="1018">
        <f t="shared" si="231"/>
        <v>0.00490998363338789</v>
      </c>
      <c r="N946" s="956">
        <f t="shared" si="232"/>
        <v>10594.1666666667</v>
      </c>
      <c r="O946" s="956">
        <f t="shared" si="233"/>
        <v>856.311666666667</v>
      </c>
      <c r="P946" s="1019">
        <f t="shared" si="234"/>
        <v>66.7255844155844</v>
      </c>
      <c r="Q946" s="675">
        <f t="shared" si="235"/>
        <v>56.4601098901099</v>
      </c>
      <c r="R946">
        <f t="shared" si="236"/>
        <v>91</v>
      </c>
      <c r="S946" s="661">
        <f t="shared" si="237"/>
        <v>0.074468085106383</v>
      </c>
    </row>
    <row r="947" spans="1:19">
      <c r="A947" s="1010">
        <v>45594</v>
      </c>
      <c r="B947" s="670">
        <v>3272.35</v>
      </c>
      <c r="C947" s="37">
        <v>22355</v>
      </c>
      <c r="D947" s="37">
        <v>814</v>
      </c>
      <c r="E947" s="37">
        <v>1</v>
      </c>
      <c r="F947" s="670">
        <v>33074</v>
      </c>
      <c r="G947" s="37">
        <v>60</v>
      </c>
      <c r="H947" s="37">
        <v>3</v>
      </c>
      <c r="I947" s="37">
        <v>12</v>
      </c>
      <c r="J947" s="1018">
        <f t="shared" si="228"/>
        <v>0.0364124356967121</v>
      </c>
      <c r="K947" s="1019">
        <f t="shared" si="229"/>
        <v>4.02008599508599</v>
      </c>
      <c r="L947" s="1020">
        <f t="shared" si="230"/>
        <v>10.1071095695754</v>
      </c>
      <c r="M947" s="1018">
        <f t="shared" si="231"/>
        <v>0.00122850122850123</v>
      </c>
      <c r="N947" s="956">
        <f t="shared" si="232"/>
        <v>33074</v>
      </c>
      <c r="O947" s="956">
        <f t="shared" si="233"/>
        <v>3272.35</v>
      </c>
      <c r="P947" s="1019">
        <f t="shared" si="234"/>
        <v>54.5391666666667</v>
      </c>
      <c r="Q947" s="675">
        <f t="shared" si="235"/>
        <v>51.9420634920635</v>
      </c>
      <c r="R947">
        <f t="shared" si="236"/>
        <v>63</v>
      </c>
      <c r="S947" s="661">
        <f t="shared" si="237"/>
        <v>0.0773955773955774</v>
      </c>
    </row>
    <row r="948" spans="1:19">
      <c r="A948" s="1010">
        <v>45595</v>
      </c>
      <c r="B948" s="670">
        <v>3280.56</v>
      </c>
      <c r="C948" s="37">
        <v>22619</v>
      </c>
      <c r="D948" s="37">
        <v>837</v>
      </c>
      <c r="E948" s="37">
        <v>3</v>
      </c>
      <c r="F948" s="670">
        <v>31392</v>
      </c>
      <c r="G948" s="37">
        <v>51</v>
      </c>
      <c r="H948" s="37">
        <v>10</v>
      </c>
      <c r="I948" s="37">
        <v>7</v>
      </c>
      <c r="J948" s="1018">
        <f t="shared" si="228"/>
        <v>0.0370042884300809</v>
      </c>
      <c r="K948" s="1019">
        <f t="shared" si="229"/>
        <v>3.91942652329749</v>
      </c>
      <c r="L948" s="1020">
        <f t="shared" si="230"/>
        <v>9.56909795888507</v>
      </c>
      <c r="M948" s="1018">
        <f t="shared" si="231"/>
        <v>0.003584229390681</v>
      </c>
      <c r="N948" s="956">
        <f t="shared" si="232"/>
        <v>10464</v>
      </c>
      <c r="O948" s="956">
        <f t="shared" si="233"/>
        <v>1093.52</v>
      </c>
      <c r="P948" s="1019">
        <f t="shared" si="234"/>
        <v>64.3247058823529</v>
      </c>
      <c r="Q948" s="675">
        <f t="shared" si="235"/>
        <v>53.7796721311475</v>
      </c>
      <c r="R948">
        <f t="shared" si="236"/>
        <v>61</v>
      </c>
      <c r="S948" s="661">
        <f t="shared" si="237"/>
        <v>0.0728793309438471</v>
      </c>
    </row>
    <row r="949" spans="1:19">
      <c r="A949" s="1010">
        <v>45596</v>
      </c>
      <c r="B949" s="670">
        <v>3817.56</v>
      </c>
      <c r="C949" s="37">
        <v>20178</v>
      </c>
      <c r="D949" s="37">
        <v>897</v>
      </c>
      <c r="E949" s="37">
        <v>6</v>
      </c>
      <c r="F949" s="670">
        <v>71982</v>
      </c>
      <c r="G949" s="37">
        <v>68</v>
      </c>
      <c r="H949" s="37">
        <v>11</v>
      </c>
      <c r="I949" s="37">
        <v>10</v>
      </c>
      <c r="J949" s="1018">
        <f t="shared" si="228"/>
        <v>0.0444543562295569</v>
      </c>
      <c r="K949" s="1019">
        <f t="shared" si="229"/>
        <v>4.25591973244147</v>
      </c>
      <c r="L949" s="1020">
        <f t="shared" si="230"/>
        <v>18.8554993241757</v>
      </c>
      <c r="M949" s="1018">
        <f t="shared" si="231"/>
        <v>0.00668896321070234</v>
      </c>
      <c r="N949" s="956">
        <f t="shared" si="232"/>
        <v>11997</v>
      </c>
      <c r="O949" s="956">
        <f t="shared" si="233"/>
        <v>636.26</v>
      </c>
      <c r="P949" s="1019">
        <f t="shared" si="234"/>
        <v>56.1405882352941</v>
      </c>
      <c r="Q949" s="675">
        <f t="shared" si="235"/>
        <v>48.3235443037975</v>
      </c>
      <c r="R949">
        <f t="shared" si="236"/>
        <v>79</v>
      </c>
      <c r="S949" s="661">
        <f t="shared" si="237"/>
        <v>0.0880713489409142</v>
      </c>
    </row>
    <row r="950" spans="1:19">
      <c r="A950" s="1010">
        <v>45597</v>
      </c>
      <c r="B950" s="670">
        <v>4734.26</v>
      </c>
      <c r="C950" s="37">
        <v>33782</v>
      </c>
      <c r="D950" s="37">
        <v>1091</v>
      </c>
      <c r="E950" s="37">
        <v>10</v>
      </c>
      <c r="F950" s="670">
        <v>102141</v>
      </c>
      <c r="G950" s="37">
        <v>109</v>
      </c>
      <c r="H950" s="37">
        <v>10</v>
      </c>
      <c r="I950" s="37">
        <v>11</v>
      </c>
      <c r="J950" s="1018">
        <f t="shared" si="228"/>
        <v>0.0322953051921141</v>
      </c>
      <c r="K950" s="1019">
        <f t="shared" si="229"/>
        <v>4.33937671860678</v>
      </c>
      <c r="L950" s="1020">
        <f t="shared" si="230"/>
        <v>21.5748606962862</v>
      </c>
      <c r="M950" s="1018">
        <f t="shared" si="231"/>
        <v>0.00916590284142988</v>
      </c>
      <c r="N950" s="956">
        <f t="shared" si="232"/>
        <v>10214.1</v>
      </c>
      <c r="O950" s="956">
        <f t="shared" si="233"/>
        <v>473.426</v>
      </c>
      <c r="P950" s="1019">
        <f t="shared" si="234"/>
        <v>43.4335779816514</v>
      </c>
      <c r="Q950" s="675">
        <f t="shared" si="235"/>
        <v>39.7836974789916</v>
      </c>
      <c r="R950">
        <f t="shared" si="236"/>
        <v>119</v>
      </c>
      <c r="S950" s="661">
        <f t="shared" si="237"/>
        <v>0.109074243813016</v>
      </c>
    </row>
    <row r="951" spans="1:19">
      <c r="A951" s="1010">
        <v>45598</v>
      </c>
      <c r="B951" s="670">
        <v>4512.89</v>
      </c>
      <c r="C951" s="37">
        <v>32689</v>
      </c>
      <c r="D951" s="37">
        <v>1074</v>
      </c>
      <c r="E951" s="37">
        <v>5</v>
      </c>
      <c r="F951" s="670">
        <v>56929.48</v>
      </c>
      <c r="G951" s="37">
        <v>87</v>
      </c>
      <c r="H951" s="37">
        <v>12</v>
      </c>
      <c r="I951" s="37">
        <v>8</v>
      </c>
      <c r="J951" s="1018">
        <f t="shared" si="228"/>
        <v>0.0328550888678149</v>
      </c>
      <c r="K951" s="1019">
        <f t="shared" si="229"/>
        <v>4.20194599627561</v>
      </c>
      <c r="L951" s="1020">
        <f t="shared" si="230"/>
        <v>12.6148609870837</v>
      </c>
      <c r="M951" s="1018">
        <f t="shared" si="231"/>
        <v>0.00465549348230913</v>
      </c>
      <c r="N951" s="956">
        <f t="shared" si="232"/>
        <v>11385.896</v>
      </c>
      <c r="O951" s="956">
        <f t="shared" si="233"/>
        <v>902.578</v>
      </c>
      <c r="P951" s="1019">
        <f t="shared" si="234"/>
        <v>51.8722988505747</v>
      </c>
      <c r="Q951" s="675">
        <f t="shared" si="235"/>
        <v>45.5847474747475</v>
      </c>
      <c r="R951">
        <f t="shared" si="236"/>
        <v>99</v>
      </c>
      <c r="S951" s="661">
        <f t="shared" si="237"/>
        <v>0.0921787709497207</v>
      </c>
    </row>
    <row r="952" spans="1:19">
      <c r="A952" s="1010">
        <v>45599</v>
      </c>
      <c r="B952" s="670">
        <v>5049.83</v>
      </c>
      <c r="C952" s="37">
        <v>32804</v>
      </c>
      <c r="D952" s="37">
        <v>1235</v>
      </c>
      <c r="E952" s="37">
        <v>2</v>
      </c>
      <c r="F952" s="670">
        <v>20295</v>
      </c>
      <c r="G952" s="37">
        <v>73</v>
      </c>
      <c r="H952" s="37">
        <v>22</v>
      </c>
      <c r="I952" s="37">
        <v>8</v>
      </c>
      <c r="J952" s="1018">
        <f t="shared" si="228"/>
        <v>0.0376478478234362</v>
      </c>
      <c r="K952" s="1019">
        <f t="shared" si="229"/>
        <v>4.08893117408907</v>
      </c>
      <c r="L952" s="1020">
        <f t="shared" si="230"/>
        <v>4.01894717247907</v>
      </c>
      <c r="M952" s="1018">
        <f t="shared" si="231"/>
        <v>0.00161943319838057</v>
      </c>
      <c r="N952" s="956">
        <f t="shared" si="232"/>
        <v>10147.5</v>
      </c>
      <c r="O952" s="956">
        <f t="shared" si="233"/>
        <v>2524.915</v>
      </c>
      <c r="P952" s="1019">
        <f t="shared" si="234"/>
        <v>69.1757534246575</v>
      </c>
      <c r="Q952" s="675">
        <f t="shared" si="235"/>
        <v>53.1561052631579</v>
      </c>
      <c r="R952">
        <f t="shared" si="236"/>
        <v>95</v>
      </c>
      <c r="S952" s="661">
        <f t="shared" si="237"/>
        <v>0.0769230769230769</v>
      </c>
    </row>
    <row r="953" spans="1:19">
      <c r="A953" s="1010">
        <v>45600</v>
      </c>
      <c r="B953" s="670">
        <v>6119.36</v>
      </c>
      <c r="C953" s="37">
        <v>38752</v>
      </c>
      <c r="D953" s="37">
        <v>1371</v>
      </c>
      <c r="E953" s="37">
        <v>1</v>
      </c>
      <c r="F953" s="670">
        <v>11097</v>
      </c>
      <c r="G953" s="37">
        <v>105</v>
      </c>
      <c r="H953" s="37">
        <v>20</v>
      </c>
      <c r="I953" s="37">
        <v>9</v>
      </c>
      <c r="J953" s="1018">
        <f t="shared" si="228"/>
        <v>0.0353788191577209</v>
      </c>
      <c r="K953" s="1019">
        <f t="shared" si="229"/>
        <v>4.46342815463166</v>
      </c>
      <c r="L953" s="1020">
        <f t="shared" si="230"/>
        <v>1.81342493332636</v>
      </c>
      <c r="M953" s="1018">
        <f t="shared" si="231"/>
        <v>0.000729394602479942</v>
      </c>
      <c r="N953" s="956">
        <f t="shared" si="232"/>
        <v>11097</v>
      </c>
      <c r="O953" s="956">
        <f t="shared" si="233"/>
        <v>6119.36</v>
      </c>
      <c r="P953" s="1019">
        <f t="shared" si="234"/>
        <v>58.279619047619</v>
      </c>
      <c r="Q953" s="675">
        <f t="shared" si="235"/>
        <v>48.95488</v>
      </c>
      <c r="R953">
        <f t="shared" si="236"/>
        <v>125</v>
      </c>
      <c r="S953" s="661">
        <f t="shared" si="237"/>
        <v>0.0911743253099927</v>
      </c>
    </row>
    <row r="954" spans="1:19">
      <c r="A954" s="1010">
        <v>45601</v>
      </c>
      <c r="B954" s="670">
        <v>5437.44</v>
      </c>
      <c r="C954" s="37">
        <v>46192</v>
      </c>
      <c r="D954" s="37">
        <v>1243</v>
      </c>
      <c r="E954" s="37">
        <v>2</v>
      </c>
      <c r="F954" s="670">
        <v>15996</v>
      </c>
      <c r="G954" s="37">
        <v>74</v>
      </c>
      <c r="H954" s="37">
        <v>13</v>
      </c>
      <c r="I954" s="37">
        <v>9</v>
      </c>
      <c r="J954" s="1018">
        <f t="shared" si="228"/>
        <v>0.0269094215448563</v>
      </c>
      <c r="K954" s="1019">
        <f t="shared" si="229"/>
        <v>4.37444891391794</v>
      </c>
      <c r="L954" s="1020">
        <f t="shared" si="230"/>
        <v>2.94182556497175</v>
      </c>
      <c r="M954" s="1018">
        <f t="shared" si="231"/>
        <v>0.00160901045856798</v>
      </c>
      <c r="N954" s="956">
        <f t="shared" si="232"/>
        <v>7998</v>
      </c>
      <c r="O954" s="956">
        <f t="shared" si="233"/>
        <v>2718.72</v>
      </c>
      <c r="P954" s="1019">
        <f t="shared" si="234"/>
        <v>73.4789189189189</v>
      </c>
      <c r="Q954" s="675">
        <f t="shared" si="235"/>
        <v>62.4993103448276</v>
      </c>
      <c r="R954">
        <f t="shared" si="236"/>
        <v>87</v>
      </c>
      <c r="S954" s="661">
        <f t="shared" si="237"/>
        <v>0.0699919549477072</v>
      </c>
    </row>
    <row r="955" spans="1:19">
      <c r="A955" s="1010">
        <v>45602</v>
      </c>
      <c r="B955" s="670">
        <v>4110.61</v>
      </c>
      <c r="C955" s="37">
        <v>42415</v>
      </c>
      <c r="D955" s="37">
        <v>1016</v>
      </c>
      <c r="E955" s="37">
        <v>4</v>
      </c>
      <c r="F955" s="670">
        <v>54322</v>
      </c>
      <c r="G955" s="37">
        <v>56</v>
      </c>
      <c r="H955" s="37">
        <v>9</v>
      </c>
      <c r="I955" s="37">
        <v>9</v>
      </c>
      <c r="J955" s="1018">
        <f t="shared" si="228"/>
        <v>0.0239537899328068</v>
      </c>
      <c r="K955" s="1019">
        <f t="shared" si="229"/>
        <v>4.04587598425197</v>
      </c>
      <c r="L955" s="1020">
        <f t="shared" si="230"/>
        <v>13.2150702693761</v>
      </c>
      <c r="M955" s="1018">
        <f t="shared" si="231"/>
        <v>0.00393700787401575</v>
      </c>
      <c r="N955" s="956">
        <f t="shared" si="232"/>
        <v>13580.5</v>
      </c>
      <c r="O955" s="956">
        <f t="shared" si="233"/>
        <v>1027.6525</v>
      </c>
      <c r="P955" s="1019">
        <f t="shared" si="234"/>
        <v>73.40375</v>
      </c>
      <c r="Q955" s="675">
        <f t="shared" si="235"/>
        <v>63.2401538461538</v>
      </c>
      <c r="R955">
        <f t="shared" si="236"/>
        <v>65</v>
      </c>
      <c r="S955" s="661">
        <f t="shared" si="237"/>
        <v>0.0639763779527559</v>
      </c>
    </row>
    <row r="956" spans="1:19">
      <c r="A956" s="1010">
        <v>45603</v>
      </c>
      <c r="B956" s="670">
        <v>4677.41</v>
      </c>
      <c r="C956" s="37">
        <v>47599</v>
      </c>
      <c r="D956" s="37">
        <v>1147</v>
      </c>
      <c r="E956" s="37">
        <v>0</v>
      </c>
      <c r="F956" s="670">
        <v>0</v>
      </c>
      <c r="G956" s="37">
        <v>41</v>
      </c>
      <c r="H956" s="37">
        <v>11</v>
      </c>
      <c r="I956" s="37">
        <v>8</v>
      </c>
      <c r="J956" s="1018">
        <f t="shared" si="228"/>
        <v>0.0240971448980021</v>
      </c>
      <c r="K956" s="1019">
        <f t="shared" si="229"/>
        <v>4.07795117698343</v>
      </c>
      <c r="L956" s="1020">
        <f t="shared" si="230"/>
        <v>0</v>
      </c>
      <c r="M956" s="1018">
        <f t="shared" si="231"/>
        <v>0</v>
      </c>
      <c r="N956" s="956">
        <f t="shared" si="232"/>
        <v>0</v>
      </c>
      <c r="O956" s="956">
        <f t="shared" si="233"/>
        <v>0</v>
      </c>
      <c r="P956" s="1019">
        <f t="shared" si="234"/>
        <v>114.083170731707</v>
      </c>
      <c r="Q956" s="675">
        <f t="shared" si="235"/>
        <v>89.9501923076923</v>
      </c>
      <c r="R956">
        <f t="shared" si="236"/>
        <v>52</v>
      </c>
      <c r="S956" s="661">
        <f t="shared" si="237"/>
        <v>0.045335658238884</v>
      </c>
    </row>
    <row r="957" spans="1:19">
      <c r="A957" s="1010">
        <v>45604</v>
      </c>
      <c r="B957" s="670">
        <v>5520.16</v>
      </c>
      <c r="C957" s="37">
        <v>45879</v>
      </c>
      <c r="D957" s="37">
        <v>1160</v>
      </c>
      <c r="E957" s="37">
        <v>5</v>
      </c>
      <c r="F957" s="670">
        <v>47472</v>
      </c>
      <c r="G957" s="37">
        <v>62</v>
      </c>
      <c r="H957" s="37">
        <v>11</v>
      </c>
      <c r="I957" s="37">
        <v>9</v>
      </c>
      <c r="J957" s="1018">
        <f t="shared" si="228"/>
        <v>0.0252838989515901</v>
      </c>
      <c r="K957" s="1019">
        <f t="shared" si="229"/>
        <v>4.75875862068965</v>
      </c>
      <c r="L957" s="1020">
        <f t="shared" si="230"/>
        <v>8.59975073186284</v>
      </c>
      <c r="M957" s="1018">
        <f t="shared" si="231"/>
        <v>0.00431034482758621</v>
      </c>
      <c r="N957" s="956">
        <f t="shared" si="232"/>
        <v>9494.4</v>
      </c>
      <c r="O957" s="956">
        <f t="shared" si="233"/>
        <v>1104.032</v>
      </c>
      <c r="P957" s="1019">
        <f t="shared" si="234"/>
        <v>89.0348387096774</v>
      </c>
      <c r="Q957" s="675">
        <f t="shared" si="235"/>
        <v>75.6186301369863</v>
      </c>
      <c r="R957">
        <f t="shared" si="236"/>
        <v>73</v>
      </c>
      <c r="S957" s="661">
        <f t="shared" si="237"/>
        <v>0.0629310344827586</v>
      </c>
    </row>
    <row r="958" spans="1:19">
      <c r="A958" s="1010">
        <v>45605</v>
      </c>
      <c r="B958" s="670">
        <v>7236.36</v>
      </c>
      <c r="C958" s="37">
        <v>61364</v>
      </c>
      <c r="D958" s="37">
        <v>1227</v>
      </c>
      <c r="E958" s="37">
        <v>4</v>
      </c>
      <c r="F958" s="670">
        <v>35790</v>
      </c>
      <c r="G958" s="37">
        <v>46</v>
      </c>
      <c r="H958" s="37">
        <v>7</v>
      </c>
      <c r="I958" s="37">
        <v>6</v>
      </c>
      <c r="J958" s="1018">
        <f t="shared" si="228"/>
        <v>0.0199954370640767</v>
      </c>
      <c r="K958" s="1019">
        <f t="shared" si="229"/>
        <v>5.89760391198044</v>
      </c>
      <c r="L958" s="1020">
        <f t="shared" si="230"/>
        <v>4.94585675671194</v>
      </c>
      <c r="M958" s="1018">
        <f t="shared" si="231"/>
        <v>0.0032599837000815</v>
      </c>
      <c r="N958" s="956">
        <f t="shared" si="232"/>
        <v>8947.5</v>
      </c>
      <c r="O958" s="956">
        <f t="shared" si="233"/>
        <v>1809.09</v>
      </c>
      <c r="P958" s="1019">
        <f t="shared" si="234"/>
        <v>157.312173913043</v>
      </c>
      <c r="Q958" s="675">
        <f t="shared" si="235"/>
        <v>136.535094339623</v>
      </c>
      <c r="R958">
        <f t="shared" si="236"/>
        <v>53</v>
      </c>
      <c r="S958" s="661">
        <f t="shared" si="237"/>
        <v>0.0431947840260799</v>
      </c>
    </row>
    <row r="959" spans="1:19">
      <c r="A959" s="1010">
        <v>45606</v>
      </c>
      <c r="B959" s="670">
        <v>6634.55</v>
      </c>
      <c r="C959" s="37">
        <v>49225</v>
      </c>
      <c r="D959" s="37">
        <v>1183</v>
      </c>
      <c r="E959" s="37">
        <v>6</v>
      </c>
      <c r="F959" s="670">
        <v>70738</v>
      </c>
      <c r="G959" s="37">
        <v>76</v>
      </c>
      <c r="H959" s="37">
        <v>12</v>
      </c>
      <c r="I959" s="37">
        <v>13</v>
      </c>
      <c r="J959" s="1018">
        <f t="shared" si="228"/>
        <v>0.0240325038090401</v>
      </c>
      <c r="K959" s="1019">
        <f t="shared" si="229"/>
        <v>5.60824175824176</v>
      </c>
      <c r="L959" s="1020">
        <f t="shared" si="230"/>
        <v>10.6620644957081</v>
      </c>
      <c r="M959" s="1018">
        <f t="shared" si="231"/>
        <v>0.00507185122569738</v>
      </c>
      <c r="N959" s="956">
        <f t="shared" si="232"/>
        <v>11789.6666666667</v>
      </c>
      <c r="O959" s="956">
        <f t="shared" si="233"/>
        <v>1105.75833333333</v>
      </c>
      <c r="P959" s="1019">
        <f t="shared" si="234"/>
        <v>87.2967105263158</v>
      </c>
      <c r="Q959" s="675">
        <f t="shared" si="235"/>
        <v>75.3926136363636</v>
      </c>
      <c r="R959">
        <f t="shared" si="236"/>
        <v>88</v>
      </c>
      <c r="S959" s="661">
        <f t="shared" si="237"/>
        <v>0.0743871513102282</v>
      </c>
    </row>
    <row r="960" spans="1:19">
      <c r="A960" s="1010">
        <v>45607</v>
      </c>
      <c r="B960" s="670">
        <v>9590.36</v>
      </c>
      <c r="C960" s="37">
        <v>41810</v>
      </c>
      <c r="D960" s="37">
        <v>1493</v>
      </c>
      <c r="E960" s="37">
        <v>13</v>
      </c>
      <c r="F960" s="670">
        <v>117300</v>
      </c>
      <c r="G960" s="37">
        <v>99</v>
      </c>
      <c r="H960" s="37">
        <v>10</v>
      </c>
      <c r="I960" s="37">
        <v>12</v>
      </c>
      <c r="J960" s="1018">
        <f t="shared" si="228"/>
        <v>0.0357091604879215</v>
      </c>
      <c r="K960" s="1019">
        <f t="shared" si="229"/>
        <v>6.42354989953115</v>
      </c>
      <c r="L960" s="1020">
        <f t="shared" si="230"/>
        <v>12.2310319946279</v>
      </c>
      <c r="M960" s="1018">
        <f t="shared" si="231"/>
        <v>0.0087073007367716</v>
      </c>
      <c r="N960" s="956">
        <f t="shared" si="232"/>
        <v>9023.07692307692</v>
      </c>
      <c r="O960" s="956">
        <f t="shared" si="233"/>
        <v>737.72</v>
      </c>
      <c r="P960" s="1019">
        <f t="shared" si="234"/>
        <v>96.8723232323232</v>
      </c>
      <c r="Q960" s="675">
        <f t="shared" si="235"/>
        <v>87.9849541284404</v>
      </c>
      <c r="R960">
        <f t="shared" si="236"/>
        <v>109</v>
      </c>
      <c r="S960" s="661">
        <f t="shared" si="237"/>
        <v>0.073007367716008</v>
      </c>
    </row>
    <row r="961" spans="1:19">
      <c r="A961" s="1010">
        <v>45608</v>
      </c>
      <c r="B961" s="670">
        <v>2276.13</v>
      </c>
      <c r="C961" s="37">
        <v>13581</v>
      </c>
      <c r="D961" s="37">
        <v>410</v>
      </c>
      <c r="E961" s="37">
        <v>3</v>
      </c>
      <c r="F961" s="670">
        <v>16232</v>
      </c>
      <c r="G961" s="37">
        <v>29</v>
      </c>
      <c r="H961" s="37">
        <v>4</v>
      </c>
      <c r="I961" s="37">
        <v>3</v>
      </c>
      <c r="J961" s="1018">
        <f t="shared" si="228"/>
        <v>0.0301892349606067</v>
      </c>
      <c r="K961" s="1019">
        <f t="shared" si="229"/>
        <v>5.55153658536585</v>
      </c>
      <c r="L961" s="1020">
        <f t="shared" si="230"/>
        <v>7.13140286363257</v>
      </c>
      <c r="M961" s="1018">
        <f t="shared" si="231"/>
        <v>0.00731707317073171</v>
      </c>
      <c r="N961" s="956">
        <f t="shared" si="232"/>
        <v>5410.66666666667</v>
      </c>
      <c r="O961" s="956">
        <f t="shared" si="233"/>
        <v>758.71</v>
      </c>
      <c r="P961" s="1019">
        <f t="shared" si="234"/>
        <v>78.4872413793103</v>
      </c>
      <c r="Q961" s="675">
        <f t="shared" si="235"/>
        <v>68.9736363636364</v>
      </c>
      <c r="R961">
        <f t="shared" si="236"/>
        <v>33</v>
      </c>
      <c r="S961" s="661">
        <f t="shared" si="237"/>
        <v>0.0804878048780488</v>
      </c>
    </row>
    <row r="962" spans="1:19">
      <c r="A962" s="1010">
        <v>45609</v>
      </c>
      <c r="B962" s="670">
        <v>2495.79</v>
      </c>
      <c r="C962" s="37">
        <v>13941</v>
      </c>
      <c r="D962" s="37">
        <v>521</v>
      </c>
      <c r="E962" s="37">
        <v>2</v>
      </c>
      <c r="F962" s="670">
        <v>25472</v>
      </c>
      <c r="G962" s="37">
        <v>25</v>
      </c>
      <c r="H962" s="37">
        <v>7</v>
      </c>
      <c r="I962" s="37">
        <v>3</v>
      </c>
      <c r="J962" s="1018">
        <f t="shared" si="228"/>
        <v>0.0373717810773976</v>
      </c>
      <c r="K962" s="1019">
        <f t="shared" si="229"/>
        <v>4.79038387715931</v>
      </c>
      <c r="L962" s="1020">
        <f t="shared" si="230"/>
        <v>10.2059868819091</v>
      </c>
      <c r="M962" s="1018">
        <f t="shared" si="231"/>
        <v>0.00383877159309021</v>
      </c>
      <c r="N962" s="956">
        <f t="shared" si="232"/>
        <v>12736</v>
      </c>
      <c r="O962" s="956">
        <f t="shared" si="233"/>
        <v>1247.895</v>
      </c>
      <c r="P962" s="1019">
        <f t="shared" si="234"/>
        <v>99.8316</v>
      </c>
      <c r="Q962" s="675">
        <f t="shared" si="235"/>
        <v>77.9934375</v>
      </c>
      <c r="R962">
        <f t="shared" si="236"/>
        <v>32</v>
      </c>
      <c r="S962" s="661">
        <f t="shared" si="237"/>
        <v>0.0614203454894434</v>
      </c>
    </row>
    <row r="963" spans="1:19">
      <c r="A963" s="1010">
        <v>45610</v>
      </c>
      <c r="B963" s="670">
        <v>1296.65</v>
      </c>
      <c r="C963" s="37">
        <v>7605</v>
      </c>
      <c r="D963" s="37">
        <v>292</v>
      </c>
      <c r="E963" s="37">
        <v>0</v>
      </c>
      <c r="F963" s="670">
        <v>0</v>
      </c>
      <c r="G963" s="37">
        <v>11</v>
      </c>
      <c r="H963" s="37">
        <v>0</v>
      </c>
      <c r="I963" s="37">
        <v>1</v>
      </c>
      <c r="J963" s="1018">
        <f t="shared" si="228"/>
        <v>0.0383957922419461</v>
      </c>
      <c r="K963" s="1019">
        <f t="shared" si="229"/>
        <v>4.44058219178082</v>
      </c>
      <c r="L963" s="1020">
        <f t="shared" si="230"/>
        <v>0</v>
      </c>
      <c r="M963" s="1018">
        <f t="shared" si="231"/>
        <v>0</v>
      </c>
      <c r="N963" s="956">
        <f t="shared" si="232"/>
        <v>0</v>
      </c>
      <c r="O963" s="956">
        <f t="shared" si="233"/>
        <v>0</v>
      </c>
      <c r="P963" s="1019">
        <f t="shared" si="234"/>
        <v>117.877272727273</v>
      </c>
      <c r="Q963" s="675">
        <f t="shared" si="235"/>
        <v>117.877272727273</v>
      </c>
      <c r="R963">
        <f t="shared" si="236"/>
        <v>11</v>
      </c>
      <c r="S963" s="661">
        <f t="shared" si="237"/>
        <v>0.0376712328767123</v>
      </c>
    </row>
    <row r="964" spans="1:19">
      <c r="A964" s="1010">
        <v>45611</v>
      </c>
      <c r="B964" s="670">
        <v>2128.97</v>
      </c>
      <c r="C964" s="37">
        <v>13845</v>
      </c>
      <c r="D964" s="37">
        <v>472</v>
      </c>
      <c r="E964" s="37">
        <v>0</v>
      </c>
      <c r="F964" s="670">
        <v>0</v>
      </c>
      <c r="G964" s="37">
        <v>21</v>
      </c>
      <c r="H964" s="37">
        <v>2</v>
      </c>
      <c r="I964" s="37">
        <v>3</v>
      </c>
      <c r="J964" s="1018">
        <f t="shared" si="228"/>
        <v>0.0340917298663778</v>
      </c>
      <c r="K964" s="1019">
        <f t="shared" si="229"/>
        <v>4.51052966101695</v>
      </c>
      <c r="L964" s="1020">
        <f t="shared" si="230"/>
        <v>0</v>
      </c>
      <c r="M964" s="1018">
        <f t="shared" si="231"/>
        <v>0</v>
      </c>
      <c r="N964" s="956">
        <f t="shared" si="232"/>
        <v>0</v>
      </c>
      <c r="O964" s="956">
        <f t="shared" si="233"/>
        <v>0</v>
      </c>
      <c r="P964" s="1019">
        <f t="shared" si="234"/>
        <v>101.379523809524</v>
      </c>
      <c r="Q964" s="675">
        <f t="shared" si="235"/>
        <v>92.5639130434783</v>
      </c>
      <c r="R964">
        <f t="shared" si="236"/>
        <v>23</v>
      </c>
      <c r="S964" s="661">
        <f t="shared" si="237"/>
        <v>0.048728813559322</v>
      </c>
    </row>
    <row r="965" spans="1:19">
      <c r="A965" s="1010">
        <v>45612</v>
      </c>
      <c r="B965" s="670">
        <v>1952.29</v>
      </c>
      <c r="C965" s="37">
        <v>13778</v>
      </c>
      <c r="D965" s="37">
        <v>403</v>
      </c>
      <c r="E965" s="37">
        <v>0</v>
      </c>
      <c r="F965" s="670">
        <v>0</v>
      </c>
      <c r="G965" s="37">
        <v>32</v>
      </c>
      <c r="H965" s="37">
        <v>3</v>
      </c>
      <c r="I965" s="37">
        <v>2</v>
      </c>
      <c r="J965" s="1018">
        <f t="shared" si="228"/>
        <v>0.0292495282334156</v>
      </c>
      <c r="K965" s="1019">
        <f t="shared" si="229"/>
        <v>4.84439205955335</v>
      </c>
      <c r="L965" s="1020">
        <f t="shared" si="230"/>
        <v>0</v>
      </c>
      <c r="M965" s="1018">
        <f t="shared" si="231"/>
        <v>0</v>
      </c>
      <c r="N965" s="956">
        <f t="shared" si="232"/>
        <v>0</v>
      </c>
      <c r="O965" s="956">
        <f t="shared" si="233"/>
        <v>0</v>
      </c>
      <c r="P965" s="1019">
        <f t="shared" si="234"/>
        <v>61.0090625</v>
      </c>
      <c r="Q965" s="675">
        <f t="shared" si="235"/>
        <v>55.7797142857143</v>
      </c>
      <c r="R965">
        <f t="shared" si="236"/>
        <v>35</v>
      </c>
      <c r="S965" s="661">
        <f t="shared" si="237"/>
        <v>0.086848635235732</v>
      </c>
    </row>
    <row r="966" spans="1:19">
      <c r="A966" s="1010">
        <v>45613</v>
      </c>
      <c r="B966" s="670">
        <v>2248.82</v>
      </c>
      <c r="C966" s="37">
        <v>12396</v>
      </c>
      <c r="D966" s="37">
        <v>503</v>
      </c>
      <c r="E966" s="37">
        <v>0</v>
      </c>
      <c r="F966" s="670">
        <v>0</v>
      </c>
      <c r="G966" s="37">
        <v>36</v>
      </c>
      <c r="H966" s="37">
        <v>6</v>
      </c>
      <c r="I966" s="37">
        <v>6</v>
      </c>
      <c r="J966" s="1018">
        <f t="shared" si="228"/>
        <v>0.0405776056792514</v>
      </c>
      <c r="K966" s="1019">
        <f t="shared" si="229"/>
        <v>4.47081510934394</v>
      </c>
      <c r="L966" s="1020">
        <f t="shared" si="230"/>
        <v>0</v>
      </c>
      <c r="M966" s="1018">
        <f t="shared" si="231"/>
        <v>0</v>
      </c>
      <c r="N966" s="956">
        <f t="shared" si="232"/>
        <v>0</v>
      </c>
      <c r="O966" s="956">
        <f t="shared" si="233"/>
        <v>0</v>
      </c>
      <c r="P966" s="1019">
        <f t="shared" si="234"/>
        <v>62.4672222222222</v>
      </c>
      <c r="Q966" s="675">
        <f t="shared" si="235"/>
        <v>53.5433333333333</v>
      </c>
      <c r="R966">
        <f t="shared" si="236"/>
        <v>42</v>
      </c>
      <c r="S966" s="661">
        <f t="shared" si="237"/>
        <v>0.0834990059642147</v>
      </c>
    </row>
    <row r="967" spans="1:19">
      <c r="A967" s="1010">
        <v>45614</v>
      </c>
      <c r="B967" s="670">
        <v>2031.83</v>
      </c>
      <c r="C967" s="37">
        <v>12863</v>
      </c>
      <c r="D967" s="37">
        <v>419</v>
      </c>
      <c r="E967" s="37">
        <v>0</v>
      </c>
      <c r="F967" s="670">
        <v>0</v>
      </c>
      <c r="G967" s="37">
        <v>27</v>
      </c>
      <c r="H967" s="37">
        <v>5</v>
      </c>
      <c r="I967" s="37">
        <v>3</v>
      </c>
      <c r="J967" s="1018">
        <f t="shared" si="228"/>
        <v>0.0325740495996268</v>
      </c>
      <c r="K967" s="1019">
        <f t="shared" si="229"/>
        <v>4.84923627684964</v>
      </c>
      <c r="L967" s="1020">
        <f t="shared" si="230"/>
        <v>0</v>
      </c>
      <c r="M967" s="1018">
        <f t="shared" si="231"/>
        <v>0</v>
      </c>
      <c r="N967" s="956">
        <f t="shared" si="232"/>
        <v>0</v>
      </c>
      <c r="O967" s="956">
        <f t="shared" si="233"/>
        <v>0</v>
      </c>
      <c r="P967" s="1019">
        <f t="shared" si="234"/>
        <v>75.252962962963</v>
      </c>
      <c r="Q967" s="675">
        <f t="shared" si="235"/>
        <v>63.4946875</v>
      </c>
      <c r="R967">
        <f t="shared" si="236"/>
        <v>32</v>
      </c>
      <c r="S967" s="661">
        <f t="shared" si="237"/>
        <v>0.0763723150357995</v>
      </c>
    </row>
    <row r="968" spans="1:19">
      <c r="A968" s="1010">
        <v>45615</v>
      </c>
      <c r="B968" s="670">
        <v>2142.84</v>
      </c>
      <c r="C968" s="37">
        <v>15349</v>
      </c>
      <c r="D968" s="37">
        <v>466</v>
      </c>
      <c r="E968" s="37">
        <v>1</v>
      </c>
      <c r="F968" s="670">
        <v>4549</v>
      </c>
      <c r="G968" s="37">
        <v>35</v>
      </c>
      <c r="H968" s="37">
        <v>4</v>
      </c>
      <c r="I968" s="37">
        <v>0</v>
      </c>
      <c r="J968" s="1018">
        <f t="shared" si="228"/>
        <v>0.0303602840575933</v>
      </c>
      <c r="K968" s="1019">
        <f t="shared" si="229"/>
        <v>4.59836909871245</v>
      </c>
      <c r="L968" s="1020">
        <f t="shared" si="230"/>
        <v>2.12288364973586</v>
      </c>
      <c r="M968" s="1018">
        <f t="shared" si="231"/>
        <v>0.00214592274678112</v>
      </c>
      <c r="N968" s="956">
        <f t="shared" si="232"/>
        <v>4549</v>
      </c>
      <c r="O968" s="956">
        <f t="shared" si="233"/>
        <v>2142.84</v>
      </c>
      <c r="P968" s="1019">
        <f t="shared" si="234"/>
        <v>61.224</v>
      </c>
      <c r="Q968" s="675">
        <f t="shared" si="235"/>
        <v>54.9446153846154</v>
      </c>
      <c r="R968">
        <f t="shared" si="236"/>
        <v>39</v>
      </c>
      <c r="S968" s="661">
        <f t="shared" si="237"/>
        <v>0.0836909871244635</v>
      </c>
    </row>
    <row r="969" spans="1:19">
      <c r="A969" s="1010">
        <v>45616</v>
      </c>
      <c r="B969" s="670">
        <v>2334.3</v>
      </c>
      <c r="C969" s="37">
        <v>13841</v>
      </c>
      <c r="D969" s="37">
        <v>517</v>
      </c>
      <c r="E969" s="37">
        <v>0</v>
      </c>
      <c r="F969" s="670">
        <v>0</v>
      </c>
      <c r="G969" s="37">
        <v>16</v>
      </c>
      <c r="H969" s="37">
        <v>3</v>
      </c>
      <c r="I969" s="37">
        <v>3</v>
      </c>
      <c r="J969" s="1018" t="e">
        <f>#REF!/#REF!</f>
        <v>#REF!</v>
      </c>
      <c r="K969" s="1019" t="e">
        <f>#REF!/#REF!</f>
        <v>#REF!</v>
      </c>
      <c r="L969" s="1020" t="e">
        <f>#REF!/#REF!</f>
        <v>#REF!</v>
      </c>
      <c r="M969" s="1018" t="e">
        <f>#REF!/#REF!</f>
        <v>#REF!</v>
      </c>
      <c r="N969" s="956" t="e">
        <f>IF(#REF!=0,0,#REF!/#REF!)</f>
        <v>#REF!</v>
      </c>
      <c r="O969" s="956" t="e">
        <f>IF(#REF!=0,0,#REF!/#REF!)</f>
        <v>#REF!</v>
      </c>
      <c r="P969" s="1019" t="e">
        <f>#REF!/#REF!</f>
        <v>#REF!</v>
      </c>
      <c r="Q969" s="675" t="e">
        <f>#REF!/(#REF!+#REF!)</f>
        <v>#REF!</v>
      </c>
      <c r="R969" t="e">
        <f>#REF!+#REF!</f>
        <v>#REF!</v>
      </c>
      <c r="S969" s="661" t="e">
        <f>R969/#REF!</f>
        <v>#REF!</v>
      </c>
    </row>
    <row r="970" spans="1:19">
      <c r="A970" s="1010">
        <v>45617</v>
      </c>
      <c r="B970" s="670">
        <v>2253.88</v>
      </c>
      <c r="C970" s="37">
        <v>13973</v>
      </c>
      <c r="D970" s="37">
        <v>458</v>
      </c>
      <c r="E970" s="37">
        <v>0</v>
      </c>
      <c r="F970" s="670">
        <v>0</v>
      </c>
      <c r="G970" s="37">
        <v>40</v>
      </c>
      <c r="H970" s="37">
        <v>7</v>
      </c>
      <c r="I970" s="37">
        <v>0</v>
      </c>
      <c r="J970" s="1018">
        <f t="shared" ref="J970:J982" si="238">D970/C970</f>
        <v>0.0327774994632506</v>
      </c>
      <c r="K970" s="1019">
        <f t="shared" ref="K970:K982" si="239">B970/D970</f>
        <v>4.92113537117904</v>
      </c>
      <c r="L970" s="1020">
        <f t="shared" ref="L970:L980" si="240">F970/B970</f>
        <v>0</v>
      </c>
      <c r="M970" s="1018">
        <f t="shared" ref="M970:M980" si="241">E970/D970</f>
        <v>0</v>
      </c>
      <c r="N970" s="956">
        <f t="shared" ref="N970:N980" si="242">IF(E970=0,0,F970/E970)</f>
        <v>0</v>
      </c>
      <c r="O970" s="956">
        <f t="shared" ref="O970:O980" si="243">IF(E970=0,0,B970/E970)</f>
        <v>0</v>
      </c>
      <c r="P970" s="1019">
        <f t="shared" ref="P970:P1008" si="244">B970/G970</f>
        <v>56.347</v>
      </c>
      <c r="Q970" s="675">
        <f t="shared" ref="Q970:Q1008" si="245">B970/(G970+H970)</f>
        <v>47.9548936170213</v>
      </c>
      <c r="R970">
        <f t="shared" ref="R970:R1008" si="246">G970+H970</f>
        <v>47</v>
      </c>
      <c r="S970" s="661">
        <f t="shared" ref="S970:S982" si="247">R970/D970</f>
        <v>0.102620087336245</v>
      </c>
    </row>
    <row r="971" spans="1:19">
      <c r="A971" s="1010">
        <v>45618</v>
      </c>
      <c r="B971" s="670">
        <v>2317.48</v>
      </c>
      <c r="C971" s="37">
        <v>13696</v>
      </c>
      <c r="D971" s="37">
        <v>481</v>
      </c>
      <c r="E971" s="37">
        <v>3</v>
      </c>
      <c r="F971" s="670">
        <v>34011</v>
      </c>
      <c r="G971" s="37">
        <v>46</v>
      </c>
      <c r="H971" s="37">
        <v>4</v>
      </c>
      <c r="I971" s="37">
        <v>5</v>
      </c>
      <c r="J971" s="1018">
        <f t="shared" si="238"/>
        <v>0.0351197429906542</v>
      </c>
      <c r="K971" s="1019">
        <f t="shared" si="239"/>
        <v>4.81804573804574</v>
      </c>
      <c r="L971" s="1020">
        <f t="shared" si="240"/>
        <v>14.6758548078085</v>
      </c>
      <c r="M971" s="1018">
        <f t="shared" si="241"/>
        <v>0.00623700623700624</v>
      </c>
      <c r="N971" s="956">
        <f t="shared" si="242"/>
        <v>11337</v>
      </c>
      <c r="O971" s="956">
        <f t="shared" si="243"/>
        <v>772.493333333333</v>
      </c>
      <c r="P971" s="1019">
        <f t="shared" si="244"/>
        <v>50.38</v>
      </c>
      <c r="Q971" s="675">
        <f t="shared" si="245"/>
        <v>46.3496</v>
      </c>
      <c r="R971">
        <f t="shared" si="246"/>
        <v>50</v>
      </c>
      <c r="S971" s="661">
        <f t="shared" si="247"/>
        <v>0.103950103950104</v>
      </c>
    </row>
    <row r="972" spans="1:19">
      <c r="A972" s="1010">
        <v>45619</v>
      </c>
      <c r="B972" s="670">
        <v>2342.54</v>
      </c>
      <c r="C972" s="37">
        <v>13598</v>
      </c>
      <c r="D972" s="37">
        <v>500</v>
      </c>
      <c r="E972" s="37">
        <v>0</v>
      </c>
      <c r="F972" s="670">
        <v>0</v>
      </c>
      <c r="G972" s="37">
        <v>28</v>
      </c>
      <c r="H972" s="37">
        <v>4</v>
      </c>
      <c r="I972" s="37">
        <v>3</v>
      </c>
      <c r="J972" s="1018">
        <f t="shared" si="238"/>
        <v>0.0367701132519488</v>
      </c>
      <c r="K972" s="1019">
        <f t="shared" si="239"/>
        <v>4.68508</v>
      </c>
      <c r="L972" s="1020">
        <f t="shared" si="240"/>
        <v>0</v>
      </c>
      <c r="M972" s="1018">
        <f t="shared" si="241"/>
        <v>0</v>
      </c>
      <c r="N972" s="956">
        <f t="shared" si="242"/>
        <v>0</v>
      </c>
      <c r="O972" s="956">
        <f t="shared" si="243"/>
        <v>0</v>
      </c>
      <c r="P972" s="1019">
        <f t="shared" si="244"/>
        <v>83.6621428571429</v>
      </c>
      <c r="Q972" s="675">
        <f t="shared" si="245"/>
        <v>73.204375</v>
      </c>
      <c r="R972">
        <f t="shared" si="246"/>
        <v>32</v>
      </c>
      <c r="S972" s="661">
        <f t="shared" si="247"/>
        <v>0.064</v>
      </c>
    </row>
    <row r="973" spans="1:19">
      <c r="A973" s="1010">
        <v>45620</v>
      </c>
      <c r="B973" s="670">
        <v>2330.53</v>
      </c>
      <c r="C973" s="37">
        <v>18021</v>
      </c>
      <c r="D973" s="37">
        <v>502</v>
      </c>
      <c r="E973" s="37">
        <v>2</v>
      </c>
      <c r="F973" s="670">
        <v>25109</v>
      </c>
      <c r="G973" s="37">
        <v>54</v>
      </c>
      <c r="H973" s="37">
        <v>6</v>
      </c>
      <c r="I973" s="37">
        <v>2</v>
      </c>
      <c r="J973" s="1018">
        <f t="shared" si="238"/>
        <v>0.0278563897674935</v>
      </c>
      <c r="K973" s="1019">
        <f t="shared" si="239"/>
        <v>4.64249003984064</v>
      </c>
      <c r="L973" s="1020">
        <f t="shared" si="240"/>
        <v>10.7739441242979</v>
      </c>
      <c r="M973" s="1018">
        <f t="shared" si="241"/>
        <v>0.00398406374501992</v>
      </c>
      <c r="N973" s="956">
        <f t="shared" si="242"/>
        <v>12554.5</v>
      </c>
      <c r="O973" s="956">
        <f t="shared" si="243"/>
        <v>1165.265</v>
      </c>
      <c r="P973" s="1019">
        <f t="shared" si="244"/>
        <v>43.157962962963</v>
      </c>
      <c r="Q973" s="675">
        <f t="shared" si="245"/>
        <v>38.8421666666667</v>
      </c>
      <c r="R973">
        <f t="shared" si="246"/>
        <v>60</v>
      </c>
      <c r="S973" s="661">
        <f t="shared" si="247"/>
        <v>0.119521912350598</v>
      </c>
    </row>
    <row r="974" spans="1:19">
      <c r="A974" s="1010">
        <v>45621</v>
      </c>
      <c r="B974" s="670">
        <v>2350</v>
      </c>
      <c r="C974" s="37">
        <v>11552</v>
      </c>
      <c r="D974" s="37">
        <v>519</v>
      </c>
      <c r="E974" s="37">
        <v>1</v>
      </c>
      <c r="F974" s="670">
        <v>12072</v>
      </c>
      <c r="G974" s="37">
        <v>38</v>
      </c>
      <c r="H974" s="37">
        <v>3</v>
      </c>
      <c r="I974" s="37">
        <v>1</v>
      </c>
      <c r="J974" s="1018">
        <f t="shared" si="238"/>
        <v>0.0449272853185596</v>
      </c>
      <c r="K974" s="1019">
        <f t="shared" si="239"/>
        <v>4.52793834296724</v>
      </c>
      <c r="L974" s="1020">
        <f t="shared" si="240"/>
        <v>5.13702127659574</v>
      </c>
      <c r="M974" s="1018">
        <f t="shared" si="241"/>
        <v>0.00192678227360308</v>
      </c>
      <c r="N974" s="956">
        <f t="shared" si="242"/>
        <v>12072</v>
      </c>
      <c r="O974" s="956">
        <f t="shared" si="243"/>
        <v>2350</v>
      </c>
      <c r="P974" s="1019">
        <f t="shared" si="244"/>
        <v>61.8421052631579</v>
      </c>
      <c r="Q974" s="675">
        <f t="shared" si="245"/>
        <v>57.3170731707317</v>
      </c>
      <c r="R974">
        <f t="shared" si="246"/>
        <v>41</v>
      </c>
      <c r="S974" s="661">
        <f t="shared" si="247"/>
        <v>0.0789980732177264</v>
      </c>
    </row>
    <row r="975" spans="1:19">
      <c r="A975" s="1010">
        <v>45622</v>
      </c>
      <c r="B975" s="670">
        <v>2341.48</v>
      </c>
      <c r="C975" s="37">
        <v>13829</v>
      </c>
      <c r="D975" s="37">
        <v>484</v>
      </c>
      <c r="E975" s="37">
        <v>0</v>
      </c>
      <c r="F975" s="670">
        <v>0</v>
      </c>
      <c r="G975" s="37">
        <v>33</v>
      </c>
      <c r="H975" s="37">
        <v>3</v>
      </c>
      <c r="I975" s="37">
        <v>1</v>
      </c>
      <c r="J975" s="1018">
        <f t="shared" si="238"/>
        <v>0.0349989153228722</v>
      </c>
      <c r="K975" s="1019">
        <f t="shared" si="239"/>
        <v>4.83776859504132</v>
      </c>
      <c r="L975" s="1020">
        <f t="shared" si="240"/>
        <v>0</v>
      </c>
      <c r="M975" s="1018">
        <f t="shared" si="241"/>
        <v>0</v>
      </c>
      <c r="N975" s="956">
        <f t="shared" si="242"/>
        <v>0</v>
      </c>
      <c r="O975" s="956">
        <f t="shared" si="243"/>
        <v>0</v>
      </c>
      <c r="P975" s="1019">
        <f t="shared" si="244"/>
        <v>70.9539393939394</v>
      </c>
      <c r="Q975" s="675">
        <f t="shared" si="245"/>
        <v>65.0411111111111</v>
      </c>
      <c r="R975">
        <f t="shared" si="246"/>
        <v>36</v>
      </c>
      <c r="S975" s="661">
        <f t="shared" si="247"/>
        <v>0.0743801652892562</v>
      </c>
    </row>
    <row r="976" spans="1:19">
      <c r="A976" s="1010">
        <v>45623</v>
      </c>
      <c r="B976" s="670">
        <v>2001.43</v>
      </c>
      <c r="C976" s="37">
        <v>21772</v>
      </c>
      <c r="D976" s="37">
        <v>431</v>
      </c>
      <c r="E976" s="37">
        <v>0</v>
      </c>
      <c r="F976" s="670">
        <v>0</v>
      </c>
      <c r="G976" s="37">
        <v>32</v>
      </c>
      <c r="H976" s="37">
        <v>1</v>
      </c>
      <c r="I976" s="37">
        <v>4</v>
      </c>
      <c r="J976" s="1018">
        <f t="shared" si="238"/>
        <v>0.0197960683446629</v>
      </c>
      <c r="K976" s="1019">
        <f t="shared" si="239"/>
        <v>4.64368909512761</v>
      </c>
      <c r="L976" s="1020">
        <f t="shared" si="240"/>
        <v>0</v>
      </c>
      <c r="M976" s="1018">
        <f t="shared" si="241"/>
        <v>0</v>
      </c>
      <c r="N976" s="956">
        <f t="shared" si="242"/>
        <v>0</v>
      </c>
      <c r="O976" s="956">
        <f t="shared" si="243"/>
        <v>0</v>
      </c>
      <c r="P976" s="1019">
        <f t="shared" si="244"/>
        <v>62.5446875</v>
      </c>
      <c r="Q976" s="675">
        <f t="shared" si="245"/>
        <v>60.6493939393939</v>
      </c>
      <c r="R976">
        <f t="shared" si="246"/>
        <v>33</v>
      </c>
      <c r="S976" s="661">
        <f t="shared" si="247"/>
        <v>0.0765661252900232</v>
      </c>
    </row>
    <row r="977" spans="1:19">
      <c r="A977" s="1010">
        <v>45624</v>
      </c>
      <c r="B977" s="670">
        <v>2154.41</v>
      </c>
      <c r="C977" s="37">
        <v>12530</v>
      </c>
      <c r="D977" s="37">
        <v>464</v>
      </c>
      <c r="E977" s="37">
        <v>0</v>
      </c>
      <c r="F977" s="670">
        <v>0</v>
      </c>
      <c r="G977" s="37">
        <v>26</v>
      </c>
      <c r="H977" s="37">
        <v>2</v>
      </c>
      <c r="I977" s="37">
        <v>1</v>
      </c>
      <c r="J977" s="1018">
        <f t="shared" si="238"/>
        <v>0.0370311252992817</v>
      </c>
      <c r="K977" s="1019">
        <f t="shared" si="239"/>
        <v>4.643125</v>
      </c>
      <c r="L977" s="1020">
        <f t="shared" si="240"/>
        <v>0</v>
      </c>
      <c r="M977" s="1018">
        <f t="shared" si="241"/>
        <v>0</v>
      </c>
      <c r="N977" s="956">
        <f t="shared" si="242"/>
        <v>0</v>
      </c>
      <c r="O977" s="956">
        <f t="shared" si="243"/>
        <v>0</v>
      </c>
      <c r="P977" s="1019">
        <f t="shared" si="244"/>
        <v>82.8619230769231</v>
      </c>
      <c r="Q977" s="675">
        <f t="shared" si="245"/>
        <v>76.9432142857143</v>
      </c>
      <c r="R977">
        <f t="shared" si="246"/>
        <v>28</v>
      </c>
      <c r="S977" s="661">
        <f t="shared" si="247"/>
        <v>0.0603448275862069</v>
      </c>
    </row>
    <row r="978" spans="1:19">
      <c r="A978" s="1010">
        <v>45625</v>
      </c>
      <c r="B978" s="670">
        <v>2088.94</v>
      </c>
      <c r="C978" s="37">
        <v>15941</v>
      </c>
      <c r="D978" s="37">
        <v>447</v>
      </c>
      <c r="E978" s="37">
        <v>0</v>
      </c>
      <c r="F978" s="670">
        <v>0</v>
      </c>
      <c r="G978" s="37">
        <v>19</v>
      </c>
      <c r="H978" s="37">
        <v>3</v>
      </c>
      <c r="I978" s="37">
        <v>2</v>
      </c>
      <c r="J978" s="1018">
        <f t="shared" si="238"/>
        <v>0.0280409008217803</v>
      </c>
      <c r="K978" s="1019">
        <f t="shared" si="239"/>
        <v>4.67324384787472</v>
      </c>
      <c r="L978" s="1020">
        <f t="shared" si="240"/>
        <v>0</v>
      </c>
      <c r="M978" s="1018">
        <f t="shared" si="241"/>
        <v>0</v>
      </c>
      <c r="N978" s="956">
        <f t="shared" si="242"/>
        <v>0</v>
      </c>
      <c r="O978" s="956">
        <f t="shared" si="243"/>
        <v>0</v>
      </c>
      <c r="P978" s="1019">
        <f t="shared" si="244"/>
        <v>109.944210526316</v>
      </c>
      <c r="Q978" s="675">
        <f t="shared" si="245"/>
        <v>94.9518181818182</v>
      </c>
      <c r="R978">
        <f t="shared" si="246"/>
        <v>22</v>
      </c>
      <c r="S978" s="661">
        <f t="shared" si="247"/>
        <v>0.0492170022371365</v>
      </c>
    </row>
    <row r="979" spans="1:19">
      <c r="A979" s="1010">
        <v>45626</v>
      </c>
      <c r="B979" s="670">
        <v>2311.42</v>
      </c>
      <c r="C979" s="37">
        <v>13278</v>
      </c>
      <c r="D979" s="37">
        <v>480</v>
      </c>
      <c r="E979" s="37">
        <v>0</v>
      </c>
      <c r="F979" s="670">
        <v>0</v>
      </c>
      <c r="G979" s="37">
        <v>22</v>
      </c>
      <c r="H979" s="37">
        <v>1</v>
      </c>
      <c r="I979" s="37">
        <v>4</v>
      </c>
      <c r="J979" s="1018">
        <f t="shared" si="238"/>
        <v>0.0361500225937641</v>
      </c>
      <c r="K979" s="1019">
        <f t="shared" si="239"/>
        <v>4.81545833333333</v>
      </c>
      <c r="L979" s="1020">
        <f t="shared" si="240"/>
        <v>0</v>
      </c>
      <c r="M979" s="1018">
        <f t="shared" si="241"/>
        <v>0</v>
      </c>
      <c r="N979" s="956">
        <f t="shared" si="242"/>
        <v>0</v>
      </c>
      <c r="O979" s="956">
        <f t="shared" si="243"/>
        <v>0</v>
      </c>
      <c r="P979" s="1019">
        <f t="shared" si="244"/>
        <v>105.064545454545</v>
      </c>
      <c r="Q979" s="675">
        <f t="shared" si="245"/>
        <v>100.49652173913</v>
      </c>
      <c r="R979">
        <f t="shared" si="246"/>
        <v>23</v>
      </c>
      <c r="S979" s="661">
        <f t="shared" si="247"/>
        <v>0.0479166666666667</v>
      </c>
    </row>
    <row r="980" spans="1:19">
      <c r="A980" s="1010">
        <v>45627</v>
      </c>
      <c r="B980" s="670">
        <v>2341.11</v>
      </c>
      <c r="C980" s="37">
        <v>13871</v>
      </c>
      <c r="D980" s="37">
        <v>483</v>
      </c>
      <c r="E980" s="37">
        <v>1</v>
      </c>
      <c r="F980" s="670">
        <v>14252</v>
      </c>
      <c r="G980" s="37">
        <v>26</v>
      </c>
      <c r="H980" s="37">
        <v>7</v>
      </c>
      <c r="I980" s="37">
        <v>2</v>
      </c>
      <c r="J980" s="1018">
        <f t="shared" si="238"/>
        <v>0.0348208492538389</v>
      </c>
      <c r="K980" s="1019">
        <f t="shared" si="239"/>
        <v>4.84701863354037</v>
      </c>
      <c r="L980" s="1020">
        <f t="shared" si="240"/>
        <v>6.08771053047486</v>
      </c>
      <c r="M980" s="1018">
        <f t="shared" si="241"/>
        <v>0.0020703933747412</v>
      </c>
      <c r="N980" s="956">
        <f t="shared" si="242"/>
        <v>14252</v>
      </c>
      <c r="O980" s="956">
        <f t="shared" si="243"/>
        <v>2341.11</v>
      </c>
      <c r="P980" s="1019">
        <f t="shared" si="244"/>
        <v>90.0426923076923</v>
      </c>
      <c r="Q980" s="675">
        <f t="shared" si="245"/>
        <v>70.9427272727273</v>
      </c>
      <c r="R980">
        <f t="shared" si="246"/>
        <v>33</v>
      </c>
      <c r="S980" s="661">
        <f t="shared" si="247"/>
        <v>0.0683229813664596</v>
      </c>
    </row>
    <row r="981" spans="1:19">
      <c r="A981" s="1010">
        <v>45628</v>
      </c>
      <c r="B981" s="670">
        <v>2749.92</v>
      </c>
      <c r="C981" s="37">
        <v>14194</v>
      </c>
      <c r="D981" s="37">
        <v>572</v>
      </c>
      <c r="E981" s="37">
        <v>0</v>
      </c>
      <c r="F981" s="670">
        <v>0</v>
      </c>
      <c r="G981" s="37">
        <v>35</v>
      </c>
      <c r="H981" s="37">
        <v>4</v>
      </c>
      <c r="I981" s="37">
        <v>5</v>
      </c>
      <c r="J981" s="1018">
        <f t="shared" si="238"/>
        <v>0.040298717768071</v>
      </c>
      <c r="K981" s="1019">
        <f t="shared" si="239"/>
        <v>4.80755244755245</v>
      </c>
      <c r="L981" s="1020">
        <f>E983/B981</f>
        <v>0</v>
      </c>
      <c r="M981" s="1018">
        <f>D983/D981</f>
        <v>1.01748251748252</v>
      </c>
      <c r="N981" s="956">
        <f>IF(D983=0,0,E983/D983)</f>
        <v>0</v>
      </c>
      <c r="O981" s="956">
        <f>IF(D983=0,0,B981/D983)</f>
        <v>4.72494845360825</v>
      </c>
      <c r="P981" s="1019">
        <f t="shared" si="244"/>
        <v>78.5691428571429</v>
      </c>
      <c r="Q981" s="675">
        <f t="shared" si="245"/>
        <v>70.5107692307692</v>
      </c>
      <c r="R981">
        <f t="shared" si="246"/>
        <v>39</v>
      </c>
      <c r="S981" s="661">
        <f t="shared" si="247"/>
        <v>0.0681818181818182</v>
      </c>
    </row>
    <row r="982" spans="1:19">
      <c r="A982" s="1010">
        <v>45629</v>
      </c>
      <c r="B982" s="670">
        <v>2750</v>
      </c>
      <c r="C982" s="37">
        <v>13840</v>
      </c>
      <c r="D982" s="37">
        <v>581</v>
      </c>
      <c r="E982" s="37">
        <v>0</v>
      </c>
      <c r="F982" s="670">
        <v>0</v>
      </c>
      <c r="G982" s="37">
        <v>24</v>
      </c>
      <c r="H982" s="37">
        <v>7</v>
      </c>
      <c r="I982" s="37">
        <v>4</v>
      </c>
      <c r="J982" s="1018">
        <f t="shared" si="238"/>
        <v>0.0419797687861272</v>
      </c>
      <c r="K982" s="1019">
        <f t="shared" si="239"/>
        <v>4.73321858864028</v>
      </c>
      <c r="L982" s="1020">
        <f>E984/B982</f>
        <v>0</v>
      </c>
      <c r="M982" s="1018">
        <f>D984/D982</f>
        <v>0.993115318416523</v>
      </c>
      <c r="N982" s="956">
        <f>IF(D984=0,0,E984/D984)</f>
        <v>0</v>
      </c>
      <c r="O982" s="956">
        <f>IF(D984=0,0,B982/D984)</f>
        <v>4.76603119584055</v>
      </c>
      <c r="P982" s="1019">
        <f t="shared" si="244"/>
        <v>114.583333333333</v>
      </c>
      <c r="Q982" s="675">
        <f t="shared" si="245"/>
        <v>88.7096774193548</v>
      </c>
      <c r="R982">
        <f t="shared" si="246"/>
        <v>31</v>
      </c>
      <c r="S982" s="661">
        <f t="shared" si="247"/>
        <v>0.0533562822719449</v>
      </c>
    </row>
    <row r="983" spans="1:19">
      <c r="A983" s="1010">
        <v>45630</v>
      </c>
      <c r="B983" s="670">
        <v>2749.72</v>
      </c>
      <c r="C983" s="37">
        <v>17047</v>
      </c>
      <c r="D983" s="37">
        <v>582</v>
      </c>
      <c r="E983" s="670">
        <v>0</v>
      </c>
      <c r="F983" s="670">
        <v>0</v>
      </c>
      <c r="G983" s="37">
        <v>54</v>
      </c>
      <c r="H983" s="37">
        <v>3</v>
      </c>
      <c r="I983" s="37">
        <v>4</v>
      </c>
      <c r="J983" s="1018" t="e">
        <f>#REF!/C983</f>
        <v>#REF!</v>
      </c>
      <c r="K983" s="1019" t="e">
        <f>B983/#REF!</f>
        <v>#REF!</v>
      </c>
      <c r="L983" s="1020">
        <f t="shared" ref="L983:L1004" si="248">F983/B983</f>
        <v>0</v>
      </c>
      <c r="M983" s="1018" t="e">
        <f>#REF!/#REF!</f>
        <v>#REF!</v>
      </c>
      <c r="N983" s="956" t="e">
        <f>IF(#REF!=0,0,F983/#REF!)</f>
        <v>#REF!</v>
      </c>
      <c r="O983" s="956" t="e">
        <f>IF(#REF!=0,0,B983/#REF!)</f>
        <v>#REF!</v>
      </c>
      <c r="P983" s="1019">
        <f t="shared" si="244"/>
        <v>50.9207407407407</v>
      </c>
      <c r="Q983" s="675">
        <f t="shared" si="245"/>
        <v>48.240701754386</v>
      </c>
      <c r="R983">
        <f t="shared" si="246"/>
        <v>57</v>
      </c>
      <c r="S983" s="661" t="e">
        <f>R983/#REF!</f>
        <v>#REF!</v>
      </c>
    </row>
    <row r="984" spans="1:19">
      <c r="A984" s="1010">
        <v>45631</v>
      </c>
      <c r="B984" s="670">
        <v>2745.19</v>
      </c>
      <c r="C984" s="37">
        <v>15350</v>
      </c>
      <c r="D984" s="37">
        <v>577</v>
      </c>
      <c r="E984" s="670">
        <v>0</v>
      </c>
      <c r="F984" s="670">
        <v>0</v>
      </c>
      <c r="G984" s="37">
        <v>22</v>
      </c>
      <c r="H984" s="37">
        <v>1</v>
      </c>
      <c r="I984" s="37">
        <v>0</v>
      </c>
      <c r="J984" s="1018" t="e">
        <f>#REF!/C984</f>
        <v>#REF!</v>
      </c>
      <c r="K984" s="1019" t="e">
        <f>B984/#REF!</f>
        <v>#REF!</v>
      </c>
      <c r="L984" s="1020">
        <f t="shared" si="248"/>
        <v>0</v>
      </c>
      <c r="M984" s="1018" t="e">
        <f>#REF!/#REF!</f>
        <v>#REF!</v>
      </c>
      <c r="N984" s="956" t="e">
        <f>IF(#REF!=0,0,F984/#REF!)</f>
        <v>#REF!</v>
      </c>
      <c r="O984" s="956" t="e">
        <f>IF(#REF!=0,0,B984/#REF!)</f>
        <v>#REF!</v>
      </c>
      <c r="P984" s="1019">
        <f t="shared" si="244"/>
        <v>124.781363636364</v>
      </c>
      <c r="Q984" s="675">
        <f t="shared" si="245"/>
        <v>119.356086956522</v>
      </c>
      <c r="R984">
        <f t="shared" si="246"/>
        <v>23</v>
      </c>
      <c r="S984" s="661" t="e">
        <f>R984/#REF!</f>
        <v>#REF!</v>
      </c>
    </row>
    <row r="985" spans="1:19">
      <c r="A985" s="1010">
        <v>45632</v>
      </c>
      <c r="B985" s="670">
        <v>2750</v>
      </c>
      <c r="C985" s="37">
        <v>14293</v>
      </c>
      <c r="D985" s="37">
        <v>555</v>
      </c>
      <c r="E985" s="37">
        <v>1</v>
      </c>
      <c r="F985" s="670">
        <v>3000</v>
      </c>
      <c r="G985" s="37">
        <v>26</v>
      </c>
      <c r="H985" s="37">
        <v>5</v>
      </c>
      <c r="I985" s="37">
        <v>2</v>
      </c>
      <c r="J985" s="1018">
        <f t="shared" ref="J985:J1008" si="249">D985/C985</f>
        <v>0.0388301965997341</v>
      </c>
      <c r="K985" s="1019">
        <f t="shared" ref="K985:K1008" si="250">B985/D985</f>
        <v>4.95495495495495</v>
      </c>
      <c r="L985" s="1020">
        <f t="shared" si="248"/>
        <v>1.09090909090909</v>
      </c>
      <c r="M985" s="1018">
        <f t="shared" ref="M985:M1008" si="251">E985/D985</f>
        <v>0.0018018018018018</v>
      </c>
      <c r="N985" s="956">
        <f t="shared" ref="N985:N1011" si="252">IF(E985=0,0,F985/E985)</f>
        <v>3000</v>
      </c>
      <c r="O985" s="956">
        <f t="shared" ref="O985:O1008" si="253">IF(E985=0,0,B985/E985)</f>
        <v>2750</v>
      </c>
      <c r="P985" s="1019">
        <f t="shared" si="244"/>
        <v>105.769230769231</v>
      </c>
      <c r="Q985" s="675">
        <f t="shared" si="245"/>
        <v>88.7096774193548</v>
      </c>
      <c r="R985">
        <f t="shared" si="246"/>
        <v>31</v>
      </c>
      <c r="S985" s="661">
        <f t="shared" ref="S985:S1008" si="254">R985/D985</f>
        <v>0.0558558558558559</v>
      </c>
    </row>
    <row r="986" spans="1:19">
      <c r="A986" s="1010">
        <v>45633</v>
      </c>
      <c r="B986" s="670">
        <v>2750</v>
      </c>
      <c r="C986" s="37">
        <v>10274</v>
      </c>
      <c r="D986" s="37">
        <v>625</v>
      </c>
      <c r="E986" s="37">
        <v>0</v>
      </c>
      <c r="F986" s="670">
        <v>0</v>
      </c>
      <c r="G986" s="37">
        <v>33</v>
      </c>
      <c r="H986" s="37">
        <v>7</v>
      </c>
      <c r="I986" s="37">
        <v>9</v>
      </c>
      <c r="J986" s="1018">
        <f t="shared" si="249"/>
        <v>0.0608331711115437</v>
      </c>
      <c r="K986" s="1019">
        <f t="shared" si="250"/>
        <v>4.4</v>
      </c>
      <c r="L986" s="1020">
        <f t="shared" si="248"/>
        <v>0</v>
      </c>
      <c r="M986" s="1018">
        <f t="shared" si="251"/>
        <v>0</v>
      </c>
      <c r="N986" s="956">
        <f t="shared" si="252"/>
        <v>0</v>
      </c>
      <c r="O986" s="956">
        <f t="shared" si="253"/>
        <v>0</v>
      </c>
      <c r="P986" s="1019">
        <f t="shared" si="244"/>
        <v>83.3333333333333</v>
      </c>
      <c r="Q986" s="675">
        <f t="shared" si="245"/>
        <v>68.75</v>
      </c>
      <c r="R986">
        <f t="shared" si="246"/>
        <v>40</v>
      </c>
      <c r="S986" s="661">
        <f t="shared" si="254"/>
        <v>0.064</v>
      </c>
    </row>
    <row r="987" spans="1:19">
      <c r="A987" s="1010">
        <v>45634</v>
      </c>
      <c r="B987" s="670">
        <v>2750</v>
      </c>
      <c r="C987" s="37">
        <v>14031</v>
      </c>
      <c r="D987" s="37">
        <v>570</v>
      </c>
      <c r="E987" s="37">
        <v>0</v>
      </c>
      <c r="F987" s="670">
        <v>0</v>
      </c>
      <c r="G987" s="37">
        <v>30</v>
      </c>
      <c r="H987" s="37">
        <v>2</v>
      </c>
      <c r="I987" s="37">
        <v>3</v>
      </c>
      <c r="J987" s="1018">
        <f t="shared" si="249"/>
        <v>0.0406243318366474</v>
      </c>
      <c r="K987" s="1019">
        <f t="shared" si="250"/>
        <v>4.82456140350877</v>
      </c>
      <c r="L987" s="1020">
        <f t="shared" si="248"/>
        <v>0</v>
      </c>
      <c r="M987" s="1018">
        <f t="shared" si="251"/>
        <v>0</v>
      </c>
      <c r="N987" s="956">
        <f t="shared" si="252"/>
        <v>0</v>
      </c>
      <c r="O987" s="956">
        <f t="shared" si="253"/>
        <v>0</v>
      </c>
      <c r="P987" s="1019">
        <f t="shared" si="244"/>
        <v>91.6666666666667</v>
      </c>
      <c r="Q987" s="675">
        <f t="shared" si="245"/>
        <v>85.9375</v>
      </c>
      <c r="R987">
        <f t="shared" si="246"/>
        <v>32</v>
      </c>
      <c r="S987" s="661">
        <f t="shared" si="254"/>
        <v>0.056140350877193</v>
      </c>
    </row>
    <row r="988" spans="1:19">
      <c r="A988" s="1010">
        <v>45635</v>
      </c>
      <c r="B988" s="670">
        <v>2901.84</v>
      </c>
      <c r="C988" s="37">
        <v>11920</v>
      </c>
      <c r="D988" s="37">
        <v>634</v>
      </c>
      <c r="E988" s="37">
        <v>3</v>
      </c>
      <c r="F988" s="670">
        <v>22094</v>
      </c>
      <c r="G988" s="37">
        <v>29</v>
      </c>
      <c r="H988" s="37">
        <v>7</v>
      </c>
      <c r="I988" s="37">
        <v>3</v>
      </c>
      <c r="J988" s="1018">
        <f t="shared" si="249"/>
        <v>0.0531879194630872</v>
      </c>
      <c r="K988" s="1019">
        <f t="shared" si="250"/>
        <v>4.57703470031546</v>
      </c>
      <c r="L988" s="1020">
        <f t="shared" si="248"/>
        <v>7.6137898712541</v>
      </c>
      <c r="M988" s="1018">
        <f t="shared" si="251"/>
        <v>0.00473186119873817</v>
      </c>
      <c r="N988" s="956">
        <f t="shared" si="252"/>
        <v>7364.66666666667</v>
      </c>
      <c r="O988" s="956">
        <f t="shared" si="253"/>
        <v>967.28</v>
      </c>
      <c r="P988" s="1019">
        <f t="shared" si="244"/>
        <v>100.063448275862</v>
      </c>
      <c r="Q988" s="675">
        <f t="shared" si="245"/>
        <v>80.6066666666667</v>
      </c>
      <c r="R988">
        <f t="shared" si="246"/>
        <v>36</v>
      </c>
      <c r="S988" s="661">
        <f t="shared" si="254"/>
        <v>0.056782334384858</v>
      </c>
    </row>
    <row r="989" spans="1:19">
      <c r="A989" s="1010">
        <v>45636</v>
      </c>
      <c r="B989" s="670">
        <v>3826.43</v>
      </c>
      <c r="C989" s="37">
        <v>16266</v>
      </c>
      <c r="D989" s="37">
        <v>862</v>
      </c>
      <c r="E989" s="37">
        <v>0</v>
      </c>
      <c r="F989" s="670">
        <v>0</v>
      </c>
      <c r="G989" s="37">
        <v>56</v>
      </c>
      <c r="H989" s="37">
        <v>9</v>
      </c>
      <c r="I989" s="37">
        <v>7</v>
      </c>
      <c r="J989" s="1018">
        <f t="shared" si="249"/>
        <v>0.0529939751629165</v>
      </c>
      <c r="K989" s="1019">
        <f t="shared" si="250"/>
        <v>4.43901392111369</v>
      </c>
      <c r="L989" s="1020">
        <f t="shared" si="248"/>
        <v>0</v>
      </c>
      <c r="M989" s="1018">
        <f t="shared" si="251"/>
        <v>0</v>
      </c>
      <c r="N989" s="956">
        <f t="shared" si="252"/>
        <v>0</v>
      </c>
      <c r="O989" s="956">
        <f t="shared" si="253"/>
        <v>0</v>
      </c>
      <c r="P989" s="1019">
        <f t="shared" si="244"/>
        <v>68.3291071428571</v>
      </c>
      <c r="Q989" s="675">
        <f t="shared" si="245"/>
        <v>58.8681538461538</v>
      </c>
      <c r="R989">
        <f t="shared" si="246"/>
        <v>65</v>
      </c>
      <c r="S989" s="661">
        <f t="shared" si="254"/>
        <v>0.0754060324825986</v>
      </c>
    </row>
    <row r="990" spans="1:19">
      <c r="A990" s="1010">
        <v>45637</v>
      </c>
      <c r="B990" s="670">
        <v>4033.33</v>
      </c>
      <c r="C990" s="37">
        <v>14745</v>
      </c>
      <c r="D990" s="37">
        <v>946</v>
      </c>
      <c r="E990" s="37">
        <v>1</v>
      </c>
      <c r="F990" s="670">
        <v>5998</v>
      </c>
      <c r="G990" s="37">
        <v>60</v>
      </c>
      <c r="H990" s="37">
        <v>7</v>
      </c>
      <c r="I990" s="37">
        <v>8</v>
      </c>
      <c r="J990" s="1018">
        <f t="shared" si="249"/>
        <v>0.0641573414716853</v>
      </c>
      <c r="K990" s="1019">
        <f t="shared" si="250"/>
        <v>4.26356236786469</v>
      </c>
      <c r="L990" s="1020">
        <f t="shared" si="248"/>
        <v>1.48710866703196</v>
      </c>
      <c r="M990" s="1018">
        <f t="shared" si="251"/>
        <v>0.00105708245243129</v>
      </c>
      <c r="N990" s="956">
        <f t="shared" si="252"/>
        <v>5998</v>
      </c>
      <c r="O990" s="956">
        <f t="shared" si="253"/>
        <v>4033.33</v>
      </c>
      <c r="P990" s="1019">
        <f t="shared" si="244"/>
        <v>67.2221666666667</v>
      </c>
      <c r="Q990" s="675">
        <f t="shared" si="245"/>
        <v>60.1989552238806</v>
      </c>
      <c r="R990">
        <f t="shared" si="246"/>
        <v>67</v>
      </c>
      <c r="S990" s="661">
        <f t="shared" si="254"/>
        <v>0.0708245243128964</v>
      </c>
    </row>
    <row r="991" spans="1:19">
      <c r="A991" s="1010">
        <v>45638</v>
      </c>
      <c r="B991" s="670">
        <v>3689.84</v>
      </c>
      <c r="C991" s="37">
        <v>19285</v>
      </c>
      <c r="D991" s="37">
        <v>952</v>
      </c>
      <c r="E991" s="37">
        <v>3</v>
      </c>
      <c r="F991" s="670">
        <v>26293</v>
      </c>
      <c r="G991" s="37">
        <v>55</v>
      </c>
      <c r="H991" s="37">
        <v>11</v>
      </c>
      <c r="I991" s="37">
        <v>6</v>
      </c>
      <c r="J991" s="1018">
        <f t="shared" si="249"/>
        <v>0.0493647912885662</v>
      </c>
      <c r="K991" s="1019">
        <f t="shared" si="250"/>
        <v>3.87588235294118</v>
      </c>
      <c r="L991" s="1020">
        <f t="shared" si="248"/>
        <v>7.12578323179325</v>
      </c>
      <c r="M991" s="1018">
        <f t="shared" si="251"/>
        <v>0.00315126050420168</v>
      </c>
      <c r="N991" s="956">
        <f t="shared" si="252"/>
        <v>8764.33333333333</v>
      </c>
      <c r="O991" s="956">
        <f t="shared" si="253"/>
        <v>1229.94666666667</v>
      </c>
      <c r="P991" s="1019">
        <f t="shared" si="244"/>
        <v>67.088</v>
      </c>
      <c r="Q991" s="675">
        <f t="shared" si="245"/>
        <v>55.9066666666667</v>
      </c>
      <c r="R991">
        <f t="shared" si="246"/>
        <v>66</v>
      </c>
      <c r="S991" s="661">
        <f t="shared" si="254"/>
        <v>0.069327731092437</v>
      </c>
    </row>
    <row r="992" spans="1:19">
      <c r="A992" s="1010">
        <v>45639</v>
      </c>
      <c r="B992" s="670">
        <v>3163.84</v>
      </c>
      <c r="C992" s="37">
        <v>16801</v>
      </c>
      <c r="D992" s="37">
        <v>862</v>
      </c>
      <c r="E992" s="37">
        <v>6</v>
      </c>
      <c r="F992" s="670">
        <v>67945</v>
      </c>
      <c r="G992" s="37">
        <v>55</v>
      </c>
      <c r="H992" s="37">
        <v>3</v>
      </c>
      <c r="I992" s="37">
        <v>5</v>
      </c>
      <c r="J992" s="1018">
        <f t="shared" si="249"/>
        <v>0.0513064698529849</v>
      </c>
      <c r="K992" s="1019">
        <f t="shared" si="250"/>
        <v>3.67034802784223</v>
      </c>
      <c r="L992" s="1020">
        <f t="shared" si="248"/>
        <v>21.4754854859917</v>
      </c>
      <c r="M992" s="1018">
        <f t="shared" si="251"/>
        <v>0.00696055684454756</v>
      </c>
      <c r="N992" s="956">
        <f t="shared" si="252"/>
        <v>11324.1666666667</v>
      </c>
      <c r="O992" s="956">
        <f t="shared" si="253"/>
        <v>527.306666666667</v>
      </c>
      <c r="P992" s="1019">
        <f t="shared" si="244"/>
        <v>57.5243636363636</v>
      </c>
      <c r="Q992" s="675">
        <f t="shared" si="245"/>
        <v>54.5489655172414</v>
      </c>
      <c r="R992">
        <f t="shared" si="246"/>
        <v>58</v>
      </c>
      <c r="S992" s="661">
        <f t="shared" si="254"/>
        <v>0.0672853828306264</v>
      </c>
    </row>
    <row r="993" spans="1:19">
      <c r="A993" s="1010">
        <v>45640</v>
      </c>
      <c r="B993" s="670">
        <v>2298.32</v>
      </c>
      <c r="C993" s="37">
        <v>10285</v>
      </c>
      <c r="D993" s="37">
        <v>732</v>
      </c>
      <c r="E993" s="37">
        <v>0</v>
      </c>
      <c r="F993" s="670">
        <v>0</v>
      </c>
      <c r="G993" s="37">
        <v>44</v>
      </c>
      <c r="H993" s="37">
        <v>3</v>
      </c>
      <c r="I993" s="37">
        <v>5</v>
      </c>
      <c r="J993" s="1018">
        <f t="shared" si="249"/>
        <v>0.0711716091395236</v>
      </c>
      <c r="K993" s="1019">
        <f t="shared" si="250"/>
        <v>3.13978142076503</v>
      </c>
      <c r="L993" s="1020">
        <f t="shared" si="248"/>
        <v>0</v>
      </c>
      <c r="M993" s="1018">
        <f t="shared" si="251"/>
        <v>0</v>
      </c>
      <c r="N993" s="956">
        <f t="shared" si="252"/>
        <v>0</v>
      </c>
      <c r="O993" s="956">
        <f t="shared" si="253"/>
        <v>0</v>
      </c>
      <c r="P993" s="1019">
        <f t="shared" si="244"/>
        <v>52.2345454545455</v>
      </c>
      <c r="Q993" s="675">
        <f t="shared" si="245"/>
        <v>48.9004255319149</v>
      </c>
      <c r="R993">
        <f t="shared" si="246"/>
        <v>47</v>
      </c>
      <c r="S993" s="661">
        <f t="shared" si="254"/>
        <v>0.064207650273224</v>
      </c>
    </row>
    <row r="994" spans="1:19">
      <c r="A994" s="1010">
        <v>45641</v>
      </c>
      <c r="B994" s="670">
        <v>1729.11</v>
      </c>
      <c r="C994" s="37">
        <v>7579</v>
      </c>
      <c r="D994" s="37">
        <v>587</v>
      </c>
      <c r="E994" s="37">
        <v>2</v>
      </c>
      <c r="F994" s="670">
        <v>20804</v>
      </c>
      <c r="G994" s="37">
        <v>39</v>
      </c>
      <c r="H994" s="37">
        <v>1</v>
      </c>
      <c r="I994" s="37">
        <v>7</v>
      </c>
      <c r="J994" s="1018">
        <f t="shared" si="249"/>
        <v>0.0774508510357567</v>
      </c>
      <c r="K994" s="1019">
        <f t="shared" si="250"/>
        <v>2.94567291311755</v>
      </c>
      <c r="L994" s="1020">
        <f t="shared" si="248"/>
        <v>12.0316232050014</v>
      </c>
      <c r="M994" s="1018">
        <f t="shared" si="251"/>
        <v>0.00340715502555366</v>
      </c>
      <c r="N994" s="956">
        <f t="shared" si="252"/>
        <v>10402</v>
      </c>
      <c r="O994" s="956">
        <f t="shared" si="253"/>
        <v>864.555</v>
      </c>
      <c r="P994" s="1019">
        <f t="shared" si="244"/>
        <v>44.3361538461538</v>
      </c>
      <c r="Q994" s="675">
        <f t="shared" si="245"/>
        <v>43.22775</v>
      </c>
      <c r="R994">
        <f t="shared" si="246"/>
        <v>40</v>
      </c>
      <c r="S994" s="661">
        <f t="shared" si="254"/>
        <v>0.0681431005110733</v>
      </c>
    </row>
    <row r="995" spans="1:19">
      <c r="A995" s="1010">
        <v>45642</v>
      </c>
      <c r="B995" s="670">
        <v>1727.58</v>
      </c>
      <c r="C995" s="37">
        <v>9052</v>
      </c>
      <c r="D995" s="37">
        <v>626</v>
      </c>
      <c r="E995" s="37">
        <v>0</v>
      </c>
      <c r="F995" s="670">
        <v>0</v>
      </c>
      <c r="G995" s="37">
        <v>29</v>
      </c>
      <c r="H995" s="37">
        <v>5</v>
      </c>
      <c r="I995" s="37">
        <v>5</v>
      </c>
      <c r="J995" s="1018">
        <f t="shared" si="249"/>
        <v>0.0691559876270438</v>
      </c>
      <c r="K995" s="1019">
        <f t="shared" si="250"/>
        <v>2.7597124600639</v>
      </c>
      <c r="L995" s="1020">
        <f t="shared" si="248"/>
        <v>0</v>
      </c>
      <c r="M995" s="1018">
        <f t="shared" si="251"/>
        <v>0</v>
      </c>
      <c r="N995" s="956">
        <f t="shared" si="252"/>
        <v>0</v>
      </c>
      <c r="O995" s="956">
        <f t="shared" si="253"/>
        <v>0</v>
      </c>
      <c r="P995" s="1019">
        <f t="shared" si="244"/>
        <v>59.571724137931</v>
      </c>
      <c r="Q995" s="675">
        <f t="shared" si="245"/>
        <v>50.8111764705882</v>
      </c>
      <c r="R995">
        <f t="shared" si="246"/>
        <v>34</v>
      </c>
      <c r="S995" s="661">
        <f t="shared" si="254"/>
        <v>0.0543130990415335</v>
      </c>
    </row>
    <row r="996" spans="1:19">
      <c r="A996" s="1010">
        <v>45643</v>
      </c>
      <c r="B996" s="670">
        <v>1479.4</v>
      </c>
      <c r="C996" s="37">
        <v>7894</v>
      </c>
      <c r="D996" s="37">
        <v>533</v>
      </c>
      <c r="E996" s="37">
        <v>1</v>
      </c>
      <c r="F996" s="670">
        <v>10643</v>
      </c>
      <c r="G996" s="37">
        <v>37</v>
      </c>
      <c r="H996" s="37">
        <v>2</v>
      </c>
      <c r="I996" s="37">
        <v>3</v>
      </c>
      <c r="J996" s="1018">
        <f t="shared" si="249"/>
        <v>0.0675196351659488</v>
      </c>
      <c r="K996" s="1019">
        <f t="shared" si="250"/>
        <v>2.77560975609756</v>
      </c>
      <c r="L996" s="1020">
        <f t="shared" si="248"/>
        <v>7.19413275652291</v>
      </c>
      <c r="M996" s="1018">
        <f t="shared" si="251"/>
        <v>0.00187617260787992</v>
      </c>
      <c r="N996" s="956">
        <f t="shared" si="252"/>
        <v>10643</v>
      </c>
      <c r="O996" s="956">
        <f t="shared" si="253"/>
        <v>1479.4</v>
      </c>
      <c r="P996" s="1019">
        <f t="shared" si="244"/>
        <v>39.9837837837838</v>
      </c>
      <c r="Q996" s="675">
        <f t="shared" si="245"/>
        <v>37.9333333333333</v>
      </c>
      <c r="R996">
        <f t="shared" si="246"/>
        <v>39</v>
      </c>
      <c r="S996" s="661">
        <f t="shared" si="254"/>
        <v>0.0731707317073171</v>
      </c>
    </row>
    <row r="997" spans="1:19">
      <c r="A997" s="1010">
        <v>45644</v>
      </c>
      <c r="B997" s="670">
        <v>954.69</v>
      </c>
      <c r="C997" s="37">
        <v>5637</v>
      </c>
      <c r="D997" s="37">
        <v>387</v>
      </c>
      <c r="E997" s="37">
        <v>0</v>
      </c>
      <c r="F997" s="670">
        <v>0</v>
      </c>
      <c r="G997" s="37">
        <v>34</v>
      </c>
      <c r="H997" s="37">
        <v>3</v>
      </c>
      <c r="I997" s="37">
        <v>0</v>
      </c>
      <c r="J997" s="1018">
        <f t="shared" si="249"/>
        <v>0.0686535391165514</v>
      </c>
      <c r="K997" s="1019">
        <f t="shared" si="250"/>
        <v>2.4668992248062</v>
      </c>
      <c r="L997" s="1020">
        <f t="shared" si="248"/>
        <v>0</v>
      </c>
      <c r="M997" s="1018">
        <f t="shared" si="251"/>
        <v>0</v>
      </c>
      <c r="N997" s="956">
        <f t="shared" si="252"/>
        <v>0</v>
      </c>
      <c r="O997" s="956">
        <f t="shared" si="253"/>
        <v>0</v>
      </c>
      <c r="P997" s="1019">
        <f t="shared" si="244"/>
        <v>28.0791176470588</v>
      </c>
      <c r="Q997" s="675">
        <f t="shared" si="245"/>
        <v>25.8024324324324</v>
      </c>
      <c r="R997">
        <f t="shared" si="246"/>
        <v>37</v>
      </c>
      <c r="S997" s="661">
        <f t="shared" si="254"/>
        <v>0.0956072351421189</v>
      </c>
    </row>
    <row r="998" spans="1:19">
      <c r="A998" s="1010">
        <v>45645</v>
      </c>
      <c r="B998" s="670">
        <v>1111.69</v>
      </c>
      <c r="C998" s="37">
        <v>5851</v>
      </c>
      <c r="D998" s="37">
        <v>444</v>
      </c>
      <c r="E998" s="37">
        <v>0</v>
      </c>
      <c r="F998" s="670">
        <v>0</v>
      </c>
      <c r="G998" s="37">
        <v>24</v>
      </c>
      <c r="H998" s="37">
        <v>4</v>
      </c>
      <c r="I998" s="37">
        <v>2</v>
      </c>
      <c r="J998" s="1018">
        <f t="shared" si="249"/>
        <v>0.0758844641941548</v>
      </c>
      <c r="K998" s="1019">
        <f t="shared" si="250"/>
        <v>2.50380630630631</v>
      </c>
      <c r="L998" s="1020">
        <f t="shared" si="248"/>
        <v>0</v>
      </c>
      <c r="M998" s="1018">
        <f t="shared" si="251"/>
        <v>0</v>
      </c>
      <c r="N998" s="956">
        <f t="shared" si="252"/>
        <v>0</v>
      </c>
      <c r="O998" s="956">
        <f t="shared" si="253"/>
        <v>0</v>
      </c>
      <c r="P998" s="1019">
        <f t="shared" si="244"/>
        <v>46.3204166666667</v>
      </c>
      <c r="Q998" s="675">
        <f t="shared" si="245"/>
        <v>39.7032142857143</v>
      </c>
      <c r="R998">
        <f t="shared" si="246"/>
        <v>28</v>
      </c>
      <c r="S998" s="661">
        <f t="shared" si="254"/>
        <v>0.0630630630630631</v>
      </c>
    </row>
    <row r="999" spans="1:19">
      <c r="A999" s="1010">
        <v>45646</v>
      </c>
      <c r="B999" s="670">
        <v>1142.75</v>
      </c>
      <c r="C999" s="37">
        <v>5521</v>
      </c>
      <c r="D999" s="37">
        <v>427</v>
      </c>
      <c r="E999" s="37">
        <v>0</v>
      </c>
      <c r="F999" s="670">
        <v>0</v>
      </c>
      <c r="G999" s="37">
        <v>36</v>
      </c>
      <c r="H999" s="37">
        <v>3</v>
      </c>
      <c r="I999" s="37">
        <v>4</v>
      </c>
      <c r="J999" s="1018">
        <f t="shared" si="249"/>
        <v>0.0773410614019199</v>
      </c>
      <c r="K999" s="1019">
        <f t="shared" si="250"/>
        <v>2.67622950819672</v>
      </c>
      <c r="L999" s="1020">
        <f t="shared" si="248"/>
        <v>0</v>
      </c>
      <c r="M999" s="1018">
        <f t="shared" si="251"/>
        <v>0</v>
      </c>
      <c r="N999" s="956">
        <f t="shared" si="252"/>
        <v>0</v>
      </c>
      <c r="O999" s="956">
        <f t="shared" si="253"/>
        <v>0</v>
      </c>
      <c r="P999" s="1019">
        <f t="shared" si="244"/>
        <v>31.7430555555556</v>
      </c>
      <c r="Q999" s="675">
        <f t="shared" si="245"/>
        <v>29.3012820512821</v>
      </c>
      <c r="R999">
        <f t="shared" si="246"/>
        <v>39</v>
      </c>
      <c r="S999" s="661">
        <f t="shared" si="254"/>
        <v>0.0913348946135831</v>
      </c>
    </row>
    <row r="1000" spans="1:19">
      <c r="A1000" s="1010">
        <v>45647</v>
      </c>
      <c r="B1000" s="670">
        <v>1175.9</v>
      </c>
      <c r="C1000" s="37">
        <v>5061</v>
      </c>
      <c r="D1000" s="37">
        <v>437</v>
      </c>
      <c r="E1000" s="37">
        <v>1</v>
      </c>
      <c r="F1000" s="670">
        <v>17334</v>
      </c>
      <c r="G1000" s="37">
        <v>19</v>
      </c>
      <c r="H1000" s="37">
        <v>4</v>
      </c>
      <c r="I1000" s="37">
        <v>4</v>
      </c>
      <c r="J1000" s="1018">
        <f t="shared" si="249"/>
        <v>0.0863465718237502</v>
      </c>
      <c r="K1000" s="1019">
        <f t="shared" si="250"/>
        <v>2.6908466819222</v>
      </c>
      <c r="L1000" s="1020">
        <f t="shared" si="248"/>
        <v>14.7410494089633</v>
      </c>
      <c r="M1000" s="1018">
        <f t="shared" si="251"/>
        <v>0.0022883295194508</v>
      </c>
      <c r="N1000" s="956">
        <f t="shared" si="252"/>
        <v>17334</v>
      </c>
      <c r="O1000" s="956">
        <f t="shared" si="253"/>
        <v>1175.9</v>
      </c>
      <c r="P1000" s="1019">
        <f t="shared" si="244"/>
        <v>61.8894736842105</v>
      </c>
      <c r="Q1000" s="675">
        <f t="shared" si="245"/>
        <v>51.1260869565217</v>
      </c>
      <c r="R1000">
        <f t="shared" si="246"/>
        <v>23</v>
      </c>
      <c r="S1000" s="661">
        <f t="shared" si="254"/>
        <v>0.0526315789473684</v>
      </c>
    </row>
    <row r="1001" spans="1:19">
      <c r="A1001" s="1010">
        <v>45648</v>
      </c>
      <c r="B1001" s="670">
        <v>1188.56</v>
      </c>
      <c r="C1001" s="37">
        <v>4288</v>
      </c>
      <c r="D1001" s="37">
        <v>377</v>
      </c>
      <c r="E1001" s="37">
        <v>1</v>
      </c>
      <c r="F1001" s="670">
        <v>9794</v>
      </c>
      <c r="G1001" s="37">
        <v>19</v>
      </c>
      <c r="H1001" s="37">
        <v>3</v>
      </c>
      <c r="I1001" s="37">
        <v>3</v>
      </c>
      <c r="J1001" s="1018">
        <f t="shared" si="249"/>
        <v>0.087919776119403</v>
      </c>
      <c r="K1001" s="1019">
        <f t="shared" si="250"/>
        <v>3.15267904509284</v>
      </c>
      <c r="L1001" s="1020">
        <f t="shared" si="248"/>
        <v>8.24022346368715</v>
      </c>
      <c r="M1001" s="1018">
        <f t="shared" si="251"/>
        <v>0.0026525198938992</v>
      </c>
      <c r="N1001" s="956">
        <f t="shared" si="252"/>
        <v>9794</v>
      </c>
      <c r="O1001" s="956">
        <f t="shared" si="253"/>
        <v>1188.56</v>
      </c>
      <c r="P1001" s="1019">
        <f t="shared" si="244"/>
        <v>62.5557894736842</v>
      </c>
      <c r="Q1001" s="675">
        <f t="shared" si="245"/>
        <v>54.0254545454545</v>
      </c>
      <c r="R1001">
        <f t="shared" si="246"/>
        <v>22</v>
      </c>
      <c r="S1001" s="661">
        <f t="shared" si="254"/>
        <v>0.0583554376657825</v>
      </c>
    </row>
    <row r="1002" spans="1:19">
      <c r="A1002" s="1010">
        <v>45649</v>
      </c>
      <c r="B1002" s="670">
        <v>1279.03</v>
      </c>
      <c r="C1002" s="37">
        <v>5894</v>
      </c>
      <c r="D1002" s="37">
        <v>449</v>
      </c>
      <c r="E1002" s="37">
        <v>0</v>
      </c>
      <c r="F1002" s="670">
        <v>0</v>
      </c>
      <c r="G1002" s="37">
        <v>33</v>
      </c>
      <c r="H1002" s="37">
        <v>2</v>
      </c>
      <c r="I1002" s="37">
        <v>3</v>
      </c>
      <c r="J1002" s="1018">
        <f t="shared" si="249"/>
        <v>0.0761791652527995</v>
      </c>
      <c r="K1002" s="1019">
        <f t="shared" si="250"/>
        <v>2.84861915367483</v>
      </c>
      <c r="L1002" s="1020">
        <f t="shared" si="248"/>
        <v>0</v>
      </c>
      <c r="M1002" s="1018">
        <f t="shared" si="251"/>
        <v>0</v>
      </c>
      <c r="N1002" s="956">
        <f t="shared" si="252"/>
        <v>0</v>
      </c>
      <c r="O1002" s="956">
        <f t="shared" si="253"/>
        <v>0</v>
      </c>
      <c r="P1002" s="1019">
        <f t="shared" si="244"/>
        <v>38.7584848484848</v>
      </c>
      <c r="Q1002" s="675">
        <f t="shared" si="245"/>
        <v>36.5437142857143</v>
      </c>
      <c r="R1002">
        <f t="shared" si="246"/>
        <v>35</v>
      </c>
      <c r="S1002" s="661">
        <f t="shared" si="254"/>
        <v>0.0779510022271715</v>
      </c>
    </row>
    <row r="1003" spans="1:19">
      <c r="A1003" s="1010">
        <v>45650</v>
      </c>
      <c r="B1003" s="670">
        <v>1406.52</v>
      </c>
      <c r="C1003" s="37">
        <v>6375</v>
      </c>
      <c r="D1003" s="37">
        <v>492</v>
      </c>
      <c r="E1003" s="37">
        <v>1</v>
      </c>
      <c r="F1003" s="670">
        <v>20934</v>
      </c>
      <c r="G1003" s="37">
        <v>38</v>
      </c>
      <c r="H1003" s="37">
        <v>3</v>
      </c>
      <c r="I1003" s="37">
        <v>5</v>
      </c>
      <c r="J1003" s="1018">
        <f t="shared" si="249"/>
        <v>0.0771764705882353</v>
      </c>
      <c r="K1003" s="1019">
        <f t="shared" si="250"/>
        <v>2.85878048780488</v>
      </c>
      <c r="L1003" s="1020">
        <f t="shared" si="248"/>
        <v>14.8835423598669</v>
      </c>
      <c r="M1003" s="1018">
        <f t="shared" si="251"/>
        <v>0.00203252032520325</v>
      </c>
      <c r="N1003" s="956">
        <f t="shared" si="252"/>
        <v>20934</v>
      </c>
      <c r="O1003" s="956">
        <f t="shared" si="253"/>
        <v>1406.52</v>
      </c>
      <c r="P1003" s="1019">
        <f t="shared" si="244"/>
        <v>37.0136842105263</v>
      </c>
      <c r="Q1003" s="675">
        <f t="shared" si="245"/>
        <v>34.3053658536585</v>
      </c>
      <c r="R1003">
        <f t="shared" si="246"/>
        <v>41</v>
      </c>
      <c r="S1003" s="661">
        <f t="shared" si="254"/>
        <v>0.0833333333333333</v>
      </c>
    </row>
    <row r="1004" spans="1:19">
      <c r="A1004" s="1010">
        <v>45651</v>
      </c>
      <c r="B1004" s="670">
        <v>1197.52</v>
      </c>
      <c r="C1004" s="37">
        <v>6302</v>
      </c>
      <c r="D1004" s="37">
        <v>444</v>
      </c>
      <c r="E1004" s="37">
        <v>2</v>
      </c>
      <c r="F1004" s="670">
        <v>34235</v>
      </c>
      <c r="G1004" s="37">
        <v>22</v>
      </c>
      <c r="H1004" s="37">
        <v>5</v>
      </c>
      <c r="I1004" s="37">
        <v>1</v>
      </c>
      <c r="J1004" s="1018">
        <f t="shared" si="249"/>
        <v>0.0704538241827991</v>
      </c>
      <c r="K1004" s="1019">
        <f t="shared" si="250"/>
        <v>2.69711711711712</v>
      </c>
      <c r="L1004" s="1020">
        <f t="shared" si="248"/>
        <v>28.5882490480326</v>
      </c>
      <c r="M1004" s="1018">
        <f t="shared" si="251"/>
        <v>0.0045045045045045</v>
      </c>
      <c r="N1004" s="956">
        <f t="shared" si="252"/>
        <v>17117.5</v>
      </c>
      <c r="O1004" s="956">
        <f t="shared" si="253"/>
        <v>598.76</v>
      </c>
      <c r="P1004" s="1019">
        <f t="shared" si="244"/>
        <v>54.4327272727273</v>
      </c>
      <c r="Q1004" s="675">
        <f t="shared" si="245"/>
        <v>44.3525925925926</v>
      </c>
      <c r="R1004">
        <f t="shared" si="246"/>
        <v>27</v>
      </c>
      <c r="S1004" s="661">
        <f t="shared" si="254"/>
        <v>0.0608108108108108</v>
      </c>
    </row>
    <row r="1005" spans="1:19">
      <c r="A1005" s="1010">
        <v>45652</v>
      </c>
      <c r="B1005" s="670">
        <v>1236.44</v>
      </c>
      <c r="C1005" s="37">
        <v>4913</v>
      </c>
      <c r="D1005" s="37">
        <v>469</v>
      </c>
      <c r="E1005" s="37">
        <v>0</v>
      </c>
      <c r="F1005" s="670">
        <v>0</v>
      </c>
      <c r="G1005" s="37">
        <v>18</v>
      </c>
      <c r="H1005" s="37">
        <v>8</v>
      </c>
      <c r="I1005" s="37">
        <v>2</v>
      </c>
      <c r="J1005" s="1018">
        <f t="shared" si="249"/>
        <v>0.0954610217789538</v>
      </c>
      <c r="K1005" s="1019">
        <f t="shared" si="250"/>
        <v>2.63633262260128</v>
      </c>
      <c r="L1005" s="1020">
        <f t="shared" ref="L1005:L1068" si="255">F1005/B1005</f>
        <v>0</v>
      </c>
      <c r="M1005" s="1018">
        <f t="shared" si="251"/>
        <v>0</v>
      </c>
      <c r="N1005" s="956">
        <f t="shared" si="252"/>
        <v>0</v>
      </c>
      <c r="O1005" s="956">
        <f t="shared" si="253"/>
        <v>0</v>
      </c>
      <c r="P1005" s="1019">
        <f t="shared" si="244"/>
        <v>68.6911111111111</v>
      </c>
      <c r="Q1005" s="675">
        <f t="shared" si="245"/>
        <v>47.5553846153846</v>
      </c>
      <c r="R1005">
        <f t="shared" si="246"/>
        <v>26</v>
      </c>
      <c r="S1005" s="661">
        <f t="shared" si="254"/>
        <v>0.0554371002132196</v>
      </c>
    </row>
    <row r="1006" spans="1:19">
      <c r="A1006" s="1010">
        <v>45653</v>
      </c>
      <c r="B1006" s="670">
        <v>1320.43</v>
      </c>
      <c r="C1006" s="37">
        <v>4626</v>
      </c>
      <c r="D1006" s="37">
        <v>422</v>
      </c>
      <c r="E1006" s="37">
        <v>1</v>
      </c>
      <c r="F1006" s="670">
        <v>9443</v>
      </c>
      <c r="G1006" s="37">
        <v>22</v>
      </c>
      <c r="H1006" s="37">
        <v>2</v>
      </c>
      <c r="I1006" s="37">
        <v>3</v>
      </c>
      <c r="J1006" s="1018">
        <f t="shared" si="249"/>
        <v>0.0912235192390834</v>
      </c>
      <c r="K1006" s="1019">
        <f t="shared" si="250"/>
        <v>3.12898104265403</v>
      </c>
      <c r="L1006" s="1020">
        <f t="shared" si="255"/>
        <v>7.15145823708943</v>
      </c>
      <c r="M1006" s="1018">
        <f t="shared" si="251"/>
        <v>0.0023696682464455</v>
      </c>
      <c r="N1006" s="956">
        <f t="shared" si="252"/>
        <v>9443</v>
      </c>
      <c r="O1006" s="956">
        <f t="shared" si="253"/>
        <v>1320.43</v>
      </c>
      <c r="P1006" s="1019">
        <f t="shared" si="244"/>
        <v>60.0195454545455</v>
      </c>
      <c r="Q1006" s="675">
        <f t="shared" si="245"/>
        <v>55.0179166666667</v>
      </c>
      <c r="R1006">
        <f t="shared" si="246"/>
        <v>24</v>
      </c>
      <c r="S1006" s="661">
        <f t="shared" si="254"/>
        <v>0.0568720379146919</v>
      </c>
    </row>
    <row r="1007" spans="1:19">
      <c r="A1007" s="1010">
        <v>45654</v>
      </c>
      <c r="B1007" s="670">
        <v>1469.69</v>
      </c>
      <c r="C1007" s="37">
        <v>4681</v>
      </c>
      <c r="D1007" s="37">
        <v>404</v>
      </c>
      <c r="E1007" s="37">
        <v>0</v>
      </c>
      <c r="F1007" s="670">
        <v>0</v>
      </c>
      <c r="G1007" s="37">
        <v>51</v>
      </c>
      <c r="H1007" s="37">
        <v>2</v>
      </c>
      <c r="I1007" s="37">
        <v>4</v>
      </c>
      <c r="J1007" s="672">
        <f t="shared" si="249"/>
        <v>0.0863063447981201</v>
      </c>
      <c r="K1007" s="911">
        <f t="shared" si="250"/>
        <v>3.63784653465347</v>
      </c>
      <c r="L1007" s="1020">
        <f t="shared" si="255"/>
        <v>0</v>
      </c>
      <c r="M1007" s="672">
        <f t="shared" si="251"/>
        <v>0</v>
      </c>
      <c r="N1007" s="670">
        <f t="shared" si="252"/>
        <v>0</v>
      </c>
      <c r="O1007" s="670">
        <f t="shared" si="253"/>
        <v>0</v>
      </c>
      <c r="P1007" s="670">
        <f t="shared" si="244"/>
        <v>28.8174509803922</v>
      </c>
      <c r="Q1007" s="675">
        <f t="shared" si="245"/>
        <v>27.73</v>
      </c>
      <c r="R1007">
        <f t="shared" si="246"/>
        <v>53</v>
      </c>
      <c r="S1007" s="666">
        <f t="shared" si="254"/>
        <v>0.131188118811881</v>
      </c>
    </row>
    <row r="1008" spans="1:19">
      <c r="A1008" s="1010">
        <v>45655</v>
      </c>
      <c r="B1008" s="670">
        <v>1491.32</v>
      </c>
      <c r="C1008" s="37">
        <v>4303</v>
      </c>
      <c r="D1008" s="37">
        <v>470</v>
      </c>
      <c r="E1008" s="37">
        <v>1</v>
      </c>
      <c r="F1008" s="670">
        <v>11901</v>
      </c>
      <c r="G1008" s="37">
        <v>29</v>
      </c>
      <c r="H1008" s="37">
        <v>2</v>
      </c>
      <c r="I1008" s="37">
        <v>1</v>
      </c>
      <c r="J1008" s="672">
        <f t="shared" si="249"/>
        <v>0.109226121310713</v>
      </c>
      <c r="K1008" s="911">
        <f t="shared" si="250"/>
        <v>3.17302127659574</v>
      </c>
      <c r="L1008" s="1020">
        <f t="shared" si="255"/>
        <v>7.98017863369364</v>
      </c>
      <c r="M1008" s="672">
        <f t="shared" si="251"/>
        <v>0.00212765957446809</v>
      </c>
      <c r="N1008" s="670">
        <f t="shared" si="252"/>
        <v>11901</v>
      </c>
      <c r="O1008" s="670">
        <f t="shared" si="253"/>
        <v>1491.32</v>
      </c>
      <c r="P1008" s="670">
        <f t="shared" si="244"/>
        <v>51.4248275862069</v>
      </c>
      <c r="Q1008" s="675">
        <f t="shared" si="245"/>
        <v>48.1070967741935</v>
      </c>
      <c r="R1008">
        <f t="shared" si="246"/>
        <v>31</v>
      </c>
      <c r="S1008" s="666">
        <f t="shared" si="254"/>
        <v>0.0659574468085106</v>
      </c>
    </row>
    <row r="1009" spans="1:19">
      <c r="A1009" s="1010">
        <v>45656</v>
      </c>
      <c r="B1009" s="670">
        <v>1551.6</v>
      </c>
      <c r="C1009" s="37">
        <v>5832</v>
      </c>
      <c r="D1009" s="37">
        <v>545</v>
      </c>
      <c r="E1009" s="37">
        <v>1</v>
      </c>
      <c r="F1009" s="670">
        <v>13072</v>
      </c>
      <c r="G1009" s="37">
        <v>38</v>
      </c>
      <c r="H1009" s="37">
        <v>4</v>
      </c>
      <c r="I1009" s="37">
        <v>3</v>
      </c>
      <c r="J1009" s="672">
        <f t="shared" ref="J1009:J1072" si="256">D1009/C1009</f>
        <v>0.0934499314128944</v>
      </c>
      <c r="K1009" s="911">
        <f t="shared" ref="K1009:K1072" si="257">B1009/D1009</f>
        <v>2.84697247706422</v>
      </c>
      <c r="L1009" s="1020">
        <f t="shared" si="255"/>
        <v>8.42485176591905</v>
      </c>
      <c r="M1009" s="672">
        <f t="shared" ref="M1009:M1072" si="258">E1009/D1009</f>
        <v>0.0018348623853211</v>
      </c>
      <c r="N1009" s="670">
        <f t="shared" si="252"/>
        <v>13072</v>
      </c>
      <c r="O1009" s="670">
        <f t="shared" ref="O1009:O1072" si="259">IF(E1009=0,0,B1009/E1009)</f>
        <v>1551.6</v>
      </c>
      <c r="P1009" s="670">
        <f t="shared" ref="P1009:P1072" si="260">B1009/G1009</f>
        <v>40.8315789473684</v>
      </c>
      <c r="Q1009" s="675">
        <f t="shared" ref="Q1009:Q1072" si="261">B1009/(G1009+H1009)</f>
        <v>36.9428571428571</v>
      </c>
      <c r="R1009">
        <f t="shared" ref="R1009:R1072" si="262">G1009+H1009</f>
        <v>42</v>
      </c>
      <c r="S1009" s="666">
        <f t="shared" ref="S1009:S1072" si="263">R1009/D1009</f>
        <v>0.0770642201834862</v>
      </c>
    </row>
    <row r="1010" spans="1:19">
      <c r="A1010" s="1010">
        <v>45657</v>
      </c>
      <c r="B1010" s="670">
        <v>1477.13</v>
      </c>
      <c r="C1010" s="37">
        <v>5434</v>
      </c>
      <c r="D1010" s="37">
        <v>495</v>
      </c>
      <c r="E1010" s="37">
        <v>2</v>
      </c>
      <c r="F1010" s="670">
        <v>34508</v>
      </c>
      <c r="G1010" s="37">
        <v>38</v>
      </c>
      <c r="H1010" s="37">
        <v>4</v>
      </c>
      <c r="I1010" s="37">
        <v>0</v>
      </c>
      <c r="J1010" s="672">
        <f t="shared" si="256"/>
        <v>0.0910931174089069</v>
      </c>
      <c r="K1010" s="911">
        <f t="shared" si="257"/>
        <v>2.98410101010101</v>
      </c>
      <c r="L1010" s="671">
        <f t="shared" si="255"/>
        <v>23.3615186205683</v>
      </c>
      <c r="M1010" s="672">
        <f t="shared" si="258"/>
        <v>0.00404040404040404</v>
      </c>
      <c r="N1010" s="670">
        <f t="shared" si="252"/>
        <v>17254</v>
      </c>
      <c r="O1010" s="670">
        <f t="shared" si="259"/>
        <v>738.565</v>
      </c>
      <c r="P1010" s="670">
        <f t="shared" si="260"/>
        <v>38.8718421052632</v>
      </c>
      <c r="Q1010" s="675">
        <f t="shared" si="261"/>
        <v>35.1697619047619</v>
      </c>
      <c r="R1010">
        <f t="shared" si="262"/>
        <v>42</v>
      </c>
      <c r="S1010" s="666">
        <f t="shared" si="263"/>
        <v>0.0848484848484849</v>
      </c>
    </row>
    <row r="1011" spans="1:19">
      <c r="A1011" s="1010">
        <v>45658</v>
      </c>
      <c r="B1011" s="670">
        <v>1752.9</v>
      </c>
      <c r="C1011" s="37">
        <v>6756</v>
      </c>
      <c r="D1011" s="37">
        <v>593</v>
      </c>
      <c r="E1011" s="37">
        <v>1</v>
      </c>
      <c r="F1011" s="670">
        <v>17687.04</v>
      </c>
      <c r="G1011" s="37">
        <v>43</v>
      </c>
      <c r="H1011" s="37">
        <v>6</v>
      </c>
      <c r="I1011" s="37">
        <v>3</v>
      </c>
      <c r="J1011" s="672">
        <f t="shared" si="256"/>
        <v>0.0877738306690349</v>
      </c>
      <c r="K1011" s="911">
        <f t="shared" si="257"/>
        <v>2.95598650927487</v>
      </c>
      <c r="L1011" s="671">
        <f t="shared" si="255"/>
        <v>10.0901591648126</v>
      </c>
      <c r="M1011" s="672">
        <f t="shared" si="258"/>
        <v>0.00168634064080944</v>
      </c>
      <c r="N1011" s="670">
        <f t="shared" si="252"/>
        <v>17687.04</v>
      </c>
      <c r="O1011" s="670">
        <f t="shared" si="259"/>
        <v>1752.9</v>
      </c>
      <c r="P1011" s="670">
        <f t="shared" si="260"/>
        <v>40.7651162790698</v>
      </c>
      <c r="Q1011" s="675">
        <f t="shared" si="261"/>
        <v>35.7734693877551</v>
      </c>
      <c r="R1011">
        <f t="shared" si="262"/>
        <v>49</v>
      </c>
      <c r="S1011" s="666">
        <f t="shared" si="263"/>
        <v>0.0826306913996627</v>
      </c>
    </row>
    <row r="1012" spans="1:19">
      <c r="A1012" s="1010">
        <v>45659</v>
      </c>
      <c r="B1012" s="670">
        <v>1651.41</v>
      </c>
      <c r="C1012" s="37">
        <v>7665</v>
      </c>
      <c r="D1012" s="37">
        <v>634</v>
      </c>
      <c r="E1012" s="37">
        <v>0</v>
      </c>
      <c r="F1012" s="670">
        <v>0</v>
      </c>
      <c r="G1012" s="37">
        <v>43</v>
      </c>
      <c r="H1012" s="37">
        <v>5</v>
      </c>
      <c r="I1012" s="37">
        <v>8</v>
      </c>
      <c r="J1012" s="672">
        <f t="shared" si="256"/>
        <v>0.0827136333985649</v>
      </c>
      <c r="K1012" s="911">
        <f t="shared" si="257"/>
        <v>2.6047476340694</v>
      </c>
      <c r="L1012" s="671">
        <f t="shared" si="255"/>
        <v>0</v>
      </c>
      <c r="M1012" s="672">
        <f t="shared" si="258"/>
        <v>0</v>
      </c>
      <c r="N1012" s="670">
        <f t="shared" ref="N1012:N1075" si="264">IF(E1012=0,0,F1012/E1012)</f>
        <v>0</v>
      </c>
      <c r="O1012" s="670">
        <f t="shared" si="259"/>
        <v>0</v>
      </c>
      <c r="P1012" s="670">
        <f t="shared" si="260"/>
        <v>38.4048837209302</v>
      </c>
      <c r="Q1012" s="675">
        <f t="shared" si="261"/>
        <v>34.404375</v>
      </c>
      <c r="R1012">
        <f t="shared" si="262"/>
        <v>48</v>
      </c>
      <c r="S1012" s="666">
        <f t="shared" si="263"/>
        <v>0.0757097791798107</v>
      </c>
    </row>
    <row r="1013" spans="1:19">
      <c r="A1013" s="1010">
        <v>45660</v>
      </c>
      <c r="B1013" s="670">
        <v>1733.93</v>
      </c>
      <c r="C1013" s="37">
        <v>7563</v>
      </c>
      <c r="D1013" s="37">
        <v>688</v>
      </c>
      <c r="E1013" s="37">
        <v>2</v>
      </c>
      <c r="F1013" s="670">
        <v>26409</v>
      </c>
      <c r="G1013" s="37">
        <v>45</v>
      </c>
      <c r="H1013" s="37">
        <v>4</v>
      </c>
      <c r="I1013" s="37">
        <v>5</v>
      </c>
      <c r="J1013" s="672">
        <f t="shared" si="256"/>
        <v>0.0909691921195293</v>
      </c>
      <c r="K1013" s="911">
        <f t="shared" si="257"/>
        <v>2.52024709302326</v>
      </c>
      <c r="L1013" s="671">
        <f t="shared" si="255"/>
        <v>15.2307186564625</v>
      </c>
      <c r="M1013" s="672">
        <f t="shared" si="258"/>
        <v>0.00290697674418605</v>
      </c>
      <c r="N1013" s="670">
        <f t="shared" si="264"/>
        <v>13204.5</v>
      </c>
      <c r="O1013" s="670">
        <f t="shared" si="259"/>
        <v>866.965</v>
      </c>
      <c r="P1013" s="670">
        <f t="shared" si="260"/>
        <v>38.5317777777778</v>
      </c>
      <c r="Q1013" s="675">
        <f t="shared" si="261"/>
        <v>35.3863265306122</v>
      </c>
      <c r="R1013">
        <f t="shared" si="262"/>
        <v>49</v>
      </c>
      <c r="S1013" s="666">
        <f t="shared" si="263"/>
        <v>0.0712209302325581</v>
      </c>
    </row>
    <row r="1014" spans="1:19">
      <c r="A1014" s="1010">
        <v>45661</v>
      </c>
      <c r="B1014" s="670">
        <v>1837.37</v>
      </c>
      <c r="C1014" s="37">
        <v>7111</v>
      </c>
      <c r="D1014" s="37">
        <v>690</v>
      </c>
      <c r="E1014" s="37">
        <v>0</v>
      </c>
      <c r="F1014" s="670">
        <v>0</v>
      </c>
      <c r="G1014" s="37">
        <v>37</v>
      </c>
      <c r="H1014" s="37">
        <v>5</v>
      </c>
      <c r="I1014" s="37">
        <v>4</v>
      </c>
      <c r="J1014" s="672">
        <f t="shared" si="256"/>
        <v>0.0970327661369709</v>
      </c>
      <c r="K1014" s="911">
        <f t="shared" si="257"/>
        <v>2.66285507246377</v>
      </c>
      <c r="L1014" s="671">
        <f t="shared" si="255"/>
        <v>0</v>
      </c>
      <c r="M1014" s="672">
        <f t="shared" si="258"/>
        <v>0</v>
      </c>
      <c r="N1014" s="670">
        <f t="shared" si="264"/>
        <v>0</v>
      </c>
      <c r="O1014" s="670">
        <f t="shared" si="259"/>
        <v>0</v>
      </c>
      <c r="P1014" s="670">
        <f t="shared" si="260"/>
        <v>49.6586486486486</v>
      </c>
      <c r="Q1014" s="675">
        <f t="shared" si="261"/>
        <v>43.7469047619048</v>
      </c>
      <c r="R1014">
        <f t="shared" si="262"/>
        <v>42</v>
      </c>
      <c r="S1014" s="666">
        <f t="shared" si="263"/>
        <v>0.0608695652173913</v>
      </c>
    </row>
    <row r="1015" spans="1:19">
      <c r="A1015" s="1010">
        <v>45662</v>
      </c>
      <c r="B1015" s="670">
        <v>1829.74</v>
      </c>
      <c r="C1015" s="37">
        <v>6316</v>
      </c>
      <c r="D1015" s="37">
        <v>630</v>
      </c>
      <c r="E1015" s="37">
        <v>0</v>
      </c>
      <c r="F1015" s="670">
        <v>0</v>
      </c>
      <c r="G1015" s="37">
        <v>27</v>
      </c>
      <c r="H1015" s="37">
        <v>10</v>
      </c>
      <c r="I1015" s="37">
        <v>3</v>
      </c>
      <c r="J1015" s="672">
        <f t="shared" si="256"/>
        <v>0.0997466751108296</v>
      </c>
      <c r="K1015" s="911">
        <f t="shared" si="257"/>
        <v>2.90434920634921</v>
      </c>
      <c r="L1015" s="671">
        <f t="shared" si="255"/>
        <v>0</v>
      </c>
      <c r="M1015" s="672">
        <f t="shared" si="258"/>
        <v>0</v>
      </c>
      <c r="N1015" s="670">
        <f t="shared" si="264"/>
        <v>0</v>
      </c>
      <c r="O1015" s="670">
        <f t="shared" si="259"/>
        <v>0</v>
      </c>
      <c r="P1015" s="670">
        <f t="shared" si="260"/>
        <v>67.7681481481481</v>
      </c>
      <c r="Q1015" s="675">
        <f t="shared" si="261"/>
        <v>49.4524324324324</v>
      </c>
      <c r="R1015">
        <f t="shared" si="262"/>
        <v>37</v>
      </c>
      <c r="S1015" s="666">
        <f t="shared" si="263"/>
        <v>0.0587301587301587</v>
      </c>
    </row>
    <row r="1016" spans="1:19">
      <c r="A1016" s="1010">
        <v>45663</v>
      </c>
      <c r="B1016" s="670">
        <v>1826.31</v>
      </c>
      <c r="C1016" s="37">
        <v>6672</v>
      </c>
      <c r="D1016" s="37">
        <v>625</v>
      </c>
      <c r="E1016" s="37">
        <v>2</v>
      </c>
      <c r="F1016" s="670">
        <v>42301</v>
      </c>
      <c r="G1016" s="37">
        <v>35</v>
      </c>
      <c r="H1016" s="37">
        <v>4</v>
      </c>
      <c r="I1016" s="37">
        <v>1</v>
      </c>
      <c r="J1016" s="672">
        <f t="shared" si="256"/>
        <v>0.0936750599520384</v>
      </c>
      <c r="K1016" s="911">
        <f t="shared" si="257"/>
        <v>2.922096</v>
      </c>
      <c r="L1016" s="671">
        <f t="shared" si="255"/>
        <v>23.1620042599559</v>
      </c>
      <c r="M1016" s="672">
        <f t="shared" si="258"/>
        <v>0.0032</v>
      </c>
      <c r="N1016" s="670">
        <f t="shared" si="264"/>
        <v>21150.5</v>
      </c>
      <c r="O1016" s="670">
        <f t="shared" si="259"/>
        <v>913.155</v>
      </c>
      <c r="P1016" s="670">
        <f t="shared" si="260"/>
        <v>52.1802857142857</v>
      </c>
      <c r="Q1016" s="675">
        <f t="shared" si="261"/>
        <v>46.8284615384615</v>
      </c>
      <c r="R1016">
        <f t="shared" si="262"/>
        <v>39</v>
      </c>
      <c r="S1016" s="666">
        <f t="shared" si="263"/>
        <v>0.0624</v>
      </c>
    </row>
    <row r="1017" spans="1:19">
      <c r="A1017" s="1010">
        <v>45664</v>
      </c>
      <c r="B1017" s="670">
        <v>2052.42</v>
      </c>
      <c r="C1017" s="37">
        <v>7892</v>
      </c>
      <c r="D1017" s="37">
        <v>746</v>
      </c>
      <c r="E1017" s="37">
        <v>0</v>
      </c>
      <c r="F1017" s="670">
        <v>0</v>
      </c>
      <c r="G1017" s="37">
        <v>56</v>
      </c>
      <c r="H1017" s="37">
        <v>5</v>
      </c>
      <c r="I1017" s="37">
        <v>2</v>
      </c>
      <c r="J1017" s="672">
        <f t="shared" si="256"/>
        <v>0.0945261023821592</v>
      </c>
      <c r="K1017" s="911">
        <f t="shared" si="257"/>
        <v>2.75123324396783</v>
      </c>
      <c r="L1017" s="671">
        <f t="shared" si="255"/>
        <v>0</v>
      </c>
      <c r="M1017" s="672">
        <f t="shared" si="258"/>
        <v>0</v>
      </c>
      <c r="N1017" s="670">
        <f t="shared" si="264"/>
        <v>0</v>
      </c>
      <c r="O1017" s="670">
        <f t="shared" si="259"/>
        <v>0</v>
      </c>
      <c r="P1017" s="670">
        <f t="shared" si="260"/>
        <v>36.6503571428571</v>
      </c>
      <c r="Q1017" s="675">
        <f t="shared" si="261"/>
        <v>33.6462295081967</v>
      </c>
      <c r="R1017">
        <f t="shared" si="262"/>
        <v>61</v>
      </c>
      <c r="S1017" s="666">
        <f t="shared" si="263"/>
        <v>0.081769436997319</v>
      </c>
    </row>
    <row r="1018" spans="1:19">
      <c r="A1018" s="1010">
        <v>45665</v>
      </c>
      <c r="B1018" s="670">
        <v>2011.15</v>
      </c>
      <c r="C1018" s="37">
        <v>8110</v>
      </c>
      <c r="D1018" s="37">
        <v>725</v>
      </c>
      <c r="E1018" s="37">
        <v>0</v>
      </c>
      <c r="F1018" s="670">
        <v>0</v>
      </c>
      <c r="G1018" s="37">
        <v>42</v>
      </c>
      <c r="H1018" s="37">
        <v>3</v>
      </c>
      <c r="I1018" s="37">
        <v>7</v>
      </c>
      <c r="J1018" s="672">
        <f t="shared" si="256"/>
        <v>0.0893958076448829</v>
      </c>
      <c r="K1018" s="911">
        <f t="shared" si="257"/>
        <v>2.774</v>
      </c>
      <c r="L1018" s="671">
        <f t="shared" si="255"/>
        <v>0</v>
      </c>
      <c r="M1018" s="672">
        <f t="shared" si="258"/>
        <v>0</v>
      </c>
      <c r="N1018" s="670">
        <f t="shared" si="264"/>
        <v>0</v>
      </c>
      <c r="O1018" s="670">
        <f t="shared" si="259"/>
        <v>0</v>
      </c>
      <c r="P1018" s="670">
        <f t="shared" si="260"/>
        <v>47.8845238095238</v>
      </c>
      <c r="Q1018" s="675">
        <f t="shared" si="261"/>
        <v>44.6922222222222</v>
      </c>
      <c r="R1018">
        <f t="shared" si="262"/>
        <v>45</v>
      </c>
      <c r="S1018" s="666">
        <f t="shared" si="263"/>
        <v>0.0620689655172414</v>
      </c>
    </row>
    <row r="1019" spans="1:19">
      <c r="A1019" s="1010">
        <v>45666</v>
      </c>
      <c r="B1019" s="670">
        <v>1845.09</v>
      </c>
      <c r="C1019" s="37">
        <v>7420</v>
      </c>
      <c r="D1019" s="37">
        <v>651</v>
      </c>
      <c r="E1019" s="37">
        <v>0</v>
      </c>
      <c r="F1019" s="670">
        <v>0</v>
      </c>
      <c r="G1019" s="37">
        <v>30</v>
      </c>
      <c r="H1019" s="37">
        <v>3</v>
      </c>
      <c r="I1019" s="37">
        <v>0</v>
      </c>
      <c r="J1019" s="672">
        <f t="shared" si="256"/>
        <v>0.0877358490566038</v>
      </c>
      <c r="K1019" s="911">
        <f t="shared" si="257"/>
        <v>2.83423963133641</v>
      </c>
      <c r="L1019" s="671">
        <f t="shared" si="255"/>
        <v>0</v>
      </c>
      <c r="M1019" s="672">
        <f t="shared" si="258"/>
        <v>0</v>
      </c>
      <c r="N1019" s="670">
        <f t="shared" si="264"/>
        <v>0</v>
      </c>
      <c r="O1019" s="670">
        <f t="shared" si="259"/>
        <v>0</v>
      </c>
      <c r="P1019" s="670">
        <f t="shared" si="260"/>
        <v>61.503</v>
      </c>
      <c r="Q1019" s="675">
        <f t="shared" si="261"/>
        <v>55.9118181818182</v>
      </c>
      <c r="R1019">
        <f t="shared" si="262"/>
        <v>33</v>
      </c>
      <c r="S1019" s="666">
        <f t="shared" si="263"/>
        <v>0.0506912442396313</v>
      </c>
    </row>
    <row r="1020" spans="1:19">
      <c r="A1020" s="1010">
        <v>45667</v>
      </c>
      <c r="B1020" s="670">
        <v>1741.89</v>
      </c>
      <c r="C1020" s="37">
        <v>8679</v>
      </c>
      <c r="D1020" s="37">
        <v>622</v>
      </c>
      <c r="E1020" s="37">
        <v>0</v>
      </c>
      <c r="F1020" s="670">
        <v>0</v>
      </c>
      <c r="G1020" s="37">
        <v>30</v>
      </c>
      <c r="H1020" s="37">
        <v>1</v>
      </c>
      <c r="I1020" s="37">
        <v>1</v>
      </c>
      <c r="J1020" s="672">
        <f t="shared" si="256"/>
        <v>0.0716672427699044</v>
      </c>
      <c r="K1020" s="911">
        <f t="shared" si="257"/>
        <v>2.80046623794212</v>
      </c>
      <c r="L1020" s="671">
        <f t="shared" si="255"/>
        <v>0</v>
      </c>
      <c r="M1020" s="672">
        <f t="shared" si="258"/>
        <v>0</v>
      </c>
      <c r="N1020" s="670">
        <f t="shared" si="264"/>
        <v>0</v>
      </c>
      <c r="O1020" s="670">
        <f t="shared" si="259"/>
        <v>0</v>
      </c>
      <c r="P1020" s="670">
        <f t="shared" si="260"/>
        <v>58.063</v>
      </c>
      <c r="Q1020" s="675">
        <f t="shared" si="261"/>
        <v>56.19</v>
      </c>
      <c r="R1020">
        <f t="shared" si="262"/>
        <v>31</v>
      </c>
      <c r="S1020" s="666">
        <f t="shared" si="263"/>
        <v>0.0498392282958199</v>
      </c>
    </row>
    <row r="1021" spans="1:19">
      <c r="A1021" s="1010">
        <v>45668</v>
      </c>
      <c r="B1021" s="670">
        <v>1707.39</v>
      </c>
      <c r="C1021" s="37">
        <v>8308</v>
      </c>
      <c r="D1021" s="37">
        <v>610</v>
      </c>
      <c r="E1021" s="37">
        <v>2</v>
      </c>
      <c r="F1021" s="670">
        <v>16590.32</v>
      </c>
      <c r="G1021" s="37">
        <v>46</v>
      </c>
      <c r="H1021" s="37">
        <v>3</v>
      </c>
      <c r="I1021" s="37">
        <v>3</v>
      </c>
      <c r="J1021" s="672">
        <f t="shared" si="256"/>
        <v>0.0734232065479056</v>
      </c>
      <c r="K1021" s="911">
        <f t="shared" si="257"/>
        <v>2.799</v>
      </c>
      <c r="L1021" s="671">
        <f t="shared" si="255"/>
        <v>9.71677238357961</v>
      </c>
      <c r="M1021" s="672">
        <f t="shared" si="258"/>
        <v>0.00327868852459016</v>
      </c>
      <c r="N1021" s="670">
        <f t="shared" si="264"/>
        <v>8295.16</v>
      </c>
      <c r="O1021" s="670">
        <f t="shared" si="259"/>
        <v>853.695</v>
      </c>
      <c r="P1021" s="670">
        <f t="shared" si="260"/>
        <v>37.1171739130435</v>
      </c>
      <c r="Q1021" s="675">
        <f t="shared" si="261"/>
        <v>34.844693877551</v>
      </c>
      <c r="R1021">
        <f t="shared" si="262"/>
        <v>49</v>
      </c>
      <c r="S1021" s="666">
        <f t="shared" si="263"/>
        <v>0.080327868852459</v>
      </c>
    </row>
    <row r="1022" spans="1:19">
      <c r="A1022" s="1010">
        <v>45669</v>
      </c>
      <c r="B1022" s="670">
        <v>1872.1</v>
      </c>
      <c r="C1022" s="37">
        <v>8293</v>
      </c>
      <c r="D1022" s="37">
        <v>636</v>
      </c>
      <c r="E1022" s="37">
        <v>1</v>
      </c>
      <c r="F1022" s="670">
        <v>9524</v>
      </c>
      <c r="G1022" s="37">
        <v>34</v>
      </c>
      <c r="H1022" s="37">
        <v>7</v>
      </c>
      <c r="I1022" s="37">
        <v>6</v>
      </c>
      <c r="J1022" s="672">
        <f t="shared" si="256"/>
        <v>0.0766911853370312</v>
      </c>
      <c r="K1022" s="911">
        <f t="shared" si="257"/>
        <v>2.9435534591195</v>
      </c>
      <c r="L1022" s="671">
        <f t="shared" si="255"/>
        <v>5.08733507825437</v>
      </c>
      <c r="M1022" s="672">
        <f t="shared" si="258"/>
        <v>0.00157232704402516</v>
      </c>
      <c r="N1022" s="670">
        <f t="shared" si="264"/>
        <v>9524</v>
      </c>
      <c r="O1022" s="670">
        <f t="shared" si="259"/>
        <v>1872.1</v>
      </c>
      <c r="P1022" s="670">
        <f t="shared" si="260"/>
        <v>55.0617647058824</v>
      </c>
      <c r="Q1022" s="675">
        <f t="shared" si="261"/>
        <v>45.6609756097561</v>
      </c>
      <c r="R1022">
        <f t="shared" si="262"/>
        <v>41</v>
      </c>
      <c r="S1022" s="666">
        <f t="shared" si="263"/>
        <v>0.0644654088050314</v>
      </c>
    </row>
    <row r="1023" spans="1:19">
      <c r="A1023" s="1010">
        <v>45670</v>
      </c>
      <c r="B1023" s="670">
        <v>2283.95</v>
      </c>
      <c r="C1023" s="37">
        <v>7543</v>
      </c>
      <c r="D1023" s="37">
        <v>746</v>
      </c>
      <c r="E1023" s="37">
        <v>0</v>
      </c>
      <c r="F1023" s="670">
        <v>0</v>
      </c>
      <c r="G1023" s="37">
        <v>36</v>
      </c>
      <c r="H1023" s="37">
        <v>2</v>
      </c>
      <c r="I1023" s="37">
        <v>6</v>
      </c>
      <c r="J1023" s="672">
        <f t="shared" si="256"/>
        <v>0.0988996420522339</v>
      </c>
      <c r="K1023" s="911">
        <f t="shared" si="257"/>
        <v>3.06159517426273</v>
      </c>
      <c r="L1023" s="671">
        <f t="shared" si="255"/>
        <v>0</v>
      </c>
      <c r="M1023" s="672">
        <f t="shared" si="258"/>
        <v>0</v>
      </c>
      <c r="N1023" s="670">
        <f t="shared" si="264"/>
        <v>0</v>
      </c>
      <c r="O1023" s="670">
        <f t="shared" si="259"/>
        <v>0</v>
      </c>
      <c r="P1023" s="670">
        <f t="shared" si="260"/>
        <v>63.4430555555556</v>
      </c>
      <c r="Q1023" s="675">
        <f t="shared" si="261"/>
        <v>60.103947368421</v>
      </c>
      <c r="R1023">
        <f t="shared" si="262"/>
        <v>38</v>
      </c>
      <c r="S1023" s="666">
        <f t="shared" si="263"/>
        <v>0.0509383378016086</v>
      </c>
    </row>
    <row r="1024" spans="1:19">
      <c r="A1024" s="1010">
        <v>45671</v>
      </c>
      <c r="B1024" s="670">
        <v>2166.68</v>
      </c>
      <c r="C1024" s="37">
        <v>8555</v>
      </c>
      <c r="D1024" s="37">
        <v>756</v>
      </c>
      <c r="E1024" s="37">
        <v>0</v>
      </c>
      <c r="F1024" s="670">
        <v>0</v>
      </c>
      <c r="G1024" s="37">
        <v>24</v>
      </c>
      <c r="H1024" s="37">
        <v>6</v>
      </c>
      <c r="I1024" s="37">
        <v>2</v>
      </c>
      <c r="J1024" s="672">
        <f t="shared" si="256"/>
        <v>0.0883693746347165</v>
      </c>
      <c r="K1024" s="911">
        <f t="shared" si="257"/>
        <v>2.86597883597884</v>
      </c>
      <c r="L1024" s="671">
        <f t="shared" si="255"/>
        <v>0</v>
      </c>
      <c r="M1024" s="672">
        <f t="shared" si="258"/>
        <v>0</v>
      </c>
      <c r="N1024" s="670">
        <f t="shared" si="264"/>
        <v>0</v>
      </c>
      <c r="O1024" s="670">
        <f t="shared" si="259"/>
        <v>0</v>
      </c>
      <c r="P1024" s="670">
        <f t="shared" si="260"/>
        <v>90.2783333333333</v>
      </c>
      <c r="Q1024" s="675">
        <f t="shared" si="261"/>
        <v>72.2226666666667</v>
      </c>
      <c r="R1024">
        <f t="shared" si="262"/>
        <v>30</v>
      </c>
      <c r="S1024" s="666">
        <f t="shared" si="263"/>
        <v>0.0396825396825397</v>
      </c>
    </row>
    <row r="1025" spans="1:19">
      <c r="A1025" s="1010">
        <v>45672</v>
      </c>
      <c r="B1025" s="670">
        <v>2180</v>
      </c>
      <c r="C1025" s="37">
        <v>9321</v>
      </c>
      <c r="D1025" s="37">
        <v>896</v>
      </c>
      <c r="E1025" s="37">
        <v>2</v>
      </c>
      <c r="F1025" s="670">
        <v>19044</v>
      </c>
      <c r="G1025" s="37">
        <v>36</v>
      </c>
      <c r="H1025" s="37">
        <v>5</v>
      </c>
      <c r="I1025" s="37">
        <v>5</v>
      </c>
      <c r="J1025" s="672">
        <f t="shared" si="256"/>
        <v>0.0961270249973179</v>
      </c>
      <c r="K1025" s="911">
        <f t="shared" si="257"/>
        <v>2.43303571428571</v>
      </c>
      <c r="L1025" s="671">
        <f t="shared" si="255"/>
        <v>8.73577981651376</v>
      </c>
      <c r="M1025" s="672">
        <f t="shared" si="258"/>
        <v>0.00223214285714286</v>
      </c>
      <c r="N1025" s="670">
        <f t="shared" si="264"/>
        <v>9522</v>
      </c>
      <c r="O1025" s="670">
        <f t="shared" si="259"/>
        <v>1090</v>
      </c>
      <c r="P1025" s="670">
        <f t="shared" si="260"/>
        <v>60.5555555555556</v>
      </c>
      <c r="Q1025" s="675">
        <f t="shared" si="261"/>
        <v>53.1707317073171</v>
      </c>
      <c r="R1025">
        <f t="shared" si="262"/>
        <v>41</v>
      </c>
      <c r="S1025" s="667">
        <f t="shared" si="263"/>
        <v>0.0457589285714286</v>
      </c>
    </row>
    <row r="1026" spans="1:19">
      <c r="A1026" s="1010">
        <v>45673</v>
      </c>
      <c r="B1026" s="670">
        <v>2145.65</v>
      </c>
      <c r="C1026" s="37">
        <v>9803</v>
      </c>
      <c r="D1026" s="37">
        <v>806</v>
      </c>
      <c r="E1026" s="37">
        <v>0</v>
      </c>
      <c r="F1026" s="670">
        <v>0</v>
      </c>
      <c r="G1026" s="37">
        <v>28</v>
      </c>
      <c r="H1026" s="37">
        <v>5</v>
      </c>
      <c r="I1026" s="37">
        <v>6</v>
      </c>
      <c r="J1026" s="672">
        <f t="shared" si="256"/>
        <v>0.0822197286544935</v>
      </c>
      <c r="K1026" s="911">
        <f t="shared" si="257"/>
        <v>2.66209677419355</v>
      </c>
      <c r="L1026" s="671">
        <f t="shared" si="255"/>
        <v>0</v>
      </c>
      <c r="M1026" s="672">
        <f t="shared" si="258"/>
        <v>0</v>
      </c>
      <c r="N1026" s="670">
        <f t="shared" si="264"/>
        <v>0</v>
      </c>
      <c r="O1026" s="670">
        <f t="shared" si="259"/>
        <v>0</v>
      </c>
      <c r="P1026" s="670">
        <f t="shared" si="260"/>
        <v>76.6303571428572</v>
      </c>
      <c r="Q1026" s="675">
        <f t="shared" si="261"/>
        <v>65.019696969697</v>
      </c>
      <c r="R1026">
        <f t="shared" si="262"/>
        <v>33</v>
      </c>
      <c r="S1026" s="667">
        <f t="shared" si="263"/>
        <v>0.0409429280397022</v>
      </c>
    </row>
    <row r="1027" spans="1:19">
      <c r="A1027" s="1010">
        <v>45674</v>
      </c>
      <c r="B1027" s="670">
        <v>1527.99</v>
      </c>
      <c r="C1027" s="37">
        <v>6548</v>
      </c>
      <c r="D1027" s="37">
        <v>624</v>
      </c>
      <c r="E1027" s="37">
        <v>0</v>
      </c>
      <c r="F1027" s="670">
        <v>0</v>
      </c>
      <c r="G1027" s="37">
        <v>38</v>
      </c>
      <c r="H1027" s="37">
        <v>3</v>
      </c>
      <c r="I1027" s="37">
        <v>3</v>
      </c>
      <c r="J1027" s="672">
        <f t="shared" si="256"/>
        <v>0.09529627367135</v>
      </c>
      <c r="K1027" s="911">
        <f t="shared" si="257"/>
        <v>2.44870192307692</v>
      </c>
      <c r="L1027" s="671">
        <f t="shared" si="255"/>
        <v>0</v>
      </c>
      <c r="M1027" s="672">
        <f t="shared" si="258"/>
        <v>0</v>
      </c>
      <c r="N1027" s="670">
        <f t="shared" si="264"/>
        <v>0</v>
      </c>
      <c r="O1027" s="670">
        <f t="shared" si="259"/>
        <v>0</v>
      </c>
      <c r="P1027" s="670">
        <f t="shared" si="260"/>
        <v>40.2102631578947</v>
      </c>
      <c r="Q1027" s="675">
        <f t="shared" si="261"/>
        <v>37.2680487804878</v>
      </c>
      <c r="R1027">
        <f t="shared" si="262"/>
        <v>41</v>
      </c>
      <c r="S1027" s="667">
        <f t="shared" si="263"/>
        <v>0.0657051282051282</v>
      </c>
    </row>
    <row r="1028" spans="1:19">
      <c r="A1028" s="1010">
        <v>45675</v>
      </c>
      <c r="B1028" s="670">
        <v>1518.11</v>
      </c>
      <c r="C1028" s="37">
        <v>5859</v>
      </c>
      <c r="D1028" s="37">
        <v>593</v>
      </c>
      <c r="E1028" s="37">
        <v>0</v>
      </c>
      <c r="F1028" s="670">
        <v>0</v>
      </c>
      <c r="G1028" s="37">
        <v>45</v>
      </c>
      <c r="H1028" s="37">
        <v>1</v>
      </c>
      <c r="I1028" s="37">
        <v>5</v>
      </c>
      <c r="J1028" s="672">
        <f t="shared" si="256"/>
        <v>0.10121181088923</v>
      </c>
      <c r="K1028" s="911">
        <f t="shared" si="257"/>
        <v>2.56005059021922</v>
      </c>
      <c r="L1028" s="671">
        <f t="shared" si="255"/>
        <v>0</v>
      </c>
      <c r="M1028" s="672">
        <f t="shared" si="258"/>
        <v>0</v>
      </c>
      <c r="N1028" s="670">
        <f t="shared" si="264"/>
        <v>0</v>
      </c>
      <c r="O1028" s="670">
        <f t="shared" si="259"/>
        <v>0</v>
      </c>
      <c r="P1028" s="670">
        <f t="shared" si="260"/>
        <v>33.7357777777778</v>
      </c>
      <c r="Q1028" s="675">
        <f t="shared" si="261"/>
        <v>33.0023913043478</v>
      </c>
      <c r="R1028">
        <f t="shared" si="262"/>
        <v>46</v>
      </c>
      <c r="S1028" s="667">
        <f t="shared" si="263"/>
        <v>0.0775716694772344</v>
      </c>
    </row>
    <row r="1029" spans="1:19">
      <c r="A1029" s="1010">
        <v>45676</v>
      </c>
      <c r="B1029" s="670">
        <v>1522.22</v>
      </c>
      <c r="C1029" s="37">
        <v>5213</v>
      </c>
      <c r="D1029" s="37">
        <v>563</v>
      </c>
      <c r="E1029" s="37">
        <v>0</v>
      </c>
      <c r="F1029" s="670">
        <v>0</v>
      </c>
      <c r="G1029" s="37">
        <v>16</v>
      </c>
      <c r="H1029" s="37">
        <v>3</v>
      </c>
      <c r="I1029" s="37">
        <v>3</v>
      </c>
      <c r="J1029" s="672">
        <f t="shared" si="256"/>
        <v>0.107999232687512</v>
      </c>
      <c r="K1029" s="911">
        <f t="shared" si="257"/>
        <v>2.70376554174068</v>
      </c>
      <c r="L1029" s="671">
        <f t="shared" si="255"/>
        <v>0</v>
      </c>
      <c r="M1029" s="672">
        <f t="shared" si="258"/>
        <v>0</v>
      </c>
      <c r="N1029" s="670">
        <f t="shared" si="264"/>
        <v>0</v>
      </c>
      <c r="O1029" s="670">
        <f t="shared" si="259"/>
        <v>0</v>
      </c>
      <c r="P1029" s="670">
        <f t="shared" si="260"/>
        <v>95.13875</v>
      </c>
      <c r="Q1029" s="675">
        <f t="shared" si="261"/>
        <v>80.1168421052632</v>
      </c>
      <c r="R1029">
        <f t="shared" si="262"/>
        <v>19</v>
      </c>
      <c r="S1029" s="667">
        <f t="shared" si="263"/>
        <v>0.0337477797513321</v>
      </c>
    </row>
    <row r="1030" spans="1:19">
      <c r="A1030" s="1010">
        <v>45677</v>
      </c>
      <c r="B1030" s="670">
        <v>1786.8</v>
      </c>
      <c r="C1030" s="37">
        <v>7433</v>
      </c>
      <c r="D1030" s="37">
        <v>643</v>
      </c>
      <c r="E1030" s="37">
        <v>0</v>
      </c>
      <c r="F1030" s="670">
        <v>0</v>
      </c>
      <c r="G1030" s="37">
        <v>29</v>
      </c>
      <c r="H1030" s="37">
        <v>2</v>
      </c>
      <c r="I1030" s="37">
        <v>3</v>
      </c>
      <c r="J1030" s="672">
        <f t="shared" si="256"/>
        <v>0.0865061213507332</v>
      </c>
      <c r="K1030" s="911">
        <f t="shared" si="257"/>
        <v>2.77884914463453</v>
      </c>
      <c r="L1030" s="671">
        <f t="shared" si="255"/>
        <v>0</v>
      </c>
      <c r="M1030" s="672">
        <f t="shared" si="258"/>
        <v>0</v>
      </c>
      <c r="N1030" s="670">
        <f t="shared" si="264"/>
        <v>0</v>
      </c>
      <c r="O1030" s="670">
        <f t="shared" si="259"/>
        <v>0</v>
      </c>
      <c r="P1030" s="670">
        <f t="shared" si="260"/>
        <v>61.6137931034483</v>
      </c>
      <c r="Q1030" s="675">
        <f t="shared" si="261"/>
        <v>57.6387096774194</v>
      </c>
      <c r="R1030">
        <f t="shared" si="262"/>
        <v>31</v>
      </c>
      <c r="S1030" s="667">
        <f t="shared" si="263"/>
        <v>0.0482115085536547</v>
      </c>
    </row>
    <row r="1031" spans="1:19">
      <c r="A1031" s="1010">
        <v>45678</v>
      </c>
      <c r="B1031" s="670">
        <v>1943.52</v>
      </c>
      <c r="C1031" s="37">
        <v>7352</v>
      </c>
      <c r="D1031" s="37">
        <v>710</v>
      </c>
      <c r="E1031" s="37">
        <v>1</v>
      </c>
      <c r="F1031" s="670">
        <v>9688</v>
      </c>
      <c r="G1031" s="37">
        <v>45</v>
      </c>
      <c r="H1031" s="37">
        <v>8</v>
      </c>
      <c r="I1031" s="37">
        <v>8</v>
      </c>
      <c r="J1031" s="672">
        <f t="shared" si="256"/>
        <v>0.0965723612622416</v>
      </c>
      <c r="K1031" s="911">
        <f t="shared" si="257"/>
        <v>2.73735211267606</v>
      </c>
      <c r="L1031" s="671">
        <f t="shared" si="255"/>
        <v>4.98476990203342</v>
      </c>
      <c r="M1031" s="672">
        <f t="shared" si="258"/>
        <v>0.00140845070422535</v>
      </c>
      <c r="N1031" s="670">
        <f t="shared" si="264"/>
        <v>9688</v>
      </c>
      <c r="O1031" s="670">
        <f t="shared" si="259"/>
        <v>1943.52</v>
      </c>
      <c r="P1031" s="670">
        <f t="shared" si="260"/>
        <v>43.1893333333333</v>
      </c>
      <c r="Q1031" s="675">
        <f t="shared" si="261"/>
        <v>36.6701886792453</v>
      </c>
      <c r="R1031">
        <f t="shared" si="262"/>
        <v>53</v>
      </c>
      <c r="S1031" s="667">
        <f t="shared" si="263"/>
        <v>0.0746478873239437</v>
      </c>
    </row>
    <row r="1032" spans="1:19">
      <c r="A1032" s="1010">
        <v>45679</v>
      </c>
      <c r="B1032" s="670">
        <v>1920.73</v>
      </c>
      <c r="C1032" s="37">
        <v>6704</v>
      </c>
      <c r="D1032" s="37">
        <v>741</v>
      </c>
      <c r="E1032" s="37">
        <v>6</v>
      </c>
      <c r="F1032" s="670">
        <v>56966</v>
      </c>
      <c r="G1032" s="37">
        <v>52</v>
      </c>
      <c r="H1032" s="37">
        <v>5</v>
      </c>
      <c r="I1032" s="37">
        <v>6</v>
      </c>
      <c r="J1032" s="672">
        <f t="shared" si="256"/>
        <v>0.110531026252983</v>
      </c>
      <c r="K1032" s="911">
        <f t="shared" si="257"/>
        <v>2.59207827260459</v>
      </c>
      <c r="L1032" s="671">
        <f t="shared" si="255"/>
        <v>29.6585152520136</v>
      </c>
      <c r="M1032" s="672">
        <f t="shared" si="258"/>
        <v>0.00809716599190283</v>
      </c>
      <c r="N1032" s="670">
        <f t="shared" si="264"/>
        <v>9494.33333333333</v>
      </c>
      <c r="O1032" s="670">
        <f t="shared" si="259"/>
        <v>320.121666666667</v>
      </c>
      <c r="P1032" s="670">
        <f t="shared" si="260"/>
        <v>36.9371153846154</v>
      </c>
      <c r="Q1032" s="675">
        <f t="shared" si="261"/>
        <v>33.6970175438597</v>
      </c>
      <c r="R1032">
        <f t="shared" si="262"/>
        <v>57</v>
      </c>
      <c r="S1032" s="667">
        <f t="shared" si="263"/>
        <v>0.0769230769230769</v>
      </c>
    </row>
    <row r="1033" spans="1:19">
      <c r="A1033" s="1010">
        <v>45680</v>
      </c>
      <c r="B1033" s="670">
        <v>1897.66</v>
      </c>
      <c r="C1033" s="37">
        <v>7090</v>
      </c>
      <c r="D1033" s="37">
        <v>782</v>
      </c>
      <c r="E1033" s="37">
        <v>0</v>
      </c>
      <c r="F1033" s="670">
        <v>0</v>
      </c>
      <c r="G1033" s="37">
        <v>36</v>
      </c>
      <c r="H1033" s="37">
        <v>6</v>
      </c>
      <c r="I1033" s="37">
        <v>4</v>
      </c>
      <c r="J1033" s="672">
        <f t="shared" si="256"/>
        <v>0.110296191819464</v>
      </c>
      <c r="K1033" s="911">
        <f t="shared" si="257"/>
        <v>2.42667519181586</v>
      </c>
      <c r="L1033" s="671">
        <f t="shared" si="255"/>
        <v>0</v>
      </c>
      <c r="M1033" s="672">
        <f t="shared" si="258"/>
        <v>0</v>
      </c>
      <c r="N1033" s="670">
        <f t="shared" si="264"/>
        <v>0</v>
      </c>
      <c r="O1033" s="670">
        <f t="shared" si="259"/>
        <v>0</v>
      </c>
      <c r="P1033" s="670">
        <f t="shared" si="260"/>
        <v>52.7127777777778</v>
      </c>
      <c r="Q1033" s="675">
        <f t="shared" si="261"/>
        <v>45.182380952381</v>
      </c>
      <c r="R1033">
        <f t="shared" si="262"/>
        <v>42</v>
      </c>
      <c r="S1033" s="667">
        <f t="shared" si="263"/>
        <v>0.0537084398976982</v>
      </c>
    </row>
    <row r="1034" spans="1:19">
      <c r="A1034" s="1010">
        <v>45681</v>
      </c>
      <c r="B1034" s="670">
        <v>2034.48</v>
      </c>
      <c r="C1034" s="37">
        <v>6627</v>
      </c>
      <c r="D1034" s="37">
        <v>880</v>
      </c>
      <c r="E1034" s="37">
        <v>0</v>
      </c>
      <c r="F1034" s="670">
        <v>0</v>
      </c>
      <c r="G1034" s="37">
        <v>58</v>
      </c>
      <c r="H1034" s="37">
        <v>7</v>
      </c>
      <c r="I1034" s="37">
        <v>5</v>
      </c>
      <c r="J1034" s="672">
        <f t="shared" si="256"/>
        <v>0.132790101101554</v>
      </c>
      <c r="K1034" s="911">
        <f t="shared" si="257"/>
        <v>2.31190909090909</v>
      </c>
      <c r="L1034" s="671">
        <f t="shared" si="255"/>
        <v>0</v>
      </c>
      <c r="M1034" s="672">
        <f t="shared" si="258"/>
        <v>0</v>
      </c>
      <c r="N1034" s="670">
        <f t="shared" si="264"/>
        <v>0</v>
      </c>
      <c r="O1034" s="670">
        <f t="shared" si="259"/>
        <v>0</v>
      </c>
      <c r="P1034" s="670">
        <f t="shared" si="260"/>
        <v>35.0772413793103</v>
      </c>
      <c r="Q1034" s="675">
        <f t="shared" si="261"/>
        <v>31.2996923076923</v>
      </c>
      <c r="R1034">
        <f t="shared" si="262"/>
        <v>65</v>
      </c>
      <c r="S1034" s="667">
        <f t="shared" si="263"/>
        <v>0.0738636363636364</v>
      </c>
    </row>
    <row r="1035" spans="1:19">
      <c r="A1035" s="1010">
        <v>45682</v>
      </c>
      <c r="B1035" s="670">
        <v>1817.73</v>
      </c>
      <c r="C1035" s="37">
        <v>4720</v>
      </c>
      <c r="D1035" s="37">
        <v>1003</v>
      </c>
      <c r="E1035" s="37">
        <v>0</v>
      </c>
      <c r="F1035" s="670">
        <v>0</v>
      </c>
      <c r="G1035" s="37">
        <v>61</v>
      </c>
      <c r="H1035" s="37">
        <v>15</v>
      </c>
      <c r="I1035" s="37">
        <v>12</v>
      </c>
      <c r="J1035" s="672">
        <f t="shared" si="256"/>
        <v>0.2125</v>
      </c>
      <c r="K1035" s="911">
        <f t="shared" si="257"/>
        <v>1.81229312063809</v>
      </c>
      <c r="L1035" s="671">
        <f t="shared" si="255"/>
        <v>0</v>
      </c>
      <c r="M1035" s="672">
        <f t="shared" si="258"/>
        <v>0</v>
      </c>
      <c r="N1035" s="670">
        <f t="shared" si="264"/>
        <v>0</v>
      </c>
      <c r="O1035" s="670">
        <f t="shared" si="259"/>
        <v>0</v>
      </c>
      <c r="P1035" s="670">
        <f t="shared" si="260"/>
        <v>29.7988524590164</v>
      </c>
      <c r="Q1035" s="675">
        <f t="shared" si="261"/>
        <v>23.9175</v>
      </c>
      <c r="R1035">
        <f t="shared" si="262"/>
        <v>76</v>
      </c>
      <c r="S1035" s="667">
        <f t="shared" si="263"/>
        <v>0.0757726819541376</v>
      </c>
    </row>
    <row r="1036" spans="1:19">
      <c r="A1036" s="1010">
        <v>45683</v>
      </c>
      <c r="B1036" s="670">
        <v>1814.34</v>
      </c>
      <c r="C1036" s="37">
        <v>6117</v>
      </c>
      <c r="D1036" s="37">
        <v>1000</v>
      </c>
      <c r="E1036" s="37">
        <v>2</v>
      </c>
      <c r="F1036" s="670">
        <v>37313</v>
      </c>
      <c r="G1036" s="37">
        <v>53</v>
      </c>
      <c r="H1036" s="37">
        <v>12</v>
      </c>
      <c r="I1036" s="37">
        <v>7</v>
      </c>
      <c r="J1036" s="672">
        <f t="shared" si="256"/>
        <v>0.163478829491581</v>
      </c>
      <c r="K1036" s="911">
        <f t="shared" si="257"/>
        <v>1.81434</v>
      </c>
      <c r="L1036" s="671">
        <f t="shared" si="255"/>
        <v>20.5656051236262</v>
      </c>
      <c r="M1036" s="672">
        <f t="shared" si="258"/>
        <v>0.002</v>
      </c>
      <c r="N1036" s="670">
        <f t="shared" si="264"/>
        <v>18656.5</v>
      </c>
      <c r="O1036" s="670">
        <f t="shared" si="259"/>
        <v>907.17</v>
      </c>
      <c r="P1036" s="670">
        <f t="shared" si="260"/>
        <v>34.2328301886792</v>
      </c>
      <c r="Q1036" s="675">
        <f t="shared" si="261"/>
        <v>27.9129230769231</v>
      </c>
      <c r="R1036">
        <f t="shared" si="262"/>
        <v>65</v>
      </c>
      <c r="S1036" s="667">
        <f t="shared" si="263"/>
        <v>0.065</v>
      </c>
    </row>
    <row r="1037" spans="1:19">
      <c r="A1037" s="1010">
        <v>45684</v>
      </c>
      <c r="B1037" s="670">
        <v>1810.96</v>
      </c>
      <c r="C1037" s="37">
        <v>6516</v>
      </c>
      <c r="D1037" s="37">
        <v>860</v>
      </c>
      <c r="E1037" s="37">
        <v>7</v>
      </c>
      <c r="F1037" s="670">
        <v>55738.84</v>
      </c>
      <c r="G1037" s="37">
        <v>52</v>
      </c>
      <c r="H1037" s="37">
        <v>6</v>
      </c>
      <c r="I1037" s="37">
        <v>10</v>
      </c>
      <c r="J1037" s="672">
        <f t="shared" si="256"/>
        <v>0.131982811540823</v>
      </c>
      <c r="K1037" s="911">
        <f t="shared" si="257"/>
        <v>2.10576744186047</v>
      </c>
      <c r="L1037" s="671">
        <f t="shared" si="255"/>
        <v>30.7786146574193</v>
      </c>
      <c r="M1037" s="672">
        <f t="shared" si="258"/>
        <v>0.00813953488372093</v>
      </c>
      <c r="N1037" s="670">
        <f t="shared" si="264"/>
        <v>7962.69142857143</v>
      </c>
      <c r="O1037" s="670">
        <f t="shared" si="259"/>
        <v>258.708571428571</v>
      </c>
      <c r="P1037" s="670">
        <f t="shared" si="260"/>
        <v>34.8261538461538</v>
      </c>
      <c r="Q1037" s="675">
        <f t="shared" si="261"/>
        <v>31.2234482758621</v>
      </c>
      <c r="R1037">
        <f t="shared" si="262"/>
        <v>58</v>
      </c>
      <c r="S1037" s="667">
        <f t="shared" si="263"/>
        <v>0.0674418604651163</v>
      </c>
    </row>
    <row r="1038" spans="1:19">
      <c r="A1038" s="1010">
        <v>45685</v>
      </c>
      <c r="B1038" s="670">
        <v>1602.04</v>
      </c>
      <c r="C1038" s="37">
        <v>7179</v>
      </c>
      <c r="D1038" s="37">
        <v>687</v>
      </c>
      <c r="E1038" s="37">
        <v>0</v>
      </c>
      <c r="F1038" s="670">
        <v>0</v>
      </c>
      <c r="G1038" s="37">
        <v>53</v>
      </c>
      <c r="H1038" s="37">
        <v>7</v>
      </c>
      <c r="I1038" s="37">
        <v>5</v>
      </c>
      <c r="J1038" s="672">
        <f t="shared" si="256"/>
        <v>0.0956957793564563</v>
      </c>
      <c r="K1038" s="911">
        <f t="shared" si="257"/>
        <v>2.33193595342067</v>
      </c>
      <c r="L1038" s="671">
        <f t="shared" si="255"/>
        <v>0</v>
      </c>
      <c r="M1038" s="672">
        <f t="shared" si="258"/>
        <v>0</v>
      </c>
      <c r="N1038" s="670">
        <f t="shared" si="264"/>
        <v>0</v>
      </c>
      <c r="O1038" s="670">
        <f t="shared" si="259"/>
        <v>0</v>
      </c>
      <c r="P1038" s="670">
        <f t="shared" si="260"/>
        <v>30.2271698113208</v>
      </c>
      <c r="Q1038" s="675">
        <f t="shared" si="261"/>
        <v>26.7006666666667</v>
      </c>
      <c r="R1038">
        <f t="shared" si="262"/>
        <v>60</v>
      </c>
      <c r="S1038" s="667">
        <f t="shared" si="263"/>
        <v>0.0873362445414847</v>
      </c>
    </row>
    <row r="1039" spans="1:19">
      <c r="A1039" s="1010">
        <v>45686</v>
      </c>
      <c r="B1039" s="670">
        <v>1550.59</v>
      </c>
      <c r="C1039" s="37">
        <v>6542</v>
      </c>
      <c r="D1039" s="37">
        <v>625</v>
      </c>
      <c r="E1039" s="37">
        <v>0</v>
      </c>
      <c r="F1039" s="670">
        <v>0</v>
      </c>
      <c r="G1039" s="37">
        <v>47</v>
      </c>
      <c r="H1039" s="37">
        <v>6</v>
      </c>
      <c r="I1039" s="37">
        <v>4</v>
      </c>
      <c r="J1039" s="672">
        <f t="shared" si="256"/>
        <v>0.0955365331702843</v>
      </c>
      <c r="K1039" s="911">
        <f t="shared" si="257"/>
        <v>2.480944</v>
      </c>
      <c r="L1039" s="671">
        <f t="shared" si="255"/>
        <v>0</v>
      </c>
      <c r="M1039" s="672">
        <f t="shared" si="258"/>
        <v>0</v>
      </c>
      <c r="N1039" s="670">
        <f t="shared" si="264"/>
        <v>0</v>
      </c>
      <c r="O1039" s="670">
        <f t="shared" si="259"/>
        <v>0</v>
      </c>
      <c r="P1039" s="670">
        <f t="shared" si="260"/>
        <v>32.9912765957447</v>
      </c>
      <c r="Q1039" s="675">
        <f t="shared" si="261"/>
        <v>29.2564150943396</v>
      </c>
      <c r="R1039">
        <f t="shared" si="262"/>
        <v>53</v>
      </c>
      <c r="S1039" s="667">
        <f t="shared" si="263"/>
        <v>0.0848</v>
      </c>
    </row>
    <row r="1040" spans="1:19">
      <c r="A1040" s="1010">
        <v>45687</v>
      </c>
      <c r="B1040" s="670">
        <v>1642.52</v>
      </c>
      <c r="C1040" s="37">
        <v>7244</v>
      </c>
      <c r="D1040" s="37">
        <v>745</v>
      </c>
      <c r="E1040" s="37">
        <v>0</v>
      </c>
      <c r="F1040" s="670">
        <v>0</v>
      </c>
      <c r="G1040" s="37">
        <v>38</v>
      </c>
      <c r="H1040" s="37">
        <v>1</v>
      </c>
      <c r="I1040" s="37">
        <v>2</v>
      </c>
      <c r="J1040" s="672">
        <f t="shared" si="256"/>
        <v>0.10284373274434</v>
      </c>
      <c r="K1040" s="911">
        <f t="shared" si="257"/>
        <v>2.20472483221477</v>
      </c>
      <c r="L1040" s="671">
        <f t="shared" si="255"/>
        <v>0</v>
      </c>
      <c r="M1040" s="672">
        <f t="shared" si="258"/>
        <v>0</v>
      </c>
      <c r="N1040" s="670">
        <f t="shared" si="264"/>
        <v>0</v>
      </c>
      <c r="O1040" s="670">
        <f t="shared" si="259"/>
        <v>0</v>
      </c>
      <c r="P1040" s="670">
        <f t="shared" si="260"/>
        <v>43.2242105263158</v>
      </c>
      <c r="Q1040" s="675">
        <f t="shared" si="261"/>
        <v>42.1158974358974</v>
      </c>
      <c r="R1040">
        <f t="shared" si="262"/>
        <v>39</v>
      </c>
      <c r="S1040" s="667">
        <f t="shared" si="263"/>
        <v>0.0523489932885906</v>
      </c>
    </row>
    <row r="1041" spans="1:19">
      <c r="A1041" s="1010">
        <v>45688</v>
      </c>
      <c r="B1041" s="670">
        <v>1635.05</v>
      </c>
      <c r="C1041" s="37">
        <v>8185</v>
      </c>
      <c r="D1041" s="37">
        <v>741</v>
      </c>
      <c r="E1041" s="37">
        <v>0</v>
      </c>
      <c r="F1041" s="670">
        <v>0</v>
      </c>
      <c r="G1041" s="37">
        <v>57</v>
      </c>
      <c r="H1041" s="37">
        <v>6</v>
      </c>
      <c r="I1041" s="37">
        <v>10</v>
      </c>
      <c r="J1041" s="672">
        <f t="shared" si="256"/>
        <v>0.0905314599877825</v>
      </c>
      <c r="K1041" s="911">
        <f t="shared" si="257"/>
        <v>2.20654520917679</v>
      </c>
      <c r="L1041" s="671">
        <f t="shared" si="255"/>
        <v>0</v>
      </c>
      <c r="M1041" s="672">
        <f t="shared" si="258"/>
        <v>0</v>
      </c>
      <c r="N1041" s="670">
        <f t="shared" si="264"/>
        <v>0</v>
      </c>
      <c r="O1041" s="670">
        <f t="shared" si="259"/>
        <v>0</v>
      </c>
      <c r="P1041" s="670">
        <f t="shared" si="260"/>
        <v>28.6850877192982</v>
      </c>
      <c r="Q1041" s="675">
        <f t="shared" si="261"/>
        <v>25.9531746031746</v>
      </c>
      <c r="R1041">
        <f t="shared" si="262"/>
        <v>63</v>
      </c>
      <c r="S1041" s="667">
        <f t="shared" si="263"/>
        <v>0.0850202429149798</v>
      </c>
    </row>
    <row r="1042" spans="1:19">
      <c r="A1042" s="1010">
        <v>45689</v>
      </c>
      <c r="B1042" s="670">
        <v>1652.97</v>
      </c>
      <c r="C1042" s="37">
        <v>7340</v>
      </c>
      <c r="D1042" s="37">
        <v>770</v>
      </c>
      <c r="E1042" s="37">
        <v>0</v>
      </c>
      <c r="F1042" s="670">
        <v>0</v>
      </c>
      <c r="G1042" s="37">
        <v>33</v>
      </c>
      <c r="H1042" s="37">
        <v>7</v>
      </c>
      <c r="I1042" s="37">
        <v>5</v>
      </c>
      <c r="J1042" s="672">
        <f t="shared" si="256"/>
        <v>0.104904632152589</v>
      </c>
      <c r="K1042" s="911">
        <f t="shared" si="257"/>
        <v>2.14671428571429</v>
      </c>
      <c r="L1042" s="671">
        <f t="shared" si="255"/>
        <v>0</v>
      </c>
      <c r="M1042" s="672">
        <f t="shared" si="258"/>
        <v>0</v>
      </c>
      <c r="N1042" s="670">
        <f t="shared" si="264"/>
        <v>0</v>
      </c>
      <c r="O1042" s="670">
        <f t="shared" si="259"/>
        <v>0</v>
      </c>
      <c r="P1042" s="670">
        <f t="shared" si="260"/>
        <v>50.09</v>
      </c>
      <c r="Q1042" s="675">
        <f t="shared" si="261"/>
        <v>41.32425</v>
      </c>
      <c r="R1042">
        <f t="shared" si="262"/>
        <v>40</v>
      </c>
      <c r="S1042" s="667">
        <f t="shared" si="263"/>
        <v>0.051948051948052</v>
      </c>
    </row>
    <row r="1043" spans="1:19">
      <c r="A1043" s="1010">
        <v>45690</v>
      </c>
      <c r="B1043" s="670">
        <v>1624.05</v>
      </c>
      <c r="C1043" s="37">
        <v>7818</v>
      </c>
      <c r="D1043" s="37">
        <v>826</v>
      </c>
      <c r="E1043" s="37">
        <v>0</v>
      </c>
      <c r="F1043" s="670">
        <v>0</v>
      </c>
      <c r="G1043" s="37">
        <v>49</v>
      </c>
      <c r="H1043" s="37">
        <v>13</v>
      </c>
      <c r="I1043" s="37">
        <v>4</v>
      </c>
      <c r="J1043" s="672">
        <f t="shared" si="256"/>
        <v>0.105653619851624</v>
      </c>
      <c r="K1043" s="911">
        <f t="shared" si="257"/>
        <v>1.96616222760291</v>
      </c>
      <c r="L1043" s="671">
        <f t="shared" si="255"/>
        <v>0</v>
      </c>
      <c r="M1043" s="672">
        <f t="shared" si="258"/>
        <v>0</v>
      </c>
      <c r="N1043" s="670">
        <f t="shared" si="264"/>
        <v>0</v>
      </c>
      <c r="O1043" s="670">
        <f t="shared" si="259"/>
        <v>0</v>
      </c>
      <c r="P1043" s="670">
        <f t="shared" si="260"/>
        <v>33.1438775510204</v>
      </c>
      <c r="Q1043" s="675">
        <f t="shared" si="261"/>
        <v>26.1943548387097</v>
      </c>
      <c r="R1043">
        <f t="shared" si="262"/>
        <v>62</v>
      </c>
      <c r="S1043" s="667">
        <f t="shared" si="263"/>
        <v>0.0750605326876513</v>
      </c>
    </row>
    <row r="1044" spans="1:19">
      <c r="A1044" s="1010">
        <v>45691</v>
      </c>
      <c r="B1044" s="670">
        <v>1817.75</v>
      </c>
      <c r="C1044" s="37">
        <v>9262</v>
      </c>
      <c r="D1044" s="37">
        <v>975</v>
      </c>
      <c r="E1044" s="37">
        <v>1</v>
      </c>
      <c r="F1044" s="670">
        <v>10197</v>
      </c>
      <c r="G1044" s="37">
        <v>36</v>
      </c>
      <c r="H1044" s="37">
        <v>9</v>
      </c>
      <c r="I1044" s="37">
        <v>4</v>
      </c>
      <c r="J1044" s="672">
        <f t="shared" si="256"/>
        <v>0.105268840423235</v>
      </c>
      <c r="K1044" s="911">
        <f t="shared" si="257"/>
        <v>1.86435897435897</v>
      </c>
      <c r="L1044" s="671">
        <f t="shared" si="255"/>
        <v>5.60968229954614</v>
      </c>
      <c r="M1044" s="672">
        <f t="shared" si="258"/>
        <v>0.00102564102564103</v>
      </c>
      <c r="N1044" s="670">
        <f t="shared" si="264"/>
        <v>10197</v>
      </c>
      <c r="O1044" s="670">
        <f t="shared" si="259"/>
        <v>1817.75</v>
      </c>
      <c r="P1044" s="670">
        <f t="shared" si="260"/>
        <v>50.4930555555556</v>
      </c>
      <c r="Q1044" s="675">
        <f t="shared" si="261"/>
        <v>40.3944444444444</v>
      </c>
      <c r="R1044">
        <f t="shared" si="262"/>
        <v>45</v>
      </c>
      <c r="S1044" s="667">
        <f t="shared" si="263"/>
        <v>0.0461538461538462</v>
      </c>
    </row>
    <row r="1045" spans="1:19">
      <c r="A1045" s="1010">
        <v>45692</v>
      </c>
      <c r="B1045" s="670">
        <v>1759.73</v>
      </c>
      <c r="C1045" s="37">
        <v>8062</v>
      </c>
      <c r="D1045" s="37">
        <v>1054</v>
      </c>
      <c r="E1045" s="37">
        <v>3</v>
      </c>
      <c r="F1045" s="670">
        <v>81458</v>
      </c>
      <c r="G1045" s="37">
        <v>49</v>
      </c>
      <c r="H1045" s="37">
        <v>11</v>
      </c>
      <c r="I1045" s="37">
        <v>7</v>
      </c>
      <c r="J1045" s="672">
        <f t="shared" si="256"/>
        <v>0.130736789878442</v>
      </c>
      <c r="K1045" s="911">
        <f t="shared" si="257"/>
        <v>1.66957305502846</v>
      </c>
      <c r="L1045" s="671">
        <f t="shared" si="255"/>
        <v>46.2900558608423</v>
      </c>
      <c r="M1045" s="672">
        <f t="shared" si="258"/>
        <v>0.00284629981024668</v>
      </c>
      <c r="N1045" s="670">
        <f t="shared" si="264"/>
        <v>27152.6666666667</v>
      </c>
      <c r="O1045" s="670">
        <f t="shared" si="259"/>
        <v>586.576666666667</v>
      </c>
      <c r="P1045" s="670">
        <f t="shared" si="260"/>
        <v>35.9128571428571</v>
      </c>
      <c r="Q1045" s="675">
        <f t="shared" si="261"/>
        <v>29.3288333333333</v>
      </c>
      <c r="R1045">
        <f t="shared" si="262"/>
        <v>60</v>
      </c>
      <c r="S1045" s="667">
        <f t="shared" si="263"/>
        <v>0.0569259962049336</v>
      </c>
    </row>
    <row r="1046" spans="1:19">
      <c r="A1046" s="1010">
        <v>45693</v>
      </c>
      <c r="B1046" s="670">
        <v>1504.54</v>
      </c>
      <c r="C1046" s="37">
        <v>7688</v>
      </c>
      <c r="D1046" s="37">
        <v>922</v>
      </c>
      <c r="E1046" s="37">
        <v>3</v>
      </c>
      <c r="F1046" s="670">
        <v>28762</v>
      </c>
      <c r="G1046" s="37">
        <v>56</v>
      </c>
      <c r="H1046" s="37">
        <v>13</v>
      </c>
      <c r="I1046" s="37">
        <v>8</v>
      </c>
      <c r="J1046" s="672">
        <f t="shared" si="256"/>
        <v>0.119927159209157</v>
      </c>
      <c r="K1046" s="911">
        <f t="shared" si="257"/>
        <v>1.63182212581345</v>
      </c>
      <c r="L1046" s="671">
        <f t="shared" si="255"/>
        <v>19.1168064657636</v>
      </c>
      <c r="M1046" s="672">
        <f t="shared" si="258"/>
        <v>0.00325379609544469</v>
      </c>
      <c r="N1046" s="670">
        <f t="shared" si="264"/>
        <v>9587.33333333333</v>
      </c>
      <c r="O1046" s="670">
        <f t="shared" si="259"/>
        <v>501.513333333333</v>
      </c>
      <c r="P1046" s="670">
        <f t="shared" si="260"/>
        <v>26.8667857142857</v>
      </c>
      <c r="Q1046" s="675">
        <f t="shared" si="261"/>
        <v>21.8049275362319</v>
      </c>
      <c r="R1046">
        <f t="shared" si="262"/>
        <v>69</v>
      </c>
      <c r="S1046" s="667">
        <f t="shared" si="263"/>
        <v>0.0748373101952278</v>
      </c>
    </row>
    <row r="1047" spans="1:19">
      <c r="A1047" s="1010">
        <v>45694</v>
      </c>
      <c r="B1047" s="670">
        <v>1307.47</v>
      </c>
      <c r="C1047" s="37">
        <v>6329</v>
      </c>
      <c r="D1047" s="37">
        <v>771</v>
      </c>
      <c r="E1047" s="37">
        <v>0</v>
      </c>
      <c r="F1047" s="670">
        <v>0</v>
      </c>
      <c r="G1047" s="37">
        <v>55</v>
      </c>
      <c r="H1047" s="37">
        <v>7</v>
      </c>
      <c r="I1047" s="37">
        <v>5</v>
      </c>
      <c r="J1047" s="672">
        <f t="shared" si="256"/>
        <v>0.12182019276347</v>
      </c>
      <c r="K1047" s="911">
        <f t="shared" si="257"/>
        <v>1.69581063553826</v>
      </c>
      <c r="L1047" s="671">
        <f t="shared" si="255"/>
        <v>0</v>
      </c>
      <c r="M1047" s="672">
        <f t="shared" si="258"/>
        <v>0</v>
      </c>
      <c r="N1047" s="670">
        <f t="shared" si="264"/>
        <v>0</v>
      </c>
      <c r="O1047" s="670">
        <f t="shared" si="259"/>
        <v>0</v>
      </c>
      <c r="P1047" s="670">
        <f t="shared" si="260"/>
        <v>23.7721818181818</v>
      </c>
      <c r="Q1047" s="675">
        <f t="shared" si="261"/>
        <v>21.0882258064516</v>
      </c>
      <c r="R1047">
        <f t="shared" si="262"/>
        <v>62</v>
      </c>
      <c r="S1047" s="667">
        <f t="shared" si="263"/>
        <v>0.0804150453955901</v>
      </c>
    </row>
    <row r="1048" spans="1:19">
      <c r="A1048" s="1010">
        <v>45695</v>
      </c>
      <c r="B1048" s="670">
        <v>1466.79</v>
      </c>
      <c r="C1048" s="37">
        <v>7242</v>
      </c>
      <c r="D1048" s="37">
        <v>1025</v>
      </c>
      <c r="E1048" s="37">
        <v>0</v>
      </c>
      <c r="F1048" s="670">
        <v>0</v>
      </c>
      <c r="G1048" s="37">
        <v>69</v>
      </c>
      <c r="H1048" s="37">
        <v>13</v>
      </c>
      <c r="I1048" s="37">
        <v>4</v>
      </c>
      <c r="J1048" s="672">
        <f t="shared" si="256"/>
        <v>0.14153548743441</v>
      </c>
      <c r="K1048" s="911">
        <f t="shared" si="257"/>
        <v>1.43101463414634</v>
      </c>
      <c r="L1048" s="671">
        <f t="shared" si="255"/>
        <v>0</v>
      </c>
      <c r="M1048" s="672">
        <f t="shared" si="258"/>
        <v>0</v>
      </c>
      <c r="N1048" s="670">
        <f t="shared" si="264"/>
        <v>0</v>
      </c>
      <c r="O1048" s="670">
        <f t="shared" si="259"/>
        <v>0</v>
      </c>
      <c r="P1048" s="670">
        <f t="shared" si="260"/>
        <v>21.2578260869565</v>
      </c>
      <c r="Q1048" s="675">
        <f t="shared" si="261"/>
        <v>17.8876829268293</v>
      </c>
      <c r="R1048">
        <f t="shared" si="262"/>
        <v>82</v>
      </c>
      <c r="S1048" s="667">
        <f t="shared" si="263"/>
        <v>0.08</v>
      </c>
    </row>
    <row r="1049" spans="1:19">
      <c r="A1049" s="1010">
        <v>45696</v>
      </c>
      <c r="B1049" s="670">
        <v>1532.65</v>
      </c>
      <c r="C1049" s="37">
        <v>7326</v>
      </c>
      <c r="D1049" s="37">
        <v>1072</v>
      </c>
      <c r="E1049" s="37">
        <v>0</v>
      </c>
      <c r="F1049" s="670">
        <v>0</v>
      </c>
      <c r="G1049" s="37">
        <v>72</v>
      </c>
      <c r="H1049" s="37">
        <v>6</v>
      </c>
      <c r="I1049" s="37">
        <v>7</v>
      </c>
      <c r="J1049" s="672">
        <f t="shared" si="256"/>
        <v>0.146328146328146</v>
      </c>
      <c r="K1049" s="911">
        <f t="shared" si="257"/>
        <v>1.42971082089552</v>
      </c>
      <c r="L1049" s="671">
        <f t="shared" si="255"/>
        <v>0</v>
      </c>
      <c r="M1049" s="672">
        <f t="shared" si="258"/>
        <v>0</v>
      </c>
      <c r="N1049" s="670">
        <f t="shared" si="264"/>
        <v>0</v>
      </c>
      <c r="O1049" s="670">
        <f t="shared" si="259"/>
        <v>0</v>
      </c>
      <c r="P1049" s="670">
        <f t="shared" si="260"/>
        <v>21.2868055555556</v>
      </c>
      <c r="Q1049" s="675">
        <f t="shared" si="261"/>
        <v>19.649358974359</v>
      </c>
      <c r="R1049">
        <f t="shared" si="262"/>
        <v>78</v>
      </c>
      <c r="S1049" s="667">
        <f t="shared" si="263"/>
        <v>0.0727611940298507</v>
      </c>
    </row>
    <row r="1050" spans="1:19">
      <c r="A1050" s="1010">
        <v>45697</v>
      </c>
      <c r="B1050" s="670">
        <v>1563.88</v>
      </c>
      <c r="C1050" s="37">
        <v>6740</v>
      </c>
      <c r="D1050" s="37">
        <v>991</v>
      </c>
      <c r="E1050" s="37">
        <v>1</v>
      </c>
      <c r="F1050" s="670">
        <v>7114</v>
      </c>
      <c r="G1050" s="37">
        <v>73</v>
      </c>
      <c r="H1050" s="37">
        <v>12</v>
      </c>
      <c r="I1050" s="37">
        <v>2</v>
      </c>
      <c r="J1050" s="672">
        <f t="shared" si="256"/>
        <v>0.147032640949555</v>
      </c>
      <c r="K1050" s="911">
        <f t="shared" si="257"/>
        <v>1.57808274470232</v>
      </c>
      <c r="L1050" s="671">
        <f t="shared" si="255"/>
        <v>4.5489423740952</v>
      </c>
      <c r="M1050" s="672">
        <f t="shared" si="258"/>
        <v>0.00100908173562059</v>
      </c>
      <c r="N1050" s="670">
        <f t="shared" si="264"/>
        <v>7114</v>
      </c>
      <c r="O1050" s="670">
        <f t="shared" si="259"/>
        <v>1563.88</v>
      </c>
      <c r="P1050" s="670">
        <f t="shared" si="260"/>
        <v>21.4230136986301</v>
      </c>
      <c r="Q1050" s="675">
        <f t="shared" si="261"/>
        <v>18.3985882352941</v>
      </c>
      <c r="R1050">
        <f t="shared" si="262"/>
        <v>85</v>
      </c>
      <c r="S1050" s="667">
        <f t="shared" si="263"/>
        <v>0.0857719475277497</v>
      </c>
    </row>
    <row r="1051" spans="1:19">
      <c r="A1051" s="1010">
        <v>45698</v>
      </c>
      <c r="B1051" s="670">
        <v>1566.53</v>
      </c>
      <c r="C1051" s="37">
        <v>5796</v>
      </c>
      <c r="D1051" s="37">
        <v>973</v>
      </c>
      <c r="E1051" s="37">
        <v>2</v>
      </c>
      <c r="F1051" s="670">
        <v>19887.64</v>
      </c>
      <c r="G1051" s="37">
        <v>64</v>
      </c>
      <c r="H1051" s="37">
        <v>10</v>
      </c>
      <c r="I1051" s="37">
        <v>6</v>
      </c>
      <c r="J1051" s="672">
        <f t="shared" si="256"/>
        <v>0.167874396135266</v>
      </c>
      <c r="K1051" s="911">
        <f t="shared" si="257"/>
        <v>1.61</v>
      </c>
      <c r="L1051" s="671">
        <f t="shared" si="255"/>
        <v>12.695345764205</v>
      </c>
      <c r="M1051" s="672">
        <f t="shared" si="258"/>
        <v>0.00205549845837616</v>
      </c>
      <c r="N1051" s="670">
        <f t="shared" si="264"/>
        <v>9943.82</v>
      </c>
      <c r="O1051" s="670">
        <f t="shared" si="259"/>
        <v>783.265</v>
      </c>
      <c r="P1051" s="670">
        <f t="shared" si="260"/>
        <v>24.47703125</v>
      </c>
      <c r="Q1051" s="675">
        <f t="shared" si="261"/>
        <v>21.1693243243243</v>
      </c>
      <c r="R1051">
        <f t="shared" si="262"/>
        <v>74</v>
      </c>
      <c r="S1051" s="667">
        <f t="shared" si="263"/>
        <v>0.0760534429599178</v>
      </c>
    </row>
    <row r="1052" spans="1:19">
      <c r="A1052" s="1010">
        <v>45699</v>
      </c>
      <c r="B1052" s="670">
        <v>1569.05</v>
      </c>
      <c r="C1052" s="37">
        <v>5418</v>
      </c>
      <c r="D1052" s="37">
        <v>973</v>
      </c>
      <c r="E1052" s="37">
        <v>0</v>
      </c>
      <c r="F1052" s="670">
        <v>0</v>
      </c>
      <c r="G1052" s="37">
        <v>54</v>
      </c>
      <c r="H1052" s="37">
        <v>8</v>
      </c>
      <c r="I1052" s="37">
        <v>6</v>
      </c>
      <c r="J1052" s="672">
        <f t="shared" si="256"/>
        <v>0.179586563307494</v>
      </c>
      <c r="K1052" s="911">
        <f t="shared" si="257"/>
        <v>1.61258992805755</v>
      </c>
      <c r="L1052" s="671">
        <f t="shared" si="255"/>
        <v>0</v>
      </c>
      <c r="M1052" s="672">
        <f t="shared" si="258"/>
        <v>0</v>
      </c>
      <c r="N1052" s="670">
        <f t="shared" si="264"/>
        <v>0</v>
      </c>
      <c r="O1052" s="670">
        <f t="shared" si="259"/>
        <v>0</v>
      </c>
      <c r="P1052" s="670">
        <f t="shared" si="260"/>
        <v>29.0564814814815</v>
      </c>
      <c r="Q1052" s="675">
        <f t="shared" si="261"/>
        <v>25.3072580645161</v>
      </c>
      <c r="R1052">
        <f t="shared" si="262"/>
        <v>62</v>
      </c>
      <c r="S1052" s="667">
        <f t="shared" si="263"/>
        <v>0.0637204522096608</v>
      </c>
    </row>
    <row r="1053" spans="1:19">
      <c r="A1053" s="1010">
        <v>45700</v>
      </c>
      <c r="B1053" s="670">
        <v>1563.41</v>
      </c>
      <c r="C1053" s="37">
        <v>5584</v>
      </c>
      <c r="D1053" s="37">
        <v>911</v>
      </c>
      <c r="E1053" s="37">
        <v>0</v>
      </c>
      <c r="F1053" s="670">
        <v>0</v>
      </c>
      <c r="G1053" s="37">
        <v>49</v>
      </c>
      <c r="H1053" s="37">
        <v>8</v>
      </c>
      <c r="I1053" s="37">
        <v>5</v>
      </c>
      <c r="J1053" s="672">
        <f t="shared" si="256"/>
        <v>0.163144699140401</v>
      </c>
      <c r="K1053" s="911">
        <f t="shared" si="257"/>
        <v>1.71614709110867</v>
      </c>
      <c r="L1053" s="671">
        <f t="shared" si="255"/>
        <v>0</v>
      </c>
      <c r="M1053" s="672">
        <f t="shared" si="258"/>
        <v>0</v>
      </c>
      <c r="N1053" s="670">
        <f t="shared" si="264"/>
        <v>0</v>
      </c>
      <c r="O1053" s="670">
        <f t="shared" si="259"/>
        <v>0</v>
      </c>
      <c r="P1053" s="670">
        <f t="shared" si="260"/>
        <v>31.9063265306122</v>
      </c>
      <c r="Q1053" s="675">
        <f t="shared" si="261"/>
        <v>27.4282456140351</v>
      </c>
      <c r="R1053">
        <f t="shared" si="262"/>
        <v>57</v>
      </c>
      <c r="S1053" s="667">
        <f t="shared" si="263"/>
        <v>0.0625686059275521</v>
      </c>
    </row>
    <row r="1054" spans="1:19">
      <c r="A1054" s="1010">
        <v>45701</v>
      </c>
      <c r="B1054" s="670">
        <v>1534.42</v>
      </c>
      <c r="C1054" s="37">
        <v>6697</v>
      </c>
      <c r="D1054" s="37">
        <v>962</v>
      </c>
      <c r="E1054" s="37">
        <v>0</v>
      </c>
      <c r="F1054" s="670">
        <v>0</v>
      </c>
      <c r="G1054" s="37">
        <v>49</v>
      </c>
      <c r="H1054" s="37">
        <v>5</v>
      </c>
      <c r="I1054" s="37">
        <v>6</v>
      </c>
      <c r="J1054" s="672">
        <f t="shared" si="256"/>
        <v>0.143646408839779</v>
      </c>
      <c r="K1054" s="911">
        <f t="shared" si="257"/>
        <v>1.59503118503119</v>
      </c>
      <c r="L1054" s="671">
        <f t="shared" si="255"/>
        <v>0</v>
      </c>
      <c r="M1054" s="672">
        <f t="shared" si="258"/>
        <v>0</v>
      </c>
      <c r="N1054" s="670">
        <f t="shared" si="264"/>
        <v>0</v>
      </c>
      <c r="O1054" s="670">
        <f t="shared" si="259"/>
        <v>0</v>
      </c>
      <c r="P1054" s="670">
        <f t="shared" si="260"/>
        <v>31.314693877551</v>
      </c>
      <c r="Q1054" s="675">
        <f t="shared" si="261"/>
        <v>28.4151851851852</v>
      </c>
      <c r="R1054">
        <f t="shared" si="262"/>
        <v>54</v>
      </c>
      <c r="S1054" s="667">
        <f t="shared" si="263"/>
        <v>0.0561330561330561</v>
      </c>
    </row>
    <row r="1055" spans="1:19">
      <c r="A1055" s="1010">
        <v>45702</v>
      </c>
      <c r="B1055" s="670">
        <v>1366.26</v>
      </c>
      <c r="C1055" s="37">
        <v>6426</v>
      </c>
      <c r="D1055" s="37">
        <v>837</v>
      </c>
      <c r="E1055" s="37">
        <v>2</v>
      </c>
      <c r="F1055" s="670">
        <v>22916</v>
      </c>
      <c r="G1055" s="37">
        <v>51</v>
      </c>
      <c r="H1055" s="37">
        <v>11</v>
      </c>
      <c r="I1055" s="37">
        <v>4</v>
      </c>
      <c r="J1055" s="672">
        <f t="shared" si="256"/>
        <v>0.130252100840336</v>
      </c>
      <c r="K1055" s="911">
        <f t="shared" si="257"/>
        <v>1.63232974910394</v>
      </c>
      <c r="L1055" s="671">
        <f t="shared" si="255"/>
        <v>16.772795807533</v>
      </c>
      <c r="M1055" s="672">
        <f t="shared" si="258"/>
        <v>0.002389486260454</v>
      </c>
      <c r="N1055" s="670">
        <f t="shared" si="264"/>
        <v>11458</v>
      </c>
      <c r="O1055" s="670">
        <f t="shared" si="259"/>
        <v>683.13</v>
      </c>
      <c r="P1055" s="670">
        <f t="shared" si="260"/>
        <v>26.7894117647059</v>
      </c>
      <c r="Q1055" s="675">
        <f t="shared" si="261"/>
        <v>22.0364516129032</v>
      </c>
      <c r="R1055">
        <f t="shared" si="262"/>
        <v>62</v>
      </c>
      <c r="S1055" s="667">
        <f t="shared" si="263"/>
        <v>0.0740740740740741</v>
      </c>
    </row>
    <row r="1056" spans="1:19">
      <c r="A1056" s="1010">
        <v>45703</v>
      </c>
      <c r="B1056" s="670">
        <v>1351.48</v>
      </c>
      <c r="C1056" s="37">
        <v>6061</v>
      </c>
      <c r="D1056" s="37">
        <v>755</v>
      </c>
      <c r="E1056" s="37">
        <v>0</v>
      </c>
      <c r="F1056" s="670">
        <v>0</v>
      </c>
      <c r="G1056" s="37">
        <v>51</v>
      </c>
      <c r="H1056" s="37">
        <v>13</v>
      </c>
      <c r="I1056" s="37">
        <v>5</v>
      </c>
      <c r="J1056" s="672">
        <f t="shared" si="256"/>
        <v>0.124566903151295</v>
      </c>
      <c r="K1056" s="911">
        <f t="shared" si="257"/>
        <v>1.79003973509934</v>
      </c>
      <c r="L1056" s="671">
        <f t="shared" si="255"/>
        <v>0</v>
      </c>
      <c r="M1056" s="672">
        <f t="shared" si="258"/>
        <v>0</v>
      </c>
      <c r="N1056" s="670">
        <f t="shared" si="264"/>
        <v>0</v>
      </c>
      <c r="O1056" s="670">
        <f t="shared" si="259"/>
        <v>0</v>
      </c>
      <c r="P1056" s="670">
        <f t="shared" si="260"/>
        <v>26.4996078431373</v>
      </c>
      <c r="Q1056" s="675">
        <f t="shared" si="261"/>
        <v>21.116875</v>
      </c>
      <c r="R1056">
        <f t="shared" si="262"/>
        <v>64</v>
      </c>
      <c r="S1056" s="667">
        <f t="shared" si="263"/>
        <v>0.0847682119205298</v>
      </c>
    </row>
    <row r="1057" spans="1:19">
      <c r="A1057" s="1010">
        <v>45704</v>
      </c>
      <c r="B1057" s="670">
        <v>1369.19</v>
      </c>
      <c r="C1057" s="37">
        <v>5426</v>
      </c>
      <c r="D1057" s="37">
        <v>764</v>
      </c>
      <c r="E1057" s="37">
        <v>0</v>
      </c>
      <c r="F1057" s="670">
        <v>0</v>
      </c>
      <c r="G1057" s="37">
        <v>28</v>
      </c>
      <c r="H1057" s="37">
        <v>5</v>
      </c>
      <c r="I1057" s="37">
        <v>2</v>
      </c>
      <c r="J1057" s="672">
        <f t="shared" si="256"/>
        <v>0.140803538518245</v>
      </c>
      <c r="K1057" s="911">
        <f t="shared" si="257"/>
        <v>1.7921335078534</v>
      </c>
      <c r="L1057" s="671">
        <f t="shared" si="255"/>
        <v>0</v>
      </c>
      <c r="M1057" s="672">
        <f t="shared" si="258"/>
        <v>0</v>
      </c>
      <c r="N1057" s="670">
        <f t="shared" si="264"/>
        <v>0</v>
      </c>
      <c r="O1057" s="670">
        <f t="shared" si="259"/>
        <v>0</v>
      </c>
      <c r="P1057" s="670">
        <f t="shared" si="260"/>
        <v>48.8996428571429</v>
      </c>
      <c r="Q1057" s="675">
        <f t="shared" si="261"/>
        <v>41.4906060606061</v>
      </c>
      <c r="R1057">
        <f t="shared" si="262"/>
        <v>33</v>
      </c>
      <c r="S1057" s="667">
        <f t="shared" si="263"/>
        <v>0.0431937172774869</v>
      </c>
    </row>
    <row r="1058" spans="1:19">
      <c r="A1058" s="1010">
        <v>45705</v>
      </c>
      <c r="B1058" s="670">
        <v>1366.4</v>
      </c>
      <c r="C1058" s="37">
        <v>4805</v>
      </c>
      <c r="D1058" s="37">
        <v>755</v>
      </c>
      <c r="E1058" s="37">
        <v>0</v>
      </c>
      <c r="F1058" s="670">
        <v>0</v>
      </c>
      <c r="G1058" s="37">
        <v>36</v>
      </c>
      <c r="H1058" s="37">
        <v>8</v>
      </c>
      <c r="I1058" s="37">
        <v>3</v>
      </c>
      <c r="J1058" s="672">
        <f t="shared" si="256"/>
        <v>0.157127991675338</v>
      </c>
      <c r="K1058" s="911">
        <f t="shared" si="257"/>
        <v>1.80980132450331</v>
      </c>
      <c r="L1058" s="671">
        <f t="shared" si="255"/>
        <v>0</v>
      </c>
      <c r="M1058" s="672">
        <f t="shared" si="258"/>
        <v>0</v>
      </c>
      <c r="N1058" s="670">
        <f t="shared" si="264"/>
        <v>0</v>
      </c>
      <c r="O1058" s="670">
        <f t="shared" si="259"/>
        <v>0</v>
      </c>
      <c r="P1058" s="670">
        <f t="shared" si="260"/>
        <v>37.9555555555556</v>
      </c>
      <c r="Q1058" s="675">
        <f t="shared" si="261"/>
        <v>31.0545454545455</v>
      </c>
      <c r="R1058">
        <f t="shared" si="262"/>
        <v>44</v>
      </c>
      <c r="S1058" s="667">
        <f t="shared" si="263"/>
        <v>0.0582781456953642</v>
      </c>
    </row>
    <row r="1059" spans="1:19">
      <c r="A1059" s="1010">
        <v>45706</v>
      </c>
      <c r="B1059" s="670">
        <v>1385.78</v>
      </c>
      <c r="C1059" s="37">
        <v>5606</v>
      </c>
      <c r="D1059" s="37">
        <v>939</v>
      </c>
      <c r="E1059" s="37">
        <v>0</v>
      </c>
      <c r="F1059" s="670">
        <v>0</v>
      </c>
      <c r="G1059" s="37">
        <v>82</v>
      </c>
      <c r="H1059" s="37">
        <v>15</v>
      </c>
      <c r="I1059" s="37">
        <v>5</v>
      </c>
      <c r="J1059" s="672">
        <f t="shared" si="256"/>
        <v>0.167499108098466</v>
      </c>
      <c r="K1059" s="911">
        <f t="shared" si="257"/>
        <v>1.47580404685836</v>
      </c>
      <c r="L1059" s="671">
        <f t="shared" si="255"/>
        <v>0</v>
      </c>
      <c r="M1059" s="672">
        <f t="shared" si="258"/>
        <v>0</v>
      </c>
      <c r="N1059" s="670">
        <f t="shared" si="264"/>
        <v>0</v>
      </c>
      <c r="O1059" s="670">
        <f t="shared" si="259"/>
        <v>0</v>
      </c>
      <c r="P1059" s="670">
        <f t="shared" si="260"/>
        <v>16.899756097561</v>
      </c>
      <c r="Q1059" s="675">
        <f t="shared" si="261"/>
        <v>14.2863917525773</v>
      </c>
      <c r="R1059">
        <f t="shared" si="262"/>
        <v>97</v>
      </c>
      <c r="S1059" s="667">
        <f t="shared" si="263"/>
        <v>0.103301384451544</v>
      </c>
    </row>
    <row r="1060" spans="1:19">
      <c r="A1060" s="1010">
        <v>45707</v>
      </c>
      <c r="B1060" s="670">
        <v>961.83</v>
      </c>
      <c r="C1060" s="37">
        <v>3091</v>
      </c>
      <c r="D1060" s="37">
        <v>627</v>
      </c>
      <c r="E1060" s="37">
        <v>0</v>
      </c>
      <c r="F1060" s="670">
        <v>0</v>
      </c>
      <c r="G1060" s="37">
        <v>43</v>
      </c>
      <c r="H1060" s="37">
        <v>6</v>
      </c>
      <c r="I1060" s="37">
        <v>2</v>
      </c>
      <c r="J1060" s="672">
        <f t="shared" si="256"/>
        <v>0.202846975088968</v>
      </c>
      <c r="K1060" s="911">
        <f t="shared" si="257"/>
        <v>1.53401913875598</v>
      </c>
      <c r="L1060" s="671">
        <f t="shared" si="255"/>
        <v>0</v>
      </c>
      <c r="M1060" s="672">
        <f t="shared" si="258"/>
        <v>0</v>
      </c>
      <c r="N1060" s="670">
        <f t="shared" si="264"/>
        <v>0</v>
      </c>
      <c r="O1060" s="670">
        <f t="shared" si="259"/>
        <v>0</v>
      </c>
      <c r="P1060" s="670">
        <f t="shared" si="260"/>
        <v>22.3681395348837</v>
      </c>
      <c r="Q1060" s="675">
        <f t="shared" si="261"/>
        <v>19.6291836734694</v>
      </c>
      <c r="R1060">
        <f t="shared" si="262"/>
        <v>49</v>
      </c>
      <c r="S1060" s="667">
        <f t="shared" si="263"/>
        <v>0.0781499202551834</v>
      </c>
    </row>
    <row r="1061" spans="1:19">
      <c r="A1061" s="1010">
        <v>45708</v>
      </c>
      <c r="B1061" s="670">
        <v>1231.07</v>
      </c>
      <c r="C1061" s="37">
        <v>5760</v>
      </c>
      <c r="D1061" s="37">
        <v>913</v>
      </c>
      <c r="E1061" s="37">
        <v>0</v>
      </c>
      <c r="F1061" s="670">
        <v>0</v>
      </c>
      <c r="G1061" s="37">
        <v>51</v>
      </c>
      <c r="H1061" s="37">
        <v>11</v>
      </c>
      <c r="I1061" s="37">
        <v>3</v>
      </c>
      <c r="J1061" s="672">
        <f t="shared" si="256"/>
        <v>0.158506944444444</v>
      </c>
      <c r="K1061" s="911">
        <f t="shared" si="257"/>
        <v>1.34837897042716</v>
      </c>
      <c r="L1061" s="671">
        <f t="shared" si="255"/>
        <v>0</v>
      </c>
      <c r="M1061" s="672">
        <f t="shared" si="258"/>
        <v>0</v>
      </c>
      <c r="N1061" s="670">
        <f t="shared" si="264"/>
        <v>0</v>
      </c>
      <c r="O1061" s="670">
        <f t="shared" si="259"/>
        <v>0</v>
      </c>
      <c r="P1061" s="670">
        <f t="shared" si="260"/>
        <v>24.1386274509804</v>
      </c>
      <c r="Q1061" s="675">
        <f t="shared" si="261"/>
        <v>19.8559677419355</v>
      </c>
      <c r="R1061">
        <f t="shared" si="262"/>
        <v>62</v>
      </c>
      <c r="S1061" s="667">
        <f t="shared" si="263"/>
        <v>0.067907995618839</v>
      </c>
    </row>
    <row r="1062" spans="1:19">
      <c r="A1062" s="1010">
        <v>45709</v>
      </c>
      <c r="B1062" s="670">
        <v>1383.54</v>
      </c>
      <c r="C1062" s="37">
        <v>9132</v>
      </c>
      <c r="D1062" s="37">
        <v>1082</v>
      </c>
      <c r="E1062" s="37">
        <v>0</v>
      </c>
      <c r="F1062" s="670">
        <v>0</v>
      </c>
      <c r="G1062" s="37">
        <v>68</v>
      </c>
      <c r="H1062" s="37">
        <v>8</v>
      </c>
      <c r="I1062" s="37">
        <v>7</v>
      </c>
      <c r="J1062" s="672">
        <f t="shared" si="256"/>
        <v>0.118484450284713</v>
      </c>
      <c r="K1062" s="911">
        <f t="shared" si="257"/>
        <v>1.2786876155268</v>
      </c>
      <c r="L1062" s="671">
        <f t="shared" si="255"/>
        <v>0</v>
      </c>
      <c r="M1062" s="672">
        <f t="shared" si="258"/>
        <v>0</v>
      </c>
      <c r="N1062" s="670">
        <f t="shared" si="264"/>
        <v>0</v>
      </c>
      <c r="O1062" s="670">
        <f t="shared" si="259"/>
        <v>0</v>
      </c>
      <c r="P1062" s="670">
        <f t="shared" si="260"/>
        <v>20.3461764705882</v>
      </c>
      <c r="Q1062" s="675">
        <f t="shared" si="261"/>
        <v>18.2044736842105</v>
      </c>
      <c r="R1062">
        <f t="shared" si="262"/>
        <v>76</v>
      </c>
      <c r="S1062" s="667">
        <f t="shared" si="263"/>
        <v>0.0702402957486137</v>
      </c>
    </row>
    <row r="1063" spans="1:19">
      <c r="A1063" s="1010">
        <v>45710</v>
      </c>
      <c r="B1063" s="670">
        <v>1430.84</v>
      </c>
      <c r="C1063" s="37">
        <v>10290</v>
      </c>
      <c r="D1063" s="37">
        <v>1001</v>
      </c>
      <c r="E1063" s="37">
        <v>0</v>
      </c>
      <c r="F1063" s="670">
        <v>0</v>
      </c>
      <c r="G1063" s="37">
        <v>55</v>
      </c>
      <c r="H1063" s="37">
        <v>3</v>
      </c>
      <c r="I1063" s="37">
        <v>4</v>
      </c>
      <c r="J1063" s="672">
        <f t="shared" si="256"/>
        <v>0.0972789115646259</v>
      </c>
      <c r="K1063" s="911">
        <f t="shared" si="257"/>
        <v>1.42941058941059</v>
      </c>
      <c r="L1063" s="671">
        <f t="shared" si="255"/>
        <v>0</v>
      </c>
      <c r="M1063" s="672">
        <f t="shared" si="258"/>
        <v>0</v>
      </c>
      <c r="N1063" s="670">
        <f t="shared" si="264"/>
        <v>0</v>
      </c>
      <c r="O1063" s="670">
        <f t="shared" si="259"/>
        <v>0</v>
      </c>
      <c r="P1063" s="670">
        <f t="shared" si="260"/>
        <v>26.0152727272727</v>
      </c>
      <c r="Q1063" s="675">
        <f t="shared" si="261"/>
        <v>24.6696551724138</v>
      </c>
      <c r="R1063">
        <f t="shared" si="262"/>
        <v>58</v>
      </c>
      <c r="S1063" s="667">
        <f t="shared" si="263"/>
        <v>0.0579420579420579</v>
      </c>
    </row>
    <row r="1064" spans="1:19">
      <c r="A1064" s="1010">
        <v>45711</v>
      </c>
      <c r="B1064" s="670">
        <v>1434.91</v>
      </c>
      <c r="C1064" s="37">
        <v>8848</v>
      </c>
      <c r="D1064" s="37">
        <v>952</v>
      </c>
      <c r="E1064" s="37">
        <v>2</v>
      </c>
      <c r="F1064" s="670">
        <v>21984</v>
      </c>
      <c r="G1064" s="37">
        <v>73</v>
      </c>
      <c r="H1064" s="37">
        <v>6</v>
      </c>
      <c r="I1064" s="37">
        <v>6</v>
      </c>
      <c r="J1064" s="672">
        <f t="shared" si="256"/>
        <v>0.107594936708861</v>
      </c>
      <c r="K1064" s="911">
        <f t="shared" si="257"/>
        <v>1.50725840336134</v>
      </c>
      <c r="L1064" s="671">
        <f t="shared" si="255"/>
        <v>15.3208215149382</v>
      </c>
      <c r="M1064" s="672">
        <f t="shared" si="258"/>
        <v>0.00210084033613445</v>
      </c>
      <c r="N1064" s="670">
        <f t="shared" si="264"/>
        <v>10992</v>
      </c>
      <c r="O1064" s="670">
        <f t="shared" si="259"/>
        <v>717.455</v>
      </c>
      <c r="P1064" s="670">
        <f t="shared" si="260"/>
        <v>19.656301369863</v>
      </c>
      <c r="Q1064" s="675">
        <f t="shared" si="261"/>
        <v>18.163417721519</v>
      </c>
      <c r="R1064">
        <f t="shared" si="262"/>
        <v>79</v>
      </c>
      <c r="S1064" s="667">
        <f t="shared" si="263"/>
        <v>0.0829831932773109</v>
      </c>
    </row>
    <row r="1065" spans="1:19">
      <c r="A1065" s="1010">
        <v>45712</v>
      </c>
      <c r="B1065" s="670">
        <v>1481.2</v>
      </c>
      <c r="C1065" s="37">
        <v>9686</v>
      </c>
      <c r="D1065" s="37">
        <v>952</v>
      </c>
      <c r="E1065" s="37">
        <v>0</v>
      </c>
      <c r="F1065" s="670">
        <v>0</v>
      </c>
      <c r="G1065" s="37">
        <v>51</v>
      </c>
      <c r="H1065" s="37">
        <v>3</v>
      </c>
      <c r="I1065" s="37">
        <v>7</v>
      </c>
      <c r="J1065" s="672">
        <f t="shared" si="256"/>
        <v>0.0982861862481933</v>
      </c>
      <c r="K1065" s="911">
        <f t="shared" si="257"/>
        <v>1.55588235294118</v>
      </c>
      <c r="L1065" s="671">
        <f t="shared" si="255"/>
        <v>0</v>
      </c>
      <c r="M1065" s="672">
        <f t="shared" si="258"/>
        <v>0</v>
      </c>
      <c r="N1065" s="670">
        <f t="shared" si="264"/>
        <v>0</v>
      </c>
      <c r="O1065" s="670">
        <f t="shared" si="259"/>
        <v>0</v>
      </c>
      <c r="P1065" s="670">
        <f t="shared" si="260"/>
        <v>29.043137254902</v>
      </c>
      <c r="Q1065" s="675">
        <f t="shared" si="261"/>
        <v>27.4296296296296</v>
      </c>
      <c r="R1065">
        <f t="shared" si="262"/>
        <v>54</v>
      </c>
      <c r="S1065" s="667">
        <f t="shared" si="263"/>
        <v>0.0567226890756303</v>
      </c>
    </row>
    <row r="1066" spans="1:19">
      <c r="A1066" s="1010">
        <v>45713</v>
      </c>
      <c r="B1066" s="670">
        <v>1636.08</v>
      </c>
      <c r="C1066" s="37">
        <v>11411</v>
      </c>
      <c r="D1066" s="37">
        <v>1059</v>
      </c>
      <c r="E1066" s="37">
        <v>0</v>
      </c>
      <c r="F1066" s="670">
        <v>0</v>
      </c>
      <c r="G1066" s="37">
        <v>71</v>
      </c>
      <c r="H1066" s="37">
        <v>9</v>
      </c>
      <c r="I1066" s="37">
        <v>5</v>
      </c>
      <c r="J1066" s="672">
        <f t="shared" si="256"/>
        <v>0.0928051879765139</v>
      </c>
      <c r="K1066" s="911">
        <f t="shared" si="257"/>
        <v>1.54492917847025</v>
      </c>
      <c r="L1066" s="671">
        <f t="shared" si="255"/>
        <v>0</v>
      </c>
      <c r="M1066" s="672">
        <f t="shared" si="258"/>
        <v>0</v>
      </c>
      <c r="N1066" s="670">
        <f t="shared" si="264"/>
        <v>0</v>
      </c>
      <c r="O1066" s="670">
        <f t="shared" si="259"/>
        <v>0</v>
      </c>
      <c r="P1066" s="670">
        <f t="shared" si="260"/>
        <v>23.0433802816901</v>
      </c>
      <c r="Q1066" s="675">
        <f t="shared" si="261"/>
        <v>20.451</v>
      </c>
      <c r="R1066">
        <f t="shared" si="262"/>
        <v>80</v>
      </c>
      <c r="S1066" s="667">
        <f t="shared" si="263"/>
        <v>0.0755429650613787</v>
      </c>
    </row>
    <row r="1067" spans="1:19">
      <c r="A1067" s="1010">
        <v>45714</v>
      </c>
      <c r="B1067" s="670">
        <v>1684.15</v>
      </c>
      <c r="C1067" s="37">
        <v>11449</v>
      </c>
      <c r="D1067" s="37">
        <v>969</v>
      </c>
      <c r="E1067" s="37">
        <v>3</v>
      </c>
      <c r="F1067" s="670">
        <v>22293</v>
      </c>
      <c r="G1067" s="37">
        <v>53</v>
      </c>
      <c r="H1067" s="37">
        <v>13</v>
      </c>
      <c r="I1067" s="37">
        <v>6</v>
      </c>
      <c r="J1067" s="672">
        <f t="shared" si="256"/>
        <v>0.0846362127696742</v>
      </c>
      <c r="K1067" s="911">
        <f t="shared" si="257"/>
        <v>1.73802889576883</v>
      </c>
      <c r="L1067" s="671">
        <f t="shared" si="255"/>
        <v>13.2369444526913</v>
      </c>
      <c r="M1067" s="672">
        <f t="shared" si="258"/>
        <v>0.00309597523219814</v>
      </c>
      <c r="N1067" s="670">
        <f t="shared" si="264"/>
        <v>7431</v>
      </c>
      <c r="O1067" s="670">
        <f t="shared" si="259"/>
        <v>561.383333333333</v>
      </c>
      <c r="P1067" s="670">
        <f t="shared" si="260"/>
        <v>31.7764150943396</v>
      </c>
      <c r="Q1067" s="675">
        <f t="shared" si="261"/>
        <v>25.5174242424242</v>
      </c>
      <c r="R1067">
        <f t="shared" si="262"/>
        <v>66</v>
      </c>
      <c r="S1067" s="667">
        <f t="shared" si="263"/>
        <v>0.0681114551083591</v>
      </c>
    </row>
    <row r="1068" spans="1:19">
      <c r="A1068" s="1010">
        <v>45715</v>
      </c>
      <c r="B1068" s="670">
        <v>1782.19</v>
      </c>
      <c r="C1068" s="37">
        <v>10444</v>
      </c>
      <c r="D1068" s="37">
        <v>988</v>
      </c>
      <c r="E1068" s="37">
        <v>2</v>
      </c>
      <c r="F1068" s="670">
        <v>24404</v>
      </c>
      <c r="G1068" s="37">
        <v>45</v>
      </c>
      <c r="H1068" s="37">
        <v>6</v>
      </c>
      <c r="I1068" s="37">
        <v>5</v>
      </c>
      <c r="J1068" s="672">
        <f t="shared" si="256"/>
        <v>0.0945997702029874</v>
      </c>
      <c r="K1068" s="911">
        <f t="shared" si="257"/>
        <v>1.80383603238866</v>
      </c>
      <c r="L1068" s="671">
        <f t="shared" si="255"/>
        <v>13.693265027859</v>
      </c>
      <c r="M1068" s="672">
        <f t="shared" si="258"/>
        <v>0.00202429149797571</v>
      </c>
      <c r="N1068" s="670">
        <f t="shared" si="264"/>
        <v>12202</v>
      </c>
      <c r="O1068" s="670">
        <f t="shared" si="259"/>
        <v>891.095</v>
      </c>
      <c r="P1068" s="670">
        <f t="shared" si="260"/>
        <v>39.6042222222222</v>
      </c>
      <c r="Q1068" s="675">
        <f t="shared" si="261"/>
        <v>34.9449019607843</v>
      </c>
      <c r="R1068">
        <f t="shared" si="262"/>
        <v>51</v>
      </c>
      <c r="S1068" s="667">
        <f t="shared" si="263"/>
        <v>0.0516194331983806</v>
      </c>
    </row>
    <row r="1069" spans="1:19">
      <c r="A1069" s="1010">
        <v>45716</v>
      </c>
      <c r="B1069" s="670">
        <v>2077.68</v>
      </c>
      <c r="C1069" s="37">
        <v>9330</v>
      </c>
      <c r="D1069" s="37">
        <v>930</v>
      </c>
      <c r="E1069" s="37">
        <v>5</v>
      </c>
      <c r="F1069" s="670">
        <v>40133</v>
      </c>
      <c r="G1069" s="37">
        <v>47</v>
      </c>
      <c r="H1069" s="37">
        <v>7</v>
      </c>
      <c r="I1069" s="37">
        <v>11</v>
      </c>
      <c r="J1069" s="672">
        <f t="shared" si="256"/>
        <v>0.0996784565916399</v>
      </c>
      <c r="K1069" s="911">
        <f t="shared" si="257"/>
        <v>2.23406451612903</v>
      </c>
      <c r="L1069" s="671">
        <f t="shared" ref="L1069:L1132" si="265">F1069/B1069</f>
        <v>19.3162565938932</v>
      </c>
      <c r="M1069" s="672">
        <f t="shared" si="258"/>
        <v>0.00537634408602151</v>
      </c>
      <c r="N1069" s="670">
        <f t="shared" si="264"/>
        <v>8026.6</v>
      </c>
      <c r="O1069" s="670">
        <f t="shared" si="259"/>
        <v>415.536</v>
      </c>
      <c r="P1069" s="670">
        <f t="shared" si="260"/>
        <v>44.2059574468085</v>
      </c>
      <c r="Q1069" s="675">
        <f t="shared" si="261"/>
        <v>38.4755555555556</v>
      </c>
      <c r="R1069">
        <f t="shared" si="262"/>
        <v>54</v>
      </c>
      <c r="S1069" s="667">
        <f t="shared" si="263"/>
        <v>0.0580645161290323</v>
      </c>
    </row>
    <row r="1070" spans="1:19">
      <c r="A1070" s="1010">
        <v>45717</v>
      </c>
      <c r="B1070" s="670">
        <v>2299.63</v>
      </c>
      <c r="C1070" s="37">
        <v>9592</v>
      </c>
      <c r="D1070" s="37">
        <v>918</v>
      </c>
      <c r="E1070" s="37">
        <v>2</v>
      </c>
      <c r="F1070" s="670">
        <v>17058</v>
      </c>
      <c r="G1070" s="37">
        <v>59</v>
      </c>
      <c r="H1070" s="37">
        <v>3</v>
      </c>
      <c r="I1070" s="37">
        <v>4</v>
      </c>
      <c r="J1070" s="672">
        <f t="shared" si="256"/>
        <v>0.0957047539616347</v>
      </c>
      <c r="K1070" s="911">
        <f t="shared" si="257"/>
        <v>2.50504357298475</v>
      </c>
      <c r="L1070" s="671">
        <f t="shared" si="265"/>
        <v>7.41771502372121</v>
      </c>
      <c r="M1070" s="672">
        <f t="shared" si="258"/>
        <v>0.00217864923747277</v>
      </c>
      <c r="N1070" s="670">
        <f t="shared" si="264"/>
        <v>8529</v>
      </c>
      <c r="O1070" s="670">
        <f t="shared" si="259"/>
        <v>1149.815</v>
      </c>
      <c r="P1070" s="670">
        <f t="shared" si="260"/>
        <v>38.9767796610169</v>
      </c>
      <c r="Q1070" s="675">
        <f t="shared" si="261"/>
        <v>37.0908064516129</v>
      </c>
      <c r="R1070">
        <f t="shared" si="262"/>
        <v>62</v>
      </c>
      <c r="S1070" s="667">
        <f t="shared" si="263"/>
        <v>0.0675381263616558</v>
      </c>
    </row>
    <row r="1071" spans="1:19">
      <c r="A1071" s="1010">
        <v>45718</v>
      </c>
      <c r="B1071" s="670">
        <v>2170.05</v>
      </c>
      <c r="C1071" s="37">
        <v>8070</v>
      </c>
      <c r="D1071" s="37">
        <v>819</v>
      </c>
      <c r="E1071" s="37">
        <v>3</v>
      </c>
      <c r="F1071" s="670">
        <v>50628</v>
      </c>
      <c r="G1071" s="37">
        <v>60</v>
      </c>
      <c r="H1071" s="37">
        <v>4</v>
      </c>
      <c r="I1071" s="37">
        <v>2</v>
      </c>
      <c r="J1071" s="672">
        <f t="shared" si="256"/>
        <v>0.101486988847584</v>
      </c>
      <c r="K1071" s="911">
        <f t="shared" si="257"/>
        <v>2.6496336996337</v>
      </c>
      <c r="L1071" s="671">
        <f t="shared" si="265"/>
        <v>23.3303380106449</v>
      </c>
      <c r="M1071" s="672">
        <f t="shared" si="258"/>
        <v>0.00366300366300366</v>
      </c>
      <c r="N1071" s="670">
        <f t="shared" si="264"/>
        <v>16876</v>
      </c>
      <c r="O1071" s="670">
        <f t="shared" si="259"/>
        <v>723.35</v>
      </c>
      <c r="P1071" s="670">
        <f t="shared" si="260"/>
        <v>36.1675</v>
      </c>
      <c r="Q1071" s="675">
        <f t="shared" si="261"/>
        <v>33.90703125</v>
      </c>
      <c r="R1071">
        <f t="shared" si="262"/>
        <v>64</v>
      </c>
      <c r="S1071" s="667">
        <f t="shared" si="263"/>
        <v>0.0781440781440781</v>
      </c>
    </row>
    <row r="1072" spans="1:19">
      <c r="A1072" s="1010">
        <v>45719</v>
      </c>
      <c r="B1072" s="670">
        <v>2349.11</v>
      </c>
      <c r="C1072" s="37">
        <v>8658</v>
      </c>
      <c r="D1072" s="37">
        <v>837</v>
      </c>
      <c r="E1072" s="37">
        <v>4</v>
      </c>
      <c r="F1072" s="670">
        <v>29511</v>
      </c>
      <c r="G1072" s="37">
        <v>39</v>
      </c>
      <c r="H1072" s="37">
        <v>4</v>
      </c>
      <c r="I1072" s="37">
        <v>2</v>
      </c>
      <c r="J1072" s="672">
        <f t="shared" si="256"/>
        <v>0.0966735966735967</v>
      </c>
      <c r="K1072" s="911">
        <f t="shared" si="257"/>
        <v>2.80658303464755</v>
      </c>
      <c r="L1072" s="671">
        <f t="shared" si="265"/>
        <v>12.5626301024643</v>
      </c>
      <c r="M1072" s="672">
        <f t="shared" si="258"/>
        <v>0.004778972520908</v>
      </c>
      <c r="N1072" s="670">
        <f t="shared" si="264"/>
        <v>7377.75</v>
      </c>
      <c r="O1072" s="670">
        <f t="shared" si="259"/>
        <v>587.2775</v>
      </c>
      <c r="P1072" s="670">
        <f t="shared" si="260"/>
        <v>60.2335897435897</v>
      </c>
      <c r="Q1072" s="675">
        <f t="shared" si="261"/>
        <v>54.6304651162791</v>
      </c>
      <c r="R1072">
        <f t="shared" si="262"/>
        <v>43</v>
      </c>
      <c r="S1072" s="667">
        <f t="shared" si="263"/>
        <v>0.0513739545997611</v>
      </c>
    </row>
    <row r="1073" spans="1:19">
      <c r="A1073" s="1010">
        <v>45720</v>
      </c>
      <c r="B1073" s="670">
        <v>2349.95</v>
      </c>
      <c r="C1073" s="37">
        <v>9514</v>
      </c>
      <c r="D1073" s="37">
        <v>870</v>
      </c>
      <c r="E1073" s="37">
        <v>3</v>
      </c>
      <c r="F1073" s="670">
        <v>42742</v>
      </c>
      <c r="G1073" s="37">
        <v>60</v>
      </c>
      <c r="H1073" s="37">
        <v>9</v>
      </c>
      <c r="I1073" s="37">
        <v>2</v>
      </c>
      <c r="J1073" s="672">
        <f t="shared" ref="J1073:J1136" si="266">D1073/C1073</f>
        <v>0.0914441875131385</v>
      </c>
      <c r="K1073" s="911">
        <f t="shared" ref="K1073:K1136" si="267">B1073/D1073</f>
        <v>2.70109195402299</v>
      </c>
      <c r="L1073" s="671">
        <f t="shared" si="265"/>
        <v>18.188472095151</v>
      </c>
      <c r="M1073" s="672">
        <f t="shared" ref="M1073:M1136" si="268">E1073/D1073</f>
        <v>0.00344827586206897</v>
      </c>
      <c r="N1073" s="670">
        <f t="shared" si="264"/>
        <v>14247.3333333333</v>
      </c>
      <c r="O1073" s="670">
        <f t="shared" ref="O1073:O1136" si="269">IF(E1073=0,0,B1073/E1073)</f>
        <v>783.316666666667</v>
      </c>
      <c r="P1073" s="670">
        <f t="shared" ref="P1073:P1136" si="270">B1073/G1073</f>
        <v>39.1658333333333</v>
      </c>
      <c r="Q1073" s="675">
        <f t="shared" ref="Q1073:Q1136" si="271">B1073/(G1073+H1073)</f>
        <v>34.0572463768116</v>
      </c>
      <c r="R1073">
        <f t="shared" ref="R1073:R1136" si="272">G1073+H1073</f>
        <v>69</v>
      </c>
      <c r="S1073" s="667">
        <f t="shared" ref="S1073:S1136" si="273">R1073/D1073</f>
        <v>0.0793103448275862</v>
      </c>
    </row>
    <row r="1074" spans="1:19">
      <c r="A1074" s="1010">
        <v>45721</v>
      </c>
      <c r="B1074" s="670">
        <v>2105.89</v>
      </c>
      <c r="C1074" s="37">
        <v>8624</v>
      </c>
      <c r="D1074" s="37">
        <v>848</v>
      </c>
      <c r="E1074" s="37">
        <v>3</v>
      </c>
      <c r="F1074" s="670">
        <v>21789</v>
      </c>
      <c r="G1074" s="37">
        <v>52</v>
      </c>
      <c r="H1074" s="37">
        <v>6</v>
      </c>
      <c r="I1074" s="37">
        <v>3</v>
      </c>
      <c r="J1074" s="672">
        <f t="shared" si="266"/>
        <v>0.098330241187384</v>
      </c>
      <c r="K1074" s="911">
        <f t="shared" si="267"/>
        <v>2.4833608490566</v>
      </c>
      <c r="L1074" s="671">
        <f t="shared" si="265"/>
        <v>10.3466942717806</v>
      </c>
      <c r="M1074" s="672">
        <f t="shared" si="268"/>
        <v>0.0035377358490566</v>
      </c>
      <c r="N1074" s="670">
        <f t="shared" si="264"/>
        <v>7263</v>
      </c>
      <c r="O1074" s="670">
        <f t="shared" si="269"/>
        <v>701.963333333333</v>
      </c>
      <c r="P1074" s="670">
        <f t="shared" si="270"/>
        <v>40.4978846153846</v>
      </c>
      <c r="Q1074" s="675">
        <f t="shared" si="271"/>
        <v>36.3084482758621</v>
      </c>
      <c r="R1074">
        <f t="shared" si="272"/>
        <v>58</v>
      </c>
      <c r="S1074" s="667">
        <f t="shared" si="273"/>
        <v>0.0683962264150943</v>
      </c>
    </row>
    <row r="1075" spans="1:19">
      <c r="A1075" s="1010">
        <v>45722</v>
      </c>
      <c r="B1075" s="670">
        <v>2493.85</v>
      </c>
      <c r="C1075" s="37">
        <v>9661</v>
      </c>
      <c r="D1075" s="37">
        <v>947</v>
      </c>
      <c r="E1075" s="37">
        <v>3</v>
      </c>
      <c r="F1075" s="670">
        <v>27612</v>
      </c>
      <c r="G1075" s="37">
        <v>39</v>
      </c>
      <c r="H1075" s="37">
        <v>3</v>
      </c>
      <c r="I1075" s="37">
        <v>5</v>
      </c>
      <c r="J1075" s="672">
        <f t="shared" si="266"/>
        <v>0.0980229789876824</v>
      </c>
      <c r="K1075" s="911">
        <f t="shared" si="267"/>
        <v>2.63342133051742</v>
      </c>
      <c r="L1075" s="671">
        <f t="shared" si="265"/>
        <v>11.0720372115404</v>
      </c>
      <c r="M1075" s="672">
        <f t="shared" si="268"/>
        <v>0.00316789862724393</v>
      </c>
      <c r="N1075" s="670">
        <f t="shared" si="264"/>
        <v>9204</v>
      </c>
      <c r="O1075" s="670">
        <f t="shared" si="269"/>
        <v>831.283333333333</v>
      </c>
      <c r="P1075" s="670">
        <f t="shared" si="270"/>
        <v>63.9448717948718</v>
      </c>
      <c r="Q1075" s="675">
        <f t="shared" si="271"/>
        <v>59.377380952381</v>
      </c>
      <c r="R1075">
        <f t="shared" si="272"/>
        <v>42</v>
      </c>
      <c r="S1075" s="667">
        <f t="shared" si="273"/>
        <v>0.044350580781415</v>
      </c>
    </row>
    <row r="1076" spans="1:19">
      <c r="A1076" s="1010">
        <v>45723</v>
      </c>
      <c r="B1076" s="670">
        <v>2493.92</v>
      </c>
      <c r="C1076" s="37">
        <v>7928</v>
      </c>
      <c r="D1076" s="37">
        <v>788</v>
      </c>
      <c r="E1076" s="37">
        <v>2</v>
      </c>
      <c r="F1076" s="670">
        <v>17352</v>
      </c>
      <c r="G1076" s="37">
        <v>45</v>
      </c>
      <c r="H1076" s="37">
        <v>6</v>
      </c>
      <c r="I1076" s="37">
        <v>2</v>
      </c>
      <c r="J1076" s="672">
        <f t="shared" si="266"/>
        <v>0.0993945509586276</v>
      </c>
      <c r="K1076" s="911">
        <f t="shared" si="267"/>
        <v>3.1648730964467</v>
      </c>
      <c r="L1076" s="671">
        <f t="shared" si="265"/>
        <v>6.95772117790466</v>
      </c>
      <c r="M1076" s="672">
        <f t="shared" si="268"/>
        <v>0.00253807106598985</v>
      </c>
      <c r="N1076" s="670">
        <f t="shared" ref="N1076:N1139" si="274">IF(E1076=0,0,F1076/E1076)</f>
        <v>8676</v>
      </c>
      <c r="O1076" s="670">
        <f t="shared" si="269"/>
        <v>1246.96</v>
      </c>
      <c r="P1076" s="670">
        <f t="shared" si="270"/>
        <v>55.4204444444444</v>
      </c>
      <c r="Q1076" s="675">
        <f t="shared" si="271"/>
        <v>48.9003921568627</v>
      </c>
      <c r="R1076">
        <f t="shared" si="272"/>
        <v>51</v>
      </c>
      <c r="S1076" s="667">
        <f t="shared" si="273"/>
        <v>0.0647208121827411</v>
      </c>
    </row>
    <row r="1077" spans="1:19">
      <c r="A1077" s="1010">
        <v>45724</v>
      </c>
      <c r="B1077" s="670">
        <v>2755.42</v>
      </c>
      <c r="C1077" s="37">
        <v>7816</v>
      </c>
      <c r="D1077" s="37">
        <v>847</v>
      </c>
      <c r="E1077" s="37">
        <v>0</v>
      </c>
      <c r="F1077" s="670">
        <v>0</v>
      </c>
      <c r="G1077" s="37">
        <v>31</v>
      </c>
      <c r="H1077" s="37">
        <v>4</v>
      </c>
      <c r="I1077" s="37">
        <v>4</v>
      </c>
      <c r="J1077" s="672">
        <f t="shared" si="266"/>
        <v>0.108367451381781</v>
      </c>
      <c r="K1077" s="911">
        <f t="shared" si="267"/>
        <v>3.25315230224321</v>
      </c>
      <c r="L1077" s="671">
        <f t="shared" si="265"/>
        <v>0</v>
      </c>
      <c r="M1077" s="672">
        <f t="shared" si="268"/>
        <v>0</v>
      </c>
      <c r="N1077" s="670">
        <f t="shared" si="274"/>
        <v>0</v>
      </c>
      <c r="O1077" s="670">
        <f t="shared" si="269"/>
        <v>0</v>
      </c>
      <c r="P1077" s="670">
        <f t="shared" si="270"/>
        <v>88.8845161290323</v>
      </c>
      <c r="Q1077" s="675">
        <f t="shared" si="271"/>
        <v>78.7262857142857</v>
      </c>
      <c r="R1077">
        <f t="shared" si="272"/>
        <v>35</v>
      </c>
      <c r="S1077" s="667">
        <f t="shared" si="273"/>
        <v>0.0413223140495868</v>
      </c>
    </row>
    <row r="1078" spans="1:19">
      <c r="A1078" s="1010">
        <v>45725</v>
      </c>
      <c r="B1078" s="670">
        <v>2763.75</v>
      </c>
      <c r="C1078" s="37">
        <v>8595</v>
      </c>
      <c r="D1078" s="37">
        <v>972</v>
      </c>
      <c r="E1078" s="37">
        <v>2</v>
      </c>
      <c r="F1078" s="670">
        <v>12408</v>
      </c>
      <c r="G1078" s="37">
        <v>45</v>
      </c>
      <c r="H1078" s="37">
        <v>9</v>
      </c>
      <c r="I1078" s="37">
        <v>5</v>
      </c>
      <c r="J1078" s="672">
        <f t="shared" si="266"/>
        <v>0.113089005235602</v>
      </c>
      <c r="K1078" s="911">
        <f t="shared" si="267"/>
        <v>2.84336419753086</v>
      </c>
      <c r="L1078" s="671">
        <f t="shared" si="265"/>
        <v>4.48955223880597</v>
      </c>
      <c r="M1078" s="672">
        <f t="shared" si="268"/>
        <v>0.00205761316872428</v>
      </c>
      <c r="N1078" s="670">
        <f t="shared" si="274"/>
        <v>6204</v>
      </c>
      <c r="O1078" s="670">
        <f t="shared" si="269"/>
        <v>1381.875</v>
      </c>
      <c r="P1078" s="670">
        <f t="shared" si="270"/>
        <v>61.4166666666667</v>
      </c>
      <c r="Q1078" s="675">
        <f t="shared" si="271"/>
        <v>51.1805555555556</v>
      </c>
      <c r="R1078">
        <f t="shared" si="272"/>
        <v>54</v>
      </c>
      <c r="S1078" s="667">
        <f t="shared" si="273"/>
        <v>0.0555555555555556</v>
      </c>
    </row>
    <row r="1079" spans="1:19">
      <c r="A1079" s="1010">
        <v>45726</v>
      </c>
      <c r="B1079" s="670">
        <v>2758</v>
      </c>
      <c r="C1079" s="37">
        <v>7910</v>
      </c>
      <c r="D1079" s="37">
        <v>1013</v>
      </c>
      <c r="E1079" s="37">
        <v>0</v>
      </c>
      <c r="F1079" s="670">
        <v>0</v>
      </c>
      <c r="G1079" s="37">
        <v>47</v>
      </c>
      <c r="H1079" s="37">
        <v>4</v>
      </c>
      <c r="I1079" s="37">
        <v>4</v>
      </c>
      <c r="J1079" s="672">
        <f t="shared" si="266"/>
        <v>0.128065739570164</v>
      </c>
      <c r="K1079" s="911">
        <f t="shared" si="267"/>
        <v>2.72260612043435</v>
      </c>
      <c r="L1079" s="671">
        <f t="shared" si="265"/>
        <v>0</v>
      </c>
      <c r="M1079" s="672">
        <f t="shared" si="268"/>
        <v>0</v>
      </c>
      <c r="N1079" s="670">
        <f t="shared" si="274"/>
        <v>0</v>
      </c>
      <c r="O1079" s="670">
        <f t="shared" si="269"/>
        <v>0</v>
      </c>
      <c r="P1079" s="670">
        <f t="shared" si="270"/>
        <v>58.6808510638298</v>
      </c>
      <c r="Q1079" s="675">
        <f t="shared" si="271"/>
        <v>54.078431372549</v>
      </c>
      <c r="R1079">
        <f t="shared" si="272"/>
        <v>51</v>
      </c>
      <c r="S1079" s="667">
        <f t="shared" si="273"/>
        <v>0.0503455083909181</v>
      </c>
    </row>
    <row r="1080" spans="1:19">
      <c r="A1080" s="1010">
        <v>45727</v>
      </c>
      <c r="B1080" s="670">
        <v>2674.41</v>
      </c>
      <c r="C1080" s="37">
        <v>7595</v>
      </c>
      <c r="D1080" s="37">
        <v>960</v>
      </c>
      <c r="E1080" s="37">
        <v>1</v>
      </c>
      <c r="F1080" s="670">
        <v>12314</v>
      </c>
      <c r="G1080" s="37">
        <v>54</v>
      </c>
      <c r="H1080" s="37">
        <v>6</v>
      </c>
      <c r="I1080" s="37">
        <v>7</v>
      </c>
      <c r="J1080" s="672">
        <f t="shared" si="266"/>
        <v>0.126398946675444</v>
      </c>
      <c r="K1080" s="911">
        <f t="shared" si="267"/>
        <v>2.78584375</v>
      </c>
      <c r="L1080" s="671">
        <f t="shared" si="265"/>
        <v>4.60438003148358</v>
      </c>
      <c r="M1080" s="672">
        <f t="shared" si="268"/>
        <v>0.00104166666666667</v>
      </c>
      <c r="N1080" s="670">
        <f t="shared" si="274"/>
        <v>12314</v>
      </c>
      <c r="O1080" s="670">
        <f t="shared" si="269"/>
        <v>2674.41</v>
      </c>
      <c r="P1080" s="670">
        <f t="shared" si="270"/>
        <v>49.5261111111111</v>
      </c>
      <c r="Q1080" s="675">
        <f t="shared" si="271"/>
        <v>44.5735</v>
      </c>
      <c r="R1080">
        <f t="shared" si="272"/>
        <v>60</v>
      </c>
      <c r="S1080" s="667">
        <f t="shared" si="273"/>
        <v>0.0625</v>
      </c>
    </row>
    <row r="1081" spans="1:19">
      <c r="A1081" s="1010">
        <v>45728</v>
      </c>
      <c r="B1081" s="670">
        <v>2667.18</v>
      </c>
      <c r="C1081" s="37">
        <v>7712</v>
      </c>
      <c r="D1081" s="37">
        <v>958</v>
      </c>
      <c r="E1081" s="37">
        <v>5</v>
      </c>
      <c r="F1081" s="670">
        <v>72853</v>
      </c>
      <c r="G1081" s="37">
        <v>60</v>
      </c>
      <c r="H1081" s="37">
        <v>10</v>
      </c>
      <c r="I1081" s="37">
        <v>4</v>
      </c>
      <c r="J1081" s="672">
        <f t="shared" si="266"/>
        <v>0.124221991701245</v>
      </c>
      <c r="K1081" s="911">
        <f t="shared" si="267"/>
        <v>2.7841127348643</v>
      </c>
      <c r="L1081" s="671">
        <f t="shared" si="265"/>
        <v>27.3146169362398</v>
      </c>
      <c r="M1081" s="672">
        <f t="shared" si="268"/>
        <v>0.00521920668058455</v>
      </c>
      <c r="N1081" s="670">
        <f t="shared" si="274"/>
        <v>14570.6</v>
      </c>
      <c r="O1081" s="670">
        <f t="shared" si="269"/>
        <v>533.436</v>
      </c>
      <c r="P1081" s="670">
        <f t="shared" si="270"/>
        <v>44.453</v>
      </c>
      <c r="Q1081" s="675">
        <f t="shared" si="271"/>
        <v>38.1025714285714</v>
      </c>
      <c r="R1081">
        <f t="shared" si="272"/>
        <v>70</v>
      </c>
      <c r="S1081" s="667">
        <f t="shared" si="273"/>
        <v>0.0730688935281837</v>
      </c>
    </row>
    <row r="1082" spans="1:19">
      <c r="A1082" s="1010">
        <v>45729</v>
      </c>
      <c r="B1082" s="670">
        <v>2521</v>
      </c>
      <c r="C1082" s="37">
        <v>7483</v>
      </c>
      <c r="D1082" s="37">
        <v>948</v>
      </c>
      <c r="E1082" s="37">
        <v>1</v>
      </c>
      <c r="F1082" s="670">
        <v>12873</v>
      </c>
      <c r="G1082" s="37">
        <v>57</v>
      </c>
      <c r="H1082" s="37">
        <v>9</v>
      </c>
      <c r="I1082" s="37">
        <v>7</v>
      </c>
      <c r="J1082" s="672">
        <f t="shared" si="266"/>
        <v>0.12668715755713</v>
      </c>
      <c r="K1082" s="911">
        <f t="shared" si="267"/>
        <v>2.65928270042194</v>
      </c>
      <c r="L1082" s="671">
        <f t="shared" si="265"/>
        <v>5.1063070210234</v>
      </c>
      <c r="M1082" s="672">
        <f t="shared" si="268"/>
        <v>0.00105485232067511</v>
      </c>
      <c r="N1082" s="670">
        <f t="shared" si="274"/>
        <v>12873</v>
      </c>
      <c r="O1082" s="670">
        <f t="shared" si="269"/>
        <v>2521</v>
      </c>
      <c r="P1082" s="670">
        <f t="shared" si="270"/>
        <v>44.2280701754386</v>
      </c>
      <c r="Q1082" s="675">
        <f t="shared" si="271"/>
        <v>38.1969696969697</v>
      </c>
      <c r="R1082">
        <f t="shared" si="272"/>
        <v>66</v>
      </c>
      <c r="S1082" s="667">
        <f t="shared" si="273"/>
        <v>0.069620253164557</v>
      </c>
    </row>
    <row r="1083" spans="1:19">
      <c r="A1083" s="1010">
        <v>45730</v>
      </c>
      <c r="B1083" s="670">
        <v>2545.7</v>
      </c>
      <c r="C1083" s="37">
        <v>6493</v>
      </c>
      <c r="D1083" s="37">
        <v>1065</v>
      </c>
      <c r="E1083" s="37">
        <v>2</v>
      </c>
      <c r="F1083" s="670">
        <v>11950</v>
      </c>
      <c r="G1083" s="37">
        <v>61</v>
      </c>
      <c r="H1083" s="37">
        <v>10</v>
      </c>
      <c r="I1083" s="37">
        <v>2</v>
      </c>
      <c r="J1083" s="672">
        <f t="shared" si="266"/>
        <v>0.164022793777915</v>
      </c>
      <c r="K1083" s="911">
        <f t="shared" si="267"/>
        <v>2.39032863849765</v>
      </c>
      <c r="L1083" s="671">
        <f t="shared" si="265"/>
        <v>4.69419020308756</v>
      </c>
      <c r="M1083" s="672">
        <f t="shared" si="268"/>
        <v>0.00187793427230047</v>
      </c>
      <c r="N1083" s="670">
        <f t="shared" si="274"/>
        <v>5975</v>
      </c>
      <c r="O1083" s="670">
        <f t="shared" si="269"/>
        <v>1272.85</v>
      </c>
      <c r="P1083" s="670">
        <f t="shared" si="270"/>
        <v>41.7327868852459</v>
      </c>
      <c r="Q1083" s="675">
        <f t="shared" si="271"/>
        <v>35.8549295774648</v>
      </c>
      <c r="R1083">
        <f t="shared" si="272"/>
        <v>71</v>
      </c>
      <c r="S1083" s="667">
        <f t="shared" si="273"/>
        <v>0.0666666666666667</v>
      </c>
    </row>
    <row r="1084" spans="1:19">
      <c r="A1084" s="1010">
        <v>45731</v>
      </c>
      <c r="B1084" s="670">
        <v>2849.12</v>
      </c>
      <c r="C1084" s="37">
        <v>7778</v>
      </c>
      <c r="D1084" s="37">
        <v>1102</v>
      </c>
      <c r="E1084" s="37">
        <v>1</v>
      </c>
      <c r="F1084" s="670">
        <v>5344</v>
      </c>
      <c r="G1084" s="37">
        <v>87</v>
      </c>
      <c r="H1084" s="37">
        <v>12</v>
      </c>
      <c r="I1084" s="37">
        <v>5</v>
      </c>
      <c r="J1084" s="672">
        <f t="shared" si="266"/>
        <v>0.141681666238107</v>
      </c>
      <c r="K1084" s="911">
        <f t="shared" si="267"/>
        <v>2.58540834845735</v>
      </c>
      <c r="L1084" s="671">
        <f t="shared" si="265"/>
        <v>1.8756668725782</v>
      </c>
      <c r="M1084" s="672">
        <f t="shared" si="268"/>
        <v>0.000907441016333938</v>
      </c>
      <c r="N1084" s="670">
        <f t="shared" si="274"/>
        <v>5344</v>
      </c>
      <c r="O1084" s="670">
        <f t="shared" si="269"/>
        <v>2849.12</v>
      </c>
      <c r="P1084" s="670">
        <f t="shared" si="270"/>
        <v>32.7485057471264</v>
      </c>
      <c r="Q1084" s="675">
        <f t="shared" si="271"/>
        <v>28.7789898989899</v>
      </c>
      <c r="R1084">
        <f t="shared" si="272"/>
        <v>99</v>
      </c>
      <c r="S1084" s="667">
        <f t="shared" si="273"/>
        <v>0.0898366606170599</v>
      </c>
    </row>
    <row r="1085" spans="1:19">
      <c r="A1085" s="1010">
        <v>45732</v>
      </c>
      <c r="B1085" s="670">
        <v>3156.24</v>
      </c>
      <c r="C1085" s="37">
        <v>7547</v>
      </c>
      <c r="D1085" s="37">
        <v>1137</v>
      </c>
      <c r="E1085" s="37">
        <v>2</v>
      </c>
      <c r="F1085" s="670">
        <v>19928</v>
      </c>
      <c r="G1085" s="37">
        <v>83</v>
      </c>
      <c r="H1085" s="37">
        <v>10</v>
      </c>
      <c r="I1085" s="37">
        <v>10</v>
      </c>
      <c r="J1085" s="672">
        <f t="shared" si="266"/>
        <v>0.15065588975752</v>
      </c>
      <c r="K1085" s="911">
        <f t="shared" si="267"/>
        <v>2.77593667546174</v>
      </c>
      <c r="L1085" s="671">
        <f t="shared" si="265"/>
        <v>6.31384178642942</v>
      </c>
      <c r="M1085" s="672">
        <f t="shared" si="268"/>
        <v>0.00175901495162709</v>
      </c>
      <c r="N1085" s="670">
        <f t="shared" si="274"/>
        <v>9964</v>
      </c>
      <c r="O1085" s="670">
        <f t="shared" si="269"/>
        <v>1578.12</v>
      </c>
      <c r="P1085" s="670">
        <f t="shared" si="270"/>
        <v>38.0269879518072</v>
      </c>
      <c r="Q1085" s="675">
        <f t="shared" si="271"/>
        <v>33.938064516129</v>
      </c>
      <c r="R1085">
        <f t="shared" si="272"/>
        <v>93</v>
      </c>
      <c r="S1085" s="667">
        <f t="shared" si="273"/>
        <v>0.0817941952506596</v>
      </c>
    </row>
    <row r="1086" spans="1:19">
      <c r="A1086" s="1010">
        <v>45733</v>
      </c>
      <c r="B1086" s="670">
        <v>3215.48</v>
      </c>
      <c r="C1086" s="37">
        <v>7834</v>
      </c>
      <c r="D1086" s="37">
        <v>1071</v>
      </c>
      <c r="E1086" s="37">
        <v>7</v>
      </c>
      <c r="F1086" s="670">
        <v>100369</v>
      </c>
      <c r="G1086" s="37">
        <v>62</v>
      </c>
      <c r="H1086" s="37">
        <v>8</v>
      </c>
      <c r="I1086" s="37">
        <v>3</v>
      </c>
      <c r="J1086" s="672">
        <f t="shared" si="266"/>
        <v>0.136711769211131</v>
      </c>
      <c r="K1086" s="911">
        <f t="shared" si="267"/>
        <v>3.00231559290383</v>
      </c>
      <c r="L1086" s="671">
        <f t="shared" si="265"/>
        <v>31.2143132596067</v>
      </c>
      <c r="M1086" s="672">
        <f t="shared" si="268"/>
        <v>0.0065359477124183</v>
      </c>
      <c r="N1086" s="670">
        <f t="shared" si="274"/>
        <v>14338.4285714286</v>
      </c>
      <c r="O1086" s="670">
        <f t="shared" si="269"/>
        <v>459.354285714286</v>
      </c>
      <c r="P1086" s="670">
        <f t="shared" si="270"/>
        <v>51.8625806451613</v>
      </c>
      <c r="Q1086" s="675">
        <f t="shared" si="271"/>
        <v>45.9354285714286</v>
      </c>
      <c r="R1086">
        <f t="shared" si="272"/>
        <v>70</v>
      </c>
      <c r="S1086" s="667">
        <f t="shared" si="273"/>
        <v>0.065359477124183</v>
      </c>
    </row>
    <row r="1087" spans="1:19">
      <c r="A1087" s="1010">
        <v>45734</v>
      </c>
      <c r="B1087" s="670">
        <v>3163.23</v>
      </c>
      <c r="C1087" s="37">
        <v>7162</v>
      </c>
      <c r="D1087" s="37">
        <v>1011</v>
      </c>
      <c r="E1087" s="37">
        <v>1</v>
      </c>
      <c r="F1087" s="670">
        <v>7694</v>
      </c>
      <c r="G1087" s="37">
        <v>88</v>
      </c>
      <c r="H1087" s="37">
        <v>8</v>
      </c>
      <c r="I1087" s="37">
        <v>3</v>
      </c>
      <c r="J1087" s="672">
        <f t="shared" si="266"/>
        <v>0.141161686679698</v>
      </c>
      <c r="K1087" s="911">
        <f t="shared" si="267"/>
        <v>3.12881305637982</v>
      </c>
      <c r="L1087" s="671">
        <f t="shared" si="265"/>
        <v>2.432323922067</v>
      </c>
      <c r="M1087" s="672">
        <f t="shared" si="268"/>
        <v>0.000989119683481701</v>
      </c>
      <c r="N1087" s="670">
        <f t="shared" si="274"/>
        <v>7694</v>
      </c>
      <c r="O1087" s="670">
        <f t="shared" si="269"/>
        <v>3163.23</v>
      </c>
      <c r="P1087" s="670">
        <f t="shared" si="270"/>
        <v>35.9457954545455</v>
      </c>
      <c r="Q1087" s="675">
        <f t="shared" si="271"/>
        <v>32.9503125</v>
      </c>
      <c r="R1087">
        <f t="shared" si="272"/>
        <v>96</v>
      </c>
      <c r="S1087" s="667">
        <f t="shared" si="273"/>
        <v>0.0949554896142433</v>
      </c>
    </row>
    <row r="1088" spans="1:19">
      <c r="A1088" s="1010">
        <v>45735</v>
      </c>
      <c r="B1088" s="670">
        <v>3166.61</v>
      </c>
      <c r="C1088" s="37">
        <v>6693</v>
      </c>
      <c r="D1088" s="37">
        <v>1027</v>
      </c>
      <c r="E1088" s="37">
        <v>2</v>
      </c>
      <c r="F1088" s="670">
        <v>16816</v>
      </c>
      <c r="G1088" s="37">
        <v>63</v>
      </c>
      <c r="H1088" s="37">
        <v>7</v>
      </c>
      <c r="I1088" s="37">
        <v>1</v>
      </c>
      <c r="J1088" s="672">
        <f t="shared" si="266"/>
        <v>0.153443896608397</v>
      </c>
      <c r="K1088" s="911">
        <f t="shared" si="267"/>
        <v>3.08335929892892</v>
      </c>
      <c r="L1088" s="671">
        <f t="shared" si="265"/>
        <v>5.31041081787779</v>
      </c>
      <c r="M1088" s="672">
        <f t="shared" si="268"/>
        <v>0.00194741966893866</v>
      </c>
      <c r="N1088" s="670">
        <f t="shared" si="274"/>
        <v>8408</v>
      </c>
      <c r="O1088" s="670">
        <f t="shared" si="269"/>
        <v>1583.305</v>
      </c>
      <c r="P1088" s="670">
        <f t="shared" si="270"/>
        <v>50.2636507936508</v>
      </c>
      <c r="Q1088" s="675">
        <f t="shared" si="271"/>
        <v>45.2372857142857</v>
      </c>
      <c r="R1088">
        <f t="shared" si="272"/>
        <v>70</v>
      </c>
      <c r="S1088" s="667">
        <f t="shared" si="273"/>
        <v>0.068159688412853</v>
      </c>
    </row>
    <row r="1089" spans="1:19">
      <c r="A1089" s="1010">
        <v>45736</v>
      </c>
      <c r="B1089" s="670">
        <v>2917.52</v>
      </c>
      <c r="C1089" s="37">
        <v>6244</v>
      </c>
      <c r="D1089" s="37">
        <v>914</v>
      </c>
      <c r="E1089" s="37">
        <v>3</v>
      </c>
      <c r="F1089" s="670">
        <v>33912</v>
      </c>
      <c r="G1089" s="37">
        <v>69</v>
      </c>
      <c r="H1089" s="37">
        <v>6</v>
      </c>
      <c r="I1089" s="37">
        <v>5</v>
      </c>
      <c r="J1089" s="672">
        <f t="shared" si="266"/>
        <v>0.146380525304292</v>
      </c>
      <c r="K1089" s="911">
        <f t="shared" si="267"/>
        <v>3.19203501094092</v>
      </c>
      <c r="L1089" s="671">
        <f t="shared" si="265"/>
        <v>11.6235707038855</v>
      </c>
      <c r="M1089" s="672">
        <f t="shared" si="268"/>
        <v>0.00328227571115974</v>
      </c>
      <c r="N1089" s="670">
        <f t="shared" si="274"/>
        <v>11304</v>
      </c>
      <c r="O1089" s="670">
        <f t="shared" si="269"/>
        <v>972.506666666667</v>
      </c>
      <c r="P1089" s="670">
        <f t="shared" si="270"/>
        <v>42.2828985507246</v>
      </c>
      <c r="Q1089" s="675">
        <f t="shared" si="271"/>
        <v>38.9002666666667</v>
      </c>
      <c r="R1089">
        <f t="shared" si="272"/>
        <v>75</v>
      </c>
      <c r="S1089" s="667">
        <f t="shared" si="273"/>
        <v>0.0820568927789934</v>
      </c>
    </row>
    <row r="1090" spans="1:19">
      <c r="A1090" s="1010">
        <v>45737</v>
      </c>
      <c r="B1090" s="670">
        <v>2853.48</v>
      </c>
      <c r="C1090" s="37">
        <v>6892</v>
      </c>
      <c r="D1090" s="37">
        <v>905</v>
      </c>
      <c r="E1090" s="37">
        <v>3</v>
      </c>
      <c r="F1090" s="670">
        <v>31790</v>
      </c>
      <c r="G1090" s="37">
        <v>56</v>
      </c>
      <c r="H1090" s="37">
        <v>3</v>
      </c>
      <c r="I1090" s="37">
        <v>6</v>
      </c>
      <c r="J1090" s="672">
        <f t="shared" si="266"/>
        <v>0.131311665699362</v>
      </c>
      <c r="K1090" s="911">
        <f t="shared" si="267"/>
        <v>3.15301657458564</v>
      </c>
      <c r="L1090" s="671">
        <f t="shared" si="265"/>
        <v>11.1407824831434</v>
      </c>
      <c r="M1090" s="672">
        <f t="shared" si="268"/>
        <v>0.00331491712707182</v>
      </c>
      <c r="N1090" s="670">
        <f t="shared" si="274"/>
        <v>10596.6666666667</v>
      </c>
      <c r="O1090" s="670">
        <f t="shared" si="269"/>
        <v>951.16</v>
      </c>
      <c r="P1090" s="670">
        <f t="shared" si="270"/>
        <v>50.955</v>
      </c>
      <c r="Q1090" s="675">
        <f t="shared" si="271"/>
        <v>48.3640677966102</v>
      </c>
      <c r="R1090">
        <f t="shared" si="272"/>
        <v>59</v>
      </c>
      <c r="S1090" s="667">
        <f t="shared" si="273"/>
        <v>0.0651933701657459</v>
      </c>
    </row>
    <row r="1091" spans="1:19">
      <c r="A1091" s="1010">
        <v>45738</v>
      </c>
      <c r="B1091" s="670">
        <v>2996.23</v>
      </c>
      <c r="C1091" s="37">
        <v>6341</v>
      </c>
      <c r="D1091" s="37">
        <v>825</v>
      </c>
      <c r="E1091" s="37">
        <v>0</v>
      </c>
      <c r="F1091" s="670">
        <v>0</v>
      </c>
      <c r="G1091" s="37">
        <v>46</v>
      </c>
      <c r="H1091" s="37">
        <v>8</v>
      </c>
      <c r="I1091" s="37">
        <v>5</v>
      </c>
      <c r="J1091" s="672">
        <f t="shared" si="266"/>
        <v>0.130105661567576</v>
      </c>
      <c r="K1091" s="911">
        <f t="shared" si="267"/>
        <v>3.63179393939394</v>
      </c>
      <c r="L1091" s="671">
        <f t="shared" si="265"/>
        <v>0</v>
      </c>
      <c r="M1091" s="672">
        <f t="shared" si="268"/>
        <v>0</v>
      </c>
      <c r="N1091" s="670">
        <f t="shared" si="274"/>
        <v>0</v>
      </c>
      <c r="O1091" s="670">
        <f t="shared" si="269"/>
        <v>0</v>
      </c>
      <c r="P1091" s="670">
        <f t="shared" si="270"/>
        <v>65.1354347826087</v>
      </c>
      <c r="Q1091" s="675">
        <f t="shared" si="271"/>
        <v>55.4857407407407</v>
      </c>
      <c r="R1091">
        <f t="shared" si="272"/>
        <v>54</v>
      </c>
      <c r="S1091" s="667">
        <f t="shared" si="273"/>
        <v>0.0654545454545455</v>
      </c>
    </row>
    <row r="1092" spans="1:19">
      <c r="A1092" s="1010">
        <v>45739</v>
      </c>
      <c r="B1092" s="670">
        <v>3087.81</v>
      </c>
      <c r="C1092" s="37">
        <v>5779</v>
      </c>
      <c r="D1092" s="37">
        <v>867</v>
      </c>
      <c r="E1092" s="37">
        <v>1</v>
      </c>
      <c r="F1092" s="670">
        <v>16320</v>
      </c>
      <c r="G1092" s="37">
        <v>45</v>
      </c>
      <c r="H1092" s="37">
        <v>4</v>
      </c>
      <c r="I1092" s="37">
        <v>2</v>
      </c>
      <c r="J1092" s="672">
        <f t="shared" si="266"/>
        <v>0.150025956047759</v>
      </c>
      <c r="K1092" s="911">
        <f t="shared" si="267"/>
        <v>3.56148788927336</v>
      </c>
      <c r="L1092" s="671">
        <f t="shared" si="265"/>
        <v>5.28529928978791</v>
      </c>
      <c r="M1092" s="672">
        <f t="shared" si="268"/>
        <v>0.00115340253748558</v>
      </c>
      <c r="N1092" s="670">
        <f t="shared" si="274"/>
        <v>16320</v>
      </c>
      <c r="O1092" s="670">
        <f t="shared" si="269"/>
        <v>3087.81</v>
      </c>
      <c r="P1092" s="670">
        <f t="shared" si="270"/>
        <v>68.618</v>
      </c>
      <c r="Q1092" s="675">
        <f t="shared" si="271"/>
        <v>63.0165306122449</v>
      </c>
      <c r="R1092">
        <f t="shared" si="272"/>
        <v>49</v>
      </c>
      <c r="S1092" s="667">
        <f t="shared" si="273"/>
        <v>0.0565167243367935</v>
      </c>
    </row>
    <row r="1093" spans="1:19">
      <c r="A1093" s="1010">
        <v>45740</v>
      </c>
      <c r="B1093" s="670">
        <v>3015.76</v>
      </c>
      <c r="C1093" s="37">
        <v>5862</v>
      </c>
      <c r="D1093" s="37">
        <v>838</v>
      </c>
      <c r="E1093" s="37">
        <v>0</v>
      </c>
      <c r="F1093" s="670">
        <v>0</v>
      </c>
      <c r="G1093" s="37">
        <v>65</v>
      </c>
      <c r="H1093" s="37">
        <v>4</v>
      </c>
      <c r="I1093" s="37">
        <v>3</v>
      </c>
      <c r="J1093" s="672">
        <f t="shared" si="266"/>
        <v>0.142954622995565</v>
      </c>
      <c r="K1093" s="911">
        <f t="shared" si="267"/>
        <v>3.59875894988067</v>
      </c>
      <c r="L1093" s="671">
        <f t="shared" si="265"/>
        <v>0</v>
      </c>
      <c r="M1093" s="672">
        <f t="shared" si="268"/>
        <v>0</v>
      </c>
      <c r="N1093" s="670">
        <f t="shared" si="274"/>
        <v>0</v>
      </c>
      <c r="O1093" s="670">
        <f t="shared" si="269"/>
        <v>0</v>
      </c>
      <c r="P1093" s="670">
        <f t="shared" si="270"/>
        <v>46.3963076923077</v>
      </c>
      <c r="Q1093" s="675">
        <f t="shared" si="271"/>
        <v>43.7066666666667</v>
      </c>
      <c r="R1093">
        <f t="shared" si="272"/>
        <v>69</v>
      </c>
      <c r="S1093" s="667">
        <f t="shared" si="273"/>
        <v>0.0823389021479714</v>
      </c>
    </row>
    <row r="1094" spans="1:19">
      <c r="A1094" s="1010">
        <v>45741</v>
      </c>
      <c r="B1094" s="670">
        <v>3260.46</v>
      </c>
      <c r="C1094" s="37">
        <v>7234</v>
      </c>
      <c r="D1094" s="37">
        <v>929</v>
      </c>
      <c r="E1094" s="37">
        <v>1</v>
      </c>
      <c r="F1094" s="670">
        <v>13712</v>
      </c>
      <c r="G1094" s="37">
        <v>59</v>
      </c>
      <c r="H1094" s="37">
        <v>6</v>
      </c>
      <c r="I1094" s="37">
        <v>2</v>
      </c>
      <c r="J1094" s="672">
        <f t="shared" si="266"/>
        <v>0.128421343654963</v>
      </c>
      <c r="K1094" s="911">
        <f t="shared" si="267"/>
        <v>3.50964477933262</v>
      </c>
      <c r="L1094" s="671">
        <f t="shared" si="265"/>
        <v>4.20554154935193</v>
      </c>
      <c r="M1094" s="672">
        <f t="shared" si="268"/>
        <v>0.00107642626480086</v>
      </c>
      <c r="N1094" s="670">
        <f t="shared" si="274"/>
        <v>13712</v>
      </c>
      <c r="O1094" s="670">
        <f t="shared" si="269"/>
        <v>3260.46</v>
      </c>
      <c r="P1094" s="670">
        <f t="shared" si="270"/>
        <v>55.2620338983051</v>
      </c>
      <c r="Q1094" s="675">
        <f t="shared" si="271"/>
        <v>50.1609230769231</v>
      </c>
      <c r="R1094">
        <f t="shared" si="272"/>
        <v>65</v>
      </c>
      <c r="S1094" s="667">
        <f t="shared" si="273"/>
        <v>0.069967707212056</v>
      </c>
    </row>
    <row r="1095" spans="1:19">
      <c r="A1095" s="1010">
        <v>45742</v>
      </c>
      <c r="B1095" s="670">
        <v>3745.67</v>
      </c>
      <c r="C1095" s="37">
        <v>7883</v>
      </c>
      <c r="D1095" s="37">
        <v>1001</v>
      </c>
      <c r="E1095" s="37">
        <v>2</v>
      </c>
      <c r="F1095" s="670">
        <v>26767</v>
      </c>
      <c r="G1095" s="37">
        <v>60</v>
      </c>
      <c r="H1095" s="37">
        <v>2</v>
      </c>
      <c r="I1095" s="37">
        <v>9</v>
      </c>
      <c r="J1095" s="672">
        <f t="shared" si="266"/>
        <v>0.126982113408601</v>
      </c>
      <c r="K1095" s="911">
        <f t="shared" si="267"/>
        <v>3.74192807192807</v>
      </c>
      <c r="L1095" s="671">
        <f t="shared" si="265"/>
        <v>7.14611805097619</v>
      </c>
      <c r="M1095" s="672">
        <f t="shared" si="268"/>
        <v>0.001998001998002</v>
      </c>
      <c r="N1095" s="670">
        <f t="shared" si="274"/>
        <v>13383.5</v>
      </c>
      <c r="O1095" s="670">
        <f t="shared" si="269"/>
        <v>1872.835</v>
      </c>
      <c r="P1095" s="670">
        <f t="shared" si="270"/>
        <v>62.4278333333333</v>
      </c>
      <c r="Q1095" s="675">
        <f t="shared" si="271"/>
        <v>60.4140322580645</v>
      </c>
      <c r="R1095">
        <f t="shared" si="272"/>
        <v>62</v>
      </c>
      <c r="S1095" s="667">
        <f t="shared" si="273"/>
        <v>0.0619380619380619</v>
      </c>
    </row>
    <row r="1096" spans="1:19">
      <c r="A1096" s="1010">
        <v>45743</v>
      </c>
      <c r="B1096" s="670">
        <v>4242.2</v>
      </c>
      <c r="C1096" s="37">
        <v>9135</v>
      </c>
      <c r="D1096" s="37">
        <v>924</v>
      </c>
      <c r="E1096" s="37">
        <v>2</v>
      </c>
      <c r="F1096" s="670">
        <v>22086</v>
      </c>
      <c r="G1096" s="37">
        <v>40</v>
      </c>
      <c r="H1096" s="37">
        <v>6</v>
      </c>
      <c r="I1096" s="37">
        <v>7</v>
      </c>
      <c r="J1096" s="672">
        <f t="shared" si="266"/>
        <v>0.101149425287356</v>
      </c>
      <c r="K1096" s="911">
        <f t="shared" si="267"/>
        <v>4.59112554112554</v>
      </c>
      <c r="L1096" s="671">
        <f t="shared" si="265"/>
        <v>5.20626090236198</v>
      </c>
      <c r="M1096" s="672">
        <f t="shared" si="268"/>
        <v>0.00216450216450216</v>
      </c>
      <c r="N1096" s="670">
        <f t="shared" si="274"/>
        <v>11043</v>
      </c>
      <c r="O1096" s="670">
        <f t="shared" si="269"/>
        <v>2121.1</v>
      </c>
      <c r="P1096" s="670">
        <f t="shared" si="270"/>
        <v>106.055</v>
      </c>
      <c r="Q1096" s="675">
        <f t="shared" si="271"/>
        <v>92.2217391304348</v>
      </c>
      <c r="R1096">
        <f t="shared" si="272"/>
        <v>46</v>
      </c>
      <c r="S1096" s="667">
        <f t="shared" si="273"/>
        <v>0.0497835497835498</v>
      </c>
    </row>
    <row r="1097" spans="1:19">
      <c r="A1097" s="1010">
        <v>45744</v>
      </c>
      <c r="B1097" s="670">
        <v>3994.77</v>
      </c>
      <c r="C1097" s="37">
        <v>7620</v>
      </c>
      <c r="D1097" s="37">
        <v>947</v>
      </c>
      <c r="E1097" s="37">
        <v>2</v>
      </c>
      <c r="F1097" s="670">
        <v>15992</v>
      </c>
      <c r="G1097" s="37">
        <v>60</v>
      </c>
      <c r="H1097" s="37">
        <v>7</v>
      </c>
      <c r="I1097" s="37">
        <v>4</v>
      </c>
      <c r="J1097" s="672">
        <f t="shared" si="266"/>
        <v>0.124278215223097</v>
      </c>
      <c r="K1097" s="911">
        <f t="shared" si="267"/>
        <v>4.21834213305174</v>
      </c>
      <c r="L1097" s="671">
        <f t="shared" si="265"/>
        <v>4.0032342287541</v>
      </c>
      <c r="M1097" s="672">
        <f t="shared" si="268"/>
        <v>0.00211193241816262</v>
      </c>
      <c r="N1097" s="670">
        <f t="shared" si="274"/>
        <v>7996</v>
      </c>
      <c r="O1097" s="670">
        <f t="shared" si="269"/>
        <v>1997.385</v>
      </c>
      <c r="P1097" s="670">
        <f t="shared" si="270"/>
        <v>66.5795</v>
      </c>
      <c r="Q1097" s="675">
        <f t="shared" si="271"/>
        <v>59.6234328358209</v>
      </c>
      <c r="R1097">
        <f t="shared" si="272"/>
        <v>67</v>
      </c>
      <c r="S1097" s="667">
        <f t="shared" si="273"/>
        <v>0.0707497360084477</v>
      </c>
    </row>
    <row r="1098" spans="1:19">
      <c r="A1098" s="1010">
        <v>45745</v>
      </c>
      <c r="B1098" s="670">
        <v>5279.19</v>
      </c>
      <c r="C1098" s="37">
        <v>6963</v>
      </c>
      <c r="D1098" s="37">
        <v>975</v>
      </c>
      <c r="E1098" s="37">
        <v>2</v>
      </c>
      <c r="F1098" s="670">
        <v>36362</v>
      </c>
      <c r="G1098" s="37">
        <v>52</v>
      </c>
      <c r="H1098" s="37">
        <v>4</v>
      </c>
      <c r="I1098" s="37">
        <v>4</v>
      </c>
      <c r="J1098" s="672">
        <f t="shared" si="266"/>
        <v>0.140025850926325</v>
      </c>
      <c r="K1098" s="911">
        <f t="shared" si="267"/>
        <v>5.41455384615385</v>
      </c>
      <c r="L1098" s="671">
        <f t="shared" si="265"/>
        <v>6.88779907523692</v>
      </c>
      <c r="M1098" s="672">
        <f t="shared" si="268"/>
        <v>0.00205128205128205</v>
      </c>
      <c r="N1098" s="670">
        <f t="shared" si="274"/>
        <v>18181</v>
      </c>
      <c r="O1098" s="670">
        <f t="shared" si="269"/>
        <v>2639.595</v>
      </c>
      <c r="P1098" s="670">
        <f t="shared" si="270"/>
        <v>101.522884615385</v>
      </c>
      <c r="Q1098" s="675">
        <f t="shared" si="271"/>
        <v>94.27125</v>
      </c>
      <c r="R1098">
        <f t="shared" si="272"/>
        <v>56</v>
      </c>
      <c r="S1098" s="667">
        <f t="shared" si="273"/>
        <v>0.0574358974358974</v>
      </c>
    </row>
    <row r="1099" spans="1:19">
      <c r="A1099" s="1010">
        <v>45746</v>
      </c>
      <c r="B1099" s="670">
        <v>5590.99</v>
      </c>
      <c r="C1099" s="37">
        <v>7524</v>
      </c>
      <c r="D1099" s="37">
        <v>1122</v>
      </c>
      <c r="E1099" s="37">
        <v>6</v>
      </c>
      <c r="F1099" s="670">
        <v>95246</v>
      </c>
      <c r="G1099" s="37">
        <v>87</v>
      </c>
      <c r="H1099" s="37">
        <v>9</v>
      </c>
      <c r="I1099" s="37">
        <v>9</v>
      </c>
      <c r="J1099" s="672">
        <f t="shared" si="266"/>
        <v>0.149122807017544</v>
      </c>
      <c r="K1099" s="911">
        <f t="shared" si="267"/>
        <v>4.98305704099822</v>
      </c>
      <c r="L1099" s="671">
        <f t="shared" si="265"/>
        <v>17.0356233869136</v>
      </c>
      <c r="M1099" s="672">
        <f t="shared" si="268"/>
        <v>0.0053475935828877</v>
      </c>
      <c r="N1099" s="670">
        <f t="shared" si="274"/>
        <v>15874.3333333333</v>
      </c>
      <c r="O1099" s="670">
        <f t="shared" si="269"/>
        <v>931.831666666667</v>
      </c>
      <c r="P1099" s="670">
        <f t="shared" si="270"/>
        <v>64.2642528735632</v>
      </c>
      <c r="Q1099" s="675">
        <f t="shared" si="271"/>
        <v>58.2394791666667</v>
      </c>
      <c r="R1099">
        <f t="shared" si="272"/>
        <v>96</v>
      </c>
      <c r="S1099" s="667">
        <f t="shared" si="273"/>
        <v>0.0855614973262032</v>
      </c>
    </row>
    <row r="1100" spans="1:19">
      <c r="A1100" s="1010">
        <v>45747</v>
      </c>
      <c r="B1100" s="670">
        <v>5635.44</v>
      </c>
      <c r="C1100" s="37">
        <v>8453</v>
      </c>
      <c r="D1100" s="37">
        <v>1092</v>
      </c>
      <c r="E1100" s="37">
        <v>4</v>
      </c>
      <c r="F1100" s="670">
        <v>60376</v>
      </c>
      <c r="G1100" s="37">
        <v>60</v>
      </c>
      <c r="H1100" s="37">
        <v>2</v>
      </c>
      <c r="I1100" s="37">
        <v>2</v>
      </c>
      <c r="J1100" s="672">
        <f t="shared" si="266"/>
        <v>0.129184904767538</v>
      </c>
      <c r="K1100" s="911">
        <f t="shared" si="267"/>
        <v>5.16065934065934</v>
      </c>
      <c r="L1100" s="671">
        <f t="shared" si="265"/>
        <v>10.7136266201042</v>
      </c>
      <c r="M1100" s="672">
        <f t="shared" si="268"/>
        <v>0.00366300366300366</v>
      </c>
      <c r="N1100" s="670">
        <f t="shared" si="274"/>
        <v>15094</v>
      </c>
      <c r="O1100" s="670">
        <f t="shared" si="269"/>
        <v>1408.86</v>
      </c>
      <c r="P1100" s="670">
        <f t="shared" si="270"/>
        <v>93.924</v>
      </c>
      <c r="Q1100" s="675">
        <f t="shared" si="271"/>
        <v>90.8941935483871</v>
      </c>
      <c r="R1100">
        <f t="shared" si="272"/>
        <v>62</v>
      </c>
      <c r="S1100" s="667">
        <f t="shared" si="273"/>
        <v>0.0567765567765568</v>
      </c>
    </row>
    <row r="1101" spans="1:19">
      <c r="A1101" s="1010">
        <v>45748</v>
      </c>
      <c r="B1101" s="670">
        <v>2983.23</v>
      </c>
      <c r="C1101" s="37">
        <v>5715</v>
      </c>
      <c r="D1101" s="37">
        <v>808</v>
      </c>
      <c r="E1101" s="37">
        <v>1</v>
      </c>
      <c r="F1101" s="670">
        <v>11788</v>
      </c>
      <c r="G1101" s="37">
        <v>74</v>
      </c>
      <c r="H1101" s="37">
        <v>11</v>
      </c>
      <c r="I1101" s="37">
        <v>6</v>
      </c>
      <c r="J1101" s="672">
        <f t="shared" si="266"/>
        <v>0.141382327209099</v>
      </c>
      <c r="K1101" s="911">
        <f t="shared" si="267"/>
        <v>3.69211633663366</v>
      </c>
      <c r="L1101" s="671">
        <f t="shared" si="265"/>
        <v>3.95142178108962</v>
      </c>
      <c r="M1101" s="672">
        <f t="shared" si="268"/>
        <v>0.00123762376237624</v>
      </c>
      <c r="N1101" s="670">
        <f t="shared" si="274"/>
        <v>11788</v>
      </c>
      <c r="O1101" s="670">
        <f t="shared" si="269"/>
        <v>2983.23</v>
      </c>
      <c r="P1101" s="670">
        <f t="shared" si="270"/>
        <v>40.3139189189189</v>
      </c>
      <c r="Q1101" s="675">
        <f t="shared" si="271"/>
        <v>35.0968235294118</v>
      </c>
      <c r="R1101">
        <f t="shared" si="272"/>
        <v>85</v>
      </c>
      <c r="S1101" s="667">
        <f t="shared" si="273"/>
        <v>0.10519801980198</v>
      </c>
    </row>
    <row r="1102" spans="1:19">
      <c r="A1102" s="1010">
        <v>45749</v>
      </c>
      <c r="B1102" s="670">
        <v>2663.69</v>
      </c>
      <c r="C1102" s="37">
        <v>5559</v>
      </c>
      <c r="D1102" s="37">
        <v>735</v>
      </c>
      <c r="E1102" s="37">
        <v>0</v>
      </c>
      <c r="F1102" s="670">
        <v>0</v>
      </c>
      <c r="G1102" s="37">
        <v>35</v>
      </c>
      <c r="H1102" s="37">
        <v>3</v>
      </c>
      <c r="I1102" s="37">
        <v>6</v>
      </c>
      <c r="J1102" s="672">
        <f t="shared" si="266"/>
        <v>0.132218024824609</v>
      </c>
      <c r="K1102" s="911">
        <f t="shared" si="267"/>
        <v>3.62406802721088</v>
      </c>
      <c r="L1102" s="671">
        <f t="shared" si="265"/>
        <v>0</v>
      </c>
      <c r="M1102" s="672">
        <f t="shared" si="268"/>
        <v>0</v>
      </c>
      <c r="N1102" s="670">
        <f t="shared" si="274"/>
        <v>0</v>
      </c>
      <c r="O1102" s="670">
        <f t="shared" si="269"/>
        <v>0</v>
      </c>
      <c r="P1102" s="670">
        <f t="shared" si="270"/>
        <v>76.1054285714286</v>
      </c>
      <c r="Q1102" s="675">
        <f t="shared" si="271"/>
        <v>70.0971052631579</v>
      </c>
      <c r="R1102">
        <f t="shared" si="272"/>
        <v>38</v>
      </c>
      <c r="S1102" s="667">
        <f t="shared" si="273"/>
        <v>0.0517006802721088</v>
      </c>
    </row>
    <row r="1103" spans="1:19">
      <c r="A1103" s="1010">
        <v>45750</v>
      </c>
      <c r="B1103" s="670">
        <v>2569.18</v>
      </c>
      <c r="C1103" s="37">
        <v>4766</v>
      </c>
      <c r="D1103" s="37">
        <v>668</v>
      </c>
      <c r="E1103" s="37">
        <v>2</v>
      </c>
      <c r="F1103" s="670">
        <v>16417</v>
      </c>
      <c r="G1103" s="37">
        <v>35</v>
      </c>
      <c r="H1103" s="37">
        <v>6</v>
      </c>
      <c r="I1103" s="37">
        <v>3</v>
      </c>
      <c r="J1103" s="672">
        <f t="shared" si="266"/>
        <v>0.140159462861939</v>
      </c>
      <c r="K1103" s="911">
        <f t="shared" si="267"/>
        <v>3.84607784431138</v>
      </c>
      <c r="L1103" s="671">
        <f t="shared" si="265"/>
        <v>6.38997656839926</v>
      </c>
      <c r="M1103" s="672">
        <f t="shared" si="268"/>
        <v>0.0029940119760479</v>
      </c>
      <c r="N1103" s="670">
        <f t="shared" si="274"/>
        <v>8208.5</v>
      </c>
      <c r="O1103" s="670">
        <f t="shared" si="269"/>
        <v>1284.59</v>
      </c>
      <c r="P1103" s="670">
        <f t="shared" si="270"/>
        <v>73.4051428571428</v>
      </c>
      <c r="Q1103" s="675">
        <f t="shared" si="271"/>
        <v>62.6629268292683</v>
      </c>
      <c r="R1103">
        <f t="shared" si="272"/>
        <v>41</v>
      </c>
      <c r="S1103" s="667">
        <f t="shared" si="273"/>
        <v>0.061377245508982</v>
      </c>
    </row>
    <row r="1104" spans="1:19">
      <c r="A1104" s="1010">
        <v>45751</v>
      </c>
      <c r="B1104" s="670">
        <v>2643.03</v>
      </c>
      <c r="C1104" s="37">
        <v>4913</v>
      </c>
      <c r="D1104" s="37">
        <v>708</v>
      </c>
      <c r="E1104" s="37">
        <v>2</v>
      </c>
      <c r="F1104" s="670">
        <v>22340</v>
      </c>
      <c r="G1104" s="37">
        <v>40</v>
      </c>
      <c r="H1104" s="37">
        <v>2</v>
      </c>
      <c r="I1104" s="37">
        <v>7</v>
      </c>
      <c r="J1104" s="672">
        <f t="shared" si="266"/>
        <v>0.14410746997761</v>
      </c>
      <c r="K1104" s="911">
        <f t="shared" si="267"/>
        <v>3.73309322033898</v>
      </c>
      <c r="L1104" s="671">
        <f t="shared" si="265"/>
        <v>8.45242013900712</v>
      </c>
      <c r="M1104" s="672">
        <f t="shared" si="268"/>
        <v>0.00282485875706215</v>
      </c>
      <c r="N1104" s="670">
        <f t="shared" si="274"/>
        <v>11170</v>
      </c>
      <c r="O1104" s="670">
        <f t="shared" si="269"/>
        <v>1321.515</v>
      </c>
      <c r="P1104" s="670">
        <f t="shared" si="270"/>
        <v>66.07575</v>
      </c>
      <c r="Q1104" s="675">
        <f t="shared" si="271"/>
        <v>62.9292857142857</v>
      </c>
      <c r="R1104">
        <f t="shared" si="272"/>
        <v>42</v>
      </c>
      <c r="S1104" s="667">
        <f t="shared" si="273"/>
        <v>0.0593220338983051</v>
      </c>
    </row>
    <row r="1105" spans="1:19">
      <c r="A1105" s="1010">
        <v>45752</v>
      </c>
      <c r="B1105" s="670">
        <v>1890.06</v>
      </c>
      <c r="C1105" s="37">
        <v>4323</v>
      </c>
      <c r="D1105" s="37">
        <v>554</v>
      </c>
      <c r="E1105" s="37">
        <v>1</v>
      </c>
      <c r="F1105" s="670">
        <v>4936</v>
      </c>
      <c r="G1105" s="37">
        <v>26</v>
      </c>
      <c r="H1105" s="37">
        <v>4</v>
      </c>
      <c r="I1105" s="37">
        <v>5</v>
      </c>
      <c r="J1105" s="672">
        <f t="shared" si="266"/>
        <v>0.128151746472357</v>
      </c>
      <c r="K1105" s="911">
        <f t="shared" si="267"/>
        <v>3.41166064981949</v>
      </c>
      <c r="L1105" s="671">
        <f t="shared" si="265"/>
        <v>2.6115573050591</v>
      </c>
      <c r="M1105" s="672">
        <f t="shared" si="268"/>
        <v>0.00180505415162455</v>
      </c>
      <c r="N1105" s="670">
        <f t="shared" si="274"/>
        <v>4936</v>
      </c>
      <c r="O1105" s="670">
        <f t="shared" si="269"/>
        <v>1890.06</v>
      </c>
      <c r="P1105" s="670">
        <f t="shared" si="270"/>
        <v>72.6946153846154</v>
      </c>
      <c r="Q1105" s="675">
        <f t="shared" si="271"/>
        <v>63.002</v>
      </c>
      <c r="R1105">
        <f t="shared" si="272"/>
        <v>30</v>
      </c>
      <c r="S1105" s="667">
        <f t="shared" si="273"/>
        <v>0.0541516245487365</v>
      </c>
    </row>
    <row r="1106" spans="1:19">
      <c r="A1106" s="1010">
        <v>45753</v>
      </c>
      <c r="B1106" s="670">
        <v>1954.39</v>
      </c>
      <c r="C1106" s="37">
        <v>4630</v>
      </c>
      <c r="D1106" s="37">
        <v>717</v>
      </c>
      <c r="E1106" s="37">
        <v>1</v>
      </c>
      <c r="F1106" s="670">
        <v>34122</v>
      </c>
      <c r="G1106" s="37">
        <v>37</v>
      </c>
      <c r="H1106" s="37">
        <v>4</v>
      </c>
      <c r="I1106" s="37">
        <v>4</v>
      </c>
      <c r="J1106" s="672">
        <f t="shared" si="266"/>
        <v>0.154859611231102</v>
      </c>
      <c r="K1106" s="911">
        <f t="shared" si="267"/>
        <v>2.7257880055788</v>
      </c>
      <c r="L1106" s="671">
        <f t="shared" si="265"/>
        <v>17.4591560538071</v>
      </c>
      <c r="M1106" s="672">
        <f t="shared" si="268"/>
        <v>0.00139470013947001</v>
      </c>
      <c r="N1106" s="670">
        <f t="shared" si="274"/>
        <v>34122</v>
      </c>
      <c r="O1106" s="670">
        <f t="shared" si="269"/>
        <v>1954.39</v>
      </c>
      <c r="P1106" s="670">
        <f t="shared" si="270"/>
        <v>52.8213513513514</v>
      </c>
      <c r="Q1106" s="675">
        <f t="shared" si="271"/>
        <v>47.6680487804878</v>
      </c>
      <c r="R1106">
        <f t="shared" si="272"/>
        <v>41</v>
      </c>
      <c r="S1106" s="667">
        <f t="shared" si="273"/>
        <v>0.0571827057182706</v>
      </c>
    </row>
    <row r="1107" spans="1:19">
      <c r="A1107" s="1010">
        <v>45754</v>
      </c>
      <c r="B1107" s="670">
        <v>2148.63</v>
      </c>
      <c r="C1107" s="37">
        <v>4227</v>
      </c>
      <c r="D1107" s="37">
        <v>820</v>
      </c>
      <c r="E1107" s="37">
        <v>3</v>
      </c>
      <c r="F1107" s="670">
        <v>38850</v>
      </c>
      <c r="G1107" s="37">
        <v>63</v>
      </c>
      <c r="H1107" s="37">
        <v>3</v>
      </c>
      <c r="I1107" s="37">
        <v>6</v>
      </c>
      <c r="J1107" s="672">
        <f t="shared" si="266"/>
        <v>0.193991010172699</v>
      </c>
      <c r="K1107" s="911">
        <f t="shared" si="267"/>
        <v>2.62028048780488</v>
      </c>
      <c r="L1107" s="671">
        <f t="shared" si="265"/>
        <v>18.081289007414</v>
      </c>
      <c r="M1107" s="672">
        <f t="shared" si="268"/>
        <v>0.00365853658536585</v>
      </c>
      <c r="N1107" s="670">
        <f t="shared" si="274"/>
        <v>12950</v>
      </c>
      <c r="O1107" s="670">
        <f t="shared" si="269"/>
        <v>716.21</v>
      </c>
      <c r="P1107" s="670">
        <f t="shared" si="270"/>
        <v>34.1052380952381</v>
      </c>
      <c r="Q1107" s="675">
        <f t="shared" si="271"/>
        <v>32.555</v>
      </c>
      <c r="R1107">
        <f t="shared" si="272"/>
        <v>66</v>
      </c>
      <c r="S1107" s="667">
        <f t="shared" si="273"/>
        <v>0.0804878048780488</v>
      </c>
    </row>
    <row r="1108" spans="1:19">
      <c r="A1108" s="1010">
        <v>45755</v>
      </c>
      <c r="B1108" s="670">
        <v>2232.43</v>
      </c>
      <c r="C1108" s="37">
        <v>4951</v>
      </c>
      <c r="D1108" s="37">
        <v>892</v>
      </c>
      <c r="E1108" s="37">
        <v>0</v>
      </c>
      <c r="F1108" s="670">
        <v>0</v>
      </c>
      <c r="G1108" s="37">
        <v>48</v>
      </c>
      <c r="H1108" s="37">
        <v>6</v>
      </c>
      <c r="I1108" s="37">
        <v>2</v>
      </c>
      <c r="J1108" s="672">
        <f t="shared" si="266"/>
        <v>0.180165623106443</v>
      </c>
      <c r="K1108" s="911">
        <f t="shared" si="267"/>
        <v>2.50272421524664</v>
      </c>
      <c r="L1108" s="671">
        <f t="shared" si="265"/>
        <v>0</v>
      </c>
      <c r="M1108" s="672">
        <f t="shared" si="268"/>
        <v>0</v>
      </c>
      <c r="N1108" s="670">
        <f t="shared" si="274"/>
        <v>0</v>
      </c>
      <c r="O1108" s="670">
        <f t="shared" si="269"/>
        <v>0</v>
      </c>
      <c r="P1108" s="670">
        <f t="shared" si="270"/>
        <v>46.5089583333333</v>
      </c>
      <c r="Q1108" s="675">
        <f t="shared" si="271"/>
        <v>41.3412962962963</v>
      </c>
      <c r="R1108">
        <f t="shared" si="272"/>
        <v>54</v>
      </c>
      <c r="S1108" s="667">
        <f t="shared" si="273"/>
        <v>0.0605381165919283</v>
      </c>
    </row>
    <row r="1109" spans="1:19">
      <c r="A1109" s="1010">
        <v>45756</v>
      </c>
      <c r="B1109" s="670">
        <v>1974.52</v>
      </c>
      <c r="C1109" s="37">
        <v>3786</v>
      </c>
      <c r="D1109" s="37">
        <v>784</v>
      </c>
      <c r="E1109" s="37">
        <v>1</v>
      </c>
      <c r="F1109" s="670">
        <v>6136</v>
      </c>
      <c r="G1109" s="37">
        <v>54</v>
      </c>
      <c r="H1109" s="37">
        <v>9</v>
      </c>
      <c r="I1109" s="37">
        <v>5</v>
      </c>
      <c r="J1109" s="672">
        <f t="shared" si="266"/>
        <v>0.207078711040676</v>
      </c>
      <c r="K1109" s="911">
        <f t="shared" si="267"/>
        <v>2.51852040816327</v>
      </c>
      <c r="L1109" s="671">
        <f t="shared" si="265"/>
        <v>3.10759070558921</v>
      </c>
      <c r="M1109" s="672">
        <f t="shared" si="268"/>
        <v>0.00127551020408163</v>
      </c>
      <c r="N1109" s="670">
        <f t="shared" si="274"/>
        <v>6136</v>
      </c>
      <c r="O1109" s="670">
        <f t="shared" si="269"/>
        <v>1974.52</v>
      </c>
      <c r="P1109" s="670">
        <f t="shared" si="270"/>
        <v>36.5651851851852</v>
      </c>
      <c r="Q1109" s="675">
        <f t="shared" si="271"/>
        <v>31.3415873015873</v>
      </c>
      <c r="R1109">
        <f t="shared" si="272"/>
        <v>63</v>
      </c>
      <c r="S1109" s="667">
        <f t="shared" si="273"/>
        <v>0.0803571428571429</v>
      </c>
    </row>
    <row r="1110" spans="1:19">
      <c r="A1110" s="1010">
        <v>45757</v>
      </c>
      <c r="B1110" s="670">
        <v>2268.26</v>
      </c>
      <c r="C1110" s="37">
        <v>5141</v>
      </c>
      <c r="D1110" s="37">
        <v>880</v>
      </c>
      <c r="E1110" s="37">
        <v>4</v>
      </c>
      <c r="F1110" s="670">
        <v>37400</v>
      </c>
      <c r="G1110" s="37">
        <v>63</v>
      </c>
      <c r="H1110" s="37">
        <v>7</v>
      </c>
      <c r="I1110" s="37">
        <v>2</v>
      </c>
      <c r="J1110" s="672">
        <f t="shared" si="266"/>
        <v>0.171172923555728</v>
      </c>
      <c r="K1110" s="911">
        <f t="shared" si="267"/>
        <v>2.57756818181818</v>
      </c>
      <c r="L1110" s="671">
        <f t="shared" si="265"/>
        <v>16.488409617945</v>
      </c>
      <c r="M1110" s="672">
        <f t="shared" si="268"/>
        <v>0.00454545454545455</v>
      </c>
      <c r="N1110" s="670">
        <f t="shared" si="274"/>
        <v>9350</v>
      </c>
      <c r="O1110" s="670">
        <f t="shared" si="269"/>
        <v>567.065</v>
      </c>
      <c r="P1110" s="670">
        <f t="shared" si="270"/>
        <v>36.004126984127</v>
      </c>
      <c r="Q1110" s="675">
        <f t="shared" si="271"/>
        <v>32.4037142857143</v>
      </c>
      <c r="R1110">
        <f t="shared" si="272"/>
        <v>70</v>
      </c>
      <c r="S1110" s="667">
        <f t="shared" si="273"/>
        <v>0.0795454545454545</v>
      </c>
    </row>
    <row r="1111" spans="1:19">
      <c r="A1111" s="1010">
        <v>45758</v>
      </c>
      <c r="B1111" s="670">
        <v>2133.31</v>
      </c>
      <c r="C1111" s="37">
        <v>5244</v>
      </c>
      <c r="D1111" s="37">
        <v>859</v>
      </c>
      <c r="E1111" s="37">
        <v>2</v>
      </c>
      <c r="F1111" s="670">
        <v>14892</v>
      </c>
      <c r="G1111" s="37">
        <v>51</v>
      </c>
      <c r="H1111" s="37">
        <v>3</v>
      </c>
      <c r="I1111" s="37">
        <v>3</v>
      </c>
      <c r="J1111" s="672">
        <f t="shared" si="266"/>
        <v>0.163806254767353</v>
      </c>
      <c r="K1111" s="911">
        <f t="shared" si="267"/>
        <v>2.48348079161816</v>
      </c>
      <c r="L1111" s="671">
        <f t="shared" si="265"/>
        <v>6.98070135142103</v>
      </c>
      <c r="M1111" s="672">
        <f t="shared" si="268"/>
        <v>0.00232828870779977</v>
      </c>
      <c r="N1111" s="670">
        <f t="shared" si="274"/>
        <v>7446</v>
      </c>
      <c r="O1111" s="670">
        <f t="shared" si="269"/>
        <v>1066.655</v>
      </c>
      <c r="P1111" s="670">
        <f t="shared" si="270"/>
        <v>41.8296078431373</v>
      </c>
      <c r="Q1111" s="675">
        <f t="shared" si="271"/>
        <v>39.5057407407407</v>
      </c>
      <c r="R1111">
        <f t="shared" si="272"/>
        <v>54</v>
      </c>
      <c r="S1111" s="667">
        <f t="shared" si="273"/>
        <v>0.0628637951105937</v>
      </c>
    </row>
    <row r="1112" spans="1:19">
      <c r="A1112" s="1010">
        <v>45759</v>
      </c>
      <c r="B1112" s="670">
        <v>2460.74</v>
      </c>
      <c r="C1112" s="37">
        <v>5673</v>
      </c>
      <c r="D1112" s="37">
        <v>912</v>
      </c>
      <c r="E1112" s="37">
        <v>3</v>
      </c>
      <c r="F1112" s="670">
        <v>64933</v>
      </c>
      <c r="G1112" s="37">
        <v>41</v>
      </c>
      <c r="H1112" s="37">
        <v>9</v>
      </c>
      <c r="I1112" s="37">
        <v>9</v>
      </c>
      <c r="J1112" s="672">
        <f t="shared" si="266"/>
        <v>0.160761501850873</v>
      </c>
      <c r="K1112" s="911">
        <f t="shared" si="267"/>
        <v>2.6981798245614</v>
      </c>
      <c r="L1112" s="671">
        <f t="shared" si="265"/>
        <v>26.3875907247413</v>
      </c>
      <c r="M1112" s="672">
        <f t="shared" si="268"/>
        <v>0.00328947368421053</v>
      </c>
      <c r="N1112" s="670">
        <f t="shared" si="274"/>
        <v>21644.3333333333</v>
      </c>
      <c r="O1112" s="670">
        <f t="shared" si="269"/>
        <v>820.246666666667</v>
      </c>
      <c r="P1112" s="670">
        <f t="shared" si="270"/>
        <v>60.0180487804878</v>
      </c>
      <c r="Q1112" s="675">
        <f t="shared" si="271"/>
        <v>49.2148</v>
      </c>
      <c r="R1112">
        <f t="shared" si="272"/>
        <v>50</v>
      </c>
      <c r="S1112" s="667">
        <f t="shared" si="273"/>
        <v>0.0548245614035088</v>
      </c>
    </row>
    <row r="1113" spans="1:19">
      <c r="A1113" s="1010">
        <v>45760</v>
      </c>
      <c r="B1113" s="670">
        <v>2467.73</v>
      </c>
      <c r="C1113" s="37">
        <v>4830</v>
      </c>
      <c r="D1113" s="37">
        <v>877</v>
      </c>
      <c r="E1113" s="37">
        <v>2</v>
      </c>
      <c r="F1113" s="670">
        <v>7704</v>
      </c>
      <c r="G1113" s="37">
        <v>66</v>
      </c>
      <c r="H1113" s="37">
        <v>4</v>
      </c>
      <c r="I1113" s="37">
        <v>4</v>
      </c>
      <c r="J1113" s="672">
        <f t="shared" si="266"/>
        <v>0.181573498964803</v>
      </c>
      <c r="K1113" s="911">
        <f t="shared" si="267"/>
        <v>2.81383124287343</v>
      </c>
      <c r="L1113" s="671">
        <f t="shared" si="265"/>
        <v>3.12189745231448</v>
      </c>
      <c r="M1113" s="672">
        <f t="shared" si="268"/>
        <v>0.00228050171037628</v>
      </c>
      <c r="N1113" s="670">
        <f t="shared" si="274"/>
        <v>3852</v>
      </c>
      <c r="O1113" s="670">
        <f t="shared" si="269"/>
        <v>1233.865</v>
      </c>
      <c r="P1113" s="670">
        <f t="shared" si="270"/>
        <v>37.3898484848485</v>
      </c>
      <c r="Q1113" s="675">
        <f t="shared" si="271"/>
        <v>35.2532857142857</v>
      </c>
      <c r="R1113">
        <f t="shared" si="272"/>
        <v>70</v>
      </c>
      <c r="S1113" s="667">
        <f t="shared" si="273"/>
        <v>0.0798175598631699</v>
      </c>
    </row>
    <row r="1114" spans="1:19">
      <c r="A1114" s="1010">
        <v>45761</v>
      </c>
      <c r="B1114" s="670">
        <v>2685.82</v>
      </c>
      <c r="C1114" s="37">
        <v>6343</v>
      </c>
      <c r="D1114" s="37">
        <v>1036</v>
      </c>
      <c r="E1114" s="37">
        <v>9</v>
      </c>
      <c r="F1114" s="670">
        <v>124116.44</v>
      </c>
      <c r="G1114" s="37">
        <v>59</v>
      </c>
      <c r="H1114" s="37">
        <v>4</v>
      </c>
      <c r="I1114" s="37">
        <v>5</v>
      </c>
      <c r="J1114" s="672">
        <f t="shared" si="266"/>
        <v>0.163329654737506</v>
      </c>
      <c r="K1114" s="911">
        <f t="shared" si="267"/>
        <v>2.59249034749035</v>
      </c>
      <c r="L1114" s="671">
        <f t="shared" si="265"/>
        <v>46.211749112003</v>
      </c>
      <c r="M1114" s="672">
        <f t="shared" si="268"/>
        <v>0.00868725868725869</v>
      </c>
      <c r="N1114" s="670">
        <f t="shared" si="274"/>
        <v>13790.7155555556</v>
      </c>
      <c r="O1114" s="670">
        <f t="shared" si="269"/>
        <v>298.424444444444</v>
      </c>
      <c r="P1114" s="670">
        <f t="shared" si="270"/>
        <v>45.5223728813559</v>
      </c>
      <c r="Q1114" s="675">
        <f t="shared" si="271"/>
        <v>42.6320634920635</v>
      </c>
      <c r="R1114">
        <f t="shared" si="272"/>
        <v>63</v>
      </c>
      <c r="S1114" s="667">
        <f t="shared" si="273"/>
        <v>0.0608108108108108</v>
      </c>
    </row>
    <row r="1115" spans="1:19">
      <c r="A1115" s="1010">
        <v>45762</v>
      </c>
      <c r="B1115" s="670">
        <v>2527.7</v>
      </c>
      <c r="C1115" s="37">
        <v>5808</v>
      </c>
      <c r="D1115" s="37">
        <v>929</v>
      </c>
      <c r="E1115" s="37">
        <v>2</v>
      </c>
      <c r="F1115" s="670">
        <v>31144</v>
      </c>
      <c r="G1115" s="37">
        <v>53</v>
      </c>
      <c r="H1115" s="37">
        <v>7</v>
      </c>
      <c r="I1115" s="37">
        <v>10</v>
      </c>
      <c r="J1115" s="672">
        <f t="shared" si="266"/>
        <v>0.159951790633609</v>
      </c>
      <c r="K1115" s="911">
        <f t="shared" si="267"/>
        <v>2.72088266953714</v>
      </c>
      <c r="L1115" s="671">
        <f t="shared" si="265"/>
        <v>12.3210824069312</v>
      </c>
      <c r="M1115" s="672">
        <f t="shared" si="268"/>
        <v>0.00215285252960172</v>
      </c>
      <c r="N1115" s="670">
        <f t="shared" si="274"/>
        <v>15572</v>
      </c>
      <c r="O1115" s="670">
        <f t="shared" si="269"/>
        <v>1263.85</v>
      </c>
      <c r="P1115" s="670">
        <f t="shared" si="270"/>
        <v>47.6924528301887</v>
      </c>
      <c r="Q1115" s="675">
        <f t="shared" si="271"/>
        <v>42.1283333333333</v>
      </c>
      <c r="R1115">
        <f t="shared" si="272"/>
        <v>60</v>
      </c>
      <c r="S1115" s="667">
        <f t="shared" si="273"/>
        <v>0.0645855758880517</v>
      </c>
    </row>
    <row r="1116" spans="1:19">
      <c r="A1116" s="1010">
        <v>45763</v>
      </c>
      <c r="B1116" s="670">
        <v>2512.91</v>
      </c>
      <c r="C1116" s="37">
        <v>5851</v>
      </c>
      <c r="D1116" s="37">
        <v>842</v>
      </c>
      <c r="E1116" s="37">
        <v>4</v>
      </c>
      <c r="F1116" s="670">
        <v>68357</v>
      </c>
      <c r="G1116" s="37">
        <v>47</v>
      </c>
      <c r="H1116" s="37">
        <v>4</v>
      </c>
      <c r="I1116" s="37">
        <v>4</v>
      </c>
      <c r="J1116" s="672">
        <f t="shared" si="266"/>
        <v>0.143907024440267</v>
      </c>
      <c r="K1116" s="911">
        <f t="shared" si="267"/>
        <v>2.98445368171021</v>
      </c>
      <c r="L1116" s="671">
        <f t="shared" si="265"/>
        <v>27.2023271824299</v>
      </c>
      <c r="M1116" s="672">
        <f t="shared" si="268"/>
        <v>0.00475059382422803</v>
      </c>
      <c r="N1116" s="670">
        <f t="shared" si="274"/>
        <v>17089.25</v>
      </c>
      <c r="O1116" s="670">
        <f t="shared" si="269"/>
        <v>628.2275</v>
      </c>
      <c r="P1116" s="670">
        <f t="shared" si="270"/>
        <v>53.466170212766</v>
      </c>
      <c r="Q1116" s="675">
        <f t="shared" si="271"/>
        <v>49.2727450980392</v>
      </c>
      <c r="R1116">
        <f t="shared" si="272"/>
        <v>51</v>
      </c>
      <c r="S1116" s="667">
        <f t="shared" si="273"/>
        <v>0.0605700712589074</v>
      </c>
    </row>
    <row r="1117" spans="1:19">
      <c r="A1117" s="1010">
        <v>45764</v>
      </c>
      <c r="B1117" s="670">
        <v>2753.62</v>
      </c>
      <c r="C1117" s="37">
        <v>6767</v>
      </c>
      <c r="D1117" s="37">
        <v>828</v>
      </c>
      <c r="E1117" s="37">
        <v>1</v>
      </c>
      <c r="F1117" s="670">
        <v>6094</v>
      </c>
      <c r="G1117" s="37">
        <v>40</v>
      </c>
      <c r="H1117" s="37">
        <v>4</v>
      </c>
      <c r="I1117" s="37">
        <v>0</v>
      </c>
      <c r="J1117" s="672">
        <f t="shared" si="266"/>
        <v>0.122358504507167</v>
      </c>
      <c r="K1117" s="911">
        <f t="shared" si="267"/>
        <v>3.32562801932367</v>
      </c>
      <c r="L1117" s="671">
        <f t="shared" si="265"/>
        <v>2.21308677304784</v>
      </c>
      <c r="M1117" s="672">
        <f t="shared" si="268"/>
        <v>0.00120772946859903</v>
      </c>
      <c r="N1117" s="670">
        <f t="shared" si="274"/>
        <v>6094</v>
      </c>
      <c r="O1117" s="670">
        <f t="shared" si="269"/>
        <v>2753.62</v>
      </c>
      <c r="P1117" s="670">
        <f t="shared" si="270"/>
        <v>68.8405</v>
      </c>
      <c r="Q1117" s="675">
        <f t="shared" si="271"/>
        <v>62.5822727272727</v>
      </c>
      <c r="R1117">
        <f t="shared" si="272"/>
        <v>44</v>
      </c>
      <c r="S1117" s="667">
        <f t="shared" si="273"/>
        <v>0.0531400966183575</v>
      </c>
    </row>
    <row r="1118" spans="1:19">
      <c r="A1118" s="1010">
        <v>45765</v>
      </c>
      <c r="B1118" s="670">
        <v>2887.76</v>
      </c>
      <c r="C1118" s="37">
        <v>6630</v>
      </c>
      <c r="D1118" s="37">
        <v>784</v>
      </c>
      <c r="E1118" s="37">
        <v>4</v>
      </c>
      <c r="F1118" s="670">
        <v>62250</v>
      </c>
      <c r="G1118" s="37">
        <v>36</v>
      </c>
      <c r="H1118" s="37">
        <v>5</v>
      </c>
      <c r="I1118" s="37">
        <v>1</v>
      </c>
      <c r="J1118" s="672">
        <f t="shared" si="266"/>
        <v>0.118250377073906</v>
      </c>
      <c r="K1118" s="911">
        <f t="shared" si="267"/>
        <v>3.68336734693878</v>
      </c>
      <c r="L1118" s="671">
        <f t="shared" si="265"/>
        <v>21.5565005402111</v>
      </c>
      <c r="M1118" s="672">
        <f t="shared" si="268"/>
        <v>0.00510204081632653</v>
      </c>
      <c r="N1118" s="670">
        <f t="shared" si="274"/>
        <v>15562.5</v>
      </c>
      <c r="O1118" s="670">
        <f t="shared" si="269"/>
        <v>721.94</v>
      </c>
      <c r="P1118" s="670">
        <f t="shared" si="270"/>
        <v>80.2155555555556</v>
      </c>
      <c r="Q1118" s="675">
        <f t="shared" si="271"/>
        <v>70.4331707317073</v>
      </c>
      <c r="R1118">
        <f t="shared" si="272"/>
        <v>41</v>
      </c>
      <c r="S1118" s="667">
        <f t="shared" si="273"/>
        <v>0.0522959183673469</v>
      </c>
    </row>
    <row r="1119" spans="1:19">
      <c r="A1119" s="1010">
        <v>45766</v>
      </c>
      <c r="B1119" s="670">
        <v>2610.19</v>
      </c>
      <c r="C1119" s="37">
        <v>6447</v>
      </c>
      <c r="D1119" s="37">
        <v>721</v>
      </c>
      <c r="E1119" s="37">
        <v>0</v>
      </c>
      <c r="F1119" s="670">
        <v>0</v>
      </c>
      <c r="G1119" s="37">
        <v>43</v>
      </c>
      <c r="H1119" s="37">
        <v>6</v>
      </c>
      <c r="I1119" s="37">
        <v>3</v>
      </c>
      <c r="J1119" s="672">
        <f t="shared" si="266"/>
        <v>0.111834961997828</v>
      </c>
      <c r="K1119" s="911">
        <f t="shared" si="267"/>
        <v>3.62023578363384</v>
      </c>
      <c r="L1119" s="671">
        <f t="shared" si="265"/>
        <v>0</v>
      </c>
      <c r="M1119" s="672">
        <f t="shared" si="268"/>
        <v>0</v>
      </c>
      <c r="N1119" s="670">
        <f t="shared" si="274"/>
        <v>0</v>
      </c>
      <c r="O1119" s="670">
        <f t="shared" si="269"/>
        <v>0</v>
      </c>
      <c r="P1119" s="670">
        <f t="shared" si="270"/>
        <v>60.7020930232558</v>
      </c>
      <c r="Q1119" s="675">
        <f t="shared" si="271"/>
        <v>53.2691836734694</v>
      </c>
      <c r="R1119">
        <f t="shared" si="272"/>
        <v>49</v>
      </c>
      <c r="S1119" s="667">
        <f t="shared" si="273"/>
        <v>0.0679611650485437</v>
      </c>
    </row>
    <row r="1120" spans="1:19">
      <c r="A1120" s="1010">
        <v>45767</v>
      </c>
      <c r="B1120" s="670">
        <v>2234.15</v>
      </c>
      <c r="C1120" s="37">
        <v>5702</v>
      </c>
      <c r="D1120" s="37">
        <v>716</v>
      </c>
      <c r="E1120" s="37">
        <v>1</v>
      </c>
      <c r="F1120" s="670">
        <v>16512</v>
      </c>
      <c r="G1120" s="37">
        <v>51</v>
      </c>
      <c r="H1120" s="37">
        <v>6</v>
      </c>
      <c r="I1120" s="37">
        <v>5</v>
      </c>
      <c r="J1120" s="672">
        <f t="shared" si="266"/>
        <v>0.125569975447212</v>
      </c>
      <c r="K1120" s="911">
        <f t="shared" si="267"/>
        <v>3.12032122905028</v>
      </c>
      <c r="L1120" s="671">
        <f t="shared" si="265"/>
        <v>7.39073025535439</v>
      </c>
      <c r="M1120" s="672">
        <f t="shared" si="268"/>
        <v>0.00139664804469274</v>
      </c>
      <c r="N1120" s="670">
        <f t="shared" si="274"/>
        <v>16512</v>
      </c>
      <c r="O1120" s="670">
        <f t="shared" si="269"/>
        <v>2234.15</v>
      </c>
      <c r="P1120" s="670">
        <f t="shared" si="270"/>
        <v>43.806862745098</v>
      </c>
      <c r="Q1120" s="675">
        <f t="shared" si="271"/>
        <v>39.1956140350877</v>
      </c>
      <c r="R1120">
        <f t="shared" si="272"/>
        <v>57</v>
      </c>
      <c r="S1120" s="667">
        <f t="shared" si="273"/>
        <v>0.079608938547486</v>
      </c>
    </row>
    <row r="1121" spans="1:19">
      <c r="A1121" s="1010">
        <v>45768</v>
      </c>
      <c r="B1121" s="670">
        <v>1864.35</v>
      </c>
      <c r="C1121" s="37">
        <v>4944</v>
      </c>
      <c r="D1121" s="37">
        <v>633</v>
      </c>
      <c r="E1121" s="37">
        <v>2</v>
      </c>
      <c r="F1121" s="670">
        <v>13518</v>
      </c>
      <c r="G1121" s="37">
        <v>32</v>
      </c>
      <c r="H1121" s="37">
        <v>3</v>
      </c>
      <c r="I1121" s="37">
        <v>6</v>
      </c>
      <c r="J1121" s="672">
        <f t="shared" si="266"/>
        <v>0.128033980582524</v>
      </c>
      <c r="K1121" s="911">
        <f t="shared" si="267"/>
        <v>2.94526066350711</v>
      </c>
      <c r="L1121" s="671">
        <f t="shared" si="265"/>
        <v>7.25078445570842</v>
      </c>
      <c r="M1121" s="672">
        <f t="shared" si="268"/>
        <v>0.00315955766192733</v>
      </c>
      <c r="N1121" s="670">
        <f t="shared" si="274"/>
        <v>6759</v>
      </c>
      <c r="O1121" s="670">
        <f t="shared" si="269"/>
        <v>932.175</v>
      </c>
      <c r="P1121" s="670">
        <f t="shared" si="270"/>
        <v>58.2609375</v>
      </c>
      <c r="Q1121" s="675">
        <f t="shared" si="271"/>
        <v>53.2671428571429</v>
      </c>
      <c r="R1121">
        <f t="shared" si="272"/>
        <v>35</v>
      </c>
      <c r="S1121" s="667">
        <f t="shared" si="273"/>
        <v>0.0552922590837283</v>
      </c>
    </row>
    <row r="1122" spans="1:19">
      <c r="A1122" s="1010">
        <v>45769</v>
      </c>
      <c r="B1122" s="670">
        <v>1926.63</v>
      </c>
      <c r="C1122" s="37">
        <v>5278</v>
      </c>
      <c r="D1122" s="37">
        <v>721</v>
      </c>
      <c r="E1122" s="37">
        <v>1</v>
      </c>
      <c r="F1122" s="670">
        <v>8144</v>
      </c>
      <c r="G1122" s="37">
        <v>34</v>
      </c>
      <c r="H1122" s="37">
        <v>4</v>
      </c>
      <c r="I1122" s="37">
        <v>2</v>
      </c>
      <c r="J1122" s="672">
        <f t="shared" si="266"/>
        <v>0.136604774535809</v>
      </c>
      <c r="K1122" s="911">
        <f t="shared" si="267"/>
        <v>2.67216366158114</v>
      </c>
      <c r="L1122" s="671">
        <f t="shared" si="265"/>
        <v>4.22707006534726</v>
      </c>
      <c r="M1122" s="672">
        <f t="shared" si="268"/>
        <v>0.0013869625520111</v>
      </c>
      <c r="N1122" s="670">
        <f t="shared" si="274"/>
        <v>8144</v>
      </c>
      <c r="O1122" s="670">
        <f t="shared" si="269"/>
        <v>1926.63</v>
      </c>
      <c r="P1122" s="670">
        <f t="shared" si="270"/>
        <v>56.6655882352941</v>
      </c>
      <c r="Q1122" s="675">
        <f t="shared" si="271"/>
        <v>50.7007894736842</v>
      </c>
      <c r="R1122">
        <f t="shared" si="272"/>
        <v>38</v>
      </c>
      <c r="S1122" s="667">
        <f t="shared" si="273"/>
        <v>0.0527045769764216</v>
      </c>
    </row>
    <row r="1123" spans="1:19">
      <c r="A1123" s="1010">
        <v>45770</v>
      </c>
      <c r="B1123" s="670">
        <v>1698.09</v>
      </c>
      <c r="C1123" s="37">
        <v>5112</v>
      </c>
      <c r="D1123" s="37">
        <v>650</v>
      </c>
      <c r="E1123" s="37">
        <v>0</v>
      </c>
      <c r="F1123" s="670">
        <v>0</v>
      </c>
      <c r="G1123" s="37">
        <v>16</v>
      </c>
      <c r="H1123" s="37">
        <v>8</v>
      </c>
      <c r="I1123" s="37">
        <v>6</v>
      </c>
      <c r="J1123" s="672">
        <f t="shared" si="266"/>
        <v>0.127151799687011</v>
      </c>
      <c r="K1123" s="911">
        <f t="shared" si="267"/>
        <v>2.61244615384615</v>
      </c>
      <c r="L1123" s="671">
        <f t="shared" si="265"/>
        <v>0</v>
      </c>
      <c r="M1123" s="672">
        <f t="shared" si="268"/>
        <v>0</v>
      </c>
      <c r="N1123" s="670">
        <f t="shared" si="274"/>
        <v>0</v>
      </c>
      <c r="O1123" s="670">
        <f t="shared" si="269"/>
        <v>0</v>
      </c>
      <c r="P1123" s="670">
        <f t="shared" si="270"/>
        <v>106.130625</v>
      </c>
      <c r="Q1123" s="675">
        <f t="shared" si="271"/>
        <v>70.75375</v>
      </c>
      <c r="R1123">
        <f t="shared" si="272"/>
        <v>24</v>
      </c>
      <c r="S1123" s="667">
        <f t="shared" si="273"/>
        <v>0.0369230769230769</v>
      </c>
    </row>
    <row r="1124" spans="1:19">
      <c r="A1124" s="1010">
        <v>45771</v>
      </c>
      <c r="B1124" s="670">
        <v>821.65</v>
      </c>
      <c r="C1124" s="37">
        <v>2550</v>
      </c>
      <c r="D1124" s="37">
        <v>343</v>
      </c>
      <c r="E1124" s="37">
        <v>1</v>
      </c>
      <c r="F1124" s="670">
        <v>8336</v>
      </c>
      <c r="G1124" s="37">
        <v>23</v>
      </c>
      <c r="H1124" s="37">
        <v>3</v>
      </c>
      <c r="I1124" s="37">
        <v>1</v>
      </c>
      <c r="J1124" s="672">
        <f t="shared" si="266"/>
        <v>0.134509803921569</v>
      </c>
      <c r="K1124" s="911">
        <f t="shared" si="267"/>
        <v>2.39548104956268</v>
      </c>
      <c r="L1124" s="671">
        <f t="shared" si="265"/>
        <v>10.1454390555589</v>
      </c>
      <c r="M1124" s="672">
        <f t="shared" si="268"/>
        <v>0.00291545189504373</v>
      </c>
      <c r="N1124" s="670">
        <f t="shared" si="274"/>
        <v>8336</v>
      </c>
      <c r="O1124" s="670">
        <f t="shared" si="269"/>
        <v>821.65</v>
      </c>
      <c r="P1124" s="670">
        <f t="shared" si="270"/>
        <v>35.7239130434783</v>
      </c>
      <c r="Q1124" s="675">
        <f t="shared" si="271"/>
        <v>31.6019230769231</v>
      </c>
      <c r="R1124">
        <f t="shared" si="272"/>
        <v>26</v>
      </c>
      <c r="S1124" s="667">
        <f t="shared" si="273"/>
        <v>0.075801749271137</v>
      </c>
    </row>
    <row r="1125" spans="1:19">
      <c r="A1125" s="1010">
        <v>45772</v>
      </c>
      <c r="B1125" s="670">
        <v>1551.69</v>
      </c>
      <c r="C1125" s="37">
        <v>5171</v>
      </c>
      <c r="D1125" s="37">
        <v>592</v>
      </c>
      <c r="E1125" s="37">
        <v>3</v>
      </c>
      <c r="F1125" s="670">
        <v>41554</v>
      </c>
      <c r="G1125" s="37">
        <v>39</v>
      </c>
      <c r="H1125" s="37">
        <v>5</v>
      </c>
      <c r="I1125" s="37">
        <v>4</v>
      </c>
      <c r="J1125" s="672">
        <f t="shared" si="266"/>
        <v>0.114484625797718</v>
      </c>
      <c r="K1125" s="911">
        <f t="shared" si="267"/>
        <v>2.62109797297297</v>
      </c>
      <c r="L1125" s="671">
        <f t="shared" si="265"/>
        <v>26.7798336007837</v>
      </c>
      <c r="M1125" s="672">
        <f t="shared" si="268"/>
        <v>0.00506756756756757</v>
      </c>
      <c r="N1125" s="670">
        <f t="shared" si="274"/>
        <v>13851.3333333333</v>
      </c>
      <c r="O1125" s="670">
        <f t="shared" si="269"/>
        <v>517.23</v>
      </c>
      <c r="P1125" s="670">
        <f t="shared" si="270"/>
        <v>39.7869230769231</v>
      </c>
      <c r="Q1125" s="675">
        <f t="shared" si="271"/>
        <v>35.2656818181818</v>
      </c>
      <c r="R1125">
        <f t="shared" si="272"/>
        <v>44</v>
      </c>
      <c r="S1125" s="667">
        <f t="shared" si="273"/>
        <v>0.0743243243243243</v>
      </c>
    </row>
    <row r="1126" spans="1:19">
      <c r="A1126" s="1010">
        <v>45773</v>
      </c>
      <c r="B1126" s="670">
        <v>1620.24</v>
      </c>
      <c r="C1126" s="37">
        <v>4855</v>
      </c>
      <c r="D1126" s="37">
        <v>594</v>
      </c>
      <c r="E1126" s="37">
        <v>2</v>
      </c>
      <c r="F1126" s="670">
        <v>41144</v>
      </c>
      <c r="G1126" s="37">
        <v>37</v>
      </c>
      <c r="H1126" s="37">
        <v>7</v>
      </c>
      <c r="I1126" s="37">
        <v>5</v>
      </c>
      <c r="J1126" s="672">
        <f t="shared" si="266"/>
        <v>0.122348094747683</v>
      </c>
      <c r="K1126" s="911">
        <f t="shared" si="267"/>
        <v>2.72767676767677</v>
      </c>
      <c r="L1126" s="671">
        <f t="shared" si="265"/>
        <v>25.3937688243717</v>
      </c>
      <c r="M1126" s="672">
        <f t="shared" si="268"/>
        <v>0.00336700336700337</v>
      </c>
      <c r="N1126" s="670">
        <f t="shared" si="274"/>
        <v>20572</v>
      </c>
      <c r="O1126" s="670">
        <f t="shared" si="269"/>
        <v>810.12</v>
      </c>
      <c r="P1126" s="670">
        <f t="shared" si="270"/>
        <v>43.7902702702703</v>
      </c>
      <c r="Q1126" s="675">
        <f t="shared" si="271"/>
        <v>36.8236363636364</v>
      </c>
      <c r="R1126">
        <f t="shared" si="272"/>
        <v>44</v>
      </c>
      <c r="S1126" s="667">
        <f t="shared" si="273"/>
        <v>0.0740740740740741</v>
      </c>
    </row>
    <row r="1127" spans="1:19">
      <c r="A1127" s="1010">
        <v>45774</v>
      </c>
      <c r="B1127" s="670">
        <v>2209.9</v>
      </c>
      <c r="C1127" s="37">
        <v>5559</v>
      </c>
      <c r="D1127" s="37">
        <v>774</v>
      </c>
      <c r="E1127" s="37">
        <v>0</v>
      </c>
      <c r="F1127" s="670">
        <v>0</v>
      </c>
      <c r="G1127" s="37">
        <v>46</v>
      </c>
      <c r="H1127" s="37">
        <v>1</v>
      </c>
      <c r="I1127" s="37">
        <v>5</v>
      </c>
      <c r="J1127" s="672">
        <f t="shared" si="266"/>
        <v>0.139233675121425</v>
      </c>
      <c r="K1127" s="911">
        <f t="shared" si="267"/>
        <v>2.85516795865633</v>
      </c>
      <c r="L1127" s="671">
        <f t="shared" si="265"/>
        <v>0</v>
      </c>
      <c r="M1127" s="672">
        <f t="shared" si="268"/>
        <v>0</v>
      </c>
      <c r="N1127" s="670">
        <f t="shared" si="274"/>
        <v>0</v>
      </c>
      <c r="O1127" s="670">
        <f t="shared" si="269"/>
        <v>0</v>
      </c>
      <c r="P1127" s="670">
        <f t="shared" si="270"/>
        <v>48.0413043478261</v>
      </c>
      <c r="Q1127" s="675">
        <f t="shared" si="271"/>
        <v>47.0191489361702</v>
      </c>
      <c r="R1127">
        <f t="shared" si="272"/>
        <v>47</v>
      </c>
      <c r="S1127" s="667">
        <f t="shared" si="273"/>
        <v>0.0607235142118863</v>
      </c>
    </row>
    <row r="1128" spans="1:19">
      <c r="A1128" s="1010">
        <v>45775</v>
      </c>
      <c r="B1128" s="670">
        <v>2144.68</v>
      </c>
      <c r="C1128" s="37">
        <v>5962</v>
      </c>
      <c r="D1128" s="37">
        <v>698</v>
      </c>
      <c r="E1128" s="37">
        <v>1</v>
      </c>
      <c r="F1128" s="670">
        <v>8624</v>
      </c>
      <c r="G1128" s="37">
        <v>30</v>
      </c>
      <c r="H1128" s="37">
        <v>2</v>
      </c>
      <c r="I1128" s="37">
        <v>3</v>
      </c>
      <c r="J1128" s="672">
        <f t="shared" si="266"/>
        <v>0.117074807111707</v>
      </c>
      <c r="K1128" s="911">
        <f t="shared" si="267"/>
        <v>3.07260744985673</v>
      </c>
      <c r="L1128" s="671">
        <f t="shared" si="265"/>
        <v>4.02111270679076</v>
      </c>
      <c r="M1128" s="672">
        <f t="shared" si="268"/>
        <v>0.00143266475644699</v>
      </c>
      <c r="N1128" s="670">
        <f t="shared" si="274"/>
        <v>8624</v>
      </c>
      <c r="O1128" s="670">
        <f t="shared" si="269"/>
        <v>2144.68</v>
      </c>
      <c r="P1128" s="670">
        <f t="shared" si="270"/>
        <v>71.4893333333333</v>
      </c>
      <c r="Q1128" s="675">
        <f t="shared" si="271"/>
        <v>67.02125</v>
      </c>
      <c r="R1128">
        <f t="shared" si="272"/>
        <v>32</v>
      </c>
      <c r="S1128" s="667">
        <f t="shared" si="273"/>
        <v>0.0458452722063037</v>
      </c>
    </row>
    <row r="1129" spans="1:19">
      <c r="A1129" s="1010">
        <v>45776</v>
      </c>
      <c r="B1129" s="670">
        <v>2045.34</v>
      </c>
      <c r="C1129" s="37">
        <v>5237</v>
      </c>
      <c r="D1129" s="37">
        <v>601</v>
      </c>
      <c r="E1129" s="37">
        <v>3</v>
      </c>
      <c r="F1129" s="670">
        <v>51631</v>
      </c>
      <c r="G1129" s="37">
        <v>27</v>
      </c>
      <c r="H1129" s="37">
        <v>1</v>
      </c>
      <c r="I1129" s="37">
        <v>4</v>
      </c>
      <c r="J1129" s="672">
        <f t="shared" si="266"/>
        <v>0.114760358984151</v>
      </c>
      <c r="K1129" s="911">
        <f t="shared" si="267"/>
        <v>3.40322795341098</v>
      </c>
      <c r="L1129" s="671">
        <f t="shared" si="265"/>
        <v>25.2432358434295</v>
      </c>
      <c r="M1129" s="672">
        <f t="shared" si="268"/>
        <v>0.00499168053244592</v>
      </c>
      <c r="N1129" s="670">
        <f t="shared" si="274"/>
        <v>17210.3333333333</v>
      </c>
      <c r="O1129" s="670">
        <f t="shared" si="269"/>
        <v>681.78</v>
      </c>
      <c r="P1129" s="670">
        <f t="shared" si="270"/>
        <v>75.7533333333333</v>
      </c>
      <c r="Q1129" s="675">
        <f t="shared" si="271"/>
        <v>73.0478571428571</v>
      </c>
      <c r="R1129">
        <f t="shared" si="272"/>
        <v>28</v>
      </c>
      <c r="S1129" s="667">
        <f t="shared" si="273"/>
        <v>0.0465890183028286</v>
      </c>
    </row>
    <row r="1130" spans="1:19">
      <c r="A1130" s="1010">
        <v>45777</v>
      </c>
      <c r="B1130" s="670">
        <v>2083.95</v>
      </c>
      <c r="C1130" s="37">
        <v>5084</v>
      </c>
      <c r="D1130" s="37">
        <v>585</v>
      </c>
      <c r="E1130" s="37">
        <v>0</v>
      </c>
      <c r="F1130" s="670">
        <v>0</v>
      </c>
      <c r="G1130" s="37">
        <v>25</v>
      </c>
      <c r="H1130" s="37">
        <v>3</v>
      </c>
      <c r="I1130" s="37">
        <v>1</v>
      </c>
      <c r="J1130" s="672">
        <f t="shared" si="266"/>
        <v>0.115066876475216</v>
      </c>
      <c r="K1130" s="911">
        <f t="shared" si="267"/>
        <v>3.56230769230769</v>
      </c>
      <c r="L1130" s="671">
        <f t="shared" si="265"/>
        <v>0</v>
      </c>
      <c r="M1130" s="672">
        <f t="shared" si="268"/>
        <v>0</v>
      </c>
      <c r="N1130" s="670">
        <f t="shared" si="274"/>
        <v>0</v>
      </c>
      <c r="O1130" s="670">
        <f t="shared" si="269"/>
        <v>0</v>
      </c>
      <c r="P1130" s="670">
        <f t="shared" si="270"/>
        <v>83.358</v>
      </c>
      <c r="Q1130" s="675">
        <f t="shared" si="271"/>
        <v>74.4267857142857</v>
      </c>
      <c r="R1130">
        <f t="shared" si="272"/>
        <v>28</v>
      </c>
      <c r="S1130" s="667">
        <f t="shared" si="273"/>
        <v>0.0478632478632479</v>
      </c>
    </row>
    <row r="1131" spans="1:19">
      <c r="A1131" s="1010">
        <v>45778</v>
      </c>
      <c r="B1131" s="670">
        <v>1812.07</v>
      </c>
      <c r="C1131" s="37">
        <v>4686</v>
      </c>
      <c r="D1131" s="37">
        <v>514</v>
      </c>
      <c r="E1131" s="37">
        <v>1</v>
      </c>
      <c r="F1131" s="670">
        <v>17092</v>
      </c>
      <c r="G1131" s="37">
        <v>29</v>
      </c>
      <c r="H1131" s="37">
        <v>2</v>
      </c>
      <c r="I1131" s="37">
        <v>1</v>
      </c>
      <c r="J1131" s="672">
        <f t="shared" si="266"/>
        <v>0.109688433632096</v>
      </c>
      <c r="K1131" s="911">
        <f t="shared" si="267"/>
        <v>3.5254280155642</v>
      </c>
      <c r="L1131" s="671">
        <f t="shared" si="265"/>
        <v>9.43230669896858</v>
      </c>
      <c r="M1131" s="672">
        <f t="shared" si="268"/>
        <v>0.00194552529182879</v>
      </c>
      <c r="N1131" s="670">
        <f t="shared" si="274"/>
        <v>17092</v>
      </c>
      <c r="O1131" s="670">
        <f t="shared" si="269"/>
        <v>1812.07</v>
      </c>
      <c r="P1131" s="670">
        <f t="shared" si="270"/>
        <v>62.4851724137931</v>
      </c>
      <c r="Q1131" s="675">
        <f t="shared" si="271"/>
        <v>58.4538709677419</v>
      </c>
      <c r="R1131">
        <f t="shared" si="272"/>
        <v>31</v>
      </c>
      <c r="S1131" s="667">
        <f t="shared" si="273"/>
        <v>0.0603112840466926</v>
      </c>
    </row>
    <row r="1132" spans="1:19">
      <c r="A1132" s="1010">
        <v>45779</v>
      </c>
      <c r="B1132" s="670">
        <v>1837.17</v>
      </c>
      <c r="C1132" s="37">
        <v>5166</v>
      </c>
      <c r="D1132" s="37">
        <v>600</v>
      </c>
      <c r="E1132" s="37">
        <v>3</v>
      </c>
      <c r="F1132" s="670">
        <v>43550</v>
      </c>
      <c r="G1132" s="37">
        <v>39</v>
      </c>
      <c r="H1132" s="37">
        <v>2</v>
      </c>
      <c r="I1132" s="37">
        <v>5</v>
      </c>
      <c r="J1132" s="672">
        <f t="shared" si="266"/>
        <v>0.116144018583043</v>
      </c>
      <c r="K1132" s="911">
        <f t="shared" si="267"/>
        <v>3.06195</v>
      </c>
      <c r="L1132" s="671">
        <f t="shared" si="265"/>
        <v>23.7049374853715</v>
      </c>
      <c r="M1132" s="672">
        <f t="shared" si="268"/>
        <v>0.005</v>
      </c>
      <c r="N1132" s="670">
        <f t="shared" si="274"/>
        <v>14516.6666666667</v>
      </c>
      <c r="O1132" s="670">
        <f t="shared" si="269"/>
        <v>612.39</v>
      </c>
      <c r="P1132" s="670">
        <f t="shared" si="270"/>
        <v>47.1069230769231</v>
      </c>
      <c r="Q1132" s="675">
        <f t="shared" si="271"/>
        <v>44.8090243902439</v>
      </c>
      <c r="R1132">
        <f t="shared" si="272"/>
        <v>41</v>
      </c>
      <c r="S1132" s="667">
        <f t="shared" si="273"/>
        <v>0.0683333333333333</v>
      </c>
    </row>
    <row r="1133" spans="1:19">
      <c r="A1133" s="1010">
        <v>45780</v>
      </c>
      <c r="B1133" s="670">
        <v>1887.36</v>
      </c>
      <c r="C1133" s="37">
        <v>4304</v>
      </c>
      <c r="D1133" s="37">
        <v>562</v>
      </c>
      <c r="E1133" s="37">
        <v>2</v>
      </c>
      <c r="F1133" s="670">
        <v>20841</v>
      </c>
      <c r="G1133" s="37">
        <v>45</v>
      </c>
      <c r="H1133" s="37">
        <v>3</v>
      </c>
      <c r="I1133" s="37">
        <v>11</v>
      </c>
      <c r="J1133" s="672">
        <f t="shared" si="266"/>
        <v>0.130576208178439</v>
      </c>
      <c r="K1133" s="911">
        <f t="shared" si="267"/>
        <v>3.35829181494662</v>
      </c>
      <c r="L1133" s="671">
        <f t="shared" ref="L1133:L1139" si="275">F1133/B1133</f>
        <v>11.0424084435402</v>
      </c>
      <c r="M1133" s="672">
        <f t="shared" si="268"/>
        <v>0.00355871886120996</v>
      </c>
      <c r="N1133" s="670">
        <f t="shared" si="274"/>
        <v>10420.5</v>
      </c>
      <c r="O1133" s="670">
        <f t="shared" si="269"/>
        <v>943.68</v>
      </c>
      <c r="P1133" s="670">
        <f t="shared" si="270"/>
        <v>41.9413333333333</v>
      </c>
      <c r="Q1133" s="675">
        <f t="shared" si="271"/>
        <v>39.32</v>
      </c>
      <c r="R1133">
        <f t="shared" si="272"/>
        <v>48</v>
      </c>
      <c r="S1133" s="667">
        <f t="shared" si="273"/>
        <v>0.0854092526690391</v>
      </c>
    </row>
    <row r="1134" spans="1:19">
      <c r="A1134" s="1010">
        <v>45781</v>
      </c>
      <c r="B1134" s="670">
        <v>1241.51</v>
      </c>
      <c r="C1134" s="37">
        <v>3057</v>
      </c>
      <c r="D1134" s="37">
        <v>469</v>
      </c>
      <c r="E1134" s="37">
        <v>1</v>
      </c>
      <c r="F1134" s="670">
        <v>11154</v>
      </c>
      <c r="G1134" s="37">
        <v>30</v>
      </c>
      <c r="H1134" s="37">
        <v>4</v>
      </c>
      <c r="I1134" s="37">
        <v>2</v>
      </c>
      <c r="J1134" s="672">
        <f t="shared" si="266"/>
        <v>0.153418384036637</v>
      </c>
      <c r="K1134" s="911">
        <f t="shared" si="267"/>
        <v>2.64714285714286</v>
      </c>
      <c r="L1134" s="671">
        <f t="shared" si="275"/>
        <v>8.98422082786284</v>
      </c>
      <c r="M1134" s="672">
        <f t="shared" si="268"/>
        <v>0.00213219616204691</v>
      </c>
      <c r="N1134" s="670">
        <f t="shared" si="274"/>
        <v>11154</v>
      </c>
      <c r="O1134" s="670">
        <f t="shared" si="269"/>
        <v>1241.51</v>
      </c>
      <c r="P1134" s="670">
        <f t="shared" si="270"/>
        <v>41.3836666666667</v>
      </c>
      <c r="Q1134" s="675">
        <f t="shared" si="271"/>
        <v>36.515</v>
      </c>
      <c r="R1134">
        <f t="shared" si="272"/>
        <v>34</v>
      </c>
      <c r="S1134" s="667">
        <f t="shared" si="273"/>
        <v>0.0724946695095949</v>
      </c>
    </row>
    <row r="1135" spans="1:19">
      <c r="A1135" s="1010">
        <v>45782</v>
      </c>
      <c r="B1135" s="670">
        <v>1675.06</v>
      </c>
      <c r="C1135" s="37">
        <v>4238</v>
      </c>
      <c r="D1135" s="37">
        <v>657</v>
      </c>
      <c r="E1135" s="37">
        <v>1</v>
      </c>
      <c r="F1135" s="670">
        <v>13884</v>
      </c>
      <c r="G1135" s="37">
        <v>40</v>
      </c>
      <c r="H1135" s="37">
        <v>6</v>
      </c>
      <c r="I1135" s="37">
        <v>8</v>
      </c>
      <c r="J1135" s="672">
        <f t="shared" si="266"/>
        <v>0.155025955639453</v>
      </c>
      <c r="K1135" s="911">
        <f t="shared" si="267"/>
        <v>2.54955859969559</v>
      </c>
      <c r="L1135" s="671">
        <f t="shared" si="275"/>
        <v>8.28865831671701</v>
      </c>
      <c r="M1135" s="672">
        <f t="shared" si="268"/>
        <v>0.0015220700152207</v>
      </c>
      <c r="N1135" s="670">
        <f t="shared" si="274"/>
        <v>13884</v>
      </c>
      <c r="O1135" s="670">
        <f t="shared" si="269"/>
        <v>1675.06</v>
      </c>
      <c r="P1135" s="670">
        <f t="shared" si="270"/>
        <v>41.8765</v>
      </c>
      <c r="Q1135" s="675">
        <f t="shared" si="271"/>
        <v>36.414347826087</v>
      </c>
      <c r="R1135">
        <f t="shared" si="272"/>
        <v>46</v>
      </c>
      <c r="S1135" s="667">
        <f t="shared" si="273"/>
        <v>0.0700152207001522</v>
      </c>
    </row>
    <row r="1136" spans="1:19">
      <c r="A1136" s="1010">
        <v>45783</v>
      </c>
      <c r="B1136" s="670">
        <v>1738.04</v>
      </c>
      <c r="C1136" s="37">
        <v>4273</v>
      </c>
      <c r="D1136" s="37">
        <v>663</v>
      </c>
      <c r="E1136" s="37">
        <v>2</v>
      </c>
      <c r="F1136" s="670">
        <v>30346</v>
      </c>
      <c r="G1136" s="37">
        <v>59</v>
      </c>
      <c r="H1136" s="37">
        <v>5</v>
      </c>
      <c r="I1136" s="37">
        <v>3</v>
      </c>
      <c r="J1136" s="672">
        <f t="shared" si="266"/>
        <v>0.155160308916452</v>
      </c>
      <c r="K1136" s="911">
        <f t="shared" si="267"/>
        <v>2.62147812971342</v>
      </c>
      <c r="L1136" s="671">
        <f t="shared" si="275"/>
        <v>17.459897355642</v>
      </c>
      <c r="M1136" s="672">
        <f t="shared" si="268"/>
        <v>0.00301659125188537</v>
      </c>
      <c r="N1136" s="670">
        <f t="shared" si="274"/>
        <v>15173</v>
      </c>
      <c r="O1136" s="670">
        <f t="shared" si="269"/>
        <v>869.02</v>
      </c>
      <c r="P1136" s="670">
        <f t="shared" si="270"/>
        <v>29.4583050847458</v>
      </c>
      <c r="Q1136" s="675">
        <f t="shared" si="271"/>
        <v>27.156875</v>
      </c>
      <c r="R1136">
        <f t="shared" si="272"/>
        <v>64</v>
      </c>
      <c r="S1136" s="667">
        <f t="shared" si="273"/>
        <v>0.0965309200603318</v>
      </c>
    </row>
    <row r="1137" spans="1:19">
      <c r="A1137" s="1010">
        <v>45784</v>
      </c>
      <c r="B1137" s="670">
        <v>2081.98</v>
      </c>
      <c r="C1137" s="37">
        <v>4606</v>
      </c>
      <c r="D1137" s="37">
        <v>700</v>
      </c>
      <c r="E1137" s="37">
        <v>2</v>
      </c>
      <c r="F1137" s="670">
        <v>12097</v>
      </c>
      <c r="G1137" s="37">
        <v>60</v>
      </c>
      <c r="H1137" s="37">
        <v>8</v>
      </c>
      <c r="I1137" s="37">
        <v>4</v>
      </c>
      <c r="J1137" s="672">
        <f t="shared" ref="J1137:J1200" si="276">D1137/C1137</f>
        <v>0.151975683890578</v>
      </c>
      <c r="K1137" s="911">
        <f t="shared" ref="K1137:K1200" si="277">B1137/D1137</f>
        <v>2.97425714285714</v>
      </c>
      <c r="L1137" s="671">
        <f t="shared" si="275"/>
        <v>5.81033439322184</v>
      </c>
      <c r="M1137" s="672">
        <f t="shared" ref="M1137:M1200" si="278">E1137/D1137</f>
        <v>0.00285714285714286</v>
      </c>
      <c r="N1137" s="670">
        <f t="shared" si="274"/>
        <v>6048.5</v>
      </c>
      <c r="O1137" s="670">
        <f t="shared" ref="O1137:O1200" si="279">IF(E1137=0,0,B1137/E1137)</f>
        <v>1040.99</v>
      </c>
      <c r="P1137" s="670">
        <f t="shared" ref="P1137:P1200" si="280">B1137/G1137</f>
        <v>34.6996666666667</v>
      </c>
      <c r="Q1137" s="675">
        <f t="shared" ref="Q1137:Q1200" si="281">B1137/(G1137+H1137)</f>
        <v>30.6173529411765</v>
      </c>
      <c r="R1137">
        <f t="shared" ref="R1137:R1200" si="282">G1137+H1137</f>
        <v>68</v>
      </c>
      <c r="S1137" s="667">
        <f t="shared" ref="S1137:S1200" si="283">R1137/D1137</f>
        <v>0.0971428571428571</v>
      </c>
    </row>
    <row r="1138" spans="1:19">
      <c r="A1138" s="1010">
        <v>45785</v>
      </c>
      <c r="B1138" s="670">
        <v>2541.44</v>
      </c>
      <c r="C1138" s="37">
        <v>5022</v>
      </c>
      <c r="D1138" s="37">
        <v>756</v>
      </c>
      <c r="E1138" s="37">
        <v>2</v>
      </c>
      <c r="F1138" s="670">
        <v>34940</v>
      </c>
      <c r="G1138" s="37">
        <v>58</v>
      </c>
      <c r="H1138" s="37">
        <v>9</v>
      </c>
      <c r="I1138" s="37">
        <v>4</v>
      </c>
      <c r="J1138" s="672">
        <f t="shared" si="276"/>
        <v>0.150537634408602</v>
      </c>
      <c r="K1138" s="911">
        <f t="shared" si="277"/>
        <v>3.36169312169312</v>
      </c>
      <c r="L1138" s="671">
        <f t="shared" si="275"/>
        <v>13.7481113069756</v>
      </c>
      <c r="M1138" s="672">
        <f t="shared" si="278"/>
        <v>0.00264550264550265</v>
      </c>
      <c r="N1138" s="670">
        <f t="shared" si="274"/>
        <v>17470</v>
      </c>
      <c r="O1138" s="670">
        <f t="shared" si="279"/>
        <v>1270.72</v>
      </c>
      <c r="P1138" s="670">
        <f t="shared" si="280"/>
        <v>43.8179310344828</v>
      </c>
      <c r="Q1138" s="675">
        <f t="shared" si="281"/>
        <v>37.9319402985075</v>
      </c>
      <c r="R1138">
        <f t="shared" si="282"/>
        <v>67</v>
      </c>
      <c r="S1138" s="667">
        <f t="shared" si="283"/>
        <v>0.0886243386243386</v>
      </c>
    </row>
    <row r="1139" spans="1:19">
      <c r="A1139" s="1010">
        <v>45786</v>
      </c>
      <c r="B1139" s="670">
        <v>2492.52</v>
      </c>
      <c r="C1139" s="37">
        <v>4957</v>
      </c>
      <c r="D1139" s="37">
        <v>650</v>
      </c>
      <c r="E1139" s="37">
        <v>1</v>
      </c>
      <c r="F1139" s="670">
        <v>16014</v>
      </c>
      <c r="G1139" s="37">
        <v>36</v>
      </c>
      <c r="H1139" s="37">
        <v>7</v>
      </c>
      <c r="I1139" s="37">
        <v>5</v>
      </c>
      <c r="J1139" s="672">
        <f t="shared" si="276"/>
        <v>0.131127698204559</v>
      </c>
      <c r="K1139" s="911">
        <f t="shared" si="277"/>
        <v>3.83464615384615</v>
      </c>
      <c r="L1139" s="671">
        <f t="shared" si="275"/>
        <v>6.42482307062732</v>
      </c>
      <c r="M1139" s="672">
        <f t="shared" si="278"/>
        <v>0.00153846153846154</v>
      </c>
      <c r="N1139" s="670">
        <f t="shared" si="274"/>
        <v>16014</v>
      </c>
      <c r="O1139" s="670">
        <f t="shared" si="279"/>
        <v>2492.52</v>
      </c>
      <c r="P1139" s="670">
        <f t="shared" si="280"/>
        <v>69.2366666666667</v>
      </c>
      <c r="Q1139" s="675">
        <f t="shared" si="281"/>
        <v>57.9655813953488</v>
      </c>
      <c r="R1139">
        <f t="shared" si="282"/>
        <v>43</v>
      </c>
      <c r="S1139" s="667">
        <f t="shared" si="283"/>
        <v>0.0661538461538462</v>
      </c>
    </row>
    <row r="1140" spans="1:19">
      <c r="A1140" s="1010">
        <v>45787</v>
      </c>
      <c r="B1140" s="670">
        <v>2301.32</v>
      </c>
      <c r="C1140" s="37">
        <v>4500</v>
      </c>
      <c r="D1140" s="37">
        <v>592</v>
      </c>
      <c r="E1140" s="37">
        <v>3</v>
      </c>
      <c r="F1140" s="670">
        <v>36582</v>
      </c>
      <c r="G1140" s="37">
        <v>50</v>
      </c>
      <c r="H1140" s="37">
        <v>3</v>
      </c>
      <c r="I1140" s="37">
        <v>7</v>
      </c>
      <c r="J1140" s="672">
        <f t="shared" si="276"/>
        <v>0.131555555555556</v>
      </c>
      <c r="K1140" s="911">
        <f t="shared" si="277"/>
        <v>3.88736486486487</v>
      </c>
      <c r="L1140" s="671">
        <f t="shared" ref="L1140:L1203" si="284">F1140/B1140</f>
        <v>15.896094415379</v>
      </c>
      <c r="M1140" s="672">
        <f t="shared" si="278"/>
        <v>0.00506756756756757</v>
      </c>
      <c r="N1140" s="670">
        <f t="shared" ref="N1140:N1203" si="285">IF(E1140=0,0,F1140/E1140)</f>
        <v>12194</v>
      </c>
      <c r="O1140" s="670">
        <f t="shared" si="279"/>
        <v>767.106666666667</v>
      </c>
      <c r="P1140" s="670">
        <f t="shared" si="280"/>
        <v>46.0264</v>
      </c>
      <c r="Q1140" s="675">
        <f t="shared" si="281"/>
        <v>43.4211320754717</v>
      </c>
      <c r="R1140">
        <f t="shared" si="282"/>
        <v>53</v>
      </c>
      <c r="S1140" s="667">
        <f t="shared" si="283"/>
        <v>0.089527027027027</v>
      </c>
    </row>
    <row r="1141" spans="1:19">
      <c r="A1141" s="1010">
        <v>45788</v>
      </c>
      <c r="B1141" s="670">
        <v>2608.77</v>
      </c>
      <c r="C1141" s="37">
        <v>5000</v>
      </c>
      <c r="D1141" s="37">
        <v>646</v>
      </c>
      <c r="E1141" s="37">
        <v>1</v>
      </c>
      <c r="F1141" s="670">
        <v>11554</v>
      </c>
      <c r="G1141" s="37">
        <v>76</v>
      </c>
      <c r="H1141" s="37">
        <v>3</v>
      </c>
      <c r="I1141" s="37">
        <v>7</v>
      </c>
      <c r="J1141" s="672">
        <f t="shared" si="276"/>
        <v>0.1292</v>
      </c>
      <c r="K1141" s="911">
        <f t="shared" si="277"/>
        <v>4.03834365325077</v>
      </c>
      <c r="L1141" s="671">
        <f t="shared" si="284"/>
        <v>4.42890710948071</v>
      </c>
      <c r="M1141" s="672">
        <f t="shared" si="278"/>
        <v>0.00154798761609907</v>
      </c>
      <c r="N1141" s="670">
        <f t="shared" si="285"/>
        <v>11554</v>
      </c>
      <c r="O1141" s="670">
        <f t="shared" si="279"/>
        <v>2608.77</v>
      </c>
      <c r="P1141" s="670">
        <f t="shared" si="280"/>
        <v>34.3259210526316</v>
      </c>
      <c r="Q1141" s="675">
        <f t="shared" si="281"/>
        <v>33.0224050632911</v>
      </c>
      <c r="R1141">
        <f t="shared" si="282"/>
        <v>79</v>
      </c>
      <c r="S1141" s="667">
        <f t="shared" si="283"/>
        <v>0.122291021671827</v>
      </c>
    </row>
    <row r="1142" spans="1:19">
      <c r="A1142" s="1010">
        <v>45789</v>
      </c>
      <c r="B1142" s="670">
        <v>1822.55</v>
      </c>
      <c r="C1142" s="37">
        <v>5875</v>
      </c>
      <c r="D1142" s="37">
        <v>623</v>
      </c>
      <c r="E1142" s="37">
        <v>1</v>
      </c>
      <c r="F1142" s="670">
        <v>6404</v>
      </c>
      <c r="G1142" s="37">
        <v>53</v>
      </c>
      <c r="H1142" s="37">
        <v>3</v>
      </c>
      <c r="I1142" s="37">
        <v>5</v>
      </c>
      <c r="J1142" s="672">
        <f t="shared" si="276"/>
        <v>0.106042553191489</v>
      </c>
      <c r="K1142" s="911">
        <f t="shared" si="277"/>
        <v>2.92544141252006</v>
      </c>
      <c r="L1142" s="671">
        <f t="shared" si="284"/>
        <v>3.51375819593427</v>
      </c>
      <c r="M1142" s="672">
        <f t="shared" si="278"/>
        <v>0.00160513643659711</v>
      </c>
      <c r="N1142" s="670">
        <f t="shared" si="285"/>
        <v>6404</v>
      </c>
      <c r="O1142" s="670">
        <f t="shared" si="279"/>
        <v>1822.55</v>
      </c>
      <c r="P1142" s="670">
        <f t="shared" si="280"/>
        <v>34.3877358490566</v>
      </c>
      <c r="Q1142" s="675">
        <f t="shared" si="281"/>
        <v>32.5455357142857</v>
      </c>
      <c r="R1142">
        <f t="shared" si="282"/>
        <v>56</v>
      </c>
      <c r="S1142" s="667">
        <f t="shared" si="283"/>
        <v>0.0898876404494382</v>
      </c>
    </row>
    <row r="1143" spans="1:19">
      <c r="A1143" s="1010">
        <v>45790</v>
      </c>
      <c r="B1143" s="670">
        <v>2224.62</v>
      </c>
      <c r="C1143" s="37">
        <v>5921</v>
      </c>
      <c r="D1143" s="37">
        <v>690</v>
      </c>
      <c r="E1143" s="37">
        <v>7</v>
      </c>
      <c r="F1143" s="670">
        <v>93083</v>
      </c>
      <c r="G1143" s="37">
        <v>39</v>
      </c>
      <c r="H1143" s="37">
        <v>10</v>
      </c>
      <c r="I1143" s="37">
        <v>9</v>
      </c>
      <c r="J1143" s="672">
        <f t="shared" si="276"/>
        <v>0.116534369194393</v>
      </c>
      <c r="K1143" s="911">
        <f t="shared" si="277"/>
        <v>3.22408695652174</v>
      </c>
      <c r="L1143" s="671">
        <f t="shared" si="284"/>
        <v>41.8422022637574</v>
      </c>
      <c r="M1143" s="672">
        <f t="shared" si="278"/>
        <v>0.0101449275362319</v>
      </c>
      <c r="N1143" s="670">
        <f t="shared" si="285"/>
        <v>13297.5714285714</v>
      </c>
      <c r="O1143" s="670">
        <f t="shared" si="279"/>
        <v>317.802857142857</v>
      </c>
      <c r="P1143" s="670">
        <f t="shared" si="280"/>
        <v>57.0415384615385</v>
      </c>
      <c r="Q1143" s="675">
        <f t="shared" si="281"/>
        <v>45.4004081632653</v>
      </c>
      <c r="R1143">
        <f t="shared" si="282"/>
        <v>49</v>
      </c>
      <c r="S1143" s="667">
        <f t="shared" si="283"/>
        <v>0.0710144927536232</v>
      </c>
    </row>
    <row r="1144" spans="1:19">
      <c r="A1144" s="1010">
        <v>45791</v>
      </c>
      <c r="B1144" s="670">
        <v>4172.62</v>
      </c>
      <c r="C1144" s="37">
        <v>6621</v>
      </c>
      <c r="D1144" s="37">
        <v>939</v>
      </c>
      <c r="E1144" s="37">
        <v>10</v>
      </c>
      <c r="F1144" s="670">
        <v>139758.99</v>
      </c>
      <c r="G1144" s="37">
        <v>83</v>
      </c>
      <c r="H1144" s="37">
        <v>12</v>
      </c>
      <c r="I1144" s="37">
        <v>9</v>
      </c>
      <c r="J1144" s="672">
        <f t="shared" si="276"/>
        <v>0.14182147711826</v>
      </c>
      <c r="K1144" s="911">
        <f t="shared" si="277"/>
        <v>4.44368477103301</v>
      </c>
      <c r="L1144" s="671">
        <f t="shared" si="284"/>
        <v>33.4943009428129</v>
      </c>
      <c r="M1144" s="672">
        <f t="shared" si="278"/>
        <v>0.0106496272630458</v>
      </c>
      <c r="N1144" s="670">
        <f t="shared" si="285"/>
        <v>13975.899</v>
      </c>
      <c r="O1144" s="670">
        <f t="shared" si="279"/>
        <v>417.262</v>
      </c>
      <c r="P1144" s="670">
        <f t="shared" si="280"/>
        <v>50.2725301204819</v>
      </c>
      <c r="Q1144" s="675">
        <f t="shared" si="281"/>
        <v>43.9223157894737</v>
      </c>
      <c r="R1144">
        <f t="shared" si="282"/>
        <v>95</v>
      </c>
      <c r="S1144" s="667">
        <f t="shared" si="283"/>
        <v>0.101171458998935</v>
      </c>
    </row>
    <row r="1145" spans="1:19">
      <c r="A1145" s="1010">
        <v>45792</v>
      </c>
      <c r="B1145" s="670">
        <v>4666.27</v>
      </c>
      <c r="C1145" s="37">
        <v>6475</v>
      </c>
      <c r="D1145" s="37">
        <v>963</v>
      </c>
      <c r="E1145" s="37">
        <v>11</v>
      </c>
      <c r="F1145" s="670">
        <v>124955</v>
      </c>
      <c r="G1145" s="37">
        <v>94</v>
      </c>
      <c r="H1145" s="37">
        <v>7</v>
      </c>
      <c r="I1145" s="37">
        <v>9</v>
      </c>
      <c r="J1145" s="672">
        <f t="shared" si="276"/>
        <v>0.148725868725869</v>
      </c>
      <c r="K1145" s="911">
        <f t="shared" si="277"/>
        <v>4.84555555555556</v>
      </c>
      <c r="L1145" s="671">
        <f t="shared" si="284"/>
        <v>26.7783475881164</v>
      </c>
      <c r="M1145" s="672">
        <f t="shared" si="278"/>
        <v>0.0114226375908619</v>
      </c>
      <c r="N1145" s="670">
        <f t="shared" si="285"/>
        <v>11359.5454545455</v>
      </c>
      <c r="O1145" s="670">
        <f t="shared" si="279"/>
        <v>424.206363636364</v>
      </c>
      <c r="P1145" s="670">
        <f t="shared" si="280"/>
        <v>49.641170212766</v>
      </c>
      <c r="Q1145" s="675">
        <f t="shared" si="281"/>
        <v>46.2006930693069</v>
      </c>
      <c r="R1145">
        <f t="shared" si="282"/>
        <v>101</v>
      </c>
      <c r="S1145" s="667">
        <f t="shared" si="283"/>
        <v>0.104880581516096</v>
      </c>
    </row>
    <row r="1146" spans="1:19">
      <c r="A1146" s="1010">
        <v>45793</v>
      </c>
      <c r="B1146" s="670">
        <v>4618.54</v>
      </c>
      <c r="C1146" s="37">
        <v>8462</v>
      </c>
      <c r="D1146" s="37">
        <v>895</v>
      </c>
      <c r="E1146" s="37">
        <v>7</v>
      </c>
      <c r="F1146" s="670">
        <v>87272</v>
      </c>
      <c r="G1146" s="37">
        <v>85</v>
      </c>
      <c r="H1146" s="37">
        <v>6</v>
      </c>
      <c r="I1146" s="37">
        <v>9</v>
      </c>
      <c r="J1146" s="672">
        <f t="shared" si="276"/>
        <v>0.105766958165918</v>
      </c>
      <c r="K1146" s="911">
        <f t="shared" si="277"/>
        <v>5.16037988826816</v>
      </c>
      <c r="L1146" s="671">
        <f t="shared" si="284"/>
        <v>18.8960147579105</v>
      </c>
      <c r="M1146" s="672">
        <f t="shared" si="278"/>
        <v>0.00782122905027933</v>
      </c>
      <c r="N1146" s="670">
        <f t="shared" si="285"/>
        <v>12467.4285714286</v>
      </c>
      <c r="O1146" s="670">
        <f t="shared" si="279"/>
        <v>659.791428571429</v>
      </c>
      <c r="P1146" s="670">
        <f t="shared" si="280"/>
        <v>54.3357647058824</v>
      </c>
      <c r="Q1146" s="675">
        <f t="shared" si="281"/>
        <v>50.7531868131868</v>
      </c>
      <c r="R1146">
        <f t="shared" si="282"/>
        <v>91</v>
      </c>
      <c r="S1146" s="667">
        <f t="shared" si="283"/>
        <v>0.101675977653631</v>
      </c>
    </row>
    <row r="1147" spans="1:19">
      <c r="A1147" s="1010">
        <v>45794</v>
      </c>
      <c r="B1147" s="670">
        <v>3394.39</v>
      </c>
      <c r="C1147" s="37">
        <v>6923</v>
      </c>
      <c r="D1147" s="37">
        <v>700</v>
      </c>
      <c r="E1147" s="37">
        <v>5</v>
      </c>
      <c r="F1147" s="670">
        <v>57728</v>
      </c>
      <c r="G1147" s="37">
        <v>84</v>
      </c>
      <c r="H1147" s="37">
        <v>3</v>
      </c>
      <c r="I1147" s="37">
        <v>6</v>
      </c>
      <c r="J1147" s="672">
        <f t="shared" si="276"/>
        <v>0.101112234580384</v>
      </c>
      <c r="K1147" s="911">
        <f t="shared" si="277"/>
        <v>4.84912857142857</v>
      </c>
      <c r="L1147" s="671">
        <f t="shared" si="284"/>
        <v>17.0068848894794</v>
      </c>
      <c r="M1147" s="672">
        <f t="shared" si="278"/>
        <v>0.00714285714285714</v>
      </c>
      <c r="N1147" s="670">
        <f t="shared" si="285"/>
        <v>11545.6</v>
      </c>
      <c r="O1147" s="670">
        <f t="shared" si="279"/>
        <v>678.878</v>
      </c>
      <c r="P1147" s="670">
        <f t="shared" si="280"/>
        <v>40.4094047619048</v>
      </c>
      <c r="Q1147" s="675">
        <f t="shared" si="281"/>
        <v>39.0159770114943</v>
      </c>
      <c r="R1147">
        <f t="shared" si="282"/>
        <v>87</v>
      </c>
      <c r="S1147" s="667">
        <f t="shared" si="283"/>
        <v>0.124285714285714</v>
      </c>
    </row>
    <row r="1148" spans="1:19">
      <c r="A1148" s="1010">
        <v>45795</v>
      </c>
      <c r="B1148" s="670">
        <v>3716.18</v>
      </c>
      <c r="C1148" s="37">
        <v>7972</v>
      </c>
      <c r="D1148" s="37">
        <v>864</v>
      </c>
      <c r="E1148" s="37">
        <v>3</v>
      </c>
      <c r="F1148" s="670">
        <v>24070</v>
      </c>
      <c r="G1148" s="37">
        <v>71</v>
      </c>
      <c r="H1148" s="37">
        <v>5</v>
      </c>
      <c r="I1148" s="37">
        <v>8</v>
      </c>
      <c r="J1148" s="672">
        <f t="shared" si="276"/>
        <v>0.108379327646764</v>
      </c>
      <c r="K1148" s="911">
        <f t="shared" si="277"/>
        <v>4.30113425925926</v>
      </c>
      <c r="L1148" s="671">
        <f t="shared" si="284"/>
        <v>6.47708130391962</v>
      </c>
      <c r="M1148" s="672">
        <f t="shared" si="278"/>
        <v>0.00347222222222222</v>
      </c>
      <c r="N1148" s="670">
        <f t="shared" si="285"/>
        <v>8023.33333333333</v>
      </c>
      <c r="O1148" s="670">
        <f t="shared" si="279"/>
        <v>1238.72666666667</v>
      </c>
      <c r="P1148" s="670">
        <f t="shared" si="280"/>
        <v>52.3405633802817</v>
      </c>
      <c r="Q1148" s="675">
        <f t="shared" si="281"/>
        <v>48.8971052631579</v>
      </c>
      <c r="R1148">
        <f t="shared" si="282"/>
        <v>76</v>
      </c>
      <c r="S1148" s="667">
        <f t="shared" si="283"/>
        <v>0.087962962962963</v>
      </c>
    </row>
    <row r="1149" spans="1:19">
      <c r="A1149" s="1010">
        <v>45796</v>
      </c>
      <c r="B1149" s="670">
        <v>3092</v>
      </c>
      <c r="C1149" s="37">
        <v>6165</v>
      </c>
      <c r="D1149" s="37">
        <v>738</v>
      </c>
      <c r="E1149" s="37">
        <v>3</v>
      </c>
      <c r="F1149" s="670">
        <v>15106</v>
      </c>
      <c r="G1149" s="37">
        <v>53</v>
      </c>
      <c r="H1149" s="37">
        <v>4</v>
      </c>
      <c r="I1149" s="37">
        <v>2</v>
      </c>
      <c r="J1149" s="672">
        <f t="shared" si="276"/>
        <v>0.11970802919708</v>
      </c>
      <c r="K1149" s="911">
        <f t="shared" si="277"/>
        <v>4.18970189701897</v>
      </c>
      <c r="L1149" s="671">
        <f t="shared" si="284"/>
        <v>4.88551099611902</v>
      </c>
      <c r="M1149" s="672">
        <f t="shared" si="278"/>
        <v>0.0040650406504065</v>
      </c>
      <c r="N1149" s="670">
        <f t="shared" si="285"/>
        <v>5035.33333333333</v>
      </c>
      <c r="O1149" s="670">
        <f t="shared" si="279"/>
        <v>1030.66666666667</v>
      </c>
      <c r="P1149" s="670">
        <f t="shared" si="280"/>
        <v>58.3396226415094</v>
      </c>
      <c r="Q1149" s="675">
        <f t="shared" si="281"/>
        <v>54.2456140350877</v>
      </c>
      <c r="R1149">
        <f t="shared" si="282"/>
        <v>57</v>
      </c>
      <c r="S1149" s="667">
        <f t="shared" si="283"/>
        <v>0.0772357723577236</v>
      </c>
    </row>
    <row r="1150" spans="1:19">
      <c r="A1150" s="1010">
        <v>45797</v>
      </c>
      <c r="B1150" s="670">
        <v>1965.59</v>
      </c>
      <c r="C1150" s="37">
        <v>5292</v>
      </c>
      <c r="D1150" s="37">
        <v>565</v>
      </c>
      <c r="E1150" s="37">
        <v>1</v>
      </c>
      <c r="F1150" s="670">
        <v>38136</v>
      </c>
      <c r="G1150" s="37">
        <v>61</v>
      </c>
      <c r="H1150" s="37">
        <v>4</v>
      </c>
      <c r="I1150" s="37">
        <v>2</v>
      </c>
      <c r="J1150" s="672">
        <f t="shared" si="276"/>
        <v>0.1067649281935</v>
      </c>
      <c r="K1150" s="911">
        <f t="shared" si="277"/>
        <v>3.4789203539823</v>
      </c>
      <c r="L1150" s="671">
        <f t="shared" si="284"/>
        <v>19.4018081085069</v>
      </c>
      <c r="M1150" s="672">
        <f t="shared" si="278"/>
        <v>0.00176991150442478</v>
      </c>
      <c r="N1150" s="670">
        <f t="shared" si="285"/>
        <v>38136</v>
      </c>
      <c r="O1150" s="670">
        <f t="shared" si="279"/>
        <v>1965.59</v>
      </c>
      <c r="P1150" s="670">
        <f t="shared" si="280"/>
        <v>32.2227868852459</v>
      </c>
      <c r="Q1150" s="675">
        <f t="shared" si="281"/>
        <v>30.2398461538462</v>
      </c>
      <c r="R1150">
        <f t="shared" si="282"/>
        <v>65</v>
      </c>
      <c r="S1150" s="667">
        <f t="shared" si="283"/>
        <v>0.115044247787611</v>
      </c>
    </row>
    <row r="1151" spans="1:19">
      <c r="A1151" s="1010">
        <v>45798</v>
      </c>
      <c r="B1151" s="670">
        <v>1994.67</v>
      </c>
      <c r="C1151" s="37">
        <v>5535</v>
      </c>
      <c r="D1151" s="37">
        <v>566</v>
      </c>
      <c r="E1151" s="37">
        <v>3</v>
      </c>
      <c r="F1151" s="670">
        <v>35816</v>
      </c>
      <c r="G1151" s="37">
        <v>72</v>
      </c>
      <c r="H1151" s="37">
        <v>4</v>
      </c>
      <c r="I1151" s="37">
        <v>9</v>
      </c>
      <c r="J1151" s="672">
        <f t="shared" si="276"/>
        <v>0.102258355916893</v>
      </c>
      <c r="K1151" s="911">
        <f t="shared" si="277"/>
        <v>3.5241519434629</v>
      </c>
      <c r="L1151" s="671">
        <f t="shared" si="284"/>
        <v>17.9558523465034</v>
      </c>
      <c r="M1151" s="672">
        <f t="shared" si="278"/>
        <v>0.00530035335689046</v>
      </c>
      <c r="N1151" s="670">
        <f t="shared" si="285"/>
        <v>11938.6666666667</v>
      </c>
      <c r="O1151" s="670">
        <f t="shared" si="279"/>
        <v>664.89</v>
      </c>
      <c r="P1151" s="670">
        <f t="shared" si="280"/>
        <v>27.70375</v>
      </c>
      <c r="Q1151" s="675">
        <f t="shared" si="281"/>
        <v>26.2456578947368</v>
      </c>
      <c r="R1151">
        <f t="shared" si="282"/>
        <v>76</v>
      </c>
      <c r="S1151" s="667">
        <f t="shared" si="283"/>
        <v>0.134275618374558</v>
      </c>
    </row>
    <row r="1152" spans="1:19">
      <c r="A1152" s="1010">
        <v>45799</v>
      </c>
      <c r="B1152" s="670">
        <v>1925.99</v>
      </c>
      <c r="C1152" s="37">
        <v>7434</v>
      </c>
      <c r="D1152" s="37">
        <v>593</v>
      </c>
      <c r="E1152" s="37">
        <v>7</v>
      </c>
      <c r="F1152" s="670">
        <v>76613</v>
      </c>
      <c r="G1152" s="37">
        <v>29</v>
      </c>
      <c r="H1152" s="37">
        <v>4</v>
      </c>
      <c r="I1152" s="37">
        <v>1</v>
      </c>
      <c r="J1152" s="672">
        <f t="shared" si="276"/>
        <v>0.0797686306160882</v>
      </c>
      <c r="K1152" s="911">
        <f t="shared" si="277"/>
        <v>3.24787521079258</v>
      </c>
      <c r="L1152" s="671">
        <f t="shared" si="284"/>
        <v>39.7785035228636</v>
      </c>
      <c r="M1152" s="672">
        <f t="shared" si="278"/>
        <v>0.0118043844856661</v>
      </c>
      <c r="N1152" s="670">
        <f t="shared" si="285"/>
        <v>10944.7142857143</v>
      </c>
      <c r="O1152" s="670">
        <f t="shared" si="279"/>
        <v>275.141428571429</v>
      </c>
      <c r="P1152" s="670">
        <f t="shared" si="280"/>
        <v>66.4134482758621</v>
      </c>
      <c r="Q1152" s="675">
        <f t="shared" si="281"/>
        <v>58.3633333333333</v>
      </c>
      <c r="R1152">
        <f t="shared" si="282"/>
        <v>33</v>
      </c>
      <c r="S1152" s="667">
        <f t="shared" si="283"/>
        <v>0.0556492411467116</v>
      </c>
    </row>
    <row r="1153" spans="1:19">
      <c r="A1153" s="1010">
        <v>45800</v>
      </c>
      <c r="B1153" s="670">
        <v>2394.12</v>
      </c>
      <c r="C1153" s="37">
        <v>8282</v>
      </c>
      <c r="D1153" s="37">
        <v>675</v>
      </c>
      <c r="E1153" s="37">
        <v>2</v>
      </c>
      <c r="F1153" s="670">
        <v>16580</v>
      </c>
      <c r="G1153" s="37">
        <v>50</v>
      </c>
      <c r="H1153" s="37">
        <v>6</v>
      </c>
      <c r="I1153" s="37">
        <v>1</v>
      </c>
      <c r="J1153" s="672">
        <f t="shared" si="276"/>
        <v>0.0815020526442888</v>
      </c>
      <c r="K1153" s="911">
        <f t="shared" si="277"/>
        <v>3.54684444444444</v>
      </c>
      <c r="L1153" s="671">
        <f t="shared" si="284"/>
        <v>6.92530031911517</v>
      </c>
      <c r="M1153" s="672">
        <f t="shared" si="278"/>
        <v>0.00296296296296296</v>
      </c>
      <c r="N1153" s="670">
        <f t="shared" si="285"/>
        <v>8290</v>
      </c>
      <c r="O1153" s="670">
        <f t="shared" si="279"/>
        <v>1197.06</v>
      </c>
      <c r="P1153" s="670">
        <f t="shared" si="280"/>
        <v>47.8824</v>
      </c>
      <c r="Q1153" s="675">
        <f t="shared" si="281"/>
        <v>42.7521428571429</v>
      </c>
      <c r="R1153">
        <f t="shared" si="282"/>
        <v>56</v>
      </c>
      <c r="S1153" s="667">
        <f t="shared" si="283"/>
        <v>0.082962962962963</v>
      </c>
    </row>
    <row r="1154" spans="1:19">
      <c r="A1154" s="1010">
        <v>45801</v>
      </c>
      <c r="B1154" s="670">
        <v>2415.19</v>
      </c>
      <c r="C1154" s="37">
        <v>8544</v>
      </c>
      <c r="D1154" s="37">
        <v>709</v>
      </c>
      <c r="E1154" s="37">
        <v>1</v>
      </c>
      <c r="F1154" s="670">
        <v>3794</v>
      </c>
      <c r="G1154" s="37">
        <v>46</v>
      </c>
      <c r="H1154" s="37">
        <v>2</v>
      </c>
      <c r="I1154" s="37">
        <v>5</v>
      </c>
      <c r="J1154" s="672">
        <f t="shared" si="276"/>
        <v>0.0829822097378277</v>
      </c>
      <c r="K1154" s="911">
        <f t="shared" si="277"/>
        <v>3.40647390691114</v>
      </c>
      <c r="L1154" s="671">
        <f t="shared" si="284"/>
        <v>1.57089090299314</v>
      </c>
      <c r="M1154" s="672">
        <f t="shared" si="278"/>
        <v>0.00141043723554302</v>
      </c>
      <c r="N1154" s="670">
        <f t="shared" si="285"/>
        <v>3794</v>
      </c>
      <c r="O1154" s="670">
        <f t="shared" si="279"/>
        <v>2415.19</v>
      </c>
      <c r="P1154" s="670">
        <f t="shared" si="280"/>
        <v>52.5041304347826</v>
      </c>
      <c r="Q1154" s="675">
        <f t="shared" si="281"/>
        <v>50.3164583333333</v>
      </c>
      <c r="R1154">
        <f t="shared" si="282"/>
        <v>48</v>
      </c>
      <c r="S1154" s="667">
        <f t="shared" si="283"/>
        <v>0.0677009873060649</v>
      </c>
    </row>
    <row r="1155" spans="1:19">
      <c r="A1155" s="1010">
        <v>45802</v>
      </c>
      <c r="B1155" s="670">
        <v>2447.29</v>
      </c>
      <c r="C1155" s="37">
        <v>7620</v>
      </c>
      <c r="D1155" s="37">
        <v>689</v>
      </c>
      <c r="E1155" s="37">
        <v>3</v>
      </c>
      <c r="F1155" s="670">
        <v>23548</v>
      </c>
      <c r="G1155" s="37">
        <v>59</v>
      </c>
      <c r="H1155" s="37">
        <v>5</v>
      </c>
      <c r="I1155" s="37">
        <v>2</v>
      </c>
      <c r="J1155" s="672">
        <f t="shared" si="276"/>
        <v>0.0904199475065617</v>
      </c>
      <c r="K1155" s="911">
        <f t="shared" si="277"/>
        <v>3.55194484760522</v>
      </c>
      <c r="L1155" s="671">
        <f t="shared" si="284"/>
        <v>9.62207176100912</v>
      </c>
      <c r="M1155" s="672">
        <f t="shared" si="278"/>
        <v>0.00435413642960813</v>
      </c>
      <c r="N1155" s="670">
        <f t="shared" si="285"/>
        <v>7849.33333333333</v>
      </c>
      <c r="O1155" s="670">
        <f t="shared" si="279"/>
        <v>815.763333333333</v>
      </c>
      <c r="P1155" s="670">
        <f t="shared" si="280"/>
        <v>41.4794915254237</v>
      </c>
      <c r="Q1155" s="675">
        <f t="shared" si="281"/>
        <v>38.23890625</v>
      </c>
      <c r="R1155">
        <f t="shared" si="282"/>
        <v>64</v>
      </c>
      <c r="S1155" s="667">
        <f t="shared" si="283"/>
        <v>0.0928882438316401</v>
      </c>
    </row>
    <row r="1156" spans="1:19">
      <c r="A1156" s="1010">
        <v>45803</v>
      </c>
      <c r="B1156" s="670">
        <v>2608.07</v>
      </c>
      <c r="C1156" s="37">
        <v>9413</v>
      </c>
      <c r="D1156" s="37">
        <v>761</v>
      </c>
      <c r="E1156" s="37">
        <v>2</v>
      </c>
      <c r="F1156" s="670">
        <v>29068</v>
      </c>
      <c r="G1156" s="37">
        <v>32</v>
      </c>
      <c r="H1156" s="37">
        <v>12</v>
      </c>
      <c r="I1156" s="37">
        <v>7</v>
      </c>
      <c r="J1156" s="672">
        <f t="shared" si="276"/>
        <v>0.08084563900988</v>
      </c>
      <c r="K1156" s="911">
        <f t="shared" si="277"/>
        <v>3.42716162943495</v>
      </c>
      <c r="L1156" s="671">
        <f t="shared" si="284"/>
        <v>11.1454063732952</v>
      </c>
      <c r="M1156" s="672">
        <f t="shared" si="278"/>
        <v>0.0026281208935611</v>
      </c>
      <c r="N1156" s="670">
        <f t="shared" si="285"/>
        <v>14534</v>
      </c>
      <c r="O1156" s="670">
        <f t="shared" si="279"/>
        <v>1304.035</v>
      </c>
      <c r="P1156" s="670">
        <f t="shared" si="280"/>
        <v>81.5021875</v>
      </c>
      <c r="Q1156" s="675">
        <f t="shared" si="281"/>
        <v>59.2743181818182</v>
      </c>
      <c r="R1156">
        <f t="shared" si="282"/>
        <v>44</v>
      </c>
      <c r="S1156" s="667">
        <f t="shared" si="283"/>
        <v>0.0578186596583443</v>
      </c>
    </row>
    <row r="1157" spans="1:19">
      <c r="A1157" s="1010">
        <v>45804</v>
      </c>
      <c r="B1157" s="670">
        <v>2661.39</v>
      </c>
      <c r="C1157" s="37">
        <v>10532</v>
      </c>
      <c r="D1157" s="37">
        <v>746</v>
      </c>
      <c r="E1157" s="37">
        <v>0</v>
      </c>
      <c r="F1157" s="670">
        <v>0</v>
      </c>
      <c r="G1157" s="37">
        <v>43</v>
      </c>
      <c r="H1157" s="37">
        <v>8</v>
      </c>
      <c r="I1157" s="37">
        <v>5</v>
      </c>
      <c r="J1157" s="672">
        <f t="shared" si="276"/>
        <v>0.0708317508545385</v>
      </c>
      <c r="K1157" s="911">
        <f t="shared" si="277"/>
        <v>3.56754691689008</v>
      </c>
      <c r="L1157" s="671">
        <f t="shared" si="284"/>
        <v>0</v>
      </c>
      <c r="M1157" s="672">
        <f t="shared" si="278"/>
        <v>0</v>
      </c>
      <c r="N1157" s="670">
        <f t="shared" si="285"/>
        <v>0</v>
      </c>
      <c r="O1157" s="670">
        <f t="shared" si="279"/>
        <v>0</v>
      </c>
      <c r="P1157" s="670">
        <f t="shared" si="280"/>
        <v>61.8927906976744</v>
      </c>
      <c r="Q1157" s="675">
        <f t="shared" si="281"/>
        <v>52.1841176470588</v>
      </c>
      <c r="R1157">
        <f t="shared" si="282"/>
        <v>51</v>
      </c>
      <c r="S1157" s="667">
        <f t="shared" si="283"/>
        <v>0.0683646112600536</v>
      </c>
    </row>
    <row r="1158" spans="1:19">
      <c r="A1158" s="1010">
        <v>45805</v>
      </c>
      <c r="B1158" s="670">
        <v>2976.94</v>
      </c>
      <c r="C1158" s="37">
        <v>11748</v>
      </c>
      <c r="D1158" s="37">
        <v>700</v>
      </c>
      <c r="E1158" s="37">
        <v>1</v>
      </c>
      <c r="F1158" s="670">
        <v>7736</v>
      </c>
      <c r="G1158" s="37">
        <v>66</v>
      </c>
      <c r="H1158" s="37">
        <v>7</v>
      </c>
      <c r="I1158" s="37">
        <v>5</v>
      </c>
      <c r="J1158" s="672">
        <f t="shared" si="276"/>
        <v>0.0595846101464079</v>
      </c>
      <c r="K1158" s="911">
        <f t="shared" si="277"/>
        <v>4.25277142857143</v>
      </c>
      <c r="L1158" s="671">
        <f t="shared" si="284"/>
        <v>2.59864155811001</v>
      </c>
      <c r="M1158" s="672">
        <f t="shared" si="278"/>
        <v>0.00142857142857143</v>
      </c>
      <c r="N1158" s="670">
        <f t="shared" si="285"/>
        <v>7736</v>
      </c>
      <c r="O1158" s="670">
        <f t="shared" si="279"/>
        <v>2976.94</v>
      </c>
      <c r="P1158" s="670">
        <f t="shared" si="280"/>
        <v>45.1051515151515</v>
      </c>
      <c r="Q1158" s="675">
        <f t="shared" si="281"/>
        <v>40.78</v>
      </c>
      <c r="R1158">
        <f t="shared" si="282"/>
        <v>73</v>
      </c>
      <c r="S1158" s="667">
        <f t="shared" si="283"/>
        <v>0.104285714285714</v>
      </c>
    </row>
    <row r="1159" spans="1:19">
      <c r="A1159" s="1010">
        <v>45806</v>
      </c>
      <c r="B1159" s="670">
        <v>2763.18</v>
      </c>
      <c r="C1159" s="37">
        <v>10993</v>
      </c>
      <c r="D1159" s="37">
        <v>649</v>
      </c>
      <c r="E1159" s="37">
        <v>6</v>
      </c>
      <c r="F1159" s="670">
        <v>72987</v>
      </c>
      <c r="G1159" s="37">
        <v>53</v>
      </c>
      <c r="H1159" s="37">
        <v>5</v>
      </c>
      <c r="I1159" s="37">
        <v>3</v>
      </c>
      <c r="J1159" s="672">
        <f t="shared" si="276"/>
        <v>0.0590375693623215</v>
      </c>
      <c r="K1159" s="911">
        <f t="shared" si="277"/>
        <v>4.25759630200308</v>
      </c>
      <c r="L1159" s="671">
        <f t="shared" si="284"/>
        <v>26.4141315440905</v>
      </c>
      <c r="M1159" s="672">
        <f t="shared" si="278"/>
        <v>0.00924499229583975</v>
      </c>
      <c r="N1159" s="670">
        <f t="shared" si="285"/>
        <v>12164.5</v>
      </c>
      <c r="O1159" s="670">
        <f t="shared" si="279"/>
        <v>460.53</v>
      </c>
      <c r="P1159" s="670">
        <f t="shared" si="280"/>
        <v>52.1354716981132</v>
      </c>
      <c r="Q1159" s="675">
        <f t="shared" si="281"/>
        <v>47.6410344827586</v>
      </c>
      <c r="R1159">
        <f t="shared" si="282"/>
        <v>58</v>
      </c>
      <c r="S1159" s="667">
        <f t="shared" si="283"/>
        <v>0.0893682588597843</v>
      </c>
    </row>
    <row r="1160" spans="1:19">
      <c r="A1160" s="1010">
        <v>45807</v>
      </c>
      <c r="B1160" s="670">
        <v>2140.73</v>
      </c>
      <c r="C1160" s="37">
        <v>11125</v>
      </c>
      <c r="D1160" s="37">
        <v>564</v>
      </c>
      <c r="E1160" s="37">
        <v>1</v>
      </c>
      <c r="F1160" s="670">
        <v>10198</v>
      </c>
      <c r="G1160" s="37">
        <v>39</v>
      </c>
      <c r="H1160" s="37">
        <v>2</v>
      </c>
      <c r="I1160" s="37">
        <v>2</v>
      </c>
      <c r="J1160" s="672">
        <f t="shared" si="276"/>
        <v>0.0506966292134831</v>
      </c>
      <c r="K1160" s="911">
        <f t="shared" si="277"/>
        <v>3.79562056737589</v>
      </c>
      <c r="L1160" s="671">
        <f t="shared" si="284"/>
        <v>4.76379552769382</v>
      </c>
      <c r="M1160" s="672">
        <f t="shared" si="278"/>
        <v>0.00177304964539007</v>
      </c>
      <c r="N1160" s="670">
        <f t="shared" si="285"/>
        <v>10198</v>
      </c>
      <c r="O1160" s="670">
        <f t="shared" si="279"/>
        <v>2140.73</v>
      </c>
      <c r="P1160" s="670">
        <f t="shared" si="280"/>
        <v>54.8905128205128</v>
      </c>
      <c r="Q1160" s="675">
        <f t="shared" si="281"/>
        <v>52.2129268292683</v>
      </c>
      <c r="R1160">
        <f t="shared" si="282"/>
        <v>41</v>
      </c>
      <c r="S1160" s="667">
        <f t="shared" si="283"/>
        <v>0.0726950354609929</v>
      </c>
    </row>
    <row r="1161" spans="1:19">
      <c r="A1161" s="1010">
        <v>45808</v>
      </c>
      <c r="B1161" s="670">
        <v>2165.36</v>
      </c>
      <c r="C1161" s="37">
        <v>10117</v>
      </c>
      <c r="D1161" s="37">
        <v>567</v>
      </c>
      <c r="E1161" s="37">
        <v>2</v>
      </c>
      <c r="F1161" s="670">
        <v>35755</v>
      </c>
      <c r="G1161" s="37">
        <v>43</v>
      </c>
      <c r="H1161" s="37">
        <v>2</v>
      </c>
      <c r="I1161" s="37">
        <v>4</v>
      </c>
      <c r="J1161" s="672">
        <f t="shared" si="276"/>
        <v>0.0560442819017495</v>
      </c>
      <c r="K1161" s="911">
        <f t="shared" si="277"/>
        <v>3.81897707231041</v>
      </c>
      <c r="L1161" s="671">
        <f t="shared" si="284"/>
        <v>16.5122658587948</v>
      </c>
      <c r="M1161" s="672">
        <f t="shared" si="278"/>
        <v>0.00352733686067019</v>
      </c>
      <c r="N1161" s="670">
        <f t="shared" si="285"/>
        <v>17877.5</v>
      </c>
      <c r="O1161" s="670">
        <f t="shared" si="279"/>
        <v>1082.68</v>
      </c>
      <c r="P1161" s="670">
        <f t="shared" si="280"/>
        <v>50.3572093023256</v>
      </c>
      <c r="Q1161" s="675">
        <f t="shared" si="281"/>
        <v>48.1191111111111</v>
      </c>
      <c r="R1161">
        <f t="shared" si="282"/>
        <v>45</v>
      </c>
      <c r="S1161" s="667">
        <f t="shared" si="283"/>
        <v>0.0793650793650794</v>
      </c>
    </row>
    <row r="1162" spans="1:19">
      <c r="A1162" s="1010">
        <v>45809</v>
      </c>
      <c r="B1162" s="670">
        <v>2154.57</v>
      </c>
      <c r="C1162" s="37">
        <v>10237</v>
      </c>
      <c r="D1162" s="37">
        <v>563</v>
      </c>
      <c r="E1162" s="37">
        <v>3</v>
      </c>
      <c r="F1162" s="670">
        <v>35835</v>
      </c>
      <c r="G1162" s="37">
        <v>38</v>
      </c>
      <c r="H1162" s="37">
        <v>1</v>
      </c>
      <c r="I1162" s="37">
        <v>3</v>
      </c>
      <c r="J1162" s="672">
        <f t="shared" si="276"/>
        <v>0.0549965810295985</v>
      </c>
      <c r="K1162" s="911">
        <f t="shared" si="277"/>
        <v>3.82694493783304</v>
      </c>
      <c r="L1162" s="671">
        <f t="shared" si="284"/>
        <v>16.6320890015177</v>
      </c>
      <c r="M1162" s="672">
        <f t="shared" si="278"/>
        <v>0.00532859680284192</v>
      </c>
      <c r="N1162" s="670">
        <f t="shared" si="285"/>
        <v>11945</v>
      </c>
      <c r="O1162" s="670">
        <f t="shared" si="279"/>
        <v>718.19</v>
      </c>
      <c r="P1162" s="670">
        <f t="shared" si="280"/>
        <v>56.6992105263158</v>
      </c>
      <c r="Q1162" s="675">
        <f t="shared" si="281"/>
        <v>55.2453846153846</v>
      </c>
      <c r="R1162">
        <f t="shared" si="282"/>
        <v>39</v>
      </c>
      <c r="S1162" s="667">
        <f t="shared" si="283"/>
        <v>0.0692717584369449</v>
      </c>
    </row>
    <row r="1163" spans="1:19">
      <c r="A1163" s="1010">
        <v>45810</v>
      </c>
      <c r="B1163" s="670">
        <v>1422.57</v>
      </c>
      <c r="C1163" s="37">
        <v>8709</v>
      </c>
      <c r="D1163" s="37">
        <v>497</v>
      </c>
      <c r="E1163" s="37">
        <v>2</v>
      </c>
      <c r="F1163" s="670">
        <v>29542</v>
      </c>
      <c r="G1163" s="37">
        <v>38</v>
      </c>
      <c r="H1163" s="37">
        <v>3</v>
      </c>
      <c r="I1163" s="37">
        <v>3</v>
      </c>
      <c r="J1163" s="672">
        <f t="shared" si="276"/>
        <v>0.0570674015386382</v>
      </c>
      <c r="K1163" s="911">
        <f t="shared" si="277"/>
        <v>2.8623138832998</v>
      </c>
      <c r="L1163" s="671">
        <f t="shared" si="284"/>
        <v>20.7666406574017</v>
      </c>
      <c r="M1163" s="672">
        <f t="shared" si="278"/>
        <v>0.00402414486921529</v>
      </c>
      <c r="N1163" s="670">
        <f t="shared" si="285"/>
        <v>14771</v>
      </c>
      <c r="O1163" s="670">
        <f t="shared" si="279"/>
        <v>711.285</v>
      </c>
      <c r="P1163" s="670">
        <f t="shared" si="280"/>
        <v>37.4360526315789</v>
      </c>
      <c r="Q1163" s="675">
        <f t="shared" si="281"/>
        <v>34.6968292682927</v>
      </c>
      <c r="R1163">
        <f t="shared" si="282"/>
        <v>41</v>
      </c>
      <c r="S1163" s="667">
        <f t="shared" si="283"/>
        <v>0.0824949698189135</v>
      </c>
    </row>
    <row r="1164" spans="1:19">
      <c r="A1164" s="1010">
        <v>45811</v>
      </c>
      <c r="B1164" s="670">
        <v>2143.47</v>
      </c>
      <c r="C1164" s="37">
        <v>11030</v>
      </c>
      <c r="D1164" s="37">
        <v>690</v>
      </c>
      <c r="E1164" s="37">
        <v>2</v>
      </c>
      <c r="F1164" s="670">
        <v>28807</v>
      </c>
      <c r="G1164" s="37">
        <v>47</v>
      </c>
      <c r="H1164" s="37">
        <v>6</v>
      </c>
      <c r="I1164" s="37">
        <v>3</v>
      </c>
      <c r="J1164" s="672">
        <f t="shared" si="276"/>
        <v>0.0625566636446056</v>
      </c>
      <c r="K1164" s="911">
        <f t="shared" si="277"/>
        <v>3.10647826086956</v>
      </c>
      <c r="L1164" s="671">
        <f t="shared" si="284"/>
        <v>13.439422991691</v>
      </c>
      <c r="M1164" s="672">
        <f t="shared" si="278"/>
        <v>0.00289855072463768</v>
      </c>
      <c r="N1164" s="670">
        <f t="shared" si="285"/>
        <v>14403.5</v>
      </c>
      <c r="O1164" s="670">
        <f t="shared" si="279"/>
        <v>1071.735</v>
      </c>
      <c r="P1164" s="670">
        <f t="shared" si="280"/>
        <v>45.6057446808511</v>
      </c>
      <c r="Q1164" s="675">
        <f t="shared" si="281"/>
        <v>40.4428301886792</v>
      </c>
      <c r="R1164">
        <f t="shared" si="282"/>
        <v>53</v>
      </c>
      <c r="S1164" s="667">
        <f t="shared" si="283"/>
        <v>0.0768115942028986</v>
      </c>
    </row>
    <row r="1165" spans="1:19">
      <c r="A1165" s="1010">
        <v>45812</v>
      </c>
      <c r="B1165" s="670">
        <v>2005.52</v>
      </c>
      <c r="C1165" s="37">
        <v>9938</v>
      </c>
      <c r="D1165" s="37">
        <v>700</v>
      </c>
      <c r="E1165" s="37">
        <v>1</v>
      </c>
      <c r="F1165" s="670">
        <v>13614</v>
      </c>
      <c r="G1165" s="37">
        <v>37</v>
      </c>
      <c r="H1165" s="37">
        <v>2</v>
      </c>
      <c r="I1165" s="37">
        <v>3</v>
      </c>
      <c r="J1165" s="672">
        <f t="shared" si="276"/>
        <v>0.0704367075870396</v>
      </c>
      <c r="K1165" s="911">
        <f t="shared" si="277"/>
        <v>2.86502857142857</v>
      </c>
      <c r="L1165" s="671">
        <f t="shared" si="284"/>
        <v>6.78826439028282</v>
      </c>
      <c r="M1165" s="672">
        <f t="shared" si="278"/>
        <v>0.00142857142857143</v>
      </c>
      <c r="N1165" s="670">
        <f t="shared" si="285"/>
        <v>13614</v>
      </c>
      <c r="O1165" s="670">
        <f t="shared" si="279"/>
        <v>2005.52</v>
      </c>
      <c r="P1165" s="670">
        <f t="shared" si="280"/>
        <v>54.2032432432432</v>
      </c>
      <c r="Q1165" s="675">
        <f t="shared" si="281"/>
        <v>51.4235897435897</v>
      </c>
      <c r="R1165">
        <f t="shared" si="282"/>
        <v>39</v>
      </c>
      <c r="S1165" s="667">
        <f t="shared" si="283"/>
        <v>0.0557142857142857</v>
      </c>
    </row>
    <row r="1166" spans="1:19">
      <c r="A1166" s="1010">
        <v>45813</v>
      </c>
      <c r="B1166" s="670">
        <v>1551.29</v>
      </c>
      <c r="C1166" s="37">
        <v>7980</v>
      </c>
      <c r="D1166" s="37">
        <v>615</v>
      </c>
      <c r="E1166" s="37">
        <v>0</v>
      </c>
      <c r="F1166" s="670">
        <v>0</v>
      </c>
      <c r="G1166" s="37">
        <v>49</v>
      </c>
      <c r="H1166" s="37">
        <v>7</v>
      </c>
      <c r="I1166" s="37">
        <v>7</v>
      </c>
      <c r="J1166" s="672">
        <f t="shared" si="276"/>
        <v>0.0770676691729323</v>
      </c>
      <c r="K1166" s="911">
        <f t="shared" si="277"/>
        <v>2.52242276422764</v>
      </c>
      <c r="L1166" s="671">
        <f t="shared" si="284"/>
        <v>0</v>
      </c>
      <c r="M1166" s="672">
        <f t="shared" si="278"/>
        <v>0</v>
      </c>
      <c r="N1166" s="670">
        <f t="shared" si="285"/>
        <v>0</v>
      </c>
      <c r="O1166" s="670">
        <f t="shared" si="279"/>
        <v>0</v>
      </c>
      <c r="P1166" s="670">
        <f t="shared" si="280"/>
        <v>31.6589795918367</v>
      </c>
      <c r="Q1166" s="675">
        <f t="shared" si="281"/>
        <v>27.7016071428571</v>
      </c>
      <c r="R1166">
        <f t="shared" si="282"/>
        <v>56</v>
      </c>
      <c r="S1166" s="667">
        <f t="shared" si="283"/>
        <v>0.0910569105691057</v>
      </c>
    </row>
    <row r="1167" spans="1:19">
      <c r="A1167" s="1010">
        <v>45814</v>
      </c>
      <c r="B1167" s="670">
        <v>1553.37</v>
      </c>
      <c r="C1167" s="37">
        <v>7171</v>
      </c>
      <c r="D1167" s="37">
        <v>573</v>
      </c>
      <c r="E1167" s="37">
        <v>1</v>
      </c>
      <c r="F1167" s="670">
        <v>25292</v>
      </c>
      <c r="G1167" s="37">
        <v>39</v>
      </c>
      <c r="H1167" s="37">
        <v>6</v>
      </c>
      <c r="I1167" s="37">
        <v>3</v>
      </c>
      <c r="J1167" s="672">
        <f t="shared" si="276"/>
        <v>0.0799051736159531</v>
      </c>
      <c r="K1167" s="911">
        <f t="shared" si="277"/>
        <v>2.71094240837696</v>
      </c>
      <c r="L1167" s="671">
        <f t="shared" si="284"/>
        <v>16.2820190939699</v>
      </c>
      <c r="M1167" s="672">
        <f t="shared" si="278"/>
        <v>0.00174520069808028</v>
      </c>
      <c r="N1167" s="670">
        <f t="shared" si="285"/>
        <v>25292</v>
      </c>
      <c r="O1167" s="670">
        <f t="shared" si="279"/>
        <v>1553.37</v>
      </c>
      <c r="P1167" s="670">
        <f t="shared" si="280"/>
        <v>39.83</v>
      </c>
      <c r="Q1167" s="675">
        <f t="shared" si="281"/>
        <v>34.5193333333333</v>
      </c>
      <c r="R1167">
        <f t="shared" si="282"/>
        <v>45</v>
      </c>
      <c r="S1167" s="667">
        <f t="shared" si="283"/>
        <v>0.0785340314136126</v>
      </c>
    </row>
    <row r="1168" spans="1:19">
      <c r="A1168" s="1010">
        <v>45815</v>
      </c>
      <c r="B1168" s="670">
        <v>1420.6</v>
      </c>
      <c r="C1168" s="37">
        <v>7716</v>
      </c>
      <c r="D1168" s="37">
        <v>586</v>
      </c>
      <c r="E1168" s="37">
        <v>3</v>
      </c>
      <c r="F1168" s="670">
        <v>49576</v>
      </c>
      <c r="G1168" s="37">
        <v>55</v>
      </c>
      <c r="H1168" s="37">
        <v>5</v>
      </c>
      <c r="I1168" s="37">
        <v>6</v>
      </c>
      <c r="J1168" s="672">
        <f t="shared" si="276"/>
        <v>0.0759460860549507</v>
      </c>
      <c r="K1168" s="911">
        <f t="shared" si="277"/>
        <v>2.42423208191126</v>
      </c>
      <c r="L1168" s="671">
        <f t="shared" si="284"/>
        <v>34.8979304519217</v>
      </c>
      <c r="M1168" s="672">
        <f t="shared" si="278"/>
        <v>0.00511945392491468</v>
      </c>
      <c r="N1168" s="670">
        <f t="shared" si="285"/>
        <v>16525.3333333333</v>
      </c>
      <c r="O1168" s="670">
        <f t="shared" si="279"/>
        <v>473.533333333333</v>
      </c>
      <c r="P1168" s="670">
        <f t="shared" si="280"/>
        <v>25.8290909090909</v>
      </c>
      <c r="Q1168" s="675">
        <f t="shared" si="281"/>
        <v>23.6766666666667</v>
      </c>
      <c r="R1168">
        <f t="shared" si="282"/>
        <v>60</v>
      </c>
      <c r="S1168" s="667">
        <f t="shared" si="283"/>
        <v>0.102389078498294</v>
      </c>
    </row>
    <row r="1169" spans="1:19">
      <c r="A1169" s="1010">
        <v>45816</v>
      </c>
      <c r="B1169" s="670">
        <v>1553.54</v>
      </c>
      <c r="C1169" s="37">
        <v>7535</v>
      </c>
      <c r="D1169" s="37">
        <v>622</v>
      </c>
      <c r="E1169" s="37">
        <v>3</v>
      </c>
      <c r="F1169" s="670">
        <v>53336</v>
      </c>
      <c r="G1169" s="37">
        <v>56</v>
      </c>
      <c r="H1169" s="37">
        <v>10</v>
      </c>
      <c r="I1169" s="37">
        <v>1</v>
      </c>
      <c r="J1169" s="672">
        <f t="shared" si="276"/>
        <v>0.0825481088254811</v>
      </c>
      <c r="K1169" s="911">
        <f t="shared" si="277"/>
        <v>2.49765273311897</v>
      </c>
      <c r="L1169" s="671">
        <f t="shared" si="284"/>
        <v>34.3319129214568</v>
      </c>
      <c r="M1169" s="672">
        <f t="shared" si="278"/>
        <v>0.00482315112540193</v>
      </c>
      <c r="N1169" s="670">
        <f t="shared" si="285"/>
        <v>17778.6666666667</v>
      </c>
      <c r="O1169" s="670">
        <f t="shared" si="279"/>
        <v>517.846666666667</v>
      </c>
      <c r="P1169" s="670">
        <f t="shared" si="280"/>
        <v>27.7417857142857</v>
      </c>
      <c r="Q1169" s="675">
        <f t="shared" si="281"/>
        <v>23.5384848484848</v>
      </c>
      <c r="R1169">
        <f t="shared" si="282"/>
        <v>66</v>
      </c>
      <c r="S1169" s="667">
        <f t="shared" si="283"/>
        <v>0.106109324758842</v>
      </c>
    </row>
    <row r="1170" spans="1:19">
      <c r="A1170" s="1010">
        <v>45817</v>
      </c>
      <c r="B1170" s="670">
        <v>2265.43</v>
      </c>
      <c r="C1170" s="37">
        <v>8705</v>
      </c>
      <c r="D1170" s="37">
        <v>798</v>
      </c>
      <c r="E1170" s="37">
        <v>1</v>
      </c>
      <c r="F1170" s="670">
        <v>17592</v>
      </c>
      <c r="G1170" s="37">
        <v>45</v>
      </c>
      <c r="H1170" s="37">
        <v>6</v>
      </c>
      <c r="I1170" s="37">
        <v>6</v>
      </c>
      <c r="J1170" s="672">
        <f t="shared" si="276"/>
        <v>0.0916714531878231</v>
      </c>
      <c r="K1170" s="911">
        <f t="shared" si="277"/>
        <v>2.83888471177945</v>
      </c>
      <c r="L1170" s="671">
        <f t="shared" si="284"/>
        <v>7.76541318866617</v>
      </c>
      <c r="M1170" s="672">
        <f t="shared" si="278"/>
        <v>0.0012531328320802</v>
      </c>
      <c r="N1170" s="670">
        <f t="shared" si="285"/>
        <v>17592</v>
      </c>
      <c r="O1170" s="670">
        <f t="shared" si="279"/>
        <v>2265.43</v>
      </c>
      <c r="P1170" s="670">
        <f t="shared" si="280"/>
        <v>50.3428888888889</v>
      </c>
      <c r="Q1170" s="675">
        <f t="shared" si="281"/>
        <v>44.4201960784314</v>
      </c>
      <c r="R1170">
        <f t="shared" si="282"/>
        <v>51</v>
      </c>
      <c r="S1170" s="667">
        <f t="shared" si="283"/>
        <v>0.0639097744360902</v>
      </c>
    </row>
    <row r="1171" spans="1:19">
      <c r="A1171" s="1010">
        <v>45818</v>
      </c>
      <c r="B1171" s="670">
        <v>1763.26</v>
      </c>
      <c r="C1171" s="37">
        <v>7116</v>
      </c>
      <c r="D1171" s="37">
        <v>661</v>
      </c>
      <c r="E1171" s="37">
        <v>1</v>
      </c>
      <c r="F1171" s="670">
        <v>5976</v>
      </c>
      <c r="G1171" s="37">
        <v>31</v>
      </c>
      <c r="H1171" s="37">
        <v>3</v>
      </c>
      <c r="I1171" s="37">
        <v>3</v>
      </c>
      <c r="J1171" s="672">
        <f t="shared" si="276"/>
        <v>0.0928892636312535</v>
      </c>
      <c r="K1171" s="911">
        <f t="shared" si="277"/>
        <v>2.66756429652042</v>
      </c>
      <c r="L1171" s="671">
        <f t="shared" si="284"/>
        <v>3.38917686557853</v>
      </c>
      <c r="M1171" s="672">
        <f t="shared" si="278"/>
        <v>0.00151285930408472</v>
      </c>
      <c r="N1171" s="670">
        <f t="shared" si="285"/>
        <v>5976</v>
      </c>
      <c r="O1171" s="670">
        <f t="shared" si="279"/>
        <v>1763.26</v>
      </c>
      <c r="P1171" s="670">
        <f t="shared" si="280"/>
        <v>56.8793548387097</v>
      </c>
      <c r="Q1171" s="675">
        <f t="shared" si="281"/>
        <v>51.8605882352941</v>
      </c>
      <c r="R1171">
        <f t="shared" si="282"/>
        <v>34</v>
      </c>
      <c r="S1171" s="667">
        <f t="shared" si="283"/>
        <v>0.0514372163388805</v>
      </c>
    </row>
    <row r="1172" spans="1:19">
      <c r="A1172" s="1010">
        <v>45819</v>
      </c>
      <c r="B1172" s="670">
        <v>2328.91</v>
      </c>
      <c r="C1172" s="37">
        <v>10037</v>
      </c>
      <c r="D1172" s="37">
        <v>805</v>
      </c>
      <c r="E1172" s="37">
        <v>3</v>
      </c>
      <c r="F1172" s="670">
        <v>41053</v>
      </c>
      <c r="G1172" s="37">
        <v>53</v>
      </c>
      <c r="H1172" s="37">
        <v>4</v>
      </c>
      <c r="I1172" s="37">
        <v>4</v>
      </c>
      <c r="J1172" s="672">
        <f t="shared" si="276"/>
        <v>0.0802032479824649</v>
      </c>
      <c r="K1172" s="911">
        <f t="shared" si="277"/>
        <v>2.89305590062112</v>
      </c>
      <c r="L1172" s="671">
        <f t="shared" si="284"/>
        <v>17.6275596738388</v>
      </c>
      <c r="M1172" s="672">
        <f t="shared" si="278"/>
        <v>0.00372670807453416</v>
      </c>
      <c r="N1172" s="670">
        <f t="shared" si="285"/>
        <v>13684.3333333333</v>
      </c>
      <c r="O1172" s="670">
        <f t="shared" si="279"/>
        <v>776.303333333333</v>
      </c>
      <c r="P1172" s="670">
        <f t="shared" si="280"/>
        <v>43.9416981132075</v>
      </c>
      <c r="Q1172" s="675">
        <f t="shared" si="281"/>
        <v>40.8580701754386</v>
      </c>
      <c r="R1172">
        <f t="shared" si="282"/>
        <v>57</v>
      </c>
      <c r="S1172" s="667">
        <f t="shared" si="283"/>
        <v>0.0708074534161491</v>
      </c>
    </row>
    <row r="1173" spans="1:19">
      <c r="A1173" s="1010">
        <v>45820</v>
      </c>
      <c r="B1173" s="670">
        <v>2563.6</v>
      </c>
      <c r="C1173" s="37">
        <v>10552</v>
      </c>
      <c r="D1173" s="37">
        <v>865</v>
      </c>
      <c r="E1173" s="37">
        <v>0</v>
      </c>
      <c r="F1173" s="670">
        <v>0</v>
      </c>
      <c r="G1173" s="37">
        <v>44</v>
      </c>
      <c r="H1173" s="37">
        <v>7</v>
      </c>
      <c r="I1173" s="37">
        <v>9</v>
      </c>
      <c r="J1173" s="672">
        <f t="shared" si="276"/>
        <v>0.0819749810462472</v>
      </c>
      <c r="K1173" s="911">
        <f t="shared" si="277"/>
        <v>2.96369942196532</v>
      </c>
      <c r="L1173" s="671">
        <f t="shared" si="284"/>
        <v>0</v>
      </c>
      <c r="M1173" s="672">
        <f t="shared" si="278"/>
        <v>0</v>
      </c>
      <c r="N1173" s="670">
        <f t="shared" si="285"/>
        <v>0</v>
      </c>
      <c r="O1173" s="670">
        <f t="shared" si="279"/>
        <v>0</v>
      </c>
      <c r="P1173" s="670">
        <f t="shared" si="280"/>
        <v>58.2636363636364</v>
      </c>
      <c r="Q1173" s="675">
        <f t="shared" si="281"/>
        <v>50.2666666666667</v>
      </c>
      <c r="R1173">
        <f t="shared" si="282"/>
        <v>51</v>
      </c>
      <c r="S1173" s="667">
        <f t="shared" si="283"/>
        <v>0.0589595375722543</v>
      </c>
    </row>
    <row r="1174" spans="1:19">
      <c r="A1174" s="1010">
        <v>45821</v>
      </c>
      <c r="B1174" s="670">
        <v>2552.86</v>
      </c>
      <c r="C1174" s="37">
        <v>9405</v>
      </c>
      <c r="D1174" s="37">
        <v>798</v>
      </c>
      <c r="E1174" s="37">
        <v>5</v>
      </c>
      <c r="F1174" s="670">
        <v>78099</v>
      </c>
      <c r="G1174" s="37">
        <v>44</v>
      </c>
      <c r="H1174" s="37">
        <v>3</v>
      </c>
      <c r="I1174" s="37">
        <v>3</v>
      </c>
      <c r="J1174" s="672">
        <f t="shared" si="276"/>
        <v>0.0848484848484849</v>
      </c>
      <c r="K1174" s="911">
        <f t="shared" si="277"/>
        <v>3.19907268170426</v>
      </c>
      <c r="L1174" s="671">
        <f t="shared" si="284"/>
        <v>30.5927469583134</v>
      </c>
      <c r="M1174" s="672">
        <f t="shared" si="278"/>
        <v>0.006265664160401</v>
      </c>
      <c r="N1174" s="670">
        <f t="shared" si="285"/>
        <v>15619.8</v>
      </c>
      <c r="O1174" s="670">
        <f t="shared" si="279"/>
        <v>510.572</v>
      </c>
      <c r="P1174" s="670">
        <f t="shared" si="280"/>
        <v>58.0195454545455</v>
      </c>
      <c r="Q1174" s="675">
        <f t="shared" si="281"/>
        <v>54.316170212766</v>
      </c>
      <c r="R1174">
        <f t="shared" si="282"/>
        <v>47</v>
      </c>
      <c r="S1174" s="667">
        <f t="shared" si="283"/>
        <v>0.0588972431077694</v>
      </c>
    </row>
    <row r="1175" spans="1:19">
      <c r="A1175" s="1010">
        <v>45822</v>
      </c>
      <c r="B1175" s="670">
        <v>2606.25</v>
      </c>
      <c r="C1175" s="37">
        <v>8318</v>
      </c>
      <c r="D1175" s="37">
        <v>775</v>
      </c>
      <c r="E1175" s="37">
        <v>0</v>
      </c>
      <c r="F1175" s="670">
        <v>0</v>
      </c>
      <c r="G1175" s="37">
        <v>57</v>
      </c>
      <c r="H1175" s="37">
        <v>4</v>
      </c>
      <c r="I1175" s="37">
        <v>4</v>
      </c>
      <c r="J1175" s="672">
        <f t="shared" si="276"/>
        <v>0.0931714354412118</v>
      </c>
      <c r="K1175" s="911">
        <f t="shared" si="277"/>
        <v>3.36290322580645</v>
      </c>
      <c r="L1175" s="671">
        <f t="shared" si="284"/>
        <v>0</v>
      </c>
      <c r="M1175" s="672">
        <f t="shared" si="278"/>
        <v>0</v>
      </c>
      <c r="N1175" s="670">
        <f t="shared" si="285"/>
        <v>0</v>
      </c>
      <c r="O1175" s="670">
        <f t="shared" si="279"/>
        <v>0</v>
      </c>
      <c r="P1175" s="670">
        <f t="shared" si="280"/>
        <v>45.7236842105263</v>
      </c>
      <c r="Q1175" s="675">
        <f t="shared" si="281"/>
        <v>42.7254098360656</v>
      </c>
      <c r="R1175">
        <f t="shared" si="282"/>
        <v>61</v>
      </c>
      <c r="S1175" s="667">
        <f t="shared" si="283"/>
        <v>0.0787096774193548</v>
      </c>
    </row>
    <row r="1176" spans="1:19">
      <c r="A1176" s="1010">
        <v>45823</v>
      </c>
      <c r="B1176" s="670">
        <v>2603.16</v>
      </c>
      <c r="C1176" s="37">
        <v>6068</v>
      </c>
      <c r="D1176" s="37">
        <v>820</v>
      </c>
      <c r="E1176" s="37">
        <v>4</v>
      </c>
      <c r="F1176" s="670">
        <v>55434</v>
      </c>
      <c r="G1176" s="37">
        <v>71</v>
      </c>
      <c r="H1176" s="37">
        <v>9</v>
      </c>
      <c r="I1176" s="37">
        <v>10</v>
      </c>
      <c r="J1176" s="672">
        <f t="shared" si="276"/>
        <v>0.135135135135135</v>
      </c>
      <c r="K1176" s="911">
        <f t="shared" si="277"/>
        <v>3.17458536585366</v>
      </c>
      <c r="L1176" s="671">
        <f t="shared" si="284"/>
        <v>21.2948877518093</v>
      </c>
      <c r="M1176" s="672">
        <f t="shared" si="278"/>
        <v>0.0048780487804878</v>
      </c>
      <c r="N1176" s="670">
        <f t="shared" si="285"/>
        <v>13858.5</v>
      </c>
      <c r="O1176" s="670">
        <f t="shared" si="279"/>
        <v>650.79</v>
      </c>
      <c r="P1176" s="670">
        <f t="shared" si="280"/>
        <v>36.6642253521127</v>
      </c>
      <c r="Q1176" s="675">
        <f t="shared" si="281"/>
        <v>32.5395</v>
      </c>
      <c r="R1176">
        <f t="shared" si="282"/>
        <v>80</v>
      </c>
      <c r="S1176" s="667">
        <f t="shared" si="283"/>
        <v>0.0975609756097561</v>
      </c>
    </row>
    <row r="1177" spans="1:19">
      <c r="A1177" s="1010">
        <v>45824</v>
      </c>
      <c r="B1177" s="670">
        <v>2540.55</v>
      </c>
      <c r="C1177" s="37">
        <v>5793</v>
      </c>
      <c r="D1177" s="37">
        <v>769</v>
      </c>
      <c r="E1177" s="37">
        <v>5</v>
      </c>
      <c r="F1177" s="670">
        <v>57444</v>
      </c>
      <c r="G1177" s="37">
        <v>63</v>
      </c>
      <c r="H1177" s="37">
        <v>8</v>
      </c>
      <c r="I1177" s="37">
        <v>7</v>
      </c>
      <c r="J1177" s="672">
        <f t="shared" si="276"/>
        <v>0.132746418090799</v>
      </c>
      <c r="K1177" s="911">
        <f t="shared" si="277"/>
        <v>3.30370611183355</v>
      </c>
      <c r="L1177" s="671">
        <f t="shared" si="284"/>
        <v>22.6108519808703</v>
      </c>
      <c r="M1177" s="672">
        <f t="shared" si="278"/>
        <v>0.00650195058517555</v>
      </c>
      <c r="N1177" s="670">
        <f t="shared" si="285"/>
        <v>11488.8</v>
      </c>
      <c r="O1177" s="670">
        <f t="shared" si="279"/>
        <v>508.11</v>
      </c>
      <c r="P1177" s="670">
        <f t="shared" si="280"/>
        <v>40.3261904761905</v>
      </c>
      <c r="Q1177" s="675">
        <f t="shared" si="281"/>
        <v>35.7823943661972</v>
      </c>
      <c r="R1177">
        <f t="shared" si="282"/>
        <v>71</v>
      </c>
      <c r="S1177" s="667">
        <f t="shared" si="283"/>
        <v>0.0923276983094928</v>
      </c>
    </row>
    <row r="1178" spans="1:19">
      <c r="A1178" s="1010">
        <v>45825</v>
      </c>
      <c r="B1178" s="670">
        <v>2605.69</v>
      </c>
      <c r="C1178" s="37">
        <v>6679</v>
      </c>
      <c r="D1178" s="37">
        <v>878</v>
      </c>
      <c r="E1178" s="37">
        <v>3</v>
      </c>
      <c r="F1178" s="670">
        <v>39158</v>
      </c>
      <c r="G1178" s="37">
        <v>81</v>
      </c>
      <c r="H1178" s="37">
        <v>7</v>
      </c>
      <c r="I1178" s="37">
        <v>1</v>
      </c>
      <c r="J1178" s="672">
        <f t="shared" si="276"/>
        <v>0.131456804910915</v>
      </c>
      <c r="K1178" s="911">
        <f t="shared" si="277"/>
        <v>2.9677562642369</v>
      </c>
      <c r="L1178" s="671">
        <f t="shared" si="284"/>
        <v>15.0278812905603</v>
      </c>
      <c r="M1178" s="672">
        <f t="shared" si="278"/>
        <v>0.00341685649202733</v>
      </c>
      <c r="N1178" s="670">
        <f t="shared" si="285"/>
        <v>13052.6666666667</v>
      </c>
      <c r="O1178" s="670">
        <f t="shared" si="279"/>
        <v>868.563333333333</v>
      </c>
      <c r="P1178" s="670">
        <f t="shared" si="280"/>
        <v>32.169012345679</v>
      </c>
      <c r="Q1178" s="675">
        <f t="shared" si="281"/>
        <v>29.6101136363636</v>
      </c>
      <c r="R1178">
        <f t="shared" si="282"/>
        <v>88</v>
      </c>
      <c r="S1178" s="667">
        <f t="shared" si="283"/>
        <v>0.100227790432802</v>
      </c>
    </row>
    <row r="1179" spans="1:19">
      <c r="A1179" s="1010">
        <v>45826</v>
      </c>
      <c r="B1179" s="670">
        <v>3481.92</v>
      </c>
      <c r="C1179" s="37">
        <v>7946</v>
      </c>
      <c r="D1179" s="37">
        <v>1056</v>
      </c>
      <c r="E1179" s="37">
        <v>9</v>
      </c>
      <c r="F1179" s="670">
        <v>86786</v>
      </c>
      <c r="G1179" s="37">
        <v>84</v>
      </c>
      <c r="H1179" s="37">
        <v>10</v>
      </c>
      <c r="I1179" s="37">
        <v>10</v>
      </c>
      <c r="J1179" s="672">
        <f t="shared" si="276"/>
        <v>0.132897055122074</v>
      </c>
      <c r="K1179" s="911">
        <f t="shared" si="277"/>
        <v>3.29727272727273</v>
      </c>
      <c r="L1179" s="671">
        <f t="shared" si="284"/>
        <v>24.9247541586251</v>
      </c>
      <c r="M1179" s="672">
        <f t="shared" si="278"/>
        <v>0.00852272727272727</v>
      </c>
      <c r="N1179" s="670">
        <f t="shared" si="285"/>
        <v>9642.88888888889</v>
      </c>
      <c r="O1179" s="670">
        <f t="shared" si="279"/>
        <v>386.88</v>
      </c>
      <c r="P1179" s="670">
        <f t="shared" si="280"/>
        <v>41.4514285714286</v>
      </c>
      <c r="Q1179" s="675">
        <f t="shared" si="281"/>
        <v>37.0417021276596</v>
      </c>
      <c r="R1179">
        <f t="shared" si="282"/>
        <v>94</v>
      </c>
      <c r="S1179" s="667">
        <f t="shared" si="283"/>
        <v>0.0890151515151515</v>
      </c>
    </row>
    <row r="1180" spans="1:19">
      <c r="A1180" s="1010">
        <v>45827</v>
      </c>
      <c r="B1180" s="670">
        <v>2985.64</v>
      </c>
      <c r="C1180" s="37">
        <v>7893</v>
      </c>
      <c r="D1180" s="37">
        <v>908</v>
      </c>
      <c r="E1180" s="37">
        <v>4</v>
      </c>
      <c r="F1180" s="670">
        <v>40764</v>
      </c>
      <c r="G1180" s="37">
        <v>47</v>
      </c>
      <c r="H1180" s="37">
        <v>6</v>
      </c>
      <c r="I1180" s="37">
        <v>8</v>
      </c>
      <c r="J1180" s="672">
        <f t="shared" si="276"/>
        <v>0.115038641834537</v>
      </c>
      <c r="K1180" s="911">
        <f t="shared" si="277"/>
        <v>3.28814977973568</v>
      </c>
      <c r="L1180" s="671">
        <f t="shared" si="284"/>
        <v>13.653354054742</v>
      </c>
      <c r="M1180" s="672">
        <f t="shared" si="278"/>
        <v>0.00440528634361234</v>
      </c>
      <c r="N1180" s="670">
        <f t="shared" si="285"/>
        <v>10191</v>
      </c>
      <c r="O1180" s="670">
        <f t="shared" si="279"/>
        <v>746.41</v>
      </c>
      <c r="P1180" s="670">
        <f t="shared" si="280"/>
        <v>63.5242553191489</v>
      </c>
      <c r="Q1180" s="675">
        <f t="shared" si="281"/>
        <v>56.3328301886792</v>
      </c>
      <c r="R1180">
        <f t="shared" si="282"/>
        <v>53</v>
      </c>
      <c r="S1180" s="667">
        <f t="shared" si="283"/>
        <v>0.0583700440528634</v>
      </c>
    </row>
    <row r="1181" spans="1:19">
      <c r="A1181" s="1010">
        <v>45828</v>
      </c>
      <c r="B1181" s="670">
        <v>3006.63</v>
      </c>
      <c r="C1181" s="37">
        <v>6479</v>
      </c>
      <c r="D1181" s="37">
        <v>816</v>
      </c>
      <c r="E1181" s="37">
        <v>4</v>
      </c>
      <c r="F1181" s="670">
        <v>33154</v>
      </c>
      <c r="G1181" s="37">
        <v>66</v>
      </c>
      <c r="H1181" s="37">
        <v>6</v>
      </c>
      <c r="I1181" s="37">
        <v>8</v>
      </c>
      <c r="J1181" s="672">
        <f t="shared" si="276"/>
        <v>0.125945361938571</v>
      </c>
      <c r="K1181" s="911">
        <f t="shared" si="277"/>
        <v>3.68459558823529</v>
      </c>
      <c r="L1181" s="671">
        <f t="shared" si="284"/>
        <v>11.0269637434603</v>
      </c>
      <c r="M1181" s="672">
        <f t="shared" si="278"/>
        <v>0.00490196078431373</v>
      </c>
      <c r="N1181" s="670">
        <f t="shared" si="285"/>
        <v>8288.5</v>
      </c>
      <c r="O1181" s="670">
        <f t="shared" si="279"/>
        <v>751.6575</v>
      </c>
      <c r="P1181" s="670">
        <f t="shared" si="280"/>
        <v>45.555</v>
      </c>
      <c r="Q1181" s="675">
        <f t="shared" si="281"/>
        <v>41.75875</v>
      </c>
      <c r="R1181">
        <f t="shared" si="282"/>
        <v>72</v>
      </c>
      <c r="S1181" s="667">
        <f t="shared" si="283"/>
        <v>0.0882352941176471</v>
      </c>
    </row>
    <row r="1182" spans="1:19">
      <c r="A1182" s="1010">
        <v>45829</v>
      </c>
      <c r="B1182" s="670">
        <v>1128.81</v>
      </c>
      <c r="C1182" s="37">
        <v>4037</v>
      </c>
      <c r="D1182" s="37">
        <v>507</v>
      </c>
      <c r="E1182" s="37">
        <v>1</v>
      </c>
      <c r="F1182" s="670">
        <v>7794</v>
      </c>
      <c r="G1182" s="37">
        <v>50</v>
      </c>
      <c r="H1182" s="37">
        <v>3</v>
      </c>
      <c r="I1182" s="37">
        <v>8</v>
      </c>
      <c r="J1182" s="672">
        <f t="shared" si="276"/>
        <v>0.125588308149616</v>
      </c>
      <c r="K1182" s="911">
        <f t="shared" si="277"/>
        <v>2.22644970414201</v>
      </c>
      <c r="L1182" s="671">
        <f t="shared" si="284"/>
        <v>6.90461636590746</v>
      </c>
      <c r="M1182" s="672">
        <f t="shared" si="278"/>
        <v>0.0019723865877712</v>
      </c>
      <c r="N1182" s="670">
        <f t="shared" si="285"/>
        <v>7794</v>
      </c>
      <c r="O1182" s="670">
        <f t="shared" si="279"/>
        <v>1128.81</v>
      </c>
      <c r="P1182" s="670">
        <f t="shared" si="280"/>
        <v>22.5762</v>
      </c>
      <c r="Q1182" s="675">
        <f t="shared" si="281"/>
        <v>21.2983018867925</v>
      </c>
      <c r="R1182">
        <f t="shared" si="282"/>
        <v>53</v>
      </c>
      <c r="S1182" s="667">
        <f t="shared" si="283"/>
        <v>0.104536489151874</v>
      </c>
    </row>
    <row r="1183" spans="1:19">
      <c r="A1183" s="1010">
        <v>45830</v>
      </c>
      <c r="B1183" s="670">
        <v>1138.96</v>
      </c>
      <c r="C1183" s="37">
        <v>4255</v>
      </c>
      <c r="D1183" s="37">
        <v>587</v>
      </c>
      <c r="E1183" s="37">
        <v>0</v>
      </c>
      <c r="F1183" s="670">
        <v>0</v>
      </c>
      <c r="G1183" s="37">
        <v>55</v>
      </c>
      <c r="H1183" s="37">
        <v>5</v>
      </c>
      <c r="I1183" s="37">
        <v>5</v>
      </c>
      <c r="J1183" s="672">
        <f t="shared" si="276"/>
        <v>0.137955346650999</v>
      </c>
      <c r="K1183" s="911">
        <f t="shared" si="277"/>
        <v>1.9403066439523</v>
      </c>
      <c r="L1183" s="671">
        <f t="shared" si="284"/>
        <v>0</v>
      </c>
      <c r="M1183" s="672">
        <f t="shared" si="278"/>
        <v>0</v>
      </c>
      <c r="N1183" s="670">
        <f t="shared" si="285"/>
        <v>0</v>
      </c>
      <c r="O1183" s="670">
        <f t="shared" si="279"/>
        <v>0</v>
      </c>
      <c r="P1183" s="670">
        <f t="shared" si="280"/>
        <v>20.7083636363636</v>
      </c>
      <c r="Q1183" s="675">
        <f t="shared" si="281"/>
        <v>18.9826666666667</v>
      </c>
      <c r="R1183">
        <f t="shared" si="282"/>
        <v>60</v>
      </c>
      <c r="S1183" s="667">
        <f t="shared" si="283"/>
        <v>0.10221465076661</v>
      </c>
    </row>
    <row r="1184" spans="1:19">
      <c r="A1184" s="1010">
        <v>45831</v>
      </c>
      <c r="B1184" s="670">
        <v>1146.02</v>
      </c>
      <c r="C1184" s="37">
        <v>4601</v>
      </c>
      <c r="D1184" s="37">
        <v>572</v>
      </c>
      <c r="E1184" s="37">
        <v>4</v>
      </c>
      <c r="F1184" s="670">
        <v>69171</v>
      </c>
      <c r="G1184" s="37">
        <v>53</v>
      </c>
      <c r="H1184" s="37">
        <v>1</v>
      </c>
      <c r="I1184" s="37">
        <v>4</v>
      </c>
      <c r="J1184" s="672">
        <f t="shared" si="276"/>
        <v>0.124320799826125</v>
      </c>
      <c r="K1184" s="911">
        <f t="shared" si="277"/>
        <v>2.00353146853147</v>
      </c>
      <c r="L1184" s="671">
        <f t="shared" si="284"/>
        <v>60.3575853824541</v>
      </c>
      <c r="M1184" s="672">
        <f t="shared" si="278"/>
        <v>0.00699300699300699</v>
      </c>
      <c r="N1184" s="670">
        <f t="shared" si="285"/>
        <v>17292.75</v>
      </c>
      <c r="O1184" s="670">
        <f t="shared" si="279"/>
        <v>286.505</v>
      </c>
      <c r="P1184" s="670">
        <f t="shared" si="280"/>
        <v>21.6230188679245</v>
      </c>
      <c r="Q1184" s="675">
        <f t="shared" si="281"/>
        <v>21.2225925925926</v>
      </c>
      <c r="R1184">
        <f t="shared" si="282"/>
        <v>54</v>
      </c>
      <c r="S1184" s="667">
        <f t="shared" si="283"/>
        <v>0.0944055944055944</v>
      </c>
    </row>
    <row r="1185" spans="1:19">
      <c r="A1185" s="1010">
        <v>45832</v>
      </c>
      <c r="B1185" s="670">
        <v>1335.17</v>
      </c>
      <c r="C1185" s="37">
        <v>5553</v>
      </c>
      <c r="D1185" s="37">
        <v>682</v>
      </c>
      <c r="E1185" s="37">
        <v>4</v>
      </c>
      <c r="F1185" s="670">
        <v>35293</v>
      </c>
      <c r="G1185" s="37">
        <v>42</v>
      </c>
      <c r="H1185" s="37">
        <v>5</v>
      </c>
      <c r="I1185" s="37">
        <v>3</v>
      </c>
      <c r="J1185" s="672">
        <f t="shared" si="276"/>
        <v>0.12281649558797</v>
      </c>
      <c r="K1185" s="911">
        <f t="shared" si="277"/>
        <v>1.95772727272727</v>
      </c>
      <c r="L1185" s="671">
        <f t="shared" si="284"/>
        <v>26.4333380767992</v>
      </c>
      <c r="M1185" s="672">
        <f t="shared" si="278"/>
        <v>0.00586510263929619</v>
      </c>
      <c r="N1185" s="670">
        <f t="shared" si="285"/>
        <v>8823.25</v>
      </c>
      <c r="O1185" s="670">
        <f t="shared" si="279"/>
        <v>333.7925</v>
      </c>
      <c r="P1185" s="670">
        <f t="shared" si="280"/>
        <v>31.7897619047619</v>
      </c>
      <c r="Q1185" s="675">
        <f t="shared" si="281"/>
        <v>28.4078723404255</v>
      </c>
      <c r="R1185">
        <f t="shared" si="282"/>
        <v>47</v>
      </c>
      <c r="S1185" s="667">
        <f t="shared" si="283"/>
        <v>0.0689149560117302</v>
      </c>
    </row>
    <row r="1186" spans="1:19">
      <c r="A1186" s="1010">
        <v>45833</v>
      </c>
      <c r="B1186" s="670">
        <v>1309.1</v>
      </c>
      <c r="C1186" s="37">
        <v>6216</v>
      </c>
      <c r="D1186" s="37">
        <v>710</v>
      </c>
      <c r="E1186" s="37">
        <v>2</v>
      </c>
      <c r="F1186" s="670">
        <v>33708</v>
      </c>
      <c r="G1186" s="37">
        <v>66</v>
      </c>
      <c r="H1186" s="37">
        <v>4</v>
      </c>
      <c r="I1186" s="37">
        <v>5</v>
      </c>
      <c r="J1186" s="672">
        <f t="shared" si="276"/>
        <v>0.114221364221364</v>
      </c>
      <c r="K1186" s="911">
        <f t="shared" si="277"/>
        <v>1.84380281690141</v>
      </c>
      <c r="L1186" s="671">
        <f t="shared" si="284"/>
        <v>25.748987854251</v>
      </c>
      <c r="M1186" s="672">
        <f t="shared" si="278"/>
        <v>0.0028169014084507</v>
      </c>
      <c r="N1186" s="670">
        <f t="shared" si="285"/>
        <v>16854</v>
      </c>
      <c r="O1186" s="670">
        <f t="shared" si="279"/>
        <v>654.55</v>
      </c>
      <c r="P1186" s="670">
        <f t="shared" si="280"/>
        <v>19.8348484848485</v>
      </c>
      <c r="Q1186" s="675">
        <f t="shared" si="281"/>
        <v>18.7014285714286</v>
      </c>
      <c r="R1186">
        <f t="shared" si="282"/>
        <v>70</v>
      </c>
      <c r="S1186" s="667">
        <f t="shared" si="283"/>
        <v>0.0985915492957746</v>
      </c>
    </row>
    <row r="1187" spans="1:19">
      <c r="A1187" s="1010">
        <v>45834</v>
      </c>
      <c r="B1187" s="670">
        <v>1922.63</v>
      </c>
      <c r="C1187" s="37">
        <v>8165</v>
      </c>
      <c r="D1187" s="37">
        <v>886</v>
      </c>
      <c r="E1187" s="37">
        <v>2</v>
      </c>
      <c r="F1187" s="670">
        <v>33282</v>
      </c>
      <c r="G1187" s="37">
        <v>83</v>
      </c>
      <c r="H1187" s="37">
        <v>8</v>
      </c>
      <c r="I1187" s="37">
        <v>4</v>
      </c>
      <c r="J1187" s="672">
        <f t="shared" si="276"/>
        <v>0.108511941212492</v>
      </c>
      <c r="K1187" s="911">
        <f t="shared" si="277"/>
        <v>2.17001128668172</v>
      </c>
      <c r="L1187" s="671">
        <f t="shared" si="284"/>
        <v>17.3106629980808</v>
      </c>
      <c r="M1187" s="672">
        <f t="shared" si="278"/>
        <v>0.00225733634311512</v>
      </c>
      <c r="N1187" s="670">
        <f t="shared" si="285"/>
        <v>16641</v>
      </c>
      <c r="O1187" s="670">
        <f t="shared" si="279"/>
        <v>961.315</v>
      </c>
      <c r="P1187" s="670">
        <f t="shared" si="280"/>
        <v>23.1642168674699</v>
      </c>
      <c r="Q1187" s="675">
        <f t="shared" si="281"/>
        <v>21.1278021978022</v>
      </c>
      <c r="R1187">
        <f t="shared" si="282"/>
        <v>91</v>
      </c>
      <c r="S1187" s="667">
        <f t="shared" si="283"/>
        <v>0.102708803611738</v>
      </c>
    </row>
    <row r="1188" spans="1:19">
      <c r="A1188" s="1010">
        <v>45835</v>
      </c>
      <c r="B1188" s="670">
        <v>2143.33</v>
      </c>
      <c r="C1188" s="37">
        <v>7757</v>
      </c>
      <c r="D1188" s="37">
        <v>870</v>
      </c>
      <c r="E1188" s="37">
        <v>4</v>
      </c>
      <c r="F1188" s="670">
        <v>64574</v>
      </c>
      <c r="G1188" s="37">
        <v>43</v>
      </c>
      <c r="H1188" s="37">
        <v>9</v>
      </c>
      <c r="I1188" s="37">
        <v>1</v>
      </c>
      <c r="J1188" s="672">
        <f t="shared" si="276"/>
        <v>0.112156761634653</v>
      </c>
      <c r="K1188" s="911">
        <f t="shared" si="277"/>
        <v>2.46359770114943</v>
      </c>
      <c r="L1188" s="671">
        <f t="shared" si="284"/>
        <v>30.1278851133517</v>
      </c>
      <c r="M1188" s="672">
        <f t="shared" si="278"/>
        <v>0.00459770114942529</v>
      </c>
      <c r="N1188" s="670">
        <f t="shared" si="285"/>
        <v>16143.5</v>
      </c>
      <c r="O1188" s="670">
        <f t="shared" si="279"/>
        <v>535.8325</v>
      </c>
      <c r="P1188" s="670">
        <f t="shared" si="280"/>
        <v>49.8448837209302</v>
      </c>
      <c r="Q1188" s="675">
        <f t="shared" si="281"/>
        <v>41.2178846153846</v>
      </c>
      <c r="R1188">
        <f t="shared" si="282"/>
        <v>52</v>
      </c>
      <c r="S1188" s="667">
        <f t="shared" si="283"/>
        <v>0.0597701149425287</v>
      </c>
    </row>
    <row r="1189" spans="1:19">
      <c r="A1189" s="1010">
        <v>45836</v>
      </c>
      <c r="B1189" s="670">
        <v>2211.25</v>
      </c>
      <c r="C1189" s="37">
        <v>8011</v>
      </c>
      <c r="D1189" s="37">
        <v>831</v>
      </c>
      <c r="E1189" s="37">
        <v>0</v>
      </c>
      <c r="F1189" s="670">
        <v>0</v>
      </c>
      <c r="G1189" s="37">
        <v>52</v>
      </c>
      <c r="H1189" s="37">
        <v>2</v>
      </c>
      <c r="I1189" s="37">
        <v>4</v>
      </c>
      <c r="J1189" s="672">
        <f t="shared" si="276"/>
        <v>0.103732367994008</v>
      </c>
      <c r="K1189" s="911">
        <f t="shared" si="277"/>
        <v>2.66095066185319</v>
      </c>
      <c r="L1189" s="671">
        <f t="shared" si="284"/>
        <v>0</v>
      </c>
      <c r="M1189" s="672">
        <f t="shared" si="278"/>
        <v>0</v>
      </c>
      <c r="N1189" s="670">
        <f t="shared" si="285"/>
        <v>0</v>
      </c>
      <c r="O1189" s="670">
        <f t="shared" si="279"/>
        <v>0</v>
      </c>
      <c r="P1189" s="670">
        <f t="shared" si="280"/>
        <v>42.5240384615385</v>
      </c>
      <c r="Q1189" s="675">
        <f t="shared" si="281"/>
        <v>40.9490740740741</v>
      </c>
      <c r="R1189">
        <f t="shared" si="282"/>
        <v>54</v>
      </c>
      <c r="S1189" s="667">
        <f t="shared" si="283"/>
        <v>0.0649819494584837</v>
      </c>
    </row>
    <row r="1190" spans="1:19">
      <c r="A1190" s="1010">
        <v>45837</v>
      </c>
      <c r="B1190" s="670">
        <v>2350.38</v>
      </c>
      <c r="C1190" s="37">
        <v>8791</v>
      </c>
      <c r="D1190" s="37">
        <v>878</v>
      </c>
      <c r="E1190" s="37">
        <v>1</v>
      </c>
      <c r="F1190" s="670">
        <v>10794</v>
      </c>
      <c r="G1190" s="37">
        <v>47</v>
      </c>
      <c r="H1190" s="37">
        <v>2</v>
      </c>
      <c r="I1190" s="37">
        <v>5</v>
      </c>
      <c r="J1190" s="672">
        <f t="shared" si="276"/>
        <v>0.0998748720282107</v>
      </c>
      <c r="K1190" s="911">
        <f t="shared" si="277"/>
        <v>2.67697038724374</v>
      </c>
      <c r="L1190" s="671">
        <f t="shared" si="284"/>
        <v>4.59244888060654</v>
      </c>
      <c r="M1190" s="672">
        <f t="shared" si="278"/>
        <v>0.00113895216400911</v>
      </c>
      <c r="N1190" s="670">
        <f t="shared" si="285"/>
        <v>10794</v>
      </c>
      <c r="O1190" s="670">
        <f t="shared" si="279"/>
        <v>2350.38</v>
      </c>
      <c r="P1190" s="670">
        <f t="shared" si="280"/>
        <v>50.008085106383</v>
      </c>
      <c r="Q1190" s="675">
        <f t="shared" si="281"/>
        <v>47.9669387755102</v>
      </c>
      <c r="R1190">
        <f t="shared" si="282"/>
        <v>49</v>
      </c>
      <c r="S1190" s="667">
        <f t="shared" si="283"/>
        <v>0.0558086560364465</v>
      </c>
    </row>
    <row r="1191" spans="1:19">
      <c r="A1191" s="1010">
        <v>45838</v>
      </c>
      <c r="B1191" s="670">
        <v>2916.78</v>
      </c>
      <c r="C1191" s="37">
        <v>9530</v>
      </c>
      <c r="D1191" s="37">
        <v>1030</v>
      </c>
      <c r="E1191" s="37">
        <v>5</v>
      </c>
      <c r="F1191" s="670">
        <v>54143</v>
      </c>
      <c r="G1191" s="37">
        <v>76</v>
      </c>
      <c r="H1191" s="37">
        <v>7</v>
      </c>
      <c r="I1191" s="37">
        <v>5</v>
      </c>
      <c r="J1191" s="672">
        <f t="shared" si="276"/>
        <v>0.108079748163694</v>
      </c>
      <c r="K1191" s="911">
        <f t="shared" si="277"/>
        <v>2.83182524271845</v>
      </c>
      <c r="L1191" s="671">
        <f t="shared" si="284"/>
        <v>18.5625929963864</v>
      </c>
      <c r="M1191" s="672">
        <f t="shared" si="278"/>
        <v>0.00485436893203883</v>
      </c>
      <c r="N1191" s="670">
        <f t="shared" si="285"/>
        <v>10828.6</v>
      </c>
      <c r="O1191" s="670">
        <f t="shared" si="279"/>
        <v>583.356</v>
      </c>
      <c r="P1191" s="670">
        <f t="shared" si="280"/>
        <v>38.3786842105263</v>
      </c>
      <c r="Q1191" s="675">
        <f t="shared" si="281"/>
        <v>35.1419277108434</v>
      </c>
      <c r="R1191">
        <f t="shared" si="282"/>
        <v>83</v>
      </c>
      <c r="S1191" s="667">
        <f t="shared" si="283"/>
        <v>0.0805825242718447</v>
      </c>
    </row>
    <row r="1192" spans="1:19">
      <c r="A1192" s="1010">
        <v>45839</v>
      </c>
      <c r="B1192" s="670">
        <v>2572.86</v>
      </c>
      <c r="C1192" s="37">
        <v>8198</v>
      </c>
      <c r="D1192" s="37">
        <v>809</v>
      </c>
      <c r="E1192" s="37">
        <v>5</v>
      </c>
      <c r="F1192" s="670">
        <v>76902.99</v>
      </c>
      <c r="G1192" s="37">
        <v>56</v>
      </c>
      <c r="H1192" s="37">
        <v>7</v>
      </c>
      <c r="I1192" s="37">
        <v>1</v>
      </c>
      <c r="J1192" s="672">
        <f t="shared" si="276"/>
        <v>0.0986826055135399</v>
      </c>
      <c r="K1192" s="911">
        <f t="shared" si="277"/>
        <v>3.18029666254635</v>
      </c>
      <c r="L1192" s="671">
        <f t="shared" si="284"/>
        <v>29.8900795223992</v>
      </c>
      <c r="M1192" s="672">
        <f t="shared" si="278"/>
        <v>0.00618046971569839</v>
      </c>
      <c r="N1192" s="670">
        <f t="shared" si="285"/>
        <v>15380.598</v>
      </c>
      <c r="O1192" s="670">
        <f t="shared" si="279"/>
        <v>514.572</v>
      </c>
      <c r="P1192" s="670">
        <f t="shared" si="280"/>
        <v>45.9439285714286</v>
      </c>
      <c r="Q1192" s="675">
        <f t="shared" si="281"/>
        <v>40.8390476190476</v>
      </c>
      <c r="R1192">
        <f t="shared" si="282"/>
        <v>63</v>
      </c>
      <c r="S1192" s="667">
        <f t="shared" si="283"/>
        <v>0.0778739184177998</v>
      </c>
    </row>
    <row r="1193" spans="1:19">
      <c r="A1193" s="1010">
        <v>45840</v>
      </c>
      <c r="B1193" s="670">
        <v>2117.26</v>
      </c>
      <c r="C1193" s="37">
        <v>7059</v>
      </c>
      <c r="D1193" s="37">
        <v>821</v>
      </c>
      <c r="E1193" s="37">
        <v>0</v>
      </c>
      <c r="F1193" s="670">
        <v>0</v>
      </c>
      <c r="G1193" s="37">
        <v>84</v>
      </c>
      <c r="H1193" s="37">
        <v>7</v>
      </c>
      <c r="I1193" s="37">
        <v>3</v>
      </c>
      <c r="J1193" s="672">
        <f t="shared" si="276"/>
        <v>0.116305425697691</v>
      </c>
      <c r="K1193" s="911">
        <f t="shared" si="277"/>
        <v>2.57887941534714</v>
      </c>
      <c r="L1193" s="671">
        <f t="shared" si="284"/>
        <v>0</v>
      </c>
      <c r="M1193" s="672">
        <f t="shared" si="278"/>
        <v>0</v>
      </c>
      <c r="N1193" s="670">
        <f t="shared" si="285"/>
        <v>0</v>
      </c>
      <c r="O1193" s="670">
        <f t="shared" si="279"/>
        <v>0</v>
      </c>
      <c r="P1193" s="670">
        <f t="shared" si="280"/>
        <v>25.2054761904762</v>
      </c>
      <c r="Q1193" s="675">
        <f t="shared" si="281"/>
        <v>23.2665934065934</v>
      </c>
      <c r="R1193">
        <f t="shared" si="282"/>
        <v>91</v>
      </c>
      <c r="S1193" s="667">
        <f t="shared" si="283"/>
        <v>0.110840438489647</v>
      </c>
    </row>
    <row r="1194" spans="1:19">
      <c r="A1194" s="1010">
        <v>45841</v>
      </c>
      <c r="B1194" s="670">
        <v>2327.47</v>
      </c>
      <c r="C1194" s="37">
        <v>7177</v>
      </c>
      <c r="D1194" s="37">
        <v>828</v>
      </c>
      <c r="E1194" s="37">
        <v>2</v>
      </c>
      <c r="F1194" s="670">
        <v>65965</v>
      </c>
      <c r="G1194" s="37">
        <v>46</v>
      </c>
      <c r="H1194" s="37">
        <v>5</v>
      </c>
      <c r="I1194" s="37">
        <v>0</v>
      </c>
      <c r="J1194" s="672">
        <f t="shared" si="276"/>
        <v>0.115368538386512</v>
      </c>
      <c r="K1194" s="911">
        <f t="shared" si="277"/>
        <v>2.81095410628019</v>
      </c>
      <c r="L1194" s="671">
        <f t="shared" si="284"/>
        <v>28.3419335157918</v>
      </c>
      <c r="M1194" s="672">
        <f t="shared" si="278"/>
        <v>0.00241545893719807</v>
      </c>
      <c r="N1194" s="670">
        <f t="shared" si="285"/>
        <v>32982.5</v>
      </c>
      <c r="O1194" s="670">
        <f t="shared" si="279"/>
        <v>1163.735</v>
      </c>
      <c r="P1194" s="670">
        <f t="shared" si="280"/>
        <v>50.5971739130435</v>
      </c>
      <c r="Q1194" s="675">
        <f t="shared" si="281"/>
        <v>45.6366666666667</v>
      </c>
      <c r="R1194">
        <f t="shared" si="282"/>
        <v>51</v>
      </c>
      <c r="S1194" s="667">
        <f t="shared" si="283"/>
        <v>0.0615942028985507</v>
      </c>
    </row>
    <row r="1195" spans="1:19">
      <c r="A1195" s="1010">
        <v>45842</v>
      </c>
      <c r="B1195" s="670">
        <v>2318.36</v>
      </c>
      <c r="C1195" s="37">
        <v>7679</v>
      </c>
      <c r="D1195" s="37">
        <v>820</v>
      </c>
      <c r="E1195" s="37">
        <v>4</v>
      </c>
      <c r="F1195" s="670">
        <v>28475</v>
      </c>
      <c r="G1195" s="37">
        <v>71</v>
      </c>
      <c r="H1195" s="37">
        <v>4</v>
      </c>
      <c r="I1195" s="37">
        <v>1</v>
      </c>
      <c r="J1195" s="672">
        <f t="shared" si="276"/>
        <v>0.106784737596041</v>
      </c>
      <c r="K1195" s="911">
        <f t="shared" si="277"/>
        <v>2.82726829268293</v>
      </c>
      <c r="L1195" s="671">
        <f t="shared" si="284"/>
        <v>12.2823892751773</v>
      </c>
      <c r="M1195" s="672">
        <f t="shared" si="278"/>
        <v>0.0048780487804878</v>
      </c>
      <c r="N1195" s="670">
        <f t="shared" si="285"/>
        <v>7118.75</v>
      </c>
      <c r="O1195" s="670">
        <f t="shared" si="279"/>
        <v>579.59</v>
      </c>
      <c r="P1195" s="670">
        <f t="shared" si="280"/>
        <v>32.6529577464789</v>
      </c>
      <c r="Q1195" s="675">
        <f t="shared" si="281"/>
        <v>30.9114666666667</v>
      </c>
      <c r="R1195">
        <f t="shared" si="282"/>
        <v>75</v>
      </c>
      <c r="S1195" s="667">
        <f t="shared" si="283"/>
        <v>0.0914634146341463</v>
      </c>
    </row>
    <row r="1196" spans="1:19">
      <c r="A1196" s="1010">
        <v>45843</v>
      </c>
      <c r="B1196" s="670">
        <v>2355.48</v>
      </c>
      <c r="C1196" s="37">
        <v>7579</v>
      </c>
      <c r="D1196" s="37">
        <v>782</v>
      </c>
      <c r="E1196" s="37">
        <v>0</v>
      </c>
      <c r="F1196" s="670">
        <v>0</v>
      </c>
      <c r="G1196" s="37">
        <v>62</v>
      </c>
      <c r="H1196" s="37">
        <v>8</v>
      </c>
      <c r="I1196" s="37">
        <v>4</v>
      </c>
      <c r="J1196" s="672">
        <f t="shared" si="276"/>
        <v>0.103179839028896</v>
      </c>
      <c r="K1196" s="911">
        <f t="shared" si="277"/>
        <v>3.01212276214834</v>
      </c>
      <c r="L1196" s="671">
        <f t="shared" si="284"/>
        <v>0</v>
      </c>
      <c r="M1196" s="672">
        <f t="shared" si="278"/>
        <v>0</v>
      </c>
      <c r="N1196" s="670">
        <f t="shared" si="285"/>
        <v>0</v>
      </c>
      <c r="O1196" s="670">
        <f t="shared" si="279"/>
        <v>0</v>
      </c>
      <c r="P1196" s="670">
        <f t="shared" si="280"/>
        <v>37.9916129032258</v>
      </c>
      <c r="Q1196" s="675">
        <f t="shared" si="281"/>
        <v>33.6497142857143</v>
      </c>
      <c r="R1196">
        <f t="shared" si="282"/>
        <v>70</v>
      </c>
      <c r="S1196" s="667">
        <f t="shared" si="283"/>
        <v>0.0895140664961637</v>
      </c>
    </row>
    <row r="1197" spans="1:19">
      <c r="A1197" s="1010">
        <v>45844</v>
      </c>
      <c r="B1197" s="670">
        <v>2397.95</v>
      </c>
      <c r="C1197" s="37">
        <v>6774</v>
      </c>
      <c r="D1197" s="37">
        <v>833</v>
      </c>
      <c r="E1197" s="37">
        <v>5</v>
      </c>
      <c r="F1197" s="670">
        <v>71626</v>
      </c>
      <c r="G1197" s="37">
        <v>65</v>
      </c>
      <c r="H1197" s="37">
        <v>10</v>
      </c>
      <c r="I1197" s="37">
        <v>2</v>
      </c>
      <c r="J1197" s="672">
        <f t="shared" si="276"/>
        <v>0.122970180100384</v>
      </c>
      <c r="K1197" s="911">
        <f t="shared" si="277"/>
        <v>2.87869147659064</v>
      </c>
      <c r="L1197" s="671">
        <f t="shared" si="284"/>
        <v>29.8696803519673</v>
      </c>
      <c r="M1197" s="672">
        <f t="shared" si="278"/>
        <v>0.00600240096038415</v>
      </c>
      <c r="N1197" s="670">
        <f t="shared" si="285"/>
        <v>14325.2</v>
      </c>
      <c r="O1197" s="670">
        <f t="shared" si="279"/>
        <v>479.59</v>
      </c>
      <c r="P1197" s="670">
        <f t="shared" si="280"/>
        <v>36.8915384615385</v>
      </c>
      <c r="Q1197" s="675">
        <f t="shared" si="281"/>
        <v>31.9726666666667</v>
      </c>
      <c r="R1197">
        <f t="shared" si="282"/>
        <v>75</v>
      </c>
      <c r="S1197" s="667">
        <f t="shared" si="283"/>
        <v>0.0900360144057623</v>
      </c>
    </row>
    <row r="1198" spans="1:19">
      <c r="A1198" s="1010">
        <v>45845</v>
      </c>
      <c r="B1198" s="670">
        <v>2369.83</v>
      </c>
      <c r="C1198" s="37">
        <v>7020</v>
      </c>
      <c r="D1198" s="37">
        <v>835</v>
      </c>
      <c r="E1198" s="37">
        <v>7</v>
      </c>
      <c r="F1198" s="670">
        <v>63586</v>
      </c>
      <c r="G1198" s="37">
        <v>52</v>
      </c>
      <c r="H1198" s="37">
        <v>9</v>
      </c>
      <c r="I1198" s="37">
        <v>9</v>
      </c>
      <c r="J1198" s="672">
        <f t="shared" si="276"/>
        <v>0.118945868945869</v>
      </c>
      <c r="K1198" s="911">
        <f t="shared" si="277"/>
        <v>2.83811976047904</v>
      </c>
      <c r="L1198" s="671">
        <f t="shared" si="284"/>
        <v>26.8314604845073</v>
      </c>
      <c r="M1198" s="672">
        <f t="shared" si="278"/>
        <v>0.00838323353293413</v>
      </c>
      <c r="N1198" s="670">
        <f t="shared" si="285"/>
        <v>9083.71428571429</v>
      </c>
      <c r="O1198" s="670">
        <f t="shared" si="279"/>
        <v>338.547142857143</v>
      </c>
      <c r="P1198" s="670">
        <f t="shared" si="280"/>
        <v>45.5736538461538</v>
      </c>
      <c r="Q1198" s="675">
        <f t="shared" si="281"/>
        <v>38.8496721311475</v>
      </c>
      <c r="R1198">
        <f t="shared" si="282"/>
        <v>61</v>
      </c>
      <c r="S1198" s="667">
        <f t="shared" si="283"/>
        <v>0.0730538922155689</v>
      </c>
    </row>
    <row r="1199" spans="1:19">
      <c r="A1199" s="1010">
        <v>45846</v>
      </c>
      <c r="B1199" s="670">
        <v>2420.97</v>
      </c>
      <c r="C1199" s="37">
        <v>7499</v>
      </c>
      <c r="D1199" s="37">
        <v>941</v>
      </c>
      <c r="E1199" s="37">
        <v>4</v>
      </c>
      <c r="F1199" s="670">
        <v>73169</v>
      </c>
      <c r="G1199" s="37">
        <v>61</v>
      </c>
      <c r="H1199" s="37">
        <v>3</v>
      </c>
      <c r="I1199" s="37">
        <v>5</v>
      </c>
      <c r="J1199" s="672">
        <f t="shared" si="276"/>
        <v>0.125483397786372</v>
      </c>
      <c r="K1199" s="911">
        <f t="shared" si="277"/>
        <v>2.57276301806589</v>
      </c>
      <c r="L1199" s="671">
        <f t="shared" si="284"/>
        <v>30.223009785334</v>
      </c>
      <c r="M1199" s="672">
        <f t="shared" si="278"/>
        <v>0.00425079702444208</v>
      </c>
      <c r="N1199" s="670">
        <f t="shared" si="285"/>
        <v>18292.25</v>
      </c>
      <c r="O1199" s="670">
        <f t="shared" si="279"/>
        <v>605.2425</v>
      </c>
      <c r="P1199" s="670">
        <f t="shared" si="280"/>
        <v>39.6880327868852</v>
      </c>
      <c r="Q1199" s="675">
        <f t="shared" si="281"/>
        <v>37.82765625</v>
      </c>
      <c r="R1199">
        <f t="shared" si="282"/>
        <v>64</v>
      </c>
      <c r="S1199" s="667">
        <f t="shared" si="283"/>
        <v>0.0680127523910733</v>
      </c>
    </row>
    <row r="1200" spans="1:19">
      <c r="A1200" s="1010">
        <v>45847</v>
      </c>
      <c r="B1200" s="670">
        <v>2354.15</v>
      </c>
      <c r="C1200" s="37">
        <v>8678</v>
      </c>
      <c r="D1200" s="37">
        <v>903</v>
      </c>
      <c r="E1200" s="37">
        <v>0</v>
      </c>
      <c r="F1200" s="670">
        <v>0</v>
      </c>
      <c r="G1200" s="37">
        <v>52</v>
      </c>
      <c r="H1200" s="37">
        <v>4</v>
      </c>
      <c r="I1200" s="37">
        <v>6</v>
      </c>
      <c r="J1200" s="672">
        <f t="shared" si="276"/>
        <v>0.104056234155335</v>
      </c>
      <c r="K1200" s="911">
        <f t="shared" si="277"/>
        <v>2.60703211517165</v>
      </c>
      <c r="L1200" s="671">
        <f t="shared" si="284"/>
        <v>0</v>
      </c>
      <c r="M1200" s="672">
        <f t="shared" si="278"/>
        <v>0</v>
      </c>
      <c r="N1200" s="670">
        <f t="shared" si="285"/>
        <v>0</v>
      </c>
      <c r="O1200" s="670">
        <f t="shared" si="279"/>
        <v>0</v>
      </c>
      <c r="P1200" s="670">
        <f t="shared" si="280"/>
        <v>45.2721153846154</v>
      </c>
      <c r="Q1200" s="675">
        <f t="shared" si="281"/>
        <v>42.0383928571429</v>
      </c>
      <c r="R1200">
        <f t="shared" si="282"/>
        <v>56</v>
      </c>
      <c r="S1200" s="667">
        <f t="shared" si="283"/>
        <v>0.062015503875969</v>
      </c>
    </row>
    <row r="1201" spans="1:19">
      <c r="A1201" s="1010">
        <v>45848</v>
      </c>
      <c r="B1201" s="670">
        <v>2638.11</v>
      </c>
      <c r="C1201" s="37">
        <v>9599</v>
      </c>
      <c r="D1201" s="37">
        <v>974</v>
      </c>
      <c r="E1201" s="37">
        <v>2</v>
      </c>
      <c r="F1201" s="670">
        <v>41000</v>
      </c>
      <c r="G1201" s="37">
        <v>75</v>
      </c>
      <c r="H1201" s="37">
        <v>8</v>
      </c>
      <c r="I1201" s="37">
        <v>3</v>
      </c>
      <c r="J1201" s="672">
        <f t="shared" ref="J1201:J1264" si="286">D1201/C1201</f>
        <v>0.10146890301073</v>
      </c>
      <c r="K1201" s="911">
        <f t="shared" ref="K1201:K1264" si="287">B1201/D1201</f>
        <v>2.7085318275154</v>
      </c>
      <c r="L1201" s="671">
        <f t="shared" si="284"/>
        <v>15.5414292808109</v>
      </c>
      <c r="M1201" s="672">
        <f t="shared" ref="M1201:M1264" si="288">E1201/D1201</f>
        <v>0.00205338809034908</v>
      </c>
      <c r="N1201" s="670">
        <f t="shared" si="285"/>
        <v>20500</v>
      </c>
      <c r="O1201" s="670">
        <f t="shared" ref="O1201:O1264" si="289">IF(E1201=0,0,B1201/E1201)</f>
        <v>1319.055</v>
      </c>
      <c r="P1201" s="670">
        <f t="shared" ref="P1201:P1264" si="290">B1201/G1201</f>
        <v>35.1748</v>
      </c>
      <c r="Q1201" s="675">
        <f t="shared" ref="Q1201:Q1264" si="291">B1201/(G1201+H1201)</f>
        <v>31.7844578313253</v>
      </c>
      <c r="R1201">
        <f t="shared" ref="R1201:R1264" si="292">G1201+H1201</f>
        <v>83</v>
      </c>
      <c r="S1201" s="667">
        <f t="shared" ref="S1201:S1264" si="293">R1201/D1201</f>
        <v>0.0852156057494867</v>
      </c>
    </row>
    <row r="1202" spans="1:19">
      <c r="A1202" s="1010">
        <v>45849</v>
      </c>
      <c r="B1202" s="670">
        <v>2628.47</v>
      </c>
      <c r="C1202" s="37">
        <v>9882</v>
      </c>
      <c r="D1202" s="37">
        <v>1312</v>
      </c>
      <c r="E1202" s="37">
        <v>1</v>
      </c>
      <c r="F1202" s="670">
        <v>30144</v>
      </c>
      <c r="G1202" s="37">
        <v>49</v>
      </c>
      <c r="H1202" s="37">
        <v>7</v>
      </c>
      <c r="I1202" s="37">
        <v>5</v>
      </c>
      <c r="J1202" s="672">
        <f t="shared" si="286"/>
        <v>0.132766646427849</v>
      </c>
      <c r="K1202" s="911">
        <f t="shared" si="287"/>
        <v>2.00340701219512</v>
      </c>
      <c r="L1202" s="671">
        <f t="shared" si="284"/>
        <v>11.4682686125389</v>
      </c>
      <c r="M1202" s="672">
        <f t="shared" si="288"/>
        <v>0.00076219512195122</v>
      </c>
      <c r="N1202" s="670">
        <f t="shared" si="285"/>
        <v>30144</v>
      </c>
      <c r="O1202" s="670">
        <f t="shared" si="289"/>
        <v>2628.47</v>
      </c>
      <c r="P1202" s="670">
        <f t="shared" si="290"/>
        <v>53.6422448979592</v>
      </c>
      <c r="Q1202" s="675">
        <f t="shared" si="291"/>
        <v>46.9369642857143</v>
      </c>
      <c r="R1202">
        <f t="shared" si="292"/>
        <v>56</v>
      </c>
      <c r="S1202" s="667">
        <f t="shared" si="293"/>
        <v>0.0426829268292683</v>
      </c>
    </row>
    <row r="1203" spans="1:19">
      <c r="A1203" s="1010">
        <v>45850</v>
      </c>
      <c r="B1203" s="670">
        <v>2469.43</v>
      </c>
      <c r="C1203" s="37">
        <v>10562</v>
      </c>
      <c r="D1203" s="37">
        <v>1035</v>
      </c>
      <c r="E1203" s="37">
        <v>1</v>
      </c>
      <c r="F1203" s="670">
        <v>13294</v>
      </c>
      <c r="G1203" s="37">
        <v>51</v>
      </c>
      <c r="H1203" s="37">
        <v>5</v>
      </c>
      <c r="I1203" s="37">
        <v>5</v>
      </c>
      <c r="J1203" s="672">
        <f t="shared" si="286"/>
        <v>0.0979928043931074</v>
      </c>
      <c r="K1203" s="911">
        <f t="shared" si="287"/>
        <v>2.38592270531401</v>
      </c>
      <c r="L1203" s="671">
        <f t="shared" si="284"/>
        <v>5.38342856448654</v>
      </c>
      <c r="M1203" s="672">
        <f t="shared" si="288"/>
        <v>0.000966183574879227</v>
      </c>
      <c r="N1203" s="670">
        <f t="shared" si="285"/>
        <v>13294</v>
      </c>
      <c r="O1203" s="670">
        <f t="shared" si="289"/>
        <v>2469.43</v>
      </c>
      <c r="P1203" s="670">
        <f t="shared" si="290"/>
        <v>48.4201960784314</v>
      </c>
      <c r="Q1203" s="675">
        <f t="shared" si="291"/>
        <v>44.0969642857143</v>
      </c>
      <c r="R1203">
        <f t="shared" si="292"/>
        <v>56</v>
      </c>
      <c r="S1203" s="667">
        <f t="shared" si="293"/>
        <v>0.0541062801932367</v>
      </c>
    </row>
    <row r="1204" spans="1:19">
      <c r="A1204" s="1010">
        <v>45851</v>
      </c>
      <c r="B1204" s="670">
        <v>2064.35</v>
      </c>
      <c r="C1204" s="37">
        <v>8752</v>
      </c>
      <c r="D1204" s="37">
        <v>902</v>
      </c>
      <c r="E1204" s="37">
        <v>3</v>
      </c>
      <c r="F1204" s="670">
        <v>55027</v>
      </c>
      <c r="G1204" s="37">
        <v>42</v>
      </c>
      <c r="H1204" s="37">
        <v>2</v>
      </c>
      <c r="I1204" s="37">
        <v>6</v>
      </c>
      <c r="J1204" s="672">
        <f t="shared" si="286"/>
        <v>0.103062157221207</v>
      </c>
      <c r="K1204" s="911">
        <f t="shared" si="287"/>
        <v>2.28863636363636</v>
      </c>
      <c r="L1204" s="671">
        <f t="shared" ref="L1204:L1267" si="294">F1204/B1204</f>
        <v>26.6558480877758</v>
      </c>
      <c r="M1204" s="672">
        <f t="shared" si="288"/>
        <v>0.00332594235033259</v>
      </c>
      <c r="N1204" s="670">
        <f t="shared" ref="N1204:N1267" si="295">IF(E1204=0,0,F1204/E1204)</f>
        <v>18342.3333333333</v>
      </c>
      <c r="O1204" s="670">
        <f t="shared" si="289"/>
        <v>688.116666666667</v>
      </c>
      <c r="P1204" s="670">
        <f t="shared" si="290"/>
        <v>49.1511904761905</v>
      </c>
      <c r="Q1204" s="675">
        <f t="shared" si="291"/>
        <v>46.9170454545455</v>
      </c>
      <c r="R1204">
        <f t="shared" si="292"/>
        <v>44</v>
      </c>
      <c r="S1204" s="667">
        <f t="shared" si="293"/>
        <v>0.0487804878048781</v>
      </c>
    </row>
    <row r="1205" spans="1:19">
      <c r="A1205" s="1010">
        <v>45852</v>
      </c>
      <c r="B1205" s="670">
        <v>2087.7</v>
      </c>
      <c r="C1205" s="37">
        <v>8439</v>
      </c>
      <c r="D1205" s="37">
        <v>934</v>
      </c>
      <c r="E1205" s="37">
        <v>2</v>
      </c>
      <c r="F1205" s="670">
        <v>27608</v>
      </c>
      <c r="G1205" s="37">
        <v>60</v>
      </c>
      <c r="H1205" s="37">
        <v>4</v>
      </c>
      <c r="I1205" s="37">
        <v>2</v>
      </c>
      <c r="J1205" s="672">
        <f t="shared" si="286"/>
        <v>0.11067662045266</v>
      </c>
      <c r="K1205" s="911">
        <f t="shared" si="287"/>
        <v>2.23522483940043</v>
      </c>
      <c r="L1205" s="671">
        <f t="shared" si="294"/>
        <v>13.2241222397854</v>
      </c>
      <c r="M1205" s="672">
        <f t="shared" si="288"/>
        <v>0.00214132762312634</v>
      </c>
      <c r="N1205" s="670">
        <f t="shared" si="295"/>
        <v>13804</v>
      </c>
      <c r="O1205" s="670">
        <f t="shared" si="289"/>
        <v>1043.85</v>
      </c>
      <c r="P1205" s="670">
        <f t="shared" si="290"/>
        <v>34.795</v>
      </c>
      <c r="Q1205" s="675">
        <f t="shared" si="291"/>
        <v>32.6203125</v>
      </c>
      <c r="R1205">
        <f t="shared" si="292"/>
        <v>64</v>
      </c>
      <c r="S1205" s="667">
        <f t="shared" si="293"/>
        <v>0.0685224839400428</v>
      </c>
    </row>
    <row r="1206" spans="1:19">
      <c r="A1206" s="1010">
        <v>45853</v>
      </c>
      <c r="B1206" s="670">
        <v>2097.98</v>
      </c>
      <c r="C1206" s="37">
        <v>8424</v>
      </c>
      <c r="D1206" s="37">
        <v>874</v>
      </c>
      <c r="E1206" s="37">
        <v>1</v>
      </c>
      <c r="F1206" s="670">
        <v>270</v>
      </c>
      <c r="G1206" s="37">
        <v>56</v>
      </c>
      <c r="H1206" s="37">
        <v>4</v>
      </c>
      <c r="I1206" s="37">
        <v>5</v>
      </c>
      <c r="J1206" s="672">
        <f t="shared" si="286"/>
        <v>0.10375118708452</v>
      </c>
      <c r="K1206" s="911">
        <f t="shared" si="287"/>
        <v>2.4004347826087</v>
      </c>
      <c r="L1206" s="671">
        <f t="shared" si="294"/>
        <v>0.128695221117456</v>
      </c>
      <c r="M1206" s="672">
        <f t="shared" si="288"/>
        <v>0.0011441647597254</v>
      </c>
      <c r="N1206" s="670">
        <f t="shared" si="295"/>
        <v>270</v>
      </c>
      <c r="O1206" s="670">
        <f t="shared" si="289"/>
        <v>2097.98</v>
      </c>
      <c r="P1206" s="670">
        <f t="shared" si="290"/>
        <v>37.4639285714286</v>
      </c>
      <c r="Q1206" s="675">
        <f t="shared" si="291"/>
        <v>34.9663333333333</v>
      </c>
      <c r="R1206">
        <f t="shared" si="292"/>
        <v>60</v>
      </c>
      <c r="S1206" s="667">
        <f t="shared" si="293"/>
        <v>0.068649885583524</v>
      </c>
    </row>
    <row r="1207" spans="1:19">
      <c r="A1207" s="1010">
        <v>45854</v>
      </c>
      <c r="B1207" s="670">
        <v>1918.9</v>
      </c>
      <c r="C1207" s="37">
        <v>7548</v>
      </c>
      <c r="D1207" s="37">
        <v>928</v>
      </c>
      <c r="E1207" s="37">
        <v>5</v>
      </c>
      <c r="F1207" s="670">
        <v>75755</v>
      </c>
      <c r="G1207" s="37">
        <v>57</v>
      </c>
      <c r="H1207" s="37">
        <v>6</v>
      </c>
      <c r="I1207" s="37">
        <v>4</v>
      </c>
      <c r="J1207" s="672">
        <f t="shared" si="286"/>
        <v>0.122946475887652</v>
      </c>
      <c r="K1207" s="911">
        <f t="shared" si="287"/>
        <v>2.06778017241379</v>
      </c>
      <c r="L1207" s="671">
        <f t="shared" si="294"/>
        <v>39.478346969618</v>
      </c>
      <c r="M1207" s="672">
        <f t="shared" si="288"/>
        <v>0.00538793103448276</v>
      </c>
      <c r="N1207" s="670">
        <f t="shared" si="295"/>
        <v>15151</v>
      </c>
      <c r="O1207" s="670">
        <f t="shared" si="289"/>
        <v>383.78</v>
      </c>
      <c r="P1207" s="670">
        <f t="shared" si="290"/>
        <v>33.6649122807018</v>
      </c>
      <c r="Q1207" s="675">
        <f t="shared" si="291"/>
        <v>30.4587301587302</v>
      </c>
      <c r="R1207">
        <f t="shared" si="292"/>
        <v>63</v>
      </c>
      <c r="S1207" s="667">
        <f t="shared" si="293"/>
        <v>0.0678879310344828</v>
      </c>
    </row>
    <row r="1208" spans="1:19">
      <c r="A1208" s="1010">
        <v>45855</v>
      </c>
      <c r="B1208" s="670">
        <v>1983.47</v>
      </c>
      <c r="C1208" s="37">
        <v>6538</v>
      </c>
      <c r="D1208" s="37">
        <v>864</v>
      </c>
      <c r="E1208" s="37">
        <v>2</v>
      </c>
      <c r="F1208" s="670">
        <v>12572</v>
      </c>
      <c r="G1208" s="37">
        <v>71</v>
      </c>
      <c r="H1208" s="37">
        <v>12</v>
      </c>
      <c r="I1208" s="37">
        <v>1</v>
      </c>
      <c r="J1208" s="672">
        <f t="shared" si="286"/>
        <v>0.132150504741511</v>
      </c>
      <c r="K1208" s="911">
        <f t="shared" si="287"/>
        <v>2.29568287037037</v>
      </c>
      <c r="L1208" s="671">
        <f t="shared" si="294"/>
        <v>6.33838676662617</v>
      </c>
      <c r="M1208" s="672">
        <f t="shared" si="288"/>
        <v>0.00231481481481481</v>
      </c>
      <c r="N1208" s="670">
        <f t="shared" si="295"/>
        <v>6286</v>
      </c>
      <c r="O1208" s="670">
        <f t="shared" si="289"/>
        <v>991.735</v>
      </c>
      <c r="P1208" s="670">
        <f t="shared" si="290"/>
        <v>27.9361971830986</v>
      </c>
      <c r="Q1208" s="675">
        <f t="shared" si="291"/>
        <v>23.8972289156627</v>
      </c>
      <c r="R1208">
        <f t="shared" si="292"/>
        <v>83</v>
      </c>
      <c r="S1208" s="667">
        <f t="shared" si="293"/>
        <v>0.0960648148148148</v>
      </c>
    </row>
    <row r="1209" spans="1:19">
      <c r="A1209" s="1010">
        <v>45856</v>
      </c>
      <c r="B1209" s="670">
        <v>2017.19</v>
      </c>
      <c r="C1209" s="37">
        <v>7216</v>
      </c>
      <c r="D1209" s="37">
        <v>885</v>
      </c>
      <c r="E1209" s="37">
        <v>0</v>
      </c>
      <c r="F1209" s="670">
        <v>0</v>
      </c>
      <c r="G1209" s="37">
        <v>62</v>
      </c>
      <c r="H1209" s="37">
        <v>3</v>
      </c>
      <c r="I1209" s="37">
        <v>5</v>
      </c>
      <c r="J1209" s="672">
        <f t="shared" si="286"/>
        <v>0.122644124168514</v>
      </c>
      <c r="K1209" s="911">
        <f t="shared" si="287"/>
        <v>2.27931073446328</v>
      </c>
      <c r="L1209" s="671">
        <f t="shared" si="294"/>
        <v>0</v>
      </c>
      <c r="M1209" s="672">
        <f t="shared" si="288"/>
        <v>0</v>
      </c>
      <c r="N1209" s="670">
        <f t="shared" si="295"/>
        <v>0</v>
      </c>
      <c r="O1209" s="670">
        <f t="shared" si="289"/>
        <v>0</v>
      </c>
      <c r="P1209" s="670">
        <f t="shared" si="290"/>
        <v>32.5353225806452</v>
      </c>
      <c r="Q1209" s="675">
        <f t="shared" si="291"/>
        <v>31.0336923076923</v>
      </c>
      <c r="R1209">
        <f t="shared" si="292"/>
        <v>65</v>
      </c>
      <c r="S1209" s="667">
        <f t="shared" si="293"/>
        <v>0.0734463276836158</v>
      </c>
    </row>
    <row r="1210" spans="1:19">
      <c r="A1210" s="1010">
        <v>45857</v>
      </c>
      <c r="B1210" s="670">
        <v>1735.05</v>
      </c>
      <c r="C1210" s="37">
        <v>6846</v>
      </c>
      <c r="D1210" s="37">
        <v>848</v>
      </c>
      <c r="E1210" s="37">
        <v>0</v>
      </c>
      <c r="F1210" s="670">
        <v>0</v>
      </c>
      <c r="G1210" s="37">
        <v>56</v>
      </c>
      <c r="H1210" s="37">
        <v>5</v>
      </c>
      <c r="I1210" s="37">
        <v>4</v>
      </c>
      <c r="J1210" s="672">
        <f t="shared" si="286"/>
        <v>0.123867952088811</v>
      </c>
      <c r="K1210" s="911">
        <f t="shared" si="287"/>
        <v>2.04604952830189</v>
      </c>
      <c r="L1210" s="671">
        <f t="shared" si="294"/>
        <v>0</v>
      </c>
      <c r="M1210" s="672">
        <f t="shared" si="288"/>
        <v>0</v>
      </c>
      <c r="N1210" s="670">
        <f t="shared" si="295"/>
        <v>0</v>
      </c>
      <c r="O1210" s="670">
        <f t="shared" si="289"/>
        <v>0</v>
      </c>
      <c r="P1210" s="670">
        <f t="shared" si="290"/>
        <v>30.9830357142857</v>
      </c>
      <c r="Q1210" s="675">
        <f t="shared" si="291"/>
        <v>28.4434426229508</v>
      </c>
      <c r="R1210">
        <f t="shared" si="292"/>
        <v>61</v>
      </c>
      <c r="S1210" s="667">
        <f t="shared" si="293"/>
        <v>0.0719339622641509</v>
      </c>
    </row>
    <row r="1211" spans="1:19">
      <c r="A1211" s="1010">
        <v>45858</v>
      </c>
      <c r="B1211" s="670">
        <v>1732.36</v>
      </c>
      <c r="C1211" s="37">
        <v>7369</v>
      </c>
      <c r="D1211" s="37">
        <v>952</v>
      </c>
      <c r="E1211" s="37">
        <v>3</v>
      </c>
      <c r="F1211" s="670">
        <v>54603</v>
      </c>
      <c r="G1211" s="37">
        <v>60</v>
      </c>
      <c r="H1211" s="37">
        <v>5</v>
      </c>
      <c r="I1211" s="37">
        <v>6</v>
      </c>
      <c r="J1211" s="672">
        <f t="shared" si="286"/>
        <v>0.129189849368978</v>
      </c>
      <c r="K1211" s="911">
        <f t="shared" si="287"/>
        <v>1.81970588235294</v>
      </c>
      <c r="L1211" s="671">
        <f t="shared" si="294"/>
        <v>31.519430141541</v>
      </c>
      <c r="M1211" s="672">
        <f t="shared" si="288"/>
        <v>0.00315126050420168</v>
      </c>
      <c r="N1211" s="670">
        <f t="shared" si="295"/>
        <v>18201</v>
      </c>
      <c r="O1211" s="670">
        <f t="shared" si="289"/>
        <v>577.453333333333</v>
      </c>
      <c r="P1211" s="670">
        <f t="shared" si="290"/>
        <v>28.8726666666667</v>
      </c>
      <c r="Q1211" s="675">
        <f t="shared" si="291"/>
        <v>26.6516923076923</v>
      </c>
      <c r="R1211">
        <f t="shared" si="292"/>
        <v>65</v>
      </c>
      <c r="S1211" s="667">
        <f t="shared" si="293"/>
        <v>0.0682773109243697</v>
      </c>
    </row>
    <row r="1212" spans="1:19">
      <c r="A1212" s="1010">
        <v>45859</v>
      </c>
      <c r="B1212" s="670">
        <v>1708.03</v>
      </c>
      <c r="C1212" s="37">
        <v>8084</v>
      </c>
      <c r="D1212" s="37">
        <v>880</v>
      </c>
      <c r="E1212" s="37">
        <v>1</v>
      </c>
      <c r="F1212" s="670">
        <v>6198</v>
      </c>
      <c r="G1212" s="37">
        <v>64</v>
      </c>
      <c r="H1212" s="37">
        <v>6</v>
      </c>
      <c r="I1212" s="37">
        <v>9</v>
      </c>
      <c r="J1212" s="672">
        <f t="shared" si="286"/>
        <v>0.108857001484414</v>
      </c>
      <c r="K1212" s="911">
        <f t="shared" si="287"/>
        <v>1.94094318181818</v>
      </c>
      <c r="L1212" s="671">
        <f t="shared" si="294"/>
        <v>3.62874188392476</v>
      </c>
      <c r="M1212" s="672">
        <f t="shared" si="288"/>
        <v>0.00113636363636364</v>
      </c>
      <c r="N1212" s="670">
        <f t="shared" si="295"/>
        <v>6198</v>
      </c>
      <c r="O1212" s="670">
        <f t="shared" si="289"/>
        <v>1708.03</v>
      </c>
      <c r="P1212" s="670">
        <f t="shared" si="290"/>
        <v>26.68796875</v>
      </c>
      <c r="Q1212" s="675">
        <f t="shared" si="291"/>
        <v>24.4004285714286</v>
      </c>
      <c r="R1212">
        <f t="shared" si="292"/>
        <v>70</v>
      </c>
      <c r="S1212" s="667">
        <f t="shared" si="293"/>
        <v>0.0795454545454545</v>
      </c>
    </row>
    <row r="1213" spans="1:19">
      <c r="A1213" s="1010">
        <v>45860</v>
      </c>
      <c r="B1213" s="670">
        <v>1730.57</v>
      </c>
      <c r="C1213" s="37">
        <v>7220</v>
      </c>
      <c r="D1213" s="37">
        <v>888</v>
      </c>
      <c r="E1213" s="37">
        <v>4</v>
      </c>
      <c r="F1213" s="670">
        <v>62280</v>
      </c>
      <c r="G1213" s="37">
        <v>61</v>
      </c>
      <c r="H1213" s="37">
        <v>5</v>
      </c>
      <c r="I1213" s="37">
        <v>5</v>
      </c>
      <c r="J1213" s="672">
        <f t="shared" si="286"/>
        <v>0.122991689750693</v>
      </c>
      <c r="K1213" s="911">
        <f t="shared" si="287"/>
        <v>1.94884009009009</v>
      </c>
      <c r="L1213" s="671">
        <f t="shared" si="294"/>
        <v>35.9881426350856</v>
      </c>
      <c r="M1213" s="672">
        <f t="shared" si="288"/>
        <v>0.0045045045045045</v>
      </c>
      <c r="N1213" s="670">
        <f t="shared" si="295"/>
        <v>15570</v>
      </c>
      <c r="O1213" s="670">
        <f t="shared" si="289"/>
        <v>432.6425</v>
      </c>
      <c r="P1213" s="670">
        <f t="shared" si="290"/>
        <v>28.37</v>
      </c>
      <c r="Q1213" s="675">
        <f t="shared" si="291"/>
        <v>26.2207575757576</v>
      </c>
      <c r="R1213">
        <f t="shared" si="292"/>
        <v>66</v>
      </c>
      <c r="S1213" s="667">
        <f t="shared" si="293"/>
        <v>0.0743243243243243</v>
      </c>
    </row>
    <row r="1214" spans="1:19">
      <c r="A1214" s="1010">
        <v>45861</v>
      </c>
      <c r="B1214" s="670">
        <v>1993.78</v>
      </c>
      <c r="C1214" s="37">
        <v>7539</v>
      </c>
      <c r="D1214" s="37">
        <v>852</v>
      </c>
      <c r="E1214" s="37">
        <v>1</v>
      </c>
      <c r="F1214" s="670">
        <v>15854</v>
      </c>
      <c r="G1214" s="37">
        <v>60</v>
      </c>
      <c r="H1214" s="37">
        <v>4</v>
      </c>
      <c r="I1214" s="37">
        <v>5</v>
      </c>
      <c r="J1214" s="672">
        <f t="shared" si="286"/>
        <v>0.113012335853561</v>
      </c>
      <c r="K1214" s="911">
        <f t="shared" si="287"/>
        <v>2.34011737089202</v>
      </c>
      <c r="L1214" s="671">
        <f t="shared" si="294"/>
        <v>7.95172987992657</v>
      </c>
      <c r="M1214" s="672">
        <f t="shared" si="288"/>
        <v>0.00117370892018779</v>
      </c>
      <c r="N1214" s="670">
        <f t="shared" si="295"/>
        <v>15854</v>
      </c>
      <c r="O1214" s="670">
        <f t="shared" si="289"/>
        <v>1993.78</v>
      </c>
      <c r="P1214" s="670">
        <f t="shared" si="290"/>
        <v>33.2296666666667</v>
      </c>
      <c r="Q1214" s="675">
        <f t="shared" si="291"/>
        <v>31.1528125</v>
      </c>
      <c r="R1214">
        <f t="shared" si="292"/>
        <v>64</v>
      </c>
      <c r="S1214" s="667">
        <f t="shared" si="293"/>
        <v>0.0751173708920188</v>
      </c>
    </row>
    <row r="1215" spans="1:19">
      <c r="A1215" s="1010">
        <v>45862</v>
      </c>
      <c r="B1215" s="670">
        <v>1823.52</v>
      </c>
      <c r="C1215" s="37">
        <v>6782</v>
      </c>
      <c r="D1215" s="37">
        <v>779</v>
      </c>
      <c r="E1215" s="37">
        <v>1</v>
      </c>
      <c r="F1215" s="670">
        <v>8134</v>
      </c>
      <c r="G1215" s="37">
        <v>30</v>
      </c>
      <c r="H1215" s="37">
        <v>5</v>
      </c>
      <c r="I1215" s="37">
        <v>6</v>
      </c>
      <c r="J1215" s="672">
        <f t="shared" si="286"/>
        <v>0.114862872309053</v>
      </c>
      <c r="K1215" s="911">
        <f t="shared" si="287"/>
        <v>2.34084724005135</v>
      </c>
      <c r="L1215" s="671">
        <f t="shared" si="294"/>
        <v>4.46060366763183</v>
      </c>
      <c r="M1215" s="672">
        <f t="shared" si="288"/>
        <v>0.00128369704749679</v>
      </c>
      <c r="N1215" s="670">
        <f t="shared" si="295"/>
        <v>8134</v>
      </c>
      <c r="O1215" s="670">
        <f t="shared" si="289"/>
        <v>1823.52</v>
      </c>
      <c r="P1215" s="670">
        <f t="shared" si="290"/>
        <v>60.784</v>
      </c>
      <c r="Q1215" s="675">
        <f t="shared" si="291"/>
        <v>52.1005714285714</v>
      </c>
      <c r="R1215">
        <f t="shared" si="292"/>
        <v>35</v>
      </c>
      <c r="S1215" s="667">
        <f t="shared" si="293"/>
        <v>0.0449293966623877</v>
      </c>
    </row>
    <row r="1216" spans="1:19">
      <c r="A1216" s="1010">
        <v>45863</v>
      </c>
      <c r="B1216" s="670">
        <v>2233.42</v>
      </c>
      <c r="C1216" s="37">
        <v>8464</v>
      </c>
      <c r="D1216" s="37">
        <v>904</v>
      </c>
      <c r="E1216" s="37">
        <v>0</v>
      </c>
      <c r="F1216" s="670">
        <v>0</v>
      </c>
      <c r="G1216" s="37">
        <v>52</v>
      </c>
      <c r="H1216" s="37">
        <v>6</v>
      </c>
      <c r="I1216" s="37">
        <v>1</v>
      </c>
      <c r="J1216" s="672">
        <f t="shared" si="286"/>
        <v>0.106805293005671</v>
      </c>
      <c r="K1216" s="911">
        <f t="shared" si="287"/>
        <v>2.47059734513274</v>
      </c>
      <c r="L1216" s="671">
        <f t="shared" si="294"/>
        <v>0</v>
      </c>
      <c r="M1216" s="672">
        <f t="shared" si="288"/>
        <v>0</v>
      </c>
      <c r="N1216" s="670">
        <f t="shared" si="295"/>
        <v>0</v>
      </c>
      <c r="O1216" s="670">
        <f t="shared" si="289"/>
        <v>0</v>
      </c>
      <c r="P1216" s="670">
        <f t="shared" si="290"/>
        <v>42.9503846153846</v>
      </c>
      <c r="Q1216" s="675">
        <f t="shared" si="291"/>
        <v>38.5072413793103</v>
      </c>
      <c r="R1216">
        <f t="shared" si="292"/>
        <v>58</v>
      </c>
      <c r="S1216" s="667">
        <f t="shared" si="293"/>
        <v>0.0641592920353982</v>
      </c>
    </row>
    <row r="1217" spans="1:19">
      <c r="A1217" s="1010">
        <v>45864</v>
      </c>
      <c r="B1217" s="670">
        <v>2303.96</v>
      </c>
      <c r="C1217" s="37">
        <v>8323</v>
      </c>
      <c r="D1217" s="37">
        <v>951</v>
      </c>
      <c r="E1217" s="37">
        <v>2</v>
      </c>
      <c r="F1217" s="670">
        <v>37053</v>
      </c>
      <c r="G1217" s="37">
        <v>53</v>
      </c>
      <c r="H1217" s="37">
        <v>8</v>
      </c>
      <c r="I1217" s="37">
        <v>1</v>
      </c>
      <c r="J1217" s="672">
        <f t="shared" si="286"/>
        <v>0.114261684488766</v>
      </c>
      <c r="K1217" s="911">
        <f t="shared" si="287"/>
        <v>2.42267087276551</v>
      </c>
      <c r="L1217" s="671">
        <f t="shared" si="294"/>
        <v>16.0823104567788</v>
      </c>
      <c r="M1217" s="672">
        <f t="shared" si="288"/>
        <v>0.00210304942166141</v>
      </c>
      <c r="N1217" s="670">
        <f t="shared" si="295"/>
        <v>18526.5</v>
      </c>
      <c r="O1217" s="670">
        <f t="shared" si="289"/>
        <v>1151.98</v>
      </c>
      <c r="P1217" s="670">
        <f t="shared" si="290"/>
        <v>43.4709433962264</v>
      </c>
      <c r="Q1217" s="675">
        <f t="shared" si="291"/>
        <v>37.7698360655738</v>
      </c>
      <c r="R1217">
        <f t="shared" si="292"/>
        <v>61</v>
      </c>
      <c r="S1217" s="667">
        <f t="shared" si="293"/>
        <v>0.064143007360673</v>
      </c>
    </row>
    <row r="1218" spans="1:19">
      <c r="A1218" s="1010">
        <v>45865</v>
      </c>
      <c r="B1218" s="670">
        <v>2043.7</v>
      </c>
      <c r="C1218" s="37">
        <v>8629</v>
      </c>
      <c r="D1218" s="37">
        <v>956</v>
      </c>
      <c r="E1218" s="37">
        <v>0</v>
      </c>
      <c r="F1218" s="670">
        <v>0</v>
      </c>
      <c r="G1218" s="37">
        <v>34</v>
      </c>
      <c r="H1218" s="37">
        <v>5</v>
      </c>
      <c r="I1218" s="37">
        <v>3</v>
      </c>
      <c r="J1218" s="672">
        <f t="shared" si="286"/>
        <v>0.11078919921196</v>
      </c>
      <c r="K1218" s="911">
        <f t="shared" si="287"/>
        <v>2.13776150627615</v>
      </c>
      <c r="L1218" s="671">
        <f t="shared" si="294"/>
        <v>0</v>
      </c>
      <c r="M1218" s="672">
        <f t="shared" si="288"/>
        <v>0</v>
      </c>
      <c r="N1218" s="670">
        <f t="shared" si="295"/>
        <v>0</v>
      </c>
      <c r="O1218" s="670">
        <f t="shared" si="289"/>
        <v>0</v>
      </c>
      <c r="P1218" s="670">
        <f t="shared" si="290"/>
        <v>60.1088235294118</v>
      </c>
      <c r="Q1218" s="675">
        <f t="shared" si="291"/>
        <v>52.4025641025641</v>
      </c>
      <c r="R1218">
        <f t="shared" si="292"/>
        <v>39</v>
      </c>
      <c r="S1218" s="667">
        <f t="shared" si="293"/>
        <v>0.0407949790794979</v>
      </c>
    </row>
    <row r="1219" spans="1:19">
      <c r="A1219" s="1010">
        <v>45866</v>
      </c>
      <c r="B1219" s="670">
        <v>2210</v>
      </c>
      <c r="C1219" s="37">
        <v>7559</v>
      </c>
      <c r="D1219" s="37">
        <v>941</v>
      </c>
      <c r="E1219" s="37">
        <v>3</v>
      </c>
      <c r="F1219" s="670">
        <v>26510</v>
      </c>
      <c r="G1219" s="37">
        <v>67</v>
      </c>
      <c r="H1219" s="37">
        <v>9</v>
      </c>
      <c r="I1219" s="37">
        <v>6</v>
      </c>
      <c r="J1219" s="672">
        <f t="shared" si="286"/>
        <v>0.124487366053711</v>
      </c>
      <c r="K1219" s="911">
        <f t="shared" si="287"/>
        <v>2.34856535600425</v>
      </c>
      <c r="L1219" s="671">
        <f t="shared" si="294"/>
        <v>11.9954751131222</v>
      </c>
      <c r="M1219" s="672">
        <f t="shared" si="288"/>
        <v>0.00318809776833156</v>
      </c>
      <c r="N1219" s="670">
        <f t="shared" si="295"/>
        <v>8836.66666666667</v>
      </c>
      <c r="O1219" s="670">
        <f t="shared" si="289"/>
        <v>736.666666666667</v>
      </c>
      <c r="P1219" s="670">
        <f t="shared" si="290"/>
        <v>32.9850746268657</v>
      </c>
      <c r="Q1219" s="675">
        <f t="shared" si="291"/>
        <v>29.0789473684211</v>
      </c>
      <c r="R1219">
        <f t="shared" si="292"/>
        <v>76</v>
      </c>
      <c r="S1219" s="667">
        <f t="shared" si="293"/>
        <v>0.0807651434643996</v>
      </c>
    </row>
    <row r="1220" spans="1:19">
      <c r="A1220" s="1010">
        <v>45867</v>
      </c>
      <c r="B1220" s="670">
        <v>2285.94</v>
      </c>
      <c r="C1220" s="37">
        <v>9147</v>
      </c>
      <c r="D1220" s="37">
        <v>1011</v>
      </c>
      <c r="E1220" s="37">
        <v>0</v>
      </c>
      <c r="F1220" s="670">
        <v>0</v>
      </c>
      <c r="G1220" s="37">
        <v>41</v>
      </c>
      <c r="H1220" s="37">
        <v>5</v>
      </c>
      <c r="I1220" s="37">
        <v>0</v>
      </c>
      <c r="J1220" s="672">
        <f t="shared" si="286"/>
        <v>0.110528041980977</v>
      </c>
      <c r="K1220" s="911">
        <f t="shared" si="287"/>
        <v>2.26106824925816</v>
      </c>
      <c r="L1220" s="671">
        <f t="shared" si="294"/>
        <v>0</v>
      </c>
      <c r="M1220" s="672">
        <f t="shared" si="288"/>
        <v>0</v>
      </c>
      <c r="N1220" s="670">
        <f t="shared" si="295"/>
        <v>0</v>
      </c>
      <c r="O1220" s="670">
        <f t="shared" si="289"/>
        <v>0</v>
      </c>
      <c r="P1220" s="670">
        <f t="shared" si="290"/>
        <v>55.7546341463415</v>
      </c>
      <c r="Q1220" s="675">
        <f t="shared" si="291"/>
        <v>49.694347826087</v>
      </c>
      <c r="R1220">
        <f t="shared" si="292"/>
        <v>46</v>
      </c>
      <c r="S1220" s="667">
        <f t="shared" si="293"/>
        <v>0.0454995054401583</v>
      </c>
    </row>
    <row r="1221" spans="1:19">
      <c r="A1221" s="1010">
        <v>45868</v>
      </c>
      <c r="B1221" s="670">
        <v>2268.62</v>
      </c>
      <c r="C1221" s="37">
        <v>8187</v>
      </c>
      <c r="D1221" s="37">
        <v>959</v>
      </c>
      <c r="E1221" s="37">
        <v>4</v>
      </c>
      <c r="F1221" s="670">
        <v>44806</v>
      </c>
      <c r="G1221" s="37">
        <v>37</v>
      </c>
      <c r="H1221" s="37">
        <v>8</v>
      </c>
      <c r="I1221" s="37">
        <v>3</v>
      </c>
      <c r="J1221" s="672">
        <f t="shared" si="286"/>
        <v>0.117136924392329</v>
      </c>
      <c r="K1221" s="911">
        <f t="shared" si="287"/>
        <v>2.36561001042753</v>
      </c>
      <c r="L1221" s="671">
        <f t="shared" si="294"/>
        <v>19.7503328014388</v>
      </c>
      <c r="M1221" s="672">
        <f t="shared" si="288"/>
        <v>0.00417101147028154</v>
      </c>
      <c r="N1221" s="670">
        <f t="shared" si="295"/>
        <v>11201.5</v>
      </c>
      <c r="O1221" s="670">
        <f t="shared" si="289"/>
        <v>567.155</v>
      </c>
      <c r="P1221" s="670">
        <f t="shared" si="290"/>
        <v>61.3140540540541</v>
      </c>
      <c r="Q1221" s="675">
        <f t="shared" si="291"/>
        <v>50.4137777777778</v>
      </c>
      <c r="R1221">
        <f t="shared" si="292"/>
        <v>45</v>
      </c>
      <c r="S1221" s="667">
        <f t="shared" si="293"/>
        <v>0.0469238790406674</v>
      </c>
    </row>
    <row r="1222" spans="1:19">
      <c r="A1222" s="1010">
        <v>45869</v>
      </c>
      <c r="B1222" s="670">
        <v>2185.48</v>
      </c>
      <c r="C1222" s="37">
        <v>9082</v>
      </c>
      <c r="D1222" s="37">
        <v>992</v>
      </c>
      <c r="E1222" s="37">
        <v>0</v>
      </c>
      <c r="F1222" s="670">
        <v>0</v>
      </c>
      <c r="G1222" s="37">
        <v>48</v>
      </c>
      <c r="H1222" s="37">
        <v>11</v>
      </c>
      <c r="I1222" s="37">
        <v>7</v>
      </c>
      <c r="J1222" s="672">
        <f t="shared" si="286"/>
        <v>0.109227042501652</v>
      </c>
      <c r="K1222" s="911">
        <f t="shared" si="287"/>
        <v>2.20310483870968</v>
      </c>
      <c r="L1222" s="671">
        <f t="shared" si="294"/>
        <v>0</v>
      </c>
      <c r="M1222" s="672">
        <f t="shared" si="288"/>
        <v>0</v>
      </c>
      <c r="N1222" s="670">
        <f t="shared" si="295"/>
        <v>0</v>
      </c>
      <c r="O1222" s="670">
        <f t="shared" si="289"/>
        <v>0</v>
      </c>
      <c r="P1222" s="670">
        <f t="shared" si="290"/>
        <v>45.5308333333333</v>
      </c>
      <c r="Q1222" s="675">
        <f t="shared" si="291"/>
        <v>37.0420338983051</v>
      </c>
      <c r="R1222">
        <f t="shared" si="292"/>
        <v>59</v>
      </c>
      <c r="S1222" s="667">
        <f t="shared" si="293"/>
        <v>0.0594758064516129</v>
      </c>
    </row>
    <row r="1223" spans="1:19">
      <c r="A1223" s="1010">
        <v>45870</v>
      </c>
      <c r="B1223" s="670">
        <v>1931.32</v>
      </c>
      <c r="C1223" s="38">
        <v>6918</v>
      </c>
      <c r="D1223" s="37">
        <v>751</v>
      </c>
      <c r="E1223" s="37">
        <v>1</v>
      </c>
      <c r="F1223" s="670">
        <v>23022</v>
      </c>
      <c r="G1223" s="37">
        <v>45</v>
      </c>
      <c r="H1223" s="37">
        <v>3</v>
      </c>
      <c r="I1223" s="37">
        <v>5</v>
      </c>
      <c r="J1223" s="672">
        <f t="shared" si="286"/>
        <v>0.108557386527898</v>
      </c>
      <c r="K1223" s="911">
        <f t="shared" si="287"/>
        <v>2.57166444740346</v>
      </c>
      <c r="L1223" s="671">
        <f t="shared" si="294"/>
        <v>11.9203446347576</v>
      </c>
      <c r="M1223" s="672">
        <f t="shared" si="288"/>
        <v>0.00133155792276964</v>
      </c>
      <c r="N1223" s="670">
        <f t="shared" si="295"/>
        <v>23022</v>
      </c>
      <c r="O1223" s="670">
        <f t="shared" si="289"/>
        <v>1931.32</v>
      </c>
      <c r="P1223" s="670">
        <f t="shared" si="290"/>
        <v>42.9182222222222</v>
      </c>
      <c r="Q1223" s="675">
        <f t="shared" si="291"/>
        <v>40.2358333333333</v>
      </c>
      <c r="R1223">
        <f t="shared" si="292"/>
        <v>48</v>
      </c>
      <c r="S1223" s="667">
        <f t="shared" si="293"/>
        <v>0.0639147802929427</v>
      </c>
    </row>
    <row r="1224" spans="1:19">
      <c r="A1224" s="1010">
        <v>45871</v>
      </c>
      <c r="B1224" s="670">
        <v>2162.99</v>
      </c>
      <c r="C1224" s="37">
        <v>6755</v>
      </c>
      <c r="D1224" s="37">
        <v>912</v>
      </c>
      <c r="E1224" s="37">
        <v>7</v>
      </c>
      <c r="F1224" s="670">
        <v>93880</v>
      </c>
      <c r="G1224" s="37">
        <v>63</v>
      </c>
      <c r="H1224" s="37">
        <v>5</v>
      </c>
      <c r="I1224" s="37">
        <v>5</v>
      </c>
      <c r="J1224" s="672">
        <f t="shared" si="286"/>
        <v>0.135011102886751</v>
      </c>
      <c r="K1224" s="911">
        <f t="shared" si="287"/>
        <v>2.37169956140351</v>
      </c>
      <c r="L1224" s="671">
        <f t="shared" si="294"/>
        <v>43.4028821215077</v>
      </c>
      <c r="M1224" s="672">
        <f t="shared" si="288"/>
        <v>0.00767543859649123</v>
      </c>
      <c r="N1224" s="670">
        <f t="shared" si="295"/>
        <v>13411.4285714286</v>
      </c>
      <c r="O1224" s="670">
        <f t="shared" si="289"/>
        <v>308.998571428571</v>
      </c>
      <c r="P1224" s="670">
        <f t="shared" si="290"/>
        <v>34.3331746031746</v>
      </c>
      <c r="Q1224" s="675">
        <f t="shared" si="291"/>
        <v>31.8086764705882</v>
      </c>
      <c r="R1224">
        <f t="shared" si="292"/>
        <v>68</v>
      </c>
      <c r="S1224" s="667">
        <f t="shared" si="293"/>
        <v>0.0745614035087719</v>
      </c>
    </row>
    <row r="1225" spans="1:19">
      <c r="A1225" s="1010">
        <v>45872</v>
      </c>
      <c r="B1225" s="670">
        <v>2205.25</v>
      </c>
      <c r="C1225" s="37">
        <v>8235</v>
      </c>
      <c r="D1225" s="37">
        <v>1154</v>
      </c>
      <c r="E1225" s="37">
        <v>2</v>
      </c>
      <c r="F1225" s="670">
        <v>27786</v>
      </c>
      <c r="G1225" s="37">
        <v>64</v>
      </c>
      <c r="H1225" s="37">
        <v>4</v>
      </c>
      <c r="I1225" s="37">
        <v>4</v>
      </c>
      <c r="J1225" s="672">
        <f t="shared" si="286"/>
        <v>0.14013357619915</v>
      </c>
      <c r="K1225" s="911">
        <f t="shared" si="287"/>
        <v>1.91096187175043</v>
      </c>
      <c r="L1225" s="671">
        <f t="shared" si="294"/>
        <v>12.5999319805011</v>
      </c>
      <c r="M1225" s="672">
        <f t="shared" si="288"/>
        <v>0.00173310225303293</v>
      </c>
      <c r="N1225" s="670">
        <f t="shared" si="295"/>
        <v>13893</v>
      </c>
      <c r="O1225" s="670">
        <f t="shared" si="289"/>
        <v>1102.625</v>
      </c>
      <c r="P1225" s="670">
        <f t="shared" si="290"/>
        <v>34.45703125</v>
      </c>
      <c r="Q1225" s="675">
        <f t="shared" si="291"/>
        <v>32.4301470588235</v>
      </c>
      <c r="R1225">
        <f t="shared" si="292"/>
        <v>68</v>
      </c>
      <c r="S1225" s="667">
        <f t="shared" si="293"/>
        <v>0.0589254766031196</v>
      </c>
    </row>
    <row r="1226" spans="1:19">
      <c r="A1226" s="1010">
        <v>45873</v>
      </c>
      <c r="B1226" s="670">
        <v>2273.14</v>
      </c>
      <c r="C1226" s="37">
        <v>7203</v>
      </c>
      <c r="D1226" s="37">
        <v>1096</v>
      </c>
      <c r="E1226" s="37">
        <v>7</v>
      </c>
      <c r="F1226" s="670">
        <v>85188</v>
      </c>
      <c r="G1226" s="37">
        <v>57</v>
      </c>
      <c r="H1226" s="37">
        <v>7</v>
      </c>
      <c r="I1226" s="37">
        <v>5</v>
      </c>
      <c r="J1226" s="672">
        <f t="shared" si="286"/>
        <v>0.152158822712759</v>
      </c>
      <c r="K1226" s="911">
        <f t="shared" si="287"/>
        <v>2.07403284671533</v>
      </c>
      <c r="L1226" s="671">
        <f t="shared" si="294"/>
        <v>37.4759143739497</v>
      </c>
      <c r="M1226" s="672">
        <f t="shared" si="288"/>
        <v>0.00638686131386861</v>
      </c>
      <c r="N1226" s="670">
        <f t="shared" si="295"/>
        <v>12169.7142857143</v>
      </c>
      <c r="O1226" s="670">
        <f t="shared" si="289"/>
        <v>324.734285714286</v>
      </c>
      <c r="P1226" s="670">
        <f t="shared" si="290"/>
        <v>39.879649122807</v>
      </c>
      <c r="Q1226" s="675">
        <f t="shared" si="291"/>
        <v>35.5178125</v>
      </c>
      <c r="R1226">
        <f t="shared" si="292"/>
        <v>64</v>
      </c>
      <c r="S1226" s="667">
        <f t="shared" si="293"/>
        <v>0.0583941605839416</v>
      </c>
    </row>
    <row r="1227" spans="1:19">
      <c r="A1227" s="1010">
        <v>45874</v>
      </c>
      <c r="B1227" s="670">
        <v>2215.15</v>
      </c>
      <c r="C1227" s="37">
        <v>6738</v>
      </c>
      <c r="D1227" s="37">
        <v>954</v>
      </c>
      <c r="E1227" s="37">
        <v>2</v>
      </c>
      <c r="F1227" s="670">
        <v>30238</v>
      </c>
      <c r="G1227" s="37">
        <v>56</v>
      </c>
      <c r="H1227" s="37">
        <v>4</v>
      </c>
      <c r="I1227" s="37">
        <v>3</v>
      </c>
      <c r="J1227" s="672">
        <f t="shared" si="286"/>
        <v>0.141585040071238</v>
      </c>
      <c r="K1227" s="911">
        <f t="shared" si="287"/>
        <v>2.32196016771488</v>
      </c>
      <c r="L1227" s="671">
        <f t="shared" si="294"/>
        <v>13.6505428526285</v>
      </c>
      <c r="M1227" s="672">
        <f t="shared" si="288"/>
        <v>0.00209643605870021</v>
      </c>
      <c r="N1227" s="670">
        <f t="shared" si="295"/>
        <v>15119</v>
      </c>
      <c r="O1227" s="670">
        <f t="shared" si="289"/>
        <v>1107.575</v>
      </c>
      <c r="P1227" s="670">
        <f t="shared" si="290"/>
        <v>39.55625</v>
      </c>
      <c r="Q1227" s="675">
        <f t="shared" si="291"/>
        <v>36.9191666666667</v>
      </c>
      <c r="R1227">
        <f t="shared" si="292"/>
        <v>60</v>
      </c>
      <c r="S1227" s="667">
        <f t="shared" si="293"/>
        <v>0.0628930817610063</v>
      </c>
    </row>
    <row r="1228" spans="1:19">
      <c r="A1228" s="1010">
        <v>45875</v>
      </c>
      <c r="B1228" s="670">
        <v>2164.37</v>
      </c>
      <c r="C1228" s="37">
        <v>6339</v>
      </c>
      <c r="D1228" s="37">
        <v>928</v>
      </c>
      <c r="E1228" s="37">
        <v>1</v>
      </c>
      <c r="F1228" s="670">
        <v>2422</v>
      </c>
      <c r="G1228" s="37">
        <v>58</v>
      </c>
      <c r="H1228" s="37">
        <v>8</v>
      </c>
      <c r="I1228" s="37">
        <v>2</v>
      </c>
      <c r="J1228" s="672">
        <f t="shared" si="286"/>
        <v>0.146395330493769</v>
      </c>
      <c r="K1228" s="911">
        <f t="shared" si="287"/>
        <v>2.33229525862069</v>
      </c>
      <c r="L1228" s="671">
        <f t="shared" si="294"/>
        <v>1.11903232811395</v>
      </c>
      <c r="M1228" s="672">
        <f t="shared" si="288"/>
        <v>0.00107758620689655</v>
      </c>
      <c r="N1228" s="670">
        <f t="shared" si="295"/>
        <v>2422</v>
      </c>
      <c r="O1228" s="670">
        <f t="shared" si="289"/>
        <v>2164.37</v>
      </c>
      <c r="P1228" s="670">
        <f t="shared" si="290"/>
        <v>37.316724137931</v>
      </c>
      <c r="Q1228" s="675">
        <f t="shared" si="291"/>
        <v>32.7934848484848</v>
      </c>
      <c r="R1228">
        <f t="shared" si="292"/>
        <v>66</v>
      </c>
      <c r="S1228" s="667">
        <f t="shared" si="293"/>
        <v>0.0711206896551724</v>
      </c>
    </row>
    <row r="1229" spans="1:19">
      <c r="A1229" s="1010">
        <v>45876</v>
      </c>
      <c r="B1229" s="670">
        <v>2215.01</v>
      </c>
      <c r="C1229" s="37">
        <v>6556</v>
      </c>
      <c r="D1229" s="37">
        <v>906</v>
      </c>
      <c r="E1229" s="37">
        <v>4</v>
      </c>
      <c r="F1229" s="670">
        <v>37354</v>
      </c>
      <c r="G1229" s="37">
        <v>71</v>
      </c>
      <c r="H1229" s="37">
        <v>4</v>
      </c>
      <c r="I1229" s="37">
        <v>3</v>
      </c>
      <c r="J1229" s="672">
        <f t="shared" si="286"/>
        <v>0.138194020744356</v>
      </c>
      <c r="K1229" s="911">
        <f t="shared" si="287"/>
        <v>2.4448233995585</v>
      </c>
      <c r="L1229" s="671">
        <f t="shared" si="294"/>
        <v>16.8640322165588</v>
      </c>
      <c r="M1229" s="672">
        <f t="shared" si="288"/>
        <v>0.00441501103752759</v>
      </c>
      <c r="N1229" s="670">
        <f t="shared" si="295"/>
        <v>9338.5</v>
      </c>
      <c r="O1229" s="670">
        <f t="shared" si="289"/>
        <v>553.7525</v>
      </c>
      <c r="P1229" s="670">
        <f t="shared" si="290"/>
        <v>31.197323943662</v>
      </c>
      <c r="Q1229" s="675">
        <f t="shared" si="291"/>
        <v>29.5334666666667</v>
      </c>
      <c r="R1229">
        <f t="shared" si="292"/>
        <v>75</v>
      </c>
      <c r="S1229" s="667">
        <f t="shared" si="293"/>
        <v>0.0827814569536424</v>
      </c>
    </row>
    <row r="1230" spans="1:19">
      <c r="A1230" s="1010">
        <v>45877</v>
      </c>
      <c r="B1230" s="670">
        <v>2246.91</v>
      </c>
      <c r="C1230" s="37">
        <v>6388</v>
      </c>
      <c r="D1230" s="37">
        <v>884</v>
      </c>
      <c r="E1230" s="37">
        <v>5</v>
      </c>
      <c r="F1230" s="670">
        <v>86798</v>
      </c>
      <c r="G1230" s="37">
        <v>58</v>
      </c>
      <c r="H1230" s="37">
        <v>6</v>
      </c>
      <c r="I1230" s="37">
        <v>3</v>
      </c>
      <c r="J1230" s="672">
        <f t="shared" si="286"/>
        <v>0.138384470882905</v>
      </c>
      <c r="K1230" s="911">
        <f t="shared" si="287"/>
        <v>2.54175339366516</v>
      </c>
      <c r="L1230" s="671">
        <f t="shared" si="294"/>
        <v>38.6299406740813</v>
      </c>
      <c r="M1230" s="672">
        <f t="shared" si="288"/>
        <v>0.00565610859728507</v>
      </c>
      <c r="N1230" s="670">
        <f t="shared" si="295"/>
        <v>17359.6</v>
      </c>
      <c r="O1230" s="670">
        <f t="shared" si="289"/>
        <v>449.382</v>
      </c>
      <c r="P1230" s="670">
        <f t="shared" si="290"/>
        <v>38.7398275862069</v>
      </c>
      <c r="Q1230" s="675">
        <f t="shared" si="291"/>
        <v>35.10796875</v>
      </c>
      <c r="R1230">
        <f t="shared" si="292"/>
        <v>64</v>
      </c>
      <c r="S1230" s="667">
        <f t="shared" si="293"/>
        <v>0.0723981900452489</v>
      </c>
    </row>
    <row r="1231" spans="1:19">
      <c r="A1231" s="1010">
        <v>45878</v>
      </c>
      <c r="B1231" s="670">
        <v>1796.31</v>
      </c>
      <c r="C1231" s="37">
        <v>5577</v>
      </c>
      <c r="D1231" s="37">
        <v>655</v>
      </c>
      <c r="E1231" s="37">
        <v>4</v>
      </c>
      <c r="F1231" s="670">
        <v>40455</v>
      </c>
      <c r="G1231" s="37">
        <v>55</v>
      </c>
      <c r="H1231" s="37">
        <v>7</v>
      </c>
      <c r="I1231" s="37">
        <v>6</v>
      </c>
      <c r="J1231" s="672">
        <f t="shared" si="286"/>
        <v>0.117446655908194</v>
      </c>
      <c r="K1231" s="911">
        <f t="shared" si="287"/>
        <v>2.74245801526718</v>
      </c>
      <c r="L1231" s="671">
        <f t="shared" si="294"/>
        <v>22.5211683952102</v>
      </c>
      <c r="M1231" s="672">
        <f t="shared" si="288"/>
        <v>0.00610687022900763</v>
      </c>
      <c r="N1231" s="670">
        <f t="shared" si="295"/>
        <v>10113.75</v>
      </c>
      <c r="O1231" s="670">
        <f t="shared" si="289"/>
        <v>449.0775</v>
      </c>
      <c r="P1231" s="670">
        <f t="shared" si="290"/>
        <v>32.6601818181818</v>
      </c>
      <c r="Q1231" s="675">
        <f t="shared" si="291"/>
        <v>28.9727419354839</v>
      </c>
      <c r="R1231">
        <f t="shared" si="292"/>
        <v>62</v>
      </c>
      <c r="S1231" s="667">
        <f t="shared" si="293"/>
        <v>0.0946564885496183</v>
      </c>
    </row>
    <row r="1232" spans="1:19">
      <c r="A1232" s="1010">
        <v>45879</v>
      </c>
      <c r="B1232" s="670">
        <v>1809.45</v>
      </c>
      <c r="C1232" s="37">
        <v>6968</v>
      </c>
      <c r="D1232" s="37">
        <v>810</v>
      </c>
      <c r="E1232" s="37">
        <v>0</v>
      </c>
      <c r="F1232" s="670">
        <v>0</v>
      </c>
      <c r="G1232" s="37">
        <v>50</v>
      </c>
      <c r="H1232" s="37">
        <v>7</v>
      </c>
      <c r="I1232" s="37">
        <v>2</v>
      </c>
      <c r="J1232" s="672">
        <f t="shared" si="286"/>
        <v>0.116245694603904</v>
      </c>
      <c r="K1232" s="911">
        <f t="shared" si="287"/>
        <v>2.23388888888889</v>
      </c>
      <c r="L1232" s="671">
        <f t="shared" si="294"/>
        <v>0</v>
      </c>
      <c r="M1232" s="672">
        <f t="shared" si="288"/>
        <v>0</v>
      </c>
      <c r="N1232" s="670">
        <f t="shared" si="295"/>
        <v>0</v>
      </c>
      <c r="O1232" s="670">
        <f t="shared" si="289"/>
        <v>0</v>
      </c>
      <c r="P1232" s="670">
        <f t="shared" si="290"/>
        <v>36.189</v>
      </c>
      <c r="Q1232" s="675">
        <f t="shared" si="291"/>
        <v>31.7447368421053</v>
      </c>
      <c r="R1232">
        <f t="shared" si="292"/>
        <v>57</v>
      </c>
      <c r="S1232" s="667">
        <f t="shared" si="293"/>
        <v>0.0703703703703704</v>
      </c>
    </row>
    <row r="1233" spans="1:19">
      <c r="A1233" s="1010">
        <v>45880</v>
      </c>
      <c r="B1233" s="670">
        <v>2165.55</v>
      </c>
      <c r="C1233" s="37">
        <v>6435</v>
      </c>
      <c r="D1233" s="37">
        <v>881</v>
      </c>
      <c r="E1233" s="37">
        <v>7</v>
      </c>
      <c r="F1233" s="670">
        <v>112330</v>
      </c>
      <c r="G1233" s="37">
        <v>67</v>
      </c>
      <c r="H1233" s="37">
        <v>5</v>
      </c>
      <c r="I1233" s="37">
        <v>6</v>
      </c>
      <c r="J1233" s="672">
        <f t="shared" si="286"/>
        <v>0.136907536907537</v>
      </c>
      <c r="K1233" s="911">
        <f t="shared" si="287"/>
        <v>2.45805902383655</v>
      </c>
      <c r="L1233" s="671">
        <f t="shared" si="294"/>
        <v>51.8713490799104</v>
      </c>
      <c r="M1233" s="672">
        <f t="shared" si="288"/>
        <v>0.00794551645856981</v>
      </c>
      <c r="N1233" s="670">
        <f t="shared" si="295"/>
        <v>16047.1428571429</v>
      </c>
      <c r="O1233" s="670">
        <f t="shared" si="289"/>
        <v>309.364285714286</v>
      </c>
      <c r="P1233" s="670">
        <f t="shared" si="290"/>
        <v>32.3216417910448</v>
      </c>
      <c r="Q1233" s="675">
        <f t="shared" si="291"/>
        <v>30.0770833333333</v>
      </c>
      <c r="R1233">
        <f t="shared" si="292"/>
        <v>72</v>
      </c>
      <c r="S1233" s="667">
        <f t="shared" si="293"/>
        <v>0.0817253121452894</v>
      </c>
    </row>
    <row r="1234" spans="1:19">
      <c r="A1234" s="1010">
        <v>45881</v>
      </c>
      <c r="B1234" s="670">
        <v>2220.96</v>
      </c>
      <c r="C1234" s="37">
        <v>6459</v>
      </c>
      <c r="D1234" s="37">
        <v>897</v>
      </c>
      <c r="E1234" s="37">
        <v>2</v>
      </c>
      <c r="F1234" s="670">
        <v>19774</v>
      </c>
      <c r="G1234" s="37">
        <v>55</v>
      </c>
      <c r="H1234" s="37">
        <v>5</v>
      </c>
      <c r="I1234" s="37">
        <v>5</v>
      </c>
      <c r="J1234" s="672">
        <f t="shared" si="286"/>
        <v>0.138875986994891</v>
      </c>
      <c r="K1234" s="911">
        <f t="shared" si="287"/>
        <v>2.47598662207358</v>
      </c>
      <c r="L1234" s="671">
        <f t="shared" si="294"/>
        <v>8.90335710683668</v>
      </c>
      <c r="M1234" s="672">
        <f t="shared" si="288"/>
        <v>0.00222965440356745</v>
      </c>
      <c r="N1234" s="670">
        <f t="shared" si="295"/>
        <v>9887</v>
      </c>
      <c r="O1234" s="670">
        <f t="shared" si="289"/>
        <v>1110.48</v>
      </c>
      <c r="P1234" s="670">
        <f t="shared" si="290"/>
        <v>40.3810909090909</v>
      </c>
      <c r="Q1234" s="675">
        <f t="shared" si="291"/>
        <v>37.016</v>
      </c>
      <c r="R1234">
        <f t="shared" si="292"/>
        <v>60</v>
      </c>
      <c r="S1234" s="667">
        <f t="shared" si="293"/>
        <v>0.0668896321070234</v>
      </c>
    </row>
    <row r="1235" spans="1:19">
      <c r="A1235" s="1010">
        <v>45882</v>
      </c>
      <c r="B1235" s="670">
        <v>2209.07</v>
      </c>
      <c r="C1235" s="37">
        <v>7066</v>
      </c>
      <c r="D1235" s="37">
        <v>997</v>
      </c>
      <c r="E1235" s="37">
        <v>7</v>
      </c>
      <c r="F1235" s="670">
        <v>104157</v>
      </c>
      <c r="G1235" s="37">
        <v>61</v>
      </c>
      <c r="H1235" s="37">
        <v>7</v>
      </c>
      <c r="I1235" s="37">
        <v>2</v>
      </c>
      <c r="J1235" s="672">
        <f t="shared" si="286"/>
        <v>0.141098216812907</v>
      </c>
      <c r="K1235" s="911">
        <f t="shared" si="287"/>
        <v>2.21571715145436</v>
      </c>
      <c r="L1235" s="671">
        <f t="shared" si="294"/>
        <v>47.1497055321923</v>
      </c>
      <c r="M1235" s="672">
        <f t="shared" si="288"/>
        <v>0.00702106318956871</v>
      </c>
      <c r="N1235" s="670">
        <f t="shared" si="295"/>
        <v>14879.5714285714</v>
      </c>
      <c r="O1235" s="670">
        <f t="shared" si="289"/>
        <v>315.581428571429</v>
      </c>
      <c r="P1235" s="670">
        <f t="shared" si="290"/>
        <v>36.214262295082</v>
      </c>
      <c r="Q1235" s="675">
        <f t="shared" si="291"/>
        <v>32.4863235294118</v>
      </c>
      <c r="R1235">
        <f t="shared" si="292"/>
        <v>68</v>
      </c>
      <c r="S1235" s="667">
        <f t="shared" si="293"/>
        <v>0.0682046138415246</v>
      </c>
    </row>
    <row r="1236" spans="1:19">
      <c r="A1236" s="1010">
        <v>45883</v>
      </c>
      <c r="B1236" s="670">
        <v>2077.17</v>
      </c>
      <c r="C1236" s="37">
        <v>6316</v>
      </c>
      <c r="D1236" s="37">
        <v>904</v>
      </c>
      <c r="E1236" s="37">
        <v>5</v>
      </c>
      <c r="F1236" s="670">
        <v>66666</v>
      </c>
      <c r="G1236" s="37">
        <v>49</v>
      </c>
      <c r="H1236" s="37">
        <v>9</v>
      </c>
      <c r="I1236" s="37">
        <v>2</v>
      </c>
      <c r="J1236" s="672">
        <f t="shared" si="286"/>
        <v>0.143128562381254</v>
      </c>
      <c r="K1236" s="911">
        <f t="shared" si="287"/>
        <v>2.29775442477876</v>
      </c>
      <c r="L1236" s="671">
        <f t="shared" si="294"/>
        <v>32.0946287496931</v>
      </c>
      <c r="M1236" s="672">
        <f t="shared" si="288"/>
        <v>0.00553097345132743</v>
      </c>
      <c r="N1236" s="670">
        <f t="shared" si="295"/>
        <v>13333.2</v>
      </c>
      <c r="O1236" s="670">
        <f t="shared" si="289"/>
        <v>415.434</v>
      </c>
      <c r="P1236" s="670">
        <f t="shared" si="290"/>
        <v>42.3912244897959</v>
      </c>
      <c r="Q1236" s="675">
        <f t="shared" si="291"/>
        <v>35.813275862069</v>
      </c>
      <c r="R1236">
        <f t="shared" si="292"/>
        <v>58</v>
      </c>
      <c r="S1236" s="667">
        <f t="shared" si="293"/>
        <v>0.0641592920353982</v>
      </c>
    </row>
    <row r="1237" spans="1:19">
      <c r="A1237" s="1010">
        <v>45884</v>
      </c>
      <c r="B1237" s="670">
        <v>2079.03</v>
      </c>
      <c r="C1237" s="37">
        <v>7365</v>
      </c>
      <c r="D1237" s="37">
        <v>923</v>
      </c>
      <c r="E1237" s="37">
        <v>0</v>
      </c>
      <c r="F1237" s="670">
        <v>0</v>
      </c>
      <c r="G1237" s="37">
        <v>62</v>
      </c>
      <c r="H1237" s="37">
        <v>0</v>
      </c>
      <c r="I1237" s="37">
        <v>2</v>
      </c>
      <c r="J1237" s="672">
        <f t="shared" si="286"/>
        <v>0.125322471147318</v>
      </c>
      <c r="K1237" s="911">
        <f t="shared" si="287"/>
        <v>2.25247020585049</v>
      </c>
      <c r="L1237" s="671">
        <f t="shared" si="294"/>
        <v>0</v>
      </c>
      <c r="M1237" s="672">
        <f t="shared" si="288"/>
        <v>0</v>
      </c>
      <c r="N1237" s="670">
        <f t="shared" si="295"/>
        <v>0</v>
      </c>
      <c r="O1237" s="670">
        <f t="shared" si="289"/>
        <v>0</v>
      </c>
      <c r="P1237" s="670">
        <f t="shared" si="290"/>
        <v>33.5327419354839</v>
      </c>
      <c r="Q1237" s="675">
        <f t="shared" si="291"/>
        <v>33.5327419354839</v>
      </c>
      <c r="R1237">
        <f t="shared" si="292"/>
        <v>62</v>
      </c>
      <c r="S1237" s="667">
        <f t="shared" si="293"/>
        <v>0.0671722643553629</v>
      </c>
    </row>
    <row r="1238" spans="1:19">
      <c r="A1238" s="1010">
        <v>45885</v>
      </c>
      <c r="B1238" s="670">
        <v>2167.49</v>
      </c>
      <c r="C1238" s="37">
        <v>7862</v>
      </c>
      <c r="D1238" s="38">
        <v>1009</v>
      </c>
      <c r="E1238" s="37">
        <v>2</v>
      </c>
      <c r="F1238" s="670">
        <v>26084</v>
      </c>
      <c r="G1238" s="37">
        <v>53</v>
      </c>
      <c r="H1238" s="37">
        <v>3</v>
      </c>
      <c r="I1238" s="37">
        <v>3</v>
      </c>
      <c r="J1238" s="672">
        <f t="shared" si="286"/>
        <v>0.128338845077588</v>
      </c>
      <c r="K1238" s="911">
        <f t="shared" si="287"/>
        <v>2.14815659068385</v>
      </c>
      <c r="L1238" s="671">
        <f t="shared" si="294"/>
        <v>12.0341962361995</v>
      </c>
      <c r="M1238" s="672">
        <f t="shared" si="288"/>
        <v>0.00198216055500496</v>
      </c>
      <c r="N1238" s="670">
        <f t="shared" si="295"/>
        <v>13042</v>
      </c>
      <c r="O1238" s="670">
        <f t="shared" si="289"/>
        <v>1083.745</v>
      </c>
      <c r="P1238" s="670">
        <f t="shared" si="290"/>
        <v>40.896037735849</v>
      </c>
      <c r="Q1238" s="675">
        <f t="shared" si="291"/>
        <v>38.7051785714286</v>
      </c>
      <c r="R1238">
        <f t="shared" si="292"/>
        <v>56</v>
      </c>
      <c r="S1238" s="667">
        <f t="shared" si="293"/>
        <v>0.0555004955401388</v>
      </c>
    </row>
    <row r="1239" spans="1:19">
      <c r="A1239" s="1010">
        <v>45886</v>
      </c>
      <c r="B1239" s="670">
        <v>2117.03</v>
      </c>
      <c r="C1239" s="37">
        <v>9259</v>
      </c>
      <c r="D1239" s="37">
        <v>1149</v>
      </c>
      <c r="E1239" s="37">
        <v>3</v>
      </c>
      <c r="F1239" s="670">
        <v>26160</v>
      </c>
      <c r="G1239" s="37">
        <v>52</v>
      </c>
      <c r="H1239" s="37">
        <v>6</v>
      </c>
      <c r="I1239" s="37">
        <v>0</v>
      </c>
      <c r="J1239" s="672">
        <f t="shared" si="286"/>
        <v>0.124095474673291</v>
      </c>
      <c r="K1239" s="911">
        <f t="shared" si="287"/>
        <v>1.84249782419495</v>
      </c>
      <c r="L1239" s="671">
        <f t="shared" si="294"/>
        <v>12.3569340066036</v>
      </c>
      <c r="M1239" s="672">
        <f t="shared" si="288"/>
        <v>0.00261096605744125</v>
      </c>
      <c r="N1239" s="670">
        <f t="shared" si="295"/>
        <v>8720</v>
      </c>
      <c r="O1239" s="670">
        <f t="shared" si="289"/>
        <v>705.676666666667</v>
      </c>
      <c r="P1239" s="670">
        <f t="shared" si="290"/>
        <v>40.7121153846154</v>
      </c>
      <c r="Q1239" s="675">
        <f t="shared" si="291"/>
        <v>36.5005172413793</v>
      </c>
      <c r="R1239">
        <f t="shared" si="292"/>
        <v>58</v>
      </c>
      <c r="S1239" s="667">
        <f t="shared" si="293"/>
        <v>0.0504786771105309</v>
      </c>
    </row>
    <row r="1240" spans="1:19">
      <c r="A1240" s="1010">
        <v>45887</v>
      </c>
      <c r="B1240" s="670">
        <v>2537.23</v>
      </c>
      <c r="C1240" s="37">
        <v>10717</v>
      </c>
      <c r="D1240" s="37">
        <v>1274</v>
      </c>
      <c r="E1240" s="37">
        <v>1</v>
      </c>
      <c r="F1240" s="670">
        <v>13314</v>
      </c>
      <c r="G1240" s="37">
        <v>56</v>
      </c>
      <c r="H1240" s="37">
        <v>10</v>
      </c>
      <c r="I1240" s="37">
        <v>0</v>
      </c>
      <c r="J1240" s="672">
        <f t="shared" si="286"/>
        <v>0.118876551273677</v>
      </c>
      <c r="K1240" s="911">
        <f t="shared" si="287"/>
        <v>1.99154631083203</v>
      </c>
      <c r="L1240" s="671">
        <f t="shared" si="294"/>
        <v>5.24745490160529</v>
      </c>
      <c r="M1240" s="672">
        <f t="shared" si="288"/>
        <v>0.000784929356357928</v>
      </c>
      <c r="N1240" s="670">
        <f t="shared" si="295"/>
        <v>13314</v>
      </c>
      <c r="O1240" s="670">
        <f t="shared" si="289"/>
        <v>2537.23</v>
      </c>
      <c r="P1240" s="670">
        <f t="shared" si="290"/>
        <v>45.3076785714286</v>
      </c>
      <c r="Q1240" s="675">
        <f t="shared" si="291"/>
        <v>38.4428787878788</v>
      </c>
      <c r="R1240">
        <f t="shared" si="292"/>
        <v>66</v>
      </c>
      <c r="S1240" s="667">
        <f t="shared" si="293"/>
        <v>0.0518053375196232</v>
      </c>
    </row>
    <row r="1241" spans="1:19">
      <c r="A1241" s="1010">
        <v>45888</v>
      </c>
      <c r="B1241" s="670">
        <v>2849.48</v>
      </c>
      <c r="C1241" s="37">
        <v>9488</v>
      </c>
      <c r="D1241" s="37">
        <v>1261</v>
      </c>
      <c r="E1241" s="37">
        <v>6</v>
      </c>
      <c r="F1241" s="670">
        <v>64392</v>
      </c>
      <c r="G1241" s="37">
        <v>49</v>
      </c>
      <c r="H1241" s="37">
        <v>4</v>
      </c>
      <c r="I1241" s="37">
        <v>4</v>
      </c>
      <c r="J1241" s="672">
        <f t="shared" si="286"/>
        <v>0.132904721753794</v>
      </c>
      <c r="K1241" s="911">
        <f t="shared" si="287"/>
        <v>2.2596986518636</v>
      </c>
      <c r="L1241" s="671">
        <f t="shared" si="294"/>
        <v>22.5978073192302</v>
      </c>
      <c r="M1241" s="672">
        <f t="shared" si="288"/>
        <v>0.00475812846946868</v>
      </c>
      <c r="N1241" s="670">
        <f t="shared" si="295"/>
        <v>10732</v>
      </c>
      <c r="O1241" s="670">
        <f t="shared" si="289"/>
        <v>474.913333333333</v>
      </c>
      <c r="P1241" s="670">
        <f t="shared" si="290"/>
        <v>58.1526530612245</v>
      </c>
      <c r="Q1241" s="675">
        <f t="shared" si="291"/>
        <v>53.7637735849057</v>
      </c>
      <c r="R1241">
        <f t="shared" si="292"/>
        <v>53</v>
      </c>
      <c r="S1241" s="667">
        <f t="shared" si="293"/>
        <v>0.04203013481364</v>
      </c>
    </row>
    <row r="1242" spans="1:19">
      <c r="A1242" s="1010">
        <v>45889</v>
      </c>
      <c r="B1242" s="670">
        <v>2868.28</v>
      </c>
      <c r="C1242" s="37">
        <v>9291</v>
      </c>
      <c r="D1242" s="37">
        <v>1295</v>
      </c>
      <c r="E1242" s="37">
        <v>6</v>
      </c>
      <c r="F1242" s="670">
        <v>59573</v>
      </c>
      <c r="G1242" s="37">
        <v>64</v>
      </c>
      <c r="H1242" s="37">
        <v>9</v>
      </c>
      <c r="I1242" s="37">
        <v>3</v>
      </c>
      <c r="J1242" s="672">
        <f t="shared" si="286"/>
        <v>0.139382197825853</v>
      </c>
      <c r="K1242" s="911">
        <f t="shared" si="287"/>
        <v>2.21488803088803</v>
      </c>
      <c r="L1242" s="671">
        <f t="shared" si="294"/>
        <v>20.7695901376435</v>
      </c>
      <c r="M1242" s="672">
        <f t="shared" si="288"/>
        <v>0.00463320463320463</v>
      </c>
      <c r="N1242" s="670">
        <f t="shared" si="295"/>
        <v>9928.83333333333</v>
      </c>
      <c r="O1242" s="670">
        <f t="shared" si="289"/>
        <v>478.046666666667</v>
      </c>
      <c r="P1242" s="670">
        <f t="shared" si="290"/>
        <v>44.816875</v>
      </c>
      <c r="Q1242" s="675">
        <f t="shared" si="291"/>
        <v>39.2915068493151</v>
      </c>
      <c r="R1242">
        <f t="shared" si="292"/>
        <v>73</v>
      </c>
      <c r="S1242" s="667">
        <f t="shared" si="293"/>
        <v>0.0563706563706564</v>
      </c>
    </row>
    <row r="1243" spans="1:19">
      <c r="A1243" s="1010">
        <v>45890</v>
      </c>
      <c r="B1243" s="670">
        <v>2436.64</v>
      </c>
      <c r="C1243" s="37">
        <v>9389</v>
      </c>
      <c r="D1243" s="37">
        <v>1173</v>
      </c>
      <c r="E1243" s="37">
        <v>2</v>
      </c>
      <c r="F1243" s="670">
        <v>36988</v>
      </c>
      <c r="G1243" s="37">
        <v>77</v>
      </c>
      <c r="H1243" s="37">
        <v>4</v>
      </c>
      <c r="I1243" s="37">
        <v>4</v>
      </c>
      <c r="J1243" s="672">
        <f t="shared" si="286"/>
        <v>0.124933432740441</v>
      </c>
      <c r="K1243" s="911">
        <f t="shared" si="287"/>
        <v>2.07727195225916</v>
      </c>
      <c r="L1243" s="671">
        <f t="shared" si="294"/>
        <v>15.1799198896842</v>
      </c>
      <c r="M1243" s="672">
        <f t="shared" si="288"/>
        <v>0.00170502983802217</v>
      </c>
      <c r="N1243" s="670">
        <f t="shared" si="295"/>
        <v>18494</v>
      </c>
      <c r="O1243" s="670">
        <f t="shared" si="289"/>
        <v>1218.32</v>
      </c>
      <c r="P1243" s="670">
        <f t="shared" si="290"/>
        <v>31.6446753246753</v>
      </c>
      <c r="Q1243" s="675">
        <f t="shared" si="291"/>
        <v>30.081975308642</v>
      </c>
      <c r="R1243">
        <f t="shared" si="292"/>
        <v>81</v>
      </c>
      <c r="S1243" s="667">
        <f t="shared" si="293"/>
        <v>0.0690537084398977</v>
      </c>
    </row>
    <row r="1244" spans="1:19">
      <c r="A1244" s="1010">
        <v>45891</v>
      </c>
      <c r="B1244" s="670">
        <v>2697.22</v>
      </c>
      <c r="C1244" s="37">
        <v>11330</v>
      </c>
      <c r="D1244" s="37">
        <v>1284</v>
      </c>
      <c r="E1244" s="37">
        <v>2</v>
      </c>
      <c r="F1244" s="670">
        <v>58262</v>
      </c>
      <c r="G1244" s="37">
        <v>58</v>
      </c>
      <c r="H1244" s="37">
        <v>4</v>
      </c>
      <c r="I1244" s="37">
        <v>2</v>
      </c>
      <c r="J1244" s="672">
        <f t="shared" si="286"/>
        <v>0.113327449249779</v>
      </c>
      <c r="K1244" s="911">
        <f t="shared" si="287"/>
        <v>2.10063862928349</v>
      </c>
      <c r="L1244" s="671">
        <f t="shared" si="294"/>
        <v>21.6007593003166</v>
      </c>
      <c r="M1244" s="672">
        <f t="shared" si="288"/>
        <v>0.00155763239875389</v>
      </c>
      <c r="N1244" s="670">
        <f t="shared" si="295"/>
        <v>29131</v>
      </c>
      <c r="O1244" s="670">
        <f t="shared" si="289"/>
        <v>1348.61</v>
      </c>
      <c r="P1244" s="670">
        <f t="shared" si="290"/>
        <v>46.5037931034483</v>
      </c>
      <c r="Q1244" s="675">
        <f t="shared" si="291"/>
        <v>43.5035483870968</v>
      </c>
      <c r="R1244">
        <f t="shared" si="292"/>
        <v>62</v>
      </c>
      <c r="S1244" s="667">
        <f t="shared" si="293"/>
        <v>0.0482866043613707</v>
      </c>
    </row>
    <row r="1245" spans="1:19">
      <c r="A1245" s="1010">
        <v>45892</v>
      </c>
      <c r="B1245" s="670">
        <v>2875.73</v>
      </c>
      <c r="C1245" s="37">
        <v>10029</v>
      </c>
      <c r="D1245" s="37">
        <v>1347</v>
      </c>
      <c r="E1245" s="37">
        <v>5</v>
      </c>
      <c r="F1245" s="670">
        <v>44576</v>
      </c>
      <c r="G1245" s="37">
        <v>66</v>
      </c>
      <c r="H1245" s="37">
        <v>5</v>
      </c>
      <c r="I1245" s="37">
        <v>3</v>
      </c>
      <c r="J1245" s="672">
        <f t="shared" si="286"/>
        <v>0.134310499551301</v>
      </c>
      <c r="K1245" s="911">
        <f t="shared" si="287"/>
        <v>2.1349146250928</v>
      </c>
      <c r="L1245" s="671">
        <f t="shared" si="294"/>
        <v>15.5007598070751</v>
      </c>
      <c r="M1245" s="672">
        <f t="shared" si="288"/>
        <v>0.00371195248700817</v>
      </c>
      <c r="N1245" s="670">
        <f t="shared" si="295"/>
        <v>8915.2</v>
      </c>
      <c r="O1245" s="670">
        <f t="shared" si="289"/>
        <v>575.146</v>
      </c>
      <c r="P1245" s="670">
        <f t="shared" si="290"/>
        <v>43.5716666666667</v>
      </c>
      <c r="Q1245" s="675">
        <f t="shared" si="291"/>
        <v>40.5032394366197</v>
      </c>
      <c r="R1245">
        <f t="shared" si="292"/>
        <v>71</v>
      </c>
      <c r="S1245" s="667">
        <f t="shared" si="293"/>
        <v>0.052709725315516</v>
      </c>
    </row>
    <row r="1246" spans="1:19">
      <c r="A1246" s="1010">
        <v>45893</v>
      </c>
      <c r="B1246" s="670">
        <v>2923.7</v>
      </c>
      <c r="C1246" s="37">
        <v>8810</v>
      </c>
      <c r="D1246" s="37">
        <v>1295</v>
      </c>
      <c r="E1246" s="37">
        <v>2</v>
      </c>
      <c r="F1246" s="670">
        <v>33192</v>
      </c>
      <c r="G1246" s="37">
        <v>70</v>
      </c>
      <c r="H1246" s="37">
        <v>5</v>
      </c>
      <c r="I1246" s="37">
        <v>4</v>
      </c>
      <c r="J1246" s="672">
        <f t="shared" si="286"/>
        <v>0.146992054483541</v>
      </c>
      <c r="K1246" s="911">
        <f t="shared" si="287"/>
        <v>2.2576833976834</v>
      </c>
      <c r="L1246" s="671">
        <f t="shared" si="294"/>
        <v>11.3527379690119</v>
      </c>
      <c r="M1246" s="672">
        <f t="shared" si="288"/>
        <v>0.00154440154440154</v>
      </c>
      <c r="N1246" s="670">
        <f t="shared" si="295"/>
        <v>16596</v>
      </c>
      <c r="O1246" s="670">
        <f t="shared" si="289"/>
        <v>1461.85</v>
      </c>
      <c r="P1246" s="670">
        <f t="shared" si="290"/>
        <v>41.7671428571429</v>
      </c>
      <c r="Q1246" s="675">
        <f t="shared" si="291"/>
        <v>38.9826666666667</v>
      </c>
      <c r="R1246">
        <f t="shared" si="292"/>
        <v>75</v>
      </c>
      <c r="S1246" s="667">
        <f t="shared" si="293"/>
        <v>0.0579150579150579</v>
      </c>
    </row>
    <row r="1247" spans="1:19">
      <c r="A1247" s="1010">
        <v>45894</v>
      </c>
      <c r="B1247" s="670">
        <v>2880.83</v>
      </c>
      <c r="C1247" s="37">
        <v>9109</v>
      </c>
      <c r="D1247" s="37">
        <v>1276</v>
      </c>
      <c r="E1247" s="37">
        <v>5</v>
      </c>
      <c r="F1247" s="670">
        <v>44378</v>
      </c>
      <c r="G1247" s="37">
        <v>52</v>
      </c>
      <c r="H1247" s="37">
        <v>9</v>
      </c>
      <c r="I1247" s="37">
        <v>4</v>
      </c>
      <c r="J1247" s="672">
        <f t="shared" si="286"/>
        <v>0.140081238335712</v>
      </c>
      <c r="K1247" s="911">
        <f t="shared" si="287"/>
        <v>2.25770376175549</v>
      </c>
      <c r="L1247" s="671">
        <f t="shared" si="294"/>
        <v>15.404588261022</v>
      </c>
      <c r="M1247" s="672">
        <f t="shared" si="288"/>
        <v>0.00391849529780564</v>
      </c>
      <c r="N1247" s="670">
        <f t="shared" si="295"/>
        <v>8875.6</v>
      </c>
      <c r="O1247" s="670">
        <f t="shared" si="289"/>
        <v>576.166</v>
      </c>
      <c r="P1247" s="670">
        <f t="shared" si="290"/>
        <v>55.4005769230769</v>
      </c>
      <c r="Q1247" s="675">
        <f t="shared" si="291"/>
        <v>47.2267213114754</v>
      </c>
      <c r="R1247">
        <f t="shared" si="292"/>
        <v>61</v>
      </c>
      <c r="S1247" s="667">
        <f t="shared" si="293"/>
        <v>0.0478056426332288</v>
      </c>
    </row>
    <row r="1248" spans="1:19">
      <c r="A1248" s="1010">
        <v>45895</v>
      </c>
      <c r="B1248" s="670">
        <v>2483.76</v>
      </c>
      <c r="C1248" s="37">
        <v>7691</v>
      </c>
      <c r="D1248" s="37">
        <v>1079</v>
      </c>
      <c r="E1248" s="37">
        <v>2</v>
      </c>
      <c r="F1248" s="670">
        <v>34326</v>
      </c>
      <c r="G1248" s="37">
        <v>45</v>
      </c>
      <c r="H1248" s="37">
        <v>3</v>
      </c>
      <c r="I1248" s="37">
        <v>4</v>
      </c>
      <c r="J1248" s="672">
        <f t="shared" si="286"/>
        <v>0.140293849954492</v>
      </c>
      <c r="K1248" s="911">
        <f t="shared" si="287"/>
        <v>2.30190917516219</v>
      </c>
      <c r="L1248" s="671">
        <f t="shared" si="294"/>
        <v>13.8201758624022</v>
      </c>
      <c r="M1248" s="672">
        <f t="shared" si="288"/>
        <v>0.00185356811862836</v>
      </c>
      <c r="N1248" s="670">
        <f t="shared" si="295"/>
        <v>17163</v>
      </c>
      <c r="O1248" s="670">
        <f t="shared" si="289"/>
        <v>1241.88</v>
      </c>
      <c r="P1248" s="670">
        <f t="shared" si="290"/>
        <v>55.1946666666667</v>
      </c>
      <c r="Q1248" s="675">
        <f t="shared" si="291"/>
        <v>51.745</v>
      </c>
      <c r="R1248">
        <f t="shared" si="292"/>
        <v>48</v>
      </c>
      <c r="S1248" s="667">
        <f t="shared" si="293"/>
        <v>0.0444856348470806</v>
      </c>
    </row>
    <row r="1249" spans="1:19">
      <c r="A1249" s="1010">
        <v>45896</v>
      </c>
      <c r="B1249" s="670">
        <v>2263.33</v>
      </c>
      <c r="C1249" s="37">
        <v>7280</v>
      </c>
      <c r="D1249" s="37">
        <v>982</v>
      </c>
      <c r="E1249" s="37">
        <v>1</v>
      </c>
      <c r="F1249" s="670">
        <v>12474</v>
      </c>
      <c r="G1249" s="37">
        <v>46</v>
      </c>
      <c r="H1249" s="37">
        <v>6</v>
      </c>
      <c r="I1249" s="37">
        <v>2</v>
      </c>
      <c r="J1249" s="672">
        <f t="shared" si="286"/>
        <v>0.13489010989011</v>
      </c>
      <c r="K1249" s="911">
        <f t="shared" si="287"/>
        <v>2.304816700611</v>
      </c>
      <c r="L1249" s="671">
        <f t="shared" si="294"/>
        <v>5.51134832304613</v>
      </c>
      <c r="M1249" s="672">
        <f t="shared" si="288"/>
        <v>0.0010183299389002</v>
      </c>
      <c r="N1249" s="670">
        <f t="shared" si="295"/>
        <v>12474</v>
      </c>
      <c r="O1249" s="670">
        <f t="shared" si="289"/>
        <v>2263.33</v>
      </c>
      <c r="P1249" s="670">
        <f t="shared" si="290"/>
        <v>49.2028260869565</v>
      </c>
      <c r="Q1249" s="675">
        <f t="shared" si="291"/>
        <v>43.5255769230769</v>
      </c>
      <c r="R1249">
        <f t="shared" si="292"/>
        <v>52</v>
      </c>
      <c r="S1249" s="667">
        <f t="shared" si="293"/>
        <v>0.0529531568228106</v>
      </c>
    </row>
    <row r="1250" spans="1:19">
      <c r="A1250" s="1010">
        <v>45897</v>
      </c>
      <c r="B1250" s="670">
        <v>2088.2</v>
      </c>
      <c r="C1250" s="37">
        <v>7070</v>
      </c>
      <c r="D1250" s="37">
        <v>875</v>
      </c>
      <c r="E1250" s="37">
        <v>2</v>
      </c>
      <c r="F1250" s="670">
        <v>18908</v>
      </c>
      <c r="G1250" s="37">
        <v>69</v>
      </c>
      <c r="H1250" s="37">
        <v>6</v>
      </c>
      <c r="I1250" s="37">
        <v>4</v>
      </c>
      <c r="J1250" s="672">
        <f t="shared" si="286"/>
        <v>0.123762376237624</v>
      </c>
      <c r="K1250" s="911">
        <f t="shared" si="287"/>
        <v>2.38651428571429</v>
      </c>
      <c r="L1250" s="671">
        <f t="shared" si="294"/>
        <v>9.05468824825208</v>
      </c>
      <c r="M1250" s="672">
        <f t="shared" si="288"/>
        <v>0.00228571428571429</v>
      </c>
      <c r="N1250" s="670">
        <f t="shared" si="295"/>
        <v>9454</v>
      </c>
      <c r="O1250" s="670">
        <f t="shared" si="289"/>
        <v>1044.1</v>
      </c>
      <c r="P1250" s="670">
        <f t="shared" si="290"/>
        <v>30.263768115942</v>
      </c>
      <c r="Q1250" s="675">
        <f t="shared" si="291"/>
        <v>27.8426666666667</v>
      </c>
      <c r="R1250">
        <f t="shared" si="292"/>
        <v>75</v>
      </c>
      <c r="S1250" s="667">
        <f t="shared" si="293"/>
        <v>0.0857142857142857</v>
      </c>
    </row>
    <row r="1251" spans="1:19">
      <c r="A1251" s="1010">
        <v>45898</v>
      </c>
      <c r="B1251" s="670">
        <v>2745.5</v>
      </c>
      <c r="C1251" s="37">
        <v>8387</v>
      </c>
      <c r="D1251" s="37">
        <v>1021</v>
      </c>
      <c r="E1251" s="37">
        <v>1</v>
      </c>
      <c r="F1251" s="670">
        <v>1</v>
      </c>
      <c r="G1251" s="37">
        <v>57</v>
      </c>
      <c r="H1251" s="37">
        <v>4</v>
      </c>
      <c r="I1251" s="37">
        <v>7</v>
      </c>
      <c r="J1251" s="672">
        <f t="shared" si="286"/>
        <v>0.121736020031</v>
      </c>
      <c r="K1251" s="911">
        <f t="shared" si="287"/>
        <v>2.68903036238981</v>
      </c>
      <c r="L1251" s="671">
        <f t="shared" si="294"/>
        <v>0.000364232380258605</v>
      </c>
      <c r="M1251" s="672">
        <f t="shared" si="288"/>
        <v>0.000979431929480901</v>
      </c>
      <c r="N1251" s="670">
        <f t="shared" si="295"/>
        <v>1</v>
      </c>
      <c r="O1251" s="670">
        <f t="shared" si="289"/>
        <v>2745.5</v>
      </c>
      <c r="P1251" s="670">
        <f t="shared" si="290"/>
        <v>48.1666666666667</v>
      </c>
      <c r="Q1251" s="675">
        <f t="shared" si="291"/>
        <v>45.0081967213115</v>
      </c>
      <c r="R1251">
        <f t="shared" si="292"/>
        <v>61</v>
      </c>
      <c r="S1251" s="667">
        <f t="shared" si="293"/>
        <v>0.059745347698335</v>
      </c>
    </row>
    <row r="1252" spans="1:19">
      <c r="A1252" s="1010">
        <v>45899</v>
      </c>
      <c r="B1252" s="670">
        <v>2908.03</v>
      </c>
      <c r="C1252" s="37">
        <v>8045</v>
      </c>
      <c r="D1252" s="37">
        <v>1086</v>
      </c>
      <c r="E1252" s="37">
        <v>4</v>
      </c>
      <c r="F1252" s="670">
        <v>46445</v>
      </c>
      <c r="G1252" s="37">
        <v>56</v>
      </c>
      <c r="H1252" s="37">
        <v>8</v>
      </c>
      <c r="I1252" s="37">
        <v>4</v>
      </c>
      <c r="J1252" s="672">
        <f t="shared" si="286"/>
        <v>0.134990677439403</v>
      </c>
      <c r="K1252" s="911">
        <f t="shared" si="287"/>
        <v>2.67774401473297</v>
      </c>
      <c r="L1252" s="671">
        <f t="shared" si="294"/>
        <v>15.9712932810184</v>
      </c>
      <c r="M1252" s="672">
        <f t="shared" si="288"/>
        <v>0.00368324125230203</v>
      </c>
      <c r="N1252" s="670">
        <f t="shared" si="295"/>
        <v>11611.25</v>
      </c>
      <c r="O1252" s="670">
        <f t="shared" si="289"/>
        <v>727.0075</v>
      </c>
      <c r="P1252" s="670">
        <f t="shared" si="290"/>
        <v>51.9291071428571</v>
      </c>
      <c r="Q1252" s="675">
        <f t="shared" si="291"/>
        <v>45.43796875</v>
      </c>
      <c r="R1252">
        <f t="shared" si="292"/>
        <v>64</v>
      </c>
      <c r="S1252" s="667">
        <f t="shared" si="293"/>
        <v>0.0589318600368324</v>
      </c>
    </row>
    <row r="1253" spans="1:19">
      <c r="A1253" s="1010">
        <v>45900</v>
      </c>
      <c r="B1253" s="670">
        <v>2906.17</v>
      </c>
      <c r="C1253" s="37">
        <v>7307</v>
      </c>
      <c r="D1253" s="37">
        <v>1096</v>
      </c>
      <c r="E1253" s="37">
        <v>7</v>
      </c>
      <c r="F1253" s="670">
        <v>62230</v>
      </c>
      <c r="G1253" s="37">
        <v>72</v>
      </c>
      <c r="H1253" s="37">
        <v>7</v>
      </c>
      <c r="I1253" s="37">
        <v>5</v>
      </c>
      <c r="J1253" s="672">
        <f t="shared" si="286"/>
        <v>0.149993157246476</v>
      </c>
      <c r="K1253" s="911">
        <f t="shared" si="287"/>
        <v>2.65161496350365</v>
      </c>
      <c r="L1253" s="671">
        <f t="shared" si="294"/>
        <v>21.4130625531197</v>
      </c>
      <c r="M1253" s="672">
        <f t="shared" si="288"/>
        <v>0.00638686131386861</v>
      </c>
      <c r="N1253" s="670">
        <f t="shared" si="295"/>
        <v>8890</v>
      </c>
      <c r="O1253" s="670">
        <f t="shared" si="289"/>
        <v>415.167142857143</v>
      </c>
      <c r="P1253" s="670">
        <f t="shared" si="290"/>
        <v>40.3634722222222</v>
      </c>
      <c r="Q1253" s="675">
        <f t="shared" si="291"/>
        <v>36.7869620253165</v>
      </c>
      <c r="R1253">
        <f t="shared" si="292"/>
        <v>79</v>
      </c>
      <c r="S1253" s="667">
        <f t="shared" si="293"/>
        <v>0.0720802919708029</v>
      </c>
    </row>
    <row r="1254" spans="1:19">
      <c r="A1254" s="1010">
        <v>45901</v>
      </c>
      <c r="B1254" s="670">
        <v>2491.22</v>
      </c>
      <c r="C1254" s="37">
        <v>7358</v>
      </c>
      <c r="D1254" s="37">
        <v>1100</v>
      </c>
      <c r="E1254" s="37">
        <v>2</v>
      </c>
      <c r="F1254" s="670">
        <v>21261</v>
      </c>
      <c r="G1254" s="37">
        <v>57</v>
      </c>
      <c r="H1254" s="37">
        <v>4</v>
      </c>
      <c r="I1254" s="37">
        <v>1</v>
      </c>
      <c r="J1254" s="672">
        <f t="shared" si="286"/>
        <v>0.149497145963577</v>
      </c>
      <c r="K1254" s="911">
        <f t="shared" si="287"/>
        <v>2.26474545454545</v>
      </c>
      <c r="L1254" s="671">
        <f t="shared" si="294"/>
        <v>8.53437271698204</v>
      </c>
      <c r="M1254" s="672">
        <f t="shared" si="288"/>
        <v>0.00181818181818182</v>
      </c>
      <c r="N1254" s="670">
        <f t="shared" si="295"/>
        <v>10630.5</v>
      </c>
      <c r="O1254" s="670">
        <f t="shared" si="289"/>
        <v>1245.61</v>
      </c>
      <c r="P1254" s="670">
        <f t="shared" si="290"/>
        <v>43.7056140350877</v>
      </c>
      <c r="Q1254" s="675">
        <f t="shared" si="291"/>
        <v>40.8396721311475</v>
      </c>
      <c r="R1254">
        <f t="shared" si="292"/>
        <v>61</v>
      </c>
      <c r="S1254" s="667">
        <f t="shared" si="293"/>
        <v>0.0554545454545455</v>
      </c>
    </row>
    <row r="1255" spans="1:19">
      <c r="A1255" s="1010">
        <v>45902</v>
      </c>
      <c r="B1255" s="670">
        <v>2484.52</v>
      </c>
      <c r="C1255" s="37">
        <v>7662</v>
      </c>
      <c r="D1255" s="37">
        <v>1051</v>
      </c>
      <c r="E1255" s="37">
        <v>6</v>
      </c>
      <c r="F1255" s="670">
        <v>132659</v>
      </c>
      <c r="G1255" s="37">
        <v>48</v>
      </c>
      <c r="H1255" s="37">
        <v>7</v>
      </c>
      <c r="I1255" s="37">
        <v>5</v>
      </c>
      <c r="J1255" s="672">
        <f t="shared" si="286"/>
        <v>0.137170451579222</v>
      </c>
      <c r="K1255" s="911">
        <f t="shared" si="287"/>
        <v>2.36395813510942</v>
      </c>
      <c r="L1255" s="671">
        <f t="shared" si="294"/>
        <v>53.3942169916121</v>
      </c>
      <c r="M1255" s="672">
        <f t="shared" si="288"/>
        <v>0.00570884871550904</v>
      </c>
      <c r="N1255" s="670">
        <f t="shared" si="295"/>
        <v>22109.8333333333</v>
      </c>
      <c r="O1255" s="670">
        <f t="shared" si="289"/>
        <v>414.086666666667</v>
      </c>
      <c r="P1255" s="670">
        <f t="shared" si="290"/>
        <v>51.7608333333333</v>
      </c>
      <c r="Q1255" s="675">
        <f t="shared" si="291"/>
        <v>45.1730909090909</v>
      </c>
      <c r="R1255">
        <f t="shared" si="292"/>
        <v>55</v>
      </c>
      <c r="S1255" s="667">
        <f t="shared" si="293"/>
        <v>0.0523311132254995</v>
      </c>
    </row>
    <row r="1256" spans="1:19">
      <c r="A1256" s="1010">
        <v>45903</v>
      </c>
      <c r="B1256" s="670">
        <v>2258.75</v>
      </c>
      <c r="C1256" s="37">
        <v>8593</v>
      </c>
      <c r="D1256" s="37">
        <v>997</v>
      </c>
      <c r="E1256" s="37">
        <v>0</v>
      </c>
      <c r="F1256" s="670">
        <v>0</v>
      </c>
      <c r="G1256" s="37">
        <v>56</v>
      </c>
      <c r="H1256" s="37">
        <v>7</v>
      </c>
      <c r="I1256" s="37">
        <v>4</v>
      </c>
      <c r="J1256" s="672">
        <f t="shared" si="286"/>
        <v>0.116024671244036</v>
      </c>
      <c r="K1256" s="911">
        <f t="shared" si="287"/>
        <v>2.26554663991976</v>
      </c>
      <c r="L1256" s="671">
        <f t="shared" si="294"/>
        <v>0</v>
      </c>
      <c r="M1256" s="672">
        <f t="shared" si="288"/>
        <v>0</v>
      </c>
      <c r="N1256" s="670">
        <f t="shared" si="295"/>
        <v>0</v>
      </c>
      <c r="O1256" s="670">
        <f t="shared" si="289"/>
        <v>0</v>
      </c>
      <c r="P1256" s="670">
        <f t="shared" si="290"/>
        <v>40.3348214285714</v>
      </c>
      <c r="Q1256" s="675">
        <f t="shared" si="291"/>
        <v>35.8531746031746</v>
      </c>
      <c r="R1256">
        <f t="shared" si="292"/>
        <v>63</v>
      </c>
      <c r="S1256" s="667">
        <f t="shared" si="293"/>
        <v>0.0631895687061184</v>
      </c>
    </row>
    <row r="1257" spans="1:19">
      <c r="A1257" s="1010">
        <v>45904</v>
      </c>
      <c r="B1257" s="670">
        <v>2254.02</v>
      </c>
      <c r="C1257" s="37">
        <v>7724</v>
      </c>
      <c r="D1257" s="37">
        <v>913</v>
      </c>
      <c r="E1257" s="37">
        <v>1</v>
      </c>
      <c r="F1257" s="670">
        <v>14714</v>
      </c>
      <c r="G1257" s="37">
        <v>38</v>
      </c>
      <c r="H1257" s="37">
        <v>3</v>
      </c>
      <c r="I1257" s="37">
        <v>2</v>
      </c>
      <c r="J1257" s="672">
        <f t="shared" si="286"/>
        <v>0.118203003625065</v>
      </c>
      <c r="K1257" s="911">
        <f t="shared" si="287"/>
        <v>2.46880613362541</v>
      </c>
      <c r="L1257" s="671">
        <f t="shared" si="294"/>
        <v>6.52789238782265</v>
      </c>
      <c r="M1257" s="672">
        <f t="shared" si="288"/>
        <v>0.00109529025191676</v>
      </c>
      <c r="N1257" s="670">
        <f t="shared" si="295"/>
        <v>14714</v>
      </c>
      <c r="O1257" s="670">
        <f t="shared" si="289"/>
        <v>2254.02</v>
      </c>
      <c r="P1257" s="670">
        <f t="shared" si="290"/>
        <v>59.3163157894737</v>
      </c>
      <c r="Q1257" s="675">
        <f t="shared" si="291"/>
        <v>54.9760975609756</v>
      </c>
      <c r="R1257">
        <f t="shared" si="292"/>
        <v>41</v>
      </c>
      <c r="S1257" s="667">
        <f t="shared" si="293"/>
        <v>0.0449069003285871</v>
      </c>
    </row>
    <row r="1258" spans="1:19">
      <c r="A1258" s="1010">
        <v>45905</v>
      </c>
      <c r="B1258" s="670">
        <v>2201.65</v>
      </c>
      <c r="C1258" s="37">
        <v>8425</v>
      </c>
      <c r="D1258" s="37">
        <v>990</v>
      </c>
      <c r="E1258" s="37">
        <v>1</v>
      </c>
      <c r="F1258" s="670">
        <v>6484</v>
      </c>
      <c r="G1258" s="37">
        <v>37</v>
      </c>
      <c r="H1258" s="37">
        <v>7</v>
      </c>
      <c r="I1258" s="37">
        <v>3</v>
      </c>
      <c r="J1258" s="672">
        <f t="shared" si="286"/>
        <v>0.117507418397626</v>
      </c>
      <c r="K1258" s="911">
        <f t="shared" si="287"/>
        <v>2.22388888888889</v>
      </c>
      <c r="L1258" s="671">
        <f t="shared" si="294"/>
        <v>2.94506392932573</v>
      </c>
      <c r="M1258" s="672">
        <f t="shared" si="288"/>
        <v>0.00101010101010101</v>
      </c>
      <c r="N1258" s="670">
        <f t="shared" si="295"/>
        <v>6484</v>
      </c>
      <c r="O1258" s="670">
        <f t="shared" si="289"/>
        <v>2201.65</v>
      </c>
      <c r="P1258" s="670">
        <f t="shared" si="290"/>
        <v>59.5040540540541</v>
      </c>
      <c r="Q1258" s="675">
        <f t="shared" si="291"/>
        <v>50.0375</v>
      </c>
      <c r="R1258">
        <f t="shared" si="292"/>
        <v>44</v>
      </c>
      <c r="S1258" s="667">
        <f t="shared" si="293"/>
        <v>0.0444444444444444</v>
      </c>
    </row>
    <row r="1259" spans="1:19">
      <c r="A1259" s="1010">
        <v>45906</v>
      </c>
      <c r="B1259" s="670">
        <v>2210.77</v>
      </c>
      <c r="C1259" s="37">
        <v>7102</v>
      </c>
      <c r="D1259" s="37">
        <v>933</v>
      </c>
      <c r="E1259" s="37">
        <v>2</v>
      </c>
      <c r="F1259" s="670">
        <v>32374</v>
      </c>
      <c r="G1259" s="37">
        <v>37</v>
      </c>
      <c r="H1259" s="37">
        <v>8</v>
      </c>
      <c r="I1259" s="37">
        <v>1</v>
      </c>
      <c r="J1259" s="672">
        <f t="shared" si="286"/>
        <v>0.131371444663475</v>
      </c>
      <c r="K1259" s="911">
        <f t="shared" si="287"/>
        <v>2.36952840300107</v>
      </c>
      <c r="L1259" s="671">
        <f t="shared" si="294"/>
        <v>14.6437666514382</v>
      </c>
      <c r="M1259" s="672">
        <f t="shared" si="288"/>
        <v>0.00214362272240086</v>
      </c>
      <c r="N1259" s="670">
        <f t="shared" si="295"/>
        <v>16187</v>
      </c>
      <c r="O1259" s="670">
        <f t="shared" si="289"/>
        <v>1105.385</v>
      </c>
      <c r="P1259" s="670">
        <f t="shared" si="290"/>
        <v>59.7505405405405</v>
      </c>
      <c r="Q1259" s="675">
        <f t="shared" si="291"/>
        <v>49.1282222222222</v>
      </c>
      <c r="R1259">
        <f t="shared" si="292"/>
        <v>45</v>
      </c>
      <c r="S1259" s="667">
        <f t="shared" si="293"/>
        <v>0.0482315112540193</v>
      </c>
    </row>
    <row r="1260" spans="1:19">
      <c r="A1260" s="1010">
        <v>45907</v>
      </c>
      <c r="B1260" s="670">
        <v>2290.56</v>
      </c>
      <c r="C1260" s="37">
        <v>6935</v>
      </c>
      <c r="D1260" s="37">
        <v>951</v>
      </c>
      <c r="E1260" s="37">
        <v>2</v>
      </c>
      <c r="F1260" s="670">
        <v>23476</v>
      </c>
      <c r="G1260" s="37">
        <v>37</v>
      </c>
      <c r="H1260" s="37">
        <v>5</v>
      </c>
      <c r="I1260" s="37">
        <v>2</v>
      </c>
      <c r="J1260" s="672">
        <f t="shared" si="286"/>
        <v>0.137130497476568</v>
      </c>
      <c r="K1260" s="911">
        <f t="shared" si="287"/>
        <v>2.40858044164038</v>
      </c>
      <c r="L1260" s="671">
        <f t="shared" si="294"/>
        <v>10.2490220732048</v>
      </c>
      <c r="M1260" s="672">
        <f t="shared" si="288"/>
        <v>0.00210304942166141</v>
      </c>
      <c r="N1260" s="670">
        <f t="shared" si="295"/>
        <v>11738</v>
      </c>
      <c r="O1260" s="670">
        <f t="shared" si="289"/>
        <v>1145.28</v>
      </c>
      <c r="P1260" s="670">
        <f t="shared" si="290"/>
        <v>61.907027027027</v>
      </c>
      <c r="Q1260" s="675">
        <f t="shared" si="291"/>
        <v>54.5371428571429</v>
      </c>
      <c r="R1260">
        <f t="shared" si="292"/>
        <v>42</v>
      </c>
      <c r="S1260" s="667">
        <f t="shared" si="293"/>
        <v>0.0441640378548896</v>
      </c>
    </row>
    <row r="1261" spans="1:19">
      <c r="A1261" s="1010">
        <v>45908</v>
      </c>
      <c r="B1261" s="670">
        <v>2227.27</v>
      </c>
      <c r="C1261" s="37">
        <v>7548</v>
      </c>
      <c r="D1261" s="37">
        <v>944</v>
      </c>
      <c r="E1261" s="37">
        <v>3</v>
      </c>
      <c r="F1261" s="670">
        <v>29028</v>
      </c>
      <c r="G1261" s="37">
        <v>48</v>
      </c>
      <c r="H1261" s="37">
        <v>2</v>
      </c>
      <c r="I1261" s="37">
        <v>6</v>
      </c>
      <c r="J1261" s="672">
        <f t="shared" si="286"/>
        <v>0.125066242713302</v>
      </c>
      <c r="K1261" s="911">
        <f t="shared" si="287"/>
        <v>2.35939618644068</v>
      </c>
      <c r="L1261" s="671">
        <f t="shared" si="294"/>
        <v>13.0329955506068</v>
      </c>
      <c r="M1261" s="672">
        <f t="shared" si="288"/>
        <v>0.00317796610169492</v>
      </c>
      <c r="N1261" s="670">
        <f t="shared" si="295"/>
        <v>9676</v>
      </c>
      <c r="O1261" s="670">
        <f t="shared" si="289"/>
        <v>742.423333333333</v>
      </c>
      <c r="P1261" s="670">
        <f t="shared" si="290"/>
        <v>46.4014583333333</v>
      </c>
      <c r="Q1261" s="675">
        <f t="shared" si="291"/>
        <v>44.5454</v>
      </c>
      <c r="R1261">
        <f t="shared" si="292"/>
        <v>50</v>
      </c>
      <c r="S1261" s="667">
        <f t="shared" si="293"/>
        <v>0.0529661016949153</v>
      </c>
    </row>
    <row r="1262" spans="1:19">
      <c r="A1262" s="1010">
        <v>45909</v>
      </c>
      <c r="B1262" s="670">
        <v>2374.05</v>
      </c>
      <c r="C1262" s="37">
        <v>7927</v>
      </c>
      <c r="D1262" s="37">
        <v>1068</v>
      </c>
      <c r="E1262" s="37">
        <v>1</v>
      </c>
      <c r="F1262" s="670">
        <v>7973</v>
      </c>
      <c r="G1262" s="37">
        <v>50</v>
      </c>
      <c r="H1262" s="37">
        <v>7</v>
      </c>
      <c r="I1262" s="37">
        <v>4</v>
      </c>
      <c r="J1262" s="672">
        <f t="shared" si="286"/>
        <v>0.134729405828182</v>
      </c>
      <c r="K1262" s="911">
        <f t="shared" si="287"/>
        <v>2.22289325842697</v>
      </c>
      <c r="L1262" s="671">
        <f t="shared" si="294"/>
        <v>3.35839598997494</v>
      </c>
      <c r="M1262" s="672">
        <f t="shared" si="288"/>
        <v>0.000936329588014981</v>
      </c>
      <c r="N1262" s="670">
        <f t="shared" si="295"/>
        <v>7973</v>
      </c>
      <c r="O1262" s="670">
        <f t="shared" si="289"/>
        <v>2374.05</v>
      </c>
      <c r="P1262" s="670">
        <f t="shared" si="290"/>
        <v>47.481</v>
      </c>
      <c r="Q1262" s="675">
        <f t="shared" si="291"/>
        <v>41.65</v>
      </c>
      <c r="R1262">
        <f t="shared" si="292"/>
        <v>57</v>
      </c>
      <c r="S1262" s="667">
        <f t="shared" si="293"/>
        <v>0.0533707865168539</v>
      </c>
    </row>
    <row r="1263" spans="1:19">
      <c r="A1263" s="1010">
        <v>45910</v>
      </c>
      <c r="B1263" s="670">
        <v>2293.14</v>
      </c>
      <c r="C1263" s="37">
        <v>8899</v>
      </c>
      <c r="D1263" s="37">
        <v>1112</v>
      </c>
      <c r="E1263" s="37">
        <v>5</v>
      </c>
      <c r="F1263" s="670">
        <v>48142</v>
      </c>
      <c r="G1263" s="37">
        <v>68</v>
      </c>
      <c r="H1263" s="37">
        <v>1</v>
      </c>
      <c r="I1263" s="37">
        <v>2</v>
      </c>
      <c r="J1263" s="672">
        <f t="shared" si="286"/>
        <v>0.124957860433757</v>
      </c>
      <c r="K1263" s="911">
        <f t="shared" si="287"/>
        <v>2.06217625899281</v>
      </c>
      <c r="L1263" s="671">
        <f t="shared" si="294"/>
        <v>20.993920999154</v>
      </c>
      <c r="M1263" s="672">
        <f t="shared" si="288"/>
        <v>0.00449640287769784</v>
      </c>
      <c r="N1263" s="670">
        <f t="shared" si="295"/>
        <v>9628.4</v>
      </c>
      <c r="O1263" s="670">
        <f t="shared" si="289"/>
        <v>458.628</v>
      </c>
      <c r="P1263" s="670">
        <f t="shared" si="290"/>
        <v>33.7226470588235</v>
      </c>
      <c r="Q1263" s="675">
        <f t="shared" si="291"/>
        <v>33.2339130434783</v>
      </c>
      <c r="R1263">
        <f t="shared" si="292"/>
        <v>69</v>
      </c>
      <c r="S1263" s="667">
        <f t="shared" si="293"/>
        <v>0.0620503597122302</v>
      </c>
    </row>
    <row r="1264" spans="1:19">
      <c r="A1264" s="1010">
        <v>45911</v>
      </c>
      <c r="B1264" s="670">
        <v>1719.8</v>
      </c>
      <c r="C1264" s="37">
        <v>7440</v>
      </c>
      <c r="D1264" s="37">
        <v>924</v>
      </c>
      <c r="E1264" s="37">
        <v>2</v>
      </c>
      <c r="F1264" s="670">
        <v>42831</v>
      </c>
      <c r="G1264" s="37">
        <v>46</v>
      </c>
      <c r="H1264" s="37">
        <v>5</v>
      </c>
      <c r="I1264" s="37">
        <v>1</v>
      </c>
      <c r="J1264" s="672">
        <f t="shared" si="286"/>
        <v>0.124193548387097</v>
      </c>
      <c r="K1264" s="911">
        <f t="shared" si="287"/>
        <v>1.86125541125541</v>
      </c>
      <c r="L1264" s="671">
        <f t="shared" si="294"/>
        <v>24.9046400744273</v>
      </c>
      <c r="M1264" s="672">
        <f t="shared" si="288"/>
        <v>0.00216450216450216</v>
      </c>
      <c r="N1264" s="670">
        <f t="shared" si="295"/>
        <v>21415.5</v>
      </c>
      <c r="O1264" s="670">
        <f t="shared" si="289"/>
        <v>859.9</v>
      </c>
      <c r="P1264" s="670">
        <f t="shared" si="290"/>
        <v>37.3869565217391</v>
      </c>
      <c r="Q1264" s="675">
        <f t="shared" si="291"/>
        <v>33.721568627451</v>
      </c>
      <c r="R1264">
        <f t="shared" si="292"/>
        <v>51</v>
      </c>
      <c r="S1264" s="667">
        <f t="shared" si="293"/>
        <v>0.0551948051948052</v>
      </c>
    </row>
    <row r="1265" spans="1:19">
      <c r="A1265" s="1010">
        <v>45912</v>
      </c>
      <c r="B1265" s="670">
        <v>1506.56</v>
      </c>
      <c r="C1265" s="37">
        <v>8425</v>
      </c>
      <c r="D1265" s="37">
        <v>809</v>
      </c>
      <c r="E1265" s="37">
        <v>3</v>
      </c>
      <c r="F1265" s="670">
        <v>57243</v>
      </c>
      <c r="G1265" s="37">
        <v>31</v>
      </c>
      <c r="H1265" s="37">
        <v>2</v>
      </c>
      <c r="I1265" s="37">
        <v>3</v>
      </c>
      <c r="J1265" s="672">
        <f t="shared" ref="J1265:J1328" si="296">D1265/C1265</f>
        <v>0.0960237388724036</v>
      </c>
      <c r="K1265" s="911">
        <f t="shared" ref="K1265:K1328" si="297">B1265/D1265</f>
        <v>1.86224969097651</v>
      </c>
      <c r="L1265" s="671">
        <f t="shared" si="294"/>
        <v>37.9958315632965</v>
      </c>
      <c r="M1265" s="672">
        <f t="shared" ref="M1265:M1328" si="298">E1265/D1265</f>
        <v>0.00370828182941904</v>
      </c>
      <c r="N1265" s="670">
        <f t="shared" si="295"/>
        <v>19081</v>
      </c>
      <c r="O1265" s="670">
        <f t="shared" ref="O1265:O1328" si="299">IF(E1265=0,0,B1265/E1265)</f>
        <v>502.186666666667</v>
      </c>
      <c r="P1265" s="670">
        <f t="shared" ref="P1265:P1328" si="300">B1265/G1265</f>
        <v>48.5987096774194</v>
      </c>
      <c r="Q1265" s="675">
        <f t="shared" ref="Q1265:Q1328" si="301">B1265/(G1265+H1265)</f>
        <v>45.6533333333333</v>
      </c>
      <c r="R1265">
        <f t="shared" ref="R1265:R1328" si="302">G1265+H1265</f>
        <v>33</v>
      </c>
      <c r="S1265" s="667">
        <f t="shared" ref="S1265:S1328" si="303">R1265/D1265</f>
        <v>0.0407911001236094</v>
      </c>
    </row>
    <row r="1266" spans="1:19">
      <c r="A1266" s="1010">
        <v>45913</v>
      </c>
      <c r="B1266" s="670">
        <v>1373.47</v>
      </c>
      <c r="C1266" s="37">
        <v>8890</v>
      </c>
      <c r="D1266" s="37">
        <v>739</v>
      </c>
      <c r="E1266" s="37">
        <v>2</v>
      </c>
      <c r="F1266" s="670">
        <v>32688</v>
      </c>
      <c r="G1266" s="37">
        <v>19</v>
      </c>
      <c r="H1266" s="37">
        <v>1</v>
      </c>
      <c r="I1266" s="37">
        <v>3</v>
      </c>
      <c r="J1266" s="672">
        <f t="shared" si="296"/>
        <v>0.0831271091113611</v>
      </c>
      <c r="K1266" s="911">
        <f t="shared" si="297"/>
        <v>1.85855209742896</v>
      </c>
      <c r="L1266" s="671">
        <f t="shared" si="294"/>
        <v>23.7995733434294</v>
      </c>
      <c r="M1266" s="672">
        <f t="shared" si="298"/>
        <v>0.0027063599458728</v>
      </c>
      <c r="N1266" s="670">
        <f t="shared" si="295"/>
        <v>16344</v>
      </c>
      <c r="O1266" s="670">
        <f t="shared" si="299"/>
        <v>686.735</v>
      </c>
      <c r="P1266" s="670">
        <f t="shared" si="300"/>
        <v>72.2878947368421</v>
      </c>
      <c r="Q1266" s="675">
        <f t="shared" si="301"/>
        <v>68.6735</v>
      </c>
      <c r="R1266">
        <f t="shared" si="302"/>
        <v>20</v>
      </c>
      <c r="S1266" s="667">
        <f t="shared" si="303"/>
        <v>0.027063599458728</v>
      </c>
    </row>
    <row r="1267" spans="1:19">
      <c r="A1267" s="1010">
        <v>45914</v>
      </c>
      <c r="B1267" s="670">
        <v>1318.69</v>
      </c>
      <c r="C1267" s="37">
        <v>7239</v>
      </c>
      <c r="D1267" s="37">
        <v>675</v>
      </c>
      <c r="E1267" s="37">
        <v>0</v>
      </c>
      <c r="F1267" s="670">
        <v>0</v>
      </c>
      <c r="G1267" s="37">
        <v>30</v>
      </c>
      <c r="H1267" s="37">
        <v>3</v>
      </c>
      <c r="I1267" s="37">
        <v>3</v>
      </c>
      <c r="J1267" s="672">
        <f t="shared" si="296"/>
        <v>0.0932449233319519</v>
      </c>
      <c r="K1267" s="911">
        <f t="shared" si="297"/>
        <v>1.95361481481481</v>
      </c>
      <c r="L1267" s="671">
        <f t="shared" si="294"/>
        <v>0</v>
      </c>
      <c r="M1267" s="672">
        <f t="shared" si="298"/>
        <v>0</v>
      </c>
      <c r="N1267" s="670">
        <f t="shared" si="295"/>
        <v>0</v>
      </c>
      <c r="O1267" s="670">
        <f t="shared" si="299"/>
        <v>0</v>
      </c>
      <c r="P1267" s="670">
        <f t="shared" si="300"/>
        <v>43.9563333333333</v>
      </c>
      <c r="Q1267" s="675">
        <f t="shared" si="301"/>
        <v>39.960303030303</v>
      </c>
      <c r="R1267">
        <f t="shared" si="302"/>
        <v>33</v>
      </c>
      <c r="S1267" s="667">
        <f t="shared" si="303"/>
        <v>0.0488888888888889</v>
      </c>
    </row>
    <row r="1268" spans="1:19">
      <c r="A1268" s="1010">
        <v>45915</v>
      </c>
      <c r="B1268" s="670">
        <v>1375.46</v>
      </c>
      <c r="C1268" s="37">
        <v>7577</v>
      </c>
      <c r="D1268" s="37">
        <v>738</v>
      </c>
      <c r="E1268" s="37">
        <v>1</v>
      </c>
      <c r="F1268" s="670">
        <v>10306</v>
      </c>
      <c r="G1268" s="37">
        <v>27</v>
      </c>
      <c r="H1268" s="37">
        <v>5</v>
      </c>
      <c r="I1268" s="37">
        <v>3</v>
      </c>
      <c r="J1268" s="672">
        <f t="shared" si="296"/>
        <v>0.0974000263956711</v>
      </c>
      <c r="K1268" s="911">
        <f t="shared" si="297"/>
        <v>1.86376693766938</v>
      </c>
      <c r="L1268" s="671">
        <f t="shared" ref="L1268:L1331" si="304">F1268/B1268</f>
        <v>7.49276605644657</v>
      </c>
      <c r="M1268" s="672">
        <f t="shared" si="298"/>
        <v>0.0013550135501355</v>
      </c>
      <c r="N1268" s="670">
        <f t="shared" ref="N1268:N1331" si="305">IF(E1268=0,0,F1268/E1268)</f>
        <v>10306</v>
      </c>
      <c r="O1268" s="670">
        <f t="shared" si="299"/>
        <v>1375.46</v>
      </c>
      <c r="P1268" s="670">
        <f t="shared" si="300"/>
        <v>50.942962962963</v>
      </c>
      <c r="Q1268" s="675">
        <f t="shared" si="301"/>
        <v>42.983125</v>
      </c>
      <c r="R1268">
        <f t="shared" si="302"/>
        <v>32</v>
      </c>
      <c r="S1268" s="667">
        <f t="shared" si="303"/>
        <v>0.043360433604336</v>
      </c>
    </row>
    <row r="1269" spans="1:19">
      <c r="A1269" s="1010">
        <v>45916</v>
      </c>
      <c r="B1269" s="670">
        <v>1724.7</v>
      </c>
      <c r="C1269" s="37">
        <v>10129</v>
      </c>
      <c r="D1269" s="37">
        <v>1005</v>
      </c>
      <c r="E1269" s="37">
        <v>1</v>
      </c>
      <c r="F1269" s="670">
        <v>6456</v>
      </c>
      <c r="G1269" s="37">
        <v>35</v>
      </c>
      <c r="H1269" s="37">
        <v>1</v>
      </c>
      <c r="I1269" s="37">
        <v>1</v>
      </c>
      <c r="J1269" s="672">
        <f t="shared" si="296"/>
        <v>0.099220061210386</v>
      </c>
      <c r="K1269" s="911">
        <f t="shared" si="297"/>
        <v>1.71611940298507</v>
      </c>
      <c r="L1269" s="671">
        <f t="shared" si="304"/>
        <v>3.74325969733867</v>
      </c>
      <c r="M1269" s="672">
        <f t="shared" si="298"/>
        <v>0.00099502487562189</v>
      </c>
      <c r="N1269" s="670">
        <f t="shared" si="305"/>
        <v>6456</v>
      </c>
      <c r="O1269" s="670">
        <f t="shared" si="299"/>
        <v>1724.7</v>
      </c>
      <c r="P1269" s="670">
        <f t="shared" si="300"/>
        <v>49.2771428571429</v>
      </c>
      <c r="Q1269" s="675">
        <f t="shared" si="301"/>
        <v>47.9083333333333</v>
      </c>
      <c r="R1269">
        <f t="shared" si="302"/>
        <v>36</v>
      </c>
      <c r="S1269" s="667">
        <f t="shared" si="303"/>
        <v>0.0358208955223881</v>
      </c>
    </row>
    <row r="1270" spans="1:19">
      <c r="A1270" s="1010">
        <v>45917</v>
      </c>
      <c r="B1270" s="670">
        <v>1661.54</v>
      </c>
      <c r="C1270" s="37">
        <v>10721</v>
      </c>
      <c r="D1270" s="37">
        <v>992</v>
      </c>
      <c r="E1270" s="37">
        <v>0</v>
      </c>
      <c r="F1270" s="670">
        <v>0</v>
      </c>
      <c r="G1270" s="37">
        <v>36</v>
      </c>
      <c r="H1270" s="37">
        <v>4</v>
      </c>
      <c r="I1270" s="37">
        <v>3</v>
      </c>
      <c r="J1270" s="672">
        <f t="shared" si="296"/>
        <v>0.0925286820259304</v>
      </c>
      <c r="K1270" s="911">
        <f t="shared" si="297"/>
        <v>1.67493951612903</v>
      </c>
      <c r="L1270" s="671">
        <f t="shared" si="304"/>
        <v>0</v>
      </c>
      <c r="M1270" s="672">
        <f t="shared" si="298"/>
        <v>0</v>
      </c>
      <c r="N1270" s="670">
        <f t="shared" si="305"/>
        <v>0</v>
      </c>
      <c r="O1270" s="670">
        <f t="shared" si="299"/>
        <v>0</v>
      </c>
      <c r="P1270" s="670">
        <f t="shared" si="300"/>
        <v>46.1538888888889</v>
      </c>
      <c r="Q1270" s="675">
        <f t="shared" si="301"/>
        <v>41.5385</v>
      </c>
      <c r="R1270">
        <f t="shared" si="302"/>
        <v>40</v>
      </c>
      <c r="S1270" s="667">
        <f t="shared" si="303"/>
        <v>0.0403225806451613</v>
      </c>
    </row>
    <row r="1271" spans="1:19">
      <c r="A1271" s="1010">
        <v>45918</v>
      </c>
      <c r="B1271" s="670">
        <v>1677.54</v>
      </c>
      <c r="C1271" s="37">
        <v>9872</v>
      </c>
      <c r="D1271" s="37">
        <v>894</v>
      </c>
      <c r="E1271" s="37">
        <v>0</v>
      </c>
      <c r="F1271" s="670">
        <v>0</v>
      </c>
      <c r="G1271" s="37">
        <v>22</v>
      </c>
      <c r="H1271" s="37">
        <v>4</v>
      </c>
      <c r="I1271" s="37">
        <v>4</v>
      </c>
      <c r="J1271" s="672">
        <f t="shared" si="296"/>
        <v>0.0905591572123177</v>
      </c>
      <c r="K1271" s="911">
        <f t="shared" si="297"/>
        <v>1.87644295302013</v>
      </c>
      <c r="L1271" s="671">
        <f t="shared" si="304"/>
        <v>0</v>
      </c>
      <c r="M1271" s="672">
        <f t="shared" si="298"/>
        <v>0</v>
      </c>
      <c r="N1271" s="670">
        <f t="shared" si="305"/>
        <v>0</v>
      </c>
      <c r="O1271" s="670">
        <f t="shared" si="299"/>
        <v>0</v>
      </c>
      <c r="P1271" s="670">
        <f t="shared" si="300"/>
        <v>76.2518181818182</v>
      </c>
      <c r="Q1271" s="675">
        <f t="shared" si="301"/>
        <v>64.5207692307692</v>
      </c>
      <c r="R1271">
        <f t="shared" si="302"/>
        <v>26</v>
      </c>
      <c r="S1271" s="667">
        <f t="shared" si="303"/>
        <v>0.029082774049217</v>
      </c>
    </row>
    <row r="1272" spans="1:19">
      <c r="A1272" s="1010">
        <v>45919</v>
      </c>
      <c r="B1272" s="670">
        <v>1644.21</v>
      </c>
      <c r="C1272" s="37">
        <v>9311</v>
      </c>
      <c r="D1272" s="37">
        <v>765</v>
      </c>
      <c r="E1272" s="37">
        <v>0</v>
      </c>
      <c r="F1272" s="670">
        <v>0</v>
      </c>
      <c r="G1272" s="37">
        <v>30</v>
      </c>
      <c r="H1272" s="37">
        <v>8</v>
      </c>
      <c r="I1272" s="37">
        <v>3</v>
      </c>
      <c r="J1272" s="672">
        <f t="shared" si="296"/>
        <v>0.082160884974761</v>
      </c>
      <c r="K1272" s="911">
        <f t="shared" si="297"/>
        <v>2.14929411764706</v>
      </c>
      <c r="L1272" s="671">
        <f t="shared" si="304"/>
        <v>0</v>
      </c>
      <c r="M1272" s="672">
        <f t="shared" si="298"/>
        <v>0</v>
      </c>
      <c r="N1272" s="670">
        <f t="shared" si="305"/>
        <v>0</v>
      </c>
      <c r="O1272" s="670">
        <f t="shared" si="299"/>
        <v>0</v>
      </c>
      <c r="P1272" s="670">
        <f t="shared" si="300"/>
        <v>54.807</v>
      </c>
      <c r="Q1272" s="675">
        <f t="shared" si="301"/>
        <v>43.2686842105263</v>
      </c>
      <c r="R1272">
        <f t="shared" si="302"/>
        <v>38</v>
      </c>
      <c r="S1272" s="667">
        <f t="shared" si="303"/>
        <v>0.0496732026143791</v>
      </c>
    </row>
    <row r="1273" spans="1:19">
      <c r="A1273" s="1010">
        <v>45920</v>
      </c>
      <c r="B1273" s="670">
        <v>1611.66</v>
      </c>
      <c r="C1273" s="37">
        <v>9073</v>
      </c>
      <c r="D1273" s="37">
        <v>732</v>
      </c>
      <c r="E1273" s="37">
        <v>2</v>
      </c>
      <c r="F1273" s="670">
        <v>22198.5</v>
      </c>
      <c r="G1273" s="37">
        <v>43</v>
      </c>
      <c r="H1273" s="37">
        <v>5</v>
      </c>
      <c r="I1273" s="37">
        <v>4</v>
      </c>
      <c r="J1273" s="672">
        <f t="shared" si="296"/>
        <v>0.0806789375068886</v>
      </c>
      <c r="K1273" s="911">
        <f t="shared" si="297"/>
        <v>2.20172131147541</v>
      </c>
      <c r="L1273" s="671">
        <f t="shared" si="304"/>
        <v>13.7736867577529</v>
      </c>
      <c r="M1273" s="672">
        <f t="shared" si="298"/>
        <v>0.00273224043715847</v>
      </c>
      <c r="N1273" s="670">
        <f t="shared" si="305"/>
        <v>11099.25</v>
      </c>
      <c r="O1273" s="670">
        <f t="shared" si="299"/>
        <v>805.83</v>
      </c>
      <c r="P1273" s="670">
        <f t="shared" si="300"/>
        <v>37.4804651162791</v>
      </c>
      <c r="Q1273" s="675">
        <f t="shared" si="301"/>
        <v>33.57625</v>
      </c>
      <c r="R1273">
        <f t="shared" si="302"/>
        <v>48</v>
      </c>
      <c r="S1273" s="667">
        <f t="shared" si="303"/>
        <v>0.0655737704918033</v>
      </c>
    </row>
    <row r="1274" spans="1:19">
      <c r="A1274" s="1010">
        <v>45921</v>
      </c>
      <c r="B1274" s="670">
        <v>1352.74</v>
      </c>
      <c r="C1274" s="37">
        <v>6482</v>
      </c>
      <c r="D1274" s="37">
        <v>639</v>
      </c>
      <c r="E1274" s="37">
        <v>1</v>
      </c>
      <c r="F1274" s="670">
        <v>14274</v>
      </c>
      <c r="G1274" s="37">
        <v>36</v>
      </c>
      <c r="H1274" s="37">
        <v>2</v>
      </c>
      <c r="I1274" s="37">
        <v>0</v>
      </c>
      <c r="J1274" s="672">
        <f t="shared" si="296"/>
        <v>0.0985806849737735</v>
      </c>
      <c r="K1274" s="911">
        <f t="shared" si="297"/>
        <v>2.11696400625978</v>
      </c>
      <c r="L1274" s="671">
        <f t="shared" si="304"/>
        <v>10.5519168502447</v>
      </c>
      <c r="M1274" s="672">
        <f t="shared" si="298"/>
        <v>0.00156494522691706</v>
      </c>
      <c r="N1274" s="670">
        <f t="shared" si="305"/>
        <v>14274</v>
      </c>
      <c r="O1274" s="670">
        <f t="shared" si="299"/>
        <v>1352.74</v>
      </c>
      <c r="P1274" s="670">
        <f t="shared" si="300"/>
        <v>37.5761111111111</v>
      </c>
      <c r="Q1274" s="675">
        <f t="shared" si="301"/>
        <v>35.5984210526316</v>
      </c>
      <c r="R1274">
        <f t="shared" si="302"/>
        <v>38</v>
      </c>
      <c r="S1274" s="667">
        <f t="shared" si="303"/>
        <v>0.0594679186228482</v>
      </c>
    </row>
    <row r="1275" spans="1:19">
      <c r="A1275" s="1010">
        <v>45922</v>
      </c>
      <c r="B1275" s="670">
        <v>1358.05</v>
      </c>
      <c r="C1275" s="37">
        <v>7825</v>
      </c>
      <c r="D1275" s="37">
        <v>700</v>
      </c>
      <c r="E1275" s="37">
        <v>3</v>
      </c>
      <c r="F1275" s="670">
        <v>41078</v>
      </c>
      <c r="G1275" s="37">
        <v>41</v>
      </c>
      <c r="H1275" s="37">
        <v>4</v>
      </c>
      <c r="I1275" s="37">
        <v>1</v>
      </c>
      <c r="J1275" s="672">
        <f t="shared" si="296"/>
        <v>0.0894568690095847</v>
      </c>
      <c r="K1275" s="911">
        <f t="shared" si="297"/>
        <v>1.94007142857143</v>
      </c>
      <c r="L1275" s="671">
        <f t="shared" si="304"/>
        <v>30.2477817458856</v>
      </c>
      <c r="M1275" s="672">
        <f t="shared" si="298"/>
        <v>0.00428571428571429</v>
      </c>
      <c r="N1275" s="670">
        <f t="shared" si="305"/>
        <v>13692.6666666667</v>
      </c>
      <c r="O1275" s="670">
        <f t="shared" si="299"/>
        <v>452.683333333333</v>
      </c>
      <c r="P1275" s="670">
        <f t="shared" si="300"/>
        <v>33.1231707317073</v>
      </c>
      <c r="Q1275" s="675">
        <f t="shared" si="301"/>
        <v>30.1788888888889</v>
      </c>
      <c r="R1275">
        <f t="shared" si="302"/>
        <v>45</v>
      </c>
      <c r="S1275" s="667">
        <f t="shared" si="303"/>
        <v>0.0642857142857143</v>
      </c>
    </row>
    <row r="1276" spans="1:19">
      <c r="A1276" s="1010">
        <v>45923</v>
      </c>
      <c r="B1276" s="670">
        <v>1296.85</v>
      </c>
      <c r="C1276" s="37">
        <v>7473</v>
      </c>
      <c r="D1276" s="37">
        <v>558</v>
      </c>
      <c r="E1276" s="37">
        <v>1</v>
      </c>
      <c r="F1276" s="670">
        <v>6407</v>
      </c>
      <c r="G1276" s="37">
        <v>22</v>
      </c>
      <c r="H1276" s="37">
        <v>1</v>
      </c>
      <c r="I1276" s="37">
        <v>1</v>
      </c>
      <c r="J1276" s="672">
        <f t="shared" si="296"/>
        <v>0.0746688077077479</v>
      </c>
      <c r="K1276" s="911">
        <f t="shared" si="297"/>
        <v>2.32410394265233</v>
      </c>
      <c r="L1276" s="671">
        <f t="shared" si="304"/>
        <v>4.94043258665227</v>
      </c>
      <c r="M1276" s="672">
        <f t="shared" si="298"/>
        <v>0.0017921146953405</v>
      </c>
      <c r="N1276" s="670">
        <f t="shared" si="305"/>
        <v>6407</v>
      </c>
      <c r="O1276" s="670">
        <f t="shared" si="299"/>
        <v>1296.85</v>
      </c>
      <c r="P1276" s="670">
        <f t="shared" si="300"/>
        <v>58.9477272727273</v>
      </c>
      <c r="Q1276" s="675">
        <f t="shared" si="301"/>
        <v>56.3847826086957</v>
      </c>
      <c r="R1276">
        <f t="shared" si="302"/>
        <v>23</v>
      </c>
      <c r="S1276" s="667">
        <f t="shared" si="303"/>
        <v>0.0412186379928315</v>
      </c>
    </row>
    <row r="1277" spans="1:19">
      <c r="A1277" s="1010">
        <v>45924</v>
      </c>
      <c r="B1277" s="670">
        <v>1641.32</v>
      </c>
      <c r="C1277" s="37">
        <v>7919</v>
      </c>
      <c r="D1277" s="37">
        <v>649</v>
      </c>
      <c r="E1277" s="37">
        <v>4</v>
      </c>
      <c r="F1277" s="670">
        <v>64508</v>
      </c>
      <c r="G1277" s="37">
        <v>41</v>
      </c>
      <c r="H1277" s="37">
        <v>2</v>
      </c>
      <c r="I1277" s="37">
        <v>2</v>
      </c>
      <c r="J1277" s="672">
        <f t="shared" si="296"/>
        <v>0.0819547922717515</v>
      </c>
      <c r="K1277" s="911">
        <f t="shared" si="297"/>
        <v>2.52899845916795</v>
      </c>
      <c r="L1277" s="671">
        <f t="shared" si="304"/>
        <v>39.3025126118003</v>
      </c>
      <c r="M1277" s="672">
        <f t="shared" si="298"/>
        <v>0.0061633281972265</v>
      </c>
      <c r="N1277" s="670">
        <f t="shared" si="305"/>
        <v>16127</v>
      </c>
      <c r="O1277" s="670">
        <f t="shared" si="299"/>
        <v>410.33</v>
      </c>
      <c r="P1277" s="670">
        <f t="shared" si="300"/>
        <v>40.0321951219512</v>
      </c>
      <c r="Q1277" s="675">
        <f t="shared" si="301"/>
        <v>38.1702325581395</v>
      </c>
      <c r="R1277">
        <f t="shared" si="302"/>
        <v>43</v>
      </c>
      <c r="S1277" s="667">
        <f t="shared" si="303"/>
        <v>0.0662557781201849</v>
      </c>
    </row>
    <row r="1278" spans="1:19">
      <c r="A1278" s="1010">
        <v>45925</v>
      </c>
      <c r="B1278" s="670">
        <v>1921.36</v>
      </c>
      <c r="C1278" s="37">
        <v>10483</v>
      </c>
      <c r="D1278" s="37">
        <v>805</v>
      </c>
      <c r="E1278" s="37">
        <v>0</v>
      </c>
      <c r="F1278" s="670">
        <v>0</v>
      </c>
      <c r="G1278" s="37">
        <v>23</v>
      </c>
      <c r="H1278" s="37">
        <v>4</v>
      </c>
      <c r="I1278" s="37">
        <v>1</v>
      </c>
      <c r="J1278" s="672">
        <f t="shared" si="296"/>
        <v>0.0767909949441954</v>
      </c>
      <c r="K1278" s="911">
        <f t="shared" si="297"/>
        <v>2.38678260869565</v>
      </c>
      <c r="L1278" s="671">
        <f t="shared" si="304"/>
        <v>0</v>
      </c>
      <c r="M1278" s="672">
        <f t="shared" si="298"/>
        <v>0</v>
      </c>
      <c r="N1278" s="670">
        <f t="shared" si="305"/>
        <v>0</v>
      </c>
      <c r="O1278" s="670">
        <f t="shared" si="299"/>
        <v>0</v>
      </c>
      <c r="P1278" s="670">
        <f t="shared" si="300"/>
        <v>83.5373913043478</v>
      </c>
      <c r="Q1278" s="675">
        <f t="shared" si="301"/>
        <v>71.1614814814815</v>
      </c>
      <c r="R1278">
        <f t="shared" si="302"/>
        <v>27</v>
      </c>
      <c r="S1278" s="667">
        <f t="shared" si="303"/>
        <v>0.0335403726708075</v>
      </c>
    </row>
    <row r="1279" spans="1:19">
      <c r="A1279" s="1010">
        <v>45926</v>
      </c>
      <c r="B1279" s="670">
        <v>1897.03</v>
      </c>
      <c r="C1279" s="37">
        <v>7462</v>
      </c>
      <c r="D1279" s="37">
        <v>754</v>
      </c>
      <c r="E1279" s="37">
        <v>0</v>
      </c>
      <c r="F1279" s="670">
        <v>0</v>
      </c>
      <c r="G1279" s="37">
        <v>29</v>
      </c>
      <c r="H1279" s="37">
        <v>5</v>
      </c>
      <c r="I1279" s="37">
        <v>1</v>
      </c>
      <c r="J1279" s="672">
        <f t="shared" si="296"/>
        <v>0.101045296167247</v>
      </c>
      <c r="K1279" s="911">
        <f t="shared" si="297"/>
        <v>2.5159549071618</v>
      </c>
      <c r="L1279" s="671">
        <f t="shared" si="304"/>
        <v>0</v>
      </c>
      <c r="M1279" s="672">
        <f t="shared" si="298"/>
        <v>0</v>
      </c>
      <c r="N1279" s="670">
        <f t="shared" si="305"/>
        <v>0</v>
      </c>
      <c r="O1279" s="670">
        <f t="shared" si="299"/>
        <v>0</v>
      </c>
      <c r="P1279" s="670">
        <f t="shared" si="300"/>
        <v>65.4148275862069</v>
      </c>
      <c r="Q1279" s="675">
        <f t="shared" si="301"/>
        <v>55.795</v>
      </c>
      <c r="R1279">
        <f t="shared" si="302"/>
        <v>34</v>
      </c>
      <c r="S1279" s="667">
        <f t="shared" si="303"/>
        <v>0.0450928381962865</v>
      </c>
    </row>
    <row r="1280" spans="1:19">
      <c r="A1280" s="1010">
        <v>45927</v>
      </c>
      <c r="B1280" s="670">
        <v>2184.53</v>
      </c>
      <c r="C1280" s="37">
        <v>8240</v>
      </c>
      <c r="D1280" s="37">
        <v>825</v>
      </c>
      <c r="E1280" s="37">
        <v>0</v>
      </c>
      <c r="F1280" s="670">
        <v>0</v>
      </c>
      <c r="G1280" s="37">
        <v>36</v>
      </c>
      <c r="H1280" s="37">
        <v>2</v>
      </c>
      <c r="I1280" s="37">
        <v>3</v>
      </c>
      <c r="J1280" s="672">
        <f t="shared" si="296"/>
        <v>0.100121359223301</v>
      </c>
      <c r="K1280" s="911">
        <f t="shared" si="297"/>
        <v>2.64791515151515</v>
      </c>
      <c r="L1280" s="671">
        <f t="shared" si="304"/>
        <v>0</v>
      </c>
      <c r="M1280" s="672">
        <f t="shared" si="298"/>
        <v>0</v>
      </c>
      <c r="N1280" s="670">
        <f t="shared" si="305"/>
        <v>0</v>
      </c>
      <c r="O1280" s="670">
        <f t="shared" si="299"/>
        <v>0</v>
      </c>
      <c r="P1280" s="670">
        <f t="shared" si="300"/>
        <v>60.6813888888889</v>
      </c>
      <c r="Q1280" s="675">
        <f t="shared" si="301"/>
        <v>57.4876315789474</v>
      </c>
      <c r="R1280">
        <f t="shared" si="302"/>
        <v>38</v>
      </c>
      <c r="S1280" s="667">
        <f t="shared" si="303"/>
        <v>0.0460606060606061</v>
      </c>
    </row>
    <row r="1281" spans="1:19">
      <c r="A1281" s="1010">
        <v>45928</v>
      </c>
      <c r="B1281" s="670">
        <v>2092.4</v>
      </c>
      <c r="C1281" s="37">
        <v>7365</v>
      </c>
      <c r="D1281" s="37">
        <v>808</v>
      </c>
      <c r="E1281" s="37">
        <v>2</v>
      </c>
      <c r="F1281" s="670">
        <v>12210</v>
      </c>
      <c r="G1281" s="37">
        <v>39</v>
      </c>
      <c r="H1281" s="37">
        <v>6</v>
      </c>
      <c r="I1281" s="37">
        <v>4</v>
      </c>
      <c r="J1281" s="672">
        <f t="shared" si="296"/>
        <v>0.109708078750849</v>
      </c>
      <c r="K1281" s="911">
        <f t="shared" si="297"/>
        <v>2.58960396039604</v>
      </c>
      <c r="L1281" s="671">
        <f t="shared" si="304"/>
        <v>5.83540432039763</v>
      </c>
      <c r="M1281" s="672">
        <f t="shared" si="298"/>
        <v>0.00247524752475248</v>
      </c>
      <c r="N1281" s="670">
        <f t="shared" si="305"/>
        <v>6105</v>
      </c>
      <c r="O1281" s="670">
        <f t="shared" si="299"/>
        <v>1046.2</v>
      </c>
      <c r="P1281" s="670">
        <f t="shared" si="300"/>
        <v>53.6512820512821</v>
      </c>
      <c r="Q1281" s="675">
        <f t="shared" si="301"/>
        <v>46.4977777777778</v>
      </c>
      <c r="R1281">
        <f t="shared" si="302"/>
        <v>45</v>
      </c>
      <c r="S1281" s="667">
        <f t="shared" si="303"/>
        <v>0.0556930693069307</v>
      </c>
    </row>
    <row r="1282" spans="1:19">
      <c r="A1282" s="1010">
        <v>45929</v>
      </c>
      <c r="B1282" s="670">
        <v>1872.28</v>
      </c>
      <c r="C1282" s="37">
        <v>6941</v>
      </c>
      <c r="D1282" s="37">
        <v>745</v>
      </c>
      <c r="E1282" s="37">
        <v>0</v>
      </c>
      <c r="F1282" s="670">
        <v>0</v>
      </c>
      <c r="G1282" s="37">
        <v>25</v>
      </c>
      <c r="H1282" s="37">
        <v>1</v>
      </c>
      <c r="I1282" s="37">
        <v>2</v>
      </c>
      <c r="J1282" s="672">
        <f t="shared" si="296"/>
        <v>0.107333237285694</v>
      </c>
      <c r="K1282" s="911">
        <f t="shared" si="297"/>
        <v>2.51312751677852</v>
      </c>
      <c r="L1282" s="671">
        <f t="shared" si="304"/>
        <v>0</v>
      </c>
      <c r="M1282" s="672">
        <f t="shared" si="298"/>
        <v>0</v>
      </c>
      <c r="N1282" s="670">
        <f t="shared" si="305"/>
        <v>0</v>
      </c>
      <c r="O1282" s="670">
        <f t="shared" si="299"/>
        <v>0</v>
      </c>
      <c r="P1282" s="670">
        <f t="shared" si="300"/>
        <v>74.8912</v>
      </c>
      <c r="Q1282" s="675">
        <f t="shared" si="301"/>
        <v>72.0107692307692</v>
      </c>
      <c r="R1282">
        <f t="shared" si="302"/>
        <v>26</v>
      </c>
      <c r="S1282" s="667">
        <f t="shared" si="303"/>
        <v>0.0348993288590604</v>
      </c>
    </row>
    <row r="1283" spans="1:19">
      <c r="A1283" s="1010">
        <v>45930</v>
      </c>
      <c r="B1283" s="670">
        <v>1418.25</v>
      </c>
      <c r="C1283" s="37">
        <v>5614</v>
      </c>
      <c r="D1283" s="37">
        <v>612</v>
      </c>
      <c r="E1283" s="37">
        <v>2</v>
      </c>
      <c r="F1283" s="670">
        <v>29792</v>
      </c>
      <c r="G1283" s="37">
        <v>22</v>
      </c>
      <c r="H1283" s="37">
        <v>1</v>
      </c>
      <c r="I1283" s="37">
        <v>4</v>
      </c>
      <c r="J1283" s="672">
        <f t="shared" si="296"/>
        <v>0.109013181332383</v>
      </c>
      <c r="K1283" s="911">
        <f t="shared" si="297"/>
        <v>2.31740196078431</v>
      </c>
      <c r="L1283" s="671">
        <f t="shared" si="304"/>
        <v>21.0061695751807</v>
      </c>
      <c r="M1283" s="672">
        <f t="shared" si="298"/>
        <v>0.00326797385620915</v>
      </c>
      <c r="N1283" s="670">
        <f t="shared" si="305"/>
        <v>14896</v>
      </c>
      <c r="O1283" s="670">
        <f t="shared" si="299"/>
        <v>709.125</v>
      </c>
      <c r="P1283" s="670">
        <f t="shared" si="300"/>
        <v>64.4659090909091</v>
      </c>
      <c r="Q1283" s="675">
        <f t="shared" si="301"/>
        <v>61.6630434782609</v>
      </c>
      <c r="R1283">
        <f t="shared" si="302"/>
        <v>23</v>
      </c>
      <c r="S1283" s="667">
        <f t="shared" si="303"/>
        <v>0.0375816993464052</v>
      </c>
    </row>
    <row r="1284" spans="1:19">
      <c r="A1284" s="1010">
        <v>45931</v>
      </c>
      <c r="B1284" s="670">
        <v>1455.97</v>
      </c>
      <c r="C1284" s="37">
        <v>6136</v>
      </c>
      <c r="D1284" s="37">
        <v>667</v>
      </c>
      <c r="E1284" s="37">
        <v>1</v>
      </c>
      <c r="F1284" s="670">
        <v>1</v>
      </c>
      <c r="G1284" s="37">
        <v>29</v>
      </c>
      <c r="H1284" s="37">
        <v>6</v>
      </c>
      <c r="I1284" s="37">
        <v>3</v>
      </c>
      <c r="J1284" s="672">
        <f t="shared" si="296"/>
        <v>0.108702737940026</v>
      </c>
      <c r="K1284" s="911">
        <f t="shared" si="297"/>
        <v>2.18286356821589</v>
      </c>
      <c r="L1284" s="671">
        <f t="shared" si="304"/>
        <v>0.000686827338475381</v>
      </c>
      <c r="M1284" s="672">
        <f t="shared" si="298"/>
        <v>0.00149925037481259</v>
      </c>
      <c r="N1284" s="670">
        <f t="shared" si="305"/>
        <v>1</v>
      </c>
      <c r="O1284" s="670">
        <f t="shared" si="299"/>
        <v>1455.97</v>
      </c>
      <c r="P1284" s="670">
        <f t="shared" si="300"/>
        <v>50.2058620689655</v>
      </c>
      <c r="Q1284" s="675">
        <f t="shared" si="301"/>
        <v>41.5991428571429</v>
      </c>
      <c r="R1284">
        <f t="shared" si="302"/>
        <v>35</v>
      </c>
      <c r="S1284" s="667">
        <f t="shared" si="303"/>
        <v>0.0524737631184408</v>
      </c>
    </row>
    <row r="1285" spans="1:19">
      <c r="A1285" s="1010">
        <v>45932</v>
      </c>
      <c r="B1285" s="670">
        <v>1421.84</v>
      </c>
      <c r="C1285" s="37">
        <v>5872</v>
      </c>
      <c r="D1285" s="37">
        <v>668</v>
      </c>
      <c r="E1285" s="37">
        <v>3</v>
      </c>
      <c r="F1285" s="670">
        <v>24550</v>
      </c>
      <c r="G1285" s="37">
        <v>38</v>
      </c>
      <c r="H1285" s="37">
        <v>7</v>
      </c>
      <c r="I1285" s="37">
        <v>3</v>
      </c>
      <c r="J1285" s="672">
        <f t="shared" si="296"/>
        <v>0.113760217983651</v>
      </c>
      <c r="K1285" s="911">
        <f t="shared" si="297"/>
        <v>2.12850299401198</v>
      </c>
      <c r="L1285" s="671">
        <f t="shared" si="304"/>
        <v>17.2663590840038</v>
      </c>
      <c r="M1285" s="672">
        <f t="shared" si="298"/>
        <v>0.00449101796407186</v>
      </c>
      <c r="N1285" s="670">
        <f t="shared" si="305"/>
        <v>8183.33333333333</v>
      </c>
      <c r="O1285" s="670">
        <f t="shared" si="299"/>
        <v>473.946666666667</v>
      </c>
      <c r="P1285" s="670">
        <f t="shared" si="300"/>
        <v>37.4168421052632</v>
      </c>
      <c r="Q1285" s="675">
        <f t="shared" si="301"/>
        <v>31.5964444444444</v>
      </c>
      <c r="R1285">
        <f t="shared" si="302"/>
        <v>45</v>
      </c>
      <c r="S1285" s="667">
        <f t="shared" si="303"/>
        <v>0.0673652694610778</v>
      </c>
    </row>
    <row r="1286" spans="1:19">
      <c r="A1286" s="1010">
        <v>45933</v>
      </c>
      <c r="B1286" s="670">
        <v>1849</v>
      </c>
      <c r="C1286" s="37">
        <v>7621</v>
      </c>
      <c r="D1286" s="37">
        <v>826</v>
      </c>
      <c r="E1286" s="37">
        <v>2</v>
      </c>
      <c r="F1286" s="670">
        <v>2</v>
      </c>
      <c r="G1286" s="37">
        <v>57</v>
      </c>
      <c r="H1286" s="37">
        <v>5</v>
      </c>
      <c r="I1286" s="37">
        <v>3</v>
      </c>
      <c r="J1286" s="672">
        <f t="shared" si="296"/>
        <v>0.108384726413856</v>
      </c>
      <c r="K1286" s="911">
        <f t="shared" si="297"/>
        <v>2.23849878934625</v>
      </c>
      <c r="L1286" s="671">
        <f t="shared" si="304"/>
        <v>0.00108166576527853</v>
      </c>
      <c r="M1286" s="672">
        <f t="shared" si="298"/>
        <v>0.00242130750605327</v>
      </c>
      <c r="N1286" s="670">
        <f t="shared" si="305"/>
        <v>1</v>
      </c>
      <c r="O1286" s="670">
        <f t="shared" si="299"/>
        <v>924.5</v>
      </c>
      <c r="P1286" s="670">
        <f t="shared" si="300"/>
        <v>32.4385964912281</v>
      </c>
      <c r="Q1286" s="675">
        <f t="shared" si="301"/>
        <v>29.8225806451613</v>
      </c>
      <c r="R1286">
        <f t="shared" si="302"/>
        <v>62</v>
      </c>
      <c r="S1286" s="667">
        <f t="shared" si="303"/>
        <v>0.0750605326876513</v>
      </c>
    </row>
    <row r="1287" spans="1:19">
      <c r="A1287" s="1010">
        <v>45934</v>
      </c>
      <c r="B1287" s="670">
        <v>1668.49</v>
      </c>
      <c r="C1287" s="37">
        <v>8309</v>
      </c>
      <c r="D1287" s="37">
        <v>814</v>
      </c>
      <c r="E1287" s="37">
        <v>1</v>
      </c>
      <c r="F1287" s="670">
        <v>1</v>
      </c>
      <c r="G1287" s="37">
        <v>40</v>
      </c>
      <c r="H1287" s="37">
        <v>5</v>
      </c>
      <c r="I1287" s="37">
        <v>2</v>
      </c>
      <c r="J1287" s="672">
        <f t="shared" si="296"/>
        <v>0.0979660608978216</v>
      </c>
      <c r="K1287" s="911">
        <f t="shared" si="297"/>
        <v>2.04974201474201</v>
      </c>
      <c r="L1287" s="671">
        <f t="shared" si="304"/>
        <v>0.000599344317316855</v>
      </c>
      <c r="M1287" s="672">
        <f t="shared" si="298"/>
        <v>0.00122850122850123</v>
      </c>
      <c r="N1287" s="670">
        <f t="shared" si="305"/>
        <v>1</v>
      </c>
      <c r="O1287" s="670">
        <f t="shared" si="299"/>
        <v>1668.49</v>
      </c>
      <c r="P1287" s="670">
        <f t="shared" si="300"/>
        <v>41.71225</v>
      </c>
      <c r="Q1287" s="675">
        <f t="shared" si="301"/>
        <v>37.0775555555556</v>
      </c>
      <c r="R1287">
        <f t="shared" si="302"/>
        <v>45</v>
      </c>
      <c r="S1287" s="667">
        <f t="shared" si="303"/>
        <v>0.0552825552825553</v>
      </c>
    </row>
    <row r="1288" spans="1:19">
      <c r="A1288" s="1010">
        <v>45935</v>
      </c>
      <c r="B1288" s="670">
        <v>2164.39</v>
      </c>
      <c r="C1288" s="37">
        <v>10787</v>
      </c>
      <c r="D1288" s="37">
        <v>994</v>
      </c>
      <c r="E1288" s="37">
        <v>2</v>
      </c>
      <c r="F1288" s="670">
        <v>22590</v>
      </c>
      <c r="G1288" s="37">
        <v>52</v>
      </c>
      <c r="H1288" s="37">
        <v>6</v>
      </c>
      <c r="I1288" s="37">
        <v>2</v>
      </c>
      <c r="J1288" s="672">
        <f t="shared" si="296"/>
        <v>0.0921479558728099</v>
      </c>
      <c r="K1288" s="911">
        <f t="shared" si="297"/>
        <v>2.17745472837022</v>
      </c>
      <c r="L1288" s="671">
        <f t="shared" si="304"/>
        <v>10.4371208516025</v>
      </c>
      <c r="M1288" s="672">
        <f t="shared" si="298"/>
        <v>0.00201207243460765</v>
      </c>
      <c r="N1288" s="670">
        <f t="shared" si="305"/>
        <v>11295</v>
      </c>
      <c r="O1288" s="670">
        <f t="shared" si="299"/>
        <v>1082.195</v>
      </c>
      <c r="P1288" s="670">
        <f t="shared" si="300"/>
        <v>41.6228846153846</v>
      </c>
      <c r="Q1288" s="675">
        <f t="shared" si="301"/>
        <v>37.3170689655172</v>
      </c>
      <c r="R1288">
        <f t="shared" si="302"/>
        <v>58</v>
      </c>
      <c r="S1288" s="667">
        <f t="shared" si="303"/>
        <v>0.0583501006036217</v>
      </c>
    </row>
    <row r="1289" spans="1:19">
      <c r="A1289" s="1010">
        <v>45936</v>
      </c>
      <c r="B1289" s="670">
        <v>2481.11</v>
      </c>
      <c r="C1289" s="37">
        <v>9518</v>
      </c>
      <c r="D1289" s="37">
        <v>1058</v>
      </c>
      <c r="E1289" s="37">
        <v>9</v>
      </c>
      <c r="F1289" s="670">
        <v>82823</v>
      </c>
      <c r="G1289" s="37">
        <v>93</v>
      </c>
      <c r="H1289" s="37">
        <v>11</v>
      </c>
      <c r="I1289" s="37">
        <v>4</v>
      </c>
      <c r="J1289" s="672">
        <f t="shared" si="296"/>
        <v>0.11115780626182</v>
      </c>
      <c r="K1289" s="911">
        <f t="shared" si="297"/>
        <v>2.34509451795841</v>
      </c>
      <c r="L1289" s="671">
        <f t="shared" si="304"/>
        <v>33.3814300857278</v>
      </c>
      <c r="M1289" s="672">
        <f t="shared" si="298"/>
        <v>0.00850661625708885</v>
      </c>
      <c r="N1289" s="670">
        <f t="shared" si="305"/>
        <v>9202.55555555555</v>
      </c>
      <c r="O1289" s="670">
        <f t="shared" si="299"/>
        <v>275.678888888889</v>
      </c>
      <c r="P1289" s="670">
        <f t="shared" si="300"/>
        <v>26.6786021505376</v>
      </c>
      <c r="Q1289" s="675">
        <f t="shared" si="301"/>
        <v>23.8568269230769</v>
      </c>
      <c r="R1289">
        <f t="shared" si="302"/>
        <v>104</v>
      </c>
      <c r="S1289" s="667">
        <f t="shared" si="303"/>
        <v>0.0982986767485822</v>
      </c>
    </row>
    <row r="1290" spans="1:19">
      <c r="A1290" s="1010">
        <v>45937</v>
      </c>
      <c r="B1290" s="670">
        <v>2011.36</v>
      </c>
      <c r="C1290" s="37">
        <v>10288</v>
      </c>
      <c r="D1290" s="37">
        <v>1172</v>
      </c>
      <c r="E1290" s="37">
        <v>5</v>
      </c>
      <c r="F1290" s="670">
        <v>22274</v>
      </c>
      <c r="G1290" s="37">
        <v>81</v>
      </c>
      <c r="H1290" s="37">
        <v>7</v>
      </c>
      <c r="I1290" s="37">
        <v>5</v>
      </c>
      <c r="J1290" s="672">
        <f t="shared" si="296"/>
        <v>0.113919129082426</v>
      </c>
      <c r="K1290" s="911">
        <f t="shared" si="297"/>
        <v>1.71617747440273</v>
      </c>
      <c r="L1290" s="671">
        <f t="shared" si="304"/>
        <v>11.0740991170154</v>
      </c>
      <c r="M1290" s="672">
        <f t="shared" si="298"/>
        <v>0.00426621160409556</v>
      </c>
      <c r="N1290" s="670">
        <f t="shared" si="305"/>
        <v>4454.8</v>
      </c>
      <c r="O1290" s="670">
        <f t="shared" si="299"/>
        <v>402.272</v>
      </c>
      <c r="P1290" s="670">
        <f t="shared" si="300"/>
        <v>24.8316049382716</v>
      </c>
      <c r="Q1290" s="675">
        <f t="shared" si="301"/>
        <v>22.8563636363636</v>
      </c>
      <c r="R1290">
        <f t="shared" si="302"/>
        <v>88</v>
      </c>
      <c r="S1290" s="667">
        <f t="shared" si="303"/>
        <v>0.0750853242320819</v>
      </c>
    </row>
    <row r="1291" spans="1:19">
      <c r="A1291" s="1010">
        <v>45938</v>
      </c>
      <c r="B1291" s="670">
        <v>2455.05</v>
      </c>
      <c r="C1291" s="37">
        <v>9756</v>
      </c>
      <c r="D1291" s="37">
        <v>1234</v>
      </c>
      <c r="E1291" s="37">
        <v>9</v>
      </c>
      <c r="F1291" s="670">
        <v>62185</v>
      </c>
      <c r="G1291" s="37">
        <v>93</v>
      </c>
      <c r="H1291" s="37">
        <v>4</v>
      </c>
      <c r="I1291" s="37">
        <v>3</v>
      </c>
      <c r="J1291" s="672">
        <f t="shared" si="296"/>
        <v>0.126486264862649</v>
      </c>
      <c r="K1291" s="911">
        <f t="shared" si="297"/>
        <v>1.9895056726094</v>
      </c>
      <c r="L1291" s="671">
        <f t="shared" si="304"/>
        <v>25.3294230260076</v>
      </c>
      <c r="M1291" s="672">
        <f t="shared" si="298"/>
        <v>0.00729335494327391</v>
      </c>
      <c r="N1291" s="670">
        <f t="shared" si="305"/>
        <v>6909.44444444444</v>
      </c>
      <c r="O1291" s="670">
        <f t="shared" si="299"/>
        <v>272.783333333333</v>
      </c>
      <c r="P1291" s="670">
        <f t="shared" si="300"/>
        <v>26.3983870967742</v>
      </c>
      <c r="Q1291" s="675">
        <f t="shared" si="301"/>
        <v>25.309793814433</v>
      </c>
      <c r="R1291">
        <f t="shared" si="302"/>
        <v>97</v>
      </c>
      <c r="S1291" s="667">
        <f t="shared" si="303"/>
        <v>0.0786061588330632</v>
      </c>
    </row>
    <row r="1292" spans="1:19">
      <c r="A1292" s="1010">
        <v>45939</v>
      </c>
      <c r="B1292" s="670">
        <v>2429.06</v>
      </c>
      <c r="C1292" s="37">
        <v>10231</v>
      </c>
      <c r="D1292" s="37">
        <v>1246</v>
      </c>
      <c r="E1292" s="37">
        <v>10</v>
      </c>
      <c r="F1292" s="670">
        <v>83578</v>
      </c>
      <c r="G1292" s="37">
        <v>116</v>
      </c>
      <c r="H1292" s="37">
        <v>7</v>
      </c>
      <c r="I1292" s="37">
        <v>4</v>
      </c>
      <c r="J1292" s="672">
        <f t="shared" si="296"/>
        <v>0.121786726615189</v>
      </c>
      <c r="K1292" s="911">
        <f t="shared" si="297"/>
        <v>1.94948635634029</v>
      </c>
      <c r="L1292" s="671">
        <f t="shared" si="304"/>
        <v>34.4075485990465</v>
      </c>
      <c r="M1292" s="672">
        <f t="shared" si="298"/>
        <v>0.00802568218298555</v>
      </c>
      <c r="N1292" s="670">
        <f t="shared" si="305"/>
        <v>8357.8</v>
      </c>
      <c r="O1292" s="670">
        <f t="shared" si="299"/>
        <v>242.906</v>
      </c>
      <c r="P1292" s="670">
        <f t="shared" si="300"/>
        <v>20.9401724137931</v>
      </c>
      <c r="Q1292" s="675">
        <f t="shared" si="301"/>
        <v>19.7484552845528</v>
      </c>
      <c r="R1292">
        <f t="shared" si="302"/>
        <v>123</v>
      </c>
      <c r="S1292" s="667">
        <f t="shared" si="303"/>
        <v>0.0987158908507223</v>
      </c>
    </row>
    <row r="1293" spans="1:19">
      <c r="A1293" s="1010">
        <v>45940</v>
      </c>
      <c r="B1293" s="670">
        <v>2553.48</v>
      </c>
      <c r="C1293" s="37">
        <v>9089</v>
      </c>
      <c r="D1293" s="37">
        <v>1172</v>
      </c>
      <c r="E1293" s="37">
        <v>6</v>
      </c>
      <c r="F1293" s="670">
        <v>43246</v>
      </c>
      <c r="G1293" s="37">
        <v>73</v>
      </c>
      <c r="H1293" s="37">
        <v>13</v>
      </c>
      <c r="I1293" s="37">
        <v>3</v>
      </c>
      <c r="J1293" s="672">
        <f t="shared" si="296"/>
        <v>0.128947078886566</v>
      </c>
      <c r="K1293" s="911">
        <f t="shared" si="297"/>
        <v>2.17873720136519</v>
      </c>
      <c r="L1293" s="671">
        <f t="shared" si="304"/>
        <v>16.9361028870404</v>
      </c>
      <c r="M1293" s="672">
        <f t="shared" si="298"/>
        <v>0.00511945392491468</v>
      </c>
      <c r="N1293" s="670">
        <f t="shared" si="305"/>
        <v>7207.66666666667</v>
      </c>
      <c r="O1293" s="670">
        <f t="shared" si="299"/>
        <v>425.58</v>
      </c>
      <c r="P1293" s="670">
        <f t="shared" si="300"/>
        <v>34.9791780821918</v>
      </c>
      <c r="Q1293" s="675">
        <f t="shared" si="301"/>
        <v>29.6916279069767</v>
      </c>
      <c r="R1293">
        <f t="shared" si="302"/>
        <v>86</v>
      </c>
      <c r="S1293" s="667">
        <f t="shared" si="303"/>
        <v>0.0733788395904437</v>
      </c>
    </row>
    <row r="1294" spans="1:19">
      <c r="A1294" s="1010">
        <v>45941</v>
      </c>
      <c r="B1294" s="670">
        <v>2711.38</v>
      </c>
      <c r="C1294" s="37">
        <v>9166</v>
      </c>
      <c r="D1294" s="37">
        <v>1098</v>
      </c>
      <c r="E1294" s="37">
        <v>12</v>
      </c>
      <c r="F1294" s="670">
        <v>106483</v>
      </c>
      <c r="G1294" s="37">
        <v>98</v>
      </c>
      <c r="H1294" s="37">
        <v>9</v>
      </c>
      <c r="I1294" s="37">
        <v>5</v>
      </c>
      <c r="J1294" s="672">
        <f t="shared" si="296"/>
        <v>0.11979053022038</v>
      </c>
      <c r="K1294" s="911">
        <f t="shared" si="297"/>
        <v>2.46938069216758</v>
      </c>
      <c r="L1294" s="671">
        <f t="shared" si="304"/>
        <v>39.2726213219836</v>
      </c>
      <c r="M1294" s="672">
        <f t="shared" si="298"/>
        <v>0.0109289617486339</v>
      </c>
      <c r="N1294" s="670">
        <f t="shared" si="305"/>
        <v>8873.58333333333</v>
      </c>
      <c r="O1294" s="670">
        <f t="shared" si="299"/>
        <v>225.948333333333</v>
      </c>
      <c r="P1294" s="670">
        <f t="shared" si="300"/>
        <v>27.6671428571429</v>
      </c>
      <c r="Q1294" s="675">
        <f t="shared" si="301"/>
        <v>25.34</v>
      </c>
      <c r="R1294">
        <f t="shared" si="302"/>
        <v>107</v>
      </c>
      <c r="S1294" s="667">
        <f t="shared" si="303"/>
        <v>0.0974499089253188</v>
      </c>
    </row>
    <row r="1295" spans="1:19">
      <c r="A1295" s="1010">
        <v>45942</v>
      </c>
      <c r="B1295" s="670">
        <v>2732.42</v>
      </c>
      <c r="C1295" s="37">
        <v>9607</v>
      </c>
      <c r="D1295" s="37">
        <v>1052</v>
      </c>
      <c r="E1295" s="37">
        <v>16</v>
      </c>
      <c r="F1295" s="670">
        <v>92633</v>
      </c>
      <c r="G1295" s="37">
        <v>68</v>
      </c>
      <c r="H1295" s="37">
        <v>12</v>
      </c>
      <c r="I1295" s="37">
        <v>8</v>
      </c>
      <c r="J1295" s="672">
        <f t="shared" si="296"/>
        <v>0.109503487040699</v>
      </c>
      <c r="K1295" s="911">
        <f t="shared" si="297"/>
        <v>2.59735741444867</v>
      </c>
      <c r="L1295" s="671">
        <f t="shared" si="304"/>
        <v>33.9014499967062</v>
      </c>
      <c r="M1295" s="672">
        <f t="shared" si="298"/>
        <v>0.0152091254752852</v>
      </c>
      <c r="N1295" s="670">
        <f t="shared" si="305"/>
        <v>5789.5625</v>
      </c>
      <c r="O1295" s="670">
        <f t="shared" si="299"/>
        <v>170.77625</v>
      </c>
      <c r="P1295" s="670">
        <f t="shared" si="300"/>
        <v>40.1826470588235</v>
      </c>
      <c r="Q1295" s="675">
        <f t="shared" si="301"/>
        <v>34.15525</v>
      </c>
      <c r="R1295">
        <f t="shared" si="302"/>
        <v>80</v>
      </c>
      <c r="S1295" s="667">
        <f t="shared" si="303"/>
        <v>0.0760456273764259</v>
      </c>
    </row>
    <row r="1296" spans="1:19">
      <c r="A1296" s="1010">
        <v>45943</v>
      </c>
      <c r="B1296" s="670">
        <v>2758.95</v>
      </c>
      <c r="C1296" s="37">
        <v>8675</v>
      </c>
      <c r="D1296" s="37">
        <v>1103</v>
      </c>
      <c r="E1296" s="37">
        <v>13</v>
      </c>
      <c r="F1296" s="670">
        <v>116258</v>
      </c>
      <c r="G1296" s="37">
        <v>109</v>
      </c>
      <c r="H1296" s="37">
        <v>11</v>
      </c>
      <c r="I1296" s="37">
        <v>4</v>
      </c>
      <c r="J1296" s="672">
        <f t="shared" si="296"/>
        <v>0.127146974063401</v>
      </c>
      <c r="K1296" s="911">
        <f t="shared" si="297"/>
        <v>2.50131459655485</v>
      </c>
      <c r="L1296" s="671">
        <f t="shared" si="304"/>
        <v>42.1384947171931</v>
      </c>
      <c r="M1296" s="672">
        <f t="shared" si="298"/>
        <v>0.0117860380779692</v>
      </c>
      <c r="N1296" s="670">
        <f t="shared" si="305"/>
        <v>8942.92307692308</v>
      </c>
      <c r="O1296" s="670">
        <f t="shared" si="299"/>
        <v>212.226923076923</v>
      </c>
      <c r="P1296" s="670">
        <f t="shared" si="300"/>
        <v>25.3114678899083</v>
      </c>
      <c r="Q1296" s="675">
        <f t="shared" si="301"/>
        <v>22.99125</v>
      </c>
      <c r="R1296">
        <f t="shared" si="302"/>
        <v>120</v>
      </c>
      <c r="S1296" s="667">
        <f t="shared" si="303"/>
        <v>0.108794197642792</v>
      </c>
    </row>
    <row r="1297" spans="1:19">
      <c r="A1297" s="1010">
        <v>45944</v>
      </c>
      <c r="B1297" s="670">
        <v>2781.24</v>
      </c>
      <c r="C1297" s="37">
        <v>9179</v>
      </c>
      <c r="D1297" s="37">
        <v>1041</v>
      </c>
      <c r="E1297" s="37">
        <v>10</v>
      </c>
      <c r="F1297" s="670">
        <v>92729</v>
      </c>
      <c r="G1297" s="37">
        <v>118</v>
      </c>
      <c r="H1297" s="37">
        <v>6</v>
      </c>
      <c r="I1297" s="37">
        <v>8</v>
      </c>
      <c r="J1297" s="672">
        <f t="shared" si="296"/>
        <v>0.113411046955006</v>
      </c>
      <c r="K1297" s="911">
        <f t="shared" si="297"/>
        <v>2.67170028818444</v>
      </c>
      <c r="L1297" s="671">
        <f t="shared" si="304"/>
        <v>33.3408839222793</v>
      </c>
      <c r="M1297" s="672">
        <f t="shared" si="298"/>
        <v>0.00960614793467819</v>
      </c>
      <c r="N1297" s="670">
        <f t="shared" si="305"/>
        <v>9272.9</v>
      </c>
      <c r="O1297" s="670">
        <f t="shared" si="299"/>
        <v>278.124</v>
      </c>
      <c r="P1297" s="670">
        <f t="shared" si="300"/>
        <v>23.5698305084746</v>
      </c>
      <c r="Q1297" s="675">
        <f t="shared" si="301"/>
        <v>22.4293548387097</v>
      </c>
      <c r="R1297">
        <f t="shared" si="302"/>
        <v>124</v>
      </c>
      <c r="S1297" s="667">
        <f t="shared" si="303"/>
        <v>0.11911623439001</v>
      </c>
    </row>
    <row r="1298" spans="1:19">
      <c r="A1298" s="1010">
        <v>45945</v>
      </c>
      <c r="B1298" s="670">
        <v>2824.93</v>
      </c>
      <c r="C1298" s="37">
        <v>9927</v>
      </c>
      <c r="D1298" s="37">
        <v>1223</v>
      </c>
      <c r="E1298" s="37">
        <v>21</v>
      </c>
      <c r="F1298" s="670">
        <v>143355</v>
      </c>
      <c r="G1298" s="37">
        <v>157</v>
      </c>
      <c r="H1298" s="37">
        <v>15</v>
      </c>
      <c r="I1298" s="37">
        <v>6</v>
      </c>
      <c r="J1298" s="672">
        <f t="shared" si="296"/>
        <v>0.123199355293644</v>
      </c>
      <c r="K1298" s="911">
        <f t="shared" si="297"/>
        <v>2.30983646770237</v>
      </c>
      <c r="L1298" s="671">
        <f t="shared" si="304"/>
        <v>50.7463901760398</v>
      </c>
      <c r="M1298" s="672">
        <f t="shared" si="298"/>
        <v>0.0171708912510221</v>
      </c>
      <c r="N1298" s="670">
        <f t="shared" si="305"/>
        <v>6826.42857142857</v>
      </c>
      <c r="O1298" s="670">
        <f t="shared" si="299"/>
        <v>134.520476190476</v>
      </c>
      <c r="P1298" s="670">
        <f t="shared" si="300"/>
        <v>17.9931847133758</v>
      </c>
      <c r="Q1298" s="675">
        <f t="shared" si="301"/>
        <v>16.424011627907</v>
      </c>
      <c r="R1298">
        <f t="shared" si="302"/>
        <v>172</v>
      </c>
      <c r="S1298" s="667">
        <f t="shared" si="303"/>
        <v>0.140637775960752</v>
      </c>
    </row>
    <row r="1299" spans="1:19">
      <c r="A1299" s="1010">
        <v>45946</v>
      </c>
      <c r="B1299" s="670">
        <v>2469.83</v>
      </c>
      <c r="C1299" s="37">
        <v>9293</v>
      </c>
      <c r="D1299" s="37">
        <v>1115</v>
      </c>
      <c r="E1299" s="37">
        <v>22</v>
      </c>
      <c r="F1299" s="670">
        <v>237612</v>
      </c>
      <c r="G1299" s="37">
        <v>83</v>
      </c>
      <c r="H1299" s="37">
        <v>7</v>
      </c>
      <c r="I1299" s="37">
        <v>11</v>
      </c>
      <c r="J1299" s="672">
        <f t="shared" si="296"/>
        <v>0.119982782739697</v>
      </c>
      <c r="K1299" s="911">
        <f t="shared" si="297"/>
        <v>2.21509417040359</v>
      </c>
      <c r="L1299" s="671">
        <f t="shared" si="304"/>
        <v>96.2058117360304</v>
      </c>
      <c r="M1299" s="672">
        <f t="shared" si="298"/>
        <v>0.0197309417040359</v>
      </c>
      <c r="N1299" s="670">
        <f t="shared" si="305"/>
        <v>10800.5454545455</v>
      </c>
      <c r="O1299" s="670">
        <f t="shared" si="299"/>
        <v>112.265</v>
      </c>
      <c r="P1299" s="670">
        <f t="shared" si="300"/>
        <v>29.7569879518072</v>
      </c>
      <c r="Q1299" s="675">
        <f t="shared" si="301"/>
        <v>27.4425555555556</v>
      </c>
      <c r="R1299">
        <f t="shared" si="302"/>
        <v>90</v>
      </c>
      <c r="S1299" s="667">
        <f t="shared" si="303"/>
        <v>0.0807174887892377</v>
      </c>
    </row>
    <row r="1300" spans="1:19">
      <c r="A1300" s="1010">
        <v>45947</v>
      </c>
      <c r="B1300" s="670">
        <v>2608.84</v>
      </c>
      <c r="C1300" s="38">
        <v>11000</v>
      </c>
      <c r="D1300" s="37">
        <v>1025</v>
      </c>
      <c r="E1300" s="37">
        <v>6</v>
      </c>
      <c r="F1300" s="670" t="s">
        <v>74</v>
      </c>
      <c r="G1300" s="37">
        <v>68</v>
      </c>
      <c r="H1300" s="37">
        <v>11</v>
      </c>
      <c r="I1300" s="37">
        <v>4</v>
      </c>
      <c r="J1300" s="672">
        <f t="shared" si="296"/>
        <v>0.0931818181818182</v>
      </c>
      <c r="K1300" s="911">
        <f t="shared" si="297"/>
        <v>2.54520975609756</v>
      </c>
      <c r="L1300" s="671" t="e">
        <f t="shared" si="304"/>
        <v>#VALUE!</v>
      </c>
      <c r="M1300" s="672">
        <f t="shared" si="298"/>
        <v>0.00585365853658537</v>
      </c>
      <c r="N1300" s="670" t="e">
        <f t="shared" si="305"/>
        <v>#VALUE!</v>
      </c>
      <c r="O1300" s="670">
        <f t="shared" si="299"/>
        <v>434.806666666667</v>
      </c>
      <c r="P1300" s="670">
        <f t="shared" si="300"/>
        <v>38.3652941176471</v>
      </c>
      <c r="Q1300" s="675">
        <f t="shared" si="301"/>
        <v>33.0232911392405</v>
      </c>
      <c r="R1300">
        <f t="shared" si="302"/>
        <v>79</v>
      </c>
      <c r="S1300" s="667">
        <f t="shared" si="303"/>
        <v>0.0770731707317073</v>
      </c>
    </row>
    <row r="1301" spans="1:19">
      <c r="A1301" s="1010">
        <v>45948</v>
      </c>
      <c r="B1301" s="670">
        <v>2649.44</v>
      </c>
      <c r="C1301" s="37">
        <v>12382</v>
      </c>
      <c r="D1301" s="37">
        <v>935</v>
      </c>
      <c r="E1301" s="37">
        <v>12</v>
      </c>
      <c r="F1301" s="670">
        <v>117505</v>
      </c>
      <c r="G1301" s="37">
        <v>54</v>
      </c>
      <c r="H1301" s="37">
        <v>7</v>
      </c>
      <c r="I1301" s="37">
        <v>5</v>
      </c>
      <c r="J1301" s="672">
        <f t="shared" si="296"/>
        <v>0.0755128412211274</v>
      </c>
      <c r="K1301" s="911">
        <f t="shared" si="297"/>
        <v>2.8336256684492</v>
      </c>
      <c r="L1301" s="671">
        <f t="shared" si="304"/>
        <v>44.3508816957546</v>
      </c>
      <c r="M1301" s="672">
        <f t="shared" si="298"/>
        <v>0.0128342245989305</v>
      </c>
      <c r="N1301" s="670">
        <f t="shared" si="305"/>
        <v>9792.08333333333</v>
      </c>
      <c r="O1301" s="670">
        <f t="shared" si="299"/>
        <v>220.786666666667</v>
      </c>
      <c r="P1301" s="670">
        <f t="shared" si="300"/>
        <v>49.0637037037037</v>
      </c>
      <c r="Q1301" s="675">
        <f t="shared" si="301"/>
        <v>43.4334426229508</v>
      </c>
      <c r="R1301">
        <f t="shared" si="302"/>
        <v>61</v>
      </c>
      <c r="S1301" s="667">
        <f t="shared" si="303"/>
        <v>0.06524064171123</v>
      </c>
    </row>
    <row r="1302" spans="1:19">
      <c r="A1302" s="1010">
        <v>45949</v>
      </c>
      <c r="B1302" s="670">
        <v>1957.55</v>
      </c>
      <c r="C1302" s="37">
        <v>10266</v>
      </c>
      <c r="D1302" s="37">
        <v>888</v>
      </c>
      <c r="E1302" s="37">
        <v>11</v>
      </c>
      <c r="F1302" s="670">
        <v>100228</v>
      </c>
      <c r="G1302" s="37">
        <v>56</v>
      </c>
      <c r="H1302" s="37">
        <v>2</v>
      </c>
      <c r="I1302" s="37">
        <v>8</v>
      </c>
      <c r="J1302" s="672">
        <f t="shared" si="296"/>
        <v>0.0864991233196961</v>
      </c>
      <c r="K1302" s="911">
        <f t="shared" si="297"/>
        <v>2.2044481981982</v>
      </c>
      <c r="L1302" s="671">
        <f t="shared" si="304"/>
        <v>51.2007356133943</v>
      </c>
      <c r="M1302" s="672">
        <f t="shared" si="298"/>
        <v>0.0123873873873874</v>
      </c>
      <c r="N1302" s="670">
        <f t="shared" si="305"/>
        <v>9111.63636363636</v>
      </c>
      <c r="O1302" s="670">
        <f t="shared" si="299"/>
        <v>177.959090909091</v>
      </c>
      <c r="P1302" s="670">
        <f t="shared" si="300"/>
        <v>34.95625</v>
      </c>
      <c r="Q1302" s="675">
        <f t="shared" si="301"/>
        <v>33.7508620689655</v>
      </c>
      <c r="R1302">
        <f t="shared" si="302"/>
        <v>58</v>
      </c>
      <c r="S1302" s="667">
        <f t="shared" si="303"/>
        <v>0.0653153153153153</v>
      </c>
    </row>
    <row r="1303" spans="1:19">
      <c r="A1303" s="1010">
        <v>45950</v>
      </c>
      <c r="B1303" s="670">
        <v>2239.54</v>
      </c>
      <c r="C1303" s="37">
        <v>10712</v>
      </c>
      <c r="D1303" s="37">
        <v>965</v>
      </c>
      <c r="E1303" s="37">
        <v>14</v>
      </c>
      <c r="F1303" s="670">
        <v>127801</v>
      </c>
      <c r="G1303" s="37">
        <v>67</v>
      </c>
      <c r="H1303" s="37">
        <v>5</v>
      </c>
      <c r="I1303" s="37">
        <v>9</v>
      </c>
      <c r="J1303" s="672">
        <f t="shared" si="296"/>
        <v>0.0900858849887976</v>
      </c>
      <c r="K1303" s="911">
        <f t="shared" si="297"/>
        <v>2.32076683937824</v>
      </c>
      <c r="L1303" s="671">
        <f t="shared" si="304"/>
        <v>57.0657367137894</v>
      </c>
      <c r="M1303" s="672">
        <f t="shared" si="298"/>
        <v>0.0145077720207254</v>
      </c>
      <c r="N1303" s="670">
        <f t="shared" si="305"/>
        <v>9128.64285714286</v>
      </c>
      <c r="O1303" s="670">
        <f t="shared" si="299"/>
        <v>159.967142857143</v>
      </c>
      <c r="P1303" s="670">
        <f t="shared" si="300"/>
        <v>33.4259701492537</v>
      </c>
      <c r="Q1303" s="675">
        <f t="shared" si="301"/>
        <v>31.1047222222222</v>
      </c>
      <c r="R1303">
        <f t="shared" si="302"/>
        <v>72</v>
      </c>
      <c r="S1303" s="667">
        <f t="shared" si="303"/>
        <v>0.0746113989637306</v>
      </c>
    </row>
    <row r="1304" spans="1:19">
      <c r="A1304" s="1010">
        <v>45951</v>
      </c>
      <c r="B1304" s="670">
        <v>2279.08</v>
      </c>
      <c r="C1304" s="37">
        <v>9052</v>
      </c>
      <c r="D1304" s="37">
        <v>856</v>
      </c>
      <c r="E1304" s="37">
        <v>5</v>
      </c>
      <c r="F1304" s="670">
        <v>29270</v>
      </c>
      <c r="G1304" s="37">
        <v>85</v>
      </c>
      <c r="H1304" s="37">
        <v>4</v>
      </c>
      <c r="I1304" s="37">
        <v>4</v>
      </c>
      <c r="J1304" s="672">
        <f t="shared" si="296"/>
        <v>0.0945647370746796</v>
      </c>
      <c r="K1304" s="911">
        <f t="shared" si="297"/>
        <v>2.66247663551402</v>
      </c>
      <c r="L1304" s="671">
        <f t="shared" si="304"/>
        <v>12.8429015216666</v>
      </c>
      <c r="M1304" s="672">
        <f t="shared" si="298"/>
        <v>0.0058411214953271</v>
      </c>
      <c r="N1304" s="670">
        <f t="shared" si="305"/>
        <v>5854</v>
      </c>
      <c r="O1304" s="670">
        <f t="shared" si="299"/>
        <v>455.816</v>
      </c>
      <c r="P1304" s="670">
        <f t="shared" si="300"/>
        <v>26.8127058823529</v>
      </c>
      <c r="Q1304" s="675">
        <f t="shared" si="301"/>
        <v>25.6076404494382</v>
      </c>
      <c r="R1304">
        <f t="shared" si="302"/>
        <v>89</v>
      </c>
      <c r="S1304" s="667">
        <f t="shared" si="303"/>
        <v>0.103971962616822</v>
      </c>
    </row>
    <row r="1305" spans="1:19">
      <c r="A1305" s="1010">
        <v>45952</v>
      </c>
      <c r="B1305" s="670">
        <v>2505.97</v>
      </c>
      <c r="C1305" s="37">
        <v>10866</v>
      </c>
      <c r="D1305" s="37">
        <v>896</v>
      </c>
      <c r="E1305" s="37">
        <v>9</v>
      </c>
      <c r="F1305" s="670">
        <v>77954</v>
      </c>
      <c r="G1305" s="37">
        <v>53</v>
      </c>
      <c r="H1305" s="37">
        <v>5</v>
      </c>
      <c r="I1305" s="37">
        <v>3</v>
      </c>
      <c r="J1305" s="672">
        <f t="shared" si="296"/>
        <v>0.0824590465672741</v>
      </c>
      <c r="K1305" s="911">
        <f t="shared" si="297"/>
        <v>2.79684151785714</v>
      </c>
      <c r="L1305" s="671">
        <f t="shared" si="304"/>
        <v>31.1073157300367</v>
      </c>
      <c r="M1305" s="672">
        <f t="shared" si="298"/>
        <v>0.0100446428571429</v>
      </c>
      <c r="N1305" s="670">
        <f t="shared" si="305"/>
        <v>8661.55555555555</v>
      </c>
      <c r="O1305" s="670">
        <f t="shared" si="299"/>
        <v>278.441111111111</v>
      </c>
      <c r="P1305" s="670">
        <f t="shared" si="300"/>
        <v>47.2824528301887</v>
      </c>
      <c r="Q1305" s="675">
        <f t="shared" si="301"/>
        <v>43.2063793103448</v>
      </c>
      <c r="R1305">
        <f t="shared" si="302"/>
        <v>58</v>
      </c>
      <c r="S1305" s="667">
        <f t="shared" si="303"/>
        <v>0.0647321428571429</v>
      </c>
    </row>
    <row r="1306" spans="1:19">
      <c r="A1306" s="1010">
        <v>45953</v>
      </c>
      <c r="B1306" s="670">
        <v>2584.77</v>
      </c>
      <c r="C1306" s="37">
        <v>10182</v>
      </c>
      <c r="D1306" s="37">
        <v>856</v>
      </c>
      <c r="E1306" s="37">
        <v>1</v>
      </c>
      <c r="F1306" s="670">
        <v>1</v>
      </c>
      <c r="G1306" s="37">
        <v>35</v>
      </c>
      <c r="H1306" s="37">
        <v>4</v>
      </c>
      <c r="I1306" s="37">
        <v>4</v>
      </c>
      <c r="J1306" s="672">
        <f t="shared" si="296"/>
        <v>0.0840699273227264</v>
      </c>
      <c r="K1306" s="911">
        <f t="shared" si="297"/>
        <v>3.01959112149533</v>
      </c>
      <c r="L1306" s="671">
        <f t="shared" si="304"/>
        <v>0.00038688161809368</v>
      </c>
      <c r="M1306" s="672">
        <f t="shared" si="298"/>
        <v>0.00116822429906542</v>
      </c>
      <c r="N1306" s="670">
        <f t="shared" si="305"/>
        <v>1</v>
      </c>
      <c r="O1306" s="670">
        <f t="shared" si="299"/>
        <v>2584.77</v>
      </c>
      <c r="P1306" s="670">
        <f t="shared" si="300"/>
        <v>73.8505714285714</v>
      </c>
      <c r="Q1306" s="675">
        <f t="shared" si="301"/>
        <v>66.2761538461538</v>
      </c>
      <c r="R1306">
        <f t="shared" si="302"/>
        <v>39</v>
      </c>
      <c r="S1306" s="667">
        <f t="shared" si="303"/>
        <v>0.0455607476635514</v>
      </c>
    </row>
    <row r="1307" spans="1:19">
      <c r="A1307" s="1010">
        <v>45954</v>
      </c>
      <c r="B1307" s="670">
        <v>2549.52</v>
      </c>
      <c r="C1307" s="37">
        <v>9622</v>
      </c>
      <c r="D1307" s="37">
        <v>814</v>
      </c>
      <c r="E1307" s="37">
        <v>3</v>
      </c>
      <c r="F1307" s="670">
        <v>24273</v>
      </c>
      <c r="G1307" s="37">
        <v>32</v>
      </c>
      <c r="H1307" s="37">
        <v>6</v>
      </c>
      <c r="I1307" s="37">
        <v>2</v>
      </c>
      <c r="J1307" s="672">
        <f t="shared" si="296"/>
        <v>0.0845977967158595</v>
      </c>
      <c r="K1307" s="911">
        <f t="shared" si="297"/>
        <v>3.13208845208845</v>
      </c>
      <c r="L1307" s="671">
        <f t="shared" si="304"/>
        <v>9.52061564529794</v>
      </c>
      <c r="M1307" s="672">
        <f t="shared" si="298"/>
        <v>0.00368550368550369</v>
      </c>
      <c r="N1307" s="670">
        <f t="shared" si="305"/>
        <v>8091</v>
      </c>
      <c r="O1307" s="670">
        <f t="shared" si="299"/>
        <v>849.84</v>
      </c>
      <c r="P1307" s="670">
        <f t="shared" si="300"/>
        <v>79.6725</v>
      </c>
      <c r="Q1307" s="675">
        <f t="shared" si="301"/>
        <v>67.0926315789474</v>
      </c>
      <c r="R1307">
        <f t="shared" si="302"/>
        <v>38</v>
      </c>
      <c r="S1307" s="667">
        <f t="shared" si="303"/>
        <v>0.0466830466830467</v>
      </c>
    </row>
    <row r="1308" spans="1:19">
      <c r="A1308" s="1010">
        <v>45955</v>
      </c>
      <c r="B1308" s="670">
        <v>2506.89</v>
      </c>
      <c r="C1308" s="37">
        <v>10209</v>
      </c>
      <c r="D1308" s="37">
        <v>771</v>
      </c>
      <c r="E1308" s="37">
        <v>6</v>
      </c>
      <c r="F1308" s="670">
        <v>41983</v>
      </c>
      <c r="G1308" s="37">
        <v>40</v>
      </c>
      <c r="H1308" s="37">
        <v>6</v>
      </c>
      <c r="I1308" s="37">
        <v>0</v>
      </c>
      <c r="J1308" s="672">
        <f t="shared" si="296"/>
        <v>0.0755215985894799</v>
      </c>
      <c r="K1308" s="911">
        <f t="shared" si="297"/>
        <v>3.25147859922179</v>
      </c>
      <c r="L1308" s="671">
        <f t="shared" si="304"/>
        <v>16.7470451435843</v>
      </c>
      <c r="M1308" s="672">
        <f t="shared" si="298"/>
        <v>0.00778210116731518</v>
      </c>
      <c r="N1308" s="670">
        <f t="shared" si="305"/>
        <v>6997.16666666667</v>
      </c>
      <c r="O1308" s="670">
        <f t="shared" si="299"/>
        <v>417.815</v>
      </c>
      <c r="P1308" s="670">
        <f t="shared" si="300"/>
        <v>62.67225</v>
      </c>
      <c r="Q1308" s="675">
        <f t="shared" si="301"/>
        <v>54.4976086956522</v>
      </c>
      <c r="R1308">
        <f t="shared" si="302"/>
        <v>46</v>
      </c>
      <c r="S1308" s="667">
        <f t="shared" si="303"/>
        <v>0.059662775616083</v>
      </c>
    </row>
    <row r="1309" spans="1:19">
      <c r="A1309" s="1010">
        <v>45956</v>
      </c>
      <c r="B1309" s="670">
        <v>2332.31</v>
      </c>
      <c r="C1309" s="37">
        <v>8635</v>
      </c>
      <c r="D1309" s="37">
        <v>695</v>
      </c>
      <c r="E1309" s="37">
        <v>10</v>
      </c>
      <c r="F1309" s="670">
        <v>107456</v>
      </c>
      <c r="G1309" s="37">
        <v>42</v>
      </c>
      <c r="H1309" s="37">
        <v>2</v>
      </c>
      <c r="I1309" s="37">
        <v>7</v>
      </c>
      <c r="J1309" s="672">
        <f t="shared" si="296"/>
        <v>0.0804863925883034</v>
      </c>
      <c r="K1309" s="911">
        <f t="shared" si="297"/>
        <v>3.3558417266187</v>
      </c>
      <c r="L1309" s="671">
        <f t="shared" si="304"/>
        <v>46.072777632476</v>
      </c>
      <c r="M1309" s="672">
        <f t="shared" si="298"/>
        <v>0.0143884892086331</v>
      </c>
      <c r="N1309" s="670">
        <f t="shared" si="305"/>
        <v>10745.6</v>
      </c>
      <c r="O1309" s="670">
        <f t="shared" si="299"/>
        <v>233.231</v>
      </c>
      <c r="P1309" s="670">
        <f t="shared" si="300"/>
        <v>55.5311904761905</v>
      </c>
      <c r="Q1309" s="675">
        <f t="shared" si="301"/>
        <v>53.0070454545455</v>
      </c>
      <c r="R1309">
        <f t="shared" si="302"/>
        <v>44</v>
      </c>
      <c r="S1309" s="667">
        <f t="shared" si="303"/>
        <v>0.0633093525179856</v>
      </c>
    </row>
    <row r="1310" spans="1:19">
      <c r="A1310" s="1010">
        <v>45957</v>
      </c>
      <c r="B1310" s="670">
        <v>2522.8</v>
      </c>
      <c r="C1310" s="37">
        <v>10505</v>
      </c>
      <c r="D1310" s="37">
        <v>786</v>
      </c>
      <c r="E1310" s="37">
        <v>6</v>
      </c>
      <c r="F1310" s="670">
        <v>37390</v>
      </c>
      <c r="G1310" s="37">
        <v>34</v>
      </c>
      <c r="H1310" s="37">
        <v>3</v>
      </c>
      <c r="I1310" s="37">
        <v>3</v>
      </c>
      <c r="J1310" s="672">
        <f t="shared" si="296"/>
        <v>0.0748215135649691</v>
      </c>
      <c r="K1310" s="911">
        <f t="shared" si="297"/>
        <v>3.20966921119593</v>
      </c>
      <c r="L1310" s="671">
        <f t="shared" si="304"/>
        <v>14.8208339939749</v>
      </c>
      <c r="M1310" s="672">
        <f t="shared" si="298"/>
        <v>0.00763358778625954</v>
      </c>
      <c r="N1310" s="670">
        <f t="shared" si="305"/>
        <v>6231.66666666667</v>
      </c>
      <c r="O1310" s="670">
        <f t="shared" si="299"/>
        <v>420.466666666667</v>
      </c>
      <c r="P1310" s="670">
        <f t="shared" si="300"/>
        <v>74.2</v>
      </c>
      <c r="Q1310" s="675">
        <f t="shared" si="301"/>
        <v>68.1837837837838</v>
      </c>
      <c r="R1310">
        <f t="shared" si="302"/>
        <v>37</v>
      </c>
      <c r="S1310" s="667">
        <f t="shared" si="303"/>
        <v>0.0470737913486005</v>
      </c>
    </row>
    <row r="1311" spans="1:19">
      <c r="A1311" s="1010">
        <v>45958</v>
      </c>
      <c r="B1311" s="670">
        <v>2621.66</v>
      </c>
      <c r="C1311" s="37">
        <v>11869</v>
      </c>
      <c r="D1311" s="37">
        <v>840</v>
      </c>
      <c r="E1311" s="37">
        <v>3</v>
      </c>
      <c r="F1311" s="670">
        <v>32756</v>
      </c>
      <c r="G1311" s="37">
        <v>35</v>
      </c>
      <c r="H1311" s="37">
        <v>6</v>
      </c>
      <c r="I1311" s="37">
        <v>5</v>
      </c>
      <c r="J1311" s="672">
        <f t="shared" si="296"/>
        <v>0.0707726008930828</v>
      </c>
      <c r="K1311" s="911">
        <f t="shared" si="297"/>
        <v>3.12102380952381</v>
      </c>
      <c r="L1311" s="671">
        <f t="shared" si="304"/>
        <v>12.4943737937032</v>
      </c>
      <c r="M1311" s="672">
        <f t="shared" si="298"/>
        <v>0.00357142857142857</v>
      </c>
      <c r="N1311" s="670">
        <f t="shared" si="305"/>
        <v>10918.6666666667</v>
      </c>
      <c r="O1311" s="670">
        <f t="shared" si="299"/>
        <v>873.886666666667</v>
      </c>
      <c r="P1311" s="670">
        <f t="shared" si="300"/>
        <v>74.9045714285714</v>
      </c>
      <c r="Q1311" s="675">
        <f t="shared" si="301"/>
        <v>63.9429268292683</v>
      </c>
      <c r="R1311">
        <f t="shared" si="302"/>
        <v>41</v>
      </c>
      <c r="S1311" s="667">
        <f t="shared" si="303"/>
        <v>0.0488095238095238</v>
      </c>
    </row>
    <row r="1312" spans="1:19">
      <c r="A1312" s="1010">
        <v>45959</v>
      </c>
      <c r="B1312" s="670">
        <v>2673.93</v>
      </c>
      <c r="C1312" s="37">
        <v>10699</v>
      </c>
      <c r="D1312" s="37">
        <v>851</v>
      </c>
      <c r="E1312" s="37">
        <v>2</v>
      </c>
      <c r="F1312" s="670">
        <v>16092</v>
      </c>
      <c r="G1312" s="37">
        <v>28</v>
      </c>
      <c r="H1312" s="37">
        <v>3</v>
      </c>
      <c r="I1312" s="37">
        <v>2</v>
      </c>
      <c r="J1312" s="672">
        <f t="shared" si="296"/>
        <v>0.0795401439386859</v>
      </c>
      <c r="K1312" s="911">
        <f t="shared" si="297"/>
        <v>3.14210340775558</v>
      </c>
      <c r="L1312" s="671">
        <f t="shared" si="304"/>
        <v>6.01810817785058</v>
      </c>
      <c r="M1312" s="672">
        <f t="shared" si="298"/>
        <v>0.00235017626321974</v>
      </c>
      <c r="N1312" s="670">
        <f t="shared" si="305"/>
        <v>8046</v>
      </c>
      <c r="O1312" s="670">
        <f t="shared" si="299"/>
        <v>1336.965</v>
      </c>
      <c r="P1312" s="670">
        <f t="shared" si="300"/>
        <v>95.4975</v>
      </c>
      <c r="Q1312" s="675">
        <f t="shared" si="301"/>
        <v>86.2558064516129</v>
      </c>
      <c r="R1312">
        <f t="shared" si="302"/>
        <v>31</v>
      </c>
      <c r="S1312" s="667">
        <f t="shared" si="303"/>
        <v>0.036427732079906</v>
      </c>
    </row>
    <row r="1313" spans="1:19">
      <c r="A1313" s="1010">
        <v>45960</v>
      </c>
      <c r="B1313" s="670">
        <v>2541.32</v>
      </c>
      <c r="C1313" s="37">
        <v>11696</v>
      </c>
      <c r="D1313" s="37">
        <v>819</v>
      </c>
      <c r="E1313" s="37">
        <v>7</v>
      </c>
      <c r="F1313" s="670">
        <v>55636</v>
      </c>
      <c r="G1313" s="37">
        <v>41</v>
      </c>
      <c r="H1313" s="37">
        <v>2</v>
      </c>
      <c r="I1313" s="37">
        <v>7</v>
      </c>
      <c r="J1313" s="672">
        <f t="shared" si="296"/>
        <v>0.0700239398084815</v>
      </c>
      <c r="K1313" s="911">
        <f t="shared" si="297"/>
        <v>3.10295482295482</v>
      </c>
      <c r="L1313" s="671">
        <f t="shared" si="304"/>
        <v>21.8925597720869</v>
      </c>
      <c r="M1313" s="672">
        <f t="shared" si="298"/>
        <v>0.00854700854700855</v>
      </c>
      <c r="N1313" s="670">
        <f t="shared" si="305"/>
        <v>7948</v>
      </c>
      <c r="O1313" s="670">
        <f t="shared" si="299"/>
        <v>363.045714285714</v>
      </c>
      <c r="P1313" s="670">
        <f t="shared" si="300"/>
        <v>61.9834146341463</v>
      </c>
      <c r="Q1313" s="675">
        <f t="shared" si="301"/>
        <v>59.1004651162791</v>
      </c>
      <c r="R1313">
        <f t="shared" si="302"/>
        <v>43</v>
      </c>
      <c r="S1313" s="667">
        <f t="shared" si="303"/>
        <v>0.0525030525030525</v>
      </c>
    </row>
    <row r="1314" spans="1:19">
      <c r="A1314" s="1010">
        <v>45961</v>
      </c>
      <c r="B1314" s="670">
        <v>2005.23</v>
      </c>
      <c r="C1314" s="37">
        <v>9454</v>
      </c>
      <c r="D1314" s="37">
        <v>645</v>
      </c>
      <c r="E1314" s="37">
        <v>7</v>
      </c>
      <c r="F1314" s="670">
        <v>57818</v>
      </c>
      <c r="G1314" s="37">
        <v>26</v>
      </c>
      <c r="H1314" s="37">
        <v>2</v>
      </c>
      <c r="I1314" s="37">
        <v>5</v>
      </c>
      <c r="J1314" s="672">
        <f t="shared" si="296"/>
        <v>0.0682250899090332</v>
      </c>
      <c r="K1314" s="911">
        <f t="shared" si="297"/>
        <v>3.10888372093023</v>
      </c>
      <c r="L1314" s="671">
        <f t="shared" si="304"/>
        <v>28.8336001356453</v>
      </c>
      <c r="M1314" s="672">
        <f t="shared" si="298"/>
        <v>0.0108527131782946</v>
      </c>
      <c r="N1314" s="670">
        <f t="shared" si="305"/>
        <v>8259.71428571429</v>
      </c>
      <c r="O1314" s="670">
        <f t="shared" si="299"/>
        <v>286.461428571429</v>
      </c>
      <c r="P1314" s="670">
        <f t="shared" si="300"/>
        <v>77.1242307692308</v>
      </c>
      <c r="Q1314" s="675">
        <f t="shared" si="301"/>
        <v>71.6153571428571</v>
      </c>
      <c r="R1314">
        <f t="shared" si="302"/>
        <v>28</v>
      </c>
      <c r="S1314" s="667">
        <f t="shared" si="303"/>
        <v>0.0434108527131783</v>
      </c>
    </row>
    <row r="1315" spans="1:19">
      <c r="A1315" s="1010">
        <v>45962</v>
      </c>
      <c r="B1315" s="670">
        <v>1923.94</v>
      </c>
      <c r="C1315" s="37">
        <v>9132</v>
      </c>
      <c r="D1315" s="37">
        <v>580</v>
      </c>
      <c r="E1315" s="37">
        <v>5</v>
      </c>
      <c r="F1315" s="670">
        <v>48125</v>
      </c>
      <c r="G1315" s="37">
        <v>29</v>
      </c>
      <c r="H1315" s="37">
        <v>5</v>
      </c>
      <c r="I1315" s="37">
        <v>3</v>
      </c>
      <c r="J1315" s="672">
        <f t="shared" si="296"/>
        <v>0.0635129215943933</v>
      </c>
      <c r="K1315" s="911">
        <f t="shared" si="297"/>
        <v>3.31713793103448</v>
      </c>
      <c r="L1315" s="671">
        <f t="shared" si="304"/>
        <v>25.0137738183103</v>
      </c>
      <c r="M1315" s="672">
        <f t="shared" si="298"/>
        <v>0.00862068965517241</v>
      </c>
      <c r="N1315" s="670">
        <f t="shared" si="305"/>
        <v>9625</v>
      </c>
      <c r="O1315" s="670">
        <f t="shared" si="299"/>
        <v>384.788</v>
      </c>
      <c r="P1315" s="670">
        <f t="shared" si="300"/>
        <v>66.3427586206897</v>
      </c>
      <c r="Q1315" s="675">
        <f t="shared" si="301"/>
        <v>56.5864705882353</v>
      </c>
      <c r="R1315">
        <f t="shared" si="302"/>
        <v>34</v>
      </c>
      <c r="S1315" s="667">
        <f t="shared" si="303"/>
        <v>0.0586206896551724</v>
      </c>
    </row>
    <row r="1316" spans="1:19">
      <c r="A1316" s="1010">
        <v>45963</v>
      </c>
      <c r="B1316" s="670">
        <v>1919.32</v>
      </c>
      <c r="C1316" s="37">
        <v>9441</v>
      </c>
      <c r="D1316" s="37">
        <v>648</v>
      </c>
      <c r="E1316" s="37">
        <v>0</v>
      </c>
      <c r="F1316" s="670">
        <v>0</v>
      </c>
      <c r="G1316" s="37">
        <v>17</v>
      </c>
      <c r="H1316" s="37">
        <v>2</v>
      </c>
      <c r="I1316" s="37">
        <v>1</v>
      </c>
      <c r="J1316" s="672">
        <f t="shared" si="296"/>
        <v>0.0686367969494757</v>
      </c>
      <c r="K1316" s="911">
        <f t="shared" si="297"/>
        <v>2.96191358024691</v>
      </c>
      <c r="L1316" s="671">
        <f t="shared" si="304"/>
        <v>0</v>
      </c>
      <c r="M1316" s="672">
        <f t="shared" si="298"/>
        <v>0</v>
      </c>
      <c r="N1316" s="670">
        <f t="shared" si="305"/>
        <v>0</v>
      </c>
      <c r="O1316" s="670">
        <f t="shared" si="299"/>
        <v>0</v>
      </c>
      <c r="P1316" s="670">
        <f t="shared" si="300"/>
        <v>112.901176470588</v>
      </c>
      <c r="Q1316" s="675">
        <f t="shared" si="301"/>
        <v>101.016842105263</v>
      </c>
      <c r="R1316">
        <f t="shared" si="302"/>
        <v>19</v>
      </c>
      <c r="S1316" s="667">
        <f t="shared" si="303"/>
        <v>0.029320987654321</v>
      </c>
    </row>
    <row r="1317" spans="1:19">
      <c r="A1317" s="1010">
        <v>45964</v>
      </c>
      <c r="B1317" s="670">
        <v>2446.66</v>
      </c>
      <c r="C1317" s="37">
        <v>11916</v>
      </c>
      <c r="D1317" s="37">
        <v>764</v>
      </c>
      <c r="E1317" s="37">
        <v>2</v>
      </c>
      <c r="F1317" s="670">
        <v>30075.01</v>
      </c>
      <c r="G1317" s="37">
        <v>24</v>
      </c>
      <c r="H1317" s="37">
        <v>4</v>
      </c>
      <c r="I1317" s="37">
        <v>2</v>
      </c>
      <c r="J1317" s="672">
        <f t="shared" si="296"/>
        <v>0.0641154749916079</v>
      </c>
      <c r="K1317" s="911">
        <f t="shared" si="297"/>
        <v>3.20243455497382</v>
      </c>
      <c r="L1317" s="671">
        <f t="shared" si="304"/>
        <v>12.2922719135474</v>
      </c>
      <c r="M1317" s="672">
        <f t="shared" si="298"/>
        <v>0.00261780104712042</v>
      </c>
      <c r="N1317" s="670">
        <f t="shared" si="305"/>
        <v>15037.505</v>
      </c>
      <c r="O1317" s="670">
        <f t="shared" si="299"/>
        <v>1223.33</v>
      </c>
      <c r="P1317" s="670">
        <f t="shared" si="300"/>
        <v>101.944166666667</v>
      </c>
      <c r="Q1317" s="675">
        <f t="shared" si="301"/>
        <v>87.3807142857143</v>
      </c>
      <c r="R1317">
        <f t="shared" si="302"/>
        <v>28</v>
      </c>
      <c r="S1317" s="667">
        <f t="shared" si="303"/>
        <v>0.0366492146596859</v>
      </c>
    </row>
    <row r="1318" spans="1:19">
      <c r="A1318" s="1010">
        <v>45965</v>
      </c>
      <c r="B1318" s="670">
        <v>2594.44</v>
      </c>
      <c r="C1318" s="37">
        <v>11647</v>
      </c>
      <c r="D1318" s="37">
        <v>750</v>
      </c>
      <c r="E1318" s="37">
        <v>6</v>
      </c>
      <c r="F1318" s="670">
        <v>52286</v>
      </c>
      <c r="G1318" s="37">
        <v>17</v>
      </c>
      <c r="H1318" s="37">
        <v>3</v>
      </c>
      <c r="I1318" s="37">
        <v>1</v>
      </c>
      <c r="J1318" s="672">
        <f t="shared" si="296"/>
        <v>0.0643942646174981</v>
      </c>
      <c r="K1318" s="911">
        <f t="shared" si="297"/>
        <v>3.45925333333333</v>
      </c>
      <c r="L1318" s="671">
        <f t="shared" si="304"/>
        <v>20.1530966220071</v>
      </c>
      <c r="M1318" s="672">
        <f t="shared" si="298"/>
        <v>0.008</v>
      </c>
      <c r="N1318" s="670">
        <f t="shared" si="305"/>
        <v>8714.33333333333</v>
      </c>
      <c r="O1318" s="670">
        <f t="shared" si="299"/>
        <v>432.406666666667</v>
      </c>
      <c r="P1318" s="670">
        <f t="shared" si="300"/>
        <v>152.614117647059</v>
      </c>
      <c r="Q1318" s="675">
        <f t="shared" si="301"/>
        <v>129.722</v>
      </c>
      <c r="R1318">
        <f t="shared" si="302"/>
        <v>20</v>
      </c>
      <c r="S1318" s="667">
        <f t="shared" si="303"/>
        <v>0.0266666666666667</v>
      </c>
    </row>
    <row r="1319" spans="1:19">
      <c r="A1319" s="1010">
        <v>45966</v>
      </c>
      <c r="B1319" s="670">
        <v>3429.6</v>
      </c>
      <c r="C1319" s="37">
        <v>12430</v>
      </c>
      <c r="D1319" s="37">
        <v>897</v>
      </c>
      <c r="E1319" s="37">
        <v>6</v>
      </c>
      <c r="F1319" s="670">
        <v>43442</v>
      </c>
      <c r="G1319" s="37">
        <v>25</v>
      </c>
      <c r="H1319" s="37">
        <v>1</v>
      </c>
      <c r="I1319" s="37">
        <v>1</v>
      </c>
      <c r="J1319" s="672">
        <f t="shared" si="296"/>
        <v>0.0721641190667739</v>
      </c>
      <c r="K1319" s="911">
        <f t="shared" si="297"/>
        <v>3.82341137123746</v>
      </c>
      <c r="L1319" s="671">
        <f t="shared" si="304"/>
        <v>12.6667832983438</v>
      </c>
      <c r="M1319" s="672">
        <f t="shared" si="298"/>
        <v>0.00668896321070234</v>
      </c>
      <c r="N1319" s="670">
        <f t="shared" si="305"/>
        <v>7240.33333333333</v>
      </c>
      <c r="O1319" s="670">
        <f t="shared" si="299"/>
        <v>571.6</v>
      </c>
      <c r="P1319" s="670">
        <f t="shared" si="300"/>
        <v>137.184</v>
      </c>
      <c r="Q1319" s="675">
        <f t="shared" si="301"/>
        <v>131.907692307692</v>
      </c>
      <c r="R1319">
        <f t="shared" si="302"/>
        <v>26</v>
      </c>
      <c r="S1319" s="667">
        <f t="shared" si="303"/>
        <v>0.0289855072463768</v>
      </c>
    </row>
    <row r="1320" spans="1:19">
      <c r="A1320" s="1010">
        <v>45967</v>
      </c>
      <c r="B1320" s="670">
        <v>3574.81</v>
      </c>
      <c r="C1320" s="37">
        <v>13496</v>
      </c>
      <c r="D1320" s="37">
        <v>985</v>
      </c>
      <c r="E1320" s="37">
        <v>8</v>
      </c>
      <c r="F1320" s="670">
        <v>77274</v>
      </c>
      <c r="G1320" s="37">
        <v>33</v>
      </c>
      <c r="H1320" s="37">
        <v>2</v>
      </c>
      <c r="I1320" s="37">
        <v>4</v>
      </c>
      <c r="J1320" s="672">
        <f t="shared" si="296"/>
        <v>0.0729845880260818</v>
      </c>
      <c r="K1320" s="911">
        <f t="shared" si="297"/>
        <v>3.62924873096447</v>
      </c>
      <c r="L1320" s="671">
        <f t="shared" si="304"/>
        <v>21.6162537309675</v>
      </c>
      <c r="M1320" s="672">
        <f t="shared" si="298"/>
        <v>0.00812182741116751</v>
      </c>
      <c r="N1320" s="670">
        <f t="shared" si="305"/>
        <v>9659.25</v>
      </c>
      <c r="O1320" s="670">
        <f t="shared" si="299"/>
        <v>446.85125</v>
      </c>
      <c r="P1320" s="670">
        <f t="shared" si="300"/>
        <v>108.327575757576</v>
      </c>
      <c r="Q1320" s="675">
        <f t="shared" si="301"/>
        <v>102.137428571429</v>
      </c>
      <c r="R1320">
        <f t="shared" si="302"/>
        <v>35</v>
      </c>
      <c r="S1320" s="667">
        <f t="shared" si="303"/>
        <v>0.0355329949238579</v>
      </c>
    </row>
    <row r="1321" spans="1:19">
      <c r="A1321" s="1010">
        <v>45968</v>
      </c>
      <c r="B1321" s="670">
        <v>3949.77</v>
      </c>
      <c r="C1321" s="37">
        <v>16321</v>
      </c>
      <c r="D1321" s="37">
        <v>964</v>
      </c>
      <c r="E1321" s="37">
        <v>1</v>
      </c>
      <c r="F1321" s="670">
        <v>11196</v>
      </c>
      <c r="G1321" s="37">
        <v>28</v>
      </c>
      <c r="H1321" s="37">
        <v>3</v>
      </c>
      <c r="I1321" s="37">
        <v>2</v>
      </c>
      <c r="J1321" s="672">
        <f t="shared" si="296"/>
        <v>0.059065008271552</v>
      </c>
      <c r="K1321" s="911">
        <f t="shared" si="297"/>
        <v>4.09727178423237</v>
      </c>
      <c r="L1321" s="671">
        <f t="shared" si="304"/>
        <v>2.83459543213909</v>
      </c>
      <c r="M1321" s="672">
        <f t="shared" si="298"/>
        <v>0.00103734439834025</v>
      </c>
      <c r="N1321" s="670">
        <f t="shared" si="305"/>
        <v>11196</v>
      </c>
      <c r="O1321" s="670">
        <f t="shared" si="299"/>
        <v>3949.77</v>
      </c>
      <c r="P1321" s="670">
        <f t="shared" si="300"/>
        <v>141.063214285714</v>
      </c>
      <c r="Q1321" s="675">
        <f t="shared" si="301"/>
        <v>127.411935483871</v>
      </c>
      <c r="R1321">
        <f t="shared" si="302"/>
        <v>31</v>
      </c>
      <c r="S1321" s="667">
        <f t="shared" si="303"/>
        <v>0.0321576763485477</v>
      </c>
    </row>
    <row r="1322" spans="1:19">
      <c r="A1322" s="1010">
        <v>45969</v>
      </c>
      <c r="B1322" s="670">
        <v>4133.47</v>
      </c>
      <c r="C1322" s="37">
        <v>15419</v>
      </c>
      <c r="D1322" s="37">
        <v>940</v>
      </c>
      <c r="E1322" s="37">
        <v>6</v>
      </c>
      <c r="F1322" s="670">
        <v>18196</v>
      </c>
      <c r="G1322" s="37">
        <v>31</v>
      </c>
      <c r="H1322" s="37">
        <v>5</v>
      </c>
      <c r="I1322" s="37">
        <v>4</v>
      </c>
      <c r="J1322" s="672">
        <f t="shared" si="296"/>
        <v>0.0609637460276283</v>
      </c>
      <c r="K1322" s="911">
        <f t="shared" si="297"/>
        <v>4.3973085106383</v>
      </c>
      <c r="L1322" s="671">
        <f t="shared" si="304"/>
        <v>4.40211251079601</v>
      </c>
      <c r="M1322" s="672">
        <f t="shared" si="298"/>
        <v>0.00638297872340425</v>
      </c>
      <c r="N1322" s="670">
        <f t="shared" si="305"/>
        <v>3032.66666666667</v>
      </c>
      <c r="O1322" s="670">
        <f t="shared" si="299"/>
        <v>688.911666666667</v>
      </c>
      <c r="P1322" s="670">
        <f t="shared" si="300"/>
        <v>133.337741935484</v>
      </c>
      <c r="Q1322" s="675">
        <f t="shared" si="301"/>
        <v>114.818611111111</v>
      </c>
      <c r="R1322">
        <f t="shared" si="302"/>
        <v>36</v>
      </c>
      <c r="S1322" s="667">
        <f t="shared" si="303"/>
        <v>0.0382978723404255</v>
      </c>
    </row>
    <row r="1323" spans="1:19">
      <c r="A1323" s="1010">
        <v>45970</v>
      </c>
      <c r="B1323" s="670">
        <v>4172.03</v>
      </c>
      <c r="C1323" s="37">
        <v>13217</v>
      </c>
      <c r="D1323" s="37">
        <v>1014</v>
      </c>
      <c r="E1323" s="37">
        <v>3</v>
      </c>
      <c r="F1323" s="670">
        <v>19087</v>
      </c>
      <c r="G1323" s="37">
        <v>49</v>
      </c>
      <c r="H1323" s="37">
        <v>7</v>
      </c>
      <c r="I1323" s="37">
        <v>3</v>
      </c>
      <c r="J1323" s="672">
        <f t="shared" si="296"/>
        <v>0.0767193765604903</v>
      </c>
      <c r="K1323" s="911">
        <f t="shared" si="297"/>
        <v>4.11442800788955</v>
      </c>
      <c r="L1323" s="671">
        <f t="shared" si="304"/>
        <v>4.57499107149278</v>
      </c>
      <c r="M1323" s="672">
        <f t="shared" si="298"/>
        <v>0.0029585798816568</v>
      </c>
      <c r="N1323" s="670">
        <f t="shared" si="305"/>
        <v>6362.33333333333</v>
      </c>
      <c r="O1323" s="670">
        <f t="shared" si="299"/>
        <v>1390.67666666667</v>
      </c>
      <c r="P1323" s="670">
        <f t="shared" si="300"/>
        <v>85.1434693877551</v>
      </c>
      <c r="Q1323" s="675">
        <f t="shared" si="301"/>
        <v>74.5005357142857</v>
      </c>
      <c r="R1323">
        <f t="shared" si="302"/>
        <v>56</v>
      </c>
      <c r="S1323" s="667">
        <f t="shared" si="303"/>
        <v>0.0552268244575937</v>
      </c>
    </row>
    <row r="1324" spans="1:19">
      <c r="A1324" s="1010">
        <v>45971</v>
      </c>
      <c r="B1324" s="670">
        <v>4054.81</v>
      </c>
      <c r="C1324" s="37">
        <v>13580</v>
      </c>
      <c r="D1324" s="37">
        <v>1049</v>
      </c>
      <c r="E1324" s="37">
        <v>8</v>
      </c>
      <c r="F1324" s="670">
        <v>72036</v>
      </c>
      <c r="G1324" s="37">
        <v>40</v>
      </c>
      <c r="H1324" s="37">
        <v>2</v>
      </c>
      <c r="I1324" s="37">
        <v>0</v>
      </c>
      <c r="J1324" s="672">
        <f t="shared" si="296"/>
        <v>0.0772459499263623</v>
      </c>
      <c r="K1324" s="911">
        <f t="shared" si="297"/>
        <v>3.86540514775977</v>
      </c>
      <c r="L1324" s="671">
        <f t="shared" si="304"/>
        <v>17.7655673138815</v>
      </c>
      <c r="M1324" s="672">
        <f t="shared" si="298"/>
        <v>0.00762631077216397</v>
      </c>
      <c r="N1324" s="670">
        <f t="shared" si="305"/>
        <v>9004.5</v>
      </c>
      <c r="O1324" s="670">
        <f t="shared" si="299"/>
        <v>506.85125</v>
      </c>
      <c r="P1324" s="670">
        <f t="shared" si="300"/>
        <v>101.37025</v>
      </c>
      <c r="Q1324" s="675">
        <f t="shared" si="301"/>
        <v>96.5430952380952</v>
      </c>
      <c r="R1324">
        <f t="shared" si="302"/>
        <v>42</v>
      </c>
      <c r="S1324" s="667">
        <f t="shared" si="303"/>
        <v>0.0400381315538608</v>
      </c>
    </row>
    <row r="1325" spans="1:19">
      <c r="A1325" s="1010">
        <v>45972</v>
      </c>
      <c r="B1325" s="670">
        <v>5049.42</v>
      </c>
      <c r="C1325" s="37">
        <v>12444</v>
      </c>
      <c r="D1325" s="37">
        <v>941</v>
      </c>
      <c r="E1325" s="37">
        <v>10</v>
      </c>
      <c r="F1325" s="670">
        <v>81699</v>
      </c>
      <c r="G1325" s="37">
        <v>38</v>
      </c>
      <c r="H1325" s="37">
        <v>4</v>
      </c>
      <c r="I1325" s="37">
        <v>8</v>
      </c>
      <c r="J1325" s="672">
        <f t="shared" si="296"/>
        <v>0.0756187720990035</v>
      </c>
      <c r="K1325" s="911">
        <f t="shared" si="297"/>
        <v>5.36601487778959</v>
      </c>
      <c r="L1325" s="671">
        <f t="shared" si="304"/>
        <v>16.1798780850078</v>
      </c>
      <c r="M1325" s="672">
        <f t="shared" si="298"/>
        <v>0.0106269925611052</v>
      </c>
      <c r="N1325" s="670">
        <f t="shared" si="305"/>
        <v>8169.9</v>
      </c>
      <c r="O1325" s="670">
        <f t="shared" si="299"/>
        <v>504.942</v>
      </c>
      <c r="P1325" s="670">
        <f t="shared" si="300"/>
        <v>132.879473684211</v>
      </c>
      <c r="Q1325" s="675">
        <f t="shared" si="301"/>
        <v>120.224285714286</v>
      </c>
      <c r="R1325">
        <f t="shared" si="302"/>
        <v>42</v>
      </c>
      <c r="S1325" s="667">
        <f t="shared" si="303"/>
        <v>0.0446333687566419</v>
      </c>
    </row>
    <row r="1326" spans="1:19">
      <c r="A1326" s="1010">
        <v>45973</v>
      </c>
      <c r="B1326" s="670">
        <v>4937.29</v>
      </c>
      <c r="C1326" s="37">
        <v>14860</v>
      </c>
      <c r="D1326" s="37">
        <v>1073</v>
      </c>
      <c r="E1326" s="37">
        <v>8</v>
      </c>
      <c r="F1326" s="670">
        <v>67895</v>
      </c>
      <c r="G1326" s="37">
        <v>49</v>
      </c>
      <c r="H1326" s="37">
        <v>0</v>
      </c>
      <c r="I1326" s="37">
        <v>6</v>
      </c>
      <c r="J1326" s="672">
        <f t="shared" si="296"/>
        <v>0.072207267833109</v>
      </c>
      <c r="K1326" s="911">
        <f t="shared" si="297"/>
        <v>4.60138863000932</v>
      </c>
      <c r="L1326" s="671">
        <f t="shared" si="304"/>
        <v>13.7514709486378</v>
      </c>
      <c r="M1326" s="672">
        <f t="shared" si="298"/>
        <v>0.00745573159366263</v>
      </c>
      <c r="N1326" s="670">
        <f t="shared" si="305"/>
        <v>8486.875</v>
      </c>
      <c r="O1326" s="670">
        <f t="shared" si="299"/>
        <v>617.16125</v>
      </c>
      <c r="P1326" s="670">
        <f t="shared" si="300"/>
        <v>100.761020408163</v>
      </c>
      <c r="Q1326" s="675">
        <f t="shared" si="301"/>
        <v>100.761020408163</v>
      </c>
      <c r="R1326">
        <f t="shared" si="302"/>
        <v>49</v>
      </c>
      <c r="S1326" s="667">
        <f t="shared" si="303"/>
        <v>0.0456663560111836</v>
      </c>
    </row>
    <row r="1327" spans="1:19">
      <c r="A1327" s="1010">
        <v>45974</v>
      </c>
      <c r="B1327" s="670">
        <v>4890.78</v>
      </c>
      <c r="C1327" s="37">
        <v>15074</v>
      </c>
      <c r="D1327" s="37">
        <v>1017</v>
      </c>
      <c r="E1327" s="37">
        <v>3</v>
      </c>
      <c r="F1327" s="670">
        <v>25669</v>
      </c>
      <c r="G1327" s="37">
        <v>35</v>
      </c>
      <c r="H1327" s="37">
        <v>2</v>
      </c>
      <c r="I1327" s="37">
        <v>0</v>
      </c>
      <c r="J1327" s="672">
        <f t="shared" si="296"/>
        <v>0.0674671620007961</v>
      </c>
      <c r="K1327" s="911">
        <f t="shared" si="297"/>
        <v>4.80902654867257</v>
      </c>
      <c r="L1327" s="671">
        <f t="shared" si="304"/>
        <v>5.2484470779712</v>
      </c>
      <c r="M1327" s="672">
        <f t="shared" si="298"/>
        <v>0.00294985250737463</v>
      </c>
      <c r="N1327" s="670">
        <f t="shared" si="305"/>
        <v>8556.33333333333</v>
      </c>
      <c r="O1327" s="670">
        <f t="shared" si="299"/>
        <v>1630.26</v>
      </c>
      <c r="P1327" s="670">
        <f t="shared" si="300"/>
        <v>139.736571428571</v>
      </c>
      <c r="Q1327" s="675">
        <f t="shared" si="301"/>
        <v>132.183243243243</v>
      </c>
      <c r="R1327">
        <f t="shared" si="302"/>
        <v>37</v>
      </c>
      <c r="S1327" s="667">
        <f t="shared" si="303"/>
        <v>0.0363815142576204</v>
      </c>
    </row>
    <row r="1328" spans="1:19">
      <c r="A1328" s="1010">
        <v>45975</v>
      </c>
      <c r="B1328" s="670">
        <v>4590.82</v>
      </c>
      <c r="C1328" s="37">
        <v>13745</v>
      </c>
      <c r="D1328" s="37">
        <v>958</v>
      </c>
      <c r="E1328" s="37">
        <v>3</v>
      </c>
      <c r="F1328" s="670">
        <v>25293</v>
      </c>
      <c r="G1328" s="37">
        <v>34</v>
      </c>
      <c r="H1328" s="37">
        <v>3</v>
      </c>
      <c r="I1328" s="37">
        <v>0</v>
      </c>
      <c r="J1328" s="672">
        <f t="shared" si="296"/>
        <v>0.0696980720261913</v>
      </c>
      <c r="K1328" s="911">
        <f t="shared" si="297"/>
        <v>4.79208768267223</v>
      </c>
      <c r="L1328" s="671">
        <f t="shared" si="304"/>
        <v>5.50947325314432</v>
      </c>
      <c r="M1328" s="672">
        <f t="shared" si="298"/>
        <v>0.00313152400835073</v>
      </c>
      <c r="N1328" s="670">
        <f t="shared" si="305"/>
        <v>8431</v>
      </c>
      <c r="O1328" s="670">
        <f t="shared" si="299"/>
        <v>1530.27333333333</v>
      </c>
      <c r="P1328" s="670">
        <f t="shared" si="300"/>
        <v>135.024117647059</v>
      </c>
      <c r="Q1328" s="675">
        <f t="shared" si="301"/>
        <v>124.076216216216</v>
      </c>
      <c r="R1328">
        <f t="shared" si="302"/>
        <v>37</v>
      </c>
      <c r="S1328" s="667">
        <f t="shared" si="303"/>
        <v>0.0386221294363257</v>
      </c>
    </row>
    <row r="1329" spans="1:19">
      <c r="A1329" s="1010">
        <v>45976</v>
      </c>
      <c r="B1329" s="670">
        <v>1182.4</v>
      </c>
      <c r="C1329" s="37">
        <v>6361</v>
      </c>
      <c r="D1329" s="37">
        <v>496</v>
      </c>
      <c r="E1329" s="37">
        <v>0</v>
      </c>
      <c r="F1329" s="670">
        <v>0</v>
      </c>
      <c r="G1329" s="37">
        <v>30</v>
      </c>
      <c r="H1329" s="37">
        <v>1</v>
      </c>
      <c r="I1329" s="37">
        <v>4</v>
      </c>
      <c r="J1329" s="672">
        <f t="shared" ref="J1329:J1342" si="306">D1329/C1329</f>
        <v>0.0779751611381858</v>
      </c>
      <c r="K1329" s="911">
        <f t="shared" ref="K1329:K1342" si="307">B1329/D1329</f>
        <v>2.38387096774194</v>
      </c>
      <c r="L1329" s="671">
        <f t="shared" si="304"/>
        <v>0</v>
      </c>
      <c r="M1329" s="672">
        <f t="shared" ref="M1329:M1342" si="308">E1329/D1329</f>
        <v>0</v>
      </c>
      <c r="N1329" s="670">
        <f t="shared" si="305"/>
        <v>0</v>
      </c>
      <c r="O1329" s="670">
        <f t="shared" ref="O1329:O1342" si="309">IF(E1329=0,0,B1329/E1329)</f>
        <v>0</v>
      </c>
      <c r="P1329" s="670">
        <f t="shared" ref="P1329:P1342" si="310">B1329/G1329</f>
        <v>39.4133333333333</v>
      </c>
      <c r="Q1329" s="675">
        <f t="shared" ref="Q1329:Q1342" si="311">B1329/(G1329+H1329)</f>
        <v>38.141935483871</v>
      </c>
      <c r="R1329">
        <f t="shared" ref="R1329:R1342" si="312">G1329+H1329</f>
        <v>31</v>
      </c>
      <c r="S1329" s="667">
        <f t="shared" ref="S1329:S1342" si="313">R1329/D1329</f>
        <v>0.0625</v>
      </c>
    </row>
    <row r="1330" spans="1:19">
      <c r="A1330" s="1010">
        <v>45977</v>
      </c>
      <c r="B1330" s="670">
        <v>1208.7</v>
      </c>
      <c r="C1330" s="37">
        <v>7019</v>
      </c>
      <c r="D1330" s="37">
        <v>551</v>
      </c>
      <c r="E1330" s="37">
        <v>0</v>
      </c>
      <c r="F1330" s="670">
        <v>0</v>
      </c>
      <c r="G1330" s="37">
        <v>17</v>
      </c>
      <c r="H1330" s="37">
        <v>0</v>
      </c>
      <c r="I1330" s="37">
        <v>2</v>
      </c>
      <c r="J1330" s="672">
        <f t="shared" si="306"/>
        <v>0.0785012109987178</v>
      </c>
      <c r="K1330" s="911">
        <f t="shared" si="307"/>
        <v>2.19364791288566</v>
      </c>
      <c r="L1330" s="671">
        <f t="shared" si="304"/>
        <v>0</v>
      </c>
      <c r="M1330" s="672">
        <f t="shared" si="308"/>
        <v>0</v>
      </c>
      <c r="N1330" s="670">
        <f t="shared" si="305"/>
        <v>0</v>
      </c>
      <c r="O1330" s="670">
        <f t="shared" si="309"/>
        <v>0</v>
      </c>
      <c r="P1330" s="670">
        <f t="shared" si="310"/>
        <v>71.1</v>
      </c>
      <c r="Q1330" s="675">
        <f t="shared" si="311"/>
        <v>71.1</v>
      </c>
      <c r="R1330">
        <f t="shared" si="312"/>
        <v>17</v>
      </c>
      <c r="S1330" s="667">
        <f t="shared" si="313"/>
        <v>0.0308529945553539</v>
      </c>
    </row>
    <row r="1331" spans="1:19">
      <c r="A1331" s="1010">
        <v>45978</v>
      </c>
      <c r="B1331" s="670">
        <v>1103.41</v>
      </c>
      <c r="C1331" s="37">
        <v>5255</v>
      </c>
      <c r="D1331" s="37">
        <v>478</v>
      </c>
      <c r="E1331" s="37">
        <v>0</v>
      </c>
      <c r="F1331" s="670">
        <v>0</v>
      </c>
      <c r="G1331" s="37">
        <v>13</v>
      </c>
      <c r="H1331" s="37">
        <v>4</v>
      </c>
      <c r="I1331" s="37">
        <v>0</v>
      </c>
      <c r="J1331" s="672">
        <f t="shared" si="306"/>
        <v>0.0909609895337774</v>
      </c>
      <c r="K1331" s="911">
        <f t="shared" si="307"/>
        <v>2.30838912133891</v>
      </c>
      <c r="L1331" s="671">
        <f t="shared" si="304"/>
        <v>0</v>
      </c>
      <c r="M1331" s="672">
        <f t="shared" si="308"/>
        <v>0</v>
      </c>
      <c r="N1331" s="670">
        <f t="shared" si="305"/>
        <v>0</v>
      </c>
      <c r="O1331" s="670">
        <f t="shared" si="309"/>
        <v>0</v>
      </c>
      <c r="P1331" s="670">
        <f t="shared" si="310"/>
        <v>84.8776923076923</v>
      </c>
      <c r="Q1331" s="675">
        <f t="shared" si="311"/>
        <v>64.9064705882353</v>
      </c>
      <c r="R1331">
        <f t="shared" si="312"/>
        <v>17</v>
      </c>
      <c r="S1331" s="667">
        <f t="shared" si="313"/>
        <v>0.0355648535564854</v>
      </c>
    </row>
    <row r="1332" spans="1:19">
      <c r="A1332" s="1010">
        <v>45979</v>
      </c>
      <c r="B1332" s="670">
        <v>1177.55</v>
      </c>
      <c r="C1332" s="37">
        <v>5660</v>
      </c>
      <c r="D1332" s="37">
        <v>515</v>
      </c>
      <c r="E1332" s="37">
        <v>0</v>
      </c>
      <c r="F1332" s="670">
        <v>0</v>
      </c>
      <c r="G1332" s="37">
        <v>30</v>
      </c>
      <c r="H1332" s="37">
        <v>4</v>
      </c>
      <c r="I1332" s="37">
        <v>1</v>
      </c>
      <c r="J1332" s="672">
        <f t="shared" si="306"/>
        <v>0.0909893992932862</v>
      </c>
      <c r="K1332" s="911">
        <f t="shared" si="307"/>
        <v>2.28650485436893</v>
      </c>
      <c r="L1332" s="671">
        <f t="shared" ref="L1332:L1342" si="314">F1332/B1332</f>
        <v>0</v>
      </c>
      <c r="M1332" s="672">
        <f t="shared" si="308"/>
        <v>0</v>
      </c>
      <c r="N1332" s="670">
        <f t="shared" ref="N1332:N1342" si="315">IF(E1332=0,0,F1332/E1332)</f>
        <v>0</v>
      </c>
      <c r="O1332" s="670">
        <f t="shared" si="309"/>
        <v>0</v>
      </c>
      <c r="P1332" s="670">
        <f t="shared" si="310"/>
        <v>39.2516666666667</v>
      </c>
      <c r="Q1332" s="675">
        <f t="shared" si="311"/>
        <v>34.6338235294118</v>
      </c>
      <c r="R1332">
        <f t="shared" si="312"/>
        <v>34</v>
      </c>
      <c r="S1332" s="667">
        <f t="shared" si="313"/>
        <v>0.0660194174757282</v>
      </c>
    </row>
    <row r="1333" spans="1:19">
      <c r="A1333" s="1010">
        <v>45980</v>
      </c>
      <c r="B1333" s="670">
        <v>1132.69</v>
      </c>
      <c r="C1333" s="37">
        <v>4984</v>
      </c>
      <c r="D1333" s="37">
        <v>480</v>
      </c>
      <c r="E1333" s="37">
        <v>0</v>
      </c>
      <c r="F1333" s="670">
        <v>0</v>
      </c>
      <c r="G1333" s="37">
        <v>9</v>
      </c>
      <c r="H1333" s="37">
        <v>2</v>
      </c>
      <c r="I1333" s="37">
        <v>0</v>
      </c>
      <c r="J1333" s="672">
        <f t="shared" si="306"/>
        <v>0.0963081861958267</v>
      </c>
      <c r="K1333" s="911">
        <f t="shared" si="307"/>
        <v>2.35977083333333</v>
      </c>
      <c r="L1333" s="671">
        <f t="shared" si="314"/>
        <v>0</v>
      </c>
      <c r="M1333" s="672">
        <f t="shared" si="308"/>
        <v>0</v>
      </c>
      <c r="N1333" s="670">
        <f t="shared" si="315"/>
        <v>0</v>
      </c>
      <c r="O1333" s="670">
        <f t="shared" si="309"/>
        <v>0</v>
      </c>
      <c r="P1333" s="670">
        <f t="shared" si="310"/>
        <v>125.854444444444</v>
      </c>
      <c r="Q1333" s="675">
        <f t="shared" si="311"/>
        <v>102.971818181818</v>
      </c>
      <c r="R1333">
        <f t="shared" si="312"/>
        <v>11</v>
      </c>
      <c r="S1333" s="667">
        <f t="shared" si="313"/>
        <v>0.0229166666666667</v>
      </c>
    </row>
    <row r="1334" spans="1:19">
      <c r="A1334" s="1010">
        <v>45981</v>
      </c>
      <c r="B1334" s="670">
        <v>999.4</v>
      </c>
      <c r="C1334" s="37">
        <v>4921</v>
      </c>
      <c r="D1334" s="37">
        <v>483</v>
      </c>
      <c r="E1334" s="37">
        <v>0</v>
      </c>
      <c r="F1334" s="670">
        <v>0</v>
      </c>
      <c r="G1334" s="37">
        <v>18</v>
      </c>
      <c r="H1334" s="37">
        <v>0</v>
      </c>
      <c r="I1334" s="37">
        <v>3</v>
      </c>
      <c r="J1334" s="672">
        <f t="shared" si="306"/>
        <v>0.0981507823613087</v>
      </c>
      <c r="K1334" s="911">
        <f t="shared" si="307"/>
        <v>2.06915113871636</v>
      </c>
      <c r="L1334" s="671">
        <f t="shared" si="314"/>
        <v>0</v>
      </c>
      <c r="M1334" s="672">
        <f t="shared" si="308"/>
        <v>0</v>
      </c>
      <c r="N1334" s="670">
        <f t="shared" si="315"/>
        <v>0</v>
      </c>
      <c r="O1334" s="670">
        <f t="shared" si="309"/>
        <v>0</v>
      </c>
      <c r="P1334" s="670">
        <f t="shared" si="310"/>
        <v>55.5222222222222</v>
      </c>
      <c r="Q1334" s="675">
        <f t="shared" si="311"/>
        <v>55.5222222222222</v>
      </c>
      <c r="R1334">
        <f t="shared" si="312"/>
        <v>18</v>
      </c>
      <c r="S1334" s="667">
        <f t="shared" si="313"/>
        <v>0.0372670807453416</v>
      </c>
    </row>
    <row r="1335" spans="1:19">
      <c r="A1335" s="1010">
        <v>45982</v>
      </c>
      <c r="B1335" s="670">
        <v>867.41</v>
      </c>
      <c r="C1335" s="37">
        <v>4454</v>
      </c>
      <c r="D1335" s="37">
        <v>460</v>
      </c>
      <c r="E1335" s="37">
        <v>0</v>
      </c>
      <c r="F1335" s="670">
        <v>0</v>
      </c>
      <c r="G1335" s="37">
        <v>20</v>
      </c>
      <c r="H1335" s="37">
        <v>2</v>
      </c>
      <c r="I1335" s="37">
        <v>6</v>
      </c>
      <c r="J1335" s="672">
        <f t="shared" si="306"/>
        <v>0.103277952402335</v>
      </c>
      <c r="K1335" s="911">
        <f t="shared" si="307"/>
        <v>1.88567391304348</v>
      </c>
      <c r="L1335" s="671">
        <f t="shared" si="314"/>
        <v>0</v>
      </c>
      <c r="M1335" s="672">
        <f t="shared" si="308"/>
        <v>0</v>
      </c>
      <c r="N1335" s="670">
        <f t="shared" si="315"/>
        <v>0</v>
      </c>
      <c r="O1335" s="670">
        <f t="shared" si="309"/>
        <v>0</v>
      </c>
      <c r="P1335" s="670">
        <f t="shared" si="310"/>
        <v>43.3705</v>
      </c>
      <c r="Q1335" s="675">
        <f t="shared" si="311"/>
        <v>39.4277272727273</v>
      </c>
      <c r="R1335">
        <f t="shared" si="312"/>
        <v>22</v>
      </c>
      <c r="S1335" s="667">
        <f t="shared" si="313"/>
        <v>0.0478260869565217</v>
      </c>
    </row>
    <row r="1336" spans="1:19">
      <c r="A1336" s="1010">
        <v>45983</v>
      </c>
      <c r="B1336" s="670">
        <v>937.4</v>
      </c>
      <c r="C1336" s="37">
        <v>4576</v>
      </c>
      <c r="D1336" s="37">
        <v>409</v>
      </c>
      <c r="E1336" s="37">
        <v>3</v>
      </c>
      <c r="F1336" s="670">
        <v>20980</v>
      </c>
      <c r="G1336" s="37">
        <v>17</v>
      </c>
      <c r="H1336" s="37">
        <v>0</v>
      </c>
      <c r="I1336" s="37">
        <v>1</v>
      </c>
      <c r="J1336" s="672">
        <f t="shared" si="306"/>
        <v>0.0893793706293706</v>
      </c>
      <c r="K1336" s="911">
        <f t="shared" si="307"/>
        <v>2.2919315403423</v>
      </c>
      <c r="L1336" s="671">
        <f t="shared" si="314"/>
        <v>22.3810539790911</v>
      </c>
      <c r="M1336" s="672">
        <f t="shared" si="308"/>
        <v>0.00733496332518337</v>
      </c>
      <c r="N1336" s="670">
        <f t="shared" si="315"/>
        <v>6993.33333333333</v>
      </c>
      <c r="O1336" s="670">
        <f t="shared" si="309"/>
        <v>312.466666666667</v>
      </c>
      <c r="P1336" s="670">
        <f t="shared" si="310"/>
        <v>55.1411764705882</v>
      </c>
      <c r="Q1336" s="675">
        <f t="shared" si="311"/>
        <v>55.1411764705882</v>
      </c>
      <c r="R1336">
        <f t="shared" si="312"/>
        <v>17</v>
      </c>
      <c r="S1336" s="667">
        <f t="shared" si="313"/>
        <v>0.0415647921760391</v>
      </c>
    </row>
    <row r="1337" spans="1:19">
      <c r="A1337" s="1010">
        <v>45984</v>
      </c>
      <c r="B1337" s="670">
        <v>961.87</v>
      </c>
      <c r="C1337" s="37">
        <v>4017</v>
      </c>
      <c r="D1337" s="37">
        <v>418</v>
      </c>
      <c r="E1337" s="37">
        <v>0</v>
      </c>
      <c r="F1337" s="670">
        <v>0</v>
      </c>
      <c r="G1337" s="37">
        <v>27</v>
      </c>
      <c r="H1337" s="37">
        <v>4</v>
      </c>
      <c r="I1337" s="37">
        <v>3</v>
      </c>
      <c r="J1337" s="672">
        <f t="shared" si="306"/>
        <v>0.104057754543191</v>
      </c>
      <c r="K1337" s="911">
        <f t="shared" si="307"/>
        <v>2.30112440191388</v>
      </c>
      <c r="L1337" s="671">
        <f t="shared" si="314"/>
        <v>0</v>
      </c>
      <c r="M1337" s="672">
        <f t="shared" si="308"/>
        <v>0</v>
      </c>
      <c r="N1337" s="670">
        <f t="shared" si="315"/>
        <v>0</v>
      </c>
      <c r="O1337" s="670">
        <f t="shared" si="309"/>
        <v>0</v>
      </c>
      <c r="P1337" s="670">
        <f t="shared" si="310"/>
        <v>35.6248148148148</v>
      </c>
      <c r="Q1337" s="675">
        <f t="shared" si="311"/>
        <v>31.028064516129</v>
      </c>
      <c r="R1337">
        <f t="shared" si="312"/>
        <v>31</v>
      </c>
      <c r="S1337" s="667">
        <f t="shared" si="313"/>
        <v>0.0741626794258373</v>
      </c>
    </row>
    <row r="1338" spans="1:19">
      <c r="A1338" s="1010">
        <v>45985</v>
      </c>
      <c r="B1338" s="670">
        <v>951.07</v>
      </c>
      <c r="C1338" s="37">
        <v>4643</v>
      </c>
      <c r="D1338" s="37">
        <v>476</v>
      </c>
      <c r="E1338" s="37">
        <v>0</v>
      </c>
      <c r="F1338" s="670">
        <v>0</v>
      </c>
      <c r="G1338" s="37">
        <v>17</v>
      </c>
      <c r="H1338" s="37">
        <v>1</v>
      </c>
      <c r="I1338" s="37">
        <v>0</v>
      </c>
      <c r="J1338" s="672">
        <f t="shared" si="306"/>
        <v>0.102519922463924</v>
      </c>
      <c r="K1338" s="911">
        <f t="shared" si="307"/>
        <v>1.9980462184874</v>
      </c>
      <c r="L1338" s="671">
        <f t="shared" si="314"/>
        <v>0</v>
      </c>
      <c r="M1338" s="672">
        <f t="shared" si="308"/>
        <v>0</v>
      </c>
      <c r="N1338" s="670">
        <f t="shared" si="315"/>
        <v>0</v>
      </c>
      <c r="O1338" s="670">
        <f t="shared" si="309"/>
        <v>0</v>
      </c>
      <c r="P1338" s="670">
        <f t="shared" si="310"/>
        <v>55.9452941176471</v>
      </c>
      <c r="Q1338" s="675">
        <f t="shared" si="311"/>
        <v>52.8372222222222</v>
      </c>
      <c r="R1338">
        <f t="shared" si="312"/>
        <v>18</v>
      </c>
      <c r="S1338" s="667">
        <f t="shared" si="313"/>
        <v>0.0378151260504202</v>
      </c>
    </row>
    <row r="1339" spans="1:19">
      <c r="A1339" s="1010">
        <v>45986</v>
      </c>
      <c r="B1339" s="670">
        <v>986.19</v>
      </c>
      <c r="C1339" s="37">
        <v>4281</v>
      </c>
      <c r="D1339" s="37">
        <v>392</v>
      </c>
      <c r="E1339" s="37">
        <v>0</v>
      </c>
      <c r="F1339" s="670">
        <v>0</v>
      </c>
      <c r="G1339" s="37">
        <v>17</v>
      </c>
      <c r="H1339" s="37">
        <v>0</v>
      </c>
      <c r="I1339" s="37">
        <v>1</v>
      </c>
      <c r="J1339" s="672">
        <f t="shared" si="306"/>
        <v>0.0915673907965429</v>
      </c>
      <c r="K1339" s="911">
        <f t="shared" si="307"/>
        <v>2.51579081632653</v>
      </c>
      <c r="L1339" s="671">
        <f t="shared" si="314"/>
        <v>0</v>
      </c>
      <c r="M1339" s="672">
        <f t="shared" si="308"/>
        <v>0</v>
      </c>
      <c r="N1339" s="670">
        <f t="shared" si="315"/>
        <v>0</v>
      </c>
      <c r="O1339" s="670">
        <f t="shared" si="309"/>
        <v>0</v>
      </c>
      <c r="P1339" s="670">
        <f t="shared" si="310"/>
        <v>58.0111764705882</v>
      </c>
      <c r="Q1339" s="675">
        <f t="shared" si="311"/>
        <v>58.0111764705882</v>
      </c>
      <c r="R1339">
        <f t="shared" si="312"/>
        <v>17</v>
      </c>
      <c r="S1339" s="667">
        <f t="shared" si="313"/>
        <v>0.0433673469387755</v>
      </c>
    </row>
    <row r="1340" spans="1:19">
      <c r="A1340" s="1010">
        <v>45987</v>
      </c>
      <c r="B1340" s="670">
        <v>975.71</v>
      </c>
      <c r="C1340" s="37">
        <v>4144</v>
      </c>
      <c r="D1340" s="37">
        <v>429</v>
      </c>
      <c r="E1340" s="37">
        <v>2</v>
      </c>
      <c r="F1340" s="670">
        <v>14786</v>
      </c>
      <c r="G1340" s="37">
        <v>24</v>
      </c>
      <c r="H1340" s="37">
        <v>1</v>
      </c>
      <c r="I1340" s="37">
        <v>1</v>
      </c>
      <c r="J1340" s="672">
        <f t="shared" si="306"/>
        <v>0.103523166023166</v>
      </c>
      <c r="K1340" s="911">
        <f t="shared" si="307"/>
        <v>2.27438228438228</v>
      </c>
      <c r="L1340" s="671">
        <f t="shared" si="314"/>
        <v>15.1540929169528</v>
      </c>
      <c r="M1340" s="672">
        <f t="shared" si="308"/>
        <v>0.00466200466200466</v>
      </c>
      <c r="N1340" s="670">
        <f t="shared" si="315"/>
        <v>7393</v>
      </c>
      <c r="O1340" s="670">
        <f t="shared" si="309"/>
        <v>487.855</v>
      </c>
      <c r="P1340" s="670">
        <f t="shared" si="310"/>
        <v>40.6545833333333</v>
      </c>
      <c r="Q1340" s="675">
        <f t="shared" si="311"/>
        <v>39.0284</v>
      </c>
      <c r="R1340">
        <f t="shared" si="312"/>
        <v>25</v>
      </c>
      <c r="S1340" s="667">
        <f t="shared" si="313"/>
        <v>0.0582750582750583</v>
      </c>
    </row>
    <row r="1341" spans="1:19">
      <c r="A1341" s="1010">
        <v>45988</v>
      </c>
      <c r="B1341" s="670">
        <v>972.43</v>
      </c>
      <c r="C1341" s="37">
        <v>4422</v>
      </c>
      <c r="D1341" s="37">
        <v>391</v>
      </c>
      <c r="E1341" s="37">
        <v>0</v>
      </c>
      <c r="F1341" s="670">
        <v>0</v>
      </c>
      <c r="G1341" s="37">
        <v>17</v>
      </c>
      <c r="H1341" s="37">
        <v>1</v>
      </c>
      <c r="I1341" s="37">
        <v>1</v>
      </c>
      <c r="J1341" s="672">
        <f t="shared" si="306"/>
        <v>0.0884215287200362</v>
      </c>
      <c r="K1341" s="911">
        <f t="shared" si="307"/>
        <v>2.48703324808184</v>
      </c>
      <c r="L1341" s="671">
        <f t="shared" si="314"/>
        <v>0</v>
      </c>
      <c r="M1341" s="672">
        <f t="shared" si="308"/>
        <v>0</v>
      </c>
      <c r="N1341" s="670">
        <f t="shared" si="315"/>
        <v>0</v>
      </c>
      <c r="O1341" s="670">
        <f t="shared" si="309"/>
        <v>0</v>
      </c>
      <c r="P1341" s="670">
        <f t="shared" si="310"/>
        <v>57.2017647058823</v>
      </c>
      <c r="Q1341" s="675">
        <f t="shared" si="311"/>
        <v>54.0238888888889</v>
      </c>
      <c r="R1341">
        <f t="shared" si="312"/>
        <v>18</v>
      </c>
      <c r="S1341" s="667">
        <f t="shared" si="313"/>
        <v>0.0460358056265985</v>
      </c>
    </row>
    <row r="1342" spans="1:19">
      <c r="A1342" s="1010">
        <v>45989</v>
      </c>
      <c r="B1342" s="670">
        <v>967.37</v>
      </c>
      <c r="C1342" s="37">
        <v>4482</v>
      </c>
      <c r="D1342" s="37">
        <v>387</v>
      </c>
      <c r="E1342" s="37">
        <v>0</v>
      </c>
      <c r="F1342" s="670">
        <v>0</v>
      </c>
      <c r="G1342" s="37">
        <v>5</v>
      </c>
      <c r="H1342" s="37">
        <v>2</v>
      </c>
      <c r="I1342" s="37">
        <v>1</v>
      </c>
      <c r="J1342" s="672">
        <f t="shared" si="306"/>
        <v>0.0863453815261044</v>
      </c>
      <c r="K1342" s="911">
        <f t="shared" si="307"/>
        <v>2.49966408268734</v>
      </c>
      <c r="L1342" s="671">
        <f t="shared" si="314"/>
        <v>0</v>
      </c>
      <c r="M1342" s="672">
        <f t="shared" si="308"/>
        <v>0</v>
      </c>
      <c r="N1342" s="670">
        <f t="shared" si="315"/>
        <v>0</v>
      </c>
      <c r="O1342" s="670">
        <f t="shared" si="309"/>
        <v>0</v>
      </c>
      <c r="P1342" s="670">
        <f t="shared" si="310"/>
        <v>193.474</v>
      </c>
      <c r="Q1342" s="675">
        <f t="shared" si="311"/>
        <v>138.195714285714</v>
      </c>
      <c r="R1342">
        <f t="shared" si="312"/>
        <v>7</v>
      </c>
      <c r="S1342" s="667">
        <f t="shared" si="313"/>
        <v>0.0180878552971576</v>
      </c>
    </row>
    <row r="1343" spans="1:19">
      <c r="A1343" s="1010">
        <v>45990</v>
      </c>
      <c r="B1343" s="670">
        <v>966.45</v>
      </c>
      <c r="C1343" s="37">
        <v>5323</v>
      </c>
      <c r="D1343" s="37">
        <v>370</v>
      </c>
      <c r="E1343" s="37">
        <v>1</v>
      </c>
      <c r="F1343" s="670">
        <v>28761</v>
      </c>
      <c r="G1343" s="37">
        <v>12</v>
      </c>
      <c r="H1343" s="37">
        <v>1</v>
      </c>
      <c r="I1343" s="37">
        <v>1</v>
      </c>
      <c r="J1343" s="672">
        <f t="shared" ref="J1343:J1406" si="316">D1343/C1343</f>
        <v>0.0695096749953034</v>
      </c>
      <c r="K1343" s="911">
        <f t="shared" ref="K1343:K1406" si="317">B1343/D1343</f>
        <v>2.61202702702703</v>
      </c>
      <c r="L1343" s="671">
        <f t="shared" ref="L1343:L1406" si="318">F1343/B1343</f>
        <v>29.7594288374981</v>
      </c>
      <c r="M1343" s="672">
        <f t="shared" ref="M1343:M1406" si="319">E1343/D1343</f>
        <v>0.0027027027027027</v>
      </c>
      <c r="N1343" s="670">
        <f t="shared" ref="N1343:N1406" si="320">IF(E1343=0,0,F1343/E1343)</f>
        <v>28761</v>
      </c>
      <c r="O1343" s="670">
        <f t="shared" ref="O1343:O1406" si="321">IF(E1343=0,0,B1343/E1343)</f>
        <v>966.45</v>
      </c>
      <c r="P1343" s="670">
        <f t="shared" ref="P1343:P1406" si="322">B1343/G1343</f>
        <v>80.5375</v>
      </c>
      <c r="Q1343" s="675">
        <f t="shared" ref="Q1343:Q1406" si="323">B1343/(G1343+H1343)</f>
        <v>74.3423076923077</v>
      </c>
      <c r="R1343">
        <f t="shared" ref="R1343:R1406" si="324">G1343+H1343</f>
        <v>13</v>
      </c>
      <c r="S1343" s="667">
        <f t="shared" ref="S1343:S1406" si="325">R1343/D1343</f>
        <v>0.0351351351351351</v>
      </c>
    </row>
    <row r="1344" spans="1:19">
      <c r="A1344" s="1010">
        <v>45991</v>
      </c>
      <c r="B1344" s="670">
        <v>550</v>
      </c>
      <c r="C1344" s="37">
        <v>2412</v>
      </c>
      <c r="D1344" s="37">
        <v>201</v>
      </c>
      <c r="E1344" s="37">
        <v>3</v>
      </c>
      <c r="F1344" s="670">
        <v>16760</v>
      </c>
      <c r="G1344" s="37">
        <v>7</v>
      </c>
      <c r="H1344" s="37">
        <v>1</v>
      </c>
      <c r="I1344" s="37">
        <v>0</v>
      </c>
      <c r="J1344" s="672">
        <f t="shared" si="316"/>
        <v>0.0833333333333333</v>
      </c>
      <c r="K1344" s="911">
        <f t="shared" si="317"/>
        <v>2.7363184079602</v>
      </c>
      <c r="L1344" s="671">
        <f t="shared" si="318"/>
        <v>30.4727272727273</v>
      </c>
      <c r="M1344" s="672">
        <f t="shared" si="319"/>
        <v>0.0149253731343284</v>
      </c>
      <c r="N1344" s="670">
        <f t="shared" si="320"/>
        <v>5586.66666666667</v>
      </c>
      <c r="O1344" s="670">
        <f t="shared" si="321"/>
        <v>183.333333333333</v>
      </c>
      <c r="P1344" s="670">
        <f t="shared" si="322"/>
        <v>78.5714285714286</v>
      </c>
      <c r="Q1344" s="675">
        <f t="shared" si="323"/>
        <v>68.75</v>
      </c>
      <c r="R1344">
        <f t="shared" si="324"/>
        <v>8</v>
      </c>
      <c r="S1344" s="667">
        <f t="shared" si="325"/>
        <v>0.0398009950248756</v>
      </c>
    </row>
    <row r="1345" spans="1:19">
      <c r="A1345" s="1010">
        <v>45992</v>
      </c>
      <c r="B1345" s="670">
        <v>550</v>
      </c>
      <c r="C1345" s="37">
        <v>2297</v>
      </c>
      <c r="D1345" s="37">
        <v>240</v>
      </c>
      <c r="E1345" s="37">
        <v>0</v>
      </c>
      <c r="F1345" s="670">
        <v>0</v>
      </c>
      <c r="G1345" s="37">
        <v>9</v>
      </c>
      <c r="H1345" s="37">
        <v>0</v>
      </c>
      <c r="I1345" s="37">
        <v>0</v>
      </c>
      <c r="J1345" s="672">
        <f t="shared" si="316"/>
        <v>0.104484109708315</v>
      </c>
      <c r="K1345" s="911">
        <f t="shared" si="317"/>
        <v>2.29166666666667</v>
      </c>
      <c r="L1345" s="671">
        <f t="shared" si="318"/>
        <v>0</v>
      </c>
      <c r="M1345" s="672">
        <f t="shared" si="319"/>
        <v>0</v>
      </c>
      <c r="N1345" s="670">
        <f t="shared" si="320"/>
        <v>0</v>
      </c>
      <c r="O1345" s="670">
        <f t="shared" si="321"/>
        <v>0</v>
      </c>
      <c r="P1345" s="670">
        <f t="shared" si="322"/>
        <v>61.1111111111111</v>
      </c>
      <c r="Q1345" s="675">
        <f t="shared" si="323"/>
        <v>61.1111111111111</v>
      </c>
      <c r="R1345">
        <f t="shared" si="324"/>
        <v>9</v>
      </c>
      <c r="S1345" s="667">
        <f t="shared" si="325"/>
        <v>0.0375</v>
      </c>
    </row>
    <row r="1346" spans="1:19">
      <c r="A1346" s="1010">
        <v>45993</v>
      </c>
      <c r="B1346" s="670">
        <v>780.81</v>
      </c>
      <c r="C1346" s="37">
        <v>3252</v>
      </c>
      <c r="D1346" s="37">
        <v>361</v>
      </c>
      <c r="E1346" s="37">
        <v>0</v>
      </c>
      <c r="F1346" s="670">
        <v>0</v>
      </c>
      <c r="G1346" s="37">
        <v>14</v>
      </c>
      <c r="H1346" s="37">
        <v>3</v>
      </c>
      <c r="I1346" s="37">
        <v>1</v>
      </c>
      <c r="J1346" s="672">
        <f t="shared" si="316"/>
        <v>0.111008610086101</v>
      </c>
      <c r="K1346" s="911">
        <f t="shared" si="317"/>
        <v>2.16290858725762</v>
      </c>
      <c r="L1346" s="671">
        <f t="shared" si="318"/>
        <v>0</v>
      </c>
      <c r="M1346" s="672">
        <f t="shared" si="319"/>
        <v>0</v>
      </c>
      <c r="N1346" s="670">
        <f t="shared" si="320"/>
        <v>0</v>
      </c>
      <c r="O1346" s="670">
        <f t="shared" si="321"/>
        <v>0</v>
      </c>
      <c r="P1346" s="670">
        <f t="shared" si="322"/>
        <v>55.7721428571429</v>
      </c>
      <c r="Q1346" s="675">
        <f t="shared" si="323"/>
        <v>45.93</v>
      </c>
      <c r="R1346">
        <f t="shared" si="324"/>
        <v>17</v>
      </c>
      <c r="S1346" s="667">
        <f t="shared" si="325"/>
        <v>0.0470914127423823</v>
      </c>
    </row>
    <row r="1347" spans="1:19">
      <c r="A1347" s="1010">
        <v>45994</v>
      </c>
      <c r="B1347" s="670">
        <v>1299.94</v>
      </c>
      <c r="C1347" s="37">
        <v>5178</v>
      </c>
      <c r="D1347" s="37">
        <v>460</v>
      </c>
      <c r="E1347" s="37">
        <v>0</v>
      </c>
      <c r="F1347" s="670">
        <v>0</v>
      </c>
      <c r="G1347" s="37">
        <v>6</v>
      </c>
      <c r="H1347" s="37">
        <v>1</v>
      </c>
      <c r="I1347" s="37">
        <v>1</v>
      </c>
      <c r="J1347" s="672">
        <f t="shared" si="316"/>
        <v>0.0888373889532638</v>
      </c>
      <c r="K1347" s="911">
        <f t="shared" si="317"/>
        <v>2.82595652173913</v>
      </c>
      <c r="L1347" s="671">
        <f t="shared" si="318"/>
        <v>0</v>
      </c>
      <c r="M1347" s="672">
        <f t="shared" si="319"/>
        <v>0</v>
      </c>
      <c r="N1347" s="670">
        <f t="shared" si="320"/>
        <v>0</v>
      </c>
      <c r="O1347" s="670">
        <f t="shared" si="321"/>
        <v>0</v>
      </c>
      <c r="P1347" s="670">
        <f t="shared" si="322"/>
        <v>216.656666666667</v>
      </c>
      <c r="Q1347" s="675">
        <f t="shared" si="323"/>
        <v>185.705714285714</v>
      </c>
      <c r="R1347">
        <f t="shared" si="324"/>
        <v>7</v>
      </c>
      <c r="S1347" s="667">
        <f t="shared" si="325"/>
        <v>0.0152173913043478</v>
      </c>
    </row>
    <row r="1348" spans="1:19">
      <c r="A1348" s="1010">
        <v>45995</v>
      </c>
      <c r="B1348" s="670">
        <v>1367.88</v>
      </c>
      <c r="C1348" s="37">
        <v>5701</v>
      </c>
      <c r="D1348" s="37">
        <v>551</v>
      </c>
      <c r="E1348" s="37">
        <v>0</v>
      </c>
      <c r="F1348" s="670">
        <v>0</v>
      </c>
      <c r="G1348" s="37">
        <v>7</v>
      </c>
      <c r="H1348" s="37">
        <v>6</v>
      </c>
      <c r="I1348" s="37">
        <v>3</v>
      </c>
      <c r="J1348" s="672">
        <f t="shared" si="316"/>
        <v>0.0966497105770917</v>
      </c>
      <c r="K1348" s="911">
        <f t="shared" si="317"/>
        <v>2.48254083484574</v>
      </c>
      <c r="L1348" s="671">
        <f t="shared" si="318"/>
        <v>0</v>
      </c>
      <c r="M1348" s="672">
        <f t="shared" si="319"/>
        <v>0</v>
      </c>
      <c r="N1348" s="670">
        <f t="shared" si="320"/>
        <v>0</v>
      </c>
      <c r="O1348" s="670">
        <f t="shared" si="321"/>
        <v>0</v>
      </c>
      <c r="P1348" s="670">
        <f t="shared" si="322"/>
        <v>195.411428571429</v>
      </c>
      <c r="Q1348" s="675">
        <f t="shared" si="323"/>
        <v>105.221538461538</v>
      </c>
      <c r="R1348">
        <f t="shared" si="324"/>
        <v>13</v>
      </c>
      <c r="S1348" s="667">
        <f t="shared" si="325"/>
        <v>0.0235934664246824</v>
      </c>
    </row>
    <row r="1349" spans="1:19">
      <c r="A1349" s="1010">
        <v>45996</v>
      </c>
      <c r="B1349" s="670">
        <v>1618.35</v>
      </c>
      <c r="C1349" s="37">
        <v>5202</v>
      </c>
      <c r="D1349" s="37">
        <v>527</v>
      </c>
      <c r="E1349" s="37">
        <v>0</v>
      </c>
      <c r="F1349" s="670">
        <v>0</v>
      </c>
      <c r="G1349" s="37">
        <v>13</v>
      </c>
      <c r="H1349" s="37">
        <v>1</v>
      </c>
      <c r="I1349" s="37">
        <v>1</v>
      </c>
      <c r="J1349" s="672">
        <f t="shared" si="316"/>
        <v>0.101307189542484</v>
      </c>
      <c r="K1349" s="911">
        <f t="shared" si="317"/>
        <v>3.07087286527514</v>
      </c>
      <c r="L1349" s="671">
        <f t="shared" si="318"/>
        <v>0</v>
      </c>
      <c r="M1349" s="672">
        <f t="shared" si="319"/>
        <v>0</v>
      </c>
      <c r="N1349" s="670">
        <f t="shared" si="320"/>
        <v>0</v>
      </c>
      <c r="O1349" s="670">
        <f t="shared" si="321"/>
        <v>0</v>
      </c>
      <c r="P1349" s="670">
        <f t="shared" si="322"/>
        <v>124.488461538462</v>
      </c>
      <c r="Q1349" s="675">
        <f t="shared" si="323"/>
        <v>115.596428571429</v>
      </c>
      <c r="R1349">
        <f t="shared" si="324"/>
        <v>14</v>
      </c>
      <c r="S1349" s="667">
        <f t="shared" si="325"/>
        <v>0.0265654648956357</v>
      </c>
    </row>
    <row r="1350" spans="1:19">
      <c r="A1350" s="1010">
        <v>45997</v>
      </c>
      <c r="B1350" s="670">
        <v>1626.7</v>
      </c>
      <c r="C1350" s="37">
        <v>4223</v>
      </c>
      <c r="D1350" s="37">
        <v>538</v>
      </c>
      <c r="E1350" s="37">
        <v>0</v>
      </c>
      <c r="F1350" s="670">
        <v>0</v>
      </c>
      <c r="G1350" s="37">
        <v>12</v>
      </c>
      <c r="H1350" s="37">
        <v>4</v>
      </c>
      <c r="I1350" s="37">
        <v>2</v>
      </c>
      <c r="J1350" s="672">
        <f t="shared" si="316"/>
        <v>0.127397584655458</v>
      </c>
      <c r="K1350" s="911">
        <f t="shared" si="317"/>
        <v>3.02360594795539</v>
      </c>
      <c r="L1350" s="671">
        <f t="shared" si="318"/>
        <v>0</v>
      </c>
      <c r="M1350" s="672">
        <f t="shared" si="319"/>
        <v>0</v>
      </c>
      <c r="N1350" s="670">
        <f t="shared" si="320"/>
        <v>0</v>
      </c>
      <c r="O1350" s="670">
        <f t="shared" si="321"/>
        <v>0</v>
      </c>
      <c r="P1350" s="670">
        <f t="shared" si="322"/>
        <v>135.558333333333</v>
      </c>
      <c r="Q1350" s="675">
        <f t="shared" si="323"/>
        <v>101.66875</v>
      </c>
      <c r="R1350">
        <f t="shared" si="324"/>
        <v>16</v>
      </c>
      <c r="S1350" s="667">
        <f t="shared" si="325"/>
        <v>0.0297397769516729</v>
      </c>
    </row>
    <row r="1351" spans="1:19">
      <c r="A1351" s="1010">
        <v>45998</v>
      </c>
      <c r="B1351" s="670">
        <v>1734.36</v>
      </c>
      <c r="C1351" s="37">
        <v>6278</v>
      </c>
      <c r="D1351" s="37">
        <v>585</v>
      </c>
      <c r="E1351" s="37">
        <v>4</v>
      </c>
      <c r="F1351" s="670">
        <v>176524</v>
      </c>
      <c r="G1351" s="37">
        <v>20</v>
      </c>
      <c r="H1351" s="37">
        <v>3</v>
      </c>
      <c r="I1351" s="37">
        <v>2</v>
      </c>
      <c r="J1351" s="672">
        <f t="shared" si="316"/>
        <v>0.0931825422108952</v>
      </c>
      <c r="K1351" s="911">
        <f t="shared" si="317"/>
        <v>2.96471794871795</v>
      </c>
      <c r="L1351" s="671">
        <f t="shared" si="318"/>
        <v>101.780483867248</v>
      </c>
      <c r="M1351" s="672">
        <f t="shared" si="319"/>
        <v>0.00683760683760684</v>
      </c>
      <c r="N1351" s="670">
        <f t="shared" si="320"/>
        <v>44131</v>
      </c>
      <c r="O1351" s="670">
        <f t="shared" si="321"/>
        <v>433.59</v>
      </c>
      <c r="P1351" s="670">
        <f t="shared" si="322"/>
        <v>86.718</v>
      </c>
      <c r="Q1351" s="675">
        <f t="shared" si="323"/>
        <v>75.4069565217391</v>
      </c>
      <c r="R1351">
        <f t="shared" si="324"/>
        <v>23</v>
      </c>
      <c r="S1351" s="667">
        <f t="shared" si="325"/>
        <v>0.0393162393162393</v>
      </c>
    </row>
    <row r="1352" spans="1:19">
      <c r="A1352" s="1010">
        <v>45999</v>
      </c>
      <c r="B1352" s="670">
        <v>1730.83</v>
      </c>
      <c r="C1352" s="37">
        <v>6178</v>
      </c>
      <c r="D1352" s="37">
        <v>618</v>
      </c>
      <c r="E1352" s="37">
        <v>0</v>
      </c>
      <c r="F1352" s="670">
        <v>0</v>
      </c>
      <c r="G1352" s="37">
        <v>7</v>
      </c>
      <c r="H1352" s="37">
        <v>0</v>
      </c>
      <c r="I1352" s="37">
        <v>0</v>
      </c>
      <c r="J1352" s="672">
        <f t="shared" si="316"/>
        <v>0.100032372936225</v>
      </c>
      <c r="K1352" s="911">
        <f t="shared" si="317"/>
        <v>2.80069579288026</v>
      </c>
      <c r="L1352" s="671">
        <f t="shared" si="318"/>
        <v>0</v>
      </c>
      <c r="M1352" s="672">
        <f t="shared" si="319"/>
        <v>0</v>
      </c>
      <c r="N1352" s="670">
        <f t="shared" si="320"/>
        <v>0</v>
      </c>
      <c r="O1352" s="670">
        <f t="shared" si="321"/>
        <v>0</v>
      </c>
      <c r="P1352" s="670">
        <f t="shared" si="322"/>
        <v>247.261428571429</v>
      </c>
      <c r="Q1352" s="675">
        <f t="shared" si="323"/>
        <v>247.261428571429</v>
      </c>
      <c r="R1352">
        <f t="shared" si="324"/>
        <v>7</v>
      </c>
      <c r="S1352" s="667">
        <f t="shared" si="325"/>
        <v>0.0113268608414239</v>
      </c>
    </row>
    <row r="1353" spans="1:19">
      <c r="A1353" s="1010">
        <v>46000</v>
      </c>
      <c r="B1353" s="670">
        <v>2394.15</v>
      </c>
      <c r="C1353" s="37">
        <v>8605</v>
      </c>
      <c r="D1353" s="37">
        <v>689</v>
      </c>
      <c r="E1353" s="37">
        <v>0</v>
      </c>
      <c r="F1353" s="670">
        <v>0</v>
      </c>
      <c r="G1353" s="37">
        <v>16</v>
      </c>
      <c r="H1353" s="37">
        <v>2</v>
      </c>
      <c r="I1353" s="37">
        <v>1</v>
      </c>
      <c r="J1353" s="672">
        <f t="shared" si="316"/>
        <v>0.0800697269029634</v>
      </c>
      <c r="K1353" s="911">
        <f t="shared" si="317"/>
        <v>3.47481857764877</v>
      </c>
      <c r="L1353" s="671">
        <f t="shared" si="318"/>
        <v>0</v>
      </c>
      <c r="M1353" s="672">
        <f t="shared" si="319"/>
        <v>0</v>
      </c>
      <c r="N1353" s="670">
        <f t="shared" si="320"/>
        <v>0</v>
      </c>
      <c r="O1353" s="670">
        <f t="shared" si="321"/>
        <v>0</v>
      </c>
      <c r="P1353" s="670">
        <f t="shared" si="322"/>
        <v>149.634375</v>
      </c>
      <c r="Q1353" s="675">
        <f t="shared" si="323"/>
        <v>133.008333333333</v>
      </c>
      <c r="R1353">
        <f t="shared" si="324"/>
        <v>18</v>
      </c>
      <c r="S1353" s="667">
        <f t="shared" si="325"/>
        <v>0.0261248185776488</v>
      </c>
    </row>
    <row r="1354" spans="1:19">
      <c r="A1354" s="1010">
        <v>46001</v>
      </c>
      <c r="B1354" s="670">
        <v>2394.47</v>
      </c>
      <c r="C1354" s="37">
        <v>8101</v>
      </c>
      <c r="D1354" s="37">
        <v>742</v>
      </c>
      <c r="E1354" s="37">
        <v>1</v>
      </c>
      <c r="F1354" s="670">
        <v>10656</v>
      </c>
      <c r="G1354" s="37">
        <v>27</v>
      </c>
      <c r="H1354" s="37">
        <v>4</v>
      </c>
      <c r="I1354" s="37">
        <v>2</v>
      </c>
      <c r="J1354" s="672">
        <f t="shared" si="316"/>
        <v>0.091593630415998</v>
      </c>
      <c r="K1354" s="911">
        <f t="shared" si="317"/>
        <v>3.22704851752022</v>
      </c>
      <c r="L1354" s="671">
        <f t="shared" si="318"/>
        <v>4.45025412721813</v>
      </c>
      <c r="M1354" s="672">
        <f t="shared" si="319"/>
        <v>0.00134770889487871</v>
      </c>
      <c r="N1354" s="670">
        <f t="shared" si="320"/>
        <v>10656</v>
      </c>
      <c r="O1354" s="670">
        <f t="shared" si="321"/>
        <v>2394.47</v>
      </c>
      <c r="P1354" s="670">
        <f t="shared" si="322"/>
        <v>88.6840740740741</v>
      </c>
      <c r="Q1354" s="675">
        <f t="shared" si="323"/>
        <v>77.2409677419355</v>
      </c>
      <c r="R1354">
        <f t="shared" si="324"/>
        <v>31</v>
      </c>
      <c r="S1354" s="667">
        <f t="shared" si="325"/>
        <v>0.0417789757412399</v>
      </c>
    </row>
    <row r="1355" spans="1:19">
      <c r="A1355" s="1010">
        <v>46002</v>
      </c>
      <c r="B1355" s="670">
        <v>2403.22</v>
      </c>
      <c r="C1355" s="37">
        <v>8712</v>
      </c>
      <c r="D1355" s="37">
        <v>698</v>
      </c>
      <c r="E1355" s="37">
        <v>2</v>
      </c>
      <c r="F1355" s="670">
        <v>12092</v>
      </c>
      <c r="G1355" s="37">
        <v>29</v>
      </c>
      <c r="H1355" s="37">
        <v>5</v>
      </c>
      <c r="I1355" s="37">
        <v>4</v>
      </c>
      <c r="J1355" s="672">
        <f t="shared" si="316"/>
        <v>0.080119375573921</v>
      </c>
      <c r="K1355" s="911">
        <f t="shared" si="317"/>
        <v>3.44300859598854</v>
      </c>
      <c r="L1355" s="671">
        <f t="shared" si="318"/>
        <v>5.03158262664259</v>
      </c>
      <c r="M1355" s="672">
        <f t="shared" si="319"/>
        <v>0.00286532951289398</v>
      </c>
      <c r="N1355" s="670">
        <f t="shared" si="320"/>
        <v>6046</v>
      </c>
      <c r="O1355" s="670">
        <f t="shared" si="321"/>
        <v>1201.61</v>
      </c>
      <c r="P1355" s="670">
        <f t="shared" si="322"/>
        <v>82.8696551724138</v>
      </c>
      <c r="Q1355" s="675">
        <f t="shared" si="323"/>
        <v>70.6829411764706</v>
      </c>
      <c r="R1355">
        <f t="shared" si="324"/>
        <v>34</v>
      </c>
      <c r="S1355" s="667">
        <f t="shared" si="325"/>
        <v>0.0487106017191977</v>
      </c>
    </row>
    <row r="1356" spans="1:19">
      <c r="A1356" s="1010">
        <v>46003</v>
      </c>
      <c r="B1356" s="670">
        <v>2461.95</v>
      </c>
      <c r="C1356" s="37">
        <v>10767</v>
      </c>
      <c r="D1356" s="37">
        <v>733</v>
      </c>
      <c r="E1356" s="37">
        <v>0</v>
      </c>
      <c r="F1356" s="670">
        <v>0</v>
      </c>
      <c r="G1356" s="37">
        <v>20</v>
      </c>
      <c r="H1356" s="37">
        <v>1</v>
      </c>
      <c r="I1356" s="37">
        <v>2</v>
      </c>
      <c r="J1356" s="672">
        <f t="shared" si="316"/>
        <v>0.0680783876660165</v>
      </c>
      <c r="K1356" s="911">
        <f t="shared" si="317"/>
        <v>3.3587312414734</v>
      </c>
      <c r="L1356" s="671">
        <f t="shared" si="318"/>
        <v>0</v>
      </c>
      <c r="M1356" s="672">
        <f t="shared" si="319"/>
        <v>0</v>
      </c>
      <c r="N1356" s="670">
        <f t="shared" si="320"/>
        <v>0</v>
      </c>
      <c r="O1356" s="670">
        <f t="shared" si="321"/>
        <v>0</v>
      </c>
      <c r="P1356" s="670">
        <f t="shared" si="322"/>
        <v>123.0975</v>
      </c>
      <c r="Q1356" s="675">
        <f t="shared" si="323"/>
        <v>117.235714285714</v>
      </c>
      <c r="R1356">
        <f t="shared" si="324"/>
        <v>21</v>
      </c>
      <c r="S1356" s="667">
        <f t="shared" si="325"/>
        <v>0.0286493860845839</v>
      </c>
    </row>
    <row r="1357" spans="1:19">
      <c r="A1357" s="1010">
        <v>46004</v>
      </c>
      <c r="B1357" s="670">
        <v>2443.16</v>
      </c>
      <c r="C1357" s="37">
        <v>10444</v>
      </c>
      <c r="D1357" s="37">
        <v>733</v>
      </c>
      <c r="E1357" s="37">
        <v>0</v>
      </c>
      <c r="F1357" s="670">
        <v>0</v>
      </c>
      <c r="G1357" s="37">
        <v>18</v>
      </c>
      <c r="H1357" s="37">
        <v>2</v>
      </c>
      <c r="I1357" s="37">
        <v>0</v>
      </c>
      <c r="J1357" s="672">
        <f t="shared" si="316"/>
        <v>0.0701838376101111</v>
      </c>
      <c r="K1357" s="911">
        <f t="shared" si="317"/>
        <v>3.33309686221009</v>
      </c>
      <c r="L1357" s="671">
        <f t="shared" si="318"/>
        <v>0</v>
      </c>
      <c r="M1357" s="672">
        <f t="shared" si="319"/>
        <v>0</v>
      </c>
      <c r="N1357" s="670">
        <f t="shared" si="320"/>
        <v>0</v>
      </c>
      <c r="O1357" s="670">
        <f t="shared" si="321"/>
        <v>0</v>
      </c>
      <c r="P1357" s="670">
        <f t="shared" si="322"/>
        <v>135.731111111111</v>
      </c>
      <c r="Q1357" s="675">
        <f t="shared" si="323"/>
        <v>122.158</v>
      </c>
      <c r="R1357">
        <f t="shared" si="324"/>
        <v>20</v>
      </c>
      <c r="S1357" s="667">
        <f t="shared" si="325"/>
        <v>0.0272851296043656</v>
      </c>
    </row>
    <row r="1358" spans="1:19">
      <c r="A1358" s="1010">
        <v>46005</v>
      </c>
      <c r="B1358" s="670">
        <v>2127.98</v>
      </c>
      <c r="C1358" s="37">
        <v>9428</v>
      </c>
      <c r="D1358" s="37">
        <v>702</v>
      </c>
      <c r="E1358" s="37">
        <v>0</v>
      </c>
      <c r="F1358" s="670">
        <v>0</v>
      </c>
      <c r="G1358" s="37">
        <v>7</v>
      </c>
      <c r="H1358" s="37">
        <v>1</v>
      </c>
      <c r="I1358" s="37">
        <v>0</v>
      </c>
      <c r="J1358" s="672">
        <f t="shared" si="316"/>
        <v>0.0744590581247348</v>
      </c>
      <c r="K1358" s="911">
        <f t="shared" si="317"/>
        <v>3.03131054131054</v>
      </c>
      <c r="L1358" s="671">
        <f t="shared" si="318"/>
        <v>0</v>
      </c>
      <c r="M1358" s="672">
        <f t="shared" si="319"/>
        <v>0</v>
      </c>
      <c r="N1358" s="670">
        <f t="shared" si="320"/>
        <v>0</v>
      </c>
      <c r="O1358" s="670">
        <f t="shared" si="321"/>
        <v>0</v>
      </c>
      <c r="P1358" s="670">
        <f t="shared" si="322"/>
        <v>303.997142857143</v>
      </c>
      <c r="Q1358" s="675">
        <f t="shared" si="323"/>
        <v>265.9975</v>
      </c>
      <c r="R1358">
        <f t="shared" si="324"/>
        <v>8</v>
      </c>
      <c r="S1358" s="667">
        <f t="shared" si="325"/>
        <v>0.0113960113960114</v>
      </c>
    </row>
    <row r="1359" spans="1:19">
      <c r="A1359" s="1010">
        <v>46006</v>
      </c>
      <c r="B1359" s="670">
        <v>2023.6</v>
      </c>
      <c r="C1359" s="37">
        <v>8433</v>
      </c>
      <c r="D1359" s="37">
        <v>665</v>
      </c>
      <c r="E1359" s="37">
        <v>2</v>
      </c>
      <c r="F1359" s="670">
        <v>15914</v>
      </c>
      <c r="G1359" s="37">
        <v>25</v>
      </c>
      <c r="H1359" s="37">
        <v>2</v>
      </c>
      <c r="I1359" s="37">
        <v>4</v>
      </c>
      <c r="J1359" s="672">
        <f t="shared" si="316"/>
        <v>0.0788568718131151</v>
      </c>
      <c r="K1359" s="911">
        <f t="shared" si="317"/>
        <v>3.04300751879699</v>
      </c>
      <c r="L1359" s="671">
        <f t="shared" si="318"/>
        <v>7.86420241154378</v>
      </c>
      <c r="M1359" s="672">
        <f t="shared" si="319"/>
        <v>0.00300751879699248</v>
      </c>
      <c r="N1359" s="670">
        <f t="shared" si="320"/>
        <v>7957</v>
      </c>
      <c r="O1359" s="670">
        <f t="shared" si="321"/>
        <v>1011.8</v>
      </c>
      <c r="P1359" s="670">
        <f t="shared" si="322"/>
        <v>80.944</v>
      </c>
      <c r="Q1359" s="675">
        <f t="shared" si="323"/>
        <v>74.9481481481481</v>
      </c>
      <c r="R1359">
        <f t="shared" si="324"/>
        <v>27</v>
      </c>
      <c r="S1359" s="667">
        <f t="shared" si="325"/>
        <v>0.0406015037593985</v>
      </c>
    </row>
    <row r="1360" spans="1:19">
      <c r="A1360" s="1010">
        <v>46007</v>
      </c>
      <c r="B1360" s="670">
        <v>1407.23</v>
      </c>
      <c r="C1360" s="37">
        <v>5805</v>
      </c>
      <c r="D1360" s="37">
        <v>557</v>
      </c>
      <c r="E1360" s="37">
        <v>2</v>
      </c>
      <c r="F1360" s="670">
        <v>30181</v>
      </c>
      <c r="G1360" s="37">
        <v>34</v>
      </c>
      <c r="H1360" s="37">
        <v>1</v>
      </c>
      <c r="I1360" s="37">
        <v>2</v>
      </c>
      <c r="J1360" s="672">
        <f t="shared" si="316"/>
        <v>0.0959517657192076</v>
      </c>
      <c r="K1360" s="911">
        <f t="shared" si="317"/>
        <v>2.52644524236984</v>
      </c>
      <c r="L1360" s="671">
        <f t="shared" si="318"/>
        <v>21.4470982000099</v>
      </c>
      <c r="M1360" s="672">
        <f t="shared" si="319"/>
        <v>0.00359066427289048</v>
      </c>
      <c r="N1360" s="670">
        <f t="shared" si="320"/>
        <v>15090.5</v>
      </c>
      <c r="O1360" s="670">
        <f t="shared" si="321"/>
        <v>703.615</v>
      </c>
      <c r="P1360" s="670">
        <f t="shared" si="322"/>
        <v>41.3891176470588</v>
      </c>
      <c r="Q1360" s="675">
        <f t="shared" si="323"/>
        <v>40.2065714285714</v>
      </c>
      <c r="R1360">
        <f t="shared" si="324"/>
        <v>35</v>
      </c>
      <c r="S1360" s="667">
        <f t="shared" si="325"/>
        <v>0.0628366247755835</v>
      </c>
    </row>
    <row r="1361" spans="1:19">
      <c r="A1361" s="1010">
        <v>46008</v>
      </c>
      <c r="B1361" s="670">
        <v>1144.77</v>
      </c>
      <c r="C1361" s="37">
        <v>5869</v>
      </c>
      <c r="D1361" s="37">
        <v>438</v>
      </c>
      <c r="E1361" s="37">
        <v>0</v>
      </c>
      <c r="F1361" s="670">
        <v>0</v>
      </c>
      <c r="G1361" s="37">
        <v>27</v>
      </c>
      <c r="H1361" s="37">
        <v>2</v>
      </c>
      <c r="I1361" s="37">
        <v>0</v>
      </c>
      <c r="J1361" s="672">
        <f t="shared" si="316"/>
        <v>0.0746294087578804</v>
      </c>
      <c r="K1361" s="911">
        <f t="shared" si="317"/>
        <v>2.6136301369863</v>
      </c>
      <c r="L1361" s="671">
        <f t="shared" si="318"/>
        <v>0</v>
      </c>
      <c r="M1361" s="672">
        <f t="shared" si="319"/>
        <v>0</v>
      </c>
      <c r="N1361" s="670">
        <f t="shared" si="320"/>
        <v>0</v>
      </c>
      <c r="O1361" s="670">
        <f t="shared" si="321"/>
        <v>0</v>
      </c>
      <c r="P1361" s="670">
        <f t="shared" si="322"/>
        <v>42.3988888888889</v>
      </c>
      <c r="Q1361" s="675">
        <f t="shared" si="323"/>
        <v>39.4748275862069</v>
      </c>
      <c r="R1361">
        <f t="shared" si="324"/>
        <v>29</v>
      </c>
      <c r="S1361" s="667">
        <f t="shared" si="325"/>
        <v>0.0662100456621005</v>
      </c>
    </row>
    <row r="1362" spans="1:19">
      <c r="A1362" s="1010">
        <v>46009</v>
      </c>
      <c r="B1362" s="670">
        <v>1365.1</v>
      </c>
      <c r="C1362" s="37">
        <v>5772</v>
      </c>
      <c r="D1362" s="37">
        <v>475</v>
      </c>
      <c r="E1362" s="37">
        <v>2</v>
      </c>
      <c r="F1362" s="670">
        <v>22592</v>
      </c>
      <c r="G1362" s="37">
        <v>30</v>
      </c>
      <c r="H1362" s="37">
        <v>1</v>
      </c>
      <c r="I1362" s="37">
        <v>1</v>
      </c>
      <c r="J1362" s="672">
        <f t="shared" si="316"/>
        <v>0.0822938322938323</v>
      </c>
      <c r="K1362" s="911">
        <f t="shared" si="317"/>
        <v>2.8738947368421</v>
      </c>
      <c r="L1362" s="671">
        <f t="shared" si="318"/>
        <v>16.5497033184382</v>
      </c>
      <c r="M1362" s="672">
        <f t="shared" si="319"/>
        <v>0.00421052631578947</v>
      </c>
      <c r="N1362" s="670">
        <f t="shared" si="320"/>
        <v>11296</v>
      </c>
      <c r="O1362" s="670">
        <f t="shared" si="321"/>
        <v>682.55</v>
      </c>
      <c r="P1362" s="670">
        <f t="shared" si="322"/>
        <v>45.5033333333333</v>
      </c>
      <c r="Q1362" s="675">
        <f t="shared" si="323"/>
        <v>44.0354838709677</v>
      </c>
      <c r="R1362">
        <f t="shared" si="324"/>
        <v>31</v>
      </c>
      <c r="S1362" s="667">
        <f t="shared" si="325"/>
        <v>0.0652631578947368</v>
      </c>
    </row>
    <row r="1363" spans="1:19">
      <c r="A1363" s="1010">
        <v>46010</v>
      </c>
      <c r="B1363" s="670">
        <v>2080.06</v>
      </c>
      <c r="C1363" s="37">
        <v>7570</v>
      </c>
      <c r="D1363" s="37">
        <v>629</v>
      </c>
      <c r="E1363" s="37">
        <v>3</v>
      </c>
      <c r="F1363" s="670">
        <v>17206</v>
      </c>
      <c r="G1363" s="37">
        <v>20</v>
      </c>
      <c r="H1363" s="37">
        <v>2</v>
      </c>
      <c r="I1363" s="37">
        <v>2</v>
      </c>
      <c r="J1363" s="672">
        <f t="shared" si="316"/>
        <v>0.0830911492734478</v>
      </c>
      <c r="K1363" s="911">
        <f t="shared" si="317"/>
        <v>3.30693163751987</v>
      </c>
      <c r="L1363" s="671">
        <f t="shared" si="318"/>
        <v>8.2718767727854</v>
      </c>
      <c r="M1363" s="672">
        <f t="shared" si="319"/>
        <v>0.00476947535771065</v>
      </c>
      <c r="N1363" s="670">
        <f t="shared" si="320"/>
        <v>5735.33333333333</v>
      </c>
      <c r="O1363" s="670">
        <f t="shared" si="321"/>
        <v>693.353333333333</v>
      </c>
      <c r="P1363" s="670">
        <f t="shared" si="322"/>
        <v>104.003</v>
      </c>
      <c r="Q1363" s="675">
        <f t="shared" si="323"/>
        <v>94.5481818181818</v>
      </c>
      <c r="R1363">
        <f t="shared" si="324"/>
        <v>22</v>
      </c>
      <c r="S1363" s="667">
        <f t="shared" si="325"/>
        <v>0.0349761526232114</v>
      </c>
    </row>
    <row r="1364" spans="1:19">
      <c r="A1364" s="1010">
        <v>46011</v>
      </c>
      <c r="B1364" s="670">
        <v>2021.02</v>
      </c>
      <c r="C1364" s="37">
        <v>9276</v>
      </c>
      <c r="D1364" s="37">
        <v>647</v>
      </c>
      <c r="E1364" s="37">
        <v>4</v>
      </c>
      <c r="F1364" s="670">
        <v>35604</v>
      </c>
      <c r="G1364" s="37">
        <v>24</v>
      </c>
      <c r="H1364" s="37">
        <v>4</v>
      </c>
      <c r="I1364" s="37">
        <v>3</v>
      </c>
      <c r="J1364" s="672">
        <f t="shared" si="316"/>
        <v>0.0697498921949116</v>
      </c>
      <c r="K1364" s="911">
        <f t="shared" si="317"/>
        <v>3.12367851622875</v>
      </c>
      <c r="L1364" s="671">
        <f t="shared" si="318"/>
        <v>17.6168469386745</v>
      </c>
      <c r="M1364" s="672">
        <f t="shared" si="319"/>
        <v>0.00618238021638331</v>
      </c>
      <c r="N1364" s="670">
        <f t="shared" si="320"/>
        <v>8901</v>
      </c>
      <c r="O1364" s="670">
        <f t="shared" si="321"/>
        <v>505.255</v>
      </c>
      <c r="P1364" s="670">
        <f t="shared" si="322"/>
        <v>84.2091666666667</v>
      </c>
      <c r="Q1364" s="675">
        <f t="shared" si="323"/>
        <v>72.1792857142857</v>
      </c>
      <c r="R1364">
        <f t="shared" si="324"/>
        <v>28</v>
      </c>
      <c r="S1364" s="667">
        <f t="shared" si="325"/>
        <v>0.0432766615146832</v>
      </c>
    </row>
    <row r="1365" spans="1:19">
      <c r="A1365" s="1010">
        <v>46012</v>
      </c>
      <c r="B1365" s="670">
        <v>2113.63</v>
      </c>
      <c r="C1365" s="37">
        <v>8383</v>
      </c>
      <c r="D1365" s="37">
        <v>595</v>
      </c>
      <c r="E1365" s="37">
        <v>1</v>
      </c>
      <c r="F1365" s="670">
        <v>20654</v>
      </c>
      <c r="G1365" s="37">
        <v>26</v>
      </c>
      <c r="H1365" s="37">
        <v>1</v>
      </c>
      <c r="I1365" s="37">
        <v>2</v>
      </c>
      <c r="J1365" s="672">
        <f t="shared" si="316"/>
        <v>0.0709769772157939</v>
      </c>
      <c r="K1365" s="911">
        <f t="shared" si="317"/>
        <v>3.55231932773109</v>
      </c>
      <c r="L1365" s="671">
        <f t="shared" si="318"/>
        <v>9.77181436675293</v>
      </c>
      <c r="M1365" s="672">
        <f t="shared" si="319"/>
        <v>0.00168067226890756</v>
      </c>
      <c r="N1365" s="670">
        <f t="shared" si="320"/>
        <v>20654</v>
      </c>
      <c r="O1365" s="670">
        <f t="shared" si="321"/>
        <v>2113.63</v>
      </c>
      <c r="P1365" s="670">
        <f t="shared" si="322"/>
        <v>81.2934615384615</v>
      </c>
      <c r="Q1365" s="675">
        <f t="shared" si="323"/>
        <v>78.2825925925926</v>
      </c>
      <c r="R1365">
        <f t="shared" si="324"/>
        <v>27</v>
      </c>
      <c r="S1365" s="667">
        <f t="shared" si="325"/>
        <v>0.0453781512605042</v>
      </c>
    </row>
    <row r="1366" spans="1:19">
      <c r="A1366" s="1010">
        <v>46013</v>
      </c>
      <c r="B1366" s="670">
        <v>1850.74</v>
      </c>
      <c r="C1366" s="37">
        <v>5696</v>
      </c>
      <c r="D1366" s="37">
        <v>483</v>
      </c>
      <c r="E1366" s="37">
        <v>1</v>
      </c>
      <c r="F1366" s="670">
        <v>20814</v>
      </c>
      <c r="G1366" s="37">
        <v>20</v>
      </c>
      <c r="H1366" s="37">
        <v>0</v>
      </c>
      <c r="I1366" s="37">
        <v>0</v>
      </c>
      <c r="J1366" s="672">
        <f t="shared" si="316"/>
        <v>0.0847963483146067</v>
      </c>
      <c r="K1366" s="911">
        <f t="shared" si="317"/>
        <v>3.83175983436853</v>
      </c>
      <c r="L1366" s="671">
        <f t="shared" si="318"/>
        <v>11.2463122858965</v>
      </c>
      <c r="M1366" s="672">
        <f t="shared" si="319"/>
        <v>0.0020703933747412</v>
      </c>
      <c r="N1366" s="670">
        <f t="shared" si="320"/>
        <v>20814</v>
      </c>
      <c r="O1366" s="670">
        <f t="shared" si="321"/>
        <v>1850.74</v>
      </c>
      <c r="P1366" s="670">
        <f t="shared" si="322"/>
        <v>92.537</v>
      </c>
      <c r="Q1366" s="675">
        <f t="shared" si="323"/>
        <v>92.537</v>
      </c>
      <c r="R1366">
        <f t="shared" si="324"/>
        <v>20</v>
      </c>
      <c r="S1366" s="667">
        <f t="shared" si="325"/>
        <v>0.041407867494824</v>
      </c>
    </row>
    <row r="1367" spans="1:19">
      <c r="A1367" s="1010">
        <v>46014</v>
      </c>
      <c r="B1367" s="670">
        <v>2053.67</v>
      </c>
      <c r="C1367" s="37">
        <v>6984</v>
      </c>
      <c r="D1367" s="37">
        <v>562</v>
      </c>
      <c r="E1367" s="37">
        <v>0</v>
      </c>
      <c r="F1367" s="670">
        <v>0</v>
      </c>
      <c r="G1367" s="37">
        <v>23</v>
      </c>
      <c r="H1367" s="37">
        <v>2</v>
      </c>
      <c r="I1367" s="37">
        <v>1</v>
      </c>
      <c r="J1367" s="672">
        <f t="shared" si="316"/>
        <v>0.0804696449026346</v>
      </c>
      <c r="K1367" s="911">
        <f t="shared" si="317"/>
        <v>3.65421708185053</v>
      </c>
      <c r="L1367" s="671">
        <f t="shared" si="318"/>
        <v>0</v>
      </c>
      <c r="M1367" s="672">
        <f t="shared" si="319"/>
        <v>0</v>
      </c>
      <c r="N1367" s="670">
        <f t="shared" si="320"/>
        <v>0</v>
      </c>
      <c r="O1367" s="670">
        <f t="shared" si="321"/>
        <v>0</v>
      </c>
      <c r="P1367" s="670">
        <f t="shared" si="322"/>
        <v>89.29</v>
      </c>
      <c r="Q1367" s="675">
        <f t="shared" si="323"/>
        <v>82.1468</v>
      </c>
      <c r="R1367">
        <f t="shared" si="324"/>
        <v>25</v>
      </c>
      <c r="S1367" s="667">
        <f t="shared" si="325"/>
        <v>0.0444839857651246</v>
      </c>
    </row>
    <row r="1368" spans="1:19">
      <c r="A1368" s="1010">
        <v>46015</v>
      </c>
      <c r="B1368" s="670">
        <v>2088.23</v>
      </c>
      <c r="C1368" s="37">
        <v>8010</v>
      </c>
      <c r="D1368" s="37">
        <v>603</v>
      </c>
      <c r="E1368" s="37">
        <v>0</v>
      </c>
      <c r="F1368" s="670">
        <v>0</v>
      </c>
      <c r="G1368" s="37">
        <v>22</v>
      </c>
      <c r="H1368" s="37">
        <v>3</v>
      </c>
      <c r="I1368" s="37">
        <v>0</v>
      </c>
      <c r="J1368" s="672">
        <f t="shared" si="316"/>
        <v>0.0752808988764045</v>
      </c>
      <c r="K1368" s="911">
        <f t="shared" si="317"/>
        <v>3.4630679933665</v>
      </c>
      <c r="L1368" s="671">
        <f t="shared" si="318"/>
        <v>0</v>
      </c>
      <c r="M1368" s="672">
        <f t="shared" si="319"/>
        <v>0</v>
      </c>
      <c r="N1368" s="670">
        <f t="shared" si="320"/>
        <v>0</v>
      </c>
      <c r="O1368" s="670">
        <f t="shared" si="321"/>
        <v>0</v>
      </c>
      <c r="P1368" s="670">
        <f t="shared" si="322"/>
        <v>94.9195454545455</v>
      </c>
      <c r="Q1368" s="675">
        <f t="shared" si="323"/>
        <v>83.5292</v>
      </c>
      <c r="R1368">
        <f t="shared" si="324"/>
        <v>25</v>
      </c>
      <c r="S1368" s="667">
        <f t="shared" si="325"/>
        <v>0.0414593698175788</v>
      </c>
    </row>
    <row r="1369" spans="1:19">
      <c r="A1369" s="1010">
        <v>46016</v>
      </c>
      <c r="B1369" s="670">
        <v>2044.04</v>
      </c>
      <c r="C1369" s="37">
        <v>9675</v>
      </c>
      <c r="D1369" s="37">
        <v>600</v>
      </c>
      <c r="E1369" s="37">
        <v>0</v>
      </c>
      <c r="F1369" s="670">
        <v>0</v>
      </c>
      <c r="G1369" s="37">
        <v>15</v>
      </c>
      <c r="H1369" s="37">
        <v>1</v>
      </c>
      <c r="I1369" s="37">
        <v>0</v>
      </c>
      <c r="J1369" s="672">
        <f t="shared" si="316"/>
        <v>0.062015503875969</v>
      </c>
      <c r="K1369" s="911">
        <f t="shared" si="317"/>
        <v>3.40673333333333</v>
      </c>
      <c r="L1369" s="671">
        <f t="shared" si="318"/>
        <v>0</v>
      </c>
      <c r="M1369" s="672">
        <f t="shared" si="319"/>
        <v>0</v>
      </c>
      <c r="N1369" s="670">
        <f t="shared" si="320"/>
        <v>0</v>
      </c>
      <c r="O1369" s="670">
        <f t="shared" si="321"/>
        <v>0</v>
      </c>
      <c r="P1369" s="670">
        <f t="shared" si="322"/>
        <v>136.269333333333</v>
      </c>
      <c r="Q1369" s="675">
        <f t="shared" si="323"/>
        <v>127.7525</v>
      </c>
      <c r="R1369">
        <f t="shared" si="324"/>
        <v>16</v>
      </c>
      <c r="S1369" s="667">
        <f t="shared" si="325"/>
        <v>0.0266666666666667</v>
      </c>
    </row>
    <row r="1370" spans="1:19">
      <c r="A1370" s="1010">
        <v>46017</v>
      </c>
      <c r="B1370" s="670">
        <v>1760.83</v>
      </c>
      <c r="C1370" s="37">
        <v>10875</v>
      </c>
      <c r="D1370" s="37">
        <v>566</v>
      </c>
      <c r="E1370" s="37">
        <v>0</v>
      </c>
      <c r="F1370" s="670">
        <v>0</v>
      </c>
      <c r="G1370" s="37">
        <v>19</v>
      </c>
      <c r="H1370" s="37">
        <v>4</v>
      </c>
      <c r="I1370" s="37">
        <v>0</v>
      </c>
      <c r="J1370" s="672">
        <f t="shared" si="316"/>
        <v>0.0520459770114943</v>
      </c>
      <c r="K1370" s="911">
        <f t="shared" si="317"/>
        <v>3.11100706713781</v>
      </c>
      <c r="L1370" s="671">
        <f t="shared" si="318"/>
        <v>0</v>
      </c>
      <c r="M1370" s="672">
        <f t="shared" si="319"/>
        <v>0</v>
      </c>
      <c r="N1370" s="670">
        <f t="shared" si="320"/>
        <v>0</v>
      </c>
      <c r="O1370" s="670">
        <f t="shared" si="321"/>
        <v>0</v>
      </c>
      <c r="P1370" s="670">
        <f t="shared" si="322"/>
        <v>92.6752631578947</v>
      </c>
      <c r="Q1370" s="675">
        <f t="shared" si="323"/>
        <v>76.5578260869565</v>
      </c>
      <c r="R1370">
        <f t="shared" si="324"/>
        <v>23</v>
      </c>
      <c r="S1370" s="667">
        <f t="shared" si="325"/>
        <v>0.0406360424028269</v>
      </c>
    </row>
    <row r="1371" spans="1:19">
      <c r="A1371" s="1010">
        <v>46018</v>
      </c>
      <c r="B1371" s="670">
        <v>1733.37</v>
      </c>
      <c r="C1371" s="37">
        <v>11999</v>
      </c>
      <c r="D1371" s="37">
        <v>566</v>
      </c>
      <c r="E1371" s="37">
        <v>0</v>
      </c>
      <c r="F1371" s="670">
        <v>0</v>
      </c>
      <c r="G1371" s="37">
        <v>14</v>
      </c>
      <c r="H1371" s="37">
        <v>5</v>
      </c>
      <c r="I1371" s="37">
        <v>0</v>
      </c>
      <c r="J1371" s="672">
        <f t="shared" si="316"/>
        <v>0.0471705975497958</v>
      </c>
      <c r="K1371" s="911">
        <f t="shared" si="317"/>
        <v>3.06249116607774</v>
      </c>
      <c r="L1371" s="671">
        <f t="shared" si="318"/>
        <v>0</v>
      </c>
      <c r="M1371" s="672">
        <f t="shared" si="319"/>
        <v>0</v>
      </c>
      <c r="N1371" s="670">
        <f t="shared" si="320"/>
        <v>0</v>
      </c>
      <c r="O1371" s="670">
        <f t="shared" si="321"/>
        <v>0</v>
      </c>
      <c r="P1371" s="670">
        <f t="shared" si="322"/>
        <v>123.812142857143</v>
      </c>
      <c r="Q1371" s="675">
        <f t="shared" si="323"/>
        <v>91.23</v>
      </c>
      <c r="R1371">
        <f t="shared" si="324"/>
        <v>19</v>
      </c>
      <c r="S1371" s="667">
        <f t="shared" si="325"/>
        <v>0.0335689045936396</v>
      </c>
    </row>
    <row r="1372" spans="1:19">
      <c r="A1372" s="1010">
        <v>46019</v>
      </c>
      <c r="B1372" s="670">
        <v>1727.99</v>
      </c>
      <c r="C1372" s="37">
        <v>10014</v>
      </c>
      <c r="D1372" s="37">
        <v>521</v>
      </c>
      <c r="E1372" s="37">
        <v>0</v>
      </c>
      <c r="F1372" s="670">
        <v>0</v>
      </c>
      <c r="G1372" s="37">
        <v>17</v>
      </c>
      <c r="H1372" s="37">
        <v>3</v>
      </c>
      <c r="I1372" s="37">
        <v>0</v>
      </c>
      <c r="J1372" s="672">
        <f t="shared" si="316"/>
        <v>0.0520271619732375</v>
      </c>
      <c r="K1372" s="911">
        <f t="shared" si="317"/>
        <v>3.31667946257198</v>
      </c>
      <c r="L1372" s="671">
        <f t="shared" si="318"/>
        <v>0</v>
      </c>
      <c r="M1372" s="672">
        <f t="shared" si="319"/>
        <v>0</v>
      </c>
      <c r="N1372" s="670">
        <f t="shared" si="320"/>
        <v>0</v>
      </c>
      <c r="O1372" s="670">
        <f t="shared" si="321"/>
        <v>0</v>
      </c>
      <c r="P1372" s="670">
        <f t="shared" si="322"/>
        <v>101.646470588235</v>
      </c>
      <c r="Q1372" s="675">
        <f t="shared" si="323"/>
        <v>86.3995</v>
      </c>
      <c r="R1372">
        <f t="shared" si="324"/>
        <v>20</v>
      </c>
      <c r="S1372" s="667">
        <f t="shared" si="325"/>
        <v>0.0383877159309021</v>
      </c>
    </row>
    <row r="1373" spans="1:19">
      <c r="A1373" s="1010">
        <v>46020</v>
      </c>
      <c r="B1373" s="670">
        <v>1989.61</v>
      </c>
      <c r="C1373" s="37">
        <v>12855</v>
      </c>
      <c r="D1373" s="37">
        <v>625</v>
      </c>
      <c r="E1373" s="37">
        <v>3</v>
      </c>
      <c r="F1373" s="670">
        <v>46092</v>
      </c>
      <c r="G1373" s="37">
        <v>33</v>
      </c>
      <c r="H1373" s="37">
        <v>3</v>
      </c>
      <c r="I1373" s="37">
        <v>0</v>
      </c>
      <c r="J1373" s="672">
        <f t="shared" si="316"/>
        <v>0.0486192143134967</v>
      </c>
      <c r="K1373" s="911">
        <f t="shared" si="317"/>
        <v>3.183376</v>
      </c>
      <c r="L1373" s="671">
        <f t="shared" si="318"/>
        <v>23.1663491840109</v>
      </c>
      <c r="M1373" s="672">
        <f t="shared" si="319"/>
        <v>0.0048</v>
      </c>
      <c r="N1373" s="670">
        <f t="shared" si="320"/>
        <v>15364</v>
      </c>
      <c r="O1373" s="670">
        <f t="shared" si="321"/>
        <v>663.203333333333</v>
      </c>
      <c r="P1373" s="670">
        <f t="shared" si="322"/>
        <v>60.2912121212121</v>
      </c>
      <c r="Q1373" s="675">
        <f t="shared" si="323"/>
        <v>55.2669444444444</v>
      </c>
      <c r="R1373">
        <f t="shared" si="324"/>
        <v>36</v>
      </c>
      <c r="S1373" s="667">
        <f t="shared" si="325"/>
        <v>0.0576</v>
      </c>
    </row>
    <row r="1374" spans="1:19">
      <c r="A1374" s="1010">
        <v>46021</v>
      </c>
      <c r="B1374" s="670">
        <v>2050.44</v>
      </c>
      <c r="C1374" s="37">
        <v>18061</v>
      </c>
      <c r="D1374" s="37">
        <v>769</v>
      </c>
      <c r="E1374" s="37">
        <v>0</v>
      </c>
      <c r="F1374" s="670">
        <v>0</v>
      </c>
      <c r="G1374" s="37">
        <v>28</v>
      </c>
      <c r="H1374" s="37">
        <v>1</v>
      </c>
      <c r="I1374" s="37">
        <v>3</v>
      </c>
      <c r="J1374" s="672">
        <f t="shared" si="316"/>
        <v>0.0425779303471569</v>
      </c>
      <c r="K1374" s="911">
        <f t="shared" si="317"/>
        <v>2.66637191157347</v>
      </c>
      <c r="L1374" s="671">
        <f t="shared" si="318"/>
        <v>0</v>
      </c>
      <c r="M1374" s="672">
        <f t="shared" si="319"/>
        <v>0</v>
      </c>
      <c r="N1374" s="670">
        <f t="shared" si="320"/>
        <v>0</v>
      </c>
      <c r="O1374" s="670">
        <f t="shared" si="321"/>
        <v>0</v>
      </c>
      <c r="P1374" s="670">
        <f t="shared" si="322"/>
        <v>73.23</v>
      </c>
      <c r="Q1374" s="675">
        <f t="shared" si="323"/>
        <v>70.7048275862069</v>
      </c>
      <c r="R1374">
        <f t="shared" si="324"/>
        <v>29</v>
      </c>
      <c r="S1374" s="667">
        <f t="shared" si="325"/>
        <v>0.0377113133940182</v>
      </c>
    </row>
    <row r="1375" spans="1:19">
      <c r="A1375" s="1010">
        <v>46022</v>
      </c>
      <c r="B1375" s="670">
        <v>2164.12</v>
      </c>
      <c r="C1375" s="37">
        <v>21970</v>
      </c>
      <c r="D1375" s="37">
        <v>788</v>
      </c>
      <c r="E1375" s="37">
        <v>0</v>
      </c>
      <c r="F1375" s="670">
        <v>0</v>
      </c>
      <c r="G1375" s="37">
        <v>29</v>
      </c>
      <c r="H1375" s="37">
        <v>1</v>
      </c>
      <c r="I1375" s="37">
        <v>1</v>
      </c>
      <c r="J1375" s="672">
        <f t="shared" si="316"/>
        <v>0.0358670914883933</v>
      </c>
      <c r="K1375" s="911">
        <f t="shared" si="317"/>
        <v>2.74634517766497</v>
      </c>
      <c r="L1375" s="671">
        <f t="shared" si="318"/>
        <v>0</v>
      </c>
      <c r="M1375" s="672">
        <f t="shared" si="319"/>
        <v>0</v>
      </c>
      <c r="N1375" s="670">
        <f t="shared" si="320"/>
        <v>0</v>
      </c>
      <c r="O1375" s="670">
        <f t="shared" si="321"/>
        <v>0</v>
      </c>
      <c r="P1375" s="670">
        <f t="shared" si="322"/>
        <v>74.6248275862069</v>
      </c>
      <c r="Q1375" s="675">
        <f t="shared" si="323"/>
        <v>72.1373333333333</v>
      </c>
      <c r="R1375">
        <f t="shared" si="324"/>
        <v>30</v>
      </c>
      <c r="S1375" s="667">
        <f t="shared" si="325"/>
        <v>0.0380710659898477</v>
      </c>
    </row>
    <row r="1376" spans="1:19">
      <c r="A1376" s="1010">
        <v>46023</v>
      </c>
      <c r="B1376" s="670">
        <v>2412.05</v>
      </c>
      <c r="C1376" s="37">
        <v>23012</v>
      </c>
      <c r="D1376" s="37">
        <v>834</v>
      </c>
      <c r="E1376" s="37">
        <v>0</v>
      </c>
      <c r="F1376" s="670">
        <v>0</v>
      </c>
      <c r="G1376" s="37">
        <v>22</v>
      </c>
      <c r="H1376" s="37">
        <v>6</v>
      </c>
      <c r="I1376" s="37">
        <v>2</v>
      </c>
      <c r="J1376" s="672">
        <f t="shared" si="316"/>
        <v>0.0362419607161481</v>
      </c>
      <c r="K1376" s="911">
        <f t="shared" si="317"/>
        <v>2.89214628297362</v>
      </c>
      <c r="L1376" s="671">
        <f t="shared" si="318"/>
        <v>0</v>
      </c>
      <c r="M1376" s="672">
        <f t="shared" si="319"/>
        <v>0</v>
      </c>
      <c r="N1376" s="670">
        <f t="shared" si="320"/>
        <v>0</v>
      </c>
      <c r="O1376" s="670">
        <f t="shared" si="321"/>
        <v>0</v>
      </c>
      <c r="P1376" s="670">
        <f t="shared" si="322"/>
        <v>109.638636363636</v>
      </c>
      <c r="Q1376" s="675">
        <f t="shared" si="323"/>
        <v>86.1446428571429</v>
      </c>
      <c r="R1376">
        <f t="shared" si="324"/>
        <v>28</v>
      </c>
      <c r="S1376" s="667">
        <f t="shared" si="325"/>
        <v>0.0335731414868106</v>
      </c>
    </row>
    <row r="1377" spans="1:19">
      <c r="A1377" s="1010">
        <v>46024</v>
      </c>
      <c r="B1377" s="670">
        <v>2601.84</v>
      </c>
      <c r="C1377" s="37">
        <v>18222</v>
      </c>
      <c r="D1377" s="37">
        <v>787</v>
      </c>
      <c r="E1377" s="37">
        <v>3</v>
      </c>
      <c r="F1377" s="670">
        <v>38386</v>
      </c>
      <c r="G1377" s="37">
        <v>23</v>
      </c>
      <c r="H1377" s="37">
        <v>4</v>
      </c>
      <c r="I1377" s="37">
        <v>2</v>
      </c>
      <c r="J1377" s="672">
        <f t="shared" si="316"/>
        <v>0.0431895510920865</v>
      </c>
      <c r="K1377" s="911">
        <f t="shared" si="317"/>
        <v>3.30602287166455</v>
      </c>
      <c r="L1377" s="671">
        <f t="shared" si="318"/>
        <v>14.7534052824155</v>
      </c>
      <c r="M1377" s="672">
        <f t="shared" si="319"/>
        <v>0.00381194409148666</v>
      </c>
      <c r="N1377" s="670">
        <f t="shared" si="320"/>
        <v>12795.3333333333</v>
      </c>
      <c r="O1377" s="670">
        <f t="shared" si="321"/>
        <v>867.28</v>
      </c>
      <c r="P1377" s="670">
        <f t="shared" si="322"/>
        <v>113.12347826087</v>
      </c>
      <c r="Q1377" s="675">
        <f t="shared" si="323"/>
        <v>96.3644444444444</v>
      </c>
      <c r="R1377">
        <f t="shared" si="324"/>
        <v>27</v>
      </c>
      <c r="S1377" s="667">
        <f t="shared" si="325"/>
        <v>0.0343074968233799</v>
      </c>
    </row>
    <row r="1378" spans="1:19">
      <c r="A1378" s="1010">
        <v>46025</v>
      </c>
      <c r="B1378" s="670">
        <v>2638.47</v>
      </c>
      <c r="C1378" s="37">
        <v>16382</v>
      </c>
      <c r="D1378" s="37">
        <v>858</v>
      </c>
      <c r="E1378" s="37">
        <v>3</v>
      </c>
      <c r="F1378" s="670">
        <v>60156</v>
      </c>
      <c r="G1378" s="37">
        <v>34</v>
      </c>
      <c r="H1378" s="37">
        <v>1</v>
      </c>
      <c r="I1378" s="37">
        <v>2</v>
      </c>
      <c r="J1378" s="672">
        <f t="shared" si="316"/>
        <v>0.0523745574410939</v>
      </c>
      <c r="K1378" s="911">
        <f t="shared" si="317"/>
        <v>3.07513986013986</v>
      </c>
      <c r="L1378" s="671">
        <f t="shared" si="318"/>
        <v>22.7995770275955</v>
      </c>
      <c r="M1378" s="672">
        <f t="shared" si="319"/>
        <v>0.0034965034965035</v>
      </c>
      <c r="N1378" s="670">
        <f t="shared" si="320"/>
        <v>20052</v>
      </c>
      <c r="O1378" s="670">
        <f t="shared" si="321"/>
        <v>879.49</v>
      </c>
      <c r="P1378" s="670">
        <f t="shared" si="322"/>
        <v>77.6020588235294</v>
      </c>
      <c r="Q1378" s="675">
        <f t="shared" si="323"/>
        <v>75.3848571428571</v>
      </c>
      <c r="R1378">
        <f t="shared" si="324"/>
        <v>35</v>
      </c>
      <c r="S1378" s="667">
        <f t="shared" si="325"/>
        <v>0.0407925407925408</v>
      </c>
    </row>
    <row r="1379" spans="1:19">
      <c r="A1379" s="1010">
        <v>46026</v>
      </c>
      <c r="B1379" s="670">
        <v>2632.01</v>
      </c>
      <c r="C1379" s="37">
        <v>15662</v>
      </c>
      <c r="D1379" s="37">
        <v>1053</v>
      </c>
      <c r="E1379" s="37">
        <v>2</v>
      </c>
      <c r="F1379" s="670">
        <v>32868</v>
      </c>
      <c r="G1379" s="37">
        <v>39</v>
      </c>
      <c r="H1379" s="37">
        <v>4</v>
      </c>
      <c r="I1379" s="37">
        <v>2</v>
      </c>
      <c r="J1379" s="672">
        <f t="shared" si="316"/>
        <v>0.0672327927467756</v>
      </c>
      <c r="K1379" s="911">
        <f t="shared" si="317"/>
        <v>2.499534662868</v>
      </c>
      <c r="L1379" s="671">
        <f t="shared" si="318"/>
        <v>12.487794499261</v>
      </c>
      <c r="M1379" s="672">
        <f t="shared" si="319"/>
        <v>0.00189933523266857</v>
      </c>
      <c r="N1379" s="670">
        <f t="shared" si="320"/>
        <v>16434</v>
      </c>
      <c r="O1379" s="670">
        <f t="shared" si="321"/>
        <v>1316.005</v>
      </c>
      <c r="P1379" s="670">
        <f t="shared" si="322"/>
        <v>67.4874358974359</v>
      </c>
      <c r="Q1379" s="675">
        <f t="shared" si="323"/>
        <v>61.2095348837209</v>
      </c>
      <c r="R1379">
        <f t="shared" si="324"/>
        <v>43</v>
      </c>
      <c r="S1379" s="667">
        <f t="shared" si="325"/>
        <v>0.0408357075023742</v>
      </c>
    </row>
    <row r="1380" spans="1:19">
      <c r="A1380" s="1010">
        <v>46027</v>
      </c>
      <c r="B1380" s="670">
        <v>2636.07</v>
      </c>
      <c r="C1380" s="37">
        <v>15482</v>
      </c>
      <c r="D1380" s="37">
        <v>825</v>
      </c>
      <c r="E1380" s="37">
        <v>0</v>
      </c>
      <c r="F1380" s="670">
        <v>0</v>
      </c>
      <c r="G1380" s="37">
        <v>33</v>
      </c>
      <c r="H1380" s="37">
        <v>2</v>
      </c>
      <c r="I1380" s="37">
        <v>2</v>
      </c>
      <c r="J1380" s="672">
        <f t="shared" si="316"/>
        <v>0.0532876889290789</v>
      </c>
      <c r="K1380" s="911">
        <f t="shared" si="317"/>
        <v>3.19523636363636</v>
      </c>
      <c r="L1380" s="671">
        <f t="shared" si="318"/>
        <v>0</v>
      </c>
      <c r="M1380" s="672">
        <f t="shared" si="319"/>
        <v>0</v>
      </c>
      <c r="N1380" s="670">
        <f t="shared" si="320"/>
        <v>0</v>
      </c>
      <c r="O1380" s="670">
        <f t="shared" si="321"/>
        <v>0</v>
      </c>
      <c r="P1380" s="670">
        <f t="shared" si="322"/>
        <v>79.8809090909091</v>
      </c>
      <c r="Q1380" s="675">
        <f t="shared" si="323"/>
        <v>75.3162857142857</v>
      </c>
      <c r="R1380">
        <f t="shared" si="324"/>
        <v>35</v>
      </c>
      <c r="S1380" s="667">
        <f t="shared" si="325"/>
        <v>0.0424242424242424</v>
      </c>
    </row>
    <row r="1381" spans="1:19">
      <c r="A1381" s="1010">
        <v>46028</v>
      </c>
      <c r="B1381" s="670">
        <v>2000.97</v>
      </c>
      <c r="C1381" s="37">
        <v>8948</v>
      </c>
      <c r="D1381" s="37">
        <v>550</v>
      </c>
      <c r="E1381" s="37">
        <v>1</v>
      </c>
      <c r="F1381" s="670">
        <v>6130</v>
      </c>
      <c r="G1381" s="37">
        <v>19</v>
      </c>
      <c r="H1381" s="37">
        <v>6</v>
      </c>
      <c r="I1381" s="37">
        <v>1</v>
      </c>
      <c r="J1381" s="672">
        <f t="shared" si="316"/>
        <v>0.0614662494412159</v>
      </c>
      <c r="K1381" s="911">
        <f t="shared" si="317"/>
        <v>3.63812727272727</v>
      </c>
      <c r="L1381" s="671">
        <f t="shared" si="318"/>
        <v>3.06351419561513</v>
      </c>
      <c r="M1381" s="672">
        <f t="shared" si="319"/>
        <v>0.00181818181818182</v>
      </c>
      <c r="N1381" s="670">
        <f t="shared" si="320"/>
        <v>6130</v>
      </c>
      <c r="O1381" s="670">
        <f t="shared" si="321"/>
        <v>2000.97</v>
      </c>
      <c r="P1381" s="670">
        <f t="shared" si="322"/>
        <v>105.314210526316</v>
      </c>
      <c r="Q1381" s="675">
        <f t="shared" si="323"/>
        <v>80.0388</v>
      </c>
      <c r="R1381">
        <f t="shared" si="324"/>
        <v>25</v>
      </c>
      <c r="S1381" s="667">
        <f t="shared" si="325"/>
        <v>0.0454545454545455</v>
      </c>
    </row>
    <row r="1382" spans="1:19">
      <c r="A1382" s="1010">
        <v>46029</v>
      </c>
      <c r="B1382" s="670">
        <v>2000.16</v>
      </c>
      <c r="C1382" s="37">
        <v>2216</v>
      </c>
      <c r="D1382" s="37">
        <v>335</v>
      </c>
      <c r="E1382" s="37">
        <v>1</v>
      </c>
      <c r="F1382" s="670">
        <v>12284</v>
      </c>
      <c r="G1382" s="37">
        <v>22</v>
      </c>
      <c r="H1382" s="37">
        <v>2</v>
      </c>
      <c r="I1382" s="37">
        <v>1</v>
      </c>
      <c r="J1382" s="672">
        <f t="shared" si="316"/>
        <v>0.151173285198556</v>
      </c>
      <c r="K1382" s="911">
        <f t="shared" si="317"/>
        <v>5.97062686567164</v>
      </c>
      <c r="L1382" s="671">
        <f t="shared" si="318"/>
        <v>6.14150867930566</v>
      </c>
      <c r="M1382" s="672">
        <f t="shared" si="319"/>
        <v>0.00298507462686567</v>
      </c>
      <c r="N1382" s="670">
        <f t="shared" si="320"/>
        <v>12284</v>
      </c>
      <c r="O1382" s="670">
        <f t="shared" si="321"/>
        <v>2000.16</v>
      </c>
      <c r="P1382" s="670">
        <f t="shared" si="322"/>
        <v>90.9163636363636</v>
      </c>
      <c r="Q1382" s="675">
        <f t="shared" si="323"/>
        <v>83.34</v>
      </c>
      <c r="R1382">
        <f t="shared" si="324"/>
        <v>24</v>
      </c>
      <c r="S1382" s="667">
        <f t="shared" si="325"/>
        <v>0.0716417910447761</v>
      </c>
    </row>
    <row r="1383" spans="1:19">
      <c r="A1383" s="1010">
        <v>46030</v>
      </c>
      <c r="B1383" s="670">
        <v>2016.12</v>
      </c>
      <c r="C1383" s="37">
        <v>3006</v>
      </c>
      <c r="D1383" s="37">
        <v>332</v>
      </c>
      <c r="E1383" s="37">
        <v>0</v>
      </c>
      <c r="F1383" s="670">
        <v>0</v>
      </c>
      <c r="G1383" s="37">
        <v>20</v>
      </c>
      <c r="H1383" s="37">
        <v>3</v>
      </c>
      <c r="I1383" s="37">
        <v>2</v>
      </c>
      <c r="J1383" s="672">
        <f t="shared" si="316"/>
        <v>0.110445775116434</v>
      </c>
      <c r="K1383" s="911">
        <f t="shared" si="317"/>
        <v>6.07265060240964</v>
      </c>
      <c r="L1383" s="671">
        <f t="shared" si="318"/>
        <v>0</v>
      </c>
      <c r="M1383" s="672">
        <f t="shared" si="319"/>
        <v>0</v>
      </c>
      <c r="N1383" s="670">
        <f t="shared" si="320"/>
        <v>0</v>
      </c>
      <c r="O1383" s="670">
        <f t="shared" si="321"/>
        <v>0</v>
      </c>
      <c r="P1383" s="670">
        <f t="shared" si="322"/>
        <v>100.806</v>
      </c>
      <c r="Q1383" s="675">
        <f t="shared" si="323"/>
        <v>87.6573913043478</v>
      </c>
      <c r="R1383">
        <f t="shared" si="324"/>
        <v>23</v>
      </c>
      <c r="S1383" s="667">
        <f t="shared" si="325"/>
        <v>0.0692771084337349</v>
      </c>
    </row>
    <row r="1384" spans="1:19">
      <c r="A1384" s="1010">
        <v>46031</v>
      </c>
      <c r="B1384" s="670">
        <v>1979.29</v>
      </c>
      <c r="C1384" s="37">
        <v>4620</v>
      </c>
      <c r="D1384" s="37">
        <v>358</v>
      </c>
      <c r="E1384" s="37">
        <v>1</v>
      </c>
      <c r="F1384" s="670">
        <v>10304</v>
      </c>
      <c r="G1384" s="37">
        <v>28</v>
      </c>
      <c r="H1384" s="37">
        <v>4</v>
      </c>
      <c r="I1384" s="37">
        <v>1</v>
      </c>
      <c r="J1384" s="672">
        <f t="shared" si="316"/>
        <v>0.0774891774891775</v>
      </c>
      <c r="K1384" s="911">
        <f t="shared" si="317"/>
        <v>5.52874301675978</v>
      </c>
      <c r="L1384" s="671">
        <f t="shared" si="318"/>
        <v>5.20590716873222</v>
      </c>
      <c r="M1384" s="672">
        <f t="shared" si="319"/>
        <v>0.00279329608938547</v>
      </c>
      <c r="N1384" s="670">
        <f t="shared" si="320"/>
        <v>10304</v>
      </c>
      <c r="O1384" s="670">
        <f t="shared" si="321"/>
        <v>1979.29</v>
      </c>
      <c r="P1384" s="670">
        <f t="shared" si="322"/>
        <v>70.6889285714286</v>
      </c>
      <c r="Q1384" s="675">
        <f t="shared" si="323"/>
        <v>61.8528125</v>
      </c>
      <c r="R1384">
        <f t="shared" si="324"/>
        <v>32</v>
      </c>
      <c r="S1384" s="667">
        <f t="shared" si="325"/>
        <v>0.0893854748603352</v>
      </c>
    </row>
    <row r="1385" spans="1:19">
      <c r="A1385" s="1010">
        <v>46032</v>
      </c>
      <c r="B1385" s="670">
        <v>2008.57</v>
      </c>
      <c r="C1385" s="37">
        <v>2877</v>
      </c>
      <c r="D1385" s="37">
        <v>316</v>
      </c>
      <c r="E1385" s="37">
        <v>0</v>
      </c>
      <c r="F1385" s="670">
        <v>0</v>
      </c>
      <c r="G1385" s="37">
        <v>22</v>
      </c>
      <c r="H1385" s="37">
        <v>2</v>
      </c>
      <c r="I1385" s="37">
        <v>0</v>
      </c>
      <c r="J1385" s="672">
        <f t="shared" si="316"/>
        <v>0.109836635384081</v>
      </c>
      <c r="K1385" s="911">
        <f t="shared" si="317"/>
        <v>6.35623417721519</v>
      </c>
      <c r="L1385" s="671">
        <f t="shared" si="318"/>
        <v>0</v>
      </c>
      <c r="M1385" s="672">
        <f t="shared" si="319"/>
        <v>0</v>
      </c>
      <c r="N1385" s="670">
        <f t="shared" si="320"/>
        <v>0</v>
      </c>
      <c r="O1385" s="670">
        <f t="shared" si="321"/>
        <v>0</v>
      </c>
      <c r="P1385" s="670">
        <f t="shared" si="322"/>
        <v>91.2986363636364</v>
      </c>
      <c r="Q1385" s="675">
        <f t="shared" si="323"/>
        <v>83.6904166666667</v>
      </c>
      <c r="R1385">
        <f t="shared" si="324"/>
        <v>24</v>
      </c>
      <c r="S1385" s="667">
        <f t="shared" si="325"/>
        <v>0.0759493670886076</v>
      </c>
    </row>
    <row r="1386" spans="1:19">
      <c r="A1386" s="1010">
        <v>46033</v>
      </c>
      <c r="B1386" s="670">
        <v>2026.72</v>
      </c>
      <c r="C1386" s="37">
        <v>2026.72</v>
      </c>
      <c r="D1386" s="37">
        <v>372</v>
      </c>
      <c r="E1386" s="37">
        <v>1</v>
      </c>
      <c r="F1386" s="670">
        <v>31970</v>
      </c>
      <c r="G1386" s="37">
        <v>20</v>
      </c>
      <c r="H1386" s="37">
        <v>1</v>
      </c>
      <c r="I1386" s="37">
        <v>3</v>
      </c>
      <c r="J1386" s="672">
        <f t="shared" si="316"/>
        <v>0.183547801373648</v>
      </c>
      <c r="K1386" s="911">
        <f t="shared" si="317"/>
        <v>5.44817204301075</v>
      </c>
      <c r="L1386" s="671">
        <f t="shared" si="318"/>
        <v>15.7742559406331</v>
      </c>
      <c r="M1386" s="672">
        <f t="shared" si="319"/>
        <v>0.00268817204301075</v>
      </c>
      <c r="N1386" s="670">
        <f t="shared" si="320"/>
        <v>31970</v>
      </c>
      <c r="O1386" s="670">
        <f t="shared" si="321"/>
        <v>2026.72</v>
      </c>
      <c r="P1386" s="670">
        <f t="shared" si="322"/>
        <v>101.336</v>
      </c>
      <c r="Q1386" s="675">
        <f t="shared" si="323"/>
        <v>96.5104761904762</v>
      </c>
      <c r="R1386">
        <f t="shared" si="324"/>
        <v>21</v>
      </c>
      <c r="S1386" s="667">
        <f t="shared" si="325"/>
        <v>0.0564516129032258</v>
      </c>
    </row>
    <row r="1387" spans="1:19">
      <c r="A1387" s="1010">
        <v>46034</v>
      </c>
      <c r="B1387" s="670">
        <v>2003.3</v>
      </c>
      <c r="C1387" s="37">
        <v>2283</v>
      </c>
      <c r="D1387" s="37">
        <v>371</v>
      </c>
      <c r="E1387" s="37">
        <v>0</v>
      </c>
      <c r="F1387" s="670">
        <v>0</v>
      </c>
      <c r="G1387" s="37">
        <v>18</v>
      </c>
      <c r="H1387" s="37">
        <v>2</v>
      </c>
      <c r="I1387" s="37">
        <v>1</v>
      </c>
      <c r="J1387" s="672">
        <f t="shared" si="316"/>
        <v>0.162505475251862</v>
      </c>
      <c r="K1387" s="911">
        <f t="shared" si="317"/>
        <v>5.39973045822102</v>
      </c>
      <c r="L1387" s="671">
        <f t="shared" si="318"/>
        <v>0</v>
      </c>
      <c r="M1387" s="672">
        <f t="shared" si="319"/>
        <v>0</v>
      </c>
      <c r="N1387" s="670">
        <f t="shared" si="320"/>
        <v>0</v>
      </c>
      <c r="O1387" s="670">
        <f t="shared" si="321"/>
        <v>0</v>
      </c>
      <c r="P1387" s="670">
        <f t="shared" si="322"/>
        <v>111.294444444444</v>
      </c>
      <c r="Q1387" s="675">
        <f t="shared" si="323"/>
        <v>100.165</v>
      </c>
      <c r="R1387">
        <f t="shared" si="324"/>
        <v>20</v>
      </c>
      <c r="S1387" s="667">
        <f t="shared" si="325"/>
        <v>0.0539083557951483</v>
      </c>
    </row>
    <row r="1388" spans="1:19">
      <c r="A1388" s="1010">
        <v>46035</v>
      </c>
      <c r="B1388" s="670">
        <v>1991.36</v>
      </c>
      <c r="C1388" s="37">
        <v>3515</v>
      </c>
      <c r="D1388" s="37">
        <v>405</v>
      </c>
      <c r="E1388" s="37">
        <v>2</v>
      </c>
      <c r="F1388" s="670">
        <v>71311</v>
      </c>
      <c r="G1388" s="37">
        <v>36</v>
      </c>
      <c r="H1388" s="37">
        <v>4</v>
      </c>
      <c r="I1388" s="37">
        <v>0</v>
      </c>
      <c r="J1388" s="672">
        <f t="shared" si="316"/>
        <v>0.115220483641536</v>
      </c>
      <c r="K1388" s="911">
        <f t="shared" si="317"/>
        <v>4.91693827160494</v>
      </c>
      <c r="L1388" s="671">
        <f t="shared" si="318"/>
        <v>35.8102000642777</v>
      </c>
      <c r="M1388" s="672">
        <f t="shared" si="319"/>
        <v>0.00493827160493827</v>
      </c>
      <c r="N1388" s="670">
        <f t="shared" si="320"/>
        <v>35655.5</v>
      </c>
      <c r="O1388" s="670">
        <f t="shared" si="321"/>
        <v>995.68</v>
      </c>
      <c r="P1388" s="670">
        <f t="shared" si="322"/>
        <v>55.3155555555556</v>
      </c>
      <c r="Q1388" s="675">
        <f t="shared" si="323"/>
        <v>49.784</v>
      </c>
      <c r="R1388">
        <f t="shared" si="324"/>
        <v>40</v>
      </c>
      <c r="S1388" s="667">
        <f t="shared" si="325"/>
        <v>0.0987654320987654</v>
      </c>
    </row>
    <row r="1389" spans="1:19">
      <c r="A1389" s="1010">
        <v>46036</v>
      </c>
      <c r="B1389" s="670">
        <v>1966.4</v>
      </c>
      <c r="C1389" s="37">
        <v>3351</v>
      </c>
      <c r="D1389" s="37">
        <v>396</v>
      </c>
      <c r="E1389" s="37">
        <v>0</v>
      </c>
      <c r="F1389" s="670">
        <v>0</v>
      </c>
      <c r="G1389" s="37">
        <v>21</v>
      </c>
      <c r="H1389" s="37">
        <v>3</v>
      </c>
      <c r="I1389" s="37">
        <v>1</v>
      </c>
      <c r="J1389" s="672">
        <f t="shared" si="316"/>
        <v>0.118173679498657</v>
      </c>
      <c r="K1389" s="911">
        <f t="shared" si="317"/>
        <v>4.96565656565657</v>
      </c>
      <c r="L1389" s="671">
        <f t="shared" si="318"/>
        <v>0</v>
      </c>
      <c r="M1389" s="672">
        <f t="shared" si="319"/>
        <v>0</v>
      </c>
      <c r="N1389" s="670">
        <f t="shared" si="320"/>
        <v>0</v>
      </c>
      <c r="O1389" s="670">
        <f t="shared" si="321"/>
        <v>0</v>
      </c>
      <c r="P1389" s="670">
        <f t="shared" si="322"/>
        <v>93.6380952380952</v>
      </c>
      <c r="Q1389" s="675">
        <f t="shared" si="323"/>
        <v>81.9333333333333</v>
      </c>
      <c r="R1389">
        <f t="shared" si="324"/>
        <v>24</v>
      </c>
      <c r="S1389" s="667">
        <f t="shared" si="325"/>
        <v>0.0606060606060606</v>
      </c>
    </row>
    <row r="1390" spans="1:19">
      <c r="A1390" s="1010">
        <v>46037</v>
      </c>
      <c r="B1390" s="670">
        <v>1776.21</v>
      </c>
      <c r="C1390" s="37">
        <v>3017</v>
      </c>
      <c r="D1390" s="38">
        <v>356</v>
      </c>
      <c r="E1390" s="37">
        <v>0</v>
      </c>
      <c r="F1390" s="670">
        <v>0</v>
      </c>
      <c r="G1390" s="37">
        <v>13</v>
      </c>
      <c r="H1390" s="37">
        <v>2</v>
      </c>
      <c r="I1390" s="37">
        <v>1</v>
      </c>
      <c r="J1390" s="672">
        <f t="shared" si="316"/>
        <v>0.117998011269473</v>
      </c>
      <c r="K1390" s="911">
        <f t="shared" si="317"/>
        <v>4.98935393258427</v>
      </c>
      <c r="L1390" s="671">
        <f t="shared" si="318"/>
        <v>0</v>
      </c>
      <c r="M1390" s="672">
        <f t="shared" si="319"/>
        <v>0</v>
      </c>
      <c r="N1390" s="670">
        <f t="shared" si="320"/>
        <v>0</v>
      </c>
      <c r="O1390" s="670">
        <f t="shared" si="321"/>
        <v>0</v>
      </c>
      <c r="P1390" s="670">
        <f t="shared" si="322"/>
        <v>136.631538461538</v>
      </c>
      <c r="Q1390" s="675">
        <f t="shared" si="323"/>
        <v>118.414</v>
      </c>
      <c r="R1390">
        <f t="shared" si="324"/>
        <v>15</v>
      </c>
      <c r="S1390" s="667">
        <f t="shared" si="325"/>
        <v>0.0421348314606742</v>
      </c>
    </row>
    <row r="1391" spans="1:19">
      <c r="A1391" s="1010">
        <v>46038</v>
      </c>
      <c r="B1391" s="670">
        <v>1741.49</v>
      </c>
      <c r="C1391" s="37">
        <v>3014</v>
      </c>
      <c r="D1391" s="37">
        <v>368</v>
      </c>
      <c r="E1391" s="37">
        <v>0</v>
      </c>
      <c r="F1391" s="670">
        <v>0</v>
      </c>
      <c r="G1391" s="37">
        <v>18</v>
      </c>
      <c r="H1391" s="37">
        <v>0</v>
      </c>
      <c r="I1391" s="37">
        <v>1</v>
      </c>
      <c r="J1391" s="672">
        <f t="shared" si="316"/>
        <v>0.122096881220969</v>
      </c>
      <c r="K1391" s="911">
        <f t="shared" si="317"/>
        <v>4.7323097826087</v>
      </c>
      <c r="L1391" s="671">
        <f t="shared" si="318"/>
        <v>0</v>
      </c>
      <c r="M1391" s="672">
        <f t="shared" si="319"/>
        <v>0</v>
      </c>
      <c r="N1391" s="670">
        <f t="shared" si="320"/>
        <v>0</v>
      </c>
      <c r="O1391" s="670">
        <f t="shared" si="321"/>
        <v>0</v>
      </c>
      <c r="P1391" s="670">
        <f t="shared" si="322"/>
        <v>96.7494444444444</v>
      </c>
      <c r="Q1391" s="675">
        <f t="shared" si="323"/>
        <v>96.7494444444444</v>
      </c>
      <c r="R1391">
        <f t="shared" si="324"/>
        <v>18</v>
      </c>
      <c r="S1391" s="667">
        <f t="shared" si="325"/>
        <v>0.0489130434782609</v>
      </c>
    </row>
    <row r="1392" spans="1:19">
      <c r="A1392" s="1010">
        <v>46039</v>
      </c>
      <c r="B1392" s="670">
        <v>2101.26</v>
      </c>
      <c r="C1392" s="37">
        <v>3470</v>
      </c>
      <c r="D1392" s="37">
        <v>420</v>
      </c>
      <c r="E1392" s="37">
        <v>1</v>
      </c>
      <c r="F1392" s="670">
        <v>3217</v>
      </c>
      <c r="G1392" s="37">
        <v>17</v>
      </c>
      <c r="H1392" s="37">
        <v>2</v>
      </c>
      <c r="I1392" s="37">
        <v>1</v>
      </c>
      <c r="J1392" s="672">
        <f t="shared" si="316"/>
        <v>0.121037463976945</v>
      </c>
      <c r="K1392" s="911">
        <f t="shared" si="317"/>
        <v>5.003</v>
      </c>
      <c r="L1392" s="671">
        <f t="shared" si="318"/>
        <v>1.53098617020264</v>
      </c>
      <c r="M1392" s="672">
        <f t="shared" si="319"/>
        <v>0.00238095238095238</v>
      </c>
      <c r="N1392" s="670">
        <f t="shared" si="320"/>
        <v>3217</v>
      </c>
      <c r="O1392" s="670">
        <f t="shared" si="321"/>
        <v>2101.26</v>
      </c>
      <c r="P1392" s="670">
        <f t="shared" si="322"/>
        <v>123.603529411765</v>
      </c>
      <c r="Q1392" s="675">
        <f t="shared" si="323"/>
        <v>110.592631578947</v>
      </c>
      <c r="R1392">
        <f t="shared" si="324"/>
        <v>19</v>
      </c>
      <c r="S1392" s="667">
        <f t="shared" si="325"/>
        <v>0.0452380952380952</v>
      </c>
    </row>
    <row r="1393" spans="1:19">
      <c r="A1393" s="1010">
        <v>46040</v>
      </c>
      <c r="B1393" s="670">
        <v>1920.89</v>
      </c>
      <c r="C1393" s="37">
        <v>3325</v>
      </c>
      <c r="D1393" s="37">
        <v>447</v>
      </c>
      <c r="E1393" s="37">
        <v>4</v>
      </c>
      <c r="F1393" s="670">
        <v>39300</v>
      </c>
      <c r="G1393" s="37">
        <v>19</v>
      </c>
      <c r="H1393" s="37">
        <v>2</v>
      </c>
      <c r="I1393" s="37">
        <v>0</v>
      </c>
      <c r="J1393" s="672">
        <f t="shared" si="316"/>
        <v>0.134436090225564</v>
      </c>
      <c r="K1393" s="911">
        <f t="shared" si="317"/>
        <v>4.29729306487696</v>
      </c>
      <c r="L1393" s="671">
        <f t="shared" si="318"/>
        <v>20.4592662776109</v>
      </c>
      <c r="M1393" s="672">
        <f t="shared" si="319"/>
        <v>0.00894854586129754</v>
      </c>
      <c r="N1393" s="670">
        <f t="shared" si="320"/>
        <v>9825</v>
      </c>
      <c r="O1393" s="670">
        <f t="shared" si="321"/>
        <v>480.2225</v>
      </c>
      <c r="P1393" s="670">
        <f t="shared" si="322"/>
        <v>101.099473684211</v>
      </c>
      <c r="Q1393" s="675">
        <f t="shared" si="323"/>
        <v>91.4709523809524</v>
      </c>
      <c r="R1393">
        <f t="shared" si="324"/>
        <v>21</v>
      </c>
      <c r="S1393" s="667">
        <f t="shared" si="325"/>
        <v>0.0469798657718121</v>
      </c>
    </row>
    <row r="1394" spans="1:19">
      <c r="A1394" s="1010">
        <v>46041</v>
      </c>
      <c r="B1394" s="670">
        <v>2011.04</v>
      </c>
      <c r="C1394" s="37">
        <v>3539</v>
      </c>
      <c r="D1394" s="37">
        <v>402</v>
      </c>
      <c r="E1394" s="37">
        <v>1</v>
      </c>
      <c r="F1394" s="670">
        <v>9996</v>
      </c>
      <c r="G1394" s="37">
        <v>17</v>
      </c>
      <c r="H1394" s="37">
        <v>1</v>
      </c>
      <c r="I1394" s="37">
        <v>3</v>
      </c>
      <c r="J1394" s="672">
        <f t="shared" si="316"/>
        <v>0.113591410002826</v>
      </c>
      <c r="K1394" s="911">
        <f t="shared" si="317"/>
        <v>5.00258706467662</v>
      </c>
      <c r="L1394" s="671">
        <f t="shared" si="318"/>
        <v>4.97056249502745</v>
      </c>
      <c r="M1394" s="672">
        <f t="shared" si="319"/>
        <v>0.00248756218905473</v>
      </c>
      <c r="N1394" s="670">
        <f t="shared" si="320"/>
        <v>9996</v>
      </c>
      <c r="O1394" s="670">
        <f t="shared" si="321"/>
        <v>2011.04</v>
      </c>
      <c r="P1394" s="670">
        <f t="shared" si="322"/>
        <v>118.296470588235</v>
      </c>
      <c r="Q1394" s="675">
        <f t="shared" si="323"/>
        <v>111.724444444444</v>
      </c>
      <c r="R1394">
        <f t="shared" si="324"/>
        <v>18</v>
      </c>
      <c r="S1394" s="667">
        <f t="shared" si="325"/>
        <v>0.0447761194029851</v>
      </c>
    </row>
    <row r="1395" spans="1:19">
      <c r="A1395" s="1010">
        <v>46042</v>
      </c>
      <c r="B1395" s="670">
        <v>2346.99</v>
      </c>
      <c r="C1395" s="37">
        <v>5165</v>
      </c>
      <c r="D1395" s="37">
        <v>538</v>
      </c>
      <c r="E1395" s="37">
        <v>0</v>
      </c>
      <c r="F1395" s="670">
        <v>0</v>
      </c>
      <c r="G1395" s="37">
        <v>29</v>
      </c>
      <c r="H1395" s="37">
        <v>8</v>
      </c>
      <c r="I1395" s="37">
        <v>1</v>
      </c>
      <c r="J1395" s="672">
        <f t="shared" si="316"/>
        <v>0.104162633107454</v>
      </c>
      <c r="K1395" s="911">
        <f t="shared" si="317"/>
        <v>4.36243494423792</v>
      </c>
      <c r="L1395" s="671">
        <f t="shared" si="318"/>
        <v>0</v>
      </c>
      <c r="M1395" s="672">
        <f t="shared" si="319"/>
        <v>0</v>
      </c>
      <c r="N1395" s="670">
        <f t="shared" si="320"/>
        <v>0</v>
      </c>
      <c r="O1395" s="670">
        <f t="shared" si="321"/>
        <v>0</v>
      </c>
      <c r="P1395" s="670">
        <f t="shared" si="322"/>
        <v>80.9306896551724</v>
      </c>
      <c r="Q1395" s="675">
        <f t="shared" si="323"/>
        <v>63.4321621621622</v>
      </c>
      <c r="R1395">
        <f t="shared" si="324"/>
        <v>37</v>
      </c>
      <c r="S1395" s="667">
        <f t="shared" si="325"/>
        <v>0.0687732342007435</v>
      </c>
    </row>
    <row r="1396" spans="1:19">
      <c r="A1396" s="1010">
        <v>46043</v>
      </c>
      <c r="B1396" s="670">
        <v>2418.76</v>
      </c>
      <c r="C1396" s="37">
        <v>4970</v>
      </c>
      <c r="D1396" s="37">
        <v>569</v>
      </c>
      <c r="E1396" s="37">
        <v>0</v>
      </c>
      <c r="F1396" s="670">
        <v>0</v>
      </c>
      <c r="G1396" s="37">
        <v>35</v>
      </c>
      <c r="H1396" s="37">
        <v>4</v>
      </c>
      <c r="I1396" s="37">
        <v>0</v>
      </c>
      <c r="J1396" s="672">
        <f t="shared" si="316"/>
        <v>0.114486921529175</v>
      </c>
      <c r="K1396" s="911">
        <f t="shared" si="317"/>
        <v>4.25089630931459</v>
      </c>
      <c r="L1396" s="671">
        <f t="shared" si="318"/>
        <v>0</v>
      </c>
      <c r="M1396" s="672">
        <f t="shared" si="319"/>
        <v>0</v>
      </c>
      <c r="N1396" s="670">
        <f t="shared" si="320"/>
        <v>0</v>
      </c>
      <c r="O1396" s="670">
        <f t="shared" si="321"/>
        <v>0</v>
      </c>
      <c r="P1396" s="670">
        <f t="shared" si="322"/>
        <v>69.1074285714286</v>
      </c>
      <c r="Q1396" s="675">
        <f t="shared" si="323"/>
        <v>62.0194871794872</v>
      </c>
      <c r="R1396">
        <f t="shared" si="324"/>
        <v>39</v>
      </c>
      <c r="S1396" s="667">
        <f t="shared" si="325"/>
        <v>0.0685413005272408</v>
      </c>
    </row>
    <row r="1397" spans="1:19">
      <c r="A1397" s="1010">
        <v>46044</v>
      </c>
      <c r="B1397" s="670">
        <v>2595.62</v>
      </c>
      <c r="C1397" s="37">
        <v>4390</v>
      </c>
      <c r="D1397" s="37">
        <v>526</v>
      </c>
      <c r="E1397" s="37">
        <v>1</v>
      </c>
      <c r="F1397" s="670">
        <v>16122</v>
      </c>
      <c r="G1397" s="37">
        <v>20</v>
      </c>
      <c r="H1397" s="37">
        <v>5</v>
      </c>
      <c r="I1397" s="37">
        <v>3</v>
      </c>
      <c r="J1397" s="672">
        <f t="shared" si="316"/>
        <v>0.119817767653759</v>
      </c>
      <c r="K1397" s="911">
        <f t="shared" si="317"/>
        <v>4.93463878326996</v>
      </c>
      <c r="L1397" s="671">
        <f t="shared" si="318"/>
        <v>6.2112327690494</v>
      </c>
      <c r="M1397" s="672">
        <f t="shared" si="319"/>
        <v>0.00190114068441065</v>
      </c>
      <c r="N1397" s="670">
        <f t="shared" si="320"/>
        <v>16122</v>
      </c>
      <c r="O1397" s="670">
        <f t="shared" si="321"/>
        <v>2595.62</v>
      </c>
      <c r="P1397" s="670">
        <f t="shared" si="322"/>
        <v>129.781</v>
      </c>
      <c r="Q1397" s="675">
        <f t="shared" si="323"/>
        <v>103.8248</v>
      </c>
      <c r="R1397">
        <f t="shared" si="324"/>
        <v>25</v>
      </c>
      <c r="S1397" s="667">
        <f t="shared" si="325"/>
        <v>0.0475285171102662</v>
      </c>
    </row>
    <row r="1398" spans="1:19">
      <c r="A1398" s="1010">
        <v>46045</v>
      </c>
      <c r="B1398" s="670">
        <v>2547.76</v>
      </c>
      <c r="C1398" s="37">
        <v>3516</v>
      </c>
      <c r="D1398" s="37">
        <v>568</v>
      </c>
      <c r="E1398" s="37">
        <v>0</v>
      </c>
      <c r="F1398" s="670">
        <v>0</v>
      </c>
      <c r="G1398" s="37">
        <v>34</v>
      </c>
      <c r="H1398" s="37">
        <v>1</v>
      </c>
      <c r="I1398" s="37">
        <v>2</v>
      </c>
      <c r="J1398" s="672">
        <f t="shared" si="316"/>
        <v>0.161547212741752</v>
      </c>
      <c r="K1398" s="911">
        <f t="shared" si="317"/>
        <v>4.48549295774648</v>
      </c>
      <c r="L1398" s="671">
        <f t="shared" si="318"/>
        <v>0</v>
      </c>
      <c r="M1398" s="672">
        <f t="shared" si="319"/>
        <v>0</v>
      </c>
      <c r="N1398" s="670">
        <f t="shared" si="320"/>
        <v>0</v>
      </c>
      <c r="O1398" s="670">
        <f t="shared" si="321"/>
        <v>0</v>
      </c>
      <c r="P1398" s="670">
        <f t="shared" si="322"/>
        <v>74.9341176470588</v>
      </c>
      <c r="Q1398" s="675">
        <f t="shared" si="323"/>
        <v>72.7931428571429</v>
      </c>
      <c r="R1398">
        <f t="shared" si="324"/>
        <v>35</v>
      </c>
      <c r="S1398" s="667">
        <f t="shared" si="325"/>
        <v>0.0616197183098592</v>
      </c>
    </row>
    <row r="1399" spans="1:19">
      <c r="A1399" s="1010">
        <v>46046</v>
      </c>
      <c r="B1399" s="670">
        <v>2554.81</v>
      </c>
      <c r="C1399" s="37">
        <v>4000</v>
      </c>
      <c r="D1399" s="37">
        <v>535</v>
      </c>
      <c r="E1399" s="37">
        <v>0</v>
      </c>
      <c r="F1399" s="670">
        <v>0</v>
      </c>
      <c r="G1399" s="37">
        <v>32</v>
      </c>
      <c r="H1399" s="37">
        <v>4</v>
      </c>
      <c r="I1399" s="37">
        <v>5</v>
      </c>
      <c r="J1399" s="672">
        <f t="shared" si="316"/>
        <v>0.13375</v>
      </c>
      <c r="K1399" s="911">
        <f t="shared" si="317"/>
        <v>4.77534579439252</v>
      </c>
      <c r="L1399" s="671">
        <f t="shared" si="318"/>
        <v>0</v>
      </c>
      <c r="M1399" s="672">
        <f t="shared" si="319"/>
        <v>0</v>
      </c>
      <c r="N1399" s="670">
        <f t="shared" si="320"/>
        <v>0</v>
      </c>
      <c r="O1399" s="670">
        <f t="shared" si="321"/>
        <v>0</v>
      </c>
      <c r="P1399" s="670">
        <f t="shared" si="322"/>
        <v>79.8378125</v>
      </c>
      <c r="Q1399" s="675">
        <f t="shared" si="323"/>
        <v>70.9669444444444</v>
      </c>
      <c r="R1399">
        <f t="shared" si="324"/>
        <v>36</v>
      </c>
      <c r="S1399" s="667">
        <f t="shared" si="325"/>
        <v>0.0672897196261682</v>
      </c>
    </row>
    <row r="1400" spans="1:19">
      <c r="A1400" s="1010">
        <v>46047</v>
      </c>
      <c r="B1400" s="670">
        <v>2558.48</v>
      </c>
      <c r="C1400" s="37">
        <v>4904</v>
      </c>
      <c r="D1400" s="37">
        <v>636</v>
      </c>
      <c r="E1400" s="37">
        <v>1</v>
      </c>
      <c r="F1400" s="670">
        <v>11354</v>
      </c>
      <c r="G1400" s="37">
        <v>41</v>
      </c>
      <c r="H1400" s="37">
        <v>2</v>
      </c>
      <c r="I1400" s="37">
        <v>4</v>
      </c>
      <c r="J1400" s="672">
        <f t="shared" si="316"/>
        <v>0.129690048939641</v>
      </c>
      <c r="K1400" s="911">
        <f t="shared" si="317"/>
        <v>4.02276729559748</v>
      </c>
      <c r="L1400" s="671">
        <f t="shared" si="318"/>
        <v>4.43779118851818</v>
      </c>
      <c r="M1400" s="672">
        <f t="shared" si="319"/>
        <v>0.00157232704402516</v>
      </c>
      <c r="N1400" s="670">
        <f t="shared" si="320"/>
        <v>11354</v>
      </c>
      <c r="O1400" s="670">
        <f t="shared" si="321"/>
        <v>2558.48</v>
      </c>
      <c r="P1400" s="670">
        <f t="shared" si="322"/>
        <v>62.4019512195122</v>
      </c>
      <c r="Q1400" s="675">
        <f t="shared" si="323"/>
        <v>59.4995348837209</v>
      </c>
      <c r="R1400">
        <f t="shared" si="324"/>
        <v>43</v>
      </c>
      <c r="S1400" s="667">
        <f t="shared" si="325"/>
        <v>0.0676100628930818</v>
      </c>
    </row>
    <row r="1401" spans="1:19">
      <c r="A1401" s="1010">
        <v>46048</v>
      </c>
      <c r="B1401" s="670">
        <v>2424.39</v>
      </c>
      <c r="C1401" s="37">
        <v>3929</v>
      </c>
      <c r="D1401" s="37">
        <v>487</v>
      </c>
      <c r="E1401" s="37">
        <v>0</v>
      </c>
      <c r="F1401" s="670">
        <v>0</v>
      </c>
      <c r="G1401" s="37">
        <v>25</v>
      </c>
      <c r="H1401" s="37">
        <v>0</v>
      </c>
      <c r="I1401" s="37">
        <v>0</v>
      </c>
      <c r="J1401" s="672">
        <f t="shared" si="316"/>
        <v>0.12395011453296</v>
      </c>
      <c r="K1401" s="911">
        <f t="shared" si="317"/>
        <v>4.9782135523614</v>
      </c>
      <c r="L1401" s="671">
        <f t="shared" si="318"/>
        <v>0</v>
      </c>
      <c r="M1401" s="672">
        <f t="shared" si="319"/>
        <v>0</v>
      </c>
      <c r="N1401" s="670">
        <f t="shared" si="320"/>
        <v>0</v>
      </c>
      <c r="O1401" s="670">
        <f t="shared" si="321"/>
        <v>0</v>
      </c>
      <c r="P1401" s="670">
        <f t="shared" si="322"/>
        <v>96.9756</v>
      </c>
      <c r="Q1401" s="675">
        <f t="shared" si="323"/>
        <v>96.9756</v>
      </c>
      <c r="R1401">
        <f t="shared" si="324"/>
        <v>25</v>
      </c>
      <c r="S1401" s="667">
        <f t="shared" si="325"/>
        <v>0.0513347022587269</v>
      </c>
    </row>
    <row r="1402" spans="1:19">
      <c r="A1402" s="1010">
        <v>46049</v>
      </c>
      <c r="B1402" s="670">
        <v>2368.67</v>
      </c>
      <c r="C1402" s="37">
        <v>7144</v>
      </c>
      <c r="D1402" s="37">
        <v>593</v>
      </c>
      <c r="E1402" s="37">
        <v>3</v>
      </c>
      <c r="F1402" s="670">
        <v>25476</v>
      </c>
      <c r="G1402" s="37">
        <v>23</v>
      </c>
      <c r="H1402" s="37">
        <v>2</v>
      </c>
      <c r="I1402" s="37">
        <v>3</v>
      </c>
      <c r="J1402" s="672">
        <f t="shared" si="316"/>
        <v>0.083006718924972</v>
      </c>
      <c r="K1402" s="911">
        <f t="shared" si="317"/>
        <v>3.9943844856661</v>
      </c>
      <c r="L1402" s="671">
        <f t="shared" si="318"/>
        <v>10.7554028209924</v>
      </c>
      <c r="M1402" s="672">
        <f t="shared" si="319"/>
        <v>0.00505902192242833</v>
      </c>
      <c r="N1402" s="670">
        <f t="shared" si="320"/>
        <v>8492</v>
      </c>
      <c r="O1402" s="670">
        <f t="shared" si="321"/>
        <v>789.556666666667</v>
      </c>
      <c r="P1402" s="670">
        <f t="shared" si="322"/>
        <v>102.985652173913</v>
      </c>
      <c r="Q1402" s="675">
        <f t="shared" si="323"/>
        <v>94.7468</v>
      </c>
      <c r="R1402">
        <f t="shared" si="324"/>
        <v>25</v>
      </c>
      <c r="S1402" s="667">
        <f t="shared" si="325"/>
        <v>0.0421585160202361</v>
      </c>
    </row>
    <row r="1403" spans="1:19">
      <c r="A1403" s="1010">
        <v>46050</v>
      </c>
      <c r="B1403" s="670">
        <v>2049.86</v>
      </c>
      <c r="C1403" s="37">
        <v>6127</v>
      </c>
      <c r="D1403" s="37">
        <v>599</v>
      </c>
      <c r="E1403" s="37">
        <v>2</v>
      </c>
      <c r="F1403" s="670">
        <v>46356</v>
      </c>
      <c r="G1403" s="37">
        <v>15</v>
      </c>
      <c r="H1403" s="37">
        <v>1</v>
      </c>
      <c r="I1403" s="37">
        <v>6</v>
      </c>
      <c r="J1403" s="672">
        <f t="shared" si="316"/>
        <v>0.0977639954300637</v>
      </c>
      <c r="K1403" s="911">
        <f t="shared" si="317"/>
        <v>3.42213689482471</v>
      </c>
      <c r="L1403" s="671">
        <f t="shared" si="318"/>
        <v>22.6142273130848</v>
      </c>
      <c r="M1403" s="672">
        <f t="shared" si="319"/>
        <v>0.00333889816360601</v>
      </c>
      <c r="N1403" s="670">
        <f t="shared" si="320"/>
        <v>23178</v>
      </c>
      <c r="O1403" s="670">
        <f t="shared" si="321"/>
        <v>1024.93</v>
      </c>
      <c r="P1403" s="670">
        <f t="shared" si="322"/>
        <v>136.657333333333</v>
      </c>
      <c r="Q1403" s="675">
        <f t="shared" si="323"/>
        <v>128.11625</v>
      </c>
      <c r="R1403">
        <f t="shared" si="324"/>
        <v>16</v>
      </c>
      <c r="S1403" s="667">
        <f t="shared" si="325"/>
        <v>0.0267111853088481</v>
      </c>
    </row>
    <row r="1404" spans="1:19">
      <c r="A1404" s="1010">
        <v>46051</v>
      </c>
      <c r="B1404" s="670">
        <v>1860.03</v>
      </c>
      <c r="C1404" s="37">
        <v>5650</v>
      </c>
      <c r="D1404" s="37">
        <v>547</v>
      </c>
      <c r="E1404" s="37">
        <v>0</v>
      </c>
      <c r="F1404" s="670">
        <v>0</v>
      </c>
      <c r="G1404" s="37">
        <v>24</v>
      </c>
      <c r="H1404" s="37">
        <v>1</v>
      </c>
      <c r="I1404" s="37">
        <v>2</v>
      </c>
      <c r="J1404" s="672">
        <f t="shared" si="316"/>
        <v>0.0968141592920354</v>
      </c>
      <c r="K1404" s="911">
        <f t="shared" si="317"/>
        <v>3.40042047531993</v>
      </c>
      <c r="L1404" s="671">
        <f t="shared" si="318"/>
        <v>0</v>
      </c>
      <c r="M1404" s="672">
        <f t="shared" si="319"/>
        <v>0</v>
      </c>
      <c r="N1404" s="670">
        <f t="shared" si="320"/>
        <v>0</v>
      </c>
      <c r="O1404" s="670">
        <f t="shared" si="321"/>
        <v>0</v>
      </c>
      <c r="P1404" s="670">
        <f t="shared" si="322"/>
        <v>77.50125</v>
      </c>
      <c r="Q1404" s="675">
        <f t="shared" si="323"/>
        <v>74.4012</v>
      </c>
      <c r="R1404">
        <f t="shared" si="324"/>
        <v>25</v>
      </c>
      <c r="S1404" s="667">
        <f t="shared" si="325"/>
        <v>0.0457038391224863</v>
      </c>
    </row>
    <row r="1405" spans="1:19">
      <c r="A1405" s="1010">
        <v>46052</v>
      </c>
      <c r="B1405" s="670">
        <v>1830.03</v>
      </c>
      <c r="C1405" s="37">
        <v>6901</v>
      </c>
      <c r="D1405" s="37">
        <v>638</v>
      </c>
      <c r="E1405" s="37">
        <v>1</v>
      </c>
      <c r="F1405" s="670">
        <v>15332</v>
      </c>
      <c r="G1405" s="37">
        <v>19</v>
      </c>
      <c r="H1405" s="37">
        <v>4</v>
      </c>
      <c r="I1405" s="37">
        <v>2</v>
      </c>
      <c r="J1405" s="672">
        <f t="shared" si="316"/>
        <v>0.092450369511665</v>
      </c>
      <c r="K1405" s="911">
        <f t="shared" si="317"/>
        <v>2.8683855799373</v>
      </c>
      <c r="L1405" s="671">
        <f t="shared" si="318"/>
        <v>8.37800473216286</v>
      </c>
      <c r="M1405" s="672">
        <f t="shared" si="319"/>
        <v>0.00156739811912226</v>
      </c>
      <c r="N1405" s="670">
        <f t="shared" si="320"/>
        <v>15332</v>
      </c>
      <c r="O1405" s="670">
        <f t="shared" si="321"/>
        <v>1830.03</v>
      </c>
      <c r="P1405" s="670">
        <f t="shared" si="322"/>
        <v>96.3173684210526</v>
      </c>
      <c r="Q1405" s="675">
        <f t="shared" si="323"/>
        <v>79.5665217391304</v>
      </c>
      <c r="R1405">
        <f t="shared" si="324"/>
        <v>23</v>
      </c>
      <c r="S1405" s="667">
        <f t="shared" si="325"/>
        <v>0.0360501567398119</v>
      </c>
    </row>
    <row r="1406" spans="1:19">
      <c r="A1406" s="1010">
        <v>46053</v>
      </c>
      <c r="B1406" s="670">
        <v>1650.87</v>
      </c>
      <c r="C1406" s="37">
        <v>6257</v>
      </c>
      <c r="D1406" s="37">
        <v>574</v>
      </c>
      <c r="E1406" s="37">
        <v>0</v>
      </c>
      <c r="F1406" s="670">
        <v>0</v>
      </c>
      <c r="G1406" s="37">
        <v>7</v>
      </c>
      <c r="H1406" s="37">
        <v>2</v>
      </c>
      <c r="I1406" s="37">
        <v>2</v>
      </c>
      <c r="J1406" s="672">
        <f t="shared" si="316"/>
        <v>0.0917372542752118</v>
      </c>
      <c r="K1406" s="911">
        <f t="shared" si="317"/>
        <v>2.87608013937282</v>
      </c>
      <c r="L1406" s="671">
        <f t="shared" si="318"/>
        <v>0</v>
      </c>
      <c r="M1406" s="672">
        <f t="shared" si="319"/>
        <v>0</v>
      </c>
      <c r="N1406" s="670">
        <f t="shared" si="320"/>
        <v>0</v>
      </c>
      <c r="O1406" s="670">
        <f t="shared" si="321"/>
        <v>0</v>
      </c>
      <c r="P1406" s="670">
        <f t="shared" si="322"/>
        <v>235.838571428571</v>
      </c>
      <c r="Q1406" s="675">
        <f t="shared" si="323"/>
        <v>183.43</v>
      </c>
      <c r="R1406">
        <f t="shared" si="324"/>
        <v>9</v>
      </c>
      <c r="S1406" s="667">
        <f t="shared" si="325"/>
        <v>0.0156794425087108</v>
      </c>
    </row>
    <row r="1407" spans="1:19">
      <c r="A1407" s="1010">
        <v>46054</v>
      </c>
      <c r="B1407" s="670">
        <v>1700.97</v>
      </c>
      <c r="C1407" s="37">
        <v>5029</v>
      </c>
      <c r="D1407" s="37">
        <v>560</v>
      </c>
      <c r="E1407" s="37">
        <v>0</v>
      </c>
      <c r="F1407" s="670">
        <v>0</v>
      </c>
      <c r="G1407" s="37">
        <v>20</v>
      </c>
      <c r="H1407" s="37">
        <v>5</v>
      </c>
      <c r="I1407" s="37">
        <v>1</v>
      </c>
      <c r="J1407" s="672">
        <f t="shared" ref="J1407:J1470" si="326">D1407/C1407</f>
        <v>0.11135414595347</v>
      </c>
      <c r="K1407" s="911">
        <f t="shared" ref="K1407:K1470" si="327">B1407/D1407</f>
        <v>3.03744642857143</v>
      </c>
      <c r="L1407" s="671">
        <f t="shared" ref="L1407:L1470" si="328">F1407/B1407</f>
        <v>0</v>
      </c>
      <c r="M1407" s="672">
        <f t="shared" ref="M1407:M1470" si="329">E1407/D1407</f>
        <v>0</v>
      </c>
      <c r="N1407" s="670">
        <f t="shared" ref="N1407:N1470" si="330">IF(E1407=0,0,F1407/E1407)</f>
        <v>0</v>
      </c>
      <c r="O1407" s="670">
        <f t="shared" ref="O1407:O1470" si="331">IF(E1407=0,0,B1407/E1407)</f>
        <v>0</v>
      </c>
      <c r="P1407" s="670">
        <f t="shared" ref="P1407:P1470" si="332">B1407/G1407</f>
        <v>85.0485</v>
      </c>
      <c r="Q1407" s="675">
        <f t="shared" ref="Q1407:Q1470" si="333">B1407/(G1407+H1407)</f>
        <v>68.0388</v>
      </c>
      <c r="R1407">
        <f t="shared" ref="R1407:R1470" si="334">G1407+H1407</f>
        <v>25</v>
      </c>
      <c r="S1407" s="667">
        <f t="shared" ref="S1407:S1470" si="335">R1407/D1407</f>
        <v>0.0446428571428571</v>
      </c>
    </row>
    <row r="1408" spans="1:19">
      <c r="A1408" s="1010">
        <v>46055</v>
      </c>
      <c r="B1408" s="670">
        <v>1741.53</v>
      </c>
      <c r="C1408" s="37">
        <v>5668</v>
      </c>
      <c r="D1408" s="37">
        <v>567</v>
      </c>
      <c r="E1408" s="37">
        <v>2</v>
      </c>
      <c r="F1408" s="670">
        <v>19372</v>
      </c>
      <c r="G1408" s="37">
        <v>18</v>
      </c>
      <c r="H1408" s="37">
        <v>2</v>
      </c>
      <c r="I1408" s="37">
        <v>2</v>
      </c>
      <c r="J1408" s="672">
        <f t="shared" si="326"/>
        <v>0.100035285815102</v>
      </c>
      <c r="K1408" s="911">
        <f t="shared" si="327"/>
        <v>3.07148148148148</v>
      </c>
      <c r="L1408" s="671">
        <f t="shared" si="328"/>
        <v>11.1235522787434</v>
      </c>
      <c r="M1408" s="672">
        <f t="shared" si="329"/>
        <v>0.00352733686067019</v>
      </c>
      <c r="N1408" s="670">
        <f t="shared" si="330"/>
        <v>9686</v>
      </c>
      <c r="O1408" s="670">
        <f t="shared" si="331"/>
        <v>870.765</v>
      </c>
      <c r="P1408" s="670">
        <f t="shared" si="332"/>
        <v>96.7516666666667</v>
      </c>
      <c r="Q1408" s="675">
        <f t="shared" si="333"/>
        <v>87.0765</v>
      </c>
      <c r="R1408">
        <f t="shared" si="334"/>
        <v>20</v>
      </c>
      <c r="S1408" s="667">
        <f t="shared" si="335"/>
        <v>0.0352733686067019</v>
      </c>
    </row>
    <row r="1409" spans="1:19">
      <c r="A1409" s="1010">
        <v>46056</v>
      </c>
      <c r="B1409" s="670">
        <v>1856.59</v>
      </c>
      <c r="C1409" s="37">
        <v>5274</v>
      </c>
      <c r="D1409" s="37">
        <v>580</v>
      </c>
      <c r="E1409" s="37">
        <v>1</v>
      </c>
      <c r="F1409" s="670">
        <v>9944</v>
      </c>
      <c r="G1409" s="37">
        <v>22</v>
      </c>
      <c r="H1409" s="37">
        <v>2</v>
      </c>
      <c r="I1409" s="37">
        <v>4</v>
      </c>
      <c r="J1409" s="672">
        <f t="shared" si="326"/>
        <v>0.109973454683352</v>
      </c>
      <c r="K1409" s="911">
        <f t="shared" si="327"/>
        <v>3.20101724137931</v>
      </c>
      <c r="L1409" s="671">
        <f t="shared" si="328"/>
        <v>5.35605599513086</v>
      </c>
      <c r="M1409" s="672">
        <f t="shared" si="329"/>
        <v>0.00172413793103448</v>
      </c>
      <c r="N1409" s="670">
        <f t="shared" si="330"/>
        <v>9944</v>
      </c>
      <c r="O1409" s="670">
        <f t="shared" si="331"/>
        <v>1856.59</v>
      </c>
      <c r="P1409" s="670">
        <f t="shared" si="332"/>
        <v>84.3904545454545</v>
      </c>
      <c r="Q1409" s="675">
        <f t="shared" si="333"/>
        <v>77.3579166666667</v>
      </c>
      <c r="R1409">
        <f t="shared" si="334"/>
        <v>24</v>
      </c>
      <c r="S1409" s="667">
        <f t="shared" si="335"/>
        <v>0.0413793103448276</v>
      </c>
    </row>
    <row r="1410" spans="1:19">
      <c r="A1410" s="1010">
        <v>46057</v>
      </c>
      <c r="B1410" s="670">
        <v>1929.02</v>
      </c>
      <c r="C1410" s="37">
        <v>5850</v>
      </c>
      <c r="D1410" s="37">
        <v>592</v>
      </c>
      <c r="E1410" s="37">
        <v>2</v>
      </c>
      <c r="F1410" s="670">
        <v>26764</v>
      </c>
      <c r="G1410" s="37">
        <v>27</v>
      </c>
      <c r="H1410" s="37">
        <v>5</v>
      </c>
      <c r="I1410" s="37">
        <v>2</v>
      </c>
      <c r="J1410" s="672">
        <f t="shared" si="326"/>
        <v>0.101196581196581</v>
      </c>
      <c r="K1410" s="911">
        <f t="shared" si="327"/>
        <v>3.25847972972973</v>
      </c>
      <c r="L1410" s="671">
        <f t="shared" si="328"/>
        <v>13.8744025463707</v>
      </c>
      <c r="M1410" s="672">
        <f t="shared" si="329"/>
        <v>0.00337837837837838</v>
      </c>
      <c r="N1410" s="670">
        <f t="shared" si="330"/>
        <v>13382</v>
      </c>
      <c r="O1410" s="670">
        <f t="shared" si="331"/>
        <v>964.51</v>
      </c>
      <c r="P1410" s="670">
        <f t="shared" si="332"/>
        <v>71.4451851851852</v>
      </c>
      <c r="Q1410" s="675">
        <f t="shared" si="333"/>
        <v>60.281875</v>
      </c>
      <c r="R1410">
        <f t="shared" si="334"/>
        <v>32</v>
      </c>
      <c r="S1410" s="667">
        <f t="shared" si="335"/>
        <v>0.0540540540540541</v>
      </c>
    </row>
    <row r="1411" spans="1:19">
      <c r="A1411" s="1010">
        <v>46058</v>
      </c>
      <c r="B1411" s="670">
        <v>2034.75</v>
      </c>
      <c r="C1411" s="37">
        <v>6463</v>
      </c>
      <c r="D1411" s="37">
        <v>619</v>
      </c>
      <c r="E1411" s="37">
        <v>0</v>
      </c>
      <c r="F1411" s="670">
        <v>0</v>
      </c>
      <c r="G1411" s="37">
        <v>40</v>
      </c>
      <c r="H1411" s="37">
        <v>1</v>
      </c>
      <c r="I1411" s="37">
        <v>2</v>
      </c>
      <c r="J1411" s="672">
        <f t="shared" si="326"/>
        <v>0.0957759554386508</v>
      </c>
      <c r="K1411" s="911">
        <f t="shared" si="327"/>
        <v>3.28715670436187</v>
      </c>
      <c r="L1411" s="671">
        <f t="shared" si="328"/>
        <v>0</v>
      </c>
      <c r="M1411" s="672">
        <f t="shared" si="329"/>
        <v>0</v>
      </c>
      <c r="N1411" s="670">
        <f t="shared" si="330"/>
        <v>0</v>
      </c>
      <c r="O1411" s="670">
        <f t="shared" si="331"/>
        <v>0</v>
      </c>
      <c r="P1411" s="670">
        <f t="shared" si="332"/>
        <v>50.86875</v>
      </c>
      <c r="Q1411" s="675">
        <f t="shared" si="333"/>
        <v>49.6280487804878</v>
      </c>
      <c r="R1411">
        <f t="shared" si="334"/>
        <v>41</v>
      </c>
      <c r="S1411" s="667">
        <f t="shared" si="335"/>
        <v>0.0662358642972536</v>
      </c>
    </row>
    <row r="1412" spans="1:19">
      <c r="A1412" s="1010">
        <v>46059</v>
      </c>
      <c r="B1412" s="670">
        <v>2777.01</v>
      </c>
      <c r="C1412" s="37">
        <v>7549</v>
      </c>
      <c r="D1412" s="37">
        <v>745</v>
      </c>
      <c r="E1412" s="37">
        <v>1</v>
      </c>
      <c r="F1412" s="670">
        <v>9594</v>
      </c>
      <c r="G1412" s="37">
        <v>32</v>
      </c>
      <c r="H1412" s="37">
        <v>5</v>
      </c>
      <c r="I1412" s="37">
        <v>2</v>
      </c>
      <c r="J1412" s="672">
        <f t="shared" si="326"/>
        <v>0.0986885680222546</v>
      </c>
      <c r="K1412" s="911">
        <f t="shared" si="327"/>
        <v>3.72753020134228</v>
      </c>
      <c r="L1412" s="671">
        <f t="shared" si="328"/>
        <v>3.45479490531183</v>
      </c>
      <c r="M1412" s="672">
        <f t="shared" si="329"/>
        <v>0.00134228187919463</v>
      </c>
      <c r="N1412" s="670">
        <f t="shared" si="330"/>
        <v>9594</v>
      </c>
      <c r="O1412" s="670">
        <f t="shared" si="331"/>
        <v>2777.01</v>
      </c>
      <c r="P1412" s="670">
        <f t="shared" si="332"/>
        <v>86.7815625</v>
      </c>
      <c r="Q1412" s="675">
        <f t="shared" si="333"/>
        <v>75.0543243243243</v>
      </c>
      <c r="R1412">
        <f t="shared" si="334"/>
        <v>37</v>
      </c>
      <c r="S1412" s="667">
        <f t="shared" si="335"/>
        <v>0.0496644295302013</v>
      </c>
    </row>
    <row r="1413" spans="1:19">
      <c r="A1413" s="1010">
        <v>46060</v>
      </c>
      <c r="B1413" s="670">
        <v>1991.94</v>
      </c>
      <c r="C1413" s="37">
        <v>5794</v>
      </c>
      <c r="D1413" s="37">
        <v>700</v>
      </c>
      <c r="E1413" s="37">
        <v>0</v>
      </c>
      <c r="F1413" s="670">
        <v>0</v>
      </c>
      <c r="G1413" s="37">
        <v>15</v>
      </c>
      <c r="H1413" s="37">
        <v>4</v>
      </c>
      <c r="I1413" s="37">
        <v>1</v>
      </c>
      <c r="J1413" s="672">
        <f t="shared" si="326"/>
        <v>0.120814635830169</v>
      </c>
      <c r="K1413" s="911">
        <f t="shared" si="327"/>
        <v>2.84562857142857</v>
      </c>
      <c r="L1413" s="671">
        <f t="shared" si="328"/>
        <v>0</v>
      </c>
      <c r="M1413" s="672">
        <f t="shared" si="329"/>
        <v>0</v>
      </c>
      <c r="N1413" s="670">
        <f t="shared" si="330"/>
        <v>0</v>
      </c>
      <c r="O1413" s="670">
        <f t="shared" si="331"/>
        <v>0</v>
      </c>
      <c r="P1413" s="670">
        <f t="shared" si="332"/>
        <v>132.796</v>
      </c>
      <c r="Q1413" s="675">
        <f t="shared" si="333"/>
        <v>104.838947368421</v>
      </c>
      <c r="R1413">
        <f t="shared" si="334"/>
        <v>19</v>
      </c>
      <c r="S1413" s="667">
        <f t="shared" si="335"/>
        <v>0.0271428571428571</v>
      </c>
    </row>
    <row r="1414" spans="1:19">
      <c r="A1414" s="1010">
        <v>46061</v>
      </c>
      <c r="B1414" s="670">
        <v>2372.71</v>
      </c>
      <c r="C1414" s="37">
        <v>6615</v>
      </c>
      <c r="D1414" s="37">
        <v>826</v>
      </c>
      <c r="E1414" s="37">
        <v>1</v>
      </c>
      <c r="F1414" s="670">
        <v>9297</v>
      </c>
      <c r="G1414" s="37">
        <v>22</v>
      </c>
      <c r="H1414" s="37">
        <v>5</v>
      </c>
      <c r="I1414" s="37">
        <v>3</v>
      </c>
      <c r="J1414" s="672">
        <f t="shared" si="326"/>
        <v>0.124867724867725</v>
      </c>
      <c r="K1414" s="911">
        <f t="shared" si="327"/>
        <v>2.87253026634383</v>
      </c>
      <c r="L1414" s="671">
        <f t="shared" si="328"/>
        <v>3.91830438612388</v>
      </c>
      <c r="M1414" s="672">
        <f t="shared" si="329"/>
        <v>0.00121065375302663</v>
      </c>
      <c r="N1414" s="670">
        <f t="shared" si="330"/>
        <v>9297</v>
      </c>
      <c r="O1414" s="670">
        <f t="shared" si="331"/>
        <v>2372.71</v>
      </c>
      <c r="P1414" s="670">
        <f t="shared" si="332"/>
        <v>107.850454545455</v>
      </c>
      <c r="Q1414" s="675">
        <f t="shared" si="333"/>
        <v>87.8781481481482</v>
      </c>
      <c r="R1414">
        <f t="shared" si="334"/>
        <v>27</v>
      </c>
      <c r="S1414" s="667">
        <f t="shared" si="335"/>
        <v>0.0326876513317191</v>
      </c>
    </row>
    <row r="1415" spans="1:19">
      <c r="A1415" s="1010">
        <v>46062</v>
      </c>
      <c r="B1415" s="670">
        <v>2205.94</v>
      </c>
      <c r="C1415" s="37">
        <v>7337</v>
      </c>
      <c r="D1415" s="37">
        <v>822</v>
      </c>
      <c r="E1415" s="37">
        <v>0</v>
      </c>
      <c r="F1415" s="670">
        <v>0</v>
      </c>
      <c r="G1415" s="37">
        <v>25</v>
      </c>
      <c r="H1415" s="37">
        <v>5</v>
      </c>
      <c r="I1415" s="37">
        <v>2</v>
      </c>
      <c r="J1415" s="672">
        <f t="shared" si="326"/>
        <v>0.112034891645087</v>
      </c>
      <c r="K1415" s="911">
        <f t="shared" si="327"/>
        <v>2.68362530413625</v>
      </c>
      <c r="L1415" s="671">
        <f t="shared" si="328"/>
        <v>0</v>
      </c>
      <c r="M1415" s="672">
        <f t="shared" si="329"/>
        <v>0</v>
      </c>
      <c r="N1415" s="670">
        <f t="shared" si="330"/>
        <v>0</v>
      </c>
      <c r="O1415" s="670">
        <f t="shared" si="331"/>
        <v>0</v>
      </c>
      <c r="P1415" s="670">
        <f t="shared" si="332"/>
        <v>88.2376</v>
      </c>
      <c r="Q1415" s="675">
        <f t="shared" si="333"/>
        <v>73.5313333333333</v>
      </c>
      <c r="R1415">
        <f t="shared" si="334"/>
        <v>30</v>
      </c>
      <c r="S1415" s="667">
        <f t="shared" si="335"/>
        <v>0.0364963503649635</v>
      </c>
    </row>
    <row r="1416" spans="1:19">
      <c r="A1416" s="1010">
        <v>46063</v>
      </c>
      <c r="B1416" s="670">
        <v>1146.68</v>
      </c>
      <c r="C1416" s="37">
        <v>4154</v>
      </c>
      <c r="D1416" s="37">
        <v>478</v>
      </c>
      <c r="E1416" s="37">
        <v>2</v>
      </c>
      <c r="F1416" s="670">
        <v>21424</v>
      </c>
      <c r="G1416" s="37">
        <v>26</v>
      </c>
      <c r="H1416" s="37">
        <v>0</v>
      </c>
      <c r="I1416" s="37">
        <v>1</v>
      </c>
      <c r="J1416" s="672">
        <f t="shared" si="326"/>
        <v>0.115069812229177</v>
      </c>
      <c r="K1416" s="911">
        <f t="shared" si="327"/>
        <v>2.39891213389121</v>
      </c>
      <c r="L1416" s="671">
        <f t="shared" si="328"/>
        <v>18.6835036801898</v>
      </c>
      <c r="M1416" s="672">
        <f t="shared" si="329"/>
        <v>0.00418410041841004</v>
      </c>
      <c r="N1416" s="670">
        <f t="shared" si="330"/>
        <v>10712</v>
      </c>
      <c r="O1416" s="670">
        <f t="shared" si="331"/>
        <v>573.34</v>
      </c>
      <c r="P1416" s="670">
        <f t="shared" si="332"/>
        <v>44.1030769230769</v>
      </c>
      <c r="Q1416" s="675">
        <f t="shared" si="333"/>
        <v>44.1030769230769</v>
      </c>
      <c r="R1416">
        <f t="shared" si="334"/>
        <v>26</v>
      </c>
      <c r="S1416" s="667">
        <f t="shared" si="335"/>
        <v>0.0543933054393305</v>
      </c>
    </row>
    <row r="1417" spans="1:19">
      <c r="A1417" s="1010">
        <v>46064</v>
      </c>
      <c r="B1417" s="670">
        <v>987.47</v>
      </c>
      <c r="C1417" s="37">
        <v>4791</v>
      </c>
      <c r="D1417" s="37">
        <v>503</v>
      </c>
      <c r="E1417" s="37">
        <v>0</v>
      </c>
      <c r="F1417" s="670">
        <v>0</v>
      </c>
      <c r="G1417" s="37">
        <v>22</v>
      </c>
      <c r="H1417" s="37">
        <v>1</v>
      </c>
      <c r="I1417" s="37">
        <v>0</v>
      </c>
      <c r="J1417" s="672">
        <f t="shared" si="326"/>
        <v>0.104988520141933</v>
      </c>
      <c r="K1417" s="911">
        <f t="shared" si="327"/>
        <v>1.96316103379722</v>
      </c>
      <c r="L1417" s="671">
        <f t="shared" si="328"/>
        <v>0</v>
      </c>
      <c r="M1417" s="672">
        <f t="shared" si="329"/>
        <v>0</v>
      </c>
      <c r="N1417" s="670">
        <f t="shared" si="330"/>
        <v>0</v>
      </c>
      <c r="O1417" s="670">
        <f t="shared" si="331"/>
        <v>0</v>
      </c>
      <c r="P1417" s="670">
        <f t="shared" si="332"/>
        <v>44.885</v>
      </c>
      <c r="Q1417" s="675">
        <f t="shared" si="333"/>
        <v>42.9334782608696</v>
      </c>
      <c r="R1417">
        <f t="shared" si="334"/>
        <v>23</v>
      </c>
      <c r="S1417" s="667">
        <f t="shared" si="335"/>
        <v>0.0457256461232604</v>
      </c>
    </row>
    <row r="1418" spans="1:19">
      <c r="A1418" s="1010">
        <v>46065</v>
      </c>
      <c r="B1418" s="670">
        <v>966.44</v>
      </c>
      <c r="C1418" s="37">
        <v>5947</v>
      </c>
      <c r="D1418" s="37">
        <v>478</v>
      </c>
      <c r="E1418" s="37">
        <v>0</v>
      </c>
      <c r="F1418" s="670">
        <v>0</v>
      </c>
      <c r="G1418" s="37">
        <v>10</v>
      </c>
      <c r="H1418" s="37">
        <v>0</v>
      </c>
      <c r="I1418" s="37">
        <v>3</v>
      </c>
      <c r="J1418" s="672">
        <f t="shared" si="326"/>
        <v>0.080376660501093</v>
      </c>
      <c r="K1418" s="911">
        <f t="shared" si="327"/>
        <v>2.0218410041841</v>
      </c>
      <c r="L1418" s="671">
        <f t="shared" si="328"/>
        <v>0</v>
      </c>
      <c r="M1418" s="672">
        <f t="shared" si="329"/>
        <v>0</v>
      </c>
      <c r="N1418" s="670">
        <f t="shared" si="330"/>
        <v>0</v>
      </c>
      <c r="O1418" s="670">
        <f t="shared" si="331"/>
        <v>0</v>
      </c>
      <c r="P1418" s="670">
        <f t="shared" si="332"/>
        <v>96.644</v>
      </c>
      <c r="Q1418" s="675">
        <f t="shared" si="333"/>
        <v>96.644</v>
      </c>
      <c r="R1418">
        <f t="shared" si="334"/>
        <v>10</v>
      </c>
      <c r="S1418" s="667">
        <f t="shared" si="335"/>
        <v>0.0209205020920502</v>
      </c>
    </row>
    <row r="1419" spans="1:19">
      <c r="A1419" s="1010">
        <v>46066</v>
      </c>
      <c r="B1419" s="670">
        <v>826.31</v>
      </c>
      <c r="C1419" s="37">
        <v>4601</v>
      </c>
      <c r="D1419" s="37">
        <v>413</v>
      </c>
      <c r="E1419" s="37">
        <v>2</v>
      </c>
      <c r="F1419" s="670">
        <v>38458</v>
      </c>
      <c r="G1419" s="37">
        <v>17</v>
      </c>
      <c r="H1419" s="37">
        <v>1</v>
      </c>
      <c r="I1419" s="37">
        <v>1</v>
      </c>
      <c r="J1419" s="672">
        <f t="shared" si="326"/>
        <v>0.0897630949793523</v>
      </c>
      <c r="K1419" s="911">
        <f t="shared" si="327"/>
        <v>2.00075060532688</v>
      </c>
      <c r="L1419" s="671">
        <f t="shared" si="328"/>
        <v>46.5418547518486</v>
      </c>
      <c r="M1419" s="672">
        <f t="shared" si="329"/>
        <v>0.00484261501210654</v>
      </c>
      <c r="N1419" s="670">
        <f t="shared" si="330"/>
        <v>19229</v>
      </c>
      <c r="O1419" s="670">
        <f t="shared" si="331"/>
        <v>413.155</v>
      </c>
      <c r="P1419" s="670">
        <f t="shared" si="332"/>
        <v>48.6064705882353</v>
      </c>
      <c r="Q1419" s="675">
        <f t="shared" si="333"/>
        <v>45.9061111111111</v>
      </c>
      <c r="R1419">
        <f t="shared" si="334"/>
        <v>18</v>
      </c>
      <c r="S1419" s="667">
        <f t="shared" si="335"/>
        <v>0.0435835351089588</v>
      </c>
    </row>
    <row r="1420" spans="1:19">
      <c r="A1420" s="1010">
        <v>46067</v>
      </c>
      <c r="B1420" s="670">
        <v>897.96</v>
      </c>
      <c r="C1420" s="37">
        <v>5179</v>
      </c>
      <c r="D1420" s="37">
        <v>463</v>
      </c>
      <c r="E1420" s="37">
        <v>0</v>
      </c>
      <c r="F1420" s="670">
        <v>0</v>
      </c>
      <c r="G1420" s="37">
        <v>19</v>
      </c>
      <c r="H1420" s="37">
        <v>1</v>
      </c>
      <c r="I1420" s="37">
        <v>0</v>
      </c>
      <c r="J1420" s="672">
        <f t="shared" si="326"/>
        <v>0.0893994979725816</v>
      </c>
      <c r="K1420" s="911">
        <f t="shared" si="327"/>
        <v>1.93943844492441</v>
      </c>
      <c r="L1420" s="671">
        <f t="shared" si="328"/>
        <v>0</v>
      </c>
      <c r="M1420" s="672">
        <f t="shared" si="329"/>
        <v>0</v>
      </c>
      <c r="N1420" s="670">
        <f t="shared" si="330"/>
        <v>0</v>
      </c>
      <c r="O1420" s="670">
        <f t="shared" si="331"/>
        <v>0</v>
      </c>
      <c r="P1420" s="670">
        <f t="shared" si="332"/>
        <v>47.2610526315789</v>
      </c>
      <c r="Q1420" s="675">
        <f t="shared" si="333"/>
        <v>44.898</v>
      </c>
      <c r="R1420">
        <f t="shared" si="334"/>
        <v>20</v>
      </c>
      <c r="S1420" s="667">
        <f t="shared" si="335"/>
        <v>0.0431965442764579</v>
      </c>
    </row>
    <row r="1421" spans="1:19">
      <c r="A1421" s="1010">
        <v>46068</v>
      </c>
      <c r="B1421" s="670">
        <v>887.13</v>
      </c>
      <c r="C1421" s="37">
        <v>6848</v>
      </c>
      <c r="D1421" s="37">
        <v>524</v>
      </c>
      <c r="E1421" s="37">
        <v>0</v>
      </c>
      <c r="F1421" s="670">
        <v>0</v>
      </c>
      <c r="G1421" s="37">
        <v>8</v>
      </c>
      <c r="H1421" s="37">
        <v>3</v>
      </c>
      <c r="I1421" s="37">
        <v>0</v>
      </c>
      <c r="J1421" s="672">
        <f t="shared" si="326"/>
        <v>0.076518691588785</v>
      </c>
      <c r="K1421" s="911">
        <f t="shared" si="327"/>
        <v>1.69299618320611</v>
      </c>
      <c r="L1421" s="671">
        <f t="shared" si="328"/>
        <v>0</v>
      </c>
      <c r="M1421" s="672">
        <f t="shared" si="329"/>
        <v>0</v>
      </c>
      <c r="N1421" s="670">
        <f t="shared" si="330"/>
        <v>0</v>
      </c>
      <c r="O1421" s="670">
        <f t="shared" si="331"/>
        <v>0</v>
      </c>
      <c r="P1421" s="670">
        <f t="shared" si="332"/>
        <v>110.89125</v>
      </c>
      <c r="Q1421" s="675">
        <f t="shared" si="333"/>
        <v>80.6481818181818</v>
      </c>
      <c r="R1421">
        <f t="shared" si="334"/>
        <v>11</v>
      </c>
      <c r="S1421" s="667">
        <f t="shared" si="335"/>
        <v>0.0209923664122137</v>
      </c>
    </row>
    <row r="1422" spans="1:19">
      <c r="A1422" s="1010">
        <v>46069</v>
      </c>
      <c r="B1422" s="670">
        <v>946.91</v>
      </c>
      <c r="C1422" s="37">
        <v>8876</v>
      </c>
      <c r="D1422" s="37">
        <v>600</v>
      </c>
      <c r="E1422" s="37">
        <v>0</v>
      </c>
      <c r="F1422" s="670">
        <v>0</v>
      </c>
      <c r="G1422" s="37">
        <v>22</v>
      </c>
      <c r="H1422" s="37">
        <v>3</v>
      </c>
      <c r="I1422" s="37">
        <v>2</v>
      </c>
      <c r="J1422" s="672">
        <f t="shared" si="326"/>
        <v>0.067598017124831</v>
      </c>
      <c r="K1422" s="911">
        <f t="shared" si="327"/>
        <v>1.57818333333333</v>
      </c>
      <c r="L1422" s="671">
        <f t="shared" si="328"/>
        <v>0</v>
      </c>
      <c r="M1422" s="672">
        <f t="shared" si="329"/>
        <v>0</v>
      </c>
      <c r="N1422" s="670">
        <f t="shared" si="330"/>
        <v>0</v>
      </c>
      <c r="O1422" s="670">
        <f t="shared" si="331"/>
        <v>0</v>
      </c>
      <c r="P1422" s="670">
        <f t="shared" si="332"/>
        <v>43.0413636363636</v>
      </c>
      <c r="Q1422" s="675">
        <f t="shared" si="333"/>
        <v>37.8764</v>
      </c>
      <c r="R1422">
        <f t="shared" si="334"/>
        <v>25</v>
      </c>
      <c r="S1422" s="667">
        <f t="shared" si="335"/>
        <v>0.0416666666666667</v>
      </c>
    </row>
    <row r="1423" spans="1:19">
      <c r="A1423" s="1010">
        <v>46070</v>
      </c>
      <c r="B1423" s="670">
        <v>902.96</v>
      </c>
      <c r="C1423" s="37">
        <v>6638</v>
      </c>
      <c r="D1423" s="37">
        <v>633</v>
      </c>
      <c r="E1423" s="37">
        <v>0</v>
      </c>
      <c r="F1423" s="670">
        <v>0</v>
      </c>
      <c r="G1423" s="37">
        <v>25</v>
      </c>
      <c r="H1423" s="37">
        <v>1</v>
      </c>
      <c r="I1423" s="37">
        <v>1</v>
      </c>
      <c r="J1423" s="672">
        <f t="shared" si="326"/>
        <v>0.0953600482072914</v>
      </c>
      <c r="K1423" s="911">
        <f t="shared" si="327"/>
        <v>1.42647709320695</v>
      </c>
      <c r="L1423" s="671">
        <f t="shared" si="328"/>
        <v>0</v>
      </c>
      <c r="M1423" s="672">
        <f t="shared" si="329"/>
        <v>0</v>
      </c>
      <c r="N1423" s="670">
        <f t="shared" si="330"/>
        <v>0</v>
      </c>
      <c r="O1423" s="670">
        <f t="shared" si="331"/>
        <v>0</v>
      </c>
      <c r="P1423" s="670">
        <f t="shared" si="332"/>
        <v>36.1184</v>
      </c>
      <c r="Q1423" s="675">
        <f t="shared" si="333"/>
        <v>34.7292307692308</v>
      </c>
      <c r="R1423">
        <f t="shared" si="334"/>
        <v>26</v>
      </c>
      <c r="S1423" s="667">
        <f t="shared" si="335"/>
        <v>0.0410742496050553</v>
      </c>
    </row>
    <row r="1424" spans="1:19">
      <c r="A1424" s="1010">
        <v>46071</v>
      </c>
      <c r="B1424" s="670">
        <v>902.72</v>
      </c>
      <c r="C1424" s="37">
        <v>6565</v>
      </c>
      <c r="D1424" s="37">
        <v>640</v>
      </c>
      <c r="E1424" s="37">
        <v>1</v>
      </c>
      <c r="F1424" s="670">
        <v>12952</v>
      </c>
      <c r="G1424" s="37">
        <v>37</v>
      </c>
      <c r="H1424" s="37">
        <v>5</v>
      </c>
      <c r="I1424" s="37">
        <v>2</v>
      </c>
      <c r="J1424" s="672">
        <f t="shared" si="326"/>
        <v>0.0974866717440975</v>
      </c>
      <c r="K1424" s="911">
        <f t="shared" si="327"/>
        <v>1.4105</v>
      </c>
      <c r="L1424" s="671">
        <f t="shared" si="328"/>
        <v>14.3477490251684</v>
      </c>
      <c r="M1424" s="672">
        <f t="shared" si="329"/>
        <v>0.0015625</v>
      </c>
      <c r="N1424" s="670">
        <f t="shared" si="330"/>
        <v>12952</v>
      </c>
      <c r="O1424" s="670">
        <f t="shared" si="331"/>
        <v>902.72</v>
      </c>
      <c r="P1424" s="670">
        <f t="shared" si="332"/>
        <v>24.3978378378378</v>
      </c>
      <c r="Q1424" s="675">
        <f t="shared" si="333"/>
        <v>21.4933333333333</v>
      </c>
      <c r="R1424">
        <f t="shared" si="334"/>
        <v>42</v>
      </c>
      <c r="S1424" s="667">
        <f t="shared" si="335"/>
        <v>0.065625</v>
      </c>
    </row>
    <row r="1425" spans="1:19">
      <c r="A1425" s="1010">
        <v>46072</v>
      </c>
      <c r="B1425" s="670">
        <v>1028.23</v>
      </c>
      <c r="C1425" s="37">
        <v>9309</v>
      </c>
      <c r="D1425" s="37">
        <v>771</v>
      </c>
      <c r="E1425" s="37">
        <v>0</v>
      </c>
      <c r="F1425" s="670">
        <v>0</v>
      </c>
      <c r="G1425" s="37">
        <v>17</v>
      </c>
      <c r="H1425" s="37">
        <v>4</v>
      </c>
      <c r="I1425" s="37">
        <v>2</v>
      </c>
      <c r="J1425" s="672">
        <f t="shared" si="326"/>
        <v>0.0828230744440864</v>
      </c>
      <c r="K1425" s="911">
        <f t="shared" si="327"/>
        <v>1.33363164721141</v>
      </c>
      <c r="L1425" s="671">
        <f t="shared" si="328"/>
        <v>0</v>
      </c>
      <c r="M1425" s="672">
        <f t="shared" si="329"/>
        <v>0</v>
      </c>
      <c r="N1425" s="670">
        <f t="shared" si="330"/>
        <v>0</v>
      </c>
      <c r="O1425" s="670">
        <f t="shared" si="331"/>
        <v>0</v>
      </c>
      <c r="P1425" s="670">
        <f t="shared" si="332"/>
        <v>60.4841176470588</v>
      </c>
      <c r="Q1425" s="675">
        <f t="shared" si="333"/>
        <v>48.9633333333333</v>
      </c>
      <c r="R1425">
        <f t="shared" si="334"/>
        <v>21</v>
      </c>
      <c r="S1425" s="667">
        <f t="shared" si="335"/>
        <v>0.0272373540856031</v>
      </c>
    </row>
    <row r="1426" spans="1:19">
      <c r="A1426" s="1010">
        <v>46073</v>
      </c>
      <c r="B1426" s="670">
        <v>940.46</v>
      </c>
      <c r="C1426" s="37">
        <v>11058</v>
      </c>
      <c r="D1426" s="37">
        <v>789</v>
      </c>
      <c r="E1426" s="37">
        <v>1</v>
      </c>
      <c r="F1426" s="670">
        <v>30492</v>
      </c>
      <c r="G1426" s="37">
        <v>27</v>
      </c>
      <c r="H1426" s="37">
        <v>4</v>
      </c>
      <c r="I1426" s="37">
        <v>3</v>
      </c>
      <c r="J1426" s="672">
        <f t="shared" si="326"/>
        <v>0.0713510580575149</v>
      </c>
      <c r="K1426" s="911">
        <f t="shared" si="327"/>
        <v>1.19196451204056</v>
      </c>
      <c r="L1426" s="671">
        <f t="shared" si="328"/>
        <v>32.4224315760373</v>
      </c>
      <c r="M1426" s="672">
        <f t="shared" si="329"/>
        <v>0.00126742712294043</v>
      </c>
      <c r="N1426" s="670">
        <f t="shared" si="330"/>
        <v>30492</v>
      </c>
      <c r="O1426" s="670">
        <f t="shared" si="331"/>
        <v>940.46</v>
      </c>
      <c r="P1426" s="670">
        <f t="shared" si="332"/>
        <v>34.8318518518519</v>
      </c>
      <c r="Q1426" s="675">
        <f t="shared" si="333"/>
        <v>30.3374193548387</v>
      </c>
      <c r="R1426">
        <f t="shared" si="334"/>
        <v>31</v>
      </c>
      <c r="S1426" s="667">
        <f t="shared" si="335"/>
        <v>0.0392902408111534</v>
      </c>
    </row>
    <row r="1427" spans="1:19">
      <c r="A1427" s="1010">
        <v>46074</v>
      </c>
      <c r="B1427" s="670">
        <v>1014</v>
      </c>
      <c r="C1427" s="37">
        <v>8456</v>
      </c>
      <c r="D1427" s="37">
        <v>633</v>
      </c>
      <c r="E1427" s="37">
        <v>0</v>
      </c>
      <c r="F1427" s="670">
        <v>0</v>
      </c>
      <c r="G1427" s="37">
        <v>37</v>
      </c>
      <c r="H1427" s="37">
        <v>1</v>
      </c>
      <c r="I1427" s="37">
        <v>4</v>
      </c>
      <c r="J1427" s="672">
        <f t="shared" si="326"/>
        <v>0.0748580889309366</v>
      </c>
      <c r="K1427" s="911">
        <f t="shared" si="327"/>
        <v>1.60189573459716</v>
      </c>
      <c r="L1427" s="671">
        <f t="shared" si="328"/>
        <v>0</v>
      </c>
      <c r="M1427" s="672">
        <f t="shared" si="329"/>
        <v>0</v>
      </c>
      <c r="N1427" s="670">
        <f t="shared" si="330"/>
        <v>0</v>
      </c>
      <c r="O1427" s="670">
        <f t="shared" si="331"/>
        <v>0</v>
      </c>
      <c r="P1427" s="670">
        <f t="shared" si="332"/>
        <v>27.4054054054054</v>
      </c>
      <c r="Q1427" s="675">
        <f t="shared" si="333"/>
        <v>26.6842105263158</v>
      </c>
      <c r="R1427">
        <f t="shared" si="334"/>
        <v>38</v>
      </c>
      <c r="S1427" s="667">
        <f t="shared" si="335"/>
        <v>0.0600315955766193</v>
      </c>
    </row>
    <row r="1428" spans="1:19">
      <c r="A1428" s="1010">
        <v>46075</v>
      </c>
      <c r="B1428" s="670">
        <v>835.13</v>
      </c>
      <c r="C1428" s="37">
        <v>7729</v>
      </c>
      <c r="D1428" s="37">
        <v>677</v>
      </c>
      <c r="E1428" s="37">
        <v>2</v>
      </c>
      <c r="F1428" s="670">
        <v>19876</v>
      </c>
      <c r="G1428" s="37">
        <v>26</v>
      </c>
      <c r="H1428" s="37">
        <v>3</v>
      </c>
      <c r="I1428" s="37">
        <v>4</v>
      </c>
      <c r="J1428" s="672">
        <f t="shared" si="326"/>
        <v>0.0875921852762324</v>
      </c>
      <c r="K1428" s="911">
        <f t="shared" si="327"/>
        <v>1.23357459379616</v>
      </c>
      <c r="L1428" s="671">
        <f t="shared" si="328"/>
        <v>23.7998874426736</v>
      </c>
      <c r="M1428" s="672">
        <f t="shared" si="329"/>
        <v>0.00295420974889217</v>
      </c>
      <c r="N1428" s="670">
        <f t="shared" si="330"/>
        <v>9938</v>
      </c>
      <c r="O1428" s="670">
        <f t="shared" si="331"/>
        <v>417.565</v>
      </c>
      <c r="P1428" s="670">
        <f t="shared" si="332"/>
        <v>32.1203846153846</v>
      </c>
      <c r="Q1428" s="675">
        <f t="shared" si="333"/>
        <v>28.7975862068966</v>
      </c>
      <c r="R1428">
        <f t="shared" si="334"/>
        <v>29</v>
      </c>
      <c r="S1428" s="667">
        <f t="shared" si="335"/>
        <v>0.0428360413589365</v>
      </c>
    </row>
    <row r="1429" spans="1:19">
      <c r="A1429" s="1010">
        <v>46076</v>
      </c>
      <c r="B1429" s="670">
        <v>1010.8</v>
      </c>
      <c r="C1429" s="37">
        <v>7968</v>
      </c>
      <c r="D1429" s="37">
        <v>777</v>
      </c>
      <c r="E1429" s="37">
        <v>2</v>
      </c>
      <c r="F1429" s="670">
        <v>11116</v>
      </c>
      <c r="G1429" s="37">
        <v>26</v>
      </c>
      <c r="H1429" s="37">
        <v>10</v>
      </c>
      <c r="I1429" s="37">
        <v>3</v>
      </c>
      <c r="J1429" s="672">
        <f t="shared" si="326"/>
        <v>0.0975150602409639</v>
      </c>
      <c r="K1429" s="911">
        <f t="shared" si="327"/>
        <v>1.3009009009009</v>
      </c>
      <c r="L1429" s="671">
        <f t="shared" si="328"/>
        <v>10.9972299168975</v>
      </c>
      <c r="M1429" s="672">
        <f t="shared" si="329"/>
        <v>0.00257400257400257</v>
      </c>
      <c r="N1429" s="670">
        <f t="shared" si="330"/>
        <v>5558</v>
      </c>
      <c r="O1429" s="670">
        <f t="shared" si="331"/>
        <v>505.4</v>
      </c>
      <c r="P1429" s="670">
        <f t="shared" si="332"/>
        <v>38.8769230769231</v>
      </c>
      <c r="Q1429" s="675">
        <f t="shared" si="333"/>
        <v>28.0777777777778</v>
      </c>
      <c r="R1429">
        <f t="shared" si="334"/>
        <v>36</v>
      </c>
      <c r="S1429" s="667">
        <f t="shared" si="335"/>
        <v>0.0463320463320463</v>
      </c>
    </row>
    <row r="1430" spans="1:19">
      <c r="A1430" s="1010">
        <v>46077</v>
      </c>
      <c r="B1430" s="670">
        <v>948.53</v>
      </c>
      <c r="C1430" s="37">
        <v>5513</v>
      </c>
      <c r="D1430" s="37">
        <v>510</v>
      </c>
      <c r="E1430" s="37">
        <v>2</v>
      </c>
      <c r="F1430" s="670">
        <v>40908</v>
      </c>
      <c r="G1430" s="37">
        <v>32</v>
      </c>
      <c r="H1430" s="37">
        <v>0</v>
      </c>
      <c r="I1430" s="37">
        <v>4</v>
      </c>
      <c r="J1430" s="672">
        <f t="shared" si="326"/>
        <v>0.0925086159985489</v>
      </c>
      <c r="K1430" s="911">
        <f t="shared" si="327"/>
        <v>1.85986274509804</v>
      </c>
      <c r="L1430" s="671">
        <f t="shared" si="328"/>
        <v>43.1277872075738</v>
      </c>
      <c r="M1430" s="672">
        <f t="shared" si="329"/>
        <v>0.00392156862745098</v>
      </c>
      <c r="N1430" s="670">
        <f t="shared" si="330"/>
        <v>20454</v>
      </c>
      <c r="O1430" s="670">
        <f t="shared" si="331"/>
        <v>474.265</v>
      </c>
      <c r="P1430" s="670">
        <f t="shared" si="332"/>
        <v>29.6415625</v>
      </c>
      <c r="Q1430" s="675">
        <f t="shared" si="333"/>
        <v>29.6415625</v>
      </c>
      <c r="R1430">
        <f t="shared" si="334"/>
        <v>32</v>
      </c>
      <c r="S1430" s="667">
        <f t="shared" si="335"/>
        <v>0.0627450980392157</v>
      </c>
    </row>
    <row r="1431" spans="1:19">
      <c r="A1431" s="1010">
        <v>46078</v>
      </c>
      <c r="B1431" s="670">
        <v>1205.75</v>
      </c>
      <c r="C1431" s="37">
        <v>5037</v>
      </c>
      <c r="D1431" s="37">
        <v>675</v>
      </c>
      <c r="E1431" s="37">
        <v>2</v>
      </c>
      <c r="F1431" s="670">
        <v>39442</v>
      </c>
      <c r="G1431" s="37">
        <v>48</v>
      </c>
      <c r="H1431" s="37">
        <v>3</v>
      </c>
      <c r="I1431" s="37">
        <v>6</v>
      </c>
      <c r="J1431" s="672">
        <f t="shared" si="326"/>
        <v>0.134008338296605</v>
      </c>
      <c r="K1431" s="911">
        <f t="shared" si="327"/>
        <v>1.7862962962963</v>
      </c>
      <c r="L1431" s="671">
        <f t="shared" si="328"/>
        <v>32.711590296496</v>
      </c>
      <c r="M1431" s="672">
        <f t="shared" si="329"/>
        <v>0.00296296296296296</v>
      </c>
      <c r="N1431" s="670">
        <f t="shared" si="330"/>
        <v>19721</v>
      </c>
      <c r="O1431" s="670">
        <f t="shared" si="331"/>
        <v>602.875</v>
      </c>
      <c r="P1431" s="670">
        <f t="shared" si="332"/>
        <v>25.1197916666667</v>
      </c>
      <c r="Q1431" s="675">
        <f t="shared" si="333"/>
        <v>23.6421568627451</v>
      </c>
      <c r="R1431">
        <f t="shared" si="334"/>
        <v>51</v>
      </c>
      <c r="S1431" s="667">
        <f t="shared" si="335"/>
        <v>0.0755555555555556</v>
      </c>
    </row>
    <row r="1432" spans="1:19">
      <c r="A1432" s="1010">
        <v>46079</v>
      </c>
      <c r="B1432" s="670">
        <v>1204.78</v>
      </c>
      <c r="C1432" s="37">
        <v>6086</v>
      </c>
      <c r="D1432" s="37">
        <v>687</v>
      </c>
      <c r="E1432" s="37">
        <v>1</v>
      </c>
      <c r="F1432" s="670">
        <v>14896</v>
      </c>
      <c r="G1432" s="37">
        <v>51</v>
      </c>
      <c r="H1432" s="37">
        <v>4</v>
      </c>
      <c r="I1432" s="37">
        <v>3</v>
      </c>
      <c r="J1432" s="672">
        <f t="shared" si="326"/>
        <v>0.112882024318107</v>
      </c>
      <c r="K1432" s="911">
        <f t="shared" si="327"/>
        <v>1.7536826783115</v>
      </c>
      <c r="L1432" s="671">
        <f t="shared" si="328"/>
        <v>12.3640830691081</v>
      </c>
      <c r="M1432" s="672">
        <f t="shared" si="329"/>
        <v>0.00145560407569141</v>
      </c>
      <c r="N1432" s="670">
        <f t="shared" si="330"/>
        <v>14896</v>
      </c>
      <c r="O1432" s="670">
        <f t="shared" si="331"/>
        <v>1204.78</v>
      </c>
      <c r="P1432" s="670">
        <f t="shared" si="332"/>
        <v>23.623137254902</v>
      </c>
      <c r="Q1432" s="675">
        <f t="shared" si="333"/>
        <v>21.9050909090909</v>
      </c>
      <c r="R1432">
        <f t="shared" si="334"/>
        <v>55</v>
      </c>
      <c r="S1432" s="667">
        <f t="shared" si="335"/>
        <v>0.0800582241630277</v>
      </c>
    </row>
    <row r="1433" spans="1:19">
      <c r="A1433" s="1010">
        <v>46080</v>
      </c>
      <c r="B1433" s="670">
        <v>1322.32</v>
      </c>
      <c r="C1433" s="37">
        <v>5428</v>
      </c>
      <c r="D1433" s="37">
        <v>617</v>
      </c>
      <c r="E1433" s="37">
        <v>0</v>
      </c>
      <c r="F1433" s="670">
        <v>0</v>
      </c>
      <c r="G1433" s="37">
        <v>33</v>
      </c>
      <c r="H1433" s="37">
        <v>4</v>
      </c>
      <c r="I1433" s="37">
        <v>1</v>
      </c>
      <c r="J1433" s="672">
        <f t="shared" si="326"/>
        <v>0.113669859985262</v>
      </c>
      <c r="K1433" s="911">
        <f t="shared" si="327"/>
        <v>2.14314424635332</v>
      </c>
      <c r="L1433" s="671">
        <f t="shared" si="328"/>
        <v>0</v>
      </c>
      <c r="M1433" s="672">
        <f t="shared" si="329"/>
        <v>0</v>
      </c>
      <c r="N1433" s="670">
        <f t="shared" si="330"/>
        <v>0</v>
      </c>
      <c r="O1433" s="670">
        <f t="shared" si="331"/>
        <v>0</v>
      </c>
      <c r="P1433" s="670">
        <f t="shared" si="332"/>
        <v>40.070303030303</v>
      </c>
      <c r="Q1433" s="675">
        <f t="shared" si="333"/>
        <v>35.7383783783784</v>
      </c>
      <c r="R1433">
        <f t="shared" si="334"/>
        <v>37</v>
      </c>
      <c r="S1433" s="667">
        <f t="shared" si="335"/>
        <v>0.059967585089141</v>
      </c>
    </row>
    <row r="1434" spans="1:19">
      <c r="A1434" s="1010">
        <v>46081</v>
      </c>
      <c r="B1434" s="670">
        <v>1426.89</v>
      </c>
      <c r="C1434" s="37">
        <v>4410</v>
      </c>
      <c r="D1434" s="37">
        <v>525</v>
      </c>
      <c r="E1434" s="37">
        <v>0</v>
      </c>
      <c r="F1434" s="670">
        <v>0</v>
      </c>
      <c r="G1434" s="37">
        <v>33</v>
      </c>
      <c r="H1434" s="37">
        <v>5</v>
      </c>
      <c r="I1434" s="37">
        <v>5</v>
      </c>
      <c r="J1434" s="672">
        <f t="shared" si="326"/>
        <v>0.119047619047619</v>
      </c>
      <c r="K1434" s="911">
        <f t="shared" si="327"/>
        <v>2.71788571428571</v>
      </c>
      <c r="L1434" s="671">
        <f t="shared" si="328"/>
        <v>0</v>
      </c>
      <c r="M1434" s="672">
        <f t="shared" si="329"/>
        <v>0</v>
      </c>
      <c r="N1434" s="670">
        <f t="shared" si="330"/>
        <v>0</v>
      </c>
      <c r="O1434" s="670">
        <f t="shared" si="331"/>
        <v>0</v>
      </c>
      <c r="P1434" s="670">
        <f t="shared" si="332"/>
        <v>43.2390909090909</v>
      </c>
      <c r="Q1434" s="675">
        <f t="shared" si="333"/>
        <v>37.5497368421053</v>
      </c>
      <c r="R1434">
        <f t="shared" si="334"/>
        <v>38</v>
      </c>
      <c r="S1434" s="667">
        <f t="shared" si="335"/>
        <v>0.0723809523809524</v>
      </c>
    </row>
    <row r="1435" spans="1:19">
      <c r="A1435" s="1010">
        <v>46082</v>
      </c>
      <c r="B1435" s="670">
        <v>1319.28</v>
      </c>
      <c r="C1435" s="37">
        <v>5033</v>
      </c>
      <c r="D1435" s="37">
        <v>550</v>
      </c>
      <c r="E1435" s="37">
        <v>1</v>
      </c>
      <c r="F1435" s="670">
        <v>13294</v>
      </c>
      <c r="G1435" s="37">
        <v>40</v>
      </c>
      <c r="H1435" s="37">
        <v>3</v>
      </c>
      <c r="I1435" s="37">
        <v>1</v>
      </c>
      <c r="J1435" s="672">
        <f t="shared" si="326"/>
        <v>0.109278760182794</v>
      </c>
      <c r="K1435" s="911">
        <f t="shared" si="327"/>
        <v>2.39869090909091</v>
      </c>
      <c r="L1435" s="671">
        <f t="shared" si="328"/>
        <v>10.0767085076709</v>
      </c>
      <c r="M1435" s="672">
        <f t="shared" si="329"/>
        <v>0.00181818181818182</v>
      </c>
      <c r="N1435" s="670">
        <f t="shared" si="330"/>
        <v>13294</v>
      </c>
      <c r="O1435" s="670">
        <f t="shared" si="331"/>
        <v>1319.28</v>
      </c>
      <c r="P1435" s="670">
        <f t="shared" si="332"/>
        <v>32.982</v>
      </c>
      <c r="Q1435" s="675">
        <f t="shared" si="333"/>
        <v>30.6809302325581</v>
      </c>
      <c r="R1435">
        <f t="shared" si="334"/>
        <v>43</v>
      </c>
      <c r="S1435" s="667">
        <f t="shared" si="335"/>
        <v>0.0781818181818182</v>
      </c>
    </row>
    <row r="1436" spans="1:19">
      <c r="A1436" s="1010">
        <v>46083</v>
      </c>
      <c r="B1436" s="670">
        <v>1291.35</v>
      </c>
      <c r="C1436" s="37">
        <v>3597</v>
      </c>
      <c r="D1436" s="37">
        <v>461</v>
      </c>
      <c r="E1436" s="37">
        <v>1</v>
      </c>
      <c r="F1436" s="670">
        <v>9398</v>
      </c>
      <c r="G1436" s="37">
        <v>52</v>
      </c>
      <c r="H1436" s="37">
        <v>3</v>
      </c>
      <c r="I1436" s="37">
        <v>0</v>
      </c>
      <c r="J1436" s="672">
        <f t="shared" si="326"/>
        <v>0.128162357520156</v>
      </c>
      <c r="K1436" s="911">
        <f t="shared" si="327"/>
        <v>2.80119305856833</v>
      </c>
      <c r="L1436" s="671">
        <f t="shared" si="328"/>
        <v>7.27765516707322</v>
      </c>
      <c r="M1436" s="672">
        <f t="shared" si="329"/>
        <v>0.00216919739696312</v>
      </c>
      <c r="N1436" s="670">
        <f t="shared" si="330"/>
        <v>9398</v>
      </c>
      <c r="O1436" s="670">
        <f t="shared" si="331"/>
        <v>1291.35</v>
      </c>
      <c r="P1436" s="670">
        <f t="shared" si="332"/>
        <v>24.8336538461538</v>
      </c>
      <c r="Q1436" s="675">
        <f t="shared" si="333"/>
        <v>23.4790909090909</v>
      </c>
      <c r="R1436">
        <f t="shared" si="334"/>
        <v>55</v>
      </c>
      <c r="S1436" s="667">
        <f t="shared" si="335"/>
        <v>0.119305856832972</v>
      </c>
    </row>
    <row r="1437" spans="1:19">
      <c r="A1437" s="1010">
        <v>46084</v>
      </c>
      <c r="B1437" s="670">
        <v>1275.43</v>
      </c>
      <c r="C1437" s="37">
        <v>3459</v>
      </c>
      <c r="D1437" s="37">
        <v>429</v>
      </c>
      <c r="E1437" s="37">
        <v>0</v>
      </c>
      <c r="F1437" s="670">
        <v>0</v>
      </c>
      <c r="G1437" s="37">
        <v>30</v>
      </c>
      <c r="H1437" s="37">
        <v>6</v>
      </c>
      <c r="I1437" s="37">
        <v>1</v>
      </c>
      <c r="J1437" s="672">
        <f t="shared" si="326"/>
        <v>0.124024284475282</v>
      </c>
      <c r="K1437" s="911">
        <f t="shared" si="327"/>
        <v>2.9730303030303</v>
      </c>
      <c r="L1437" s="671">
        <f t="shared" si="328"/>
        <v>0</v>
      </c>
      <c r="M1437" s="672">
        <f t="shared" si="329"/>
        <v>0</v>
      </c>
      <c r="N1437" s="670">
        <f t="shared" si="330"/>
        <v>0</v>
      </c>
      <c r="O1437" s="670">
        <f t="shared" si="331"/>
        <v>0</v>
      </c>
      <c r="P1437" s="670">
        <f t="shared" si="332"/>
        <v>42.5143333333333</v>
      </c>
      <c r="Q1437" s="675">
        <f t="shared" si="333"/>
        <v>35.4286111111111</v>
      </c>
      <c r="R1437">
        <f t="shared" si="334"/>
        <v>36</v>
      </c>
      <c r="S1437" s="667">
        <f t="shared" si="335"/>
        <v>0.0839160839160839</v>
      </c>
    </row>
    <row r="1438" spans="1:19">
      <c r="A1438" s="1010">
        <v>46085</v>
      </c>
      <c r="B1438" s="670">
        <v>2157.48</v>
      </c>
      <c r="C1438" s="37">
        <v>5027</v>
      </c>
      <c r="D1438" s="37">
        <v>483</v>
      </c>
      <c r="E1438" s="37">
        <v>3</v>
      </c>
      <c r="F1438" s="670">
        <v>36620</v>
      </c>
      <c r="G1438" s="37">
        <v>35</v>
      </c>
      <c r="H1438" s="37">
        <v>3</v>
      </c>
      <c r="I1438" s="37">
        <v>3</v>
      </c>
      <c r="J1438" s="672">
        <f t="shared" si="326"/>
        <v>0.096081161726676</v>
      </c>
      <c r="K1438" s="911">
        <f t="shared" si="327"/>
        <v>4.46683229813665</v>
      </c>
      <c r="L1438" s="671">
        <f t="shared" si="328"/>
        <v>16.9735061275191</v>
      </c>
      <c r="M1438" s="672">
        <f t="shared" si="329"/>
        <v>0.0062111801242236</v>
      </c>
      <c r="N1438" s="670">
        <f t="shared" si="330"/>
        <v>12206.6666666667</v>
      </c>
      <c r="O1438" s="670">
        <f t="shared" si="331"/>
        <v>719.16</v>
      </c>
      <c r="P1438" s="670">
        <f t="shared" si="332"/>
        <v>61.6422857142857</v>
      </c>
      <c r="Q1438" s="675">
        <f t="shared" si="333"/>
        <v>56.7757894736842</v>
      </c>
      <c r="R1438">
        <f t="shared" si="334"/>
        <v>38</v>
      </c>
      <c r="S1438" s="667">
        <f t="shared" si="335"/>
        <v>0.0786749482401656</v>
      </c>
    </row>
    <row r="1439" spans="1:19">
      <c r="A1439" s="1010">
        <v>46086</v>
      </c>
      <c r="B1439" s="670">
        <v>2639.44</v>
      </c>
      <c r="C1439" s="37">
        <v>5460</v>
      </c>
      <c r="D1439" s="37">
        <v>555</v>
      </c>
      <c r="E1439" s="37">
        <v>5</v>
      </c>
      <c r="F1439" s="670">
        <v>43526</v>
      </c>
      <c r="G1439" s="37">
        <v>35</v>
      </c>
      <c r="H1439" s="37">
        <v>5</v>
      </c>
      <c r="I1439" s="37">
        <v>1</v>
      </c>
      <c r="J1439" s="672">
        <f t="shared" si="326"/>
        <v>0.101648351648352</v>
      </c>
      <c r="K1439" s="911">
        <f t="shared" si="327"/>
        <v>4.75574774774775</v>
      </c>
      <c r="L1439" s="671">
        <f t="shared" si="328"/>
        <v>16.4906192222593</v>
      </c>
      <c r="M1439" s="672">
        <f t="shared" si="329"/>
        <v>0.00900900900900901</v>
      </c>
      <c r="N1439" s="670">
        <f t="shared" si="330"/>
        <v>8705.2</v>
      </c>
      <c r="O1439" s="670">
        <f t="shared" si="331"/>
        <v>527.888</v>
      </c>
      <c r="P1439" s="670">
        <f t="shared" si="332"/>
        <v>75.4125714285714</v>
      </c>
      <c r="Q1439" s="675">
        <f t="shared" si="333"/>
        <v>65.986</v>
      </c>
      <c r="R1439">
        <f t="shared" si="334"/>
        <v>40</v>
      </c>
      <c r="S1439" s="667">
        <f t="shared" si="335"/>
        <v>0.0720720720720721</v>
      </c>
    </row>
    <row r="1440" spans="1:19">
      <c r="A1440" s="1010">
        <v>46087</v>
      </c>
      <c r="B1440" s="670">
        <v>2367.76</v>
      </c>
      <c r="C1440" s="37">
        <v>5459</v>
      </c>
      <c r="D1440" s="37">
        <v>543</v>
      </c>
      <c r="E1440" s="37">
        <v>2</v>
      </c>
      <c r="F1440" s="670">
        <v>24580</v>
      </c>
      <c r="G1440" s="37">
        <v>19</v>
      </c>
      <c r="H1440" s="37">
        <v>3</v>
      </c>
      <c r="I1440" s="37">
        <v>2</v>
      </c>
      <c r="J1440" s="672">
        <f t="shared" si="326"/>
        <v>0.099468767173475</v>
      </c>
      <c r="K1440" s="911">
        <f t="shared" si="327"/>
        <v>4.36051565377532</v>
      </c>
      <c r="L1440" s="671">
        <f t="shared" si="328"/>
        <v>10.3811197080785</v>
      </c>
      <c r="M1440" s="672">
        <f t="shared" si="329"/>
        <v>0.00368324125230203</v>
      </c>
      <c r="N1440" s="670">
        <f t="shared" si="330"/>
        <v>12290</v>
      </c>
      <c r="O1440" s="670">
        <f t="shared" si="331"/>
        <v>1183.88</v>
      </c>
      <c r="P1440" s="670">
        <f t="shared" si="332"/>
        <v>124.618947368421</v>
      </c>
      <c r="Q1440" s="675">
        <f t="shared" si="333"/>
        <v>107.625454545455</v>
      </c>
      <c r="R1440">
        <f t="shared" si="334"/>
        <v>22</v>
      </c>
      <c r="S1440" s="667">
        <f t="shared" si="335"/>
        <v>0.0405156537753223</v>
      </c>
    </row>
    <row r="1441" spans="1:19">
      <c r="A1441" s="1010">
        <v>46088</v>
      </c>
      <c r="B1441" s="670">
        <v>2205.82</v>
      </c>
      <c r="C1441" s="37">
        <v>5774</v>
      </c>
      <c r="D1441" s="37">
        <v>518</v>
      </c>
      <c r="E1441" s="37">
        <v>0</v>
      </c>
      <c r="F1441" s="670">
        <v>0</v>
      </c>
      <c r="G1441" s="37">
        <v>15</v>
      </c>
      <c r="H1441" s="37">
        <v>2</v>
      </c>
      <c r="I1441" s="37">
        <v>3</v>
      </c>
      <c r="J1441" s="672">
        <f t="shared" si="326"/>
        <v>0.0897125043297541</v>
      </c>
      <c r="K1441" s="911">
        <f t="shared" si="327"/>
        <v>4.25833976833977</v>
      </c>
      <c r="L1441" s="671">
        <f t="shared" si="328"/>
        <v>0</v>
      </c>
      <c r="M1441" s="672">
        <f t="shared" si="329"/>
        <v>0</v>
      </c>
      <c r="N1441" s="670">
        <f t="shared" si="330"/>
        <v>0</v>
      </c>
      <c r="O1441" s="670">
        <f t="shared" si="331"/>
        <v>0</v>
      </c>
      <c r="P1441" s="670">
        <f t="shared" si="332"/>
        <v>147.054666666667</v>
      </c>
      <c r="Q1441" s="675">
        <f t="shared" si="333"/>
        <v>129.754117647059</v>
      </c>
      <c r="R1441">
        <f t="shared" si="334"/>
        <v>17</v>
      </c>
      <c r="S1441" s="667">
        <f t="shared" si="335"/>
        <v>0.0328185328185328</v>
      </c>
    </row>
    <row r="1442" spans="1:19">
      <c r="A1442" s="1010">
        <v>46089</v>
      </c>
      <c r="B1442" s="670">
        <v>2869.55</v>
      </c>
      <c r="C1442" s="37">
        <v>5823</v>
      </c>
      <c r="D1442" s="37">
        <v>604</v>
      </c>
      <c r="E1442" s="37">
        <v>1</v>
      </c>
      <c r="F1442" s="670">
        <v>9585</v>
      </c>
      <c r="G1442" s="37">
        <v>35</v>
      </c>
      <c r="H1442" s="37">
        <v>1</v>
      </c>
      <c r="I1442" s="37">
        <v>1</v>
      </c>
      <c r="J1442" s="672">
        <f t="shared" si="326"/>
        <v>0.103726601408209</v>
      </c>
      <c r="K1442" s="911">
        <f t="shared" si="327"/>
        <v>4.75091059602649</v>
      </c>
      <c r="L1442" s="671">
        <f t="shared" si="328"/>
        <v>3.34024498614765</v>
      </c>
      <c r="M1442" s="672">
        <f t="shared" si="329"/>
        <v>0.00165562913907285</v>
      </c>
      <c r="N1442" s="670">
        <f t="shared" si="330"/>
        <v>9585</v>
      </c>
      <c r="O1442" s="670">
        <f t="shared" si="331"/>
        <v>2869.55</v>
      </c>
      <c r="P1442" s="670">
        <f t="shared" si="332"/>
        <v>81.9871428571429</v>
      </c>
      <c r="Q1442" s="675">
        <f t="shared" si="333"/>
        <v>79.7097222222222</v>
      </c>
      <c r="R1442">
        <f t="shared" si="334"/>
        <v>36</v>
      </c>
      <c r="S1442" s="667">
        <f t="shared" si="335"/>
        <v>0.0596026490066225</v>
      </c>
    </row>
    <row r="1443" spans="1:19">
      <c r="A1443" s="1010">
        <v>46090</v>
      </c>
      <c r="B1443" s="670">
        <v>2730.04</v>
      </c>
      <c r="C1443" s="37">
        <v>5761</v>
      </c>
      <c r="D1443" s="37">
        <v>678</v>
      </c>
      <c r="E1443" s="37">
        <v>0</v>
      </c>
      <c r="F1443" s="670">
        <v>0</v>
      </c>
      <c r="G1443" s="37">
        <v>26</v>
      </c>
      <c r="H1443" s="37">
        <v>4</v>
      </c>
      <c r="I1443" s="37">
        <v>1</v>
      </c>
      <c r="J1443" s="672">
        <f t="shared" si="326"/>
        <v>0.117687901406006</v>
      </c>
      <c r="K1443" s="911">
        <f t="shared" si="327"/>
        <v>4.02660766961652</v>
      </c>
      <c r="L1443" s="671">
        <f t="shared" si="328"/>
        <v>0</v>
      </c>
      <c r="M1443" s="672">
        <f t="shared" si="329"/>
        <v>0</v>
      </c>
      <c r="N1443" s="670">
        <f t="shared" si="330"/>
        <v>0</v>
      </c>
      <c r="O1443" s="670">
        <f t="shared" si="331"/>
        <v>0</v>
      </c>
      <c r="P1443" s="670">
        <f t="shared" si="332"/>
        <v>105.001538461538</v>
      </c>
      <c r="Q1443" s="675">
        <f t="shared" si="333"/>
        <v>91.0013333333333</v>
      </c>
      <c r="R1443">
        <f t="shared" si="334"/>
        <v>30</v>
      </c>
      <c r="S1443" s="667">
        <f t="shared" si="335"/>
        <v>0.0442477876106195</v>
      </c>
    </row>
    <row r="1444" spans="1:19">
      <c r="A1444" s="1010">
        <v>46091</v>
      </c>
      <c r="B1444" s="670">
        <v>2500.51</v>
      </c>
      <c r="C1444" s="37">
        <v>5392</v>
      </c>
      <c r="D1444" s="37">
        <v>609</v>
      </c>
      <c r="E1444" s="37">
        <v>4</v>
      </c>
      <c r="F1444" s="670">
        <v>67841</v>
      </c>
      <c r="G1444" s="37">
        <v>23</v>
      </c>
      <c r="H1444" s="37">
        <v>1</v>
      </c>
      <c r="I1444" s="37">
        <v>1</v>
      </c>
      <c r="J1444" s="672">
        <f t="shared" si="326"/>
        <v>0.112945103857567</v>
      </c>
      <c r="K1444" s="911">
        <f t="shared" si="327"/>
        <v>4.10592775041051</v>
      </c>
      <c r="L1444" s="671">
        <f t="shared" si="328"/>
        <v>27.1308653034781</v>
      </c>
      <c r="M1444" s="672">
        <f t="shared" si="329"/>
        <v>0.00656814449917898</v>
      </c>
      <c r="N1444" s="670">
        <f t="shared" si="330"/>
        <v>16960.25</v>
      </c>
      <c r="O1444" s="670">
        <f t="shared" si="331"/>
        <v>625.1275</v>
      </c>
      <c r="P1444" s="670">
        <f t="shared" si="332"/>
        <v>108.717826086957</v>
      </c>
      <c r="Q1444" s="675">
        <f t="shared" si="333"/>
        <v>104.187916666667</v>
      </c>
      <c r="R1444">
        <f t="shared" si="334"/>
        <v>24</v>
      </c>
      <c r="S1444" s="667">
        <f t="shared" si="335"/>
        <v>0.0394088669950739</v>
      </c>
    </row>
    <row r="1445" spans="1:19">
      <c r="A1445" s="1010">
        <v>46092</v>
      </c>
      <c r="B1445" s="670">
        <v>2427.8</v>
      </c>
      <c r="C1445" s="37">
        <v>6543</v>
      </c>
      <c r="D1445" s="37">
        <v>645</v>
      </c>
      <c r="E1445" s="37">
        <v>1</v>
      </c>
      <c r="F1445" s="670">
        <v>7973</v>
      </c>
      <c r="G1445" s="37">
        <v>20</v>
      </c>
      <c r="H1445" s="37">
        <v>4</v>
      </c>
      <c r="I1445" s="37">
        <v>1</v>
      </c>
      <c r="J1445" s="672">
        <f t="shared" si="326"/>
        <v>0.098578633654287</v>
      </c>
      <c r="K1445" s="911">
        <f t="shared" si="327"/>
        <v>3.76403100775194</v>
      </c>
      <c r="L1445" s="671">
        <f t="shared" si="328"/>
        <v>3.28404316665294</v>
      </c>
      <c r="M1445" s="672">
        <f t="shared" si="329"/>
        <v>0.00155038759689922</v>
      </c>
      <c r="N1445" s="670">
        <f t="shared" si="330"/>
        <v>7973</v>
      </c>
      <c r="O1445" s="670">
        <f t="shared" si="331"/>
        <v>2427.8</v>
      </c>
      <c r="P1445" s="670">
        <f t="shared" si="332"/>
        <v>121.39</v>
      </c>
      <c r="Q1445" s="675">
        <f t="shared" si="333"/>
        <v>101.158333333333</v>
      </c>
      <c r="R1445">
        <f t="shared" si="334"/>
        <v>24</v>
      </c>
      <c r="S1445" s="667">
        <f t="shared" si="335"/>
        <v>0.0372093023255814</v>
      </c>
    </row>
    <row r="1446" spans="1:19">
      <c r="A1446" s="1010">
        <v>46093</v>
      </c>
      <c r="B1446" s="670">
        <v>2861.66</v>
      </c>
      <c r="C1446" s="37">
        <v>7386</v>
      </c>
      <c r="D1446" s="37">
        <v>753</v>
      </c>
      <c r="E1446" s="37">
        <v>1</v>
      </c>
      <c r="F1446" s="670">
        <v>5796</v>
      </c>
      <c r="G1446" s="37">
        <v>24</v>
      </c>
      <c r="H1446" s="37">
        <v>5</v>
      </c>
      <c r="I1446" s="37">
        <v>1</v>
      </c>
      <c r="J1446" s="672">
        <f t="shared" si="326"/>
        <v>0.101949634443542</v>
      </c>
      <c r="K1446" s="911">
        <f t="shared" si="327"/>
        <v>3.80034528552457</v>
      </c>
      <c r="L1446" s="671">
        <f t="shared" si="328"/>
        <v>2.02539784600547</v>
      </c>
      <c r="M1446" s="672">
        <f t="shared" si="329"/>
        <v>0.00132802124833997</v>
      </c>
      <c r="N1446" s="670">
        <f t="shared" si="330"/>
        <v>5796</v>
      </c>
      <c r="O1446" s="670">
        <f t="shared" si="331"/>
        <v>2861.66</v>
      </c>
      <c r="P1446" s="670">
        <f t="shared" si="332"/>
        <v>119.235833333333</v>
      </c>
      <c r="Q1446" s="675">
        <f t="shared" si="333"/>
        <v>98.6779310344828</v>
      </c>
      <c r="R1446">
        <f t="shared" si="334"/>
        <v>29</v>
      </c>
      <c r="S1446" s="667">
        <f t="shared" si="335"/>
        <v>0.0385126162018592</v>
      </c>
    </row>
    <row r="1447" spans="1:19">
      <c r="A1447" s="1010">
        <v>46094</v>
      </c>
      <c r="B1447" s="670">
        <v>2894.66</v>
      </c>
      <c r="C1447" s="37">
        <v>8579</v>
      </c>
      <c r="D1447" s="37">
        <v>670</v>
      </c>
      <c r="E1447" s="37">
        <v>0</v>
      </c>
      <c r="F1447" s="670">
        <v>0</v>
      </c>
      <c r="G1447" s="37">
        <v>18</v>
      </c>
      <c r="H1447" s="37">
        <v>2</v>
      </c>
      <c r="I1447" s="37">
        <v>1</v>
      </c>
      <c r="J1447" s="672">
        <f t="shared" si="326"/>
        <v>0.0780976803823289</v>
      </c>
      <c r="K1447" s="911">
        <f t="shared" si="327"/>
        <v>4.32038805970149</v>
      </c>
      <c r="L1447" s="671">
        <f t="shared" si="328"/>
        <v>0</v>
      </c>
      <c r="M1447" s="672">
        <f t="shared" si="329"/>
        <v>0</v>
      </c>
      <c r="N1447" s="670">
        <f t="shared" si="330"/>
        <v>0</v>
      </c>
      <c r="O1447" s="670">
        <f t="shared" si="331"/>
        <v>0</v>
      </c>
      <c r="P1447" s="670">
        <f t="shared" si="332"/>
        <v>160.814444444444</v>
      </c>
      <c r="Q1447" s="675">
        <f t="shared" si="333"/>
        <v>144.733</v>
      </c>
      <c r="R1447">
        <f t="shared" si="334"/>
        <v>20</v>
      </c>
      <c r="S1447" s="667">
        <f t="shared" si="335"/>
        <v>0.0298507462686567</v>
      </c>
    </row>
    <row r="1448" spans="1:19">
      <c r="A1448" s="1010">
        <v>46095</v>
      </c>
      <c r="B1448" s="670">
        <v>2482.67</v>
      </c>
      <c r="C1448" s="37">
        <v>8391</v>
      </c>
      <c r="D1448" s="37">
        <v>614</v>
      </c>
      <c r="E1448" s="37">
        <v>0</v>
      </c>
      <c r="F1448" s="670">
        <v>0</v>
      </c>
      <c r="G1448" s="37">
        <v>28</v>
      </c>
      <c r="H1448" s="37">
        <v>2</v>
      </c>
      <c r="I1448" s="37">
        <v>2</v>
      </c>
      <c r="J1448" s="672">
        <f t="shared" si="326"/>
        <v>0.0731736384221189</v>
      </c>
      <c r="K1448" s="911">
        <f t="shared" si="327"/>
        <v>4.04343648208469</v>
      </c>
      <c r="L1448" s="671">
        <f t="shared" si="328"/>
        <v>0</v>
      </c>
      <c r="M1448" s="672">
        <f t="shared" si="329"/>
        <v>0</v>
      </c>
      <c r="N1448" s="670">
        <f t="shared" si="330"/>
        <v>0</v>
      </c>
      <c r="O1448" s="670">
        <f t="shared" si="331"/>
        <v>0</v>
      </c>
      <c r="P1448" s="670">
        <f t="shared" si="332"/>
        <v>88.6667857142857</v>
      </c>
      <c r="Q1448" s="675">
        <f t="shared" si="333"/>
        <v>82.7556666666667</v>
      </c>
      <c r="R1448">
        <f t="shared" si="334"/>
        <v>30</v>
      </c>
      <c r="S1448" s="667">
        <f t="shared" si="335"/>
        <v>0.0488599348534202</v>
      </c>
    </row>
    <row r="1449" spans="1:19">
      <c r="A1449" s="1010">
        <v>46096</v>
      </c>
      <c r="B1449" s="670">
        <v>702.02</v>
      </c>
      <c r="C1449" s="37">
        <v>3162</v>
      </c>
      <c r="D1449" s="37">
        <v>357</v>
      </c>
      <c r="E1449" s="37">
        <v>1</v>
      </c>
      <c r="F1449" s="670">
        <v>9746</v>
      </c>
      <c r="G1449" s="37">
        <v>23</v>
      </c>
      <c r="H1449" s="37">
        <v>1</v>
      </c>
      <c r="I1449" s="37">
        <v>5</v>
      </c>
      <c r="J1449" s="672">
        <f t="shared" si="326"/>
        <v>0.112903225806452</v>
      </c>
      <c r="K1449" s="911">
        <f t="shared" si="327"/>
        <v>1.96644257703081</v>
      </c>
      <c r="L1449" s="671">
        <f t="shared" si="328"/>
        <v>13.8827953619555</v>
      </c>
      <c r="M1449" s="672">
        <f t="shared" si="329"/>
        <v>0.00280112044817927</v>
      </c>
      <c r="N1449" s="670">
        <f t="shared" si="330"/>
        <v>9746</v>
      </c>
      <c r="O1449" s="670">
        <f t="shared" si="331"/>
        <v>702.02</v>
      </c>
      <c r="P1449" s="670">
        <f t="shared" si="332"/>
        <v>30.5226086956522</v>
      </c>
      <c r="Q1449" s="675">
        <f t="shared" si="333"/>
        <v>29.2508333333333</v>
      </c>
      <c r="R1449">
        <f t="shared" si="334"/>
        <v>24</v>
      </c>
      <c r="S1449" s="667">
        <f t="shared" si="335"/>
        <v>0.0672268907563025</v>
      </c>
    </row>
    <row r="1450" spans="1:19">
      <c r="A1450" s="1010">
        <v>46097</v>
      </c>
      <c r="B1450" s="670">
        <v>408.27</v>
      </c>
      <c r="C1450" s="37">
        <v>2001</v>
      </c>
      <c r="D1450" s="37">
        <v>220</v>
      </c>
      <c r="E1450" s="37">
        <v>1</v>
      </c>
      <c r="F1450" s="670">
        <v>8244</v>
      </c>
      <c r="G1450" s="37">
        <v>27</v>
      </c>
      <c r="H1450" s="37">
        <v>2</v>
      </c>
      <c r="I1450" s="37">
        <v>1</v>
      </c>
      <c r="J1450" s="672">
        <f t="shared" si="326"/>
        <v>0.109945027486257</v>
      </c>
      <c r="K1450" s="911">
        <f t="shared" si="327"/>
        <v>1.85577272727273</v>
      </c>
      <c r="L1450" s="671">
        <f t="shared" si="328"/>
        <v>20.1925196561099</v>
      </c>
      <c r="M1450" s="672">
        <f t="shared" si="329"/>
        <v>0.00454545454545455</v>
      </c>
      <c r="N1450" s="670">
        <f t="shared" si="330"/>
        <v>8244</v>
      </c>
      <c r="O1450" s="670">
        <f t="shared" si="331"/>
        <v>408.27</v>
      </c>
      <c r="P1450" s="670">
        <f t="shared" si="332"/>
        <v>15.1211111111111</v>
      </c>
      <c r="Q1450" s="675">
        <f t="shared" si="333"/>
        <v>14.078275862069</v>
      </c>
      <c r="R1450">
        <f t="shared" si="334"/>
        <v>29</v>
      </c>
      <c r="S1450" s="667">
        <f t="shared" si="335"/>
        <v>0.131818181818182</v>
      </c>
    </row>
    <row r="1451" spans="1:19">
      <c r="A1451" s="1010">
        <v>46098</v>
      </c>
      <c r="B1451" s="670">
        <v>2649.65</v>
      </c>
      <c r="C1451" s="37">
        <v>5431</v>
      </c>
      <c r="D1451" s="37">
        <v>588</v>
      </c>
      <c r="E1451" s="37">
        <v>0</v>
      </c>
      <c r="F1451" s="670">
        <v>0</v>
      </c>
      <c r="G1451" s="37">
        <v>34</v>
      </c>
      <c r="H1451" s="37">
        <v>0</v>
      </c>
      <c r="I1451" s="37">
        <v>5</v>
      </c>
      <c r="J1451" s="672">
        <f t="shared" si="326"/>
        <v>0.108267354078439</v>
      </c>
      <c r="K1451" s="911">
        <f t="shared" si="327"/>
        <v>4.5062074829932</v>
      </c>
      <c r="L1451" s="671">
        <f t="shared" si="328"/>
        <v>0</v>
      </c>
      <c r="M1451" s="672">
        <f t="shared" si="329"/>
        <v>0</v>
      </c>
      <c r="N1451" s="670">
        <f t="shared" si="330"/>
        <v>0</v>
      </c>
      <c r="O1451" s="670">
        <f t="shared" si="331"/>
        <v>0</v>
      </c>
      <c r="P1451" s="670">
        <f t="shared" si="332"/>
        <v>77.9308823529412</v>
      </c>
      <c r="Q1451" s="675">
        <f t="shared" si="333"/>
        <v>77.9308823529412</v>
      </c>
      <c r="R1451">
        <f t="shared" si="334"/>
        <v>34</v>
      </c>
      <c r="S1451" s="667">
        <f t="shared" si="335"/>
        <v>0.0578231292517007</v>
      </c>
    </row>
    <row r="1452" spans="1:19">
      <c r="A1452" s="1010">
        <v>46099</v>
      </c>
      <c r="B1452" s="670">
        <v>2334.7</v>
      </c>
      <c r="C1452" s="37">
        <v>5277</v>
      </c>
      <c r="D1452" s="37">
        <v>500</v>
      </c>
      <c r="E1452" s="37">
        <v>3</v>
      </c>
      <c r="F1452" s="670">
        <v>21599</v>
      </c>
      <c r="G1452" s="37">
        <v>18</v>
      </c>
      <c r="H1452" s="37">
        <v>0</v>
      </c>
      <c r="I1452" s="37">
        <v>3</v>
      </c>
      <c r="J1452" s="672">
        <f t="shared" si="326"/>
        <v>0.0947508053818457</v>
      </c>
      <c r="K1452" s="911">
        <f t="shared" si="327"/>
        <v>4.6694</v>
      </c>
      <c r="L1452" s="671">
        <f t="shared" si="328"/>
        <v>9.25129566967919</v>
      </c>
      <c r="M1452" s="672">
        <f t="shared" si="329"/>
        <v>0.006</v>
      </c>
      <c r="N1452" s="670">
        <f t="shared" si="330"/>
        <v>7199.66666666667</v>
      </c>
      <c r="O1452" s="670">
        <f t="shared" si="331"/>
        <v>778.233333333333</v>
      </c>
      <c r="P1452" s="670">
        <f t="shared" si="332"/>
        <v>129.705555555556</v>
      </c>
      <c r="Q1452" s="675">
        <f t="shared" si="333"/>
        <v>129.705555555556</v>
      </c>
      <c r="R1452">
        <f t="shared" si="334"/>
        <v>18</v>
      </c>
      <c r="S1452" s="667">
        <f t="shared" si="335"/>
        <v>0.036</v>
      </c>
    </row>
    <row r="1453" spans="1:19">
      <c r="A1453" s="1010">
        <v>46100</v>
      </c>
      <c r="B1453" s="670">
        <v>2132.84</v>
      </c>
      <c r="C1453" s="37">
        <v>6404</v>
      </c>
      <c r="D1453" s="37">
        <v>503</v>
      </c>
      <c r="E1453" s="37">
        <v>1</v>
      </c>
      <c r="F1453" s="670">
        <v>7596</v>
      </c>
      <c r="G1453" s="37">
        <v>23</v>
      </c>
      <c r="H1453" s="37">
        <v>2</v>
      </c>
      <c r="I1453" s="37">
        <v>1</v>
      </c>
      <c r="J1453" s="672">
        <f t="shared" si="326"/>
        <v>0.0785446595877577</v>
      </c>
      <c r="K1453" s="911">
        <f t="shared" si="327"/>
        <v>4.24023856858847</v>
      </c>
      <c r="L1453" s="671">
        <f t="shared" si="328"/>
        <v>3.56144858498528</v>
      </c>
      <c r="M1453" s="672">
        <f t="shared" si="329"/>
        <v>0.00198807157057654</v>
      </c>
      <c r="N1453" s="670">
        <f t="shared" si="330"/>
        <v>7596</v>
      </c>
      <c r="O1453" s="670">
        <f t="shared" si="331"/>
        <v>2132.84</v>
      </c>
      <c r="P1453" s="670">
        <f t="shared" si="332"/>
        <v>92.7321739130435</v>
      </c>
      <c r="Q1453" s="675">
        <f t="shared" si="333"/>
        <v>85.3136</v>
      </c>
      <c r="R1453">
        <f t="shared" si="334"/>
        <v>25</v>
      </c>
      <c r="S1453" s="667">
        <f t="shared" si="335"/>
        <v>0.0497017892644135</v>
      </c>
    </row>
    <row r="1454" spans="1:19">
      <c r="A1454" s="1010">
        <v>46101</v>
      </c>
      <c r="B1454" s="670">
        <v>2426.11</v>
      </c>
      <c r="C1454" s="37">
        <v>6976</v>
      </c>
      <c r="D1454" s="37">
        <v>299</v>
      </c>
      <c r="E1454" s="37">
        <v>0</v>
      </c>
      <c r="F1454" s="670">
        <v>0</v>
      </c>
      <c r="G1454" s="37">
        <v>60</v>
      </c>
      <c r="H1454" s="37">
        <v>8</v>
      </c>
      <c r="I1454" s="37">
        <v>7</v>
      </c>
      <c r="J1454" s="672">
        <f t="shared" si="326"/>
        <v>0.0428612385321101</v>
      </c>
      <c r="K1454" s="911">
        <f t="shared" si="327"/>
        <v>8.11408026755853</v>
      </c>
      <c r="L1454" s="671">
        <f t="shared" si="328"/>
        <v>0</v>
      </c>
      <c r="M1454" s="672">
        <f t="shared" si="329"/>
        <v>0</v>
      </c>
      <c r="N1454" s="670">
        <f t="shared" si="330"/>
        <v>0</v>
      </c>
      <c r="O1454" s="670">
        <f t="shared" si="331"/>
        <v>0</v>
      </c>
      <c r="P1454" s="670">
        <f t="shared" si="332"/>
        <v>40.4351666666667</v>
      </c>
      <c r="Q1454" s="675">
        <f t="shared" si="333"/>
        <v>35.6780882352941</v>
      </c>
      <c r="R1454">
        <f t="shared" si="334"/>
        <v>68</v>
      </c>
      <c r="S1454" s="667">
        <f t="shared" si="335"/>
        <v>0.22742474916388</v>
      </c>
    </row>
    <row r="1455" spans="1:19">
      <c r="A1455" s="1010">
        <v>46102</v>
      </c>
      <c r="B1455" s="670">
        <v>1542.91</v>
      </c>
      <c r="C1455" s="37">
        <v>8407</v>
      </c>
      <c r="D1455" s="37">
        <v>475</v>
      </c>
      <c r="E1455" s="37">
        <v>0</v>
      </c>
      <c r="F1455" s="670">
        <v>0</v>
      </c>
      <c r="G1455" s="37">
        <v>11</v>
      </c>
      <c r="H1455" s="37">
        <v>2</v>
      </c>
      <c r="I1455" s="37">
        <v>1</v>
      </c>
      <c r="J1455" s="672">
        <f t="shared" si="326"/>
        <v>0.0565005352682289</v>
      </c>
      <c r="K1455" s="911">
        <f t="shared" si="327"/>
        <v>3.24823157894737</v>
      </c>
      <c r="L1455" s="671">
        <f t="shared" si="328"/>
        <v>0</v>
      </c>
      <c r="M1455" s="672">
        <f t="shared" si="329"/>
        <v>0</v>
      </c>
      <c r="N1455" s="670">
        <f t="shared" si="330"/>
        <v>0</v>
      </c>
      <c r="O1455" s="670">
        <f t="shared" si="331"/>
        <v>0</v>
      </c>
      <c r="P1455" s="670">
        <f t="shared" si="332"/>
        <v>140.264545454545</v>
      </c>
      <c r="Q1455" s="675">
        <f t="shared" si="333"/>
        <v>118.685384615385</v>
      </c>
      <c r="R1455">
        <f t="shared" si="334"/>
        <v>13</v>
      </c>
      <c r="S1455" s="667">
        <f t="shared" si="335"/>
        <v>0.0273684210526316</v>
      </c>
    </row>
    <row r="1456" spans="1:19">
      <c r="A1456" s="1010">
        <v>46103</v>
      </c>
      <c r="B1456" s="670">
        <v>1570.87</v>
      </c>
      <c r="C1456" s="37">
        <v>8964</v>
      </c>
      <c r="D1456" s="37">
        <v>551</v>
      </c>
      <c r="E1456" s="37">
        <v>0</v>
      </c>
      <c r="F1456" s="670">
        <v>0</v>
      </c>
      <c r="G1456" s="37">
        <v>17</v>
      </c>
      <c r="H1456" s="37">
        <v>3</v>
      </c>
      <c r="I1456" s="37">
        <v>3</v>
      </c>
      <c r="J1456" s="672">
        <f t="shared" si="326"/>
        <v>0.0614680946006247</v>
      </c>
      <c r="K1456" s="911">
        <f t="shared" si="327"/>
        <v>2.85094373865699</v>
      </c>
      <c r="L1456" s="671">
        <f t="shared" si="328"/>
        <v>0</v>
      </c>
      <c r="M1456" s="672">
        <f t="shared" si="329"/>
        <v>0</v>
      </c>
      <c r="N1456" s="670">
        <f t="shared" si="330"/>
        <v>0</v>
      </c>
      <c r="O1456" s="670">
        <f t="shared" si="331"/>
        <v>0</v>
      </c>
      <c r="P1456" s="670">
        <f t="shared" si="332"/>
        <v>92.4041176470588</v>
      </c>
      <c r="Q1456" s="675">
        <f t="shared" si="333"/>
        <v>78.5435</v>
      </c>
      <c r="R1456">
        <f t="shared" si="334"/>
        <v>20</v>
      </c>
      <c r="S1456" s="667">
        <f t="shared" si="335"/>
        <v>0.0362976406533575</v>
      </c>
    </row>
    <row r="1457" spans="1:19">
      <c r="A1457" s="1010">
        <v>46104</v>
      </c>
      <c r="B1457" s="670">
        <v>1608.19</v>
      </c>
      <c r="C1457" s="37">
        <v>6949</v>
      </c>
      <c r="D1457" s="37">
        <v>573</v>
      </c>
      <c r="E1457" s="37">
        <v>1</v>
      </c>
      <c r="F1457" s="670">
        <v>9458</v>
      </c>
      <c r="G1457" s="37">
        <v>29</v>
      </c>
      <c r="H1457" s="37">
        <v>2</v>
      </c>
      <c r="I1457" s="37">
        <v>0</v>
      </c>
      <c r="J1457" s="672">
        <f t="shared" si="326"/>
        <v>0.0824579076126061</v>
      </c>
      <c r="K1457" s="911">
        <f t="shared" si="327"/>
        <v>2.80661431064572</v>
      </c>
      <c r="L1457" s="671">
        <f t="shared" si="328"/>
        <v>5.8811458845037</v>
      </c>
      <c r="M1457" s="672">
        <f t="shared" si="329"/>
        <v>0.00174520069808028</v>
      </c>
      <c r="N1457" s="670">
        <f t="shared" si="330"/>
        <v>9458</v>
      </c>
      <c r="O1457" s="670">
        <f t="shared" si="331"/>
        <v>1608.19</v>
      </c>
      <c r="P1457" s="670">
        <f t="shared" si="332"/>
        <v>55.4548275862069</v>
      </c>
      <c r="Q1457" s="675">
        <f t="shared" si="333"/>
        <v>51.8770967741936</v>
      </c>
      <c r="R1457">
        <f t="shared" si="334"/>
        <v>31</v>
      </c>
      <c r="S1457" s="667">
        <f t="shared" si="335"/>
        <v>0.0541012216404887</v>
      </c>
    </row>
    <row r="1458" spans="1:19">
      <c r="A1458" s="1010">
        <v>46105</v>
      </c>
      <c r="B1458" s="670">
        <v>1547.14</v>
      </c>
      <c r="C1458" s="37">
        <v>8586</v>
      </c>
      <c r="D1458" s="37">
        <v>463</v>
      </c>
      <c r="E1458" s="37">
        <v>2</v>
      </c>
      <c r="F1458" s="670">
        <v>16532</v>
      </c>
      <c r="G1458" s="37">
        <v>31</v>
      </c>
      <c r="H1458" s="37">
        <v>4</v>
      </c>
      <c r="I1458" s="37">
        <v>4</v>
      </c>
      <c r="J1458" s="672">
        <f t="shared" si="326"/>
        <v>0.0539249941765665</v>
      </c>
      <c r="K1458" s="911">
        <f t="shared" si="327"/>
        <v>3.34155507559395</v>
      </c>
      <c r="L1458" s="671">
        <f t="shared" si="328"/>
        <v>10.6855229649547</v>
      </c>
      <c r="M1458" s="672">
        <f t="shared" si="329"/>
        <v>0.00431965442764579</v>
      </c>
      <c r="N1458" s="670">
        <f t="shared" si="330"/>
        <v>8266</v>
      </c>
      <c r="O1458" s="670">
        <f t="shared" si="331"/>
        <v>773.57</v>
      </c>
      <c r="P1458" s="670">
        <f t="shared" si="332"/>
        <v>49.9077419354839</v>
      </c>
      <c r="Q1458" s="675">
        <f t="shared" si="333"/>
        <v>44.204</v>
      </c>
      <c r="R1458">
        <f t="shared" si="334"/>
        <v>35</v>
      </c>
      <c r="S1458" s="667">
        <f t="shared" si="335"/>
        <v>0.0755939524838013</v>
      </c>
    </row>
    <row r="1459" spans="1:19">
      <c r="A1459" s="1010">
        <v>46106</v>
      </c>
      <c r="B1459" s="670">
        <v>1338.86</v>
      </c>
      <c r="C1459" s="37">
        <v>9441</v>
      </c>
      <c r="D1459" s="37">
        <v>479</v>
      </c>
      <c r="E1459" s="37">
        <v>1</v>
      </c>
      <c r="F1459" s="670">
        <v>11596</v>
      </c>
      <c r="G1459" s="37">
        <v>34</v>
      </c>
      <c r="H1459" s="37">
        <v>2</v>
      </c>
      <c r="I1459" s="37">
        <v>1</v>
      </c>
      <c r="J1459" s="672">
        <f t="shared" si="326"/>
        <v>0.0507361508314797</v>
      </c>
      <c r="K1459" s="911">
        <f t="shared" si="327"/>
        <v>2.79511482254697</v>
      </c>
      <c r="L1459" s="671">
        <f t="shared" si="328"/>
        <v>8.66109974157119</v>
      </c>
      <c r="M1459" s="672">
        <f t="shared" si="329"/>
        <v>0.00208768267223382</v>
      </c>
      <c r="N1459" s="670">
        <f t="shared" si="330"/>
        <v>11596</v>
      </c>
      <c r="O1459" s="670">
        <f t="shared" si="331"/>
        <v>1338.86</v>
      </c>
      <c r="P1459" s="670">
        <f t="shared" si="332"/>
        <v>39.3782352941176</v>
      </c>
      <c r="Q1459" s="675">
        <f t="shared" si="333"/>
        <v>37.1905555555556</v>
      </c>
      <c r="R1459">
        <f t="shared" si="334"/>
        <v>36</v>
      </c>
      <c r="S1459" s="667">
        <f t="shared" si="335"/>
        <v>0.0751565762004175</v>
      </c>
    </row>
    <row r="1460" spans="1:19">
      <c r="A1460" s="1010">
        <v>46107</v>
      </c>
      <c r="B1460" s="670">
        <v>1265.54</v>
      </c>
      <c r="C1460" s="37">
        <v>7868</v>
      </c>
      <c r="D1460" s="37">
        <v>484</v>
      </c>
      <c r="E1460" s="37">
        <v>0</v>
      </c>
      <c r="F1460" s="670">
        <v>0</v>
      </c>
      <c r="G1460" s="37">
        <v>14</v>
      </c>
      <c r="H1460" s="37">
        <v>1</v>
      </c>
      <c r="I1460" s="37">
        <v>1</v>
      </c>
      <c r="J1460" s="672">
        <f t="shared" si="326"/>
        <v>0.061514997458058</v>
      </c>
      <c r="K1460" s="911">
        <f t="shared" si="327"/>
        <v>2.6147520661157</v>
      </c>
      <c r="L1460" s="671">
        <f t="shared" si="328"/>
        <v>0</v>
      </c>
      <c r="M1460" s="672">
        <f t="shared" si="329"/>
        <v>0</v>
      </c>
      <c r="N1460" s="670">
        <f t="shared" si="330"/>
        <v>0</v>
      </c>
      <c r="O1460" s="670">
        <f t="shared" si="331"/>
        <v>0</v>
      </c>
      <c r="P1460" s="670">
        <f t="shared" si="332"/>
        <v>90.3957142857143</v>
      </c>
      <c r="Q1460" s="675">
        <f t="shared" si="333"/>
        <v>84.3693333333333</v>
      </c>
      <c r="R1460">
        <f t="shared" si="334"/>
        <v>15</v>
      </c>
      <c r="S1460" s="667">
        <f t="shared" si="335"/>
        <v>0.0309917355371901</v>
      </c>
    </row>
    <row r="1461" spans="1:19">
      <c r="A1461" s="1010">
        <v>46108</v>
      </c>
      <c r="B1461" s="670">
        <v>1327.21</v>
      </c>
      <c r="C1461" s="37">
        <v>5626</v>
      </c>
      <c r="D1461" s="37">
        <v>452</v>
      </c>
      <c r="E1461" s="37">
        <v>0</v>
      </c>
      <c r="F1461" s="670">
        <v>0</v>
      </c>
      <c r="G1461" s="37">
        <v>12</v>
      </c>
      <c r="H1461" s="37">
        <v>1</v>
      </c>
      <c r="I1461" s="37">
        <v>0</v>
      </c>
      <c r="J1461" s="672">
        <f t="shared" si="326"/>
        <v>0.0803412726626378</v>
      </c>
      <c r="K1461" s="911">
        <f t="shared" si="327"/>
        <v>2.93630530973451</v>
      </c>
      <c r="L1461" s="671">
        <f t="shared" si="328"/>
        <v>0</v>
      </c>
      <c r="M1461" s="672">
        <f t="shared" si="329"/>
        <v>0</v>
      </c>
      <c r="N1461" s="670">
        <f t="shared" si="330"/>
        <v>0</v>
      </c>
      <c r="O1461" s="670">
        <f t="shared" si="331"/>
        <v>0</v>
      </c>
      <c r="P1461" s="670">
        <f t="shared" si="332"/>
        <v>110.600833333333</v>
      </c>
      <c r="Q1461" s="675">
        <f t="shared" si="333"/>
        <v>102.093076923077</v>
      </c>
      <c r="R1461">
        <f t="shared" si="334"/>
        <v>13</v>
      </c>
      <c r="S1461" s="667">
        <f t="shared" si="335"/>
        <v>0.0287610619469027</v>
      </c>
    </row>
    <row r="1462" spans="1:19">
      <c r="A1462" s="1010">
        <v>46109</v>
      </c>
      <c r="B1462" s="670">
        <v>1403.28</v>
      </c>
      <c r="C1462" s="37">
        <v>6384</v>
      </c>
      <c r="D1462" s="37">
        <v>435</v>
      </c>
      <c r="E1462" s="37">
        <v>0</v>
      </c>
      <c r="F1462" s="670">
        <v>0</v>
      </c>
      <c r="G1462" s="37">
        <v>13</v>
      </c>
      <c r="H1462" s="37">
        <v>1</v>
      </c>
      <c r="I1462" s="37">
        <v>0</v>
      </c>
      <c r="J1462" s="672">
        <f t="shared" si="326"/>
        <v>0.0681390977443609</v>
      </c>
      <c r="K1462" s="911">
        <f t="shared" si="327"/>
        <v>3.22593103448276</v>
      </c>
      <c r="L1462" s="671">
        <f t="shared" si="328"/>
        <v>0</v>
      </c>
      <c r="M1462" s="672">
        <f t="shared" si="329"/>
        <v>0</v>
      </c>
      <c r="N1462" s="670">
        <f t="shared" si="330"/>
        <v>0</v>
      </c>
      <c r="O1462" s="670">
        <f t="shared" si="331"/>
        <v>0</v>
      </c>
      <c r="P1462" s="670">
        <f t="shared" si="332"/>
        <v>107.944615384615</v>
      </c>
      <c r="Q1462" s="675">
        <f t="shared" si="333"/>
        <v>100.234285714286</v>
      </c>
      <c r="R1462">
        <f t="shared" si="334"/>
        <v>14</v>
      </c>
      <c r="S1462" s="667">
        <f t="shared" si="335"/>
        <v>0.032183908045977</v>
      </c>
    </row>
    <row r="1463" spans="1:19">
      <c r="A1463" s="1010">
        <v>46110</v>
      </c>
      <c r="B1463" s="670">
        <v>1433.14</v>
      </c>
      <c r="C1463" s="37">
        <v>5886</v>
      </c>
      <c r="D1463" s="37">
        <v>477</v>
      </c>
      <c r="E1463" s="37">
        <v>2</v>
      </c>
      <c r="F1463" s="670">
        <v>9245</v>
      </c>
      <c r="G1463" s="37">
        <v>13</v>
      </c>
      <c r="H1463" s="37">
        <v>0</v>
      </c>
      <c r="I1463" s="37">
        <v>1</v>
      </c>
      <c r="J1463" s="672">
        <f t="shared" si="326"/>
        <v>0.081039755351682</v>
      </c>
      <c r="K1463" s="911">
        <f t="shared" si="327"/>
        <v>3.00448637316562</v>
      </c>
      <c r="L1463" s="671">
        <f t="shared" si="328"/>
        <v>6.45087011736467</v>
      </c>
      <c r="M1463" s="672">
        <f t="shared" si="329"/>
        <v>0.00419287211740042</v>
      </c>
      <c r="N1463" s="670">
        <f t="shared" si="330"/>
        <v>4622.5</v>
      </c>
      <c r="O1463" s="670">
        <f t="shared" si="331"/>
        <v>716.57</v>
      </c>
      <c r="P1463" s="670">
        <f t="shared" si="332"/>
        <v>110.241538461538</v>
      </c>
      <c r="Q1463" s="675">
        <f t="shared" si="333"/>
        <v>110.241538461538</v>
      </c>
      <c r="R1463">
        <f t="shared" si="334"/>
        <v>13</v>
      </c>
      <c r="S1463" s="667">
        <f t="shared" si="335"/>
        <v>0.0272536687631027</v>
      </c>
    </row>
    <row r="1464" spans="1:19">
      <c r="A1464" s="1010">
        <v>46111</v>
      </c>
      <c r="B1464" s="670">
        <v>1454.66</v>
      </c>
      <c r="C1464" s="37">
        <v>7485</v>
      </c>
      <c r="D1464" s="37">
        <v>549</v>
      </c>
      <c r="E1464" s="37">
        <v>0</v>
      </c>
      <c r="F1464" s="670">
        <v>0</v>
      </c>
      <c r="G1464" s="37">
        <v>26</v>
      </c>
      <c r="H1464" s="37">
        <v>0</v>
      </c>
      <c r="I1464" s="37">
        <v>2</v>
      </c>
      <c r="J1464" s="672">
        <f t="shared" si="326"/>
        <v>0.0733466933867735</v>
      </c>
      <c r="K1464" s="911">
        <f t="shared" si="327"/>
        <v>2.64965391621129</v>
      </c>
      <c r="L1464" s="671">
        <f t="shared" si="328"/>
        <v>0</v>
      </c>
      <c r="M1464" s="672">
        <f t="shared" si="329"/>
        <v>0</v>
      </c>
      <c r="N1464" s="670">
        <f t="shared" si="330"/>
        <v>0</v>
      </c>
      <c r="O1464" s="670">
        <f t="shared" si="331"/>
        <v>0</v>
      </c>
      <c r="P1464" s="670">
        <f t="shared" si="332"/>
        <v>55.9484615384615</v>
      </c>
      <c r="Q1464" s="675">
        <f t="shared" si="333"/>
        <v>55.9484615384615</v>
      </c>
      <c r="R1464">
        <f t="shared" si="334"/>
        <v>26</v>
      </c>
      <c r="S1464" s="667">
        <f t="shared" si="335"/>
        <v>0.0473588342440801</v>
      </c>
    </row>
    <row r="1465" spans="1:19">
      <c r="A1465" s="1010">
        <v>46112</v>
      </c>
      <c r="B1465" s="670">
        <v>1233.34</v>
      </c>
      <c r="C1465" s="37">
        <v>8428</v>
      </c>
      <c r="D1465" s="37">
        <v>521</v>
      </c>
      <c r="E1465" s="37">
        <v>2</v>
      </c>
      <c r="F1465" s="670">
        <v>30401</v>
      </c>
      <c r="G1465" s="37">
        <v>14</v>
      </c>
      <c r="H1465" s="37">
        <v>0</v>
      </c>
      <c r="I1465" s="37">
        <v>3</v>
      </c>
      <c r="J1465" s="672">
        <f t="shared" si="326"/>
        <v>0.0618177503559563</v>
      </c>
      <c r="K1465" s="911">
        <f t="shared" si="327"/>
        <v>2.36725527831094</v>
      </c>
      <c r="L1465" s="671">
        <f t="shared" si="328"/>
        <v>24.6493262198583</v>
      </c>
      <c r="M1465" s="672">
        <f t="shared" si="329"/>
        <v>0.00383877159309021</v>
      </c>
      <c r="N1465" s="670">
        <f t="shared" si="330"/>
        <v>15200.5</v>
      </c>
      <c r="O1465" s="670">
        <f t="shared" si="331"/>
        <v>616.67</v>
      </c>
      <c r="P1465" s="670">
        <f t="shared" si="332"/>
        <v>88.0957142857143</v>
      </c>
      <c r="Q1465" s="675">
        <f t="shared" si="333"/>
        <v>88.0957142857143</v>
      </c>
      <c r="R1465">
        <f t="shared" si="334"/>
        <v>14</v>
      </c>
      <c r="S1465" s="667">
        <f t="shared" si="335"/>
        <v>0.0268714011516315</v>
      </c>
    </row>
    <row r="1466" spans="1:19">
      <c r="A1466" s="1010">
        <v>46113</v>
      </c>
      <c r="B1466" s="670">
        <v>1359.2</v>
      </c>
      <c r="C1466" s="37">
        <v>12861</v>
      </c>
      <c r="D1466" s="37">
        <v>574</v>
      </c>
      <c r="E1466" s="37">
        <v>0</v>
      </c>
      <c r="F1466" s="670">
        <v>0</v>
      </c>
      <c r="G1466" s="37">
        <v>15</v>
      </c>
      <c r="H1466" s="37">
        <v>4</v>
      </c>
      <c r="I1466" s="37">
        <v>1</v>
      </c>
      <c r="J1466" s="672">
        <f t="shared" si="326"/>
        <v>0.0446310551279061</v>
      </c>
      <c r="K1466" s="911">
        <f t="shared" si="327"/>
        <v>2.36794425087108</v>
      </c>
      <c r="L1466" s="671">
        <f t="shared" si="328"/>
        <v>0</v>
      </c>
      <c r="M1466" s="672">
        <f t="shared" si="329"/>
        <v>0</v>
      </c>
      <c r="N1466" s="670">
        <f t="shared" si="330"/>
        <v>0</v>
      </c>
      <c r="O1466" s="670">
        <f t="shared" si="331"/>
        <v>0</v>
      </c>
      <c r="P1466" s="670">
        <f t="shared" si="332"/>
        <v>90.6133333333333</v>
      </c>
      <c r="Q1466" s="675">
        <f t="shared" si="333"/>
        <v>71.5368421052632</v>
      </c>
      <c r="R1466">
        <f t="shared" si="334"/>
        <v>19</v>
      </c>
      <c r="S1466" s="667">
        <f t="shared" si="335"/>
        <v>0.0331010452961672</v>
      </c>
    </row>
    <row r="1467" spans="1:19">
      <c r="A1467" s="1010">
        <v>46114</v>
      </c>
      <c r="B1467" s="670">
        <v>1491.3</v>
      </c>
      <c r="C1467" s="37">
        <v>13961</v>
      </c>
      <c r="D1467" s="37">
        <v>714</v>
      </c>
      <c r="E1467" s="37">
        <v>0</v>
      </c>
      <c r="F1467" s="670">
        <v>0</v>
      </c>
      <c r="G1467" s="37">
        <v>21</v>
      </c>
      <c r="H1467" s="37">
        <v>1</v>
      </c>
      <c r="I1467" s="37">
        <v>0</v>
      </c>
      <c r="J1467" s="672">
        <f t="shared" si="326"/>
        <v>0.0511424683045627</v>
      </c>
      <c r="K1467" s="911">
        <f t="shared" si="327"/>
        <v>2.08865546218487</v>
      </c>
      <c r="L1467" s="671">
        <f t="shared" si="328"/>
        <v>0</v>
      </c>
      <c r="M1467" s="672">
        <f t="shared" si="329"/>
        <v>0</v>
      </c>
      <c r="N1467" s="670">
        <f t="shared" si="330"/>
        <v>0</v>
      </c>
      <c r="O1467" s="670">
        <f t="shared" si="331"/>
        <v>0</v>
      </c>
      <c r="P1467" s="670">
        <f t="shared" si="332"/>
        <v>71.0142857142857</v>
      </c>
      <c r="Q1467" s="675">
        <f t="shared" si="333"/>
        <v>67.7863636363636</v>
      </c>
      <c r="R1467">
        <f t="shared" si="334"/>
        <v>22</v>
      </c>
      <c r="S1467" s="667">
        <f t="shared" si="335"/>
        <v>0.030812324929972</v>
      </c>
    </row>
    <row r="1468" spans="1:19">
      <c r="A1468" s="1010">
        <v>46115</v>
      </c>
      <c r="B1468" s="670">
        <v>1499.17</v>
      </c>
      <c r="C1468" s="37">
        <v>12304</v>
      </c>
      <c r="D1468" s="37">
        <v>697</v>
      </c>
      <c r="E1468" s="37">
        <v>4</v>
      </c>
      <c r="F1468" s="670">
        <v>25380</v>
      </c>
      <c r="G1468" s="37">
        <v>32</v>
      </c>
      <c r="H1468" s="37">
        <v>2</v>
      </c>
      <c r="I1468" s="37">
        <v>1</v>
      </c>
      <c r="J1468" s="672">
        <f t="shared" si="326"/>
        <v>0.056648244473342</v>
      </c>
      <c r="K1468" s="911">
        <f t="shared" si="327"/>
        <v>2.15088952654232</v>
      </c>
      <c r="L1468" s="671">
        <f t="shared" si="328"/>
        <v>16.9293675833961</v>
      </c>
      <c r="M1468" s="672">
        <f t="shared" si="329"/>
        <v>0.00573888091822095</v>
      </c>
      <c r="N1468" s="670">
        <f t="shared" si="330"/>
        <v>6345</v>
      </c>
      <c r="O1468" s="670">
        <f t="shared" si="331"/>
        <v>374.7925</v>
      </c>
      <c r="P1468" s="670">
        <f t="shared" si="332"/>
        <v>46.8490625</v>
      </c>
      <c r="Q1468" s="675">
        <f t="shared" si="333"/>
        <v>44.0932352941176</v>
      </c>
      <c r="R1468">
        <f t="shared" si="334"/>
        <v>34</v>
      </c>
      <c r="S1468" s="667">
        <f t="shared" si="335"/>
        <v>0.0487804878048781</v>
      </c>
    </row>
    <row r="1469" spans="1:19">
      <c r="A1469" s="1010">
        <v>46116</v>
      </c>
      <c r="B1469" s="670">
        <v>1499.31</v>
      </c>
      <c r="C1469" s="37">
        <v>12860</v>
      </c>
      <c r="D1469" s="37">
        <v>637</v>
      </c>
      <c r="E1469" s="37">
        <v>0</v>
      </c>
      <c r="F1469" s="670">
        <v>0</v>
      </c>
      <c r="G1469" s="37">
        <v>22</v>
      </c>
      <c r="H1469" s="37">
        <v>4</v>
      </c>
      <c r="I1469" s="37">
        <v>0</v>
      </c>
      <c r="J1469" s="672">
        <f t="shared" si="326"/>
        <v>0.0495334370139969</v>
      </c>
      <c r="K1469" s="911">
        <f t="shared" si="327"/>
        <v>2.35370486656201</v>
      </c>
      <c r="L1469" s="671">
        <f t="shared" si="328"/>
        <v>0</v>
      </c>
      <c r="M1469" s="672">
        <f t="shared" si="329"/>
        <v>0</v>
      </c>
      <c r="N1469" s="670">
        <f t="shared" si="330"/>
        <v>0</v>
      </c>
      <c r="O1469" s="670">
        <f t="shared" si="331"/>
        <v>0</v>
      </c>
      <c r="P1469" s="670">
        <f t="shared" si="332"/>
        <v>68.1504545454545</v>
      </c>
      <c r="Q1469" s="675">
        <f t="shared" si="333"/>
        <v>57.6657692307692</v>
      </c>
      <c r="R1469">
        <f t="shared" si="334"/>
        <v>26</v>
      </c>
      <c r="S1469" s="667">
        <f t="shared" si="335"/>
        <v>0.0408163265306122</v>
      </c>
    </row>
    <row r="1470" spans="1:19">
      <c r="A1470" s="1010">
        <v>46117</v>
      </c>
      <c r="B1470" s="670">
        <v>1508.43</v>
      </c>
      <c r="C1470" s="37">
        <v>14696</v>
      </c>
      <c r="D1470" s="37">
        <v>669</v>
      </c>
      <c r="E1470" s="37">
        <v>0</v>
      </c>
      <c r="F1470" s="670">
        <v>0</v>
      </c>
      <c r="G1470" s="37">
        <v>18</v>
      </c>
      <c r="H1470" s="37">
        <v>1</v>
      </c>
      <c r="I1470" s="37">
        <v>3</v>
      </c>
      <c r="J1470" s="672">
        <f t="shared" si="326"/>
        <v>0.0455225911812738</v>
      </c>
      <c r="K1470" s="911">
        <f t="shared" si="327"/>
        <v>2.2547533632287</v>
      </c>
      <c r="L1470" s="671">
        <f t="shared" si="328"/>
        <v>0</v>
      </c>
      <c r="M1470" s="672">
        <f t="shared" si="329"/>
        <v>0</v>
      </c>
      <c r="N1470" s="670">
        <f t="shared" si="330"/>
        <v>0</v>
      </c>
      <c r="O1470" s="670">
        <f t="shared" si="331"/>
        <v>0</v>
      </c>
      <c r="P1470" s="670">
        <f t="shared" si="332"/>
        <v>83.8016666666667</v>
      </c>
      <c r="Q1470" s="675">
        <f t="shared" si="333"/>
        <v>79.3910526315789</v>
      </c>
      <c r="R1470">
        <f t="shared" si="334"/>
        <v>19</v>
      </c>
      <c r="S1470" s="667">
        <f t="shared" si="335"/>
        <v>0.0284005979073244</v>
      </c>
    </row>
    <row r="1471" spans="1:19">
      <c r="A1471" s="1010">
        <v>46118</v>
      </c>
      <c r="B1471" s="670">
        <v>1493.58</v>
      </c>
      <c r="C1471" s="37">
        <v>14197</v>
      </c>
      <c r="D1471" s="37">
        <v>662</v>
      </c>
      <c r="E1471" s="37">
        <v>0</v>
      </c>
      <c r="F1471" s="670">
        <v>0</v>
      </c>
      <c r="G1471" s="37">
        <v>14</v>
      </c>
      <c r="H1471" s="37">
        <v>1</v>
      </c>
      <c r="I1471" s="37">
        <v>2</v>
      </c>
      <c r="J1471" s="672">
        <f t="shared" ref="J1471:J1503" si="336">D1471/C1471</f>
        <v>0.0466295696273861</v>
      </c>
      <c r="K1471" s="911">
        <f t="shared" ref="K1471:K1503" si="337">B1471/D1471</f>
        <v>2.25616314199396</v>
      </c>
      <c r="L1471" s="671">
        <f t="shared" ref="L1471:L1503" si="338">F1471/B1471</f>
        <v>0</v>
      </c>
      <c r="M1471" s="672">
        <f t="shared" ref="M1471:M1503" si="339">E1471/D1471</f>
        <v>0</v>
      </c>
      <c r="N1471" s="670">
        <f t="shared" ref="N1471:N1503" si="340">IF(E1471=0,0,F1471/E1471)</f>
        <v>0</v>
      </c>
      <c r="O1471" s="670">
        <f t="shared" ref="O1471:O1503" si="341">IF(E1471=0,0,B1471/E1471)</f>
        <v>0</v>
      </c>
      <c r="P1471" s="670">
        <f t="shared" ref="P1471:P1503" si="342">B1471/G1471</f>
        <v>106.684285714286</v>
      </c>
      <c r="Q1471" s="675">
        <f t="shared" ref="Q1471:Q1503" si="343">B1471/(G1471+H1471)</f>
        <v>99.572</v>
      </c>
      <c r="R1471">
        <f t="shared" ref="R1471:R1503" si="344">G1471+H1471</f>
        <v>15</v>
      </c>
      <c r="S1471" s="667">
        <f t="shared" ref="S1471:S1503" si="345">R1471/D1471</f>
        <v>0.0226586102719033</v>
      </c>
    </row>
    <row r="1472" spans="1:19">
      <c r="A1472" s="1010">
        <v>46119</v>
      </c>
      <c r="B1472" s="670">
        <v>954.89</v>
      </c>
      <c r="C1472" s="37">
        <v>8850</v>
      </c>
      <c r="D1472" s="37">
        <v>452</v>
      </c>
      <c r="E1472" s="37">
        <v>2</v>
      </c>
      <c r="F1472" s="670">
        <v>9232</v>
      </c>
      <c r="G1472" s="37">
        <v>25</v>
      </c>
      <c r="H1472" s="37">
        <v>2</v>
      </c>
      <c r="I1472" s="37">
        <v>0</v>
      </c>
      <c r="J1472" s="672">
        <f t="shared" si="336"/>
        <v>0.0510734463276836</v>
      </c>
      <c r="K1472" s="911">
        <f t="shared" si="337"/>
        <v>2.11258849557522</v>
      </c>
      <c r="L1472" s="671">
        <f t="shared" si="338"/>
        <v>9.66812931332405</v>
      </c>
      <c r="M1472" s="672">
        <f t="shared" si="339"/>
        <v>0.00442477876106195</v>
      </c>
      <c r="N1472" s="670">
        <f t="shared" si="340"/>
        <v>4616</v>
      </c>
      <c r="O1472" s="670">
        <f t="shared" si="341"/>
        <v>477.445</v>
      </c>
      <c r="P1472" s="670">
        <f t="shared" si="342"/>
        <v>38.1956</v>
      </c>
      <c r="Q1472" s="675">
        <f t="shared" si="343"/>
        <v>35.3662962962963</v>
      </c>
      <c r="R1472">
        <f t="shared" si="344"/>
        <v>27</v>
      </c>
      <c r="S1472" s="667">
        <f t="shared" si="345"/>
        <v>0.0597345132743363</v>
      </c>
    </row>
    <row r="1473" spans="1:19">
      <c r="A1473" s="1010">
        <v>46120</v>
      </c>
      <c r="B1473" s="670">
        <v>951.74</v>
      </c>
      <c r="C1473" s="37">
        <v>8733</v>
      </c>
      <c r="D1473" s="37">
        <v>473</v>
      </c>
      <c r="E1473" s="37">
        <v>0</v>
      </c>
      <c r="F1473" s="670">
        <v>0</v>
      </c>
      <c r="G1473" s="37">
        <v>19</v>
      </c>
      <c r="H1473" s="37">
        <v>1</v>
      </c>
      <c r="I1473" s="37">
        <v>1</v>
      </c>
      <c r="J1473" s="672">
        <f t="shared" si="336"/>
        <v>0.0541623726096416</v>
      </c>
      <c r="K1473" s="911">
        <f t="shared" si="337"/>
        <v>2.01213530655391</v>
      </c>
      <c r="L1473" s="671">
        <f t="shared" si="338"/>
        <v>0</v>
      </c>
      <c r="M1473" s="672">
        <f t="shared" si="339"/>
        <v>0</v>
      </c>
      <c r="N1473" s="670">
        <f t="shared" si="340"/>
        <v>0</v>
      </c>
      <c r="O1473" s="670">
        <f t="shared" si="341"/>
        <v>0</v>
      </c>
      <c r="P1473" s="670">
        <f t="shared" si="342"/>
        <v>50.0915789473684</v>
      </c>
      <c r="Q1473" s="675">
        <f t="shared" si="343"/>
        <v>47.587</v>
      </c>
      <c r="R1473">
        <f t="shared" si="344"/>
        <v>20</v>
      </c>
      <c r="S1473" s="667">
        <f t="shared" si="345"/>
        <v>0.0422832980972516</v>
      </c>
    </row>
    <row r="1474" spans="1:19">
      <c r="A1474" s="1010">
        <v>46121</v>
      </c>
      <c r="B1474" s="670">
        <v>950.62</v>
      </c>
      <c r="C1474" s="37">
        <v>10379</v>
      </c>
      <c r="D1474" s="37">
        <v>545</v>
      </c>
      <c r="E1474" s="37">
        <v>0</v>
      </c>
      <c r="F1474" s="670">
        <v>0</v>
      </c>
      <c r="G1474" s="37">
        <v>20</v>
      </c>
      <c r="H1474" s="37">
        <v>3</v>
      </c>
      <c r="I1474" s="37">
        <v>1</v>
      </c>
      <c r="J1474" s="672">
        <f t="shared" si="336"/>
        <v>0.0525098757105694</v>
      </c>
      <c r="K1474" s="911">
        <f t="shared" si="337"/>
        <v>1.74425688073394</v>
      </c>
      <c r="L1474" s="671">
        <f t="shared" si="338"/>
        <v>0</v>
      </c>
      <c r="M1474" s="672">
        <f t="shared" si="339"/>
        <v>0</v>
      </c>
      <c r="N1474" s="670">
        <f t="shared" si="340"/>
        <v>0</v>
      </c>
      <c r="O1474" s="670">
        <f t="shared" si="341"/>
        <v>0</v>
      </c>
      <c r="P1474" s="670">
        <f t="shared" si="342"/>
        <v>47.531</v>
      </c>
      <c r="Q1474" s="675">
        <f t="shared" si="343"/>
        <v>41.3313043478261</v>
      </c>
      <c r="R1474">
        <f t="shared" si="344"/>
        <v>23</v>
      </c>
      <c r="S1474" s="667">
        <f t="shared" si="345"/>
        <v>0.0422018348623853</v>
      </c>
    </row>
    <row r="1475" spans="1:19">
      <c r="A1475" s="1010">
        <v>46122</v>
      </c>
      <c r="B1475" s="670">
        <v>983.47</v>
      </c>
      <c r="C1475" s="37">
        <v>12978</v>
      </c>
      <c r="D1475" s="37">
        <v>566</v>
      </c>
      <c r="E1475" s="37">
        <v>1</v>
      </c>
      <c r="F1475" s="670">
        <v>8684</v>
      </c>
      <c r="G1475" s="37">
        <v>15</v>
      </c>
      <c r="H1475" s="37">
        <v>0</v>
      </c>
      <c r="I1475" s="37">
        <v>1</v>
      </c>
      <c r="J1475" s="672">
        <f t="shared" si="336"/>
        <v>0.0436122669132378</v>
      </c>
      <c r="K1475" s="911">
        <f t="shared" si="337"/>
        <v>1.73757950530035</v>
      </c>
      <c r="L1475" s="671">
        <f t="shared" si="338"/>
        <v>8.82995922600588</v>
      </c>
      <c r="M1475" s="672">
        <f t="shared" si="339"/>
        <v>0.00176678445229682</v>
      </c>
      <c r="N1475" s="670">
        <f t="shared" si="340"/>
        <v>8684</v>
      </c>
      <c r="O1475" s="670">
        <f t="shared" si="341"/>
        <v>983.47</v>
      </c>
      <c r="P1475" s="670">
        <f t="shared" si="342"/>
        <v>65.5646666666667</v>
      </c>
      <c r="Q1475" s="675">
        <f t="shared" si="343"/>
        <v>65.5646666666667</v>
      </c>
      <c r="R1475">
        <f t="shared" si="344"/>
        <v>15</v>
      </c>
      <c r="S1475" s="667">
        <f t="shared" si="345"/>
        <v>0.0265017667844523</v>
      </c>
    </row>
    <row r="1476" spans="1:19">
      <c r="A1476" s="1010">
        <v>46123</v>
      </c>
      <c r="B1476" s="670">
        <v>1028.58</v>
      </c>
      <c r="C1476" s="37">
        <v>12540</v>
      </c>
      <c r="D1476" s="37">
        <v>520</v>
      </c>
      <c r="E1476" s="37">
        <v>1</v>
      </c>
      <c r="F1476" s="670">
        <v>9431.01</v>
      </c>
      <c r="G1476" s="37">
        <v>29</v>
      </c>
      <c r="H1476" s="37">
        <v>2</v>
      </c>
      <c r="I1476" s="37">
        <v>1</v>
      </c>
      <c r="J1476" s="672">
        <f t="shared" si="336"/>
        <v>0.0414673046251994</v>
      </c>
      <c r="K1476" s="911">
        <f t="shared" si="337"/>
        <v>1.97803846153846</v>
      </c>
      <c r="L1476" s="671">
        <f t="shared" si="338"/>
        <v>9.1689610919909</v>
      </c>
      <c r="M1476" s="672">
        <f t="shared" si="339"/>
        <v>0.00192307692307692</v>
      </c>
      <c r="N1476" s="670">
        <f t="shared" si="340"/>
        <v>9431.01</v>
      </c>
      <c r="O1476" s="670">
        <f t="shared" si="341"/>
        <v>1028.58</v>
      </c>
      <c r="P1476" s="670">
        <f t="shared" si="342"/>
        <v>35.468275862069</v>
      </c>
      <c r="Q1476" s="675">
        <f t="shared" si="343"/>
        <v>33.18</v>
      </c>
      <c r="R1476">
        <f t="shared" si="344"/>
        <v>31</v>
      </c>
      <c r="S1476" s="667">
        <f t="shared" si="345"/>
        <v>0.0596153846153846</v>
      </c>
    </row>
    <row r="1477" spans="1:19">
      <c r="A1477" s="1010">
        <v>46124</v>
      </c>
      <c r="B1477" s="670">
        <v>1047.94</v>
      </c>
      <c r="C1477" s="37">
        <v>10172</v>
      </c>
      <c r="D1477" s="37">
        <v>550</v>
      </c>
      <c r="E1477" s="37">
        <v>0</v>
      </c>
      <c r="F1477" s="670">
        <v>0</v>
      </c>
      <c r="G1477" s="37">
        <v>17</v>
      </c>
      <c r="H1477" s="37">
        <v>2</v>
      </c>
      <c r="I1477" s="37">
        <v>1</v>
      </c>
      <c r="J1477" s="672">
        <f t="shared" si="336"/>
        <v>0.0540699960676366</v>
      </c>
      <c r="K1477" s="911">
        <f t="shared" si="337"/>
        <v>1.90534545454545</v>
      </c>
      <c r="L1477" s="671">
        <f t="shared" si="338"/>
        <v>0</v>
      </c>
      <c r="M1477" s="672">
        <f t="shared" si="339"/>
        <v>0</v>
      </c>
      <c r="N1477" s="670">
        <f t="shared" si="340"/>
        <v>0</v>
      </c>
      <c r="O1477" s="670">
        <f t="shared" si="341"/>
        <v>0</v>
      </c>
      <c r="P1477" s="670">
        <f t="shared" si="342"/>
        <v>61.6435294117647</v>
      </c>
      <c r="Q1477" s="675">
        <f t="shared" si="343"/>
        <v>55.1547368421053</v>
      </c>
      <c r="R1477">
        <f t="shared" si="344"/>
        <v>19</v>
      </c>
      <c r="S1477" s="667">
        <f t="shared" si="345"/>
        <v>0.0345454545454545</v>
      </c>
    </row>
    <row r="1478" spans="1:19">
      <c r="A1478" s="1010">
        <v>46125</v>
      </c>
      <c r="B1478" s="670">
        <v>1007.9</v>
      </c>
      <c r="C1478" s="37">
        <v>8128</v>
      </c>
      <c r="D1478" s="37">
        <v>468</v>
      </c>
      <c r="E1478" s="37">
        <v>0</v>
      </c>
      <c r="F1478" s="670">
        <v>0</v>
      </c>
      <c r="G1478" s="37">
        <v>12</v>
      </c>
      <c r="H1478" s="37">
        <v>0</v>
      </c>
      <c r="I1478" s="37">
        <v>2</v>
      </c>
      <c r="J1478" s="672">
        <f t="shared" si="336"/>
        <v>0.0575787401574803</v>
      </c>
      <c r="K1478" s="911">
        <f t="shared" si="337"/>
        <v>2.15363247863248</v>
      </c>
      <c r="L1478" s="671">
        <f t="shared" si="338"/>
        <v>0</v>
      </c>
      <c r="M1478" s="672">
        <f t="shared" si="339"/>
        <v>0</v>
      </c>
      <c r="N1478" s="670">
        <f t="shared" si="340"/>
        <v>0</v>
      </c>
      <c r="O1478" s="670">
        <f t="shared" si="341"/>
        <v>0</v>
      </c>
      <c r="P1478" s="670">
        <f t="shared" si="342"/>
        <v>83.9916666666667</v>
      </c>
      <c r="Q1478" s="675">
        <f t="shared" si="343"/>
        <v>83.9916666666667</v>
      </c>
      <c r="R1478">
        <f t="shared" si="344"/>
        <v>12</v>
      </c>
      <c r="S1478" s="667">
        <f t="shared" si="345"/>
        <v>0.0256410256410256</v>
      </c>
    </row>
    <row r="1479" spans="1:19">
      <c r="A1479" s="1010">
        <v>46126</v>
      </c>
      <c r="B1479" s="670">
        <v>1179.72</v>
      </c>
      <c r="C1479" s="37">
        <v>7682</v>
      </c>
      <c r="D1479" s="37">
        <v>579</v>
      </c>
      <c r="E1479" s="37">
        <v>3</v>
      </c>
      <c r="F1479" s="670">
        <v>27515</v>
      </c>
      <c r="G1479" s="37">
        <v>33</v>
      </c>
      <c r="H1479" s="37">
        <v>0</v>
      </c>
      <c r="I1479" s="37">
        <v>0</v>
      </c>
      <c r="J1479" s="672">
        <f t="shared" si="336"/>
        <v>0.0753709971361625</v>
      </c>
      <c r="K1479" s="911">
        <f t="shared" si="337"/>
        <v>2.03751295336788</v>
      </c>
      <c r="L1479" s="671">
        <f t="shared" si="338"/>
        <v>23.3233309598888</v>
      </c>
      <c r="M1479" s="672">
        <f t="shared" si="339"/>
        <v>0.00518134715025907</v>
      </c>
      <c r="N1479" s="670">
        <f t="shared" si="340"/>
        <v>9171.66666666667</v>
      </c>
      <c r="O1479" s="670">
        <f t="shared" si="341"/>
        <v>393.24</v>
      </c>
      <c r="P1479" s="670">
        <f t="shared" si="342"/>
        <v>35.7490909090909</v>
      </c>
      <c r="Q1479" s="675">
        <f t="shared" si="343"/>
        <v>35.7490909090909</v>
      </c>
      <c r="R1479">
        <f t="shared" si="344"/>
        <v>33</v>
      </c>
      <c r="S1479" s="667">
        <f t="shared" si="345"/>
        <v>0.0569948186528497</v>
      </c>
    </row>
    <row r="1480" spans="1:19">
      <c r="A1480" s="1010">
        <v>46127</v>
      </c>
      <c r="B1480" s="670">
        <v>1030.06</v>
      </c>
      <c r="C1480" s="37">
        <v>6901</v>
      </c>
      <c r="D1480" s="37">
        <v>526</v>
      </c>
      <c r="E1480" s="37">
        <v>0</v>
      </c>
      <c r="F1480" s="670">
        <v>0</v>
      </c>
      <c r="G1480" s="37">
        <v>24</v>
      </c>
      <c r="H1480" s="37">
        <v>3</v>
      </c>
      <c r="I1480" s="37">
        <v>1</v>
      </c>
      <c r="J1480" s="672">
        <f t="shared" si="336"/>
        <v>0.0762208375597739</v>
      </c>
      <c r="K1480" s="911">
        <f t="shared" si="337"/>
        <v>1.95828897338403</v>
      </c>
      <c r="L1480" s="671">
        <f t="shared" si="338"/>
        <v>0</v>
      </c>
      <c r="M1480" s="672">
        <f t="shared" si="339"/>
        <v>0</v>
      </c>
      <c r="N1480" s="670">
        <f t="shared" si="340"/>
        <v>0</v>
      </c>
      <c r="O1480" s="670">
        <f t="shared" si="341"/>
        <v>0</v>
      </c>
      <c r="P1480" s="670">
        <f t="shared" si="342"/>
        <v>42.9191666666667</v>
      </c>
      <c r="Q1480" s="675">
        <f t="shared" si="343"/>
        <v>38.1503703703704</v>
      </c>
      <c r="R1480">
        <f t="shared" si="344"/>
        <v>27</v>
      </c>
      <c r="S1480" s="667">
        <f t="shared" si="345"/>
        <v>0.0513307984790875</v>
      </c>
    </row>
    <row r="1481" spans="1:19">
      <c r="A1481" s="1010">
        <v>46128</v>
      </c>
      <c r="B1481" s="670">
        <v>1042.47</v>
      </c>
      <c r="C1481" s="37">
        <v>8287</v>
      </c>
      <c r="D1481" s="37">
        <v>462</v>
      </c>
      <c r="E1481" s="37">
        <v>0</v>
      </c>
      <c r="F1481" s="670">
        <v>0</v>
      </c>
      <c r="G1481" s="37">
        <v>14</v>
      </c>
      <c r="H1481" s="37">
        <v>2</v>
      </c>
      <c r="I1481" s="37">
        <v>0</v>
      </c>
      <c r="J1481" s="672">
        <f t="shared" si="336"/>
        <v>0.0557499698322674</v>
      </c>
      <c r="K1481" s="911">
        <f t="shared" si="337"/>
        <v>2.25642857142857</v>
      </c>
      <c r="L1481" s="671">
        <f t="shared" si="338"/>
        <v>0</v>
      </c>
      <c r="M1481" s="672">
        <f t="shared" si="339"/>
        <v>0</v>
      </c>
      <c r="N1481" s="670">
        <f t="shared" si="340"/>
        <v>0</v>
      </c>
      <c r="O1481" s="670">
        <f t="shared" si="341"/>
        <v>0</v>
      </c>
      <c r="P1481" s="670">
        <f t="shared" si="342"/>
        <v>74.4621428571429</v>
      </c>
      <c r="Q1481" s="675">
        <f t="shared" si="343"/>
        <v>65.154375</v>
      </c>
      <c r="R1481">
        <f t="shared" si="344"/>
        <v>16</v>
      </c>
      <c r="S1481" s="667">
        <f t="shared" si="345"/>
        <v>0.0346320346320346</v>
      </c>
    </row>
    <row r="1482" spans="1:19">
      <c r="A1482" s="1010">
        <v>46129</v>
      </c>
      <c r="B1482" s="670">
        <v>1002.63</v>
      </c>
      <c r="C1482" s="37">
        <v>7741</v>
      </c>
      <c r="D1482" s="37">
        <v>474</v>
      </c>
      <c r="E1482" s="37">
        <v>0</v>
      </c>
      <c r="F1482" s="670">
        <v>0</v>
      </c>
      <c r="G1482" s="37">
        <v>23</v>
      </c>
      <c r="H1482" s="37">
        <v>3</v>
      </c>
      <c r="I1482" s="37">
        <v>2</v>
      </c>
      <c r="J1482" s="672">
        <f t="shared" si="336"/>
        <v>0.0612323989148689</v>
      </c>
      <c r="K1482" s="911">
        <f t="shared" si="337"/>
        <v>2.11525316455696</v>
      </c>
      <c r="L1482" s="671">
        <f t="shared" si="338"/>
        <v>0</v>
      </c>
      <c r="M1482" s="672">
        <f t="shared" si="339"/>
        <v>0</v>
      </c>
      <c r="N1482" s="670">
        <f t="shared" si="340"/>
        <v>0</v>
      </c>
      <c r="O1482" s="670">
        <f t="shared" si="341"/>
        <v>0</v>
      </c>
      <c r="P1482" s="670">
        <f t="shared" si="342"/>
        <v>43.5926086956522</v>
      </c>
      <c r="Q1482" s="675">
        <f t="shared" si="343"/>
        <v>38.5626923076923</v>
      </c>
      <c r="R1482">
        <f t="shared" si="344"/>
        <v>26</v>
      </c>
      <c r="S1482" s="667">
        <f t="shared" si="345"/>
        <v>0.0548523206751055</v>
      </c>
    </row>
    <row r="1483" spans="1:19">
      <c r="A1483" s="1010">
        <v>46130</v>
      </c>
      <c r="B1483" s="670">
        <v>1004.39</v>
      </c>
      <c r="C1483" s="37">
        <v>8589</v>
      </c>
      <c r="D1483" s="37">
        <v>449</v>
      </c>
      <c r="E1483" s="37">
        <v>0</v>
      </c>
      <c r="F1483" s="670">
        <v>0</v>
      </c>
      <c r="G1483" s="37">
        <v>17</v>
      </c>
      <c r="H1483" s="37">
        <v>1</v>
      </c>
      <c r="I1483" s="37">
        <v>0</v>
      </c>
      <c r="J1483" s="672">
        <f t="shared" si="336"/>
        <v>0.0522761671905926</v>
      </c>
      <c r="K1483" s="911">
        <f t="shared" si="337"/>
        <v>2.23694877505568</v>
      </c>
      <c r="L1483" s="671">
        <f t="shared" si="338"/>
        <v>0</v>
      </c>
      <c r="M1483" s="672">
        <f t="shared" si="339"/>
        <v>0</v>
      </c>
      <c r="N1483" s="670">
        <f t="shared" si="340"/>
        <v>0</v>
      </c>
      <c r="O1483" s="670">
        <f t="shared" si="341"/>
        <v>0</v>
      </c>
      <c r="P1483" s="670">
        <f t="shared" si="342"/>
        <v>59.0817647058823</v>
      </c>
      <c r="Q1483" s="675">
        <f t="shared" si="343"/>
        <v>55.7994444444444</v>
      </c>
      <c r="R1483">
        <f t="shared" si="344"/>
        <v>18</v>
      </c>
      <c r="S1483" s="667">
        <f t="shared" si="345"/>
        <v>0.0400890868596882</v>
      </c>
    </row>
    <row r="1484" spans="1:19">
      <c r="A1484" s="1010">
        <v>46131</v>
      </c>
      <c r="B1484" s="670">
        <v>992.54</v>
      </c>
      <c r="C1484" s="37">
        <v>9375</v>
      </c>
      <c r="D1484" s="37">
        <v>438</v>
      </c>
      <c r="E1484" s="37">
        <v>0</v>
      </c>
      <c r="F1484" s="670">
        <v>0</v>
      </c>
      <c r="G1484" s="37">
        <v>12</v>
      </c>
      <c r="H1484" s="37">
        <v>1</v>
      </c>
      <c r="I1484" s="37">
        <v>1</v>
      </c>
      <c r="J1484" s="672">
        <f t="shared" si="336"/>
        <v>0.04672</v>
      </c>
      <c r="K1484" s="911">
        <f t="shared" si="337"/>
        <v>2.26607305936073</v>
      </c>
      <c r="L1484" s="671">
        <f t="shared" si="338"/>
        <v>0</v>
      </c>
      <c r="M1484" s="672">
        <f t="shared" si="339"/>
        <v>0</v>
      </c>
      <c r="N1484" s="670">
        <f t="shared" si="340"/>
        <v>0</v>
      </c>
      <c r="O1484" s="670">
        <f t="shared" si="341"/>
        <v>0</v>
      </c>
      <c r="P1484" s="670">
        <f t="shared" si="342"/>
        <v>82.7116666666667</v>
      </c>
      <c r="Q1484" s="675">
        <f t="shared" si="343"/>
        <v>76.3492307692308</v>
      </c>
      <c r="R1484">
        <f t="shared" si="344"/>
        <v>13</v>
      </c>
      <c r="S1484" s="667">
        <f t="shared" si="345"/>
        <v>0.0296803652968037</v>
      </c>
    </row>
    <row r="1485" spans="1:19">
      <c r="A1485" s="1010">
        <v>46132</v>
      </c>
      <c r="B1485" s="670">
        <v>971.35</v>
      </c>
      <c r="C1485" s="37">
        <v>6000</v>
      </c>
      <c r="D1485" s="37">
        <v>350</v>
      </c>
      <c r="E1485" s="37">
        <v>0</v>
      </c>
      <c r="F1485" s="670">
        <v>0</v>
      </c>
      <c r="G1485" s="37">
        <v>12</v>
      </c>
      <c r="H1485" s="37">
        <v>1</v>
      </c>
      <c r="I1485" s="37">
        <v>1</v>
      </c>
      <c r="J1485" s="672">
        <f t="shared" si="336"/>
        <v>0.0583333333333333</v>
      </c>
      <c r="K1485" s="911">
        <f t="shared" si="337"/>
        <v>2.77528571428571</v>
      </c>
      <c r="L1485" s="671">
        <f t="shared" si="338"/>
        <v>0</v>
      </c>
      <c r="M1485" s="672">
        <f t="shared" si="339"/>
        <v>0</v>
      </c>
      <c r="N1485" s="670">
        <f t="shared" si="340"/>
        <v>0</v>
      </c>
      <c r="O1485" s="670">
        <f t="shared" si="341"/>
        <v>0</v>
      </c>
      <c r="P1485" s="670">
        <f t="shared" si="342"/>
        <v>80.9458333333333</v>
      </c>
      <c r="Q1485" s="675">
        <f t="shared" si="343"/>
        <v>74.7192307692308</v>
      </c>
      <c r="R1485">
        <f t="shared" si="344"/>
        <v>13</v>
      </c>
      <c r="S1485" s="667">
        <f t="shared" si="345"/>
        <v>0.0371428571428571</v>
      </c>
    </row>
    <row r="1486" spans="1:19">
      <c r="A1486" s="1010">
        <v>46133</v>
      </c>
      <c r="B1486" s="670">
        <v>1403.26</v>
      </c>
      <c r="C1486" s="37">
        <v>8626</v>
      </c>
      <c r="D1486" s="37">
        <v>476</v>
      </c>
      <c r="E1486" s="37">
        <v>0</v>
      </c>
      <c r="F1486" s="670">
        <v>0</v>
      </c>
      <c r="G1486" s="37">
        <v>21</v>
      </c>
      <c r="H1486" s="37">
        <v>4</v>
      </c>
      <c r="I1486" s="37">
        <v>1</v>
      </c>
      <c r="J1486" s="672">
        <f t="shared" si="336"/>
        <v>0.055182007883144</v>
      </c>
      <c r="K1486" s="911">
        <f t="shared" si="337"/>
        <v>2.94802521008403</v>
      </c>
      <c r="L1486" s="671">
        <f t="shared" si="338"/>
        <v>0</v>
      </c>
      <c r="M1486" s="672">
        <f t="shared" si="339"/>
        <v>0</v>
      </c>
      <c r="N1486" s="670">
        <f t="shared" si="340"/>
        <v>0</v>
      </c>
      <c r="O1486" s="670">
        <f t="shared" si="341"/>
        <v>0</v>
      </c>
      <c r="P1486" s="670">
        <f t="shared" si="342"/>
        <v>66.8219047619048</v>
      </c>
      <c r="Q1486" s="675">
        <f t="shared" si="343"/>
        <v>56.1304</v>
      </c>
      <c r="R1486">
        <f t="shared" si="344"/>
        <v>25</v>
      </c>
      <c r="S1486" s="667">
        <f t="shared" si="345"/>
        <v>0.0525210084033613</v>
      </c>
    </row>
    <row r="1487" spans="1:19">
      <c r="A1487" s="1010">
        <v>46134</v>
      </c>
      <c r="B1487" s="670">
        <v>1343.63</v>
      </c>
      <c r="C1487" s="37">
        <v>11699</v>
      </c>
      <c r="D1487" s="37">
        <v>529</v>
      </c>
      <c r="E1487" s="37">
        <v>1</v>
      </c>
      <c r="F1487" s="670">
        <v>16435</v>
      </c>
      <c r="G1487" s="37">
        <v>29</v>
      </c>
      <c r="H1487" s="37">
        <v>0</v>
      </c>
      <c r="I1487" s="37">
        <v>1</v>
      </c>
      <c r="J1487" s="672">
        <f t="shared" si="336"/>
        <v>0.0452175399606804</v>
      </c>
      <c r="K1487" s="911">
        <f t="shared" si="337"/>
        <v>2.53994328922495</v>
      </c>
      <c r="L1487" s="671">
        <f t="shared" si="338"/>
        <v>12.2317900017118</v>
      </c>
      <c r="M1487" s="672">
        <f t="shared" si="339"/>
        <v>0.00189035916824197</v>
      </c>
      <c r="N1487" s="670">
        <f t="shared" si="340"/>
        <v>16435</v>
      </c>
      <c r="O1487" s="670">
        <f t="shared" si="341"/>
        <v>1343.63</v>
      </c>
      <c r="P1487" s="670">
        <f t="shared" si="342"/>
        <v>46.3320689655172</v>
      </c>
      <c r="Q1487" s="675">
        <f t="shared" si="343"/>
        <v>46.3320689655172</v>
      </c>
      <c r="R1487">
        <f t="shared" si="344"/>
        <v>29</v>
      </c>
      <c r="S1487" s="667">
        <f t="shared" si="345"/>
        <v>0.054820415879017</v>
      </c>
    </row>
    <row r="1488" spans="1:19">
      <c r="A1488" s="1010">
        <v>46135</v>
      </c>
      <c r="B1488" s="670">
        <v>1371.79</v>
      </c>
      <c r="C1488" s="37">
        <v>13764</v>
      </c>
      <c r="D1488" s="37">
        <v>537</v>
      </c>
      <c r="E1488" s="37">
        <v>0</v>
      </c>
      <c r="F1488" s="670">
        <v>0</v>
      </c>
      <c r="G1488" s="37">
        <v>23</v>
      </c>
      <c r="H1488" s="37">
        <v>2</v>
      </c>
      <c r="I1488" s="37">
        <v>0</v>
      </c>
      <c r="J1488" s="672">
        <f t="shared" si="336"/>
        <v>0.0390148212728858</v>
      </c>
      <c r="K1488" s="911">
        <f t="shared" si="337"/>
        <v>2.55454376163873</v>
      </c>
      <c r="L1488" s="671">
        <f t="shared" si="338"/>
        <v>0</v>
      </c>
      <c r="M1488" s="672">
        <f t="shared" si="339"/>
        <v>0</v>
      </c>
      <c r="N1488" s="670">
        <f t="shared" si="340"/>
        <v>0</v>
      </c>
      <c r="O1488" s="670">
        <f t="shared" si="341"/>
        <v>0</v>
      </c>
      <c r="P1488" s="670">
        <f t="shared" si="342"/>
        <v>59.6430434782609</v>
      </c>
      <c r="Q1488" s="675">
        <f t="shared" si="343"/>
        <v>54.8716</v>
      </c>
      <c r="R1488">
        <f t="shared" si="344"/>
        <v>25</v>
      </c>
      <c r="S1488" s="667">
        <f t="shared" si="345"/>
        <v>0.0465549348230912</v>
      </c>
    </row>
    <row r="1489" spans="1:19">
      <c r="A1489" s="1010">
        <v>46136</v>
      </c>
      <c r="B1489" s="670">
        <v>1313.46</v>
      </c>
      <c r="C1489" s="37">
        <v>13684</v>
      </c>
      <c r="D1489" s="37">
        <v>478</v>
      </c>
      <c r="E1489" s="37">
        <v>0</v>
      </c>
      <c r="F1489" s="670">
        <v>0</v>
      </c>
      <c r="G1489" s="37">
        <v>7</v>
      </c>
      <c r="H1489" s="37">
        <v>3</v>
      </c>
      <c r="I1489" s="37">
        <v>1</v>
      </c>
      <c r="J1489" s="672">
        <f t="shared" si="336"/>
        <v>0.0349313066354867</v>
      </c>
      <c r="K1489" s="911">
        <f t="shared" si="337"/>
        <v>2.74782426778243</v>
      </c>
      <c r="L1489" s="671">
        <f t="shared" si="338"/>
        <v>0</v>
      </c>
      <c r="M1489" s="672">
        <f t="shared" si="339"/>
        <v>0</v>
      </c>
      <c r="N1489" s="670">
        <f t="shared" si="340"/>
        <v>0</v>
      </c>
      <c r="O1489" s="670">
        <f t="shared" si="341"/>
        <v>0</v>
      </c>
      <c r="P1489" s="670">
        <f t="shared" si="342"/>
        <v>187.637142857143</v>
      </c>
      <c r="Q1489" s="675">
        <f t="shared" si="343"/>
        <v>131.346</v>
      </c>
      <c r="R1489">
        <f t="shared" si="344"/>
        <v>10</v>
      </c>
      <c r="S1489" s="667">
        <f t="shared" si="345"/>
        <v>0.0209205020920502</v>
      </c>
    </row>
    <row r="1490" spans="1:19">
      <c r="A1490" s="1010">
        <v>46137</v>
      </c>
      <c r="B1490" s="670">
        <v>1149.92</v>
      </c>
      <c r="C1490" s="37">
        <v>13391</v>
      </c>
      <c r="D1490" s="37">
        <v>407</v>
      </c>
      <c r="E1490" s="37">
        <v>0</v>
      </c>
      <c r="F1490" s="670">
        <v>0</v>
      </c>
      <c r="G1490" s="37">
        <v>6</v>
      </c>
      <c r="H1490" s="37">
        <v>3</v>
      </c>
      <c r="I1490" s="37">
        <v>1</v>
      </c>
      <c r="J1490" s="672">
        <f t="shared" si="336"/>
        <v>0.0303935479053095</v>
      </c>
      <c r="K1490" s="911">
        <f t="shared" si="337"/>
        <v>2.82535626535627</v>
      </c>
      <c r="L1490" s="671">
        <f t="shared" si="338"/>
        <v>0</v>
      </c>
      <c r="M1490" s="672">
        <f t="shared" si="339"/>
        <v>0</v>
      </c>
      <c r="N1490" s="670">
        <f t="shared" si="340"/>
        <v>0</v>
      </c>
      <c r="O1490" s="670">
        <f t="shared" si="341"/>
        <v>0</v>
      </c>
      <c r="P1490" s="670">
        <f t="shared" si="342"/>
        <v>191.653333333333</v>
      </c>
      <c r="Q1490" s="675">
        <f t="shared" si="343"/>
        <v>127.768888888889</v>
      </c>
      <c r="R1490">
        <f t="shared" si="344"/>
        <v>9</v>
      </c>
      <c r="S1490" s="667">
        <f t="shared" si="345"/>
        <v>0.0221130221130221</v>
      </c>
    </row>
    <row r="1491" spans="1:19">
      <c r="A1491" s="1010">
        <v>46138</v>
      </c>
      <c r="B1491" s="670">
        <v>1139.69</v>
      </c>
      <c r="C1491" s="37">
        <v>11488</v>
      </c>
      <c r="D1491" s="37">
        <v>431</v>
      </c>
      <c r="E1491" s="37">
        <v>2</v>
      </c>
      <c r="F1491" s="670">
        <v>18996</v>
      </c>
      <c r="G1491" s="37">
        <v>10</v>
      </c>
      <c r="H1491" s="37">
        <v>1</v>
      </c>
      <c r="I1491" s="37">
        <v>0</v>
      </c>
      <c r="J1491" s="672">
        <f t="shared" si="336"/>
        <v>0.0375174094707521</v>
      </c>
      <c r="K1491" s="911">
        <f t="shared" si="337"/>
        <v>2.64429234338747</v>
      </c>
      <c r="L1491" s="671">
        <f t="shared" si="338"/>
        <v>16.667690336846</v>
      </c>
      <c r="M1491" s="672">
        <f t="shared" si="339"/>
        <v>0.00464037122969838</v>
      </c>
      <c r="N1491" s="670">
        <f t="shared" si="340"/>
        <v>9498</v>
      </c>
      <c r="O1491" s="670">
        <f t="shared" si="341"/>
        <v>569.845</v>
      </c>
      <c r="P1491" s="670">
        <f t="shared" si="342"/>
        <v>113.969</v>
      </c>
      <c r="Q1491" s="675">
        <f t="shared" si="343"/>
        <v>103.608181818182</v>
      </c>
      <c r="R1491">
        <f t="shared" si="344"/>
        <v>11</v>
      </c>
      <c r="S1491" s="667">
        <f t="shared" si="345"/>
        <v>0.0255220417633411</v>
      </c>
    </row>
    <row r="1492" spans="1:19">
      <c r="A1492" s="1010">
        <v>46139</v>
      </c>
      <c r="B1492" s="670">
        <v>1332.39</v>
      </c>
      <c r="C1492" s="37">
        <v>17285</v>
      </c>
      <c r="D1492" s="37">
        <v>622</v>
      </c>
      <c r="E1492" s="37">
        <v>0</v>
      </c>
      <c r="F1492" s="670">
        <v>0</v>
      </c>
      <c r="G1492" s="37">
        <v>23</v>
      </c>
      <c r="H1492" s="37">
        <v>4</v>
      </c>
      <c r="I1492" s="37">
        <v>2</v>
      </c>
      <c r="J1492" s="672">
        <f t="shared" si="336"/>
        <v>0.035984958056118</v>
      </c>
      <c r="K1492" s="911">
        <f t="shared" si="337"/>
        <v>2.14210610932476</v>
      </c>
      <c r="L1492" s="671">
        <f t="shared" si="338"/>
        <v>0</v>
      </c>
      <c r="M1492" s="672">
        <f t="shared" si="339"/>
        <v>0</v>
      </c>
      <c r="N1492" s="670">
        <f t="shared" si="340"/>
        <v>0</v>
      </c>
      <c r="O1492" s="670">
        <f t="shared" si="341"/>
        <v>0</v>
      </c>
      <c r="P1492" s="670">
        <f t="shared" si="342"/>
        <v>57.93</v>
      </c>
      <c r="Q1492" s="675">
        <f t="shared" si="343"/>
        <v>49.3477777777778</v>
      </c>
      <c r="R1492">
        <f t="shared" si="344"/>
        <v>27</v>
      </c>
      <c r="S1492" s="667">
        <f t="shared" si="345"/>
        <v>0.0434083601286174</v>
      </c>
    </row>
    <row r="1493" spans="1:19">
      <c r="A1493" s="1010">
        <v>46140</v>
      </c>
      <c r="B1493" s="670">
        <v>1312.65</v>
      </c>
      <c r="C1493" s="37">
        <v>12360</v>
      </c>
      <c r="D1493" s="37">
        <v>559</v>
      </c>
      <c r="E1493" s="37">
        <v>0</v>
      </c>
      <c r="F1493" s="670">
        <v>0</v>
      </c>
      <c r="G1493" s="37">
        <v>16</v>
      </c>
      <c r="H1493" s="37">
        <v>1</v>
      </c>
      <c r="I1493" s="37">
        <v>1</v>
      </c>
      <c r="J1493" s="672">
        <f t="shared" si="336"/>
        <v>0.0452265372168285</v>
      </c>
      <c r="K1493" s="911">
        <f t="shared" si="337"/>
        <v>2.34821109123435</v>
      </c>
      <c r="L1493" s="671">
        <f t="shared" si="338"/>
        <v>0</v>
      </c>
      <c r="M1493" s="672">
        <f t="shared" si="339"/>
        <v>0</v>
      </c>
      <c r="N1493" s="670">
        <f t="shared" si="340"/>
        <v>0</v>
      </c>
      <c r="O1493" s="670">
        <f t="shared" si="341"/>
        <v>0</v>
      </c>
      <c r="P1493" s="670">
        <f t="shared" si="342"/>
        <v>82.040625</v>
      </c>
      <c r="Q1493" s="675">
        <f t="shared" si="343"/>
        <v>77.2147058823529</v>
      </c>
      <c r="R1493">
        <f t="shared" si="344"/>
        <v>17</v>
      </c>
      <c r="S1493" s="667">
        <f t="shared" si="345"/>
        <v>0.0304114490161002</v>
      </c>
    </row>
    <row r="1494" spans="1:19">
      <c r="A1494" s="1010">
        <v>46141</v>
      </c>
      <c r="B1494" s="670">
        <v>1351.39</v>
      </c>
      <c r="C1494" s="37">
        <v>13789</v>
      </c>
      <c r="D1494" s="37">
        <v>579</v>
      </c>
      <c r="E1494" s="37">
        <v>0</v>
      </c>
      <c r="F1494" s="670">
        <v>0</v>
      </c>
      <c r="G1494" s="37">
        <v>14</v>
      </c>
      <c r="H1494" s="37">
        <v>3</v>
      </c>
      <c r="I1494" s="37">
        <v>0</v>
      </c>
      <c r="J1494" s="672">
        <f t="shared" si="336"/>
        <v>0.0419899920226267</v>
      </c>
      <c r="K1494" s="911">
        <f t="shared" si="337"/>
        <v>2.33400690846287</v>
      </c>
      <c r="L1494" s="671">
        <f t="shared" si="338"/>
        <v>0</v>
      </c>
      <c r="M1494" s="672">
        <f t="shared" si="339"/>
        <v>0</v>
      </c>
      <c r="N1494" s="670">
        <f t="shared" si="340"/>
        <v>0</v>
      </c>
      <c r="O1494" s="670">
        <f t="shared" si="341"/>
        <v>0</v>
      </c>
      <c r="P1494" s="670">
        <f t="shared" si="342"/>
        <v>96.5278571428571</v>
      </c>
      <c r="Q1494" s="675">
        <f t="shared" si="343"/>
        <v>79.4935294117647</v>
      </c>
      <c r="R1494">
        <f t="shared" si="344"/>
        <v>17</v>
      </c>
      <c r="S1494" s="667">
        <f t="shared" si="345"/>
        <v>0.0293609671848014</v>
      </c>
    </row>
    <row r="1495" spans="1:19">
      <c r="A1495" s="1010">
        <v>46142</v>
      </c>
      <c r="B1495" s="670">
        <v>1340.59</v>
      </c>
      <c r="C1495" s="37">
        <v>13027</v>
      </c>
      <c r="D1495" s="37">
        <v>600</v>
      </c>
      <c r="E1495" s="37">
        <v>0</v>
      </c>
      <c r="F1495" s="670">
        <v>0</v>
      </c>
      <c r="G1495" s="37">
        <v>10</v>
      </c>
      <c r="H1495" s="37">
        <v>1</v>
      </c>
      <c r="I1495" s="37">
        <v>0</v>
      </c>
      <c r="J1495" s="672">
        <f t="shared" si="336"/>
        <v>0.0460581868427113</v>
      </c>
      <c r="K1495" s="911">
        <f t="shared" si="337"/>
        <v>2.23431666666667</v>
      </c>
      <c r="L1495" s="671">
        <f t="shared" si="338"/>
        <v>0</v>
      </c>
      <c r="M1495" s="672">
        <f t="shared" si="339"/>
        <v>0</v>
      </c>
      <c r="N1495" s="670">
        <f t="shared" si="340"/>
        <v>0</v>
      </c>
      <c r="O1495" s="670">
        <f t="shared" si="341"/>
        <v>0</v>
      </c>
      <c r="P1495" s="670">
        <f t="shared" si="342"/>
        <v>134.059</v>
      </c>
      <c r="Q1495" s="675">
        <f t="shared" si="343"/>
        <v>121.871818181818</v>
      </c>
      <c r="R1495">
        <f t="shared" si="344"/>
        <v>11</v>
      </c>
      <c r="S1495" s="667">
        <f t="shared" si="345"/>
        <v>0.0183333333333333</v>
      </c>
    </row>
    <row r="1496" spans="1:19">
      <c r="A1496" s="1010">
        <v>46143</v>
      </c>
      <c r="B1496" s="670">
        <v>1328.25</v>
      </c>
      <c r="C1496" s="37">
        <v>12559</v>
      </c>
      <c r="D1496" s="37">
        <v>568</v>
      </c>
      <c r="E1496" s="37">
        <v>0</v>
      </c>
      <c r="F1496" s="670">
        <v>0</v>
      </c>
      <c r="G1496" s="37">
        <v>12</v>
      </c>
      <c r="H1496" s="37">
        <v>3</v>
      </c>
      <c r="I1496" s="37">
        <v>0</v>
      </c>
      <c r="J1496" s="672">
        <f t="shared" si="336"/>
        <v>0.0452265307747432</v>
      </c>
      <c r="K1496" s="911">
        <f t="shared" si="337"/>
        <v>2.33846830985915</v>
      </c>
      <c r="L1496" s="671">
        <f t="shared" si="338"/>
        <v>0</v>
      </c>
      <c r="M1496" s="672">
        <f t="shared" si="339"/>
        <v>0</v>
      </c>
      <c r="N1496" s="670">
        <f t="shared" si="340"/>
        <v>0</v>
      </c>
      <c r="O1496" s="670">
        <f t="shared" si="341"/>
        <v>0</v>
      </c>
      <c r="P1496" s="670">
        <f t="shared" si="342"/>
        <v>110.6875</v>
      </c>
      <c r="Q1496" s="675">
        <f t="shared" si="343"/>
        <v>88.55</v>
      </c>
      <c r="R1496">
        <f t="shared" si="344"/>
        <v>15</v>
      </c>
      <c r="S1496" s="667">
        <f t="shared" si="345"/>
        <v>0.0264084507042254</v>
      </c>
    </row>
    <row r="1497" spans="1:19">
      <c r="A1497" s="1010">
        <v>46144</v>
      </c>
      <c r="B1497" s="670">
        <v>1267.33</v>
      </c>
      <c r="C1497" s="37">
        <v>12552</v>
      </c>
      <c r="D1497" s="37">
        <v>516</v>
      </c>
      <c r="E1497" s="37">
        <v>0</v>
      </c>
      <c r="F1497" s="670">
        <v>10136</v>
      </c>
      <c r="G1497" s="37">
        <v>12</v>
      </c>
      <c r="H1497" s="37">
        <v>1</v>
      </c>
      <c r="I1497" s="37">
        <v>0</v>
      </c>
      <c r="J1497" s="672">
        <f t="shared" si="336"/>
        <v>0.0411089866156788</v>
      </c>
      <c r="K1497" s="911">
        <f t="shared" si="337"/>
        <v>2.45606589147287</v>
      </c>
      <c r="L1497" s="671">
        <f t="shared" si="338"/>
        <v>7.99791688037054</v>
      </c>
      <c r="M1497" s="672">
        <f t="shared" si="339"/>
        <v>0</v>
      </c>
      <c r="N1497" s="670">
        <f t="shared" si="340"/>
        <v>0</v>
      </c>
      <c r="O1497" s="670">
        <f t="shared" si="341"/>
        <v>0</v>
      </c>
      <c r="P1497" s="670">
        <f t="shared" si="342"/>
        <v>105.610833333333</v>
      </c>
      <c r="Q1497" s="675">
        <f t="shared" si="343"/>
        <v>97.4869230769231</v>
      </c>
      <c r="R1497">
        <f t="shared" si="344"/>
        <v>13</v>
      </c>
      <c r="S1497" s="667">
        <f t="shared" si="345"/>
        <v>0.0251937984496124</v>
      </c>
    </row>
    <row r="1498" spans="1:19">
      <c r="A1498" s="1010">
        <v>46145</v>
      </c>
      <c r="B1498" s="670">
        <v>1267.67</v>
      </c>
      <c r="C1498" s="37">
        <v>8572</v>
      </c>
      <c r="D1498" s="37">
        <v>487</v>
      </c>
      <c r="E1498" s="37">
        <v>0</v>
      </c>
      <c r="F1498" s="670">
        <v>0</v>
      </c>
      <c r="G1498" s="37">
        <v>11</v>
      </c>
      <c r="H1498" s="37">
        <v>2</v>
      </c>
      <c r="I1498" s="37">
        <v>1</v>
      </c>
      <c r="J1498" s="672">
        <f t="shared" si="336"/>
        <v>0.0568128791413906</v>
      </c>
      <c r="K1498" s="911">
        <f t="shared" si="337"/>
        <v>2.60301848049281</v>
      </c>
      <c r="L1498" s="671">
        <f t="shared" si="338"/>
        <v>0</v>
      </c>
      <c r="M1498" s="672">
        <f t="shared" si="339"/>
        <v>0</v>
      </c>
      <c r="N1498" s="670">
        <f t="shared" si="340"/>
        <v>0</v>
      </c>
      <c r="O1498" s="670">
        <f t="shared" si="341"/>
        <v>0</v>
      </c>
      <c r="P1498" s="670">
        <f t="shared" si="342"/>
        <v>115.242727272727</v>
      </c>
      <c r="Q1498" s="675">
        <f t="shared" si="343"/>
        <v>97.5130769230769</v>
      </c>
      <c r="R1498">
        <f t="shared" si="344"/>
        <v>13</v>
      </c>
      <c r="S1498" s="667">
        <f t="shared" si="345"/>
        <v>0.026694045174538</v>
      </c>
    </row>
    <row r="1499" spans="1:19">
      <c r="A1499" s="1010">
        <v>46146</v>
      </c>
      <c r="B1499" s="670">
        <v>1179.7</v>
      </c>
      <c r="C1499" s="37">
        <v>8421</v>
      </c>
      <c r="D1499" s="37">
        <v>432</v>
      </c>
      <c r="E1499" s="37">
        <v>1</v>
      </c>
      <c r="F1499" s="670">
        <v>11790</v>
      </c>
      <c r="G1499" s="37">
        <v>13</v>
      </c>
      <c r="H1499" s="37">
        <v>0</v>
      </c>
      <c r="I1499" s="37">
        <v>0</v>
      </c>
      <c r="J1499" s="672">
        <f t="shared" si="336"/>
        <v>0.0513003206270039</v>
      </c>
      <c r="K1499" s="911">
        <f t="shared" si="337"/>
        <v>2.73078703703704</v>
      </c>
      <c r="L1499" s="671">
        <f t="shared" si="338"/>
        <v>9.99406628803933</v>
      </c>
      <c r="M1499" s="672">
        <f t="shared" si="339"/>
        <v>0.00231481481481481</v>
      </c>
      <c r="N1499" s="670">
        <f t="shared" si="340"/>
        <v>11790</v>
      </c>
      <c r="O1499" s="670">
        <f t="shared" si="341"/>
        <v>1179.7</v>
      </c>
      <c r="P1499" s="670">
        <f t="shared" si="342"/>
        <v>90.7461538461538</v>
      </c>
      <c r="Q1499" s="675">
        <f t="shared" si="343"/>
        <v>90.7461538461538</v>
      </c>
      <c r="R1499">
        <f t="shared" si="344"/>
        <v>13</v>
      </c>
      <c r="S1499" s="667">
        <f t="shared" si="345"/>
        <v>0.0300925925925926</v>
      </c>
    </row>
    <row r="1500" spans="1:19">
      <c r="A1500" s="1010">
        <v>46147</v>
      </c>
      <c r="B1500" s="670">
        <v>1366.35</v>
      </c>
      <c r="C1500" s="37">
        <v>11078</v>
      </c>
      <c r="D1500" s="37">
        <v>544</v>
      </c>
      <c r="E1500" s="37">
        <v>0</v>
      </c>
      <c r="F1500" s="670">
        <v>0</v>
      </c>
      <c r="G1500" s="37">
        <v>12</v>
      </c>
      <c r="H1500" s="37">
        <v>1</v>
      </c>
      <c r="I1500" s="37">
        <v>2</v>
      </c>
      <c r="J1500" s="672">
        <f t="shared" si="336"/>
        <v>0.0491063368839141</v>
      </c>
      <c r="K1500" s="911">
        <f t="shared" si="337"/>
        <v>2.51167279411765</v>
      </c>
      <c r="L1500" s="671">
        <f t="shared" si="338"/>
        <v>0</v>
      </c>
      <c r="M1500" s="672">
        <f t="shared" si="339"/>
        <v>0</v>
      </c>
      <c r="N1500" s="670">
        <f t="shared" si="340"/>
        <v>0</v>
      </c>
      <c r="O1500" s="670">
        <f t="shared" si="341"/>
        <v>0</v>
      </c>
      <c r="P1500" s="670">
        <f t="shared" si="342"/>
        <v>113.8625</v>
      </c>
      <c r="Q1500" s="675">
        <f t="shared" si="343"/>
        <v>105.103846153846</v>
      </c>
      <c r="R1500">
        <f t="shared" si="344"/>
        <v>13</v>
      </c>
      <c r="S1500" s="667">
        <f t="shared" si="345"/>
        <v>0.0238970588235294</v>
      </c>
    </row>
    <row r="1501" spans="1:19">
      <c r="A1501" s="1010">
        <v>46148</v>
      </c>
      <c r="B1501" s="670">
        <v>1358.76</v>
      </c>
      <c r="C1501" s="37">
        <v>10224</v>
      </c>
      <c r="D1501" s="37">
        <v>584</v>
      </c>
      <c r="E1501" s="37">
        <v>0</v>
      </c>
      <c r="F1501" s="670">
        <v>0</v>
      </c>
      <c r="G1501" s="37">
        <v>14</v>
      </c>
      <c r="H1501" s="37">
        <v>2</v>
      </c>
      <c r="I1501" s="37">
        <v>1</v>
      </c>
      <c r="J1501" s="672">
        <f t="shared" si="336"/>
        <v>0.0571205007824726</v>
      </c>
      <c r="K1501" s="911">
        <f t="shared" si="337"/>
        <v>2.32664383561644</v>
      </c>
      <c r="L1501" s="671">
        <f t="shared" si="338"/>
        <v>0</v>
      </c>
      <c r="M1501" s="672">
        <f t="shared" si="339"/>
        <v>0</v>
      </c>
      <c r="N1501" s="670">
        <f t="shared" si="340"/>
        <v>0</v>
      </c>
      <c r="O1501" s="670">
        <f t="shared" si="341"/>
        <v>0</v>
      </c>
      <c r="P1501" s="670">
        <f t="shared" si="342"/>
        <v>97.0542857142857</v>
      </c>
      <c r="Q1501" s="675">
        <f t="shared" si="343"/>
        <v>84.9225</v>
      </c>
      <c r="R1501">
        <f t="shared" si="344"/>
        <v>16</v>
      </c>
      <c r="S1501" s="667">
        <f t="shared" si="345"/>
        <v>0.0273972602739726</v>
      </c>
    </row>
    <row r="1502" spans="1:19">
      <c r="A1502" s="1010">
        <v>46149</v>
      </c>
      <c r="B1502" s="670">
        <v>1373.2</v>
      </c>
      <c r="C1502" s="37">
        <v>14928</v>
      </c>
      <c r="D1502" s="37">
        <v>637</v>
      </c>
      <c r="E1502" s="37">
        <v>0</v>
      </c>
      <c r="F1502" s="670">
        <v>0</v>
      </c>
      <c r="G1502" s="37">
        <v>20</v>
      </c>
      <c r="H1502" s="37">
        <v>2</v>
      </c>
      <c r="I1502" s="37">
        <v>1</v>
      </c>
      <c r="J1502" s="672">
        <f t="shared" si="336"/>
        <v>0.0426714898177921</v>
      </c>
      <c r="K1502" s="911">
        <f t="shared" si="337"/>
        <v>2.15572998430141</v>
      </c>
      <c r="L1502" s="671">
        <f t="shared" si="338"/>
        <v>0</v>
      </c>
      <c r="M1502" s="672">
        <f t="shared" si="339"/>
        <v>0</v>
      </c>
      <c r="N1502" s="670">
        <f t="shared" si="340"/>
        <v>0</v>
      </c>
      <c r="O1502" s="670">
        <f t="shared" si="341"/>
        <v>0</v>
      </c>
      <c r="P1502" s="670">
        <f t="shared" si="342"/>
        <v>68.66</v>
      </c>
      <c r="Q1502" s="675">
        <f t="shared" si="343"/>
        <v>62.4181818181818</v>
      </c>
      <c r="R1502">
        <f t="shared" si="344"/>
        <v>22</v>
      </c>
      <c r="S1502" s="667">
        <f t="shared" si="345"/>
        <v>0.0345368916797488</v>
      </c>
    </row>
    <row r="1503" spans="1:19">
      <c r="A1503" s="1010">
        <v>46150</v>
      </c>
      <c r="B1503" s="670">
        <v>1226.45</v>
      </c>
      <c r="C1503" s="37">
        <v>15740</v>
      </c>
      <c r="D1503" s="37">
        <v>655</v>
      </c>
      <c r="E1503" s="37">
        <v>1</v>
      </c>
      <c r="F1503" s="670">
        <v>19779.01</v>
      </c>
      <c r="G1503" s="37">
        <v>17</v>
      </c>
      <c r="H1503" s="37">
        <v>0</v>
      </c>
      <c r="I1503" s="37">
        <v>1</v>
      </c>
      <c r="J1503" s="672">
        <f t="shared" si="336"/>
        <v>0.0416137229987294</v>
      </c>
      <c r="K1503" s="911">
        <f t="shared" si="337"/>
        <v>1.8724427480916</v>
      </c>
      <c r="L1503" s="671">
        <f t="shared" si="338"/>
        <v>16.1270414611276</v>
      </c>
      <c r="M1503" s="672">
        <f t="shared" si="339"/>
        <v>0.00152671755725191</v>
      </c>
      <c r="N1503" s="670">
        <f t="shared" si="340"/>
        <v>19779.01</v>
      </c>
      <c r="O1503" s="670">
        <f t="shared" si="341"/>
        <v>1226.45</v>
      </c>
      <c r="P1503" s="670">
        <f t="shared" si="342"/>
        <v>72.1441176470588</v>
      </c>
      <c r="Q1503" s="675">
        <f t="shared" si="343"/>
        <v>72.1441176470588</v>
      </c>
      <c r="R1503">
        <f t="shared" si="344"/>
        <v>17</v>
      </c>
      <c r="S1503" s="667">
        <f t="shared" si="345"/>
        <v>0.0259541984732824</v>
      </c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G111"/>
  <sheetViews>
    <sheetView showGridLines="0" topLeftCell="A90" workbookViewId="0">
      <pane xSplit="1" topLeftCell="I1" activePane="topRight" state="frozen"/>
      <selection/>
      <selection pane="topRight" activeCell="I1485" sqref="I1485"/>
    </sheetView>
  </sheetViews>
  <sheetFormatPr defaultColWidth="9.87962962962963" defaultRowHeight="13.8"/>
  <cols>
    <col min="1" max="1" width="14.5185185185185" style="37" customWidth="1"/>
    <col min="2" max="2" width="13" style="37" customWidth="1"/>
    <col min="3" max="4" width="14.5185185185185" style="37" customWidth="1"/>
    <col min="5" max="5" width="13" style="37" customWidth="1"/>
    <col min="6" max="6" width="9.87962962962963" style="37" customWidth="1"/>
    <col min="7" max="7" width="14.3796296296296" style="37" customWidth="1"/>
    <col min="8" max="8" width="12.5185185185185" style="37" customWidth="1"/>
    <col min="9" max="9" width="11.8796296296296" style="37" customWidth="1"/>
    <col min="10" max="10" width="12.3796296296296" style="37" customWidth="1"/>
    <col min="11" max="11" width="12.5185185185185" style="37" customWidth="1"/>
    <col min="12" max="12" width="10.8796296296296" style="37" customWidth="1"/>
    <col min="13" max="15" width="9.87962962962963" style="37" customWidth="1"/>
    <col min="16" max="16" width="11.75" style="37" customWidth="1"/>
    <col min="17" max="18" width="9.87962962962963" style="37" customWidth="1"/>
    <col min="19" max="20" width="13.5185185185185" style="37" customWidth="1"/>
    <col min="21" max="21" width="14.1296296296296" style="37" customWidth="1"/>
    <col min="22" max="22" width="9.87962962962963" style="37" customWidth="1"/>
    <col min="23" max="23" width="9.87962962962963" style="558" customWidth="1"/>
    <col min="24" max="24" width="12.6296296296296" style="850"/>
    <col min="25" max="25" width="12.6296296296296" style="37"/>
    <col min="26" max="33" width="13.75" style="37"/>
    <col min="34" max="16384" width="9.87962962962963" style="37"/>
  </cols>
  <sheetData>
    <row r="2" ht="41.4" spans="1:23">
      <c r="A2" s="868" t="s">
        <v>0</v>
      </c>
      <c r="B2" s="875" t="s">
        <v>1</v>
      </c>
      <c r="C2" s="876"/>
      <c r="D2" s="876" t="s">
        <v>2</v>
      </c>
      <c r="E2" s="877" t="s">
        <v>3</v>
      </c>
      <c r="F2" s="868" t="s">
        <v>4</v>
      </c>
      <c r="G2" s="875" t="s">
        <v>5</v>
      </c>
      <c r="H2" s="878" t="s">
        <v>6</v>
      </c>
      <c r="I2" s="878" t="s">
        <v>7</v>
      </c>
      <c r="J2" s="868" t="s">
        <v>8</v>
      </c>
      <c r="K2" s="878"/>
      <c r="L2" s="879" t="s">
        <v>9</v>
      </c>
      <c r="M2" s="875" t="s">
        <v>10</v>
      </c>
      <c r="N2" s="880"/>
      <c r="O2" s="880" t="s">
        <v>11</v>
      </c>
      <c r="P2" s="881" t="s">
        <v>12</v>
      </c>
      <c r="Q2" s="879"/>
      <c r="R2" s="879" t="s">
        <v>13</v>
      </c>
      <c r="S2" s="875"/>
      <c r="T2" s="875" t="s">
        <v>14</v>
      </c>
      <c r="U2" s="875" t="s">
        <v>15</v>
      </c>
      <c r="V2" s="868" t="s">
        <v>16</v>
      </c>
      <c r="W2" s="882"/>
    </row>
    <row r="3" spans="1:23">
      <c r="A3" s="686" t="s">
        <v>17</v>
      </c>
      <c r="B3" s="687">
        <v>6.05</v>
      </c>
      <c r="C3" s="883"/>
      <c r="D3" s="883">
        <v>1427</v>
      </c>
      <c r="E3" s="884">
        <v>1</v>
      </c>
      <c r="F3" s="883" t="s">
        <v>18</v>
      </c>
      <c r="G3" s="883" t="s">
        <v>18</v>
      </c>
      <c r="H3" s="883" t="s">
        <v>18</v>
      </c>
      <c r="I3" s="883" t="s">
        <v>18</v>
      </c>
      <c r="J3" s="883" t="s">
        <v>18</v>
      </c>
      <c r="K3" s="883"/>
      <c r="L3" s="883" t="s">
        <v>18</v>
      </c>
      <c r="M3" s="883" t="s">
        <v>18</v>
      </c>
      <c r="N3" s="883"/>
      <c r="O3" s="883" t="s">
        <v>18</v>
      </c>
      <c r="P3" s="883" t="s">
        <v>18</v>
      </c>
      <c r="Q3" s="883"/>
      <c r="R3" s="883" t="s">
        <v>18</v>
      </c>
      <c r="S3" s="883"/>
      <c r="T3" s="883" t="s">
        <v>18</v>
      </c>
      <c r="U3" s="883" t="s">
        <v>18</v>
      </c>
      <c r="V3" s="883" t="s">
        <v>18</v>
      </c>
      <c r="W3" s="885"/>
    </row>
    <row r="4" spans="1:23">
      <c r="A4" s="686" t="s">
        <v>19</v>
      </c>
      <c r="B4" s="687">
        <v>2731.45</v>
      </c>
      <c r="C4" s="883"/>
      <c r="D4" s="883">
        <v>7691</v>
      </c>
      <c r="E4" s="884">
        <v>349</v>
      </c>
      <c r="F4" s="686">
        <v>0</v>
      </c>
      <c r="G4" s="687">
        <v>0</v>
      </c>
      <c r="H4" s="691">
        <v>2</v>
      </c>
      <c r="I4" s="691">
        <v>2</v>
      </c>
      <c r="J4" s="686">
        <v>11</v>
      </c>
      <c r="K4" s="691"/>
      <c r="L4" s="688">
        <f t="shared" ref="L4:L7" si="0">E4/D4</f>
        <v>0.0453777142114159</v>
      </c>
      <c r="M4" s="687">
        <f t="shared" ref="M4:M7" si="1">B4/E4</f>
        <v>7.82650429799427</v>
      </c>
      <c r="N4" s="886"/>
      <c r="O4" s="886">
        <f t="shared" ref="O4:O7" si="2">(B4/D4)*1000</f>
        <v>355.148875308802</v>
      </c>
      <c r="P4" s="887">
        <f t="shared" ref="P4:P7" si="3">G4/B4</f>
        <v>0</v>
      </c>
      <c r="Q4" s="688"/>
      <c r="R4" s="688">
        <f t="shared" ref="R4:R7" si="4">F4/E4</f>
        <v>0</v>
      </c>
      <c r="S4" s="888"/>
      <c r="T4" s="888" t="e">
        <f t="shared" ref="T4:T7" si="5">G4/F4</f>
        <v>#DIV/0!</v>
      </c>
      <c r="U4" s="687" t="e">
        <f t="shared" ref="U4:U7" si="6">B4/F4</f>
        <v>#DIV/0!</v>
      </c>
      <c r="V4" s="889">
        <f t="shared" ref="V4:V7" si="7">B4/H4</f>
        <v>1365.725</v>
      </c>
    </row>
    <row r="5" spans="1:23">
      <c r="A5" s="686" t="s">
        <v>20</v>
      </c>
      <c r="B5" s="687">
        <v>1952.96</v>
      </c>
      <c r="C5" s="883"/>
      <c r="D5" s="883">
        <v>39544</v>
      </c>
      <c r="E5" s="884">
        <v>1253</v>
      </c>
      <c r="F5" s="686">
        <v>2</v>
      </c>
      <c r="G5" s="687">
        <v>198</v>
      </c>
      <c r="H5" s="691">
        <v>46</v>
      </c>
      <c r="I5" s="691">
        <v>4</v>
      </c>
      <c r="J5" s="686">
        <v>8</v>
      </c>
      <c r="K5" s="691"/>
      <c r="L5" s="688">
        <f t="shared" si="0"/>
        <v>0.0316862229415335</v>
      </c>
      <c r="M5" s="687">
        <f t="shared" si="1"/>
        <v>1.55862729449322</v>
      </c>
      <c r="N5" s="886"/>
      <c r="O5" s="886">
        <f t="shared" si="2"/>
        <v>49.3870119360712</v>
      </c>
      <c r="P5" s="887">
        <f t="shared" si="3"/>
        <v>0.101384564968048</v>
      </c>
      <c r="Q5" s="688"/>
      <c r="R5" s="688">
        <f t="shared" si="4"/>
        <v>0.00159616919393456</v>
      </c>
      <c r="S5" s="687"/>
      <c r="T5" s="687">
        <f t="shared" si="5"/>
        <v>99</v>
      </c>
      <c r="U5" s="687">
        <f t="shared" si="6"/>
        <v>976.48</v>
      </c>
      <c r="V5" s="889">
        <f t="shared" si="7"/>
        <v>42.455652173913</v>
      </c>
    </row>
    <row r="6" spans="1:23">
      <c r="A6" s="686" t="s">
        <v>21</v>
      </c>
      <c r="B6" s="687" t="s">
        <v>18</v>
      </c>
      <c r="C6" s="687"/>
      <c r="D6" s="687" t="s">
        <v>18</v>
      </c>
      <c r="E6" s="687" t="s">
        <v>18</v>
      </c>
      <c r="F6" s="687" t="s">
        <v>18</v>
      </c>
      <c r="G6" s="687" t="s">
        <v>18</v>
      </c>
      <c r="H6" s="687" t="s">
        <v>18</v>
      </c>
      <c r="I6" s="687" t="s">
        <v>18</v>
      </c>
      <c r="J6" s="687" t="s">
        <v>18</v>
      </c>
      <c r="K6" s="687"/>
      <c r="L6" s="687" t="s">
        <v>18</v>
      </c>
      <c r="M6" s="687" t="s">
        <v>18</v>
      </c>
      <c r="N6" s="687"/>
      <c r="O6" s="687" t="s">
        <v>18</v>
      </c>
      <c r="P6" s="687" t="s">
        <v>18</v>
      </c>
      <c r="Q6" s="687"/>
      <c r="R6" s="687" t="s">
        <v>18</v>
      </c>
      <c r="S6" s="687"/>
      <c r="T6" s="687" t="s">
        <v>18</v>
      </c>
      <c r="U6" s="687" t="s">
        <v>18</v>
      </c>
      <c r="V6" s="687" t="s">
        <v>18</v>
      </c>
      <c r="W6" s="890"/>
    </row>
    <row r="7" spans="1:23">
      <c r="A7" s="891" t="s">
        <v>22</v>
      </c>
      <c r="B7" s="892">
        <f>SUM(B3:B6)</f>
        <v>4690.46</v>
      </c>
      <c r="C7" s="893"/>
      <c r="D7" s="893">
        <f t="shared" ref="D7:J7" si="8">SUM(D3:D6)</f>
        <v>48662</v>
      </c>
      <c r="E7" s="894">
        <f t="shared" si="8"/>
        <v>1603</v>
      </c>
      <c r="F7" s="891">
        <f t="shared" si="8"/>
        <v>2</v>
      </c>
      <c r="G7" s="892">
        <f t="shared" si="8"/>
        <v>198</v>
      </c>
      <c r="H7" s="895">
        <f t="shared" si="8"/>
        <v>48</v>
      </c>
      <c r="I7" s="895">
        <f t="shared" si="8"/>
        <v>6</v>
      </c>
      <c r="J7" s="891">
        <f t="shared" si="8"/>
        <v>19</v>
      </c>
      <c r="K7" s="895"/>
      <c r="L7" s="896">
        <f t="shared" si="0"/>
        <v>0.0329415149397887</v>
      </c>
      <c r="M7" s="892">
        <f t="shared" si="1"/>
        <v>2.92605115408609</v>
      </c>
      <c r="N7" s="897"/>
      <c r="O7" s="897">
        <f t="shared" si="2"/>
        <v>96.388557806913</v>
      </c>
      <c r="P7" s="898">
        <f t="shared" si="3"/>
        <v>0.0422133436805772</v>
      </c>
      <c r="Q7" s="896"/>
      <c r="R7" s="896">
        <f t="shared" si="4"/>
        <v>0.00124766063630692</v>
      </c>
      <c r="S7" s="892"/>
      <c r="T7" s="892">
        <f t="shared" si="5"/>
        <v>99</v>
      </c>
      <c r="U7" s="899">
        <f t="shared" si="6"/>
        <v>2345.23</v>
      </c>
      <c r="V7" s="889">
        <f t="shared" si="7"/>
        <v>97.7179166666667</v>
      </c>
    </row>
    <row r="10" ht="41.4" spans="1:23">
      <c r="A10" s="868" t="s">
        <v>23</v>
      </c>
      <c r="B10" s="875" t="s">
        <v>1</v>
      </c>
      <c r="C10" s="876"/>
      <c r="D10" s="876" t="s">
        <v>2</v>
      </c>
      <c r="E10" s="877" t="s">
        <v>3</v>
      </c>
      <c r="F10" s="868" t="s">
        <v>4</v>
      </c>
      <c r="G10" s="875" t="s">
        <v>5</v>
      </c>
      <c r="H10" s="878" t="s">
        <v>6</v>
      </c>
      <c r="I10" s="878" t="s">
        <v>7</v>
      </c>
      <c r="J10" s="868" t="s">
        <v>8</v>
      </c>
      <c r="K10" s="878"/>
      <c r="L10" s="879" t="s">
        <v>9</v>
      </c>
      <c r="M10" s="875" t="s">
        <v>10</v>
      </c>
      <c r="N10" s="880"/>
      <c r="O10" s="880" t="s">
        <v>11</v>
      </c>
      <c r="P10" s="881" t="s">
        <v>12</v>
      </c>
      <c r="Q10" s="879"/>
      <c r="R10" s="879" t="s">
        <v>13</v>
      </c>
      <c r="S10" s="875"/>
      <c r="T10" s="875" t="s">
        <v>14</v>
      </c>
      <c r="U10" s="875" t="s">
        <v>15</v>
      </c>
      <c r="V10" s="868" t="s">
        <v>16</v>
      </c>
      <c r="W10" s="882"/>
    </row>
    <row r="11" spans="1:23">
      <c r="A11" s="686" t="s">
        <v>19</v>
      </c>
      <c r="B11" s="687">
        <v>22646</v>
      </c>
      <c r="C11" s="883"/>
      <c r="D11" s="883">
        <v>24719</v>
      </c>
      <c r="E11" s="884">
        <v>1047</v>
      </c>
      <c r="F11" s="686">
        <v>1</v>
      </c>
      <c r="G11" s="687">
        <v>99</v>
      </c>
      <c r="H11" s="691">
        <v>13</v>
      </c>
      <c r="I11" s="691">
        <v>3</v>
      </c>
      <c r="J11" s="686">
        <v>20</v>
      </c>
      <c r="K11" s="691"/>
      <c r="L11" s="688">
        <f t="shared" ref="L11:L14" si="9">E11/D11</f>
        <v>0.0423560823657915</v>
      </c>
      <c r="M11" s="687">
        <f t="shared" ref="M11:M14" si="10">B11/E11</f>
        <v>21.629417382999</v>
      </c>
      <c r="N11" s="886"/>
      <c r="O11" s="886">
        <f t="shared" ref="O11:O14" si="11">(B11/D11)*1000</f>
        <v>916.13738419839</v>
      </c>
      <c r="P11" s="887">
        <f t="shared" ref="P11:P14" si="12">G11/B11</f>
        <v>0.00437163295946304</v>
      </c>
      <c r="Q11" s="688"/>
      <c r="R11" s="688">
        <f t="shared" ref="R11:R14" si="13">F11/E11</f>
        <v>0.000955109837631328</v>
      </c>
      <c r="S11" s="888"/>
      <c r="T11" s="888">
        <f t="shared" ref="T11:T14" si="14">G11/F11</f>
        <v>99</v>
      </c>
      <c r="U11" s="687">
        <f t="shared" ref="U11:U14" si="15">B11/F11</f>
        <v>22646</v>
      </c>
      <c r="V11" s="889">
        <f t="shared" ref="V11:V14" si="16">B11/H11</f>
        <v>1742</v>
      </c>
    </row>
    <row r="12" spans="1:23">
      <c r="A12" s="686" t="s">
        <v>20</v>
      </c>
      <c r="B12" s="687">
        <v>5688.53</v>
      </c>
      <c r="C12" s="883"/>
      <c r="D12" s="883">
        <v>84202</v>
      </c>
      <c r="E12" s="884">
        <v>2773</v>
      </c>
      <c r="F12" s="686">
        <v>2</v>
      </c>
      <c r="G12" s="687">
        <v>198</v>
      </c>
      <c r="H12" s="691">
        <v>51</v>
      </c>
      <c r="I12" s="691">
        <v>14</v>
      </c>
      <c r="J12" s="686">
        <v>14</v>
      </c>
      <c r="K12" s="691"/>
      <c r="L12" s="688">
        <f t="shared" si="9"/>
        <v>0.0329327094368305</v>
      </c>
      <c r="M12" s="687">
        <f t="shared" si="10"/>
        <v>2.05139920663541</v>
      </c>
      <c r="N12" s="886"/>
      <c r="O12" s="886">
        <f t="shared" si="11"/>
        <v>67.5581340110686</v>
      </c>
      <c r="P12" s="887">
        <f t="shared" si="12"/>
        <v>0.034806883324866</v>
      </c>
      <c r="Q12" s="688"/>
      <c r="R12" s="688">
        <f t="shared" si="13"/>
        <v>0.000721240533717995</v>
      </c>
      <c r="S12" s="687"/>
      <c r="T12" s="687">
        <f t="shared" si="14"/>
        <v>99</v>
      </c>
      <c r="U12" s="687">
        <f t="shared" si="15"/>
        <v>2844.265</v>
      </c>
      <c r="V12" s="889">
        <f t="shared" si="16"/>
        <v>111.539803921569</v>
      </c>
    </row>
    <row r="13" spans="1:23">
      <c r="A13" s="686" t="s">
        <v>21</v>
      </c>
      <c r="B13" s="687">
        <v>1337.93</v>
      </c>
      <c r="C13" s="883"/>
      <c r="D13" s="883">
        <v>197627</v>
      </c>
      <c r="E13" s="884">
        <v>1649</v>
      </c>
      <c r="F13" s="686">
        <v>0</v>
      </c>
      <c r="G13" s="687">
        <v>0</v>
      </c>
      <c r="H13" s="691">
        <v>8</v>
      </c>
      <c r="I13" s="691">
        <v>12</v>
      </c>
      <c r="J13" s="686">
        <v>2</v>
      </c>
      <c r="K13" s="691"/>
      <c r="L13" s="688">
        <f t="shared" si="9"/>
        <v>0.00834400157873165</v>
      </c>
      <c r="M13" s="687">
        <f t="shared" si="10"/>
        <v>0.811358399029715</v>
      </c>
      <c r="N13" s="886"/>
      <c r="O13" s="886">
        <f t="shared" si="11"/>
        <v>6.76997576242113</v>
      </c>
      <c r="P13" s="887">
        <f t="shared" si="12"/>
        <v>0</v>
      </c>
      <c r="Q13" s="688"/>
      <c r="R13" s="688">
        <f t="shared" si="13"/>
        <v>0</v>
      </c>
      <c r="S13" s="888"/>
      <c r="T13" s="888" t="e">
        <f t="shared" si="14"/>
        <v>#DIV/0!</v>
      </c>
      <c r="U13" s="687" t="e">
        <f t="shared" si="15"/>
        <v>#DIV/0!</v>
      </c>
      <c r="V13" s="889">
        <f t="shared" si="16"/>
        <v>167.24125</v>
      </c>
    </row>
    <row r="14" spans="1:23">
      <c r="A14" s="891" t="s">
        <v>22</v>
      </c>
      <c r="B14" s="892">
        <f>SUM(B11:B13)</f>
        <v>29672.46</v>
      </c>
      <c r="C14" s="893"/>
      <c r="D14" s="893">
        <f t="shared" ref="D14:J14" si="17">SUM(D11:D13)</f>
        <v>306548</v>
      </c>
      <c r="E14" s="894">
        <f t="shared" si="17"/>
        <v>5469</v>
      </c>
      <c r="F14" s="891">
        <f t="shared" si="17"/>
        <v>3</v>
      </c>
      <c r="G14" s="892">
        <f t="shared" si="17"/>
        <v>297</v>
      </c>
      <c r="H14" s="895">
        <f t="shared" si="17"/>
        <v>72</v>
      </c>
      <c r="I14" s="895">
        <f t="shared" si="17"/>
        <v>29</v>
      </c>
      <c r="J14" s="891">
        <f t="shared" si="17"/>
        <v>36</v>
      </c>
      <c r="K14" s="895"/>
      <c r="L14" s="896">
        <f t="shared" si="9"/>
        <v>0.0178405991883816</v>
      </c>
      <c r="M14" s="892">
        <f t="shared" si="10"/>
        <v>5.42557323093801</v>
      </c>
      <c r="N14" s="897"/>
      <c r="O14" s="897">
        <f t="shared" si="11"/>
        <v>96.7954773803776</v>
      </c>
      <c r="P14" s="898">
        <f t="shared" si="12"/>
        <v>0.0100092813336002</v>
      </c>
      <c r="Q14" s="896"/>
      <c r="R14" s="896">
        <f t="shared" si="13"/>
        <v>0.000548546352166758</v>
      </c>
      <c r="S14" s="892"/>
      <c r="T14" s="892">
        <f t="shared" si="14"/>
        <v>99</v>
      </c>
      <c r="U14" s="899">
        <f t="shared" si="15"/>
        <v>9890.82</v>
      </c>
      <c r="V14" s="889">
        <f t="shared" si="16"/>
        <v>412.1175</v>
      </c>
    </row>
    <row r="17" ht="41.4" spans="1:23">
      <c r="A17" s="868" t="s">
        <v>24</v>
      </c>
      <c r="B17" s="875" t="s">
        <v>1</v>
      </c>
      <c r="C17" s="876"/>
      <c r="D17" s="876" t="s">
        <v>2</v>
      </c>
      <c r="E17" s="877" t="s">
        <v>3</v>
      </c>
      <c r="F17" s="868" t="s">
        <v>4</v>
      </c>
      <c r="G17" s="875" t="s">
        <v>5</v>
      </c>
      <c r="H17" s="878" t="s">
        <v>6</v>
      </c>
      <c r="I17" s="878" t="s">
        <v>7</v>
      </c>
      <c r="J17" s="868" t="s">
        <v>8</v>
      </c>
      <c r="K17" s="878"/>
      <c r="L17" s="879" t="s">
        <v>9</v>
      </c>
      <c r="M17" s="875" t="s">
        <v>10</v>
      </c>
      <c r="N17" s="880"/>
      <c r="O17" s="880" t="s">
        <v>11</v>
      </c>
      <c r="P17" s="881" t="s">
        <v>12</v>
      </c>
      <c r="Q17" s="879"/>
      <c r="R17" s="879" t="s">
        <v>13</v>
      </c>
      <c r="S17" s="875"/>
      <c r="T17" s="875" t="s">
        <v>14</v>
      </c>
      <c r="U17" s="875" t="s">
        <v>15</v>
      </c>
      <c r="V17" s="868" t="s">
        <v>16</v>
      </c>
      <c r="W17" s="882"/>
    </row>
    <row r="18" spans="1:23">
      <c r="A18" s="686" t="s">
        <v>19</v>
      </c>
      <c r="B18" s="687">
        <v>2866.29</v>
      </c>
      <c r="C18" s="883"/>
      <c r="D18" s="883">
        <v>12670</v>
      </c>
      <c r="E18" s="884">
        <v>404</v>
      </c>
      <c r="F18" s="686">
        <v>3</v>
      </c>
      <c r="G18" s="687">
        <v>600</v>
      </c>
      <c r="H18" s="691">
        <v>2</v>
      </c>
      <c r="I18" s="691">
        <v>1</v>
      </c>
      <c r="J18" s="686">
        <v>12</v>
      </c>
      <c r="K18" s="691"/>
      <c r="L18" s="688">
        <f t="shared" ref="L18:L21" si="18">E18/D18</f>
        <v>0.0318863456985004</v>
      </c>
      <c r="M18" s="687">
        <f t="shared" ref="M18:M21" si="19">B18/E18</f>
        <v>7.09477722772277</v>
      </c>
      <c r="N18" s="886"/>
      <c r="O18" s="886">
        <f t="shared" ref="O18:O21" si="20">(B18/D18)*1000</f>
        <v>226.226519337017</v>
      </c>
      <c r="P18" s="887">
        <f t="shared" ref="P18:P21" si="21">G18/B18</f>
        <v>0.209329830547502</v>
      </c>
      <c r="Q18" s="688"/>
      <c r="R18" s="688">
        <f t="shared" ref="R18:R21" si="22">F18/E18</f>
        <v>0.00742574257425743</v>
      </c>
      <c r="S18" s="888"/>
      <c r="T18" s="888">
        <f t="shared" ref="T18:T21" si="23">G18/F18</f>
        <v>200</v>
      </c>
      <c r="U18" s="687">
        <f t="shared" ref="U18:U21" si="24">B18/F18</f>
        <v>955.43</v>
      </c>
      <c r="V18" s="889">
        <f t="shared" ref="V18:V21" si="25">B18/H18</f>
        <v>1433.145</v>
      </c>
    </row>
    <row r="19" spans="1:23">
      <c r="A19" s="686" t="s">
        <v>20</v>
      </c>
      <c r="B19" s="687">
        <v>3311.5</v>
      </c>
      <c r="C19" s="883"/>
      <c r="D19" s="883">
        <v>120004</v>
      </c>
      <c r="E19" s="884">
        <v>2346</v>
      </c>
      <c r="F19" s="686">
        <v>0</v>
      </c>
      <c r="G19" s="687">
        <v>0</v>
      </c>
      <c r="H19" s="691">
        <v>1</v>
      </c>
      <c r="I19" s="691">
        <v>2</v>
      </c>
      <c r="J19" s="686">
        <v>8</v>
      </c>
      <c r="K19" s="691"/>
      <c r="L19" s="688">
        <f t="shared" si="18"/>
        <v>0.0195493483550548</v>
      </c>
      <c r="M19" s="687">
        <f t="shared" si="19"/>
        <v>1.4115515771526</v>
      </c>
      <c r="N19" s="886"/>
      <c r="O19" s="886">
        <f t="shared" si="20"/>
        <v>27.5949135028832</v>
      </c>
      <c r="P19" s="887">
        <f t="shared" si="21"/>
        <v>0</v>
      </c>
      <c r="Q19" s="688"/>
      <c r="R19" s="688">
        <f t="shared" si="22"/>
        <v>0</v>
      </c>
      <c r="S19" s="687"/>
      <c r="T19" s="687" t="e">
        <f t="shared" si="23"/>
        <v>#DIV/0!</v>
      </c>
      <c r="U19" s="687" t="e">
        <f t="shared" si="24"/>
        <v>#DIV/0!</v>
      </c>
      <c r="V19" s="889">
        <f t="shared" si="25"/>
        <v>3311.5</v>
      </c>
    </row>
    <row r="20" spans="1:23">
      <c r="A20" s="686" t="s">
        <v>21</v>
      </c>
      <c r="B20" s="687">
        <v>2031.5</v>
      </c>
      <c r="C20" s="883"/>
      <c r="D20" s="883">
        <v>219571</v>
      </c>
      <c r="E20" s="884">
        <v>1511</v>
      </c>
      <c r="F20" s="686">
        <v>0</v>
      </c>
      <c r="G20" s="687">
        <v>0</v>
      </c>
      <c r="H20" s="691">
        <v>2</v>
      </c>
      <c r="I20" s="691">
        <v>14</v>
      </c>
      <c r="J20" s="686">
        <v>0</v>
      </c>
      <c r="K20" s="691"/>
      <c r="L20" s="688">
        <f t="shared" si="18"/>
        <v>0.00688160094001485</v>
      </c>
      <c r="M20" s="687">
        <f t="shared" si="19"/>
        <v>1.34447385837194</v>
      </c>
      <c r="N20" s="886"/>
      <c r="O20" s="886">
        <f t="shared" si="20"/>
        <v>9.25213256759772</v>
      </c>
      <c r="P20" s="887">
        <f t="shared" si="21"/>
        <v>0</v>
      </c>
      <c r="Q20" s="688"/>
      <c r="R20" s="688">
        <f t="shared" si="22"/>
        <v>0</v>
      </c>
      <c r="S20" s="888"/>
      <c r="T20" s="888" t="e">
        <f t="shared" si="23"/>
        <v>#DIV/0!</v>
      </c>
      <c r="U20" s="687" t="e">
        <f t="shared" si="24"/>
        <v>#DIV/0!</v>
      </c>
      <c r="V20" s="889">
        <f t="shared" si="25"/>
        <v>1015.75</v>
      </c>
    </row>
    <row r="21" spans="1:23">
      <c r="A21" s="891" t="s">
        <v>22</v>
      </c>
      <c r="B21" s="892">
        <f>SUM(B18:B20)</f>
        <v>8209.29</v>
      </c>
      <c r="C21" s="893"/>
      <c r="D21" s="893">
        <f t="shared" ref="D21:J21" si="26">SUM(D18:D20)</f>
        <v>352245</v>
      </c>
      <c r="E21" s="894">
        <f t="shared" si="26"/>
        <v>4261</v>
      </c>
      <c r="F21" s="891">
        <f t="shared" si="26"/>
        <v>3</v>
      </c>
      <c r="G21" s="892">
        <f t="shared" si="26"/>
        <v>600</v>
      </c>
      <c r="H21" s="895">
        <f t="shared" si="26"/>
        <v>5</v>
      </c>
      <c r="I21" s="895">
        <f t="shared" si="26"/>
        <v>17</v>
      </c>
      <c r="J21" s="891">
        <f t="shared" si="26"/>
        <v>20</v>
      </c>
      <c r="K21" s="895"/>
      <c r="L21" s="896">
        <f t="shared" si="18"/>
        <v>0.0120966940623714</v>
      </c>
      <c r="M21" s="892">
        <f t="shared" si="19"/>
        <v>1.92661112414926</v>
      </c>
      <c r="N21" s="897"/>
      <c r="O21" s="897">
        <f t="shared" si="20"/>
        <v>23.305625345995</v>
      </c>
      <c r="P21" s="898">
        <f t="shared" si="21"/>
        <v>0.0730879284323005</v>
      </c>
      <c r="Q21" s="896"/>
      <c r="R21" s="896">
        <f t="shared" si="22"/>
        <v>0.000704060079793476</v>
      </c>
      <c r="S21" s="892"/>
      <c r="T21" s="892">
        <f t="shared" si="23"/>
        <v>200</v>
      </c>
      <c r="U21" s="899">
        <f t="shared" si="24"/>
        <v>2736.43</v>
      </c>
      <c r="V21" s="889">
        <f t="shared" si="25"/>
        <v>1641.858</v>
      </c>
    </row>
    <row r="25" spans="1:23">
      <c r="A25" s="900" t="s">
        <v>25</v>
      </c>
    </row>
    <row r="26" ht="41.4" spans="1:23">
      <c r="A26" s="868" t="s">
        <v>26</v>
      </c>
      <c r="B26" s="875" t="s">
        <v>1</v>
      </c>
      <c r="C26" s="876"/>
      <c r="D26" s="876" t="s">
        <v>2</v>
      </c>
      <c r="E26" s="877" t="s">
        <v>3</v>
      </c>
      <c r="F26" s="868" t="s">
        <v>4</v>
      </c>
      <c r="G26" s="875" t="s">
        <v>5</v>
      </c>
      <c r="H26" s="878" t="s">
        <v>6</v>
      </c>
      <c r="I26" s="878" t="s">
        <v>7</v>
      </c>
      <c r="J26" s="868" t="s">
        <v>8</v>
      </c>
      <c r="K26" s="878"/>
      <c r="L26" s="879" t="s">
        <v>9</v>
      </c>
      <c r="M26" s="875" t="s">
        <v>10</v>
      </c>
      <c r="N26" s="880"/>
      <c r="O26" s="880" t="s">
        <v>11</v>
      </c>
      <c r="P26" s="881" t="s">
        <v>12</v>
      </c>
      <c r="Q26" s="879"/>
      <c r="R26" s="879" t="s">
        <v>13</v>
      </c>
      <c r="S26" s="875"/>
      <c r="T26" s="875" t="s">
        <v>14</v>
      </c>
      <c r="U26" s="875" t="s">
        <v>15</v>
      </c>
      <c r="V26" s="868" t="s">
        <v>16</v>
      </c>
      <c r="W26" s="882"/>
    </row>
    <row r="27" spans="1:23">
      <c r="A27" s="686" t="s">
        <v>19</v>
      </c>
      <c r="B27" s="685">
        <f>SUM(明星店铺!B514:B522)</f>
        <v>496.42</v>
      </c>
      <c r="C27" s="901"/>
      <c r="D27" s="901">
        <f>SUM(明星店铺!C514:C522)</f>
        <v>670</v>
      </c>
      <c r="E27" s="901">
        <f>SUM(明星店铺!D514:D522)</f>
        <v>180</v>
      </c>
      <c r="F27" s="690">
        <f>SUM(明星店铺!E514:E522)</f>
        <v>3</v>
      </c>
      <c r="G27" s="685">
        <f>SUM(明星店铺!F514:F522)</f>
        <v>3</v>
      </c>
      <c r="H27" s="690">
        <f>SUM(明星店铺!G514:G522)</f>
        <v>38</v>
      </c>
      <c r="I27" s="690">
        <f>SUM(明星店铺!H514:H522)</f>
        <v>8</v>
      </c>
      <c r="J27" s="690">
        <f>SUM(明星店铺!I514:I522)</f>
        <v>6</v>
      </c>
      <c r="K27" s="690"/>
      <c r="L27" s="688">
        <f t="shared" ref="L27:L31" si="27">E27/D27</f>
        <v>0.26865671641791</v>
      </c>
      <c r="M27" s="685">
        <f t="shared" ref="M27:M31" si="28">B27/E27</f>
        <v>2.75788888888889</v>
      </c>
      <c r="N27" s="886"/>
      <c r="O27" s="886">
        <f t="shared" ref="O27:O31" si="29">(B27/D27)*1000</f>
        <v>740.925373134328</v>
      </c>
      <c r="P27" s="887">
        <f t="shared" ref="P27:P31" si="30">G27/B27</f>
        <v>0.00604326981185287</v>
      </c>
      <c r="Q27" s="688"/>
      <c r="R27" s="688">
        <f t="shared" ref="R27:R31" si="31">F27/E27</f>
        <v>0.0166666666666667</v>
      </c>
      <c r="S27" s="685"/>
      <c r="T27" s="685">
        <f t="shared" ref="T27:T31" si="32">G27/F27</f>
        <v>1</v>
      </c>
      <c r="U27" s="685">
        <f t="shared" ref="U27:U31" si="33">B27/F27</f>
        <v>165.473333333333</v>
      </c>
      <c r="V27" s="902">
        <f t="shared" ref="V27:V31" si="34">B27/H27</f>
        <v>13.0636842105263</v>
      </c>
    </row>
    <row r="28" spans="1:23">
      <c r="A28" s="686" t="s">
        <v>20</v>
      </c>
      <c r="B28" s="685">
        <f>SUM(直通车!B514:B522)</f>
        <v>8646.78</v>
      </c>
      <c r="C28" s="901"/>
      <c r="D28" s="901">
        <f>SUM(直通车!C514:C522)</f>
        <v>32943</v>
      </c>
      <c r="E28" s="901">
        <f>SUM(直通车!D514:D522)</f>
        <v>2523</v>
      </c>
      <c r="F28" s="690">
        <f>SUM(直通车!E514:E522)</f>
        <v>1</v>
      </c>
      <c r="G28" s="685">
        <f>SUM(直通车!F514:F522)</f>
        <v>1</v>
      </c>
      <c r="H28" s="690">
        <f>SUM(直通车!G514:G522)</f>
        <v>62</v>
      </c>
      <c r="I28" s="690">
        <f>SUM(直通车!H514:H522)</f>
        <v>37</v>
      </c>
      <c r="J28" s="690">
        <f>SUM(直通车!I514:I522)</f>
        <v>12</v>
      </c>
      <c r="K28" s="690"/>
      <c r="L28" s="688">
        <f t="shared" si="27"/>
        <v>0.0765868318003825</v>
      </c>
      <c r="M28" s="685">
        <f t="shared" si="28"/>
        <v>3.42718192627824</v>
      </c>
      <c r="N28" s="886"/>
      <c r="O28" s="886">
        <f t="shared" si="29"/>
        <v>262.477005737182</v>
      </c>
      <c r="P28" s="887">
        <f t="shared" si="30"/>
        <v>0.000115649987625451</v>
      </c>
      <c r="Q28" s="688"/>
      <c r="R28" s="688">
        <f t="shared" si="31"/>
        <v>0.000396353547364249</v>
      </c>
      <c r="S28" s="685"/>
      <c r="T28" s="685">
        <f t="shared" si="32"/>
        <v>1</v>
      </c>
      <c r="U28" s="685">
        <f t="shared" si="33"/>
        <v>8646.78</v>
      </c>
      <c r="V28" s="902">
        <f t="shared" si="34"/>
        <v>139.464193548387</v>
      </c>
    </row>
    <row r="29" spans="1:23">
      <c r="A29" s="686" t="s">
        <v>21</v>
      </c>
      <c r="B29" s="685">
        <f>SUM(引力魔方!B413:B421)</f>
        <v>4176.9</v>
      </c>
      <c r="C29" s="901"/>
      <c r="D29" s="901">
        <f>SUM(引力魔方!C413:C421)</f>
        <v>444197</v>
      </c>
      <c r="E29" s="901">
        <f>SUM(引力魔方!D413:D421)</f>
        <v>2732</v>
      </c>
      <c r="F29" s="690">
        <f>SUM(引力魔方!E413:E421)</f>
        <v>0</v>
      </c>
      <c r="G29" s="685">
        <f>SUM(引力魔方!F413:F421)</f>
        <v>0</v>
      </c>
      <c r="H29" s="690">
        <f>SUM(引力魔方!G413:G421)</f>
        <v>25</v>
      </c>
      <c r="I29" s="690">
        <f>SUM(引力魔方!H413:H421)</f>
        <v>14</v>
      </c>
      <c r="J29" s="690">
        <f>SUM(引力魔方!I413:I421)</f>
        <v>2</v>
      </c>
      <c r="K29" s="690"/>
      <c r="L29" s="688">
        <f t="shared" si="27"/>
        <v>0.00615042424870046</v>
      </c>
      <c r="M29" s="685">
        <f t="shared" si="28"/>
        <v>1.52887994143485</v>
      </c>
      <c r="N29" s="886"/>
      <c r="O29" s="886">
        <f t="shared" si="29"/>
        <v>9.40326026515262</v>
      </c>
      <c r="P29" s="887">
        <f t="shared" si="30"/>
        <v>0</v>
      </c>
      <c r="Q29" s="688"/>
      <c r="R29" s="688">
        <f t="shared" si="31"/>
        <v>0</v>
      </c>
      <c r="S29" s="685"/>
      <c r="T29" s="685" t="e">
        <f t="shared" si="32"/>
        <v>#DIV/0!</v>
      </c>
      <c r="U29" s="685" t="e">
        <f t="shared" si="33"/>
        <v>#DIV/0!</v>
      </c>
      <c r="V29" s="902">
        <f t="shared" si="34"/>
        <v>167.076</v>
      </c>
    </row>
    <row r="30" spans="1:23">
      <c r="A30" s="686" t="s">
        <v>27</v>
      </c>
      <c r="B30" s="685">
        <f>SUM(万相台!B2:B10)</f>
        <v>1014.03</v>
      </c>
      <c r="C30" s="901"/>
      <c r="D30" s="901">
        <f>SUM(万相台!C2:C10)</f>
        <v>96394</v>
      </c>
      <c r="E30" s="901">
        <f>SUM(万相台!D2:D10)</f>
        <v>1126</v>
      </c>
      <c r="F30" s="690">
        <f>SUM(万相台!E2:E10)</f>
        <v>0</v>
      </c>
      <c r="G30" s="685">
        <f>SUM(万相台!F2:F10)</f>
        <v>0</v>
      </c>
      <c r="H30" s="690">
        <f>SUM(万相台!G2:G10)</f>
        <v>22</v>
      </c>
      <c r="I30" s="690">
        <f>SUM(万相台!H2:H10)</f>
        <v>12</v>
      </c>
      <c r="J30" s="690"/>
      <c r="K30" s="690"/>
      <c r="L30" s="688">
        <f t="shared" si="27"/>
        <v>0.0116812249725087</v>
      </c>
      <c r="M30" s="685">
        <f t="shared" si="28"/>
        <v>0.900559502664298</v>
      </c>
      <c r="N30" s="886"/>
      <c r="O30" s="886">
        <f t="shared" si="29"/>
        <v>10.5196381517522</v>
      </c>
      <c r="P30" s="887">
        <f t="shared" si="30"/>
        <v>0</v>
      </c>
      <c r="Q30" s="688"/>
      <c r="R30" s="688">
        <f t="shared" si="31"/>
        <v>0</v>
      </c>
      <c r="S30" s="685"/>
      <c r="T30" s="685" t="e">
        <f t="shared" si="32"/>
        <v>#DIV/0!</v>
      </c>
      <c r="U30" s="685" t="e">
        <f t="shared" si="33"/>
        <v>#DIV/0!</v>
      </c>
      <c r="V30" s="902">
        <f t="shared" si="34"/>
        <v>46.0922727272727</v>
      </c>
    </row>
    <row r="31" spans="1:23">
      <c r="A31" s="891" t="s">
        <v>22</v>
      </c>
      <c r="B31" s="903">
        <f>SUM(B27:B30)</f>
        <v>14334.13</v>
      </c>
      <c r="C31" s="904"/>
      <c r="D31" s="904">
        <f t="shared" ref="D31:J31" si="35">SUM(D27:D30)</f>
        <v>574204</v>
      </c>
      <c r="E31" s="904">
        <f t="shared" si="35"/>
        <v>6561</v>
      </c>
      <c r="F31" s="904">
        <f t="shared" si="35"/>
        <v>4</v>
      </c>
      <c r="G31" s="903">
        <f t="shared" si="35"/>
        <v>4</v>
      </c>
      <c r="H31" s="904">
        <f t="shared" si="35"/>
        <v>147</v>
      </c>
      <c r="I31" s="904">
        <f t="shared" si="35"/>
        <v>71</v>
      </c>
      <c r="J31" s="904">
        <f t="shared" si="35"/>
        <v>20</v>
      </c>
      <c r="K31" s="904"/>
      <c r="L31" s="896">
        <f t="shared" si="27"/>
        <v>0.0114262526906814</v>
      </c>
      <c r="M31" s="903">
        <f t="shared" si="28"/>
        <v>2.18474775186709</v>
      </c>
      <c r="N31" s="897"/>
      <c r="O31" s="897">
        <f t="shared" si="29"/>
        <v>24.9634798782314</v>
      </c>
      <c r="P31" s="898">
        <f t="shared" si="30"/>
        <v>0.000279054257216866</v>
      </c>
      <c r="Q31" s="896"/>
      <c r="R31" s="896">
        <f t="shared" si="31"/>
        <v>0.00060966316110349</v>
      </c>
      <c r="S31" s="903"/>
      <c r="T31" s="903">
        <f t="shared" si="32"/>
        <v>1</v>
      </c>
      <c r="U31" s="903">
        <f t="shared" si="33"/>
        <v>3583.5325</v>
      </c>
      <c r="V31" s="902">
        <f t="shared" si="34"/>
        <v>97.5110884353742</v>
      </c>
    </row>
    <row r="32" spans="1:23">
      <c r="A32" s="900"/>
      <c r="B32" s="905"/>
      <c r="C32" s="906"/>
      <c r="D32" s="906"/>
      <c r="E32" s="906"/>
      <c r="F32" s="906"/>
      <c r="G32" s="905"/>
      <c r="H32" s="906"/>
      <c r="I32" s="906"/>
      <c r="J32" s="906"/>
      <c r="K32" s="906"/>
      <c r="L32" s="907"/>
      <c r="M32" s="905"/>
      <c r="N32" s="908"/>
      <c r="O32" s="908"/>
      <c r="P32" s="909"/>
      <c r="Q32" s="907"/>
      <c r="R32" s="907"/>
      <c r="S32" s="910"/>
      <c r="T32" s="910"/>
      <c r="U32" s="905"/>
      <c r="V32" s="911"/>
    </row>
    <row r="33" ht="41.4" spans="1:23">
      <c r="A33" s="868" t="s">
        <v>28</v>
      </c>
      <c r="B33" s="869" t="s">
        <v>1</v>
      </c>
      <c r="C33" s="870"/>
      <c r="D33" s="870" t="s">
        <v>2</v>
      </c>
      <c r="E33" s="870" t="s">
        <v>3</v>
      </c>
      <c r="F33" s="871" t="s">
        <v>4</v>
      </c>
      <c r="G33" s="869" t="s">
        <v>5</v>
      </c>
      <c r="H33" s="871" t="s">
        <v>6</v>
      </c>
      <c r="I33" s="871" t="s">
        <v>7</v>
      </c>
      <c r="J33" s="871" t="s">
        <v>8</v>
      </c>
      <c r="K33" s="871" t="s">
        <v>34</v>
      </c>
      <c r="L33" s="879" t="s">
        <v>9</v>
      </c>
      <c r="M33" s="869" t="s">
        <v>10</v>
      </c>
      <c r="N33" s="880"/>
      <c r="O33" s="880" t="s">
        <v>11</v>
      </c>
      <c r="P33" s="881" t="s">
        <v>12</v>
      </c>
      <c r="Q33" s="879"/>
      <c r="R33" s="879" t="s">
        <v>13</v>
      </c>
      <c r="S33" s="875"/>
      <c r="T33" s="875" t="s">
        <v>14</v>
      </c>
      <c r="U33" s="869" t="s">
        <v>15</v>
      </c>
      <c r="V33" s="912" t="s">
        <v>16</v>
      </c>
      <c r="W33" s="882"/>
    </row>
    <row r="34" spans="1:23">
      <c r="A34" s="686" t="s">
        <v>19</v>
      </c>
      <c r="B34" s="685">
        <f>SUM(明星店铺!B523:B552)</f>
        <v>1129.72</v>
      </c>
      <c r="C34" s="901"/>
      <c r="D34" s="901">
        <f>SUM(明星店铺!C523:C552)</f>
        <v>1507</v>
      </c>
      <c r="E34" s="901">
        <f>SUM(明星店铺!D523:D552)</f>
        <v>586</v>
      </c>
      <c r="F34" s="690">
        <f>SUM(明星店铺!E523:E552)</f>
        <v>5</v>
      </c>
      <c r="G34" s="685">
        <f>SUM(明星店铺!F523:F552)</f>
        <v>7282.8</v>
      </c>
      <c r="H34" s="690">
        <f>SUM(明星店铺!G523:G552)</f>
        <v>84</v>
      </c>
      <c r="I34" s="690">
        <f>SUM(明星店铺!H523:H552)</f>
        <v>17</v>
      </c>
      <c r="J34" s="690">
        <f>SUM(明星店铺!I523:I552)</f>
        <v>26</v>
      </c>
      <c r="K34" s="872">
        <f t="shared" ref="K34:K38" si="36">I34+J34</f>
        <v>43</v>
      </c>
      <c r="L34" s="688">
        <f t="shared" ref="L34:L38" si="37">E34/D34</f>
        <v>0.38885202388852</v>
      </c>
      <c r="M34" s="685">
        <f t="shared" ref="M34:M38" si="38">B34/E34</f>
        <v>1.92784982935154</v>
      </c>
      <c r="N34" s="886"/>
      <c r="O34" s="886">
        <f t="shared" ref="O34:O38" si="39">(B34/D34)*1000</f>
        <v>749.648307896483</v>
      </c>
      <c r="P34" s="887">
        <f t="shared" ref="P34:P38" si="40">G34/B34</f>
        <v>6.44655312820876</v>
      </c>
      <c r="Q34" s="688"/>
      <c r="R34" s="688">
        <f t="shared" ref="R34:R38" si="41">F34/E34</f>
        <v>0.00853242320819113</v>
      </c>
      <c r="S34" s="685"/>
      <c r="T34" s="685">
        <f t="shared" ref="T34:T38" si="42">G34/F34</f>
        <v>1456.56</v>
      </c>
      <c r="U34" s="685">
        <f t="shared" ref="U34:U38" si="43">B34/F34</f>
        <v>225.944</v>
      </c>
      <c r="V34" s="902">
        <f t="shared" ref="V34:V38" si="44">B34/H34</f>
        <v>13.4490476190476</v>
      </c>
    </row>
    <row r="35" spans="1:23">
      <c r="A35" s="686" t="s">
        <v>20</v>
      </c>
      <c r="B35" s="685">
        <f>SUM(直通车!B523:B552)</f>
        <v>38763.28</v>
      </c>
      <c r="C35" s="901"/>
      <c r="D35" s="901">
        <f>SUM(直通车!C523:C552)</f>
        <v>174099</v>
      </c>
      <c r="E35" s="901">
        <f>SUM(直通车!D523:D552)</f>
        <v>10706</v>
      </c>
      <c r="F35" s="690">
        <f>SUM(直通车!E523:E552)</f>
        <v>19</v>
      </c>
      <c r="G35" s="685">
        <f>SUM(直通车!F523:F552)</f>
        <v>24965.1</v>
      </c>
      <c r="H35" s="690">
        <f>SUM(直通车!G523:G552)</f>
        <v>252</v>
      </c>
      <c r="I35" s="690">
        <f>SUM(直通车!H523:H552)</f>
        <v>177</v>
      </c>
      <c r="J35" s="690">
        <f>SUM(直通车!I523:I552)</f>
        <v>88</v>
      </c>
      <c r="K35" s="872">
        <f t="shared" si="36"/>
        <v>265</v>
      </c>
      <c r="L35" s="688">
        <f t="shared" si="37"/>
        <v>0.061493747810154</v>
      </c>
      <c r="M35" s="685">
        <f t="shared" si="38"/>
        <v>3.62070614608631</v>
      </c>
      <c r="N35" s="886"/>
      <c r="O35" s="886">
        <f t="shared" si="39"/>
        <v>222.650790642106</v>
      </c>
      <c r="P35" s="887">
        <f t="shared" si="40"/>
        <v>0.644039926445853</v>
      </c>
      <c r="Q35" s="688"/>
      <c r="R35" s="688">
        <f t="shared" si="41"/>
        <v>0.00177470577246404</v>
      </c>
      <c r="S35" s="685"/>
      <c r="T35" s="685">
        <f t="shared" si="42"/>
        <v>1313.95263157895</v>
      </c>
      <c r="U35" s="685">
        <f t="shared" si="43"/>
        <v>2040.17263157895</v>
      </c>
      <c r="V35" s="902">
        <f t="shared" si="44"/>
        <v>153.82253968254</v>
      </c>
    </row>
    <row r="36" spans="1:23">
      <c r="A36" s="686" t="s">
        <v>21</v>
      </c>
      <c r="B36" s="685">
        <f>SUM(引力魔方!B422:B451)</f>
        <v>21321.69</v>
      </c>
      <c r="C36" s="901"/>
      <c r="D36" s="901">
        <f>SUM(引力魔方!C422:C451)</f>
        <v>1533981</v>
      </c>
      <c r="E36" s="901">
        <f>SUM(引力魔方!D422:D451)</f>
        <v>11155</v>
      </c>
      <c r="F36" s="690">
        <f>SUM(引力魔方!E422:E451)</f>
        <v>0</v>
      </c>
      <c r="G36" s="685">
        <f>SUM(引力魔方!F422:F451)</f>
        <v>0</v>
      </c>
      <c r="H36" s="690">
        <f>SUM(引力魔方!G422:G451)</f>
        <v>103</v>
      </c>
      <c r="I36" s="690">
        <f>SUM(引力魔方!H422:H451)</f>
        <v>64</v>
      </c>
      <c r="J36" s="690">
        <f>SUM(引力魔方!I422:I451)</f>
        <v>16</v>
      </c>
      <c r="K36" s="872">
        <f t="shared" si="36"/>
        <v>80</v>
      </c>
      <c r="L36" s="688">
        <f t="shared" si="37"/>
        <v>0.00727192840067771</v>
      </c>
      <c r="M36" s="685">
        <f t="shared" si="38"/>
        <v>1.91140206185567</v>
      </c>
      <c r="N36" s="886"/>
      <c r="O36" s="886">
        <f t="shared" si="39"/>
        <v>13.8995789387222</v>
      </c>
      <c r="P36" s="887">
        <f t="shared" si="40"/>
        <v>0</v>
      </c>
      <c r="Q36" s="688"/>
      <c r="R36" s="688">
        <f t="shared" si="41"/>
        <v>0</v>
      </c>
      <c r="S36" s="685"/>
      <c r="T36" s="685" t="e">
        <f t="shared" si="42"/>
        <v>#DIV/0!</v>
      </c>
      <c r="U36" s="685" t="e">
        <f t="shared" si="43"/>
        <v>#DIV/0!</v>
      </c>
      <c r="V36" s="902">
        <f t="shared" si="44"/>
        <v>207.006699029126</v>
      </c>
    </row>
    <row r="37" spans="1:23">
      <c r="A37" s="686" t="s">
        <v>27</v>
      </c>
      <c r="B37" s="685">
        <f>SUM(万相台!B11:B40)</f>
        <v>6066.03</v>
      </c>
      <c r="C37" s="901"/>
      <c r="D37" s="901">
        <f>SUM(万相台!C11:C40)</f>
        <v>756412</v>
      </c>
      <c r="E37" s="901">
        <f>SUM(万相台!D11:D40)</f>
        <v>9008</v>
      </c>
      <c r="F37" s="690">
        <f>SUM(万相台!E11:E40)</f>
        <v>7</v>
      </c>
      <c r="G37" s="685">
        <f>SUM(万相台!F11:F40)</f>
        <v>6379.9</v>
      </c>
      <c r="H37" s="690">
        <f>SUM(万相台!G11:G40)</f>
        <v>115</v>
      </c>
      <c r="I37" s="690">
        <f>SUM(万相台!H11:H40)</f>
        <v>96</v>
      </c>
      <c r="J37" s="690"/>
      <c r="K37" s="872">
        <f t="shared" si="36"/>
        <v>96</v>
      </c>
      <c r="L37" s="688">
        <f t="shared" si="37"/>
        <v>0.0119088539050147</v>
      </c>
      <c r="M37" s="685">
        <f t="shared" si="38"/>
        <v>0.673404751332149</v>
      </c>
      <c r="N37" s="886"/>
      <c r="O37" s="886">
        <f t="shared" si="39"/>
        <v>8.01947880255734</v>
      </c>
      <c r="P37" s="887">
        <f t="shared" si="40"/>
        <v>1.05174224327938</v>
      </c>
      <c r="Q37" s="688"/>
      <c r="R37" s="688">
        <f t="shared" si="41"/>
        <v>0.00077708703374778</v>
      </c>
      <c r="S37" s="685"/>
      <c r="T37" s="685">
        <f t="shared" si="42"/>
        <v>911.414285714286</v>
      </c>
      <c r="U37" s="685">
        <f t="shared" si="43"/>
        <v>866.575714285714</v>
      </c>
      <c r="V37" s="902">
        <f t="shared" si="44"/>
        <v>52.7480869565217</v>
      </c>
    </row>
    <row r="38" spans="1:23">
      <c r="A38" s="891" t="s">
        <v>22</v>
      </c>
      <c r="B38" s="903">
        <f>SUM(B34:B37)</f>
        <v>67280.72</v>
      </c>
      <c r="C38" s="904"/>
      <c r="D38" s="904">
        <f t="shared" ref="D38:J38" si="45">SUM(D34:D37)</f>
        <v>2465999</v>
      </c>
      <c r="E38" s="904">
        <f t="shared" si="45"/>
        <v>31455</v>
      </c>
      <c r="F38" s="904">
        <f t="shared" si="45"/>
        <v>31</v>
      </c>
      <c r="G38" s="903">
        <f t="shared" si="45"/>
        <v>38627.8</v>
      </c>
      <c r="H38" s="904">
        <f t="shared" si="45"/>
        <v>554</v>
      </c>
      <c r="I38" s="904">
        <f t="shared" si="45"/>
        <v>354</v>
      </c>
      <c r="J38" s="904">
        <f t="shared" si="45"/>
        <v>130</v>
      </c>
      <c r="K38" s="904">
        <f t="shared" si="36"/>
        <v>484</v>
      </c>
      <c r="L38" s="896">
        <f t="shared" si="37"/>
        <v>0.0127554796250931</v>
      </c>
      <c r="M38" s="903">
        <f t="shared" si="38"/>
        <v>2.13895151804165</v>
      </c>
      <c r="N38" s="897"/>
      <c r="O38" s="897">
        <f t="shared" si="39"/>
        <v>27.2833525074422</v>
      </c>
      <c r="P38" s="898">
        <f t="shared" si="40"/>
        <v>0.574128814317088</v>
      </c>
      <c r="Q38" s="896"/>
      <c r="R38" s="896">
        <f t="shared" si="41"/>
        <v>0.00098553489111429</v>
      </c>
      <c r="S38" s="903"/>
      <c r="T38" s="903">
        <f t="shared" si="42"/>
        <v>1246.05806451613</v>
      </c>
      <c r="U38" s="903">
        <f t="shared" si="43"/>
        <v>2170.34580645161</v>
      </c>
      <c r="V38" s="902">
        <f t="shared" si="44"/>
        <v>121.445342960289</v>
      </c>
    </row>
    <row r="39" spans="1:23">
      <c r="A39" s="900"/>
      <c r="B39" s="905"/>
      <c r="C39" s="906"/>
      <c r="D39" s="906"/>
      <c r="E39" s="906"/>
      <c r="F39" s="906"/>
      <c r="G39" s="905"/>
      <c r="H39" s="906"/>
      <c r="I39" s="906"/>
      <c r="J39" s="906"/>
      <c r="K39" s="906"/>
      <c r="L39" s="907"/>
      <c r="M39" s="905"/>
      <c r="N39" s="908"/>
      <c r="O39" s="908"/>
      <c r="P39" s="909"/>
      <c r="Q39" s="907"/>
      <c r="R39" s="907"/>
      <c r="S39" s="910"/>
      <c r="T39" s="910"/>
      <c r="U39" s="905"/>
      <c r="V39" s="911"/>
    </row>
    <row r="40" ht="41.4" spans="1:23">
      <c r="A40" s="868" t="s">
        <v>29</v>
      </c>
      <c r="B40" s="869" t="s">
        <v>1</v>
      </c>
      <c r="C40" s="870"/>
      <c r="D40" s="870" t="s">
        <v>2</v>
      </c>
      <c r="E40" s="870" t="s">
        <v>3</v>
      </c>
      <c r="F40" s="871" t="s">
        <v>4</v>
      </c>
      <c r="G40" s="869" t="s">
        <v>5</v>
      </c>
      <c r="H40" s="871" t="s">
        <v>6</v>
      </c>
      <c r="I40" s="871" t="s">
        <v>7</v>
      </c>
      <c r="J40" s="871" t="s">
        <v>8</v>
      </c>
      <c r="K40" s="871" t="s">
        <v>34</v>
      </c>
      <c r="L40" s="879" t="s">
        <v>9</v>
      </c>
      <c r="M40" s="869" t="s">
        <v>10</v>
      </c>
      <c r="N40" s="880"/>
      <c r="O40" s="880" t="s">
        <v>11</v>
      </c>
      <c r="P40" s="881" t="s">
        <v>12</v>
      </c>
      <c r="Q40" s="879"/>
      <c r="R40" s="879" t="s">
        <v>13</v>
      </c>
      <c r="S40" s="875"/>
      <c r="T40" s="875" t="s">
        <v>14</v>
      </c>
      <c r="U40" s="869" t="s">
        <v>15</v>
      </c>
      <c r="V40" s="912" t="s">
        <v>16</v>
      </c>
      <c r="W40" s="882"/>
    </row>
    <row r="41" spans="1:23">
      <c r="A41" s="686" t="s">
        <v>19</v>
      </c>
      <c r="B41" s="685">
        <f>SUM(明星店铺!B553:B583)</f>
        <v>8005.24</v>
      </c>
      <c r="C41" s="901"/>
      <c r="D41" s="901">
        <f>SUM(明星店铺!C553:C583)</f>
        <v>9248</v>
      </c>
      <c r="E41" s="901">
        <f>SUM(明星店铺!D553:D583)</f>
        <v>3856</v>
      </c>
      <c r="F41" s="690">
        <f>SUM(明星店铺!E553:E583)</f>
        <v>129</v>
      </c>
      <c r="G41" s="685">
        <f>SUM(明星店铺!F553:F583)</f>
        <v>1401487.2</v>
      </c>
      <c r="H41" s="690">
        <f>SUM(明星店铺!G553:G583)</f>
        <v>747</v>
      </c>
      <c r="I41" s="690">
        <f>SUM(明星店铺!H553:H583)</f>
        <v>232</v>
      </c>
      <c r="J41" s="690">
        <f>SUM(明星店铺!I553:I583)</f>
        <v>442</v>
      </c>
      <c r="K41" s="872">
        <f t="shared" ref="K41:K45" si="46">I41+J41</f>
        <v>674</v>
      </c>
      <c r="L41" s="688">
        <f t="shared" ref="L41:L45" si="47">E41/D41</f>
        <v>0.416955017301038</v>
      </c>
      <c r="M41" s="685">
        <f t="shared" ref="M41:M45" si="48">B41/E41</f>
        <v>2.07604771784232</v>
      </c>
      <c r="N41" s="886"/>
      <c r="O41" s="886">
        <f t="shared" ref="O41:O45" si="49">(B41/D41)*1000</f>
        <v>865.618512110727</v>
      </c>
      <c r="P41" s="887">
        <f t="shared" ref="P41:P45" si="50">G41/B41</f>
        <v>175.071228345434</v>
      </c>
      <c r="Q41" s="688"/>
      <c r="R41" s="688">
        <f t="shared" ref="R41:R45" si="51">F41/E41</f>
        <v>0.033454356846473</v>
      </c>
      <c r="S41" s="685"/>
      <c r="T41" s="685">
        <f t="shared" ref="T41:T45" si="52">G41/F41</f>
        <v>10864.2418604651</v>
      </c>
      <c r="U41" s="685">
        <f t="shared" ref="U41:U45" si="53">B41/F41</f>
        <v>62.0561240310077</v>
      </c>
      <c r="V41" s="902">
        <f t="shared" ref="V41:V45" si="54">B41/H41</f>
        <v>10.7165194109772</v>
      </c>
    </row>
    <row r="42" spans="1:23">
      <c r="A42" s="686" t="s">
        <v>20</v>
      </c>
      <c r="B42" s="685">
        <f>SUM(直通车!B553:B583)</f>
        <v>57558.86</v>
      </c>
      <c r="C42" s="901"/>
      <c r="D42" s="901">
        <f>SUM(直通车!C553:C583)</f>
        <v>219210</v>
      </c>
      <c r="E42" s="901">
        <f>SUM(直通车!D553:D583)</f>
        <v>18951</v>
      </c>
      <c r="F42" s="690">
        <f>SUM(直通车!E553:E583)</f>
        <v>133</v>
      </c>
      <c r="G42" s="685">
        <f>SUM(直通车!F553:F583)</f>
        <v>1640797.3</v>
      </c>
      <c r="H42" s="690">
        <f>SUM(直通车!G553:G583)</f>
        <v>924</v>
      </c>
      <c r="I42" s="690">
        <f>SUM(直通车!H553:H583)</f>
        <v>626</v>
      </c>
      <c r="J42" s="690">
        <f>SUM(直通车!I553:I583)</f>
        <v>336</v>
      </c>
      <c r="K42" s="872">
        <f t="shared" si="46"/>
        <v>962</v>
      </c>
      <c r="L42" s="688">
        <f t="shared" si="47"/>
        <v>0.0864513480224442</v>
      </c>
      <c r="M42" s="685">
        <f t="shared" si="48"/>
        <v>3.03724658329376</v>
      </c>
      <c r="N42" s="886"/>
      <c r="O42" s="886">
        <f t="shared" si="49"/>
        <v>262.574061402308</v>
      </c>
      <c r="P42" s="887">
        <f t="shared" si="50"/>
        <v>28.5064245539262</v>
      </c>
      <c r="Q42" s="688"/>
      <c r="R42" s="688">
        <f t="shared" si="51"/>
        <v>0.0070180993087436</v>
      </c>
      <c r="S42" s="685"/>
      <c r="T42" s="685">
        <f t="shared" si="52"/>
        <v>12336.8218045113</v>
      </c>
      <c r="U42" s="685">
        <f t="shared" si="53"/>
        <v>432.773383458647</v>
      </c>
      <c r="V42" s="902">
        <f t="shared" si="54"/>
        <v>62.2931385281385</v>
      </c>
    </row>
    <row r="43" spans="1:23">
      <c r="A43" s="686" t="s">
        <v>21</v>
      </c>
      <c r="B43" s="685">
        <f>SUM(引力魔方!B452:B482)</f>
        <v>30457.64</v>
      </c>
      <c r="C43" s="901"/>
      <c r="D43" s="901">
        <f>SUM(引力魔方!C452:C482)</f>
        <v>806896</v>
      </c>
      <c r="E43" s="901">
        <f>SUM(引力魔方!D452:D482)</f>
        <v>10898</v>
      </c>
      <c r="F43" s="690">
        <f>SUM(引力魔方!E452:E482)</f>
        <v>64</v>
      </c>
      <c r="G43" s="913">
        <f>SUM(引力魔方!F452:F482)</f>
        <v>665174.8</v>
      </c>
      <c r="H43" s="690">
        <f>SUM(引力魔方!G452:G482)</f>
        <v>206</v>
      </c>
      <c r="I43" s="690">
        <f>SUM(引力魔方!H452:H482)</f>
        <v>94</v>
      </c>
      <c r="J43" s="690">
        <f>SUM(引力魔方!I452:I482)</f>
        <v>78</v>
      </c>
      <c r="K43" s="872">
        <f t="shared" si="46"/>
        <v>172</v>
      </c>
      <c r="L43" s="688">
        <f t="shared" si="47"/>
        <v>0.0135060776109932</v>
      </c>
      <c r="M43" s="685">
        <f t="shared" si="48"/>
        <v>2.79479170489998</v>
      </c>
      <c r="N43" s="886"/>
      <c r="O43" s="886">
        <f t="shared" si="49"/>
        <v>37.7466736729393</v>
      </c>
      <c r="P43" s="887">
        <f t="shared" si="50"/>
        <v>21.8393414591544</v>
      </c>
      <c r="Q43" s="688"/>
      <c r="R43" s="688">
        <f t="shared" si="51"/>
        <v>0.00587263718113415</v>
      </c>
      <c r="S43" s="685"/>
      <c r="T43" s="685">
        <f t="shared" si="52"/>
        <v>10393.35625</v>
      </c>
      <c r="U43" s="685">
        <f t="shared" si="53"/>
        <v>475.900625</v>
      </c>
      <c r="V43" s="902">
        <f t="shared" si="54"/>
        <v>147.852621359223</v>
      </c>
    </row>
    <row r="44" spans="1:23">
      <c r="A44" s="686" t="s">
        <v>27</v>
      </c>
      <c r="B44" s="685">
        <f>SUM(万相台!B41:B71)</f>
        <v>9480.74</v>
      </c>
      <c r="C44" s="901"/>
      <c r="D44" s="901">
        <f>SUM(万相台!C41:C71)</f>
        <v>91699</v>
      </c>
      <c r="E44" s="901">
        <f>SUM(万相台!D41:D71)</f>
        <v>4467</v>
      </c>
      <c r="F44" s="690">
        <f>SUM(万相台!E41:E71)</f>
        <v>12</v>
      </c>
      <c r="G44" s="685">
        <f>SUM(万相台!F41:F71)</f>
        <v>67545.5</v>
      </c>
      <c r="H44" s="690">
        <f>SUM(万相台!G41:G71)</f>
        <v>114</v>
      </c>
      <c r="I44" s="690">
        <f>SUM(万相台!H41:H71)</f>
        <v>60</v>
      </c>
      <c r="J44" s="690"/>
      <c r="K44" s="872">
        <f t="shared" si="46"/>
        <v>60</v>
      </c>
      <c r="L44" s="688">
        <f t="shared" si="47"/>
        <v>0.0487137264310407</v>
      </c>
      <c r="M44" s="685">
        <f t="shared" si="48"/>
        <v>2.12239534363107</v>
      </c>
      <c r="N44" s="886"/>
      <c r="O44" s="886">
        <f t="shared" si="49"/>
        <v>103.389786148159</v>
      </c>
      <c r="P44" s="887">
        <f t="shared" si="50"/>
        <v>7.12449661102403</v>
      </c>
      <c r="Q44" s="688"/>
      <c r="R44" s="688">
        <f t="shared" si="51"/>
        <v>0.00268636668905306</v>
      </c>
      <c r="S44" s="685"/>
      <c r="T44" s="685">
        <f t="shared" si="52"/>
        <v>5628.79166666667</v>
      </c>
      <c r="U44" s="685">
        <f t="shared" si="53"/>
        <v>790.061666666667</v>
      </c>
      <c r="V44" s="902">
        <f t="shared" si="54"/>
        <v>83.1643859649123</v>
      </c>
    </row>
    <row r="45" spans="1:23">
      <c r="A45" s="891" t="s">
        <v>22</v>
      </c>
      <c r="B45" s="903">
        <f>SUM(B41:B44)</f>
        <v>105502.48</v>
      </c>
      <c r="C45" s="904"/>
      <c r="D45" s="904">
        <f t="shared" ref="D45:J45" si="55">SUM(D41:D44)</f>
        <v>1127053</v>
      </c>
      <c r="E45" s="904">
        <f t="shared" si="55"/>
        <v>38172</v>
      </c>
      <c r="F45" s="904">
        <f t="shared" si="55"/>
        <v>338</v>
      </c>
      <c r="G45" s="903">
        <f t="shared" si="55"/>
        <v>3775004.8</v>
      </c>
      <c r="H45" s="904">
        <f t="shared" si="55"/>
        <v>1991</v>
      </c>
      <c r="I45" s="904">
        <f t="shared" si="55"/>
        <v>1012</v>
      </c>
      <c r="J45" s="904">
        <f t="shared" si="55"/>
        <v>856</v>
      </c>
      <c r="K45" s="904">
        <f t="shared" si="46"/>
        <v>1868</v>
      </c>
      <c r="L45" s="896">
        <f t="shared" si="47"/>
        <v>0.0338688597608098</v>
      </c>
      <c r="M45" s="903">
        <f t="shared" si="48"/>
        <v>2.76387090013623</v>
      </c>
      <c r="N45" s="897"/>
      <c r="O45" s="897">
        <f t="shared" si="49"/>
        <v>93.6091559136971</v>
      </c>
      <c r="P45" s="898">
        <f t="shared" si="50"/>
        <v>35.7811949065084</v>
      </c>
      <c r="Q45" s="896"/>
      <c r="R45" s="896">
        <f t="shared" si="51"/>
        <v>0.00885465786440323</v>
      </c>
      <c r="S45" s="903"/>
      <c r="T45" s="903">
        <f t="shared" si="52"/>
        <v>11168.6532544379</v>
      </c>
      <c r="U45" s="903">
        <f t="shared" si="53"/>
        <v>312.137514792899</v>
      </c>
      <c r="V45" s="902">
        <f t="shared" si="54"/>
        <v>52.9896936212958</v>
      </c>
    </row>
    <row r="46" spans="1:23">
      <c r="A46" s="900"/>
      <c r="B46" s="905"/>
      <c r="C46" s="906"/>
      <c r="D46" s="906"/>
      <c r="E46" s="906"/>
      <c r="F46" s="906"/>
      <c r="G46" s="905"/>
      <c r="H46" s="906"/>
      <c r="I46" s="906"/>
      <c r="J46" s="906"/>
      <c r="K46" s="906"/>
      <c r="L46" s="907"/>
      <c r="M46" s="905"/>
      <c r="N46" s="908"/>
      <c r="O46" s="908"/>
      <c r="P46" s="909"/>
      <c r="Q46" s="907"/>
      <c r="R46" s="907"/>
      <c r="S46" s="910"/>
      <c r="T46" s="910"/>
      <c r="U46" s="905"/>
      <c r="V46" s="911"/>
    </row>
    <row r="47" ht="41.4" spans="1:23">
      <c r="A47" s="868" t="s">
        <v>30</v>
      </c>
      <c r="B47" s="869" t="s">
        <v>1</v>
      </c>
      <c r="C47" s="870"/>
      <c r="D47" s="870" t="s">
        <v>2</v>
      </c>
      <c r="E47" s="870" t="s">
        <v>3</v>
      </c>
      <c r="F47" s="871" t="s">
        <v>4</v>
      </c>
      <c r="G47" s="869" t="s">
        <v>5</v>
      </c>
      <c r="H47" s="871" t="s">
        <v>6</v>
      </c>
      <c r="I47" s="871" t="s">
        <v>7</v>
      </c>
      <c r="J47" s="871" t="s">
        <v>8</v>
      </c>
      <c r="K47" s="871" t="s">
        <v>34</v>
      </c>
      <c r="L47" s="879" t="s">
        <v>9</v>
      </c>
      <c r="M47" s="869" t="s">
        <v>10</v>
      </c>
      <c r="N47" s="880"/>
      <c r="O47" s="880" t="s">
        <v>11</v>
      </c>
      <c r="P47" s="881" t="s">
        <v>12</v>
      </c>
      <c r="Q47" s="879"/>
      <c r="R47" s="879" t="s">
        <v>13</v>
      </c>
      <c r="S47" s="875"/>
      <c r="T47" s="875" t="s">
        <v>14</v>
      </c>
      <c r="U47" s="869" t="s">
        <v>15</v>
      </c>
      <c r="V47" s="912" t="s">
        <v>16</v>
      </c>
      <c r="W47" s="882"/>
    </row>
    <row r="48" spans="1:23">
      <c r="A48" s="686" t="s">
        <v>19</v>
      </c>
      <c r="B48" s="685">
        <f>SUM(明星店铺!B584:B613)</f>
        <v>6386.06</v>
      </c>
      <c r="C48" s="901"/>
      <c r="D48" s="901">
        <f>SUM(明星店铺!C584:C613)</f>
        <v>6596</v>
      </c>
      <c r="E48" s="901">
        <f>SUM(明星店铺!D584:D613)</f>
        <v>2650</v>
      </c>
      <c r="F48" s="690">
        <f>SUM(明星店铺!E584:E613)</f>
        <v>63</v>
      </c>
      <c r="G48" s="685">
        <f>SUM(明星店铺!F584:F613)</f>
        <v>477277.22</v>
      </c>
      <c r="H48" s="690">
        <f>SUM(明星店铺!G584:G613)</f>
        <v>661</v>
      </c>
      <c r="I48" s="690">
        <f>SUM(明星店铺!H584:H613)</f>
        <v>121</v>
      </c>
      <c r="J48" s="690">
        <f>SUM(明星店铺!I584:I613)</f>
        <v>280</v>
      </c>
      <c r="K48" s="872">
        <f t="shared" ref="K48:K52" si="56">I48+J48</f>
        <v>401</v>
      </c>
      <c r="L48" s="688">
        <f t="shared" ref="L48:L52" si="57">E48/D48</f>
        <v>0.40175864160097</v>
      </c>
      <c r="M48" s="685">
        <f t="shared" ref="M48:M52" si="58">B48/E48</f>
        <v>2.40983396226415</v>
      </c>
      <c r="N48" s="886"/>
      <c r="O48" s="886">
        <f t="shared" ref="O48:O52" si="59">(B48/D48)*1000</f>
        <v>968.171619163129</v>
      </c>
      <c r="P48" s="887">
        <f t="shared" ref="P48:P52" si="60">G48/B48</f>
        <v>74.7373529218329</v>
      </c>
      <c r="Q48" s="688"/>
      <c r="R48" s="688">
        <f t="shared" ref="R48:R52" si="61">F48/E48</f>
        <v>0.0237735849056604</v>
      </c>
      <c r="S48" s="685"/>
      <c r="T48" s="685">
        <f t="shared" ref="T48:T52" si="62">G48/F48</f>
        <v>7575.82888888889</v>
      </c>
      <c r="U48" s="685">
        <f t="shared" ref="U48:U52" si="63">B48/F48</f>
        <v>101.366031746032</v>
      </c>
      <c r="V48" s="902">
        <f t="shared" ref="V48:V52" si="64">B48/H48</f>
        <v>9.66121028744327</v>
      </c>
    </row>
    <row r="49" spans="1:23">
      <c r="A49" s="686" t="s">
        <v>20</v>
      </c>
      <c r="B49" s="685">
        <f>SUM(直通车!B584:B613)</f>
        <v>85001.26</v>
      </c>
      <c r="C49" s="901"/>
      <c r="D49" s="901">
        <f>SUM(直通车!C584:C613)</f>
        <v>273932</v>
      </c>
      <c r="E49" s="901">
        <f>SUM(直通车!D584:D613)</f>
        <v>22062</v>
      </c>
      <c r="F49" s="690">
        <f>SUM(直通车!E584:E613)</f>
        <v>111</v>
      </c>
      <c r="G49" s="685">
        <f>SUM(直通车!F584:F613)</f>
        <v>872404.39</v>
      </c>
      <c r="H49" s="690">
        <f>SUM(直通车!G584:G613)</f>
        <v>1099</v>
      </c>
      <c r="I49" s="690">
        <f>SUM(直通车!H584:H613)</f>
        <v>513</v>
      </c>
      <c r="J49" s="690">
        <f>SUM(直通车!I584:I613)</f>
        <v>285</v>
      </c>
      <c r="K49" s="872">
        <f t="shared" si="56"/>
        <v>798</v>
      </c>
      <c r="L49" s="688">
        <f t="shared" si="57"/>
        <v>0.0805382357665406</v>
      </c>
      <c r="M49" s="685">
        <f t="shared" si="58"/>
        <v>3.85283564500045</v>
      </c>
      <c r="N49" s="886"/>
      <c r="O49" s="886">
        <f t="shared" si="59"/>
        <v>310.300585546778</v>
      </c>
      <c r="P49" s="887">
        <f t="shared" si="60"/>
        <v>10.2634289185831</v>
      </c>
      <c r="Q49" s="688"/>
      <c r="R49" s="688">
        <f t="shared" si="61"/>
        <v>0.00503127549632853</v>
      </c>
      <c r="S49" s="685"/>
      <c r="T49" s="685">
        <f t="shared" si="62"/>
        <v>7859.49900900901</v>
      </c>
      <c r="U49" s="685">
        <f t="shared" si="63"/>
        <v>765.777117117117</v>
      </c>
      <c r="V49" s="902">
        <f t="shared" si="64"/>
        <v>77.3441856232939</v>
      </c>
    </row>
    <row r="50" spans="1:23">
      <c r="A50" s="686" t="s">
        <v>21</v>
      </c>
      <c r="B50" s="685">
        <f>SUM(引力魔方!B483:B512)</f>
        <v>47468.12</v>
      </c>
      <c r="C50" s="901"/>
      <c r="D50" s="901">
        <f>SUM(引力魔方!C483:C512)</f>
        <v>3705258</v>
      </c>
      <c r="E50" s="901">
        <f>SUM(引力魔方!D483:D512)</f>
        <v>43076</v>
      </c>
      <c r="F50" s="690">
        <f>SUM(引力魔方!E483:E512)</f>
        <v>48</v>
      </c>
      <c r="G50" s="685">
        <f>SUM(引力魔方!F483:F512)</f>
        <v>489457.12</v>
      </c>
      <c r="H50" s="690">
        <f>SUM(引力魔方!G483:G512)</f>
        <v>606</v>
      </c>
      <c r="I50" s="690">
        <f>SUM(引力魔方!H483:H512)</f>
        <v>175</v>
      </c>
      <c r="J50" s="690">
        <f>SUM(引力魔方!I483:I512)</f>
        <v>79</v>
      </c>
      <c r="K50" s="872">
        <f t="shared" si="56"/>
        <v>254</v>
      </c>
      <c r="L50" s="688">
        <f t="shared" si="57"/>
        <v>0.011625641183421</v>
      </c>
      <c r="M50" s="685">
        <f t="shared" si="58"/>
        <v>1.10196211347386</v>
      </c>
      <c r="N50" s="886"/>
      <c r="O50" s="886">
        <f t="shared" si="59"/>
        <v>12.8110161289713</v>
      </c>
      <c r="P50" s="887">
        <f t="shared" si="60"/>
        <v>10.311280918646</v>
      </c>
      <c r="Q50" s="688"/>
      <c r="R50" s="688">
        <f t="shared" si="61"/>
        <v>0.00111430959234841</v>
      </c>
      <c r="S50" s="685"/>
      <c r="T50" s="685">
        <f t="shared" si="62"/>
        <v>10197.0233333333</v>
      </c>
      <c r="U50" s="685">
        <f t="shared" si="63"/>
        <v>988.919166666667</v>
      </c>
      <c r="V50" s="902">
        <f t="shared" si="64"/>
        <v>78.3302310231023</v>
      </c>
    </row>
    <row r="51" spans="1:23">
      <c r="A51" s="686" t="s">
        <v>27</v>
      </c>
      <c r="B51" s="685">
        <f>SUM(万相台!B72:B101)</f>
        <v>10182.62</v>
      </c>
      <c r="C51" s="901"/>
      <c r="D51" s="901">
        <f>SUM(万相台!C72:C101)</f>
        <v>257113</v>
      </c>
      <c r="E51" s="901">
        <f>SUM(万相台!D72:D101)</f>
        <v>10905</v>
      </c>
      <c r="F51" s="690">
        <f>SUM(万相台!E72:E101)</f>
        <v>29</v>
      </c>
      <c r="G51" s="685">
        <f>SUM(万相台!F72:F101)</f>
        <v>265570.08</v>
      </c>
      <c r="H51" s="690">
        <f>SUM(万相台!G72:G101)</f>
        <v>231</v>
      </c>
      <c r="I51" s="690">
        <f>SUM(万相台!H72:H101)</f>
        <v>56</v>
      </c>
      <c r="J51" s="690"/>
      <c r="K51" s="872">
        <f t="shared" si="56"/>
        <v>56</v>
      </c>
      <c r="L51" s="688">
        <f t="shared" si="57"/>
        <v>0.0424132579838437</v>
      </c>
      <c r="M51" s="685">
        <f t="shared" si="58"/>
        <v>0.933756992205411</v>
      </c>
      <c r="N51" s="886"/>
      <c r="O51" s="886">
        <f t="shared" si="59"/>
        <v>39.603676204626</v>
      </c>
      <c r="P51" s="887">
        <f t="shared" si="60"/>
        <v>26.0807218574394</v>
      </c>
      <c r="Q51" s="688"/>
      <c r="R51" s="688">
        <f t="shared" si="61"/>
        <v>0.0026593305823017</v>
      </c>
      <c r="S51" s="685"/>
      <c r="T51" s="685">
        <f t="shared" si="62"/>
        <v>9157.58896551724</v>
      </c>
      <c r="U51" s="685">
        <f t="shared" si="63"/>
        <v>351.124827586207</v>
      </c>
      <c r="V51" s="902">
        <f t="shared" si="64"/>
        <v>44.0806060606061</v>
      </c>
    </row>
    <row r="52" spans="1:23">
      <c r="A52" s="891" t="s">
        <v>22</v>
      </c>
      <c r="B52" s="903">
        <f>SUM(B48:B51)</f>
        <v>149038.06</v>
      </c>
      <c r="C52" s="904"/>
      <c r="D52" s="904">
        <f t="shared" ref="D52:J52" si="65">SUM(D48:D51)</f>
        <v>4242899</v>
      </c>
      <c r="E52" s="904">
        <f t="shared" si="65"/>
        <v>78693</v>
      </c>
      <c r="F52" s="904">
        <f t="shared" si="65"/>
        <v>251</v>
      </c>
      <c r="G52" s="903">
        <f t="shared" si="65"/>
        <v>2104708.81</v>
      </c>
      <c r="H52" s="904">
        <f t="shared" si="65"/>
        <v>2597</v>
      </c>
      <c r="I52" s="904">
        <f t="shared" si="65"/>
        <v>865</v>
      </c>
      <c r="J52" s="904">
        <f t="shared" si="65"/>
        <v>644</v>
      </c>
      <c r="K52" s="904">
        <f t="shared" si="56"/>
        <v>1509</v>
      </c>
      <c r="L52" s="896">
        <f t="shared" si="57"/>
        <v>0.0185469887451952</v>
      </c>
      <c r="M52" s="903">
        <f t="shared" si="58"/>
        <v>1.89391762926817</v>
      </c>
      <c r="N52" s="897"/>
      <c r="O52" s="897">
        <f t="shared" si="59"/>
        <v>35.1264689543635</v>
      </c>
      <c r="P52" s="898">
        <f t="shared" si="60"/>
        <v>14.1219552240549</v>
      </c>
      <c r="Q52" s="896"/>
      <c r="R52" s="896">
        <f t="shared" si="61"/>
        <v>0.00318961025758327</v>
      </c>
      <c r="S52" s="903"/>
      <c r="T52" s="903">
        <f t="shared" si="62"/>
        <v>8385.29406374502</v>
      </c>
      <c r="U52" s="903">
        <f t="shared" si="63"/>
        <v>593.777131474103</v>
      </c>
      <c r="V52" s="902">
        <f t="shared" si="64"/>
        <v>57.3885483249904</v>
      </c>
    </row>
    <row r="53" spans="1:23">
      <c r="A53" s="900"/>
      <c r="B53" s="905"/>
      <c r="C53" s="906"/>
      <c r="D53" s="906"/>
      <c r="E53" s="906"/>
      <c r="F53" s="906"/>
      <c r="G53" s="905"/>
      <c r="H53" s="906"/>
      <c r="I53" s="906"/>
      <c r="J53" s="906"/>
      <c r="K53" s="906"/>
      <c r="L53" s="907"/>
      <c r="M53" s="905"/>
      <c r="N53" s="908"/>
      <c r="O53" s="908"/>
      <c r="P53" s="909"/>
      <c r="Q53" s="907"/>
      <c r="R53" s="907"/>
      <c r="S53" s="910"/>
      <c r="T53" s="910"/>
      <c r="U53" s="905"/>
      <c r="V53" s="911"/>
    </row>
    <row r="54" ht="41.4" spans="1:23">
      <c r="A54" s="868" t="s">
        <v>31</v>
      </c>
      <c r="B54" s="869" t="s">
        <v>1</v>
      </c>
      <c r="C54" s="870"/>
      <c r="D54" s="870" t="s">
        <v>2</v>
      </c>
      <c r="E54" s="870" t="s">
        <v>3</v>
      </c>
      <c r="F54" s="871" t="s">
        <v>4</v>
      </c>
      <c r="G54" s="869" t="s">
        <v>5</v>
      </c>
      <c r="H54" s="871" t="s">
        <v>6</v>
      </c>
      <c r="I54" s="871" t="s">
        <v>7</v>
      </c>
      <c r="J54" s="871" t="s">
        <v>8</v>
      </c>
      <c r="K54" s="871" t="s">
        <v>34</v>
      </c>
      <c r="L54" s="879" t="s">
        <v>9</v>
      </c>
      <c r="M54" s="869" t="s">
        <v>10</v>
      </c>
      <c r="N54" s="880"/>
      <c r="O54" s="880" t="s">
        <v>11</v>
      </c>
      <c r="P54" s="881" t="s">
        <v>12</v>
      </c>
      <c r="Q54" s="879"/>
      <c r="R54" s="879" t="s">
        <v>13</v>
      </c>
      <c r="S54" s="875"/>
      <c r="T54" s="875" t="s">
        <v>14</v>
      </c>
      <c r="U54" s="869" t="s">
        <v>15</v>
      </c>
      <c r="V54" s="912" t="s">
        <v>16</v>
      </c>
      <c r="W54" s="882"/>
    </row>
    <row r="55" spans="1:23">
      <c r="A55" s="686" t="s">
        <v>19</v>
      </c>
      <c r="B55" s="685">
        <f>SUM(明星店铺!B614:B644)</f>
        <v>3841.38</v>
      </c>
      <c r="C55" s="901"/>
      <c r="D55" s="901">
        <f>SUM(明星店铺!C614:C644)</f>
        <v>4328</v>
      </c>
      <c r="E55" s="901">
        <f>SUM(明星店铺!D614:D644)</f>
        <v>1524</v>
      </c>
      <c r="F55" s="690">
        <f>SUM(明星店铺!E614:E644)</f>
        <v>8</v>
      </c>
      <c r="G55" s="685">
        <f>SUM(明星店铺!F614:F644)</f>
        <v>134928</v>
      </c>
      <c r="H55" s="690">
        <f>SUM(明星店铺!G614:G644)</f>
        <v>340</v>
      </c>
      <c r="I55" s="690">
        <f>SUM(明星店铺!H614:H644)</f>
        <v>67</v>
      </c>
      <c r="J55" s="690">
        <f>SUM(明星店铺!I614:I644)</f>
        <v>113</v>
      </c>
      <c r="K55" s="872">
        <f t="shared" ref="K55:K59" si="66">I55+J55</f>
        <v>180</v>
      </c>
      <c r="L55" s="688">
        <f t="shared" ref="L55:L59" si="67">E55/D55</f>
        <v>0.352125693160813</v>
      </c>
      <c r="M55" s="685">
        <f t="shared" ref="M55:M59" si="68">B55/E55</f>
        <v>2.5205905511811</v>
      </c>
      <c r="N55" s="886"/>
      <c r="O55" s="886">
        <f t="shared" ref="O55:O59" si="69">(B55/D55)*1000</f>
        <v>887.564695009242</v>
      </c>
      <c r="P55" s="887">
        <f t="shared" ref="P55:P59" si="70">G55/B55</f>
        <v>35.1248769973291</v>
      </c>
      <c r="Q55" s="688"/>
      <c r="R55" s="688">
        <f t="shared" ref="R55:R59" si="71">F55/E55</f>
        <v>0.005249343832021</v>
      </c>
      <c r="S55" s="685"/>
      <c r="T55" s="685">
        <f t="shared" ref="T55:T59" si="72">G55/F55</f>
        <v>16866</v>
      </c>
      <c r="U55" s="685">
        <f t="shared" ref="U55:U59" si="73">B55/F55</f>
        <v>480.1725</v>
      </c>
      <c r="V55" s="902">
        <f t="shared" ref="V55:V59" si="74">B55/H55</f>
        <v>11.2981764705882</v>
      </c>
    </row>
    <row r="56" spans="1:23">
      <c r="A56" s="686" t="s">
        <v>20</v>
      </c>
      <c r="B56" s="685">
        <f>SUM(直通车!B614:B644)</f>
        <v>121344.685</v>
      </c>
      <c r="C56" s="901"/>
      <c r="D56" s="901">
        <f>SUM(直通车!C614:C644)</f>
        <v>299486</v>
      </c>
      <c r="E56" s="901">
        <f>SUM(直通车!D614:D644)</f>
        <v>21703</v>
      </c>
      <c r="F56" s="690">
        <f>SUM(直通车!E614:E644)</f>
        <v>18</v>
      </c>
      <c r="G56" s="685">
        <f>SUM(直通车!F614:F644)</f>
        <v>275328</v>
      </c>
      <c r="H56" s="690">
        <f>SUM(直通车!G614:G644)</f>
        <v>891</v>
      </c>
      <c r="I56" s="690">
        <f>SUM(直通车!H614:H644)</f>
        <v>353</v>
      </c>
      <c r="J56" s="690">
        <f>SUM(直通车!I614:I644)</f>
        <v>219</v>
      </c>
      <c r="K56" s="872">
        <f t="shared" si="66"/>
        <v>572</v>
      </c>
      <c r="L56" s="688">
        <f t="shared" si="67"/>
        <v>0.0724674943069125</v>
      </c>
      <c r="M56" s="685">
        <f t="shared" si="68"/>
        <v>5.59114799797263</v>
      </c>
      <c r="N56" s="886"/>
      <c r="O56" s="886">
        <f t="shared" si="69"/>
        <v>405.176485712187</v>
      </c>
      <c r="P56" s="887">
        <f t="shared" si="70"/>
        <v>2.26897453316558</v>
      </c>
      <c r="Q56" s="688"/>
      <c r="R56" s="688">
        <f t="shared" si="71"/>
        <v>0.000829378426945584</v>
      </c>
      <c r="S56" s="685"/>
      <c r="T56" s="685">
        <f t="shared" si="72"/>
        <v>15296</v>
      </c>
      <c r="U56" s="685">
        <f t="shared" si="73"/>
        <v>6741.37138888889</v>
      </c>
      <c r="V56" s="902">
        <f t="shared" si="74"/>
        <v>136.189320987654</v>
      </c>
    </row>
    <row r="57" spans="1:23">
      <c r="A57" s="686" t="s">
        <v>21</v>
      </c>
      <c r="B57" s="685">
        <f>SUM(引力魔方!B513:B543)</f>
        <v>93923.95</v>
      </c>
      <c r="C57" s="901"/>
      <c r="D57" s="901">
        <f>SUM(引力魔方!C513:C543)</f>
        <v>5708966</v>
      </c>
      <c r="E57" s="901">
        <f>SUM(引力魔方!D513:D543)</f>
        <v>120544</v>
      </c>
      <c r="F57" s="690">
        <f>SUM(引力魔方!E513:E543)</f>
        <v>6</v>
      </c>
      <c r="G57" s="685">
        <f>SUM(引力魔方!F513:F543)</f>
        <v>49886</v>
      </c>
      <c r="H57" s="690">
        <f>SUM(引力魔方!G513:G543)</f>
        <v>429</v>
      </c>
      <c r="I57" s="690">
        <f>SUM(引力魔方!H513:H543)</f>
        <v>546</v>
      </c>
      <c r="J57" s="690">
        <f>SUM(引力魔方!I513:I543)</f>
        <v>66</v>
      </c>
      <c r="K57" s="872">
        <f t="shared" si="66"/>
        <v>612</v>
      </c>
      <c r="L57" s="688">
        <f t="shared" si="67"/>
        <v>0.0211148568760087</v>
      </c>
      <c r="M57" s="685">
        <f t="shared" si="68"/>
        <v>0.77916735797717</v>
      </c>
      <c r="N57" s="886"/>
      <c r="O57" s="886">
        <f t="shared" si="69"/>
        <v>16.4520072461458</v>
      </c>
      <c r="P57" s="887">
        <f t="shared" si="70"/>
        <v>0.531131835916185</v>
      </c>
      <c r="Q57" s="688"/>
      <c r="R57" s="688">
        <f t="shared" si="71"/>
        <v>4.97743562516591e-5</v>
      </c>
      <c r="S57" s="685"/>
      <c r="T57" s="685">
        <f t="shared" si="72"/>
        <v>8314.33333333333</v>
      </c>
      <c r="U57" s="685">
        <f t="shared" si="73"/>
        <v>15653.9916666667</v>
      </c>
      <c r="V57" s="902">
        <f t="shared" si="74"/>
        <v>218.936946386946</v>
      </c>
    </row>
    <row r="58" spans="1:23">
      <c r="A58" s="686" t="s">
        <v>27</v>
      </c>
      <c r="B58" s="685">
        <f>SUM(万相台!B102:B132)</f>
        <v>12814.29</v>
      </c>
      <c r="C58" s="901"/>
      <c r="D58" s="901">
        <f>SUM(万相台!C102:C132)</f>
        <v>913809</v>
      </c>
      <c r="E58" s="901">
        <f>SUM(万相台!D102:D132)</f>
        <v>13322</v>
      </c>
      <c r="F58" s="690">
        <f>SUM(万相台!E102:E132)</f>
        <v>5</v>
      </c>
      <c r="G58" s="685">
        <f>SUM(万相台!F102:F132)</f>
        <v>75770</v>
      </c>
      <c r="H58" s="690">
        <f>SUM(万相台!G102:G132)</f>
        <v>242</v>
      </c>
      <c r="I58" s="690">
        <f>SUM(万相台!H102:H132)</f>
        <v>83</v>
      </c>
      <c r="J58" s="690"/>
      <c r="K58" s="872">
        <f t="shared" si="66"/>
        <v>83</v>
      </c>
      <c r="L58" s="688">
        <f t="shared" si="67"/>
        <v>0.0145785388412677</v>
      </c>
      <c r="M58" s="685">
        <f t="shared" si="68"/>
        <v>0.96188935595256</v>
      </c>
      <c r="N58" s="886"/>
      <c r="O58" s="886">
        <f t="shared" si="69"/>
        <v>14.0229413367564</v>
      </c>
      <c r="P58" s="887">
        <f t="shared" si="70"/>
        <v>5.91293001797212</v>
      </c>
      <c r="Q58" s="688"/>
      <c r="R58" s="688">
        <f t="shared" si="71"/>
        <v>0.000375319021167993</v>
      </c>
      <c r="S58" s="685"/>
      <c r="T58" s="685">
        <f t="shared" si="72"/>
        <v>15154</v>
      </c>
      <c r="U58" s="685">
        <f t="shared" si="73"/>
        <v>2562.858</v>
      </c>
      <c r="V58" s="902">
        <f t="shared" si="74"/>
        <v>52.9516115702479</v>
      </c>
    </row>
    <row r="59" spans="1:23">
      <c r="A59" s="891" t="s">
        <v>22</v>
      </c>
      <c r="B59" s="903">
        <f>SUM(B55:B58)</f>
        <v>231924.305</v>
      </c>
      <c r="C59" s="904"/>
      <c r="D59" s="904">
        <f t="shared" ref="D59:J59" si="75">SUM(D55:D58)</f>
        <v>6926589</v>
      </c>
      <c r="E59" s="904">
        <f t="shared" si="75"/>
        <v>157093</v>
      </c>
      <c r="F59" s="904">
        <f t="shared" si="75"/>
        <v>37</v>
      </c>
      <c r="G59" s="903">
        <f t="shared" si="75"/>
        <v>535912</v>
      </c>
      <c r="H59" s="904">
        <f t="shared" si="75"/>
        <v>1902</v>
      </c>
      <c r="I59" s="904">
        <f t="shared" si="75"/>
        <v>1049</v>
      </c>
      <c r="J59" s="904">
        <f t="shared" si="75"/>
        <v>398</v>
      </c>
      <c r="K59" s="904">
        <f t="shared" si="66"/>
        <v>1447</v>
      </c>
      <c r="L59" s="896">
        <f t="shared" si="67"/>
        <v>0.0226797056964113</v>
      </c>
      <c r="M59" s="903">
        <f t="shared" si="68"/>
        <v>1.47635034660997</v>
      </c>
      <c r="N59" s="897"/>
      <c r="O59" s="897">
        <f t="shared" si="69"/>
        <v>33.483191365909</v>
      </c>
      <c r="P59" s="898">
        <f t="shared" si="70"/>
        <v>2.31071943925842</v>
      </c>
      <c r="Q59" s="896"/>
      <c r="R59" s="896">
        <f t="shared" si="71"/>
        <v>0.000235529272469174</v>
      </c>
      <c r="S59" s="903"/>
      <c r="T59" s="903">
        <f t="shared" si="72"/>
        <v>14484.1081081081</v>
      </c>
      <c r="U59" s="903">
        <f t="shared" si="73"/>
        <v>6268.22445945946</v>
      </c>
      <c r="V59" s="902">
        <f t="shared" si="74"/>
        <v>121.937068874869</v>
      </c>
    </row>
    <row r="60" spans="1:23">
      <c r="A60" s="900"/>
      <c r="B60" s="905"/>
      <c r="C60" s="906"/>
      <c r="D60" s="906"/>
      <c r="E60" s="906"/>
      <c r="F60" s="906"/>
      <c r="G60" s="905"/>
      <c r="H60" s="906"/>
      <c r="I60" s="906"/>
      <c r="J60" s="906"/>
      <c r="K60" s="906"/>
      <c r="L60" s="907"/>
      <c r="M60" s="905"/>
      <c r="N60" s="908"/>
      <c r="O60" s="908"/>
      <c r="P60" s="909"/>
      <c r="Q60" s="907"/>
      <c r="R60" s="907"/>
      <c r="S60" s="910"/>
      <c r="T60" s="910"/>
      <c r="U60" s="905"/>
      <c r="V60" s="911"/>
    </row>
    <row r="61" spans="1:23">
      <c r="A61" s="900"/>
      <c r="B61" s="905"/>
      <c r="C61" s="906"/>
      <c r="D61" s="906"/>
      <c r="E61" s="906"/>
      <c r="F61" s="906"/>
      <c r="G61" s="905"/>
      <c r="H61" s="906"/>
      <c r="I61" s="906"/>
      <c r="J61" s="906"/>
      <c r="K61" s="906"/>
      <c r="L61" s="907"/>
      <c r="M61" s="905"/>
      <c r="N61" s="908"/>
      <c r="O61" s="908"/>
      <c r="P61" s="909"/>
      <c r="Q61" s="907"/>
      <c r="R61" s="907"/>
      <c r="S61" s="910"/>
      <c r="T61" s="910"/>
      <c r="U61" s="905"/>
      <c r="V61" s="911"/>
    </row>
    <row r="62" spans="1:23">
      <c r="A62" s="900"/>
      <c r="B62" s="905"/>
      <c r="C62" s="906"/>
      <c r="D62" s="906"/>
      <c r="E62" s="906"/>
      <c r="F62" s="906"/>
      <c r="G62" s="905"/>
      <c r="H62" s="906"/>
      <c r="I62" s="906"/>
      <c r="J62" s="906"/>
      <c r="K62" s="906"/>
      <c r="L62" s="907"/>
      <c r="M62" s="905"/>
      <c r="N62" s="908"/>
      <c r="O62" s="908"/>
      <c r="P62" s="909"/>
      <c r="Q62" s="907"/>
      <c r="R62" s="907"/>
      <c r="S62" s="910"/>
      <c r="T62" s="910"/>
      <c r="U62" s="905"/>
      <c r="V62" s="911"/>
    </row>
    <row r="63" spans="1:23">
      <c r="A63" s="900" t="s">
        <v>32</v>
      </c>
      <c r="B63" s="911"/>
      <c r="C63" s="38"/>
      <c r="D63" s="38"/>
      <c r="E63" s="38"/>
      <c r="F63" s="38"/>
      <c r="G63" s="911"/>
      <c r="H63" s="38"/>
      <c r="I63" s="38"/>
      <c r="J63" s="38"/>
      <c r="K63" s="38"/>
      <c r="M63" s="911"/>
      <c r="U63" s="911"/>
      <c r="V63" s="911"/>
    </row>
    <row r="64" ht="41.4" spans="1:23">
      <c r="A64" s="868" t="s">
        <v>0</v>
      </c>
      <c r="B64" s="869" t="s">
        <v>1</v>
      </c>
      <c r="C64" s="870"/>
      <c r="D64" s="870" t="s">
        <v>2</v>
      </c>
      <c r="E64" s="870" t="s">
        <v>3</v>
      </c>
      <c r="F64" s="871" t="s">
        <v>4</v>
      </c>
      <c r="G64" s="869" t="s">
        <v>5</v>
      </c>
      <c r="H64" s="871" t="s">
        <v>6</v>
      </c>
      <c r="I64" s="871" t="s">
        <v>7</v>
      </c>
      <c r="J64" s="871" t="s">
        <v>8</v>
      </c>
      <c r="K64" s="871" t="s">
        <v>34</v>
      </c>
      <c r="L64" s="879" t="s">
        <v>9</v>
      </c>
      <c r="M64" s="869" t="s">
        <v>10</v>
      </c>
      <c r="N64" s="880"/>
      <c r="O64" s="880" t="s">
        <v>11</v>
      </c>
      <c r="P64" s="881" t="s">
        <v>12</v>
      </c>
      <c r="Q64" s="879"/>
      <c r="R64" s="879" t="s">
        <v>13</v>
      </c>
      <c r="S64" s="875"/>
      <c r="T64" s="875" t="s">
        <v>14</v>
      </c>
      <c r="U64" s="869" t="s">
        <v>15</v>
      </c>
      <c r="V64" s="912" t="s">
        <v>16</v>
      </c>
      <c r="W64" s="882"/>
    </row>
    <row r="65" spans="1:32">
      <c r="A65" s="686" t="s">
        <v>19</v>
      </c>
      <c r="B65" s="685">
        <f>SUM(明星店铺!B645:B675)</f>
        <v>4413.62</v>
      </c>
      <c r="C65" s="901"/>
      <c r="D65" s="901">
        <f>SUM(明星店铺!C645:C675)</f>
        <v>5217</v>
      </c>
      <c r="E65" s="901">
        <f>SUM(明星店铺!D645:D675)</f>
        <v>1813</v>
      </c>
      <c r="F65" s="901">
        <f>SUM(明星店铺!E645:E675)</f>
        <v>8</v>
      </c>
      <c r="G65" s="914">
        <f>SUM(明星店铺!F645:F675)</f>
        <v>118804</v>
      </c>
      <c r="H65" s="901">
        <f>SUM(明星店铺!G645:G675)</f>
        <v>442</v>
      </c>
      <c r="I65" s="901">
        <f>SUM(明星店铺!H645:H675)</f>
        <v>43</v>
      </c>
      <c r="J65" s="901">
        <f>SUM(明星店铺!I645:I675)</f>
        <v>117</v>
      </c>
      <c r="K65" s="872">
        <f t="shared" ref="K65:K69" si="76">I65+J65</f>
        <v>160</v>
      </c>
      <c r="L65" s="688">
        <f t="shared" ref="L65:L69" si="77">E65/D65</f>
        <v>0.347517730496454</v>
      </c>
      <c r="M65" s="685">
        <f t="shared" ref="M65:M69" si="78">B65/E65</f>
        <v>2.43442912300055</v>
      </c>
      <c r="N65" s="886"/>
      <c r="O65" s="886">
        <f t="shared" ref="O65:O69" si="79">(B65/D65)*1000</f>
        <v>846.007283879624</v>
      </c>
      <c r="P65" s="887">
        <f t="shared" ref="P65:P67" si="80">G65/B65</f>
        <v>26.9175869241122</v>
      </c>
      <c r="Q65" s="688"/>
      <c r="R65" s="688">
        <f t="shared" ref="R65:R69" si="81">F65/E65</f>
        <v>0.00441257584114727</v>
      </c>
      <c r="S65" s="915"/>
      <c r="T65" s="915">
        <f t="shared" ref="T65:T69" si="82">G65/F65</f>
        <v>14850.5</v>
      </c>
      <c r="U65" s="685">
        <f t="shared" ref="U65:U69" si="83">B65/F65</f>
        <v>551.7025</v>
      </c>
      <c r="V65" s="902">
        <f t="shared" ref="V65:V69" si="84">B65/H65</f>
        <v>9.98556561085973</v>
      </c>
    </row>
    <row r="66" spans="1:32">
      <c r="A66" s="686" t="s">
        <v>20</v>
      </c>
      <c r="B66" s="685">
        <f>SUM(直通车!B645:B675)</f>
        <v>64544.95</v>
      </c>
      <c r="C66" s="872"/>
      <c r="D66" s="872">
        <f>SUM(直通车!C645:C675)</f>
        <v>163594</v>
      </c>
      <c r="E66" s="872">
        <f>SUM(直通车!D645:D675)</f>
        <v>15532</v>
      </c>
      <c r="F66" s="872">
        <f>SUM(直通车!E645:E675)</f>
        <v>5</v>
      </c>
      <c r="G66" s="685">
        <f>SUM(直通车!F645:F675)</f>
        <v>54251</v>
      </c>
      <c r="H66" s="872">
        <f>SUM(直通车!G645:G675)</f>
        <v>749</v>
      </c>
      <c r="I66" s="872">
        <f>SUM(直通车!H645:H675)</f>
        <v>148</v>
      </c>
      <c r="J66" s="872">
        <f>SUM(直通车!I645:I675)</f>
        <v>124</v>
      </c>
      <c r="K66" s="872">
        <f t="shared" si="76"/>
        <v>272</v>
      </c>
      <c r="L66" s="688">
        <f t="shared" si="77"/>
        <v>0.0949423572991674</v>
      </c>
      <c r="M66" s="685">
        <f t="shared" si="78"/>
        <v>4.15561099665207</v>
      </c>
      <c r="N66" s="886"/>
      <c r="O66" s="886">
        <f t="shared" si="79"/>
        <v>394.54350404049</v>
      </c>
      <c r="P66" s="887">
        <f t="shared" si="80"/>
        <v>0.840515020927276</v>
      </c>
      <c r="Q66" s="688"/>
      <c r="R66" s="688">
        <f t="shared" si="81"/>
        <v>0.000321916044295648</v>
      </c>
      <c r="S66" s="915"/>
      <c r="T66" s="915">
        <f t="shared" si="82"/>
        <v>10850.2</v>
      </c>
      <c r="U66" s="685">
        <f t="shared" si="83"/>
        <v>12908.99</v>
      </c>
      <c r="V66" s="902">
        <f t="shared" si="84"/>
        <v>86.1748331108144</v>
      </c>
    </row>
    <row r="67" spans="1:32">
      <c r="A67" s="686" t="s">
        <v>21</v>
      </c>
      <c r="B67" s="685">
        <f>SUM(引力魔方!B544:B574)</f>
        <v>37588.65</v>
      </c>
      <c r="C67" s="872"/>
      <c r="D67" s="872">
        <f>SUM(引力魔方!C544:C574)</f>
        <v>31095835</v>
      </c>
      <c r="E67" s="872">
        <f>SUM(引力魔方!D544:D574)</f>
        <v>188677</v>
      </c>
      <c r="F67" s="872">
        <f>SUM(引力魔方!E544:E574)</f>
        <v>0</v>
      </c>
      <c r="G67" s="685">
        <f>SUM(引力魔方!F544:F574)</f>
        <v>0</v>
      </c>
      <c r="H67" s="872">
        <f>SUM(引力魔方!G544:G574)</f>
        <v>280</v>
      </c>
      <c r="I67" s="872">
        <f>SUM(引力魔方!H544:H574)</f>
        <v>169</v>
      </c>
      <c r="J67" s="872">
        <f>SUM(引力魔方!I544:I574)</f>
        <v>43</v>
      </c>
      <c r="K67" s="872">
        <f t="shared" si="76"/>
        <v>212</v>
      </c>
      <c r="L67" s="688">
        <f t="shared" si="77"/>
        <v>0.00606759715569625</v>
      </c>
      <c r="M67" s="685">
        <f t="shared" si="78"/>
        <v>0.199222215744367</v>
      </c>
      <c r="N67" s="886"/>
      <c r="O67" s="886">
        <f t="shared" si="79"/>
        <v>1.20880014960203</v>
      </c>
      <c r="P67" s="887">
        <f t="shared" si="80"/>
        <v>0</v>
      </c>
      <c r="Q67" s="688"/>
      <c r="R67" s="688">
        <f t="shared" si="81"/>
        <v>0</v>
      </c>
      <c r="S67" s="915"/>
      <c r="T67" s="915" t="e">
        <f t="shared" si="82"/>
        <v>#DIV/0!</v>
      </c>
      <c r="U67" s="685" t="e">
        <f t="shared" si="83"/>
        <v>#DIV/0!</v>
      </c>
      <c r="V67" s="902">
        <f t="shared" si="84"/>
        <v>134.245178571429</v>
      </c>
    </row>
    <row r="68" spans="1:32">
      <c r="A68" s="686" t="s">
        <v>27</v>
      </c>
      <c r="B68" s="685">
        <f>SUM(万相台!B133:B163)</f>
        <v>12333.92</v>
      </c>
      <c r="C68" s="872"/>
      <c r="D68" s="872">
        <f>SUM(万相台!C133:C163)</f>
        <v>843593</v>
      </c>
      <c r="E68" s="872">
        <f>SUM(万相台!D133:D163)</f>
        <v>11679</v>
      </c>
      <c r="F68" s="872">
        <f>SUM(万相台!E133:E163)</f>
        <v>11</v>
      </c>
      <c r="G68" s="685">
        <f>SUM(万相台!F133:F163)</f>
        <v>155509</v>
      </c>
      <c r="H68" s="872">
        <f>SUM(万相台!G133:G163)</f>
        <v>187</v>
      </c>
      <c r="I68" s="872">
        <f>SUM(万相台!H133:H163)</f>
        <v>40</v>
      </c>
      <c r="J68" s="38"/>
      <c r="K68" s="872">
        <f t="shared" si="76"/>
        <v>40</v>
      </c>
      <c r="L68" s="688">
        <f t="shared" si="77"/>
        <v>0.0138443538531021</v>
      </c>
      <c r="M68" s="685">
        <f t="shared" si="78"/>
        <v>1.05607671889717</v>
      </c>
      <c r="N68" s="886"/>
      <c r="O68" s="886">
        <f t="shared" si="79"/>
        <v>14.6206997924355</v>
      </c>
      <c r="P68" s="887">
        <f>(B68/D68)*1000</f>
        <v>14.6206997924355</v>
      </c>
      <c r="Q68" s="688"/>
      <c r="R68" s="688">
        <f t="shared" si="81"/>
        <v>0.000941861460741502</v>
      </c>
      <c r="S68" s="915"/>
      <c r="T68" s="915">
        <f t="shared" si="82"/>
        <v>14137.1818181818</v>
      </c>
      <c r="U68" s="685">
        <f t="shared" si="83"/>
        <v>1121.26545454545</v>
      </c>
      <c r="V68" s="902">
        <f t="shared" si="84"/>
        <v>65.9567914438503</v>
      </c>
    </row>
    <row r="69" spans="1:32">
      <c r="A69" s="891" t="s">
        <v>22</v>
      </c>
      <c r="B69" s="903">
        <f>SUM(B65:B68)</f>
        <v>118881.14</v>
      </c>
      <c r="C69" s="904"/>
      <c r="D69" s="904">
        <f t="shared" ref="D69:J69" si="85">SUM(D65:D68)</f>
        <v>32108239</v>
      </c>
      <c r="E69" s="904">
        <f t="shared" si="85"/>
        <v>217701</v>
      </c>
      <c r="F69" s="904">
        <f t="shared" si="85"/>
        <v>24</v>
      </c>
      <c r="G69" s="903">
        <f t="shared" si="85"/>
        <v>328564</v>
      </c>
      <c r="H69" s="904">
        <f t="shared" si="85"/>
        <v>1658</v>
      </c>
      <c r="I69" s="904">
        <f t="shared" si="85"/>
        <v>400</v>
      </c>
      <c r="J69" s="904">
        <f t="shared" si="85"/>
        <v>284</v>
      </c>
      <c r="K69" s="904">
        <f t="shared" si="76"/>
        <v>684</v>
      </c>
      <c r="L69" s="896">
        <f t="shared" si="77"/>
        <v>0.00678022235975009</v>
      </c>
      <c r="M69" s="903">
        <f t="shared" si="78"/>
        <v>0.546075305120326</v>
      </c>
      <c r="N69" s="897"/>
      <c r="O69" s="897">
        <f t="shared" si="79"/>
        <v>3.70251199388419</v>
      </c>
      <c r="P69" s="898">
        <f t="shared" ref="P69:P74" si="86">G69/B69</f>
        <v>2.76380256784213</v>
      </c>
      <c r="Q69" s="896"/>
      <c r="R69" s="896">
        <f t="shared" si="81"/>
        <v>0.000110242947896427</v>
      </c>
      <c r="S69" s="916"/>
      <c r="T69" s="916">
        <f t="shared" si="82"/>
        <v>13690.1666666667</v>
      </c>
      <c r="U69" s="903">
        <f t="shared" si="83"/>
        <v>4953.38083333333</v>
      </c>
      <c r="V69" s="902">
        <f t="shared" si="84"/>
        <v>71.7015319662244</v>
      </c>
    </row>
    <row r="71" ht="41.4" spans="1:32">
      <c r="A71" s="868" t="s">
        <v>23</v>
      </c>
      <c r="B71" s="869" t="s">
        <v>1</v>
      </c>
      <c r="C71" s="870"/>
      <c r="D71" s="870" t="s">
        <v>2</v>
      </c>
      <c r="E71" s="870" t="s">
        <v>3</v>
      </c>
      <c r="F71" s="871" t="s">
        <v>4</v>
      </c>
      <c r="G71" s="869" t="s">
        <v>5</v>
      </c>
      <c r="H71" s="871" t="s">
        <v>6</v>
      </c>
      <c r="I71" s="871" t="s">
        <v>7</v>
      </c>
      <c r="J71" s="871" t="s">
        <v>8</v>
      </c>
      <c r="K71" s="871" t="s">
        <v>34</v>
      </c>
      <c r="L71" s="879" t="s">
        <v>9</v>
      </c>
      <c r="M71" s="869" t="s">
        <v>10</v>
      </c>
      <c r="N71" s="880"/>
      <c r="O71" s="880" t="s">
        <v>11</v>
      </c>
      <c r="P71" s="881" t="s">
        <v>12</v>
      </c>
      <c r="Q71" s="879"/>
      <c r="R71" s="879" t="s">
        <v>13</v>
      </c>
      <c r="S71" s="875"/>
      <c r="T71" s="875" t="s">
        <v>14</v>
      </c>
      <c r="U71" s="869" t="s">
        <v>15</v>
      </c>
      <c r="V71" s="912" t="s">
        <v>16</v>
      </c>
      <c r="W71" s="882"/>
    </row>
    <row r="72" spans="1:32">
      <c r="A72" s="686" t="s">
        <v>19</v>
      </c>
      <c r="B72" s="685">
        <f>SUM(明星店铺!B676:B704)</f>
        <v>5341.79</v>
      </c>
      <c r="C72" s="901"/>
      <c r="D72" s="901">
        <f>SUM(明星店铺!C676:C704)</f>
        <v>7780</v>
      </c>
      <c r="E72" s="901">
        <f>SUM(明星店铺!D676:D704)</f>
        <v>3160</v>
      </c>
      <c r="F72" s="901">
        <f>SUM(明星店铺!E676:E704)</f>
        <v>22</v>
      </c>
      <c r="G72" s="914">
        <f>SUM(明星店铺!F676:F704)</f>
        <v>336056</v>
      </c>
      <c r="H72" s="901">
        <f>SUM(明星店铺!G676:G704)</f>
        <v>812</v>
      </c>
      <c r="I72" s="901">
        <f>SUM(明星店铺!H676:H704)</f>
        <v>56</v>
      </c>
      <c r="J72" s="901">
        <f>SUM(明星店铺!I676:I704)</f>
        <v>252</v>
      </c>
      <c r="K72" s="872">
        <f t="shared" ref="K72:K76" si="87">I72+J72</f>
        <v>308</v>
      </c>
      <c r="L72" s="688">
        <f t="shared" ref="L72:L76" si="88">E72/D72</f>
        <v>0.406169665809769</v>
      </c>
      <c r="M72" s="685">
        <f t="shared" ref="M72:M76" si="89">B72/E72</f>
        <v>1.69043987341772</v>
      </c>
      <c r="N72" s="886"/>
      <c r="O72" s="886">
        <f t="shared" ref="O72:O76" si="90">(B72/D72)*1000</f>
        <v>686.605398457583</v>
      </c>
      <c r="P72" s="887">
        <f t="shared" si="86"/>
        <v>62.9107471465558</v>
      </c>
      <c r="Q72" s="688"/>
      <c r="R72" s="688">
        <f t="shared" ref="R72:R76" si="91">F72/E72</f>
        <v>0.0069620253164557</v>
      </c>
      <c r="S72" s="915"/>
      <c r="T72" s="915">
        <f t="shared" ref="T72:T76" si="92">G72/F72</f>
        <v>15275.2727272727</v>
      </c>
      <c r="U72" s="685">
        <f t="shared" ref="U72:U76" si="93">B72/F72</f>
        <v>242.808636363636</v>
      </c>
      <c r="V72" s="902">
        <f t="shared" ref="V72:V76" si="94">B72/H72</f>
        <v>6.57855911330049</v>
      </c>
    </row>
    <row r="73" spans="1:32">
      <c r="A73" s="686" t="s">
        <v>20</v>
      </c>
      <c r="B73" s="685">
        <f>SUM(直通车!B676:B704)</f>
        <v>41071.2</v>
      </c>
      <c r="C73" s="872"/>
      <c r="D73" s="872">
        <f>SUM(直通车!C676:C704)</f>
        <v>120151</v>
      </c>
      <c r="E73" s="872">
        <f>SUM(直通车!D676:D704)</f>
        <v>9048</v>
      </c>
      <c r="F73" s="872">
        <f>SUM(直通车!E676:E704)</f>
        <v>9</v>
      </c>
      <c r="G73" s="685">
        <f>SUM(直通车!F676:F704)</f>
        <v>102983</v>
      </c>
      <c r="H73" s="872">
        <f>SUM(直通车!G676:G704)</f>
        <v>590</v>
      </c>
      <c r="I73" s="872">
        <f>SUM(直通车!H676:H704)</f>
        <v>79</v>
      </c>
      <c r="J73" s="872">
        <f>SUM(直通车!I676:I704)</f>
        <v>115</v>
      </c>
      <c r="K73" s="872">
        <f t="shared" si="87"/>
        <v>194</v>
      </c>
      <c r="L73" s="688">
        <f t="shared" si="88"/>
        <v>0.0753052409051943</v>
      </c>
      <c r="M73" s="685">
        <f t="shared" si="89"/>
        <v>4.53925729442971</v>
      </c>
      <c r="N73" s="886"/>
      <c r="O73" s="886">
        <f t="shared" si="90"/>
        <v>341.82986408769</v>
      </c>
      <c r="P73" s="887">
        <f t="shared" si="86"/>
        <v>2.50742612828454</v>
      </c>
      <c r="Q73" s="688"/>
      <c r="R73" s="688">
        <f t="shared" si="91"/>
        <v>0.000994694960212202</v>
      </c>
      <c r="S73" s="915"/>
      <c r="T73" s="915">
        <f t="shared" si="92"/>
        <v>11442.5555555556</v>
      </c>
      <c r="U73" s="685">
        <f t="shared" si="93"/>
        <v>4563.46666666667</v>
      </c>
      <c r="V73" s="902">
        <f t="shared" si="94"/>
        <v>69.6122033898305</v>
      </c>
    </row>
    <row r="74" spans="1:32">
      <c r="A74" s="686" t="s">
        <v>21</v>
      </c>
      <c r="B74" s="685">
        <f>SUM(引力魔方!B575:B603)</f>
        <v>14419.61</v>
      </c>
      <c r="C74" s="872"/>
      <c r="D74" s="872">
        <f>SUM(引力魔方!C575:C603)</f>
        <v>49785339</v>
      </c>
      <c r="E74" s="872">
        <f>SUM(引力魔方!D575:D603)</f>
        <v>147329</v>
      </c>
      <c r="F74" s="872">
        <f>SUM(引力魔方!E575:E603)</f>
        <v>0</v>
      </c>
      <c r="G74" s="685">
        <f>SUM(引力魔方!F575:F603)</f>
        <v>0</v>
      </c>
      <c r="H74" s="872">
        <f>SUM(引力魔方!G575:G603)</f>
        <v>85</v>
      </c>
      <c r="I74" s="872">
        <f>SUM(引力魔方!H575:H603)</f>
        <v>82</v>
      </c>
      <c r="J74" s="872">
        <f>SUM(引力魔方!I575:I603)</f>
        <v>36</v>
      </c>
      <c r="K74" s="872">
        <f t="shared" si="87"/>
        <v>118</v>
      </c>
      <c r="L74" s="688">
        <f t="shared" si="88"/>
        <v>0.00295928486095073</v>
      </c>
      <c r="M74" s="685">
        <f t="shared" si="89"/>
        <v>0.097873534741972</v>
      </c>
      <c r="N74" s="886"/>
      <c r="O74" s="886">
        <f t="shared" si="90"/>
        <v>0.289635669649653</v>
      </c>
      <c r="P74" s="887">
        <f t="shared" si="86"/>
        <v>0</v>
      </c>
      <c r="Q74" s="688"/>
      <c r="R74" s="688">
        <f t="shared" si="91"/>
        <v>0</v>
      </c>
      <c r="S74" s="915"/>
      <c r="T74" s="915" t="e">
        <f t="shared" si="92"/>
        <v>#DIV/0!</v>
      </c>
      <c r="U74" s="685" t="e">
        <f t="shared" si="93"/>
        <v>#DIV/0!</v>
      </c>
      <c r="V74" s="902">
        <f t="shared" si="94"/>
        <v>169.642470588235</v>
      </c>
    </row>
    <row r="75" spans="1:32">
      <c r="A75" s="686" t="s">
        <v>27</v>
      </c>
      <c r="B75" s="685">
        <f>SUM(万相台!B164:B192)</f>
        <v>5781.09</v>
      </c>
      <c r="C75" s="872"/>
      <c r="D75" s="872">
        <f>SUM(万相台!C164:C192)</f>
        <v>827507</v>
      </c>
      <c r="E75" s="872">
        <f>SUM(万相台!D164:D192)</f>
        <v>16623</v>
      </c>
      <c r="F75" s="872">
        <f>SUM(万相台!E164:E192)</f>
        <v>1</v>
      </c>
      <c r="G75" s="685">
        <f>SUM(万相台!F164:F192)</f>
        <v>15880</v>
      </c>
      <c r="H75" s="872">
        <f>SUM(万相台!G164:G192)</f>
        <v>123</v>
      </c>
      <c r="I75" s="872">
        <f>SUM(万相台!H164:H192)</f>
        <v>67</v>
      </c>
      <c r="J75" s="38"/>
      <c r="K75" s="872">
        <f t="shared" si="87"/>
        <v>67</v>
      </c>
      <c r="L75" s="688">
        <f t="shared" si="88"/>
        <v>0.0200880475935551</v>
      </c>
      <c r="M75" s="685">
        <f t="shared" si="89"/>
        <v>0.347776574625519</v>
      </c>
      <c r="N75" s="886"/>
      <c r="O75" s="886">
        <f t="shared" si="90"/>
        <v>6.98615238300099</v>
      </c>
      <c r="P75" s="887">
        <f>(B75/D75)*1000</f>
        <v>6.98615238300099</v>
      </c>
      <c r="Q75" s="688"/>
      <c r="R75" s="688">
        <f t="shared" si="91"/>
        <v>6.01576129459183e-5</v>
      </c>
      <c r="S75" s="915"/>
      <c r="T75" s="915">
        <f t="shared" si="92"/>
        <v>15880</v>
      </c>
      <c r="U75" s="685">
        <f t="shared" si="93"/>
        <v>5781.09</v>
      </c>
      <c r="V75" s="902">
        <f t="shared" si="94"/>
        <v>47.0007317073171</v>
      </c>
    </row>
    <row r="76" spans="1:32">
      <c r="A76" s="891" t="s">
        <v>22</v>
      </c>
      <c r="B76" s="903">
        <f>SUM(B72:B75)</f>
        <v>66613.69</v>
      </c>
      <c r="C76" s="904"/>
      <c r="D76" s="904">
        <f t="shared" ref="D76:J76" si="95">SUM(D72:D75)</f>
        <v>50740777</v>
      </c>
      <c r="E76" s="904">
        <f t="shared" si="95"/>
        <v>176160</v>
      </c>
      <c r="F76" s="904">
        <f t="shared" si="95"/>
        <v>32</v>
      </c>
      <c r="G76" s="903">
        <f t="shared" si="95"/>
        <v>454919</v>
      </c>
      <c r="H76" s="904">
        <f t="shared" si="95"/>
        <v>1610</v>
      </c>
      <c r="I76" s="904">
        <f t="shared" si="95"/>
        <v>284</v>
      </c>
      <c r="J76" s="904">
        <f t="shared" si="95"/>
        <v>403</v>
      </c>
      <c r="K76" s="904">
        <f t="shared" si="87"/>
        <v>687</v>
      </c>
      <c r="L76" s="896">
        <f t="shared" si="88"/>
        <v>0.00347176394244022</v>
      </c>
      <c r="M76" s="903">
        <f t="shared" si="89"/>
        <v>0.378143108537693</v>
      </c>
      <c r="N76" s="897"/>
      <c r="O76" s="897">
        <f t="shared" si="90"/>
        <v>1.31282360930342</v>
      </c>
      <c r="P76" s="898">
        <f t="shared" ref="P76:P84" si="96">G76/B76</f>
        <v>6.82921183318324</v>
      </c>
      <c r="Q76" s="896"/>
      <c r="R76" s="896">
        <f t="shared" si="91"/>
        <v>0.000181653042688465</v>
      </c>
      <c r="S76" s="916"/>
      <c r="T76" s="916">
        <f t="shared" si="92"/>
        <v>14216.21875</v>
      </c>
      <c r="U76" s="903">
        <f t="shared" si="93"/>
        <v>2081.6778125</v>
      </c>
      <c r="V76" s="902">
        <f t="shared" si="94"/>
        <v>41.3749627329193</v>
      </c>
    </row>
    <row r="79" ht="41.4" spans="1:32">
      <c r="A79" s="868" t="s">
        <v>24</v>
      </c>
      <c r="B79" s="869" t="s">
        <v>1</v>
      </c>
      <c r="C79" s="870"/>
      <c r="D79" s="870" t="s">
        <v>2</v>
      </c>
      <c r="E79" s="870" t="s">
        <v>3</v>
      </c>
      <c r="F79" s="871" t="s">
        <v>4</v>
      </c>
      <c r="G79" s="869" t="s">
        <v>5</v>
      </c>
      <c r="H79" s="871" t="s">
        <v>6</v>
      </c>
      <c r="I79" s="871" t="s">
        <v>7</v>
      </c>
      <c r="J79" s="871" t="s">
        <v>8</v>
      </c>
      <c r="K79" s="871" t="s">
        <v>34</v>
      </c>
      <c r="L79" s="879" t="s">
        <v>9</v>
      </c>
      <c r="M79" s="869" t="s">
        <v>10</v>
      </c>
      <c r="N79" s="880"/>
      <c r="O79" s="880" t="s">
        <v>11</v>
      </c>
      <c r="P79" s="881" t="s">
        <v>12</v>
      </c>
      <c r="Q79" s="879"/>
      <c r="R79" s="879" t="s">
        <v>13</v>
      </c>
      <c r="S79" s="875"/>
      <c r="T79" s="875" t="s">
        <v>14</v>
      </c>
      <c r="U79" s="869" t="s">
        <v>15</v>
      </c>
      <c r="V79" s="912" t="s">
        <v>16</v>
      </c>
      <c r="W79" s="882" t="s">
        <v>35</v>
      </c>
      <c r="X79" s="882" t="s">
        <v>36</v>
      </c>
      <c r="Y79" s="920" t="s">
        <v>73</v>
      </c>
      <c r="Z79" s="882"/>
      <c r="AA79" s="882" t="s">
        <v>38</v>
      </c>
      <c r="AB79" s="882" t="s">
        <v>39</v>
      </c>
      <c r="AC79" s="882" t="s">
        <v>40</v>
      </c>
      <c r="AD79" s="882" t="s">
        <v>41</v>
      </c>
      <c r="AE79" s="882" t="s">
        <v>42</v>
      </c>
      <c r="AF79" s="882" t="s">
        <v>43</v>
      </c>
    </row>
    <row r="80" spans="1:32">
      <c r="A80" s="686" t="s">
        <v>19</v>
      </c>
      <c r="B80" s="685">
        <f>SUM(明星店铺!B705:B735)</f>
        <v>7518.61</v>
      </c>
      <c r="C80" s="872"/>
      <c r="D80" s="872">
        <f>SUM(明星店铺!C705:C735)</f>
        <v>9372</v>
      </c>
      <c r="E80" s="872">
        <f>SUM(明星店铺!D705:D735)</f>
        <v>3804</v>
      </c>
      <c r="F80" s="872">
        <f>SUM(明星店铺!E705:E735)</f>
        <v>60</v>
      </c>
      <c r="G80" s="872">
        <f>SUM(明星店铺!F705:F735)</f>
        <v>909870</v>
      </c>
      <c r="H80" s="872">
        <f>SUM(明星店铺!G705:G735)</f>
        <v>1034</v>
      </c>
      <c r="I80" s="872">
        <f>SUM(明星店铺!H705:H735)</f>
        <v>74</v>
      </c>
      <c r="J80" s="872">
        <f>SUM(明星店铺!I705:I735)</f>
        <v>234</v>
      </c>
      <c r="K80" s="872">
        <f t="shared" ref="K80:K84" si="97">I80+J80</f>
        <v>308</v>
      </c>
      <c r="L80" s="688">
        <f t="shared" ref="L80:L84" si="98">E80/D80</f>
        <v>0.405889884763124</v>
      </c>
      <c r="M80" s="685">
        <f t="shared" ref="M80:M84" si="99">B80/E80</f>
        <v>1.97650105152471</v>
      </c>
      <c r="N80" s="886"/>
      <c r="O80" s="886">
        <f t="shared" ref="O80:O84" si="100">(B80/D80)*1000</f>
        <v>802.241784037558</v>
      </c>
      <c r="P80" s="887">
        <f t="shared" si="96"/>
        <v>121.015719660948</v>
      </c>
      <c r="Q80" s="688"/>
      <c r="R80" s="688">
        <f t="shared" ref="R80:R84" si="101">F80/E80</f>
        <v>0.0157728706624606</v>
      </c>
      <c r="S80" s="915"/>
      <c r="T80" s="915">
        <f t="shared" ref="T80:T84" si="102">G80/F80</f>
        <v>15164.5</v>
      </c>
      <c r="U80" s="685">
        <f t="shared" ref="U80:U84" si="103">B80/F80</f>
        <v>125.310166666667</v>
      </c>
      <c r="V80" s="902">
        <f t="shared" ref="V80:V84" si="104">B80/H80</f>
        <v>7.2713829787234</v>
      </c>
      <c r="W80" s="558">
        <f t="shared" ref="W80:W84" si="105">H80+K80</f>
        <v>1342</v>
      </c>
      <c r="X80" s="850">
        <f t="shared" ref="X80:X84" si="106">B80/W80</f>
        <v>5.60254098360656</v>
      </c>
      <c r="Y80" s="921">
        <f t="shared" ref="Y80:Y84" si="107">W80/E80</f>
        <v>0.352786540483701</v>
      </c>
      <c r="AB80" s="917">
        <f t="shared" ref="AB80:AB83" si="108">E80/$E$84</f>
        <v>0.00687440476943456</v>
      </c>
    </row>
    <row r="81" spans="1:32">
      <c r="A81" s="686" t="s">
        <v>20</v>
      </c>
      <c r="B81" s="685">
        <f>SUM(直通车!B705:B735)</f>
        <v>79734.93</v>
      </c>
      <c r="C81" s="918"/>
      <c r="D81" s="918">
        <f>SUM(直通车!C705:C735)</f>
        <v>305903</v>
      </c>
      <c r="E81" s="918">
        <f>SUM(直通车!D705:D735)</f>
        <v>16284</v>
      </c>
      <c r="F81" s="918">
        <f>SUM(直通车!E705:E735)</f>
        <v>57</v>
      </c>
      <c r="G81" s="918">
        <f>SUM(直通车!F705:F735)</f>
        <v>945831</v>
      </c>
      <c r="H81" s="918">
        <f>SUM(直通车!G705:G735)</f>
        <v>1117</v>
      </c>
      <c r="I81" s="918">
        <f>SUM(直通车!H705:H735)</f>
        <v>161</v>
      </c>
      <c r="J81" s="918">
        <f>SUM(直通车!I705:I735)</f>
        <v>188</v>
      </c>
      <c r="K81" s="872">
        <f t="shared" si="97"/>
        <v>349</v>
      </c>
      <c r="L81" s="688">
        <f t="shared" si="98"/>
        <v>0.0532325606483101</v>
      </c>
      <c r="M81" s="685">
        <f t="shared" si="99"/>
        <v>4.89651989683125</v>
      </c>
      <c r="N81" s="886"/>
      <c r="O81" s="886">
        <f t="shared" si="100"/>
        <v>260.654292373726</v>
      </c>
      <c r="P81" s="887">
        <f t="shared" si="96"/>
        <v>11.8621913883915</v>
      </c>
      <c r="Q81" s="688"/>
      <c r="R81" s="688">
        <f t="shared" si="101"/>
        <v>0.00350036845983788</v>
      </c>
      <c r="S81" s="915"/>
      <c r="T81" s="915">
        <f t="shared" si="102"/>
        <v>16593.5263157895</v>
      </c>
      <c r="U81" s="685">
        <f t="shared" si="103"/>
        <v>1398.85842105263</v>
      </c>
      <c r="V81" s="902">
        <f t="shared" si="104"/>
        <v>71.3831065353626</v>
      </c>
      <c r="W81" s="558">
        <f t="shared" si="105"/>
        <v>1466</v>
      </c>
      <c r="X81" s="850">
        <f t="shared" si="106"/>
        <v>54.3894474761255</v>
      </c>
      <c r="Y81" s="921">
        <f t="shared" si="107"/>
        <v>0.090027020388111</v>
      </c>
      <c r="AB81" s="917">
        <f t="shared" si="108"/>
        <v>0.0294276570098508</v>
      </c>
    </row>
    <row r="82" spans="1:32">
      <c r="A82" s="686" t="s">
        <v>21</v>
      </c>
      <c r="B82" s="685">
        <f>SUM(引力魔方!B604:B634)</f>
        <v>46814.25</v>
      </c>
      <c r="C82" s="918"/>
      <c r="D82" s="918">
        <f>SUM(引力魔方!C604:C634)</f>
        <v>66709402</v>
      </c>
      <c r="E82" s="918">
        <f>SUM(引力魔方!D604:D634)</f>
        <v>335835</v>
      </c>
      <c r="F82" s="918">
        <f>SUM(引力魔方!E604:E634)</f>
        <v>4</v>
      </c>
      <c r="G82" s="918">
        <f>SUM(引力魔方!F604:F634)</f>
        <v>73400</v>
      </c>
      <c r="H82" s="918">
        <f>SUM(引力魔方!G604:G634)</f>
        <v>250</v>
      </c>
      <c r="I82" s="918">
        <f>SUM(引力魔方!H604:H634)</f>
        <v>320</v>
      </c>
      <c r="J82" s="918">
        <f>SUM(引力魔方!I604:I634)</f>
        <v>52</v>
      </c>
      <c r="K82" s="872">
        <f t="shared" si="97"/>
        <v>372</v>
      </c>
      <c r="L82" s="688">
        <f t="shared" si="98"/>
        <v>0.00503429786404021</v>
      </c>
      <c r="M82" s="685">
        <f t="shared" si="99"/>
        <v>0.139396578677029</v>
      </c>
      <c r="N82" s="886"/>
      <c r="O82" s="886">
        <f t="shared" si="100"/>
        <v>0.70176389828828</v>
      </c>
      <c r="P82" s="887">
        <f t="shared" si="96"/>
        <v>1.56789866333435</v>
      </c>
      <c r="Q82" s="688"/>
      <c r="R82" s="688">
        <f t="shared" si="101"/>
        <v>1.19106108654548e-5</v>
      </c>
      <c r="S82" s="915"/>
      <c r="T82" s="915">
        <f t="shared" si="102"/>
        <v>18350</v>
      </c>
      <c r="U82" s="685">
        <f t="shared" si="103"/>
        <v>11703.5625</v>
      </c>
      <c r="V82" s="902">
        <f t="shared" si="104"/>
        <v>187.257</v>
      </c>
      <c r="W82" s="558">
        <f t="shared" si="105"/>
        <v>622</v>
      </c>
      <c r="X82" s="850">
        <f t="shared" si="106"/>
        <v>75.2640675241157</v>
      </c>
      <c r="Y82" s="921">
        <f t="shared" si="107"/>
        <v>0.00185209998957822</v>
      </c>
      <c r="AB82" s="917">
        <f t="shared" si="108"/>
        <v>0.606904764916681</v>
      </c>
    </row>
    <row r="83" spans="1:32">
      <c r="A83" s="686" t="s">
        <v>27</v>
      </c>
      <c r="B83" s="685">
        <f>SUM(万相台!B193:B223)</f>
        <v>73707.19</v>
      </c>
      <c r="C83" s="918"/>
      <c r="D83" s="918">
        <f>SUM(万相台!C193:C223)</f>
        <v>19398232</v>
      </c>
      <c r="E83" s="918">
        <f>SUM(万相台!D193:D223)</f>
        <v>197434</v>
      </c>
      <c r="F83" s="918">
        <f>SUM(万相台!E193:E223)</f>
        <v>42</v>
      </c>
      <c r="G83" s="918">
        <f>SUM(万相台!F193:F223)</f>
        <v>703035</v>
      </c>
      <c r="H83" s="918">
        <f>SUM(万相台!G193:G223)</f>
        <v>1507</v>
      </c>
      <c r="I83" s="918">
        <f>SUM(万相台!H193:H223)</f>
        <v>3150</v>
      </c>
      <c r="J83" s="918">
        <f>SUM(万相台!J193:J223)</f>
        <v>0.427278846167421</v>
      </c>
      <c r="K83" s="872">
        <f t="shared" si="97"/>
        <v>3150.42727884617</v>
      </c>
      <c r="L83" s="688">
        <f t="shared" si="98"/>
        <v>0.0101779378656777</v>
      </c>
      <c r="M83" s="685">
        <f t="shared" si="99"/>
        <v>0.373325718974442</v>
      </c>
      <c r="N83" s="886"/>
      <c r="O83" s="886">
        <f t="shared" si="100"/>
        <v>3.79968597138131</v>
      </c>
      <c r="P83" s="887">
        <f t="shared" si="96"/>
        <v>9.53821465721322</v>
      </c>
      <c r="Q83" s="688"/>
      <c r="R83" s="688">
        <f t="shared" si="101"/>
        <v>0.000212729317138892</v>
      </c>
      <c r="S83" s="915"/>
      <c r="T83" s="915">
        <f t="shared" si="102"/>
        <v>16738.9285714286</v>
      </c>
      <c r="U83" s="685">
        <f t="shared" si="103"/>
        <v>1754.9330952381</v>
      </c>
      <c r="V83" s="902">
        <f t="shared" si="104"/>
        <v>48.9098805573988</v>
      </c>
      <c r="W83" s="558">
        <f t="shared" si="105"/>
        <v>4657.42727884617</v>
      </c>
      <c r="X83" s="850">
        <f t="shared" si="106"/>
        <v>15.8257307279439</v>
      </c>
      <c r="Y83" s="921">
        <f t="shared" si="107"/>
        <v>0.0235897934441189</v>
      </c>
      <c r="AB83" s="917">
        <f t="shared" si="108"/>
        <v>0.356793173304033</v>
      </c>
    </row>
    <row r="84" spans="1:32">
      <c r="A84" s="891" t="s">
        <v>22</v>
      </c>
      <c r="B84" s="903">
        <f>SUM(B80:B83)</f>
        <v>207774.98</v>
      </c>
      <c r="C84" s="904"/>
      <c r="D84" s="904">
        <f t="shared" ref="D84:J84" si="109">SUM(D80:D83)</f>
        <v>86422909</v>
      </c>
      <c r="E84" s="904">
        <f t="shared" si="109"/>
        <v>553357</v>
      </c>
      <c r="F84" s="904">
        <f t="shared" si="109"/>
        <v>163</v>
      </c>
      <c r="G84" s="903">
        <f t="shared" si="109"/>
        <v>2632136</v>
      </c>
      <c r="H84" s="904">
        <f t="shared" si="109"/>
        <v>3908</v>
      </c>
      <c r="I84" s="904">
        <f t="shared" si="109"/>
        <v>3705</v>
      </c>
      <c r="J84" s="904">
        <f t="shared" si="109"/>
        <v>474.427278846167</v>
      </c>
      <c r="K84" s="904">
        <f t="shared" si="97"/>
        <v>4179.42727884617</v>
      </c>
      <c r="L84" s="896">
        <f t="shared" si="98"/>
        <v>0.00640289717625682</v>
      </c>
      <c r="M84" s="903">
        <f t="shared" si="99"/>
        <v>0.375480892082327</v>
      </c>
      <c r="N84" s="897"/>
      <c r="O84" s="897">
        <f t="shared" si="100"/>
        <v>2.40416554365232</v>
      </c>
      <c r="P84" s="898">
        <f t="shared" si="96"/>
        <v>12.6682048050251</v>
      </c>
      <c r="Q84" s="896"/>
      <c r="R84" s="896">
        <f t="shared" si="101"/>
        <v>0.000294565714358</v>
      </c>
      <c r="S84" s="916"/>
      <c r="T84" s="916">
        <f t="shared" si="102"/>
        <v>16148.0736196319</v>
      </c>
      <c r="U84" s="903">
        <f t="shared" si="103"/>
        <v>1274.69312883436</v>
      </c>
      <c r="V84" s="902">
        <f t="shared" si="104"/>
        <v>53.1665762538383</v>
      </c>
      <c r="W84" s="558">
        <f t="shared" si="105"/>
        <v>8087.42727884617</v>
      </c>
      <c r="X84" s="850">
        <f t="shared" si="106"/>
        <v>25.6911095254563</v>
      </c>
      <c r="Y84" s="921">
        <f t="shared" si="107"/>
        <v>0.0146152073233847</v>
      </c>
    </row>
    <row r="87" ht="41.4" spans="1:32">
      <c r="A87" s="868" t="s">
        <v>33</v>
      </c>
      <c r="B87" s="869" t="s">
        <v>1</v>
      </c>
      <c r="C87" s="870"/>
      <c r="D87" s="870" t="s">
        <v>2</v>
      </c>
      <c r="E87" s="870" t="s">
        <v>3</v>
      </c>
      <c r="F87" s="871" t="s">
        <v>4</v>
      </c>
      <c r="G87" s="869" t="s">
        <v>5</v>
      </c>
      <c r="H87" s="871" t="s">
        <v>6</v>
      </c>
      <c r="I87" s="871" t="s">
        <v>7</v>
      </c>
      <c r="J87" s="871" t="s">
        <v>8</v>
      </c>
      <c r="K87" s="871" t="s">
        <v>34</v>
      </c>
      <c r="L87" s="879" t="s">
        <v>9</v>
      </c>
      <c r="M87" s="869" t="s">
        <v>10</v>
      </c>
      <c r="N87" s="880"/>
      <c r="O87" s="880" t="s">
        <v>11</v>
      </c>
      <c r="P87" s="881" t="s">
        <v>12</v>
      </c>
      <c r="Q87" s="879"/>
      <c r="R87" s="879" t="s">
        <v>13</v>
      </c>
      <c r="S87" s="875"/>
      <c r="T87" s="875" t="s">
        <v>14</v>
      </c>
      <c r="U87" s="869" t="s">
        <v>15</v>
      </c>
      <c r="V87" s="912" t="s">
        <v>16</v>
      </c>
      <c r="W87" s="882" t="s">
        <v>35</v>
      </c>
      <c r="X87" s="882" t="s">
        <v>36</v>
      </c>
      <c r="Y87" s="920" t="s">
        <v>73</v>
      </c>
      <c r="Z87" s="882"/>
      <c r="AA87" s="882" t="s">
        <v>38</v>
      </c>
      <c r="AB87" s="882" t="s">
        <v>39</v>
      </c>
      <c r="AC87" s="882" t="s">
        <v>40</v>
      </c>
      <c r="AD87" s="882" t="s">
        <v>41</v>
      </c>
      <c r="AE87" s="882" t="s">
        <v>42</v>
      </c>
      <c r="AF87" s="882" t="s">
        <v>43</v>
      </c>
    </row>
    <row r="88" spans="1:32">
      <c r="A88" s="686" t="s">
        <v>19</v>
      </c>
      <c r="B88" s="685">
        <f>SUM(明星店铺!B736:B765)</f>
        <v>6488.18</v>
      </c>
      <c r="C88" s="872"/>
      <c r="D88" s="872">
        <f>SUM(明星店铺!C736:C765)</f>
        <v>7851</v>
      </c>
      <c r="E88" s="872">
        <f>SUM(明星店铺!D736:D765)</f>
        <v>2955</v>
      </c>
      <c r="F88" s="872">
        <f>SUM(明星店铺!E736:E765)</f>
        <v>18</v>
      </c>
      <c r="G88" s="872">
        <f>SUM(明星店铺!F736:F765)</f>
        <v>276039</v>
      </c>
      <c r="H88" s="872">
        <f>SUM(明星店铺!G736:G765)</f>
        <v>783</v>
      </c>
      <c r="I88" s="872">
        <f>SUM(明星店铺!H736:H756)</f>
        <v>44</v>
      </c>
      <c r="J88" s="872">
        <f>SUM(明星店铺!I736:I765)</f>
        <v>145</v>
      </c>
      <c r="K88" s="872">
        <f t="shared" ref="K88:K92" si="110">I88+J88</f>
        <v>189</v>
      </c>
      <c r="L88" s="688">
        <f t="shared" ref="L88:L92" si="111">E88/D88</f>
        <v>0.376385173863202</v>
      </c>
      <c r="M88" s="685">
        <f t="shared" ref="M88:M92" si="112">B88/E88</f>
        <v>2.19566159052453</v>
      </c>
      <c r="N88" s="886"/>
      <c r="O88" s="886">
        <f t="shared" ref="O88:O92" si="113">(B88/D88)*1000</f>
        <v>826.414469494332</v>
      </c>
      <c r="P88" s="887">
        <f t="shared" ref="P88:P92" si="114">G88/B88</f>
        <v>42.5449047344556</v>
      </c>
      <c r="Q88" s="688"/>
      <c r="R88" s="688">
        <f t="shared" ref="R88:R92" si="115">F88/E88</f>
        <v>0.00609137055837563</v>
      </c>
      <c r="S88" s="915"/>
      <c r="T88" s="915">
        <f t="shared" ref="T88:T91" si="116">IF(F88=0,"0",G88/F88)</f>
        <v>15335.5</v>
      </c>
      <c r="U88" s="685">
        <f t="shared" ref="U88:U91" si="117">IF(F88=0,"0",B88/F88)</f>
        <v>360.454444444444</v>
      </c>
      <c r="V88" s="902">
        <f t="shared" ref="V88:V92" si="118">B88/H88</f>
        <v>8.28630906768838</v>
      </c>
      <c r="W88" s="558">
        <f t="shared" ref="W88:W92" si="119">H88+K88</f>
        <v>972</v>
      </c>
      <c r="X88" s="850">
        <f t="shared" ref="X88:X92" si="120">B88/W88</f>
        <v>6.67508230452675</v>
      </c>
      <c r="Y88" s="921">
        <f t="shared" ref="Y88:Y92" si="121">W88/E88</f>
        <v>0.328934010152284</v>
      </c>
      <c r="Z88" s="917"/>
      <c r="AA88" s="917">
        <f t="shared" ref="AA88:AA92" si="122">(B88-B80)/B80</f>
        <v>-0.137050598448383</v>
      </c>
      <c r="AB88" s="917">
        <f t="shared" ref="AB88:AB91" si="123">E88/$E$92</f>
        <v>0.0073047553833946</v>
      </c>
      <c r="AC88" s="917">
        <f t="shared" ref="AC88:AC92" si="124">(H88-H80)/H80</f>
        <v>-0.242746615087041</v>
      </c>
      <c r="AE88" s="917">
        <f t="shared" ref="AE88:AE92" si="125">(V88-V80)/V80</f>
        <v>0.139578136914906</v>
      </c>
      <c r="AF88" s="917">
        <f t="shared" ref="AF88:AF92" si="126">(X88-X80)/X80</f>
        <v>0.191438371278055</v>
      </c>
    </row>
    <row r="89" spans="1:32">
      <c r="A89" s="686" t="s">
        <v>20</v>
      </c>
      <c r="B89" s="685">
        <f>SUM(直通车!B736:B765)</f>
        <v>55187.14</v>
      </c>
      <c r="C89" s="918"/>
      <c r="D89" s="918">
        <f>SUM(直通车!C736:C765)</f>
        <v>217527</v>
      </c>
      <c r="E89" s="918">
        <f>SUM(直通车!D736:D765)</f>
        <v>13706</v>
      </c>
      <c r="F89" s="918">
        <f>SUM(直通车!E736:E765)</f>
        <v>9</v>
      </c>
      <c r="G89" s="918">
        <f>SUM(直通车!F736:F765)</f>
        <v>196570</v>
      </c>
      <c r="H89" s="918">
        <f>SUM(直通车!G736:G765)</f>
        <v>945</v>
      </c>
      <c r="I89" s="918">
        <f>SUM(直通车!H736:H765)</f>
        <v>95</v>
      </c>
      <c r="J89" s="918">
        <f>SUM(直通车!I736:I765)</f>
        <v>115</v>
      </c>
      <c r="K89" s="872">
        <f t="shared" si="110"/>
        <v>210</v>
      </c>
      <c r="L89" s="688">
        <f t="shared" si="111"/>
        <v>0.0630082702377176</v>
      </c>
      <c r="M89" s="685">
        <f t="shared" si="112"/>
        <v>4.02649496570845</v>
      </c>
      <c r="N89" s="886"/>
      <c r="O89" s="886">
        <f t="shared" si="113"/>
        <v>253.702482910168</v>
      </c>
      <c r="P89" s="887">
        <f t="shared" si="114"/>
        <v>3.56188053956048</v>
      </c>
      <c r="Q89" s="688"/>
      <c r="R89" s="688">
        <f t="shared" si="115"/>
        <v>0.000656646724062454</v>
      </c>
      <c r="S89" s="915"/>
      <c r="T89" s="915">
        <f t="shared" si="116"/>
        <v>21841.1111111111</v>
      </c>
      <c r="U89" s="685">
        <f t="shared" si="117"/>
        <v>6131.90444444445</v>
      </c>
      <c r="V89" s="902">
        <f t="shared" si="118"/>
        <v>58.39908994709</v>
      </c>
      <c r="W89" s="558">
        <f t="shared" si="119"/>
        <v>1155</v>
      </c>
      <c r="X89" s="850">
        <f t="shared" si="120"/>
        <v>47.7810735930736</v>
      </c>
      <c r="Y89" s="921">
        <f t="shared" si="121"/>
        <v>0.0842696629213483</v>
      </c>
      <c r="Z89" s="917"/>
      <c r="AA89" s="917">
        <f t="shared" si="122"/>
        <v>-0.307867455329803</v>
      </c>
      <c r="AB89" s="917">
        <f t="shared" si="123"/>
        <v>0.0338812105870749</v>
      </c>
      <c r="AC89" s="917">
        <f t="shared" si="124"/>
        <v>-0.153983885407341</v>
      </c>
      <c r="AE89" s="917">
        <f t="shared" si="125"/>
        <v>-0.181892008045916</v>
      </c>
      <c r="AF89" s="917">
        <f t="shared" si="126"/>
        <v>-0.121501029881811</v>
      </c>
    </row>
    <row r="90" spans="1:32">
      <c r="A90" s="686" t="s">
        <v>21</v>
      </c>
      <c r="B90" s="685">
        <f>SUM(引力魔方!B635:B664)</f>
        <v>37490.77</v>
      </c>
      <c r="C90" s="918"/>
      <c r="D90" s="918">
        <f>SUM(引力魔方!C635:C664)</f>
        <v>43486150</v>
      </c>
      <c r="E90" s="918">
        <f>SUM(引力魔方!D635:D664)</f>
        <v>167971</v>
      </c>
      <c r="F90" s="918">
        <f>SUM(引力魔方!E635:E664)</f>
        <v>2</v>
      </c>
      <c r="G90" s="918">
        <f>SUM(引力魔方!F635:F664)</f>
        <v>20393.68</v>
      </c>
      <c r="H90" s="918">
        <f>SUM(引力魔方!G635:G664)</f>
        <v>247</v>
      </c>
      <c r="I90" s="918">
        <f>SUM(引力魔方!H635:H664)</f>
        <v>899</v>
      </c>
      <c r="J90" s="918">
        <f>SUM(引力魔方!I635:I664)</f>
        <v>54</v>
      </c>
      <c r="K90" s="872">
        <f t="shared" si="110"/>
        <v>953</v>
      </c>
      <c r="L90" s="688">
        <f t="shared" si="111"/>
        <v>0.00386263212540085</v>
      </c>
      <c r="M90" s="685">
        <f t="shared" si="112"/>
        <v>0.223197873442439</v>
      </c>
      <c r="N90" s="886"/>
      <c r="O90" s="886">
        <f t="shared" si="113"/>
        <v>0.862131276279919</v>
      </c>
      <c r="P90" s="887">
        <f t="shared" si="114"/>
        <v>0.54396535467263</v>
      </c>
      <c r="Q90" s="688"/>
      <c r="R90" s="688">
        <f t="shared" si="115"/>
        <v>1.19068172482155e-5</v>
      </c>
      <c r="S90" s="915"/>
      <c r="T90" s="915">
        <f t="shared" si="116"/>
        <v>10196.84</v>
      </c>
      <c r="U90" s="685">
        <f t="shared" si="117"/>
        <v>18745.385</v>
      </c>
      <c r="V90" s="902">
        <f t="shared" si="118"/>
        <v>151.784493927126</v>
      </c>
      <c r="W90" s="558">
        <f t="shared" si="119"/>
        <v>1200</v>
      </c>
      <c r="X90" s="850">
        <f t="shared" si="120"/>
        <v>31.2423083333333</v>
      </c>
      <c r="Y90" s="921">
        <f t="shared" si="121"/>
        <v>0.00714409034892928</v>
      </c>
      <c r="Z90" s="917"/>
      <c r="AA90" s="917">
        <f t="shared" si="122"/>
        <v>-0.199159016752378</v>
      </c>
      <c r="AB90" s="917">
        <f t="shared" si="123"/>
        <v>0.415224049578401</v>
      </c>
      <c r="AC90" s="917">
        <f t="shared" si="124"/>
        <v>-0.012</v>
      </c>
      <c r="AE90" s="917">
        <f t="shared" si="125"/>
        <v>-0.189432203190666</v>
      </c>
      <c r="AF90" s="917">
        <f t="shared" si="126"/>
        <v>-0.584897423683316</v>
      </c>
    </row>
    <row r="91" spans="1:32">
      <c r="A91" s="686" t="s">
        <v>27</v>
      </c>
      <c r="B91" s="685">
        <f>SUM(万相台!B224:B253)</f>
        <v>61294.7</v>
      </c>
      <c r="C91" s="918"/>
      <c r="D91" s="918">
        <f>SUM(万相台!C224:C253)</f>
        <v>18951479</v>
      </c>
      <c r="E91" s="918">
        <f>SUM(万相台!D224:D253)</f>
        <v>219899</v>
      </c>
      <c r="F91" s="918">
        <f>SUM(万相台!E224:E253)</f>
        <v>31</v>
      </c>
      <c r="G91" s="918">
        <f>SUM(万相台!F224:F253)</f>
        <v>464453.48</v>
      </c>
      <c r="H91" s="918">
        <f>SUM(万相台!G224:G253)</f>
        <v>1037</v>
      </c>
      <c r="I91" s="918">
        <f>SUM(万相台!H224:H253)</f>
        <v>3263</v>
      </c>
      <c r="J91" s="918">
        <f>SUM(万相台!I224:I253)</f>
        <v>394</v>
      </c>
      <c r="K91" s="872">
        <f t="shared" si="110"/>
        <v>3657</v>
      </c>
      <c r="L91" s="688">
        <f t="shared" si="111"/>
        <v>0.0116032632598226</v>
      </c>
      <c r="M91" s="685">
        <f t="shared" si="112"/>
        <v>0.27874023983738</v>
      </c>
      <c r="N91" s="886"/>
      <c r="O91" s="886">
        <f t="shared" si="113"/>
        <v>3.23429638393922</v>
      </c>
      <c r="P91" s="887">
        <f t="shared" si="114"/>
        <v>7.57738401525744</v>
      </c>
      <c r="Q91" s="688"/>
      <c r="R91" s="688">
        <f t="shared" si="115"/>
        <v>0.000140973810704005</v>
      </c>
      <c r="S91" s="915"/>
      <c r="T91" s="915">
        <f t="shared" si="116"/>
        <v>14982.3703225806</v>
      </c>
      <c r="U91" s="685">
        <f t="shared" si="117"/>
        <v>1977.24838709677</v>
      </c>
      <c r="V91" s="902">
        <f t="shared" si="118"/>
        <v>59.1077145612343</v>
      </c>
      <c r="W91" s="558">
        <f t="shared" si="119"/>
        <v>4694</v>
      </c>
      <c r="X91" s="850">
        <f t="shared" si="120"/>
        <v>13.0580954409885</v>
      </c>
      <c r="Y91" s="921">
        <f t="shared" si="121"/>
        <v>0.0213461634659548</v>
      </c>
      <c r="Z91" s="917"/>
      <c r="AA91" s="917">
        <f t="shared" si="122"/>
        <v>-0.16840270264</v>
      </c>
      <c r="AB91" s="917">
        <f t="shared" si="123"/>
        <v>0.54358998445113</v>
      </c>
      <c r="AC91" s="917">
        <f t="shared" si="124"/>
        <v>-0.311877903118779</v>
      </c>
      <c r="AE91" s="917">
        <f t="shared" si="125"/>
        <v>0.208502533386229</v>
      </c>
      <c r="AF91" s="917">
        <f t="shared" si="126"/>
        <v>-0.174881990255814</v>
      </c>
    </row>
    <row r="92" spans="1:32">
      <c r="A92" s="891" t="s">
        <v>22</v>
      </c>
      <c r="B92" s="903">
        <f>SUM(B88:B91)</f>
        <v>160460.79</v>
      </c>
      <c r="C92" s="904"/>
      <c r="D92" s="904">
        <f t="shared" ref="D92:J92" si="127">SUM(D88:D91)</f>
        <v>62663007</v>
      </c>
      <c r="E92" s="904">
        <f t="shared" si="127"/>
        <v>404531</v>
      </c>
      <c r="F92" s="904">
        <f t="shared" si="127"/>
        <v>60</v>
      </c>
      <c r="G92" s="903">
        <f t="shared" si="127"/>
        <v>957456.16</v>
      </c>
      <c r="H92" s="904">
        <f t="shared" si="127"/>
        <v>3012</v>
      </c>
      <c r="I92" s="904">
        <f t="shared" si="127"/>
        <v>4301</v>
      </c>
      <c r="J92" s="904">
        <f t="shared" si="127"/>
        <v>708</v>
      </c>
      <c r="K92" s="872">
        <f t="shared" si="110"/>
        <v>5009</v>
      </c>
      <c r="L92" s="896">
        <f t="shared" si="111"/>
        <v>0.00645565891850674</v>
      </c>
      <c r="M92" s="903">
        <f t="shared" si="112"/>
        <v>0.396658822191624</v>
      </c>
      <c r="N92" s="897"/>
      <c r="O92" s="897">
        <f t="shared" si="113"/>
        <v>2.56069406308574</v>
      </c>
      <c r="P92" s="898">
        <f t="shared" si="114"/>
        <v>5.96691665297173</v>
      </c>
      <c r="Q92" s="896"/>
      <c r="R92" s="896">
        <f t="shared" si="115"/>
        <v>0.000148319906261819</v>
      </c>
      <c r="S92" s="916"/>
      <c r="T92" s="916">
        <f>G92/F92</f>
        <v>15957.6026666667</v>
      </c>
      <c r="U92" s="903">
        <f>B92/F92</f>
        <v>2674.3465</v>
      </c>
      <c r="V92" s="902">
        <f t="shared" si="118"/>
        <v>53.2738346613546</v>
      </c>
      <c r="W92" s="558">
        <f t="shared" si="119"/>
        <v>8021</v>
      </c>
      <c r="X92" s="850">
        <f t="shared" si="120"/>
        <v>20.0050854008228</v>
      </c>
      <c r="Y92" s="921">
        <f t="shared" si="121"/>
        <v>0.0198278994687675</v>
      </c>
      <c r="Z92" s="917"/>
      <c r="AA92" s="917">
        <f t="shared" si="122"/>
        <v>-0.22771841922449</v>
      </c>
      <c r="AB92" s="917"/>
      <c r="AC92" s="917">
        <f t="shared" si="124"/>
        <v>-0.229273285568066</v>
      </c>
      <c r="AE92" s="917">
        <f t="shared" si="125"/>
        <v>0.00201740294511732</v>
      </c>
      <c r="AF92" s="917">
        <f t="shared" si="126"/>
        <v>-0.22132263766185</v>
      </c>
    </row>
    <row r="93" spans="1:32">
      <c r="A93" s="37" t="s">
        <v>45</v>
      </c>
      <c r="B93" s="917">
        <f>(B92-B84)/B84</f>
        <v>-0.22771841922449</v>
      </c>
      <c r="C93" s="917"/>
      <c r="D93" s="917">
        <f t="shared" ref="D93:M93" si="128">(D92-D84)/D84</f>
        <v>-0.274925968992782</v>
      </c>
      <c r="E93" s="917">
        <f t="shared" si="128"/>
        <v>-0.268951147270207</v>
      </c>
      <c r="F93" s="917">
        <f t="shared" si="128"/>
        <v>-0.631901840490798</v>
      </c>
      <c r="G93" s="917">
        <f t="shared" si="128"/>
        <v>-0.636243659142233</v>
      </c>
      <c r="H93" s="917">
        <f t="shared" si="128"/>
        <v>-0.229273285568066</v>
      </c>
      <c r="I93" s="917">
        <f t="shared" si="128"/>
        <v>0.160863697705803</v>
      </c>
      <c r="J93" s="917">
        <f t="shared" si="128"/>
        <v>0.492325655729354</v>
      </c>
      <c r="K93" s="917">
        <f t="shared" si="128"/>
        <v>0.198489569456717</v>
      </c>
      <c r="L93" s="917">
        <f t="shared" si="128"/>
        <v>0.0082402919799443</v>
      </c>
      <c r="M93" s="917">
        <f t="shared" si="128"/>
        <v>0.0564021513634159</v>
      </c>
      <c r="N93" s="917"/>
      <c r="O93" s="917">
        <f>(O92-O84)/O84</f>
        <v>0.0651072135388917</v>
      </c>
      <c r="P93" s="917">
        <f>(P92-P84)/P84</f>
        <v>-0.528984828962915</v>
      </c>
      <c r="Q93" s="917"/>
      <c r="R93" s="917">
        <f>(R92-R84)/R84</f>
        <v>-0.49647939650723</v>
      </c>
      <c r="S93" s="917"/>
      <c r="T93" s="917">
        <f>(T92-T84)/T84</f>
        <v>-0.0117952740030657</v>
      </c>
      <c r="U93" s="917">
        <f>(U92-U84)/U84</f>
        <v>1.09803162777347</v>
      </c>
      <c r="V93" s="917">
        <f>(V92-V84)/V84</f>
        <v>0.00201740294511732</v>
      </c>
    </row>
    <row r="95" ht="41.4" spans="1:32">
      <c r="A95" s="868" t="s">
        <v>75</v>
      </c>
      <c r="B95" s="869" t="s">
        <v>1</v>
      </c>
      <c r="C95" s="870"/>
      <c r="D95" s="870" t="s">
        <v>2</v>
      </c>
      <c r="E95" s="870" t="s">
        <v>3</v>
      </c>
      <c r="F95" s="871" t="s">
        <v>4</v>
      </c>
      <c r="G95" s="869" t="s">
        <v>5</v>
      </c>
      <c r="H95" s="871" t="s">
        <v>6</v>
      </c>
      <c r="I95" s="871" t="s">
        <v>7</v>
      </c>
      <c r="J95" s="871" t="s">
        <v>8</v>
      </c>
      <c r="K95" s="871" t="s">
        <v>34</v>
      </c>
      <c r="L95" s="879" t="s">
        <v>9</v>
      </c>
      <c r="M95" s="869" t="s">
        <v>10</v>
      </c>
      <c r="N95" s="880"/>
      <c r="O95" s="880" t="s">
        <v>11</v>
      </c>
      <c r="P95" s="881" t="s">
        <v>12</v>
      </c>
      <c r="Q95" s="879"/>
      <c r="R95" s="879" t="s">
        <v>13</v>
      </c>
      <c r="S95" s="875"/>
      <c r="T95" s="875" t="s">
        <v>14</v>
      </c>
      <c r="U95" s="869" t="s">
        <v>15</v>
      </c>
      <c r="V95" s="912" t="s">
        <v>16</v>
      </c>
      <c r="W95" s="920" t="s">
        <v>35</v>
      </c>
      <c r="X95" s="920" t="s">
        <v>36</v>
      </c>
      <c r="Y95" s="920" t="s">
        <v>73</v>
      </c>
      <c r="Z95" s="882"/>
      <c r="AA95" s="882" t="s">
        <v>38</v>
      </c>
      <c r="AB95" s="882" t="s">
        <v>39</v>
      </c>
      <c r="AC95" s="882" t="s">
        <v>40</v>
      </c>
      <c r="AD95" s="882" t="s">
        <v>41</v>
      </c>
      <c r="AE95" s="882" t="s">
        <v>42</v>
      </c>
      <c r="AF95" s="882" t="s">
        <v>43</v>
      </c>
    </row>
    <row r="96" spans="1:32">
      <c r="A96" s="686" t="s">
        <v>19</v>
      </c>
      <c r="B96" s="694">
        <f>SUM(明星店铺!B754:B784)</f>
        <v>10192.19</v>
      </c>
      <c r="C96" s="694"/>
      <c r="D96" s="694">
        <f>SUM(明星店铺!C754:C784)</f>
        <v>12523</v>
      </c>
      <c r="E96" s="694">
        <f>SUM(明星店铺!D754:D784)</f>
        <v>5987</v>
      </c>
      <c r="F96" s="694">
        <f>SUM(明星店铺!E754:E784)</f>
        <v>63</v>
      </c>
      <c r="G96" s="694">
        <f>SUM(明星店铺!F754:F784)</f>
        <v>716985.81</v>
      </c>
      <c r="H96" s="694">
        <f>SUM(明星店铺!G754:G784)</f>
        <v>1518</v>
      </c>
      <c r="I96" s="694">
        <f>SUM(明星店铺!H754:H784)</f>
        <v>206</v>
      </c>
      <c r="J96" s="694">
        <f>SUM(明星店铺!I754:I784)</f>
        <v>387</v>
      </c>
      <c r="K96" s="872">
        <f t="shared" ref="K96:K100" si="129">I96+J96</f>
        <v>593</v>
      </c>
      <c r="L96" s="688">
        <f t="shared" ref="L96:L100" si="130">E96/D96</f>
        <v>0.478080332188773</v>
      </c>
      <c r="M96" s="685">
        <f t="shared" ref="M96:M100" si="131">B96/E96</f>
        <v>1.70238683814932</v>
      </c>
      <c r="N96" s="886"/>
      <c r="O96" s="886">
        <f t="shared" ref="O96:O100" si="132">(B96/D96)*1000</f>
        <v>813.877665096223</v>
      </c>
      <c r="P96" s="887">
        <f t="shared" ref="P96:P100" si="133">G96/B96</f>
        <v>70.3465898889248</v>
      </c>
      <c r="Q96" s="688"/>
      <c r="R96" s="688">
        <f t="shared" ref="R96:R100" si="134">F96/E96</f>
        <v>0.0105227993986972</v>
      </c>
      <c r="S96" s="915"/>
      <c r="T96" s="915">
        <f t="shared" ref="T96:T99" si="135">IF(F96=0,"0",G96/F96)</f>
        <v>11380.7271428571</v>
      </c>
      <c r="U96" s="685">
        <f t="shared" ref="U96:U99" si="136">IF(F96=0,"0",B96/F96)</f>
        <v>161.780793650794</v>
      </c>
      <c r="V96" s="902">
        <f t="shared" ref="V96:V100" si="137">B96/H96</f>
        <v>6.71422266139657</v>
      </c>
      <c r="W96" s="543">
        <f t="shared" ref="W96:W100" si="138">H96+K96</f>
        <v>2111</v>
      </c>
      <c r="X96" s="857">
        <f t="shared" ref="X96:X100" si="139">B96/W96</f>
        <v>4.82813358597821</v>
      </c>
      <c r="Y96" s="921">
        <f t="shared" ref="Y96:Y100" si="140">W96/E96</f>
        <v>0.352597294137297</v>
      </c>
    </row>
    <row r="97" spans="1:33">
      <c r="A97" s="686" t="s">
        <v>20</v>
      </c>
      <c r="B97" s="694">
        <f>SUM(直通车!B754:B784)</f>
        <v>62554.14</v>
      </c>
      <c r="C97" s="694"/>
      <c r="D97" s="694">
        <f>SUM(直通车!C754:C784)</f>
        <v>214054</v>
      </c>
      <c r="E97" s="694">
        <f>SUM(直通车!D754:D784)</f>
        <v>16047</v>
      </c>
      <c r="F97" s="694">
        <f>SUM(直通车!E754:E784)</f>
        <v>34</v>
      </c>
      <c r="G97" s="694">
        <f>SUM(直通车!F754:F784)</f>
        <v>471115</v>
      </c>
      <c r="H97" s="694">
        <f>SUM(直通车!G754:G784)</f>
        <v>1238</v>
      </c>
      <c r="I97" s="694">
        <f>SUM(直通车!H754:H784)</f>
        <v>152</v>
      </c>
      <c r="J97" s="694">
        <f>SUM(直通车!I754:I784)</f>
        <v>167</v>
      </c>
      <c r="K97" s="872">
        <f t="shared" si="129"/>
        <v>319</v>
      </c>
      <c r="L97" s="688">
        <f t="shared" si="130"/>
        <v>0.0749670643856223</v>
      </c>
      <c r="M97" s="685">
        <f t="shared" si="131"/>
        <v>3.89818283791363</v>
      </c>
      <c r="N97" s="886"/>
      <c r="O97" s="886">
        <f t="shared" si="132"/>
        <v>292.235323796799</v>
      </c>
      <c r="P97" s="887">
        <f t="shared" si="133"/>
        <v>7.53131607276513</v>
      </c>
      <c r="Q97" s="688"/>
      <c r="R97" s="688">
        <f t="shared" si="134"/>
        <v>0.00211877609522029</v>
      </c>
      <c r="S97" s="915"/>
      <c r="T97" s="915">
        <f t="shared" si="135"/>
        <v>13856.3235294118</v>
      </c>
      <c r="U97" s="685">
        <f t="shared" si="136"/>
        <v>1839.82764705882</v>
      </c>
      <c r="V97" s="902">
        <f t="shared" si="137"/>
        <v>50.5283844911147</v>
      </c>
      <c r="W97" s="543">
        <f t="shared" si="138"/>
        <v>1557</v>
      </c>
      <c r="X97" s="857">
        <f t="shared" si="139"/>
        <v>40.1760693641618</v>
      </c>
      <c r="Y97" s="921">
        <f t="shared" si="140"/>
        <v>0.0970274817722939</v>
      </c>
    </row>
    <row r="98" spans="1:33">
      <c r="A98" s="686" t="s">
        <v>21</v>
      </c>
      <c r="B98" s="694">
        <f>SUM(引力魔方!B653:B683)</f>
        <v>39045.92</v>
      </c>
      <c r="C98" s="694"/>
      <c r="D98" s="694">
        <f>SUM(引力魔方!C653:C683)</f>
        <v>42299840</v>
      </c>
      <c r="E98" s="694">
        <f>SUM(引力魔方!D653:D683)</f>
        <v>165191</v>
      </c>
      <c r="F98" s="694">
        <f>SUM(引力魔方!E653:E683)</f>
        <v>11</v>
      </c>
      <c r="G98" s="694">
        <f>SUM(引力魔方!F653:F683)</f>
        <v>115697</v>
      </c>
      <c r="H98" s="694">
        <f>SUM(引力魔方!G653:G683)</f>
        <v>395</v>
      </c>
      <c r="I98" s="694">
        <f>SUM(引力魔方!H653:H683)</f>
        <v>1299</v>
      </c>
      <c r="J98" s="694">
        <f>SUM(引力魔方!I653:I683)</f>
        <v>63</v>
      </c>
      <c r="K98" s="872">
        <f t="shared" si="129"/>
        <v>1362</v>
      </c>
      <c r="L98" s="688">
        <f t="shared" si="130"/>
        <v>0.00390523935787937</v>
      </c>
      <c r="M98" s="685">
        <f t="shared" si="131"/>
        <v>0.236368325150886</v>
      </c>
      <c r="N98" s="886"/>
      <c r="O98" s="886">
        <f t="shared" si="132"/>
        <v>0.923074886335267</v>
      </c>
      <c r="P98" s="887">
        <f t="shared" si="133"/>
        <v>2.96310088224327</v>
      </c>
      <c r="Q98" s="688"/>
      <c r="R98" s="688">
        <f t="shared" si="134"/>
        <v>6.65895841783148e-5</v>
      </c>
      <c r="S98" s="915"/>
      <c r="T98" s="915">
        <f t="shared" si="135"/>
        <v>10517.9090909091</v>
      </c>
      <c r="U98" s="685">
        <f t="shared" si="136"/>
        <v>3549.62909090909</v>
      </c>
      <c r="V98" s="902">
        <f t="shared" si="137"/>
        <v>98.8504303797468</v>
      </c>
      <c r="W98" s="543">
        <f t="shared" si="138"/>
        <v>1757</v>
      </c>
      <c r="X98" s="857">
        <f t="shared" si="139"/>
        <v>22.223062037564</v>
      </c>
      <c r="Y98" s="921">
        <f t="shared" si="140"/>
        <v>0.0106361726728454</v>
      </c>
    </row>
    <row r="99" spans="1:33">
      <c r="A99" s="686" t="s">
        <v>27</v>
      </c>
      <c r="B99" s="694">
        <f>SUM(万相台!B242:B272)</f>
        <v>71615.16</v>
      </c>
      <c r="C99" s="694"/>
      <c r="D99" s="694">
        <f>SUM(万相台!C242:C272)</f>
        <v>27107290</v>
      </c>
      <c r="E99" s="694">
        <f>SUM(万相台!D242:D272)</f>
        <v>279410</v>
      </c>
      <c r="F99" s="694">
        <f>SUM(万相台!E242:E272)</f>
        <v>50</v>
      </c>
      <c r="G99" s="694">
        <f>SUM(万相台!F242:F272)</f>
        <v>693722</v>
      </c>
      <c r="H99" s="694">
        <f>SUM(万相台!G242:G272)</f>
        <v>1349</v>
      </c>
      <c r="I99" s="694">
        <f>SUM(万相台!H242:H272)</f>
        <v>4672</v>
      </c>
      <c r="J99" s="694">
        <f>SUM(万相台!I242:I272)</f>
        <v>417</v>
      </c>
      <c r="K99" s="872">
        <f t="shared" si="129"/>
        <v>5089</v>
      </c>
      <c r="L99" s="688">
        <f t="shared" si="130"/>
        <v>0.0103075593318255</v>
      </c>
      <c r="M99" s="685">
        <f t="shared" si="131"/>
        <v>0.256308507211625</v>
      </c>
      <c r="N99" s="886"/>
      <c r="O99" s="886">
        <f t="shared" si="132"/>
        <v>2.64191514533544</v>
      </c>
      <c r="P99" s="887">
        <f t="shared" si="133"/>
        <v>9.68680374378833</v>
      </c>
      <c r="Q99" s="688"/>
      <c r="R99" s="688">
        <f t="shared" si="134"/>
        <v>0.000178948498622097</v>
      </c>
      <c r="S99" s="915"/>
      <c r="T99" s="915">
        <f t="shared" si="135"/>
        <v>13874.44</v>
      </c>
      <c r="U99" s="685">
        <f t="shared" si="136"/>
        <v>1432.3032</v>
      </c>
      <c r="V99" s="902">
        <f t="shared" si="137"/>
        <v>53.0875908080059</v>
      </c>
      <c r="W99" s="543">
        <f t="shared" si="138"/>
        <v>6438</v>
      </c>
      <c r="X99" s="857">
        <f t="shared" si="139"/>
        <v>11.1238210624418</v>
      </c>
      <c r="Y99" s="921">
        <f t="shared" si="140"/>
        <v>0.0230414086825812</v>
      </c>
    </row>
    <row r="100" spans="1:33">
      <c r="A100" s="891" t="s">
        <v>22</v>
      </c>
      <c r="B100" s="903">
        <f>SUM(B96:B99)</f>
        <v>183407.41</v>
      </c>
      <c r="C100" s="904"/>
      <c r="D100" s="904">
        <f t="shared" ref="D100:J100" si="141">SUM(D96:D99)</f>
        <v>69633707</v>
      </c>
      <c r="E100" s="904">
        <f t="shared" si="141"/>
        <v>466635</v>
      </c>
      <c r="F100" s="904">
        <f t="shared" si="141"/>
        <v>158</v>
      </c>
      <c r="G100" s="903">
        <f t="shared" si="141"/>
        <v>1997519.81</v>
      </c>
      <c r="H100" s="904">
        <f t="shared" si="141"/>
        <v>4500</v>
      </c>
      <c r="I100" s="904">
        <f t="shared" si="141"/>
        <v>6329</v>
      </c>
      <c r="J100" s="904">
        <f t="shared" si="141"/>
        <v>1034</v>
      </c>
      <c r="K100" s="872">
        <f t="shared" si="129"/>
        <v>7363</v>
      </c>
      <c r="L100" s="896">
        <f t="shared" si="130"/>
        <v>0.00670128045890189</v>
      </c>
      <c r="M100" s="903">
        <f t="shared" si="131"/>
        <v>0.393042549315846</v>
      </c>
      <c r="N100" s="897"/>
      <c r="O100" s="897">
        <f t="shared" si="132"/>
        <v>2.63388835524727</v>
      </c>
      <c r="P100" s="898">
        <f t="shared" si="133"/>
        <v>10.8911619764981</v>
      </c>
      <c r="Q100" s="896"/>
      <c r="R100" s="896">
        <f t="shared" si="134"/>
        <v>0.000338594404620313</v>
      </c>
      <c r="S100" s="916"/>
      <c r="T100" s="916">
        <f>G100/F100</f>
        <v>12642.530443038</v>
      </c>
      <c r="U100" s="903">
        <f>B100/F100</f>
        <v>1160.80639240506</v>
      </c>
      <c r="V100" s="902">
        <f t="shared" si="137"/>
        <v>40.7572022222222</v>
      </c>
      <c r="W100" s="543">
        <f t="shared" si="138"/>
        <v>11863</v>
      </c>
      <c r="X100" s="857">
        <f t="shared" si="139"/>
        <v>15.4604577257018</v>
      </c>
      <c r="Y100" s="921">
        <f t="shared" si="140"/>
        <v>0.0254224393798151</v>
      </c>
    </row>
    <row r="101" spans="1:33">
      <c r="A101" s="37" t="s">
        <v>47</v>
      </c>
      <c r="B101" s="917">
        <f>(B100-B92)/B92</f>
        <v>0.143004530888823</v>
      </c>
      <c r="C101" s="917"/>
      <c r="D101" s="917">
        <f t="shared" ref="D101:M101" si="142">(D100-D92)/D92</f>
        <v>0.11124107082828</v>
      </c>
      <c r="E101" s="917">
        <f t="shared" si="142"/>
        <v>0.153520990974734</v>
      </c>
      <c r="F101" s="917">
        <f t="shared" si="142"/>
        <v>1.63333333333333</v>
      </c>
      <c r="G101" s="917">
        <f t="shared" si="142"/>
        <v>1.0862780913123</v>
      </c>
      <c r="H101" s="917">
        <f t="shared" si="142"/>
        <v>0.49402390438247</v>
      </c>
      <c r="I101" s="917">
        <f t="shared" si="142"/>
        <v>0.471518251569402</v>
      </c>
      <c r="J101" s="917">
        <f t="shared" si="142"/>
        <v>0.46045197740113</v>
      </c>
      <c r="K101" s="917">
        <f t="shared" si="142"/>
        <v>0.469954082651228</v>
      </c>
      <c r="L101" s="917">
        <f t="shared" si="142"/>
        <v>0.0380474779562816</v>
      </c>
      <c r="M101" s="917">
        <f t="shared" si="142"/>
        <v>-0.00911683460309129</v>
      </c>
      <c r="N101" s="917"/>
      <c r="O101" s="917">
        <f>(O100-O92)/O92</f>
        <v>0.0285837707895981</v>
      </c>
      <c r="P101" s="917">
        <f>(P100-P92)/P92</f>
        <v>0.825257936370527</v>
      </c>
      <c r="Q101" s="917"/>
      <c r="R101" s="917">
        <f>(R100-R92)/R92</f>
        <v>1.282865551591</v>
      </c>
      <c r="S101" s="917"/>
      <c r="T101" s="917">
        <f>(T100-T92)/T92</f>
        <v>-0.207742496970014</v>
      </c>
      <c r="U101" s="917">
        <f>(U100-U92)/U92</f>
        <v>-0.565947646497915</v>
      </c>
      <c r="V101" s="917">
        <f>(V100-V92)/V92</f>
        <v>-0.234948967325081</v>
      </c>
    </row>
    <row r="103" ht="41.4" spans="1:33">
      <c r="A103" s="922" t="s">
        <v>76</v>
      </c>
      <c r="B103" s="923" t="s">
        <v>1</v>
      </c>
      <c r="C103" s="924" t="s">
        <v>77</v>
      </c>
      <c r="D103" s="925" t="s">
        <v>2</v>
      </c>
      <c r="E103" s="925" t="s">
        <v>3</v>
      </c>
      <c r="F103" s="926" t="s">
        <v>4</v>
      </c>
      <c r="G103" s="923" t="s">
        <v>5</v>
      </c>
      <c r="H103" s="926" t="s">
        <v>6</v>
      </c>
      <c r="I103" s="926" t="s">
        <v>7</v>
      </c>
      <c r="J103" s="926" t="s">
        <v>8</v>
      </c>
      <c r="K103" s="926" t="s">
        <v>34</v>
      </c>
      <c r="L103" s="927" t="s">
        <v>9</v>
      </c>
      <c r="M103" s="923" t="s">
        <v>10</v>
      </c>
      <c r="N103" s="924" t="s">
        <v>77</v>
      </c>
      <c r="O103" s="928" t="s">
        <v>11</v>
      </c>
      <c r="P103" s="929" t="s">
        <v>12</v>
      </c>
      <c r="Q103" s="924" t="s">
        <v>77</v>
      </c>
      <c r="R103" s="927" t="s">
        <v>13</v>
      </c>
      <c r="S103" s="924" t="s">
        <v>77</v>
      </c>
      <c r="T103" s="930" t="s">
        <v>14</v>
      </c>
      <c r="U103" s="923" t="s">
        <v>15</v>
      </c>
      <c r="V103" s="931" t="s">
        <v>16</v>
      </c>
      <c r="W103" s="920" t="s">
        <v>35</v>
      </c>
      <c r="X103" s="920" t="s">
        <v>36</v>
      </c>
      <c r="Y103" s="920" t="s">
        <v>73</v>
      </c>
      <c r="Z103" s="924" t="s">
        <v>77</v>
      </c>
      <c r="AA103" s="882" t="s">
        <v>38</v>
      </c>
      <c r="AB103" s="882" t="s">
        <v>78</v>
      </c>
      <c r="AC103" s="882" t="s">
        <v>40</v>
      </c>
      <c r="AD103" s="882" t="s">
        <v>41</v>
      </c>
      <c r="AE103" s="882" t="s">
        <v>42</v>
      </c>
      <c r="AF103" s="882" t="s">
        <v>43</v>
      </c>
      <c r="AG103" s="37" t="s">
        <v>39</v>
      </c>
    </row>
    <row r="104" spans="1:33">
      <c r="A104" s="686" t="s">
        <v>19</v>
      </c>
      <c r="B104" s="918">
        <f>SUM(明星店铺!B783:B826)</f>
        <v>15908.92</v>
      </c>
      <c r="C104" s="932">
        <f>(B104-B80)/B80</f>
        <v>1.11593898340252</v>
      </c>
      <c r="D104" s="918">
        <f>SUM(明星店铺!C783:C826)</f>
        <v>14995</v>
      </c>
      <c r="E104" s="918">
        <f>SUM(明星店铺!D783:D826)</f>
        <v>6865</v>
      </c>
      <c r="F104" s="918">
        <f>SUM(明星店铺!E783:E826)</f>
        <v>146</v>
      </c>
      <c r="G104" s="918">
        <f>SUM(明星店铺!F783:F826)</f>
        <v>1981587</v>
      </c>
      <c r="H104" s="918">
        <f>SUM(明星店铺!G783:G826)</f>
        <v>1850</v>
      </c>
      <c r="I104" s="918">
        <f>SUM(明星店铺!H783:H826)</f>
        <v>173</v>
      </c>
      <c r="J104" s="918">
        <f>SUM(明星店铺!I783:I826)</f>
        <v>460</v>
      </c>
      <c r="K104" s="872">
        <f t="shared" ref="K104:K107" si="143">I104+J104</f>
        <v>633</v>
      </c>
      <c r="L104" s="688">
        <f t="shared" ref="L104:L108" si="144">E104/D104</f>
        <v>0.45781927309103</v>
      </c>
      <c r="M104" s="685">
        <f t="shared" ref="M104:M108" si="145">B104/E104</f>
        <v>2.31739548434086</v>
      </c>
      <c r="N104" s="932">
        <f t="shared" ref="N104:N107" si="146">(M104-M80)/M80</f>
        <v>0.172473691604251</v>
      </c>
      <c r="O104" s="886">
        <f t="shared" ref="O104:O108" si="147">(B104/D104)*1000</f>
        <v>1060.94831610537</v>
      </c>
      <c r="P104" s="887">
        <f t="shared" ref="P104:P108" si="148">G104/B104</f>
        <v>124.558235254184</v>
      </c>
      <c r="Q104" s="932">
        <f t="shared" ref="Q104:Q107" si="149">(P104-P80)/P80</f>
        <v>0.029273185361055</v>
      </c>
      <c r="R104" s="688">
        <f t="shared" ref="R104:R108" si="150">F104/E104</f>
        <v>0.0212672978878369</v>
      </c>
      <c r="S104" s="932">
        <f t="shared" ref="S104:S107" si="151">(R104-R80)/R80</f>
        <v>0.348346686088857</v>
      </c>
      <c r="T104" s="915">
        <f t="shared" ref="T104:T107" si="152">IF(F104=0,"0",G104/F104)</f>
        <v>13572.5136986301</v>
      </c>
      <c r="U104" s="685">
        <f t="shared" ref="U104:U107" si="153">IF(F104=0,"0",B104/F104)</f>
        <v>108.965205479452</v>
      </c>
      <c r="V104" s="902">
        <f t="shared" ref="V104:V108" si="154">B104/H104</f>
        <v>8.59941621621622</v>
      </c>
      <c r="W104" s="543">
        <f t="shared" ref="W104:W107" si="155">H104+I104</f>
        <v>2023</v>
      </c>
      <c r="X104" s="857">
        <f t="shared" ref="X104:X108" si="156">B104/W104</f>
        <v>7.86402372713792</v>
      </c>
      <c r="Y104" s="921">
        <f>W104/E104</f>
        <v>0.294683175528041</v>
      </c>
      <c r="Z104" s="932">
        <f t="shared" ref="Z104:Z107" si="157">(Y104-Y80)/Y80</f>
        <v>-0.164698360872826</v>
      </c>
      <c r="AA104" s="933">
        <f>(B104-B80)/B80</f>
        <v>1.11593898340252</v>
      </c>
      <c r="AB104" s="933">
        <f t="shared" ref="AB104:AB108" si="158">(E104-E80)/E80</f>
        <v>0.804679284963197</v>
      </c>
      <c r="AC104" s="933">
        <f t="shared" ref="AC104:AC108" si="159">(H104-H80)/H80</f>
        <v>0.789168278529981</v>
      </c>
      <c r="AD104" s="933">
        <f t="shared" ref="AD104:AD108" si="160">(G104-G80)/G80</f>
        <v>1.17787925747634</v>
      </c>
      <c r="AE104" s="933">
        <f t="shared" ref="AE104:AE108" si="161">(V104-V80)/V80</f>
        <v>0.182638329101732</v>
      </c>
      <c r="AF104" s="933">
        <f t="shared" ref="AF104:AF108" si="162">(X104-X80)/X80</f>
        <v>0.403653047813238</v>
      </c>
      <c r="AG104" s="917">
        <f>E104/$E$108</f>
        <v>0.0201480951025308</v>
      </c>
    </row>
    <row r="105" spans="1:33">
      <c r="A105" s="686" t="s">
        <v>20</v>
      </c>
      <c r="B105" s="918">
        <f>SUM(直通车!B783:B826)</f>
        <v>119719.46</v>
      </c>
      <c r="C105" s="932">
        <f>(B105-B81)/B81</f>
        <v>0.501468177121369</v>
      </c>
      <c r="D105" s="918">
        <f>SUM(直通车!C783:C826)</f>
        <v>489505</v>
      </c>
      <c r="E105" s="918">
        <f>SUM(直通车!D783:D826)</f>
        <v>26986</v>
      </c>
      <c r="F105" s="918">
        <f>SUM(直通车!E783:E826)</f>
        <v>93</v>
      </c>
      <c r="G105" s="918">
        <f>SUM(直通车!F783:F826)</f>
        <v>1191915</v>
      </c>
      <c r="H105" s="918">
        <f>SUM(直通车!G783:G826)</f>
        <v>1961</v>
      </c>
      <c r="I105" s="918">
        <f>SUM(直通车!H783:H826)</f>
        <v>233</v>
      </c>
      <c r="J105" s="918">
        <f>SUM(直通车!I783:I826)</f>
        <v>285</v>
      </c>
      <c r="K105" s="872">
        <f t="shared" si="143"/>
        <v>518</v>
      </c>
      <c r="L105" s="688">
        <f t="shared" si="144"/>
        <v>0.0551291610913065</v>
      </c>
      <c r="M105" s="685">
        <f t="shared" si="145"/>
        <v>4.43635440598829</v>
      </c>
      <c r="N105" s="932">
        <f t="shared" si="146"/>
        <v>-0.093978070249597</v>
      </c>
      <c r="O105" s="886">
        <f t="shared" si="147"/>
        <v>244.572496705856</v>
      </c>
      <c r="P105" s="887">
        <f t="shared" si="148"/>
        <v>9.95590023543374</v>
      </c>
      <c r="Q105" s="932">
        <f t="shared" si="149"/>
        <v>-0.160703118887737</v>
      </c>
      <c r="R105" s="688">
        <f t="shared" si="150"/>
        <v>0.00344623137923368</v>
      </c>
      <c r="S105" s="932">
        <f t="shared" si="151"/>
        <v>-0.0154661091326107</v>
      </c>
      <c r="T105" s="915">
        <f t="shared" si="152"/>
        <v>12816.2903225806</v>
      </c>
      <c r="U105" s="685">
        <f t="shared" si="153"/>
        <v>1287.30602150538</v>
      </c>
      <c r="V105" s="902">
        <f t="shared" si="154"/>
        <v>61.0502090770015</v>
      </c>
      <c r="W105" s="543">
        <f t="shared" si="155"/>
        <v>2194</v>
      </c>
      <c r="X105" s="857">
        <f t="shared" si="156"/>
        <v>54.5667547857794</v>
      </c>
      <c r="Y105" s="921">
        <f>W105/E105</f>
        <v>0.0813014155488031</v>
      </c>
      <c r="Z105" s="932">
        <f t="shared" si="157"/>
        <v>-0.0969220663051095</v>
      </c>
      <c r="AA105" s="933">
        <f>(B105-B81)/B81</f>
        <v>0.501468177121369</v>
      </c>
      <c r="AB105" s="933">
        <f t="shared" si="158"/>
        <v>0.657209530827806</v>
      </c>
      <c r="AC105" s="933">
        <f t="shared" si="159"/>
        <v>0.755595344673232</v>
      </c>
      <c r="AD105" s="933">
        <f t="shared" si="160"/>
        <v>0.26017755814728</v>
      </c>
      <c r="AE105" s="933">
        <f t="shared" si="161"/>
        <v>-0.144752700742188</v>
      </c>
      <c r="AF105" s="933">
        <f t="shared" si="162"/>
        <v>0.00325995791245547</v>
      </c>
      <c r="AG105" s="917">
        <f>E105/$E$108</f>
        <v>0.0792012373542455</v>
      </c>
    </row>
    <row r="106" spans="1:33">
      <c r="A106" s="686" t="s">
        <v>21</v>
      </c>
      <c r="B106" s="918">
        <f>SUM(引力魔方!B682:B725)</f>
        <v>38562.04</v>
      </c>
      <c r="C106" s="932">
        <f>(B106-B82)/B82</f>
        <v>-0.176275599844064</v>
      </c>
      <c r="D106" s="918">
        <f>SUM(引力魔方!C682:C725)</f>
        <v>36636527</v>
      </c>
      <c r="E106" s="918">
        <f>SUM(引力魔方!D682:D725)</f>
        <v>122358</v>
      </c>
      <c r="F106" s="918">
        <f>SUM(引力魔方!E682:E725)</f>
        <v>5</v>
      </c>
      <c r="G106" s="918">
        <f>SUM(引力魔方!F682:F725)</f>
        <v>58960</v>
      </c>
      <c r="H106" s="918">
        <f>SUM(引力魔方!G682:G725)</f>
        <v>399</v>
      </c>
      <c r="I106" s="918">
        <f>SUM(引力魔方!H682:H725)</f>
        <v>3290</v>
      </c>
      <c r="J106" s="918">
        <f>SUM(引力魔方!I682:I725)</f>
        <v>54</v>
      </c>
      <c r="K106" s="872">
        <f t="shared" si="143"/>
        <v>3344</v>
      </c>
      <c r="L106" s="688">
        <f t="shared" si="144"/>
        <v>0.00333978163377768</v>
      </c>
      <c r="M106" s="685">
        <f t="shared" si="145"/>
        <v>0.315157488680756</v>
      </c>
      <c r="N106" s="932">
        <f t="shared" si="146"/>
        <v>1.26086961152004</v>
      </c>
      <c r="O106" s="886">
        <f t="shared" si="147"/>
        <v>1.05255719244349</v>
      </c>
      <c r="P106" s="887">
        <f t="shared" si="148"/>
        <v>1.52896475393937</v>
      </c>
      <c r="Q106" s="932">
        <f t="shared" si="149"/>
        <v>-0.0248319041947416</v>
      </c>
      <c r="R106" s="688">
        <f t="shared" si="150"/>
        <v>4.0863695058762e-5</v>
      </c>
      <c r="S106" s="932">
        <f t="shared" si="151"/>
        <v>2.43086475751483</v>
      </c>
      <c r="T106" s="915">
        <f t="shared" si="152"/>
        <v>11792</v>
      </c>
      <c r="U106" s="685">
        <f t="shared" si="153"/>
        <v>7712.408</v>
      </c>
      <c r="V106" s="902">
        <f t="shared" si="154"/>
        <v>96.64671679198</v>
      </c>
      <c r="W106" s="543">
        <f t="shared" si="155"/>
        <v>3689</v>
      </c>
      <c r="X106" s="857">
        <f t="shared" si="156"/>
        <v>10.4532502033071</v>
      </c>
      <c r="Y106" s="921">
        <f>W106/E106</f>
        <v>0.0301492342143546</v>
      </c>
      <c r="Z106" s="932">
        <f t="shared" si="157"/>
        <v>15.2784052610575</v>
      </c>
      <c r="AA106" s="933">
        <f>(B106-B82)/B82</f>
        <v>-0.176275599844064</v>
      </c>
      <c r="AB106" s="933">
        <f t="shared" si="158"/>
        <v>-0.635660368931172</v>
      </c>
      <c r="AC106" s="933">
        <f t="shared" si="159"/>
        <v>0.596</v>
      </c>
      <c r="AD106" s="933">
        <f t="shared" si="160"/>
        <v>-0.196730245231608</v>
      </c>
      <c r="AE106" s="933">
        <f t="shared" si="161"/>
        <v>-0.483881954789514</v>
      </c>
      <c r="AF106" s="933">
        <f t="shared" si="162"/>
        <v>-0.861112340228519</v>
      </c>
      <c r="AG106" s="917">
        <f>E106/$E$108</f>
        <v>0.359108611879892</v>
      </c>
    </row>
    <row r="107" spans="1:33">
      <c r="A107" s="686" t="s">
        <v>27</v>
      </c>
      <c r="B107" s="918">
        <f>SUM(万相台!B271:B314)</f>
        <v>151993.84</v>
      </c>
      <c r="C107" s="932">
        <f>(B107-B83)/B83</f>
        <v>1.06213043802104</v>
      </c>
      <c r="D107" s="918">
        <f>SUM(万相台!C271:C314)</f>
        <v>36245970</v>
      </c>
      <c r="E107" s="918">
        <f>SUM(万相台!D271:D314)</f>
        <v>184518</v>
      </c>
      <c r="F107" s="918">
        <f>SUM(万相台!E271:E314)</f>
        <v>154</v>
      </c>
      <c r="G107" s="918">
        <f>SUM(万相台!F271:F314)</f>
        <v>1851965</v>
      </c>
      <c r="H107" s="918">
        <f>SUM(万相台!G271:G314)</f>
        <v>2256</v>
      </c>
      <c r="I107" s="918">
        <f>SUM(万相台!H271:H314)</f>
        <v>9525</v>
      </c>
      <c r="J107" s="918">
        <f>SUM(万相台!I271:I314)</f>
        <v>594</v>
      </c>
      <c r="K107" s="872">
        <f t="shared" si="143"/>
        <v>10119</v>
      </c>
      <c r="L107" s="688">
        <f t="shared" si="144"/>
        <v>0.00509071767150941</v>
      </c>
      <c r="M107" s="685">
        <f t="shared" si="145"/>
        <v>0.823734486608353</v>
      </c>
      <c r="N107" s="932">
        <f t="shared" si="146"/>
        <v>1.20647666298272</v>
      </c>
      <c r="O107" s="886">
        <f t="shared" si="147"/>
        <v>4.19339970760887</v>
      </c>
      <c r="P107" s="887">
        <f t="shared" si="148"/>
        <v>12.1844740550012</v>
      </c>
      <c r="Q107" s="932">
        <f t="shared" si="149"/>
        <v>0.277437601573239</v>
      </c>
      <c r="R107" s="688">
        <f t="shared" si="150"/>
        <v>0.000834606921817926</v>
      </c>
      <c r="S107" s="932">
        <f t="shared" si="151"/>
        <v>2.92332816671905</v>
      </c>
      <c r="T107" s="915">
        <f t="shared" si="152"/>
        <v>12025.7467532468</v>
      </c>
      <c r="U107" s="685">
        <f t="shared" si="153"/>
        <v>986.972987012987</v>
      </c>
      <c r="V107" s="902">
        <f t="shared" si="154"/>
        <v>67.3731560283688</v>
      </c>
      <c r="W107" s="543">
        <f t="shared" si="155"/>
        <v>11781</v>
      </c>
      <c r="X107" s="857">
        <f t="shared" si="156"/>
        <v>12.9016076733724</v>
      </c>
      <c r="Y107" s="921">
        <f>W107/E107</f>
        <v>0.0638474295190713</v>
      </c>
      <c r="Z107" s="932">
        <f t="shared" si="157"/>
        <v>1.70657009652575</v>
      </c>
      <c r="AA107" s="933">
        <f>(B107-B83)/B83</f>
        <v>1.06213043802104</v>
      </c>
      <c r="AB107" s="933">
        <f t="shared" si="158"/>
        <v>-0.0654193300039507</v>
      </c>
      <c r="AC107" s="933">
        <f t="shared" si="159"/>
        <v>0.497013934970139</v>
      </c>
      <c r="AD107" s="933">
        <f t="shared" si="160"/>
        <v>1.63424296087677</v>
      </c>
      <c r="AE107" s="933">
        <f t="shared" si="161"/>
        <v>0.377495820078771</v>
      </c>
      <c r="AF107" s="933">
        <f t="shared" si="162"/>
        <v>-0.184770176166863</v>
      </c>
      <c r="AG107" s="917">
        <f>E107/$E$108</f>
        <v>0.541542055663332</v>
      </c>
    </row>
    <row r="108" spans="1:33">
      <c r="A108" s="891" t="s">
        <v>22</v>
      </c>
      <c r="B108" s="903">
        <f>SUM(B104:B107)</f>
        <v>326184.26</v>
      </c>
      <c r="C108" s="904"/>
      <c r="D108" s="904">
        <f t="shared" ref="D108:K108" si="163">SUM(D104:D107)</f>
        <v>73386997</v>
      </c>
      <c r="E108" s="904">
        <f t="shared" si="163"/>
        <v>340727</v>
      </c>
      <c r="F108" s="904">
        <f t="shared" si="163"/>
        <v>398</v>
      </c>
      <c r="G108" s="903">
        <f t="shared" si="163"/>
        <v>5084427</v>
      </c>
      <c r="H108" s="904">
        <f t="shared" si="163"/>
        <v>6466</v>
      </c>
      <c r="I108" s="904">
        <f t="shared" si="163"/>
        <v>13221</v>
      </c>
      <c r="J108" s="904">
        <f t="shared" si="163"/>
        <v>1393</v>
      </c>
      <c r="K108" s="904">
        <f t="shared" si="163"/>
        <v>14614</v>
      </c>
      <c r="L108" s="896">
        <f t="shared" si="144"/>
        <v>0.004642879718869</v>
      </c>
      <c r="M108" s="903">
        <f t="shared" si="145"/>
        <v>0.957318498387272</v>
      </c>
      <c r="N108" s="897"/>
      <c r="O108" s="897">
        <f t="shared" si="147"/>
        <v>4.44471464066039</v>
      </c>
      <c r="P108" s="898">
        <f t="shared" si="148"/>
        <v>15.587591504262</v>
      </c>
      <c r="Q108" s="896"/>
      <c r="R108" s="896">
        <f t="shared" si="150"/>
        <v>0.00116809058278328</v>
      </c>
      <c r="S108" s="916"/>
      <c r="T108" s="916">
        <f>G108/F108</f>
        <v>12774.9422110553</v>
      </c>
      <c r="U108" s="903">
        <f>B108/F108</f>
        <v>819.558442211055</v>
      </c>
      <c r="V108" s="902">
        <f t="shared" si="154"/>
        <v>50.4460655737705</v>
      </c>
      <c r="W108" s="543">
        <f>H108+K108</f>
        <v>21080</v>
      </c>
      <c r="X108" s="857">
        <f t="shared" si="156"/>
        <v>15.4736366223909</v>
      </c>
      <c r="Y108" s="921">
        <f>W108/E108</f>
        <v>0.0618677122740493</v>
      </c>
      <c r="Z108" s="933"/>
      <c r="AA108" s="933">
        <f>(B108-B84)/B84</f>
        <v>0.569891909025812</v>
      </c>
      <c r="AB108" s="933">
        <f t="shared" si="158"/>
        <v>-0.384254649349335</v>
      </c>
      <c r="AC108" s="933">
        <f t="shared" si="159"/>
        <v>0.654554759467758</v>
      </c>
      <c r="AD108" s="933">
        <f t="shared" si="160"/>
        <v>0.931673363382439</v>
      </c>
      <c r="AE108" s="933">
        <f t="shared" si="161"/>
        <v>-0.0511695668925342</v>
      </c>
      <c r="AF108" s="933">
        <f t="shared" si="162"/>
        <v>-0.397704618126412</v>
      </c>
      <c r="AG108" s="917">
        <f>E108/$E$108</f>
        <v>1</v>
      </c>
    </row>
    <row r="109" spans="1:33">
      <c r="A109" s="934" t="s">
        <v>79</v>
      </c>
      <c r="B109" s="935">
        <f>(B108-B84)/B84</f>
        <v>0.569891909025812</v>
      </c>
      <c r="C109" s="935"/>
      <c r="D109" s="935">
        <f t="shared" ref="D109:M109" si="164">(D108-D84)/D84</f>
        <v>-0.150838616182198</v>
      </c>
      <c r="E109" s="935">
        <f t="shared" si="164"/>
        <v>-0.384254649349335</v>
      </c>
      <c r="F109" s="935">
        <f t="shared" si="164"/>
        <v>1.44171779141104</v>
      </c>
      <c r="G109" s="935">
        <f t="shared" si="164"/>
        <v>0.931673363382439</v>
      </c>
      <c r="H109" s="935">
        <f t="shared" si="164"/>
        <v>0.654554759467758</v>
      </c>
      <c r="I109" s="935">
        <f t="shared" si="164"/>
        <v>2.56842105263158</v>
      </c>
      <c r="J109" s="935">
        <f t="shared" si="164"/>
        <v>1.93617180569349</v>
      </c>
      <c r="K109" s="935">
        <f t="shared" si="164"/>
        <v>2.49665134119394</v>
      </c>
      <c r="L109" s="935">
        <f t="shared" si="164"/>
        <v>-0.274878294768547</v>
      </c>
      <c r="M109" s="935">
        <f t="shared" si="164"/>
        <v>1.5495798017263</v>
      </c>
      <c r="N109" s="935"/>
      <c r="O109" s="935">
        <f>(O108-O84)/O84</f>
        <v>0.848755653451443</v>
      </c>
      <c r="P109" s="935">
        <f>(P108-P84)/P84</f>
        <v>0.23044991331991</v>
      </c>
      <c r="Q109" s="935"/>
      <c r="R109" s="935">
        <f>(R108-R84)/R84</f>
        <v>2.96546687495221</v>
      </c>
      <c r="S109" s="935"/>
      <c r="T109" s="935">
        <f t="shared" ref="T109:Y109" si="165">(T108-T84)/T84</f>
        <v>-0.208887542132318</v>
      </c>
      <c r="U109" s="935">
        <f t="shared" si="165"/>
        <v>-0.357054318665308</v>
      </c>
      <c r="V109" s="935">
        <f t="shared" si="165"/>
        <v>-0.0511695668925342</v>
      </c>
      <c r="W109" s="935">
        <f t="shared" si="165"/>
        <v>1.60651493647897</v>
      </c>
      <c r="X109" s="935">
        <f t="shared" si="165"/>
        <v>-0.397704618126412</v>
      </c>
      <c r="Y109" s="935">
        <f t="shared" si="165"/>
        <v>3.23310534740479</v>
      </c>
      <c r="Z109" s="935"/>
      <c r="AA109" s="935"/>
      <c r="AB109" s="935"/>
      <c r="AC109" s="935"/>
      <c r="AD109" s="935"/>
      <c r="AE109" s="935"/>
      <c r="AF109" s="935"/>
      <c r="AG109" s="917"/>
    </row>
    <row r="111" spans="1:33">
      <c r="D111" s="37">
        <f>D104/D80-1</f>
        <v>0.599978659837815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Z109"/>
  <sheetViews>
    <sheetView showGridLines="0" topLeftCell="A83" workbookViewId="0">
      <pane xSplit="1" topLeftCell="B1" activePane="topRight" state="frozen"/>
      <selection/>
      <selection pane="topRight" activeCell="I1485" sqref="I1485"/>
    </sheetView>
  </sheetViews>
  <sheetFormatPr defaultColWidth="9.87962962962963" defaultRowHeight="13.8"/>
  <cols>
    <col min="1" max="1" width="14.5185185185185" style="37" customWidth="1"/>
    <col min="2" max="2" width="13" style="37" customWidth="1"/>
    <col min="3" max="3" width="14.5185185185185" style="37" customWidth="1"/>
    <col min="4" max="4" width="13" style="37" customWidth="1"/>
    <col min="5" max="5" width="9.87962962962963" style="37" customWidth="1"/>
    <col min="6" max="6" width="14.3796296296296" style="37" customWidth="1"/>
    <col min="7" max="7" width="12.5185185185185" style="37" customWidth="1"/>
    <col min="8" max="8" width="11.8796296296296" style="37" customWidth="1"/>
    <col min="9" max="9" width="12.3796296296296" style="37" customWidth="1"/>
    <col min="10" max="10" width="12.5185185185185" style="37" customWidth="1"/>
    <col min="11" max="11" width="10.8796296296296" style="37" customWidth="1"/>
    <col min="12" max="13" width="9.87962962962963" style="37" customWidth="1"/>
    <col min="14" max="14" width="11.75" style="37" customWidth="1"/>
    <col min="15" max="15" width="9.87962962962963" style="37" customWidth="1"/>
    <col min="16" max="16" width="13.5185185185185" style="37" customWidth="1"/>
    <col min="17" max="17" width="14.1296296296296" style="37" customWidth="1"/>
    <col min="18" max="18" width="9.87962962962963" style="37" customWidth="1"/>
    <col min="19" max="19" width="9.87962962962963" style="558" customWidth="1"/>
    <col min="20" max="20" width="12.6296296296296" style="850"/>
    <col min="21" max="21" width="9.87962962962963" style="37"/>
    <col min="22" max="22" width="12.6296296296296" style="37"/>
    <col min="23" max="23" width="13.75" style="37"/>
    <col min="24" max="25" width="9.87962962962963" style="37"/>
    <col min="26" max="26" width="13.75" style="37"/>
    <col min="27" max="16384" width="9.87962962962963" style="37"/>
  </cols>
  <sheetData>
    <row r="2" ht="41.4" spans="1:19">
      <c r="A2" s="868" t="s">
        <v>0</v>
      </c>
      <c r="B2" s="875" t="s">
        <v>1</v>
      </c>
      <c r="C2" s="876" t="s">
        <v>2</v>
      </c>
      <c r="D2" s="877" t="s">
        <v>3</v>
      </c>
      <c r="E2" s="868" t="s">
        <v>4</v>
      </c>
      <c r="F2" s="875" t="s">
        <v>5</v>
      </c>
      <c r="G2" s="878" t="s">
        <v>6</v>
      </c>
      <c r="H2" s="878" t="s">
        <v>7</v>
      </c>
      <c r="I2" s="868" t="s">
        <v>8</v>
      </c>
      <c r="J2" s="878"/>
      <c r="K2" s="879" t="s">
        <v>9</v>
      </c>
      <c r="L2" s="875" t="s">
        <v>10</v>
      </c>
      <c r="M2" s="880" t="s">
        <v>11</v>
      </c>
      <c r="N2" s="881" t="s">
        <v>12</v>
      </c>
      <c r="O2" s="879" t="s">
        <v>13</v>
      </c>
      <c r="P2" s="875" t="s">
        <v>14</v>
      </c>
      <c r="Q2" s="875" t="s">
        <v>15</v>
      </c>
      <c r="R2" s="868" t="s">
        <v>16</v>
      </c>
      <c r="S2" s="882"/>
    </row>
    <row r="3" spans="1:19">
      <c r="A3" s="686" t="s">
        <v>17</v>
      </c>
      <c r="B3" s="687">
        <v>6.05</v>
      </c>
      <c r="C3" s="883">
        <v>1427</v>
      </c>
      <c r="D3" s="884">
        <v>1</v>
      </c>
      <c r="E3" s="883" t="s">
        <v>18</v>
      </c>
      <c r="F3" s="883" t="s">
        <v>18</v>
      </c>
      <c r="G3" s="883" t="s">
        <v>18</v>
      </c>
      <c r="H3" s="883" t="s">
        <v>18</v>
      </c>
      <c r="I3" s="883" t="s">
        <v>18</v>
      </c>
      <c r="J3" s="883"/>
      <c r="K3" s="883" t="s">
        <v>18</v>
      </c>
      <c r="L3" s="883" t="s">
        <v>18</v>
      </c>
      <c r="M3" s="883" t="s">
        <v>18</v>
      </c>
      <c r="N3" s="883" t="s">
        <v>18</v>
      </c>
      <c r="O3" s="883" t="s">
        <v>18</v>
      </c>
      <c r="P3" s="883" t="s">
        <v>18</v>
      </c>
      <c r="Q3" s="883" t="s">
        <v>18</v>
      </c>
      <c r="R3" s="883" t="s">
        <v>18</v>
      </c>
      <c r="S3" s="885"/>
    </row>
    <row r="4" spans="1:19">
      <c r="A4" s="686" t="s">
        <v>19</v>
      </c>
      <c r="B4" s="687">
        <v>2731.45</v>
      </c>
      <c r="C4" s="883">
        <v>7691</v>
      </c>
      <c r="D4" s="884">
        <v>349</v>
      </c>
      <c r="E4" s="686">
        <v>0</v>
      </c>
      <c r="F4" s="687">
        <v>0</v>
      </c>
      <c r="G4" s="691">
        <v>2</v>
      </c>
      <c r="H4" s="691">
        <v>2</v>
      </c>
      <c r="I4" s="686">
        <v>11</v>
      </c>
      <c r="J4" s="691"/>
      <c r="K4" s="688">
        <f t="shared" ref="K4:K7" si="0">D4/C4</f>
        <v>0.0453777142114159</v>
      </c>
      <c r="L4" s="687">
        <f t="shared" ref="L4:L7" si="1">B4/D4</f>
        <v>7.82650429799427</v>
      </c>
      <c r="M4" s="886">
        <f t="shared" ref="M4:M7" si="2">(B4/C4)*1000</f>
        <v>355.148875308802</v>
      </c>
      <c r="N4" s="887">
        <f t="shared" ref="N4:N7" si="3">F4/B4</f>
        <v>0</v>
      </c>
      <c r="O4" s="688">
        <f t="shared" ref="O4:O7" si="4">E4/D4</f>
        <v>0</v>
      </c>
      <c r="P4" s="888" t="e">
        <f t="shared" ref="P4:P7" si="5">F4/E4</f>
        <v>#DIV/0!</v>
      </c>
      <c r="Q4" s="687" t="e">
        <f t="shared" ref="Q4:Q7" si="6">B4/E4</f>
        <v>#DIV/0!</v>
      </c>
      <c r="R4" s="889">
        <f t="shared" ref="R4:R7" si="7">B4/G4</f>
        <v>1365.725</v>
      </c>
    </row>
    <row r="5" spans="1:19">
      <c r="A5" s="686" t="s">
        <v>20</v>
      </c>
      <c r="B5" s="687">
        <v>1952.96</v>
      </c>
      <c r="C5" s="883">
        <v>39544</v>
      </c>
      <c r="D5" s="884">
        <v>1253</v>
      </c>
      <c r="E5" s="686">
        <v>2</v>
      </c>
      <c r="F5" s="687">
        <v>198</v>
      </c>
      <c r="G5" s="691">
        <v>46</v>
      </c>
      <c r="H5" s="691">
        <v>4</v>
      </c>
      <c r="I5" s="686">
        <v>8</v>
      </c>
      <c r="J5" s="691"/>
      <c r="K5" s="688">
        <f t="shared" si="0"/>
        <v>0.0316862229415335</v>
      </c>
      <c r="L5" s="687">
        <f t="shared" si="1"/>
        <v>1.55862729449322</v>
      </c>
      <c r="M5" s="886">
        <f t="shared" si="2"/>
        <v>49.3870119360712</v>
      </c>
      <c r="N5" s="887">
        <f t="shared" si="3"/>
        <v>0.101384564968048</v>
      </c>
      <c r="O5" s="688">
        <f t="shared" si="4"/>
        <v>0.00159616919393456</v>
      </c>
      <c r="P5" s="687">
        <f t="shared" si="5"/>
        <v>99</v>
      </c>
      <c r="Q5" s="687">
        <f t="shared" si="6"/>
        <v>976.48</v>
      </c>
      <c r="R5" s="889">
        <f t="shared" si="7"/>
        <v>42.455652173913</v>
      </c>
    </row>
    <row r="6" spans="1:19">
      <c r="A6" s="686" t="s">
        <v>21</v>
      </c>
      <c r="B6" s="687" t="s">
        <v>18</v>
      </c>
      <c r="C6" s="687" t="s">
        <v>18</v>
      </c>
      <c r="D6" s="687" t="s">
        <v>18</v>
      </c>
      <c r="E6" s="687" t="s">
        <v>18</v>
      </c>
      <c r="F6" s="687" t="s">
        <v>18</v>
      </c>
      <c r="G6" s="687" t="s">
        <v>18</v>
      </c>
      <c r="H6" s="687" t="s">
        <v>18</v>
      </c>
      <c r="I6" s="687" t="s">
        <v>18</v>
      </c>
      <c r="J6" s="687"/>
      <c r="K6" s="687" t="s">
        <v>18</v>
      </c>
      <c r="L6" s="687" t="s">
        <v>18</v>
      </c>
      <c r="M6" s="687" t="s">
        <v>18</v>
      </c>
      <c r="N6" s="687" t="s">
        <v>18</v>
      </c>
      <c r="O6" s="687" t="s">
        <v>18</v>
      </c>
      <c r="P6" s="687" t="s">
        <v>18</v>
      </c>
      <c r="Q6" s="687" t="s">
        <v>18</v>
      </c>
      <c r="R6" s="687" t="s">
        <v>18</v>
      </c>
      <c r="S6" s="890"/>
    </row>
    <row r="7" spans="1:19">
      <c r="A7" s="891" t="s">
        <v>22</v>
      </c>
      <c r="B7" s="892">
        <f t="shared" ref="B7:I7" si="8">SUM(B3:B6)</f>
        <v>4690.46</v>
      </c>
      <c r="C7" s="893">
        <f t="shared" si="8"/>
        <v>48662</v>
      </c>
      <c r="D7" s="894">
        <f t="shared" si="8"/>
        <v>1603</v>
      </c>
      <c r="E7" s="891">
        <f t="shared" si="8"/>
        <v>2</v>
      </c>
      <c r="F7" s="892">
        <f t="shared" si="8"/>
        <v>198</v>
      </c>
      <c r="G7" s="895">
        <f t="shared" si="8"/>
        <v>48</v>
      </c>
      <c r="H7" s="895">
        <f t="shared" si="8"/>
        <v>6</v>
      </c>
      <c r="I7" s="891">
        <f t="shared" si="8"/>
        <v>19</v>
      </c>
      <c r="J7" s="895"/>
      <c r="K7" s="896">
        <f t="shared" si="0"/>
        <v>0.0329415149397887</v>
      </c>
      <c r="L7" s="892">
        <f t="shared" si="1"/>
        <v>2.92605115408609</v>
      </c>
      <c r="M7" s="897">
        <f t="shared" si="2"/>
        <v>96.388557806913</v>
      </c>
      <c r="N7" s="898">
        <f t="shared" si="3"/>
        <v>0.0422133436805772</v>
      </c>
      <c r="O7" s="896">
        <f t="shared" si="4"/>
        <v>0.00124766063630692</v>
      </c>
      <c r="P7" s="892">
        <f t="shared" si="5"/>
        <v>99</v>
      </c>
      <c r="Q7" s="899">
        <f t="shared" si="6"/>
        <v>2345.23</v>
      </c>
      <c r="R7" s="889">
        <f t="shared" si="7"/>
        <v>97.7179166666667</v>
      </c>
    </row>
    <row r="10" ht="41.4" spans="1:19">
      <c r="A10" s="868" t="s">
        <v>23</v>
      </c>
      <c r="B10" s="875" t="s">
        <v>1</v>
      </c>
      <c r="C10" s="876" t="s">
        <v>2</v>
      </c>
      <c r="D10" s="877" t="s">
        <v>3</v>
      </c>
      <c r="E10" s="868" t="s">
        <v>4</v>
      </c>
      <c r="F10" s="875" t="s">
        <v>5</v>
      </c>
      <c r="G10" s="878" t="s">
        <v>6</v>
      </c>
      <c r="H10" s="878" t="s">
        <v>7</v>
      </c>
      <c r="I10" s="868" t="s">
        <v>8</v>
      </c>
      <c r="J10" s="878"/>
      <c r="K10" s="879" t="s">
        <v>9</v>
      </c>
      <c r="L10" s="875" t="s">
        <v>10</v>
      </c>
      <c r="M10" s="880" t="s">
        <v>11</v>
      </c>
      <c r="N10" s="881" t="s">
        <v>12</v>
      </c>
      <c r="O10" s="879" t="s">
        <v>13</v>
      </c>
      <c r="P10" s="875" t="s">
        <v>14</v>
      </c>
      <c r="Q10" s="875" t="s">
        <v>15</v>
      </c>
      <c r="R10" s="868" t="s">
        <v>16</v>
      </c>
      <c r="S10" s="882"/>
    </row>
    <row r="11" spans="1:19">
      <c r="A11" s="686" t="s">
        <v>19</v>
      </c>
      <c r="B11" s="687">
        <v>22646</v>
      </c>
      <c r="C11" s="883">
        <v>24719</v>
      </c>
      <c r="D11" s="884">
        <v>1047</v>
      </c>
      <c r="E11" s="686">
        <v>1</v>
      </c>
      <c r="F11" s="687">
        <v>99</v>
      </c>
      <c r="G11" s="691">
        <v>13</v>
      </c>
      <c r="H11" s="691">
        <v>3</v>
      </c>
      <c r="I11" s="686">
        <v>20</v>
      </c>
      <c r="J11" s="691"/>
      <c r="K11" s="688">
        <f t="shared" ref="K11:K14" si="9">D11/C11</f>
        <v>0.0423560823657915</v>
      </c>
      <c r="L11" s="687">
        <f t="shared" ref="L11:L14" si="10">B11/D11</f>
        <v>21.629417382999</v>
      </c>
      <c r="M11" s="886">
        <f t="shared" ref="M11:M14" si="11">(B11/C11)*1000</f>
        <v>916.13738419839</v>
      </c>
      <c r="N11" s="887">
        <f t="shared" ref="N11:N14" si="12">F11/B11</f>
        <v>0.00437163295946304</v>
      </c>
      <c r="O11" s="688">
        <f t="shared" ref="O11:O14" si="13">E11/D11</f>
        <v>0.000955109837631328</v>
      </c>
      <c r="P11" s="888">
        <f t="shared" ref="P11:P14" si="14">F11/E11</f>
        <v>99</v>
      </c>
      <c r="Q11" s="687">
        <f t="shared" ref="Q11:Q14" si="15">B11/E11</f>
        <v>22646</v>
      </c>
      <c r="R11" s="889">
        <f t="shared" ref="R11:R14" si="16">B11/G11</f>
        <v>1742</v>
      </c>
    </row>
    <row r="12" spans="1:19">
      <c r="A12" s="686" t="s">
        <v>20</v>
      </c>
      <c r="B12" s="687">
        <v>5688.53</v>
      </c>
      <c r="C12" s="883">
        <v>84202</v>
      </c>
      <c r="D12" s="884">
        <v>2773</v>
      </c>
      <c r="E12" s="686">
        <v>2</v>
      </c>
      <c r="F12" s="687">
        <v>198</v>
      </c>
      <c r="G12" s="691">
        <v>51</v>
      </c>
      <c r="H12" s="691">
        <v>14</v>
      </c>
      <c r="I12" s="686">
        <v>14</v>
      </c>
      <c r="J12" s="691"/>
      <c r="K12" s="688">
        <f t="shared" si="9"/>
        <v>0.0329327094368305</v>
      </c>
      <c r="L12" s="687">
        <f t="shared" si="10"/>
        <v>2.05139920663541</v>
      </c>
      <c r="M12" s="886">
        <f t="shared" si="11"/>
        <v>67.5581340110686</v>
      </c>
      <c r="N12" s="887">
        <f t="shared" si="12"/>
        <v>0.034806883324866</v>
      </c>
      <c r="O12" s="688">
        <f t="shared" si="13"/>
        <v>0.000721240533717995</v>
      </c>
      <c r="P12" s="687">
        <f t="shared" si="14"/>
        <v>99</v>
      </c>
      <c r="Q12" s="687">
        <f t="shared" si="15"/>
        <v>2844.265</v>
      </c>
      <c r="R12" s="889">
        <f t="shared" si="16"/>
        <v>111.539803921569</v>
      </c>
    </row>
    <row r="13" spans="1:19">
      <c r="A13" s="686" t="s">
        <v>21</v>
      </c>
      <c r="B13" s="687">
        <v>1337.93</v>
      </c>
      <c r="C13" s="883">
        <v>197627</v>
      </c>
      <c r="D13" s="884">
        <v>1649</v>
      </c>
      <c r="E13" s="686">
        <v>0</v>
      </c>
      <c r="F13" s="687">
        <v>0</v>
      </c>
      <c r="G13" s="691">
        <v>8</v>
      </c>
      <c r="H13" s="691">
        <v>12</v>
      </c>
      <c r="I13" s="686">
        <v>2</v>
      </c>
      <c r="J13" s="691"/>
      <c r="K13" s="688">
        <f t="shared" si="9"/>
        <v>0.00834400157873165</v>
      </c>
      <c r="L13" s="687">
        <f t="shared" si="10"/>
        <v>0.811358399029715</v>
      </c>
      <c r="M13" s="886">
        <f t="shared" si="11"/>
        <v>6.76997576242113</v>
      </c>
      <c r="N13" s="887">
        <f t="shared" si="12"/>
        <v>0</v>
      </c>
      <c r="O13" s="688">
        <f t="shared" si="13"/>
        <v>0</v>
      </c>
      <c r="P13" s="888" t="e">
        <f t="shared" si="14"/>
        <v>#DIV/0!</v>
      </c>
      <c r="Q13" s="687" t="e">
        <f t="shared" si="15"/>
        <v>#DIV/0!</v>
      </c>
      <c r="R13" s="889">
        <f t="shared" si="16"/>
        <v>167.24125</v>
      </c>
    </row>
    <row r="14" spans="1:19">
      <c r="A14" s="891" t="s">
        <v>22</v>
      </c>
      <c r="B14" s="892">
        <f t="shared" ref="B14:I14" si="17">SUM(B11:B13)</f>
        <v>29672.46</v>
      </c>
      <c r="C14" s="893">
        <f t="shared" si="17"/>
        <v>306548</v>
      </c>
      <c r="D14" s="894">
        <f t="shared" si="17"/>
        <v>5469</v>
      </c>
      <c r="E14" s="891">
        <f t="shared" si="17"/>
        <v>3</v>
      </c>
      <c r="F14" s="892">
        <f t="shared" si="17"/>
        <v>297</v>
      </c>
      <c r="G14" s="895">
        <f t="shared" si="17"/>
        <v>72</v>
      </c>
      <c r="H14" s="895">
        <f t="shared" si="17"/>
        <v>29</v>
      </c>
      <c r="I14" s="891">
        <f t="shared" si="17"/>
        <v>36</v>
      </c>
      <c r="J14" s="895"/>
      <c r="K14" s="896">
        <f t="shared" si="9"/>
        <v>0.0178405991883816</v>
      </c>
      <c r="L14" s="892">
        <f t="shared" si="10"/>
        <v>5.42557323093801</v>
      </c>
      <c r="M14" s="897">
        <f t="shared" si="11"/>
        <v>96.7954773803776</v>
      </c>
      <c r="N14" s="898">
        <f t="shared" si="12"/>
        <v>0.0100092813336002</v>
      </c>
      <c r="O14" s="896">
        <f t="shared" si="13"/>
        <v>0.000548546352166758</v>
      </c>
      <c r="P14" s="892">
        <f t="shared" si="14"/>
        <v>99</v>
      </c>
      <c r="Q14" s="899">
        <f t="shared" si="15"/>
        <v>9890.82</v>
      </c>
      <c r="R14" s="889">
        <f t="shared" si="16"/>
        <v>412.1175</v>
      </c>
    </row>
    <row r="17" ht="41.4" spans="1:19">
      <c r="A17" s="868" t="s">
        <v>24</v>
      </c>
      <c r="B17" s="875" t="s">
        <v>1</v>
      </c>
      <c r="C17" s="876" t="s">
        <v>2</v>
      </c>
      <c r="D17" s="877" t="s">
        <v>3</v>
      </c>
      <c r="E17" s="868" t="s">
        <v>4</v>
      </c>
      <c r="F17" s="875" t="s">
        <v>5</v>
      </c>
      <c r="G17" s="878" t="s">
        <v>6</v>
      </c>
      <c r="H17" s="878" t="s">
        <v>7</v>
      </c>
      <c r="I17" s="868" t="s">
        <v>8</v>
      </c>
      <c r="J17" s="878"/>
      <c r="K17" s="879" t="s">
        <v>9</v>
      </c>
      <c r="L17" s="875" t="s">
        <v>10</v>
      </c>
      <c r="M17" s="880" t="s">
        <v>11</v>
      </c>
      <c r="N17" s="881" t="s">
        <v>12</v>
      </c>
      <c r="O17" s="879" t="s">
        <v>13</v>
      </c>
      <c r="P17" s="875" t="s">
        <v>14</v>
      </c>
      <c r="Q17" s="875" t="s">
        <v>15</v>
      </c>
      <c r="R17" s="868" t="s">
        <v>16</v>
      </c>
      <c r="S17" s="882"/>
    </row>
    <row r="18" spans="1:19">
      <c r="A18" s="686" t="s">
        <v>19</v>
      </c>
      <c r="B18" s="687">
        <v>2866.29</v>
      </c>
      <c r="C18" s="883">
        <v>12670</v>
      </c>
      <c r="D18" s="884">
        <v>404</v>
      </c>
      <c r="E18" s="686">
        <v>3</v>
      </c>
      <c r="F18" s="687">
        <v>600</v>
      </c>
      <c r="G18" s="691">
        <v>2</v>
      </c>
      <c r="H18" s="691">
        <v>1</v>
      </c>
      <c r="I18" s="686">
        <v>12</v>
      </c>
      <c r="J18" s="691"/>
      <c r="K18" s="688">
        <f t="shared" ref="K18:K21" si="18">D18/C18</f>
        <v>0.0318863456985004</v>
      </c>
      <c r="L18" s="687">
        <f t="shared" ref="L18:L21" si="19">B18/D18</f>
        <v>7.09477722772277</v>
      </c>
      <c r="M18" s="886">
        <f t="shared" ref="M18:M21" si="20">(B18/C18)*1000</f>
        <v>226.226519337017</v>
      </c>
      <c r="N18" s="887">
        <f t="shared" ref="N18:N21" si="21">F18/B18</f>
        <v>0.209329830547502</v>
      </c>
      <c r="O18" s="688">
        <f t="shared" ref="O18:O21" si="22">E18/D18</f>
        <v>0.00742574257425743</v>
      </c>
      <c r="P18" s="888">
        <f t="shared" ref="P18:P21" si="23">F18/E18</f>
        <v>200</v>
      </c>
      <c r="Q18" s="687">
        <f t="shared" ref="Q18:Q21" si="24">B18/E18</f>
        <v>955.43</v>
      </c>
      <c r="R18" s="889">
        <f t="shared" ref="R18:R21" si="25">B18/G18</f>
        <v>1433.145</v>
      </c>
    </row>
    <row r="19" spans="1:19">
      <c r="A19" s="686" t="s">
        <v>20</v>
      </c>
      <c r="B19" s="687">
        <v>3311.5</v>
      </c>
      <c r="C19" s="883">
        <v>120004</v>
      </c>
      <c r="D19" s="884">
        <v>2346</v>
      </c>
      <c r="E19" s="686">
        <v>0</v>
      </c>
      <c r="F19" s="687">
        <v>0</v>
      </c>
      <c r="G19" s="691">
        <v>1</v>
      </c>
      <c r="H19" s="691">
        <v>2</v>
      </c>
      <c r="I19" s="686">
        <v>8</v>
      </c>
      <c r="J19" s="691"/>
      <c r="K19" s="688">
        <f t="shared" si="18"/>
        <v>0.0195493483550548</v>
      </c>
      <c r="L19" s="687">
        <f t="shared" si="19"/>
        <v>1.4115515771526</v>
      </c>
      <c r="M19" s="886">
        <f t="shared" si="20"/>
        <v>27.5949135028832</v>
      </c>
      <c r="N19" s="887">
        <f t="shared" si="21"/>
        <v>0</v>
      </c>
      <c r="O19" s="688">
        <f t="shared" si="22"/>
        <v>0</v>
      </c>
      <c r="P19" s="687" t="e">
        <f t="shared" si="23"/>
        <v>#DIV/0!</v>
      </c>
      <c r="Q19" s="687" t="e">
        <f t="shared" si="24"/>
        <v>#DIV/0!</v>
      </c>
      <c r="R19" s="889">
        <f t="shared" si="25"/>
        <v>3311.5</v>
      </c>
    </row>
    <row r="20" spans="1:19">
      <c r="A20" s="686" t="s">
        <v>21</v>
      </c>
      <c r="B20" s="687">
        <v>2031.5</v>
      </c>
      <c r="C20" s="883">
        <v>219571</v>
      </c>
      <c r="D20" s="884">
        <v>1511</v>
      </c>
      <c r="E20" s="686">
        <v>0</v>
      </c>
      <c r="F20" s="687">
        <v>0</v>
      </c>
      <c r="G20" s="691">
        <v>2</v>
      </c>
      <c r="H20" s="691">
        <v>14</v>
      </c>
      <c r="I20" s="686">
        <v>0</v>
      </c>
      <c r="J20" s="691"/>
      <c r="K20" s="688">
        <f t="shared" si="18"/>
        <v>0.00688160094001485</v>
      </c>
      <c r="L20" s="687">
        <f t="shared" si="19"/>
        <v>1.34447385837194</v>
      </c>
      <c r="M20" s="886">
        <f t="shared" si="20"/>
        <v>9.25213256759772</v>
      </c>
      <c r="N20" s="887">
        <f t="shared" si="21"/>
        <v>0</v>
      </c>
      <c r="O20" s="688">
        <f t="shared" si="22"/>
        <v>0</v>
      </c>
      <c r="P20" s="888" t="e">
        <f t="shared" si="23"/>
        <v>#DIV/0!</v>
      </c>
      <c r="Q20" s="687" t="e">
        <f t="shared" si="24"/>
        <v>#DIV/0!</v>
      </c>
      <c r="R20" s="889">
        <f t="shared" si="25"/>
        <v>1015.75</v>
      </c>
    </row>
    <row r="21" spans="1:19">
      <c r="A21" s="891" t="s">
        <v>22</v>
      </c>
      <c r="B21" s="892">
        <f t="shared" ref="B21:I21" si="26">SUM(B18:B20)</f>
        <v>8209.29</v>
      </c>
      <c r="C21" s="893">
        <f t="shared" si="26"/>
        <v>352245</v>
      </c>
      <c r="D21" s="894">
        <f t="shared" si="26"/>
        <v>4261</v>
      </c>
      <c r="E21" s="891">
        <f t="shared" si="26"/>
        <v>3</v>
      </c>
      <c r="F21" s="892">
        <f t="shared" si="26"/>
        <v>600</v>
      </c>
      <c r="G21" s="895">
        <f t="shared" si="26"/>
        <v>5</v>
      </c>
      <c r="H21" s="895">
        <f t="shared" si="26"/>
        <v>17</v>
      </c>
      <c r="I21" s="891">
        <f t="shared" si="26"/>
        <v>20</v>
      </c>
      <c r="J21" s="895"/>
      <c r="K21" s="896">
        <f t="shared" si="18"/>
        <v>0.0120966940623714</v>
      </c>
      <c r="L21" s="892">
        <f t="shared" si="19"/>
        <v>1.92661112414926</v>
      </c>
      <c r="M21" s="897">
        <f t="shared" si="20"/>
        <v>23.305625345995</v>
      </c>
      <c r="N21" s="898">
        <f t="shared" si="21"/>
        <v>0.0730879284323005</v>
      </c>
      <c r="O21" s="896">
        <f t="shared" si="22"/>
        <v>0.000704060079793476</v>
      </c>
      <c r="P21" s="892">
        <f t="shared" si="23"/>
        <v>200</v>
      </c>
      <c r="Q21" s="899">
        <f t="shared" si="24"/>
        <v>2736.43</v>
      </c>
      <c r="R21" s="889">
        <f t="shared" si="25"/>
        <v>1641.858</v>
      </c>
    </row>
    <row r="25" spans="1:19">
      <c r="A25" s="900" t="s">
        <v>25</v>
      </c>
    </row>
    <row r="26" ht="41.4" spans="1:19">
      <c r="A26" s="868" t="s">
        <v>26</v>
      </c>
      <c r="B26" s="875" t="s">
        <v>1</v>
      </c>
      <c r="C26" s="876" t="s">
        <v>2</v>
      </c>
      <c r="D26" s="877" t="s">
        <v>3</v>
      </c>
      <c r="E26" s="868" t="s">
        <v>4</v>
      </c>
      <c r="F26" s="875" t="s">
        <v>5</v>
      </c>
      <c r="G26" s="878" t="s">
        <v>6</v>
      </c>
      <c r="H26" s="878" t="s">
        <v>7</v>
      </c>
      <c r="I26" s="868" t="s">
        <v>8</v>
      </c>
      <c r="J26" s="878"/>
      <c r="K26" s="879" t="s">
        <v>9</v>
      </c>
      <c r="L26" s="875" t="s">
        <v>10</v>
      </c>
      <c r="M26" s="880" t="s">
        <v>11</v>
      </c>
      <c r="N26" s="881" t="s">
        <v>12</v>
      </c>
      <c r="O26" s="879" t="s">
        <v>13</v>
      </c>
      <c r="P26" s="875" t="s">
        <v>14</v>
      </c>
      <c r="Q26" s="875" t="s">
        <v>15</v>
      </c>
      <c r="R26" s="868" t="s">
        <v>16</v>
      </c>
      <c r="S26" s="882"/>
    </row>
    <row r="27" spans="1:19">
      <c r="A27" s="686" t="s">
        <v>19</v>
      </c>
      <c r="B27" s="685">
        <f>SUM(明星店铺!B514:B522)</f>
        <v>496.42</v>
      </c>
      <c r="C27" s="901">
        <f>SUM(明星店铺!C514:C522)</f>
        <v>670</v>
      </c>
      <c r="D27" s="901">
        <f>SUM(明星店铺!D514:D522)</f>
        <v>180</v>
      </c>
      <c r="E27" s="690">
        <f>SUM(明星店铺!E514:E522)</f>
        <v>3</v>
      </c>
      <c r="F27" s="685">
        <f>SUM(明星店铺!F514:F522)</f>
        <v>3</v>
      </c>
      <c r="G27" s="690">
        <f>SUM(明星店铺!G514:G522)</f>
        <v>38</v>
      </c>
      <c r="H27" s="690">
        <f>SUM(明星店铺!H514:H522)</f>
        <v>8</v>
      </c>
      <c r="I27" s="690">
        <f>SUM(明星店铺!I514:I522)</f>
        <v>6</v>
      </c>
      <c r="J27" s="690"/>
      <c r="K27" s="688">
        <f t="shared" ref="K27:K31" si="27">D27/C27</f>
        <v>0.26865671641791</v>
      </c>
      <c r="L27" s="685">
        <f t="shared" ref="L27:L31" si="28">B27/D27</f>
        <v>2.75788888888889</v>
      </c>
      <c r="M27" s="886">
        <f t="shared" ref="M27:M31" si="29">(B27/C27)*1000</f>
        <v>740.925373134328</v>
      </c>
      <c r="N27" s="887">
        <f t="shared" ref="N27:N31" si="30">F27/B27</f>
        <v>0.00604326981185287</v>
      </c>
      <c r="O27" s="688">
        <f t="shared" ref="O27:O31" si="31">E27/D27</f>
        <v>0.0166666666666667</v>
      </c>
      <c r="P27" s="685">
        <f t="shared" ref="P27:P31" si="32">F27/E27</f>
        <v>1</v>
      </c>
      <c r="Q27" s="685">
        <f t="shared" ref="Q27:Q31" si="33">B27/E27</f>
        <v>165.473333333333</v>
      </c>
      <c r="R27" s="902">
        <f t="shared" ref="R27:R31" si="34">B27/G27</f>
        <v>13.0636842105263</v>
      </c>
    </row>
    <row r="28" spans="1:19">
      <c r="A28" s="686" t="s">
        <v>20</v>
      </c>
      <c r="B28" s="685">
        <f>SUM(直通车!B514:B522)</f>
        <v>8646.78</v>
      </c>
      <c r="C28" s="901">
        <f>SUM(直通车!C514:C522)</f>
        <v>32943</v>
      </c>
      <c r="D28" s="901">
        <f>SUM(直通车!D514:D522)</f>
        <v>2523</v>
      </c>
      <c r="E28" s="690">
        <f>SUM(直通车!E514:E522)</f>
        <v>1</v>
      </c>
      <c r="F28" s="685">
        <f>SUM(直通车!F514:F522)</f>
        <v>1</v>
      </c>
      <c r="G28" s="690">
        <f>SUM(直通车!G514:G522)</f>
        <v>62</v>
      </c>
      <c r="H28" s="690">
        <f>SUM(直通车!H514:H522)</f>
        <v>37</v>
      </c>
      <c r="I28" s="690">
        <f>SUM(直通车!I514:I522)</f>
        <v>12</v>
      </c>
      <c r="J28" s="690"/>
      <c r="K28" s="688">
        <f t="shared" si="27"/>
        <v>0.0765868318003825</v>
      </c>
      <c r="L28" s="685">
        <f t="shared" si="28"/>
        <v>3.42718192627824</v>
      </c>
      <c r="M28" s="886">
        <f t="shared" si="29"/>
        <v>262.477005737182</v>
      </c>
      <c r="N28" s="887">
        <f t="shared" si="30"/>
        <v>0.000115649987625451</v>
      </c>
      <c r="O28" s="688">
        <f t="shared" si="31"/>
        <v>0.000396353547364249</v>
      </c>
      <c r="P28" s="685">
        <f t="shared" si="32"/>
        <v>1</v>
      </c>
      <c r="Q28" s="685">
        <f t="shared" si="33"/>
        <v>8646.78</v>
      </c>
      <c r="R28" s="902">
        <f t="shared" si="34"/>
        <v>139.464193548387</v>
      </c>
    </row>
    <row r="29" spans="1:19">
      <c r="A29" s="686" t="s">
        <v>21</v>
      </c>
      <c r="B29" s="685">
        <f>SUM(引力魔方!B413:B421)</f>
        <v>4176.9</v>
      </c>
      <c r="C29" s="901">
        <f>SUM(引力魔方!C413:C421)</f>
        <v>444197</v>
      </c>
      <c r="D29" s="901">
        <f>SUM(引力魔方!D413:D421)</f>
        <v>2732</v>
      </c>
      <c r="E29" s="690">
        <f>SUM(引力魔方!E413:E421)</f>
        <v>0</v>
      </c>
      <c r="F29" s="685">
        <f>SUM(引力魔方!F413:F421)</f>
        <v>0</v>
      </c>
      <c r="G29" s="690">
        <f>SUM(引力魔方!G413:G421)</f>
        <v>25</v>
      </c>
      <c r="H29" s="690">
        <f>SUM(引力魔方!H413:H421)</f>
        <v>14</v>
      </c>
      <c r="I29" s="690">
        <f>SUM(引力魔方!I413:I421)</f>
        <v>2</v>
      </c>
      <c r="J29" s="690"/>
      <c r="K29" s="688">
        <f t="shared" si="27"/>
        <v>0.00615042424870046</v>
      </c>
      <c r="L29" s="685">
        <f t="shared" si="28"/>
        <v>1.52887994143485</v>
      </c>
      <c r="M29" s="886">
        <f t="shared" si="29"/>
        <v>9.40326026515262</v>
      </c>
      <c r="N29" s="887">
        <f t="shared" si="30"/>
        <v>0</v>
      </c>
      <c r="O29" s="688">
        <f t="shared" si="31"/>
        <v>0</v>
      </c>
      <c r="P29" s="685" t="e">
        <f t="shared" si="32"/>
        <v>#DIV/0!</v>
      </c>
      <c r="Q29" s="685" t="e">
        <f t="shared" si="33"/>
        <v>#DIV/0!</v>
      </c>
      <c r="R29" s="902">
        <f t="shared" si="34"/>
        <v>167.076</v>
      </c>
    </row>
    <row r="30" spans="1:19">
      <c r="A30" s="686" t="s">
        <v>27</v>
      </c>
      <c r="B30" s="685">
        <f>SUM(万相台!B2:B10)</f>
        <v>1014.03</v>
      </c>
      <c r="C30" s="901">
        <f>SUM(万相台!C2:C10)</f>
        <v>96394</v>
      </c>
      <c r="D30" s="901">
        <f>SUM(万相台!D2:D10)</f>
        <v>1126</v>
      </c>
      <c r="E30" s="690">
        <f>SUM(万相台!E2:E10)</f>
        <v>0</v>
      </c>
      <c r="F30" s="685">
        <f>SUM(万相台!F2:F10)</f>
        <v>0</v>
      </c>
      <c r="G30" s="690">
        <f>SUM(万相台!G2:G10)</f>
        <v>22</v>
      </c>
      <c r="H30" s="690">
        <f>SUM(万相台!H2:H10)</f>
        <v>12</v>
      </c>
      <c r="I30" s="690"/>
      <c r="J30" s="690"/>
      <c r="K30" s="688">
        <f t="shared" si="27"/>
        <v>0.0116812249725087</v>
      </c>
      <c r="L30" s="685">
        <f t="shared" si="28"/>
        <v>0.900559502664298</v>
      </c>
      <c r="M30" s="886">
        <f t="shared" si="29"/>
        <v>10.5196381517522</v>
      </c>
      <c r="N30" s="887">
        <f t="shared" si="30"/>
        <v>0</v>
      </c>
      <c r="O30" s="688">
        <f t="shared" si="31"/>
        <v>0</v>
      </c>
      <c r="P30" s="685" t="e">
        <f t="shared" si="32"/>
        <v>#DIV/0!</v>
      </c>
      <c r="Q30" s="685" t="e">
        <f t="shared" si="33"/>
        <v>#DIV/0!</v>
      </c>
      <c r="R30" s="902">
        <f t="shared" si="34"/>
        <v>46.0922727272727</v>
      </c>
    </row>
    <row r="31" spans="1:19">
      <c r="A31" s="891" t="s">
        <v>22</v>
      </c>
      <c r="B31" s="903">
        <f t="shared" ref="B31:I31" si="35">SUM(B27:B30)</f>
        <v>14334.13</v>
      </c>
      <c r="C31" s="904">
        <f t="shared" si="35"/>
        <v>574204</v>
      </c>
      <c r="D31" s="904">
        <f t="shared" si="35"/>
        <v>6561</v>
      </c>
      <c r="E31" s="904">
        <f t="shared" si="35"/>
        <v>4</v>
      </c>
      <c r="F31" s="903">
        <f t="shared" si="35"/>
        <v>4</v>
      </c>
      <c r="G31" s="904">
        <f t="shared" si="35"/>
        <v>147</v>
      </c>
      <c r="H31" s="904">
        <f t="shared" si="35"/>
        <v>71</v>
      </c>
      <c r="I31" s="904">
        <f t="shared" si="35"/>
        <v>20</v>
      </c>
      <c r="J31" s="904"/>
      <c r="K31" s="896">
        <f t="shared" si="27"/>
        <v>0.0114262526906814</v>
      </c>
      <c r="L31" s="903">
        <f t="shared" si="28"/>
        <v>2.18474775186709</v>
      </c>
      <c r="M31" s="897">
        <f t="shared" si="29"/>
        <v>24.9634798782314</v>
      </c>
      <c r="N31" s="898">
        <f t="shared" si="30"/>
        <v>0.000279054257216866</v>
      </c>
      <c r="O31" s="896">
        <f t="shared" si="31"/>
        <v>0.00060966316110349</v>
      </c>
      <c r="P31" s="903">
        <f t="shared" si="32"/>
        <v>1</v>
      </c>
      <c r="Q31" s="903">
        <f t="shared" si="33"/>
        <v>3583.5325</v>
      </c>
      <c r="R31" s="902">
        <f t="shared" si="34"/>
        <v>97.5110884353742</v>
      </c>
    </row>
    <row r="32" spans="1:19">
      <c r="A32" s="900"/>
      <c r="B32" s="905"/>
      <c r="C32" s="906"/>
      <c r="D32" s="906"/>
      <c r="E32" s="906"/>
      <c r="F32" s="905"/>
      <c r="G32" s="906"/>
      <c r="H32" s="906"/>
      <c r="I32" s="906"/>
      <c r="J32" s="906"/>
      <c r="K32" s="907"/>
      <c r="L32" s="905"/>
      <c r="M32" s="908"/>
      <c r="N32" s="909"/>
      <c r="O32" s="907"/>
      <c r="P32" s="910"/>
      <c r="Q32" s="905"/>
      <c r="R32" s="911"/>
    </row>
    <row r="33" ht="41.4" spans="1:19">
      <c r="A33" s="868" t="s">
        <v>28</v>
      </c>
      <c r="B33" s="869" t="s">
        <v>1</v>
      </c>
      <c r="C33" s="870" t="s">
        <v>2</v>
      </c>
      <c r="D33" s="870" t="s">
        <v>3</v>
      </c>
      <c r="E33" s="871" t="s">
        <v>4</v>
      </c>
      <c r="F33" s="869" t="s">
        <v>5</v>
      </c>
      <c r="G33" s="871" t="s">
        <v>6</v>
      </c>
      <c r="H33" s="871" t="s">
        <v>7</v>
      </c>
      <c r="I33" s="871" t="s">
        <v>8</v>
      </c>
      <c r="J33" s="871" t="s">
        <v>34</v>
      </c>
      <c r="K33" s="879" t="s">
        <v>9</v>
      </c>
      <c r="L33" s="869" t="s">
        <v>10</v>
      </c>
      <c r="M33" s="880" t="s">
        <v>11</v>
      </c>
      <c r="N33" s="881" t="s">
        <v>12</v>
      </c>
      <c r="O33" s="879" t="s">
        <v>13</v>
      </c>
      <c r="P33" s="875" t="s">
        <v>14</v>
      </c>
      <c r="Q33" s="869" t="s">
        <v>15</v>
      </c>
      <c r="R33" s="912" t="s">
        <v>16</v>
      </c>
      <c r="S33" s="882"/>
    </row>
    <row r="34" spans="1:19">
      <c r="A34" s="686" t="s">
        <v>19</v>
      </c>
      <c r="B34" s="685">
        <f>SUM(明星店铺!B523:B552)</f>
        <v>1129.72</v>
      </c>
      <c r="C34" s="901">
        <f>SUM(明星店铺!C523:C552)</f>
        <v>1507</v>
      </c>
      <c r="D34" s="901">
        <f>SUM(明星店铺!D523:D552)</f>
        <v>586</v>
      </c>
      <c r="E34" s="690">
        <f>SUM(明星店铺!E523:E552)</f>
        <v>5</v>
      </c>
      <c r="F34" s="685">
        <f>SUM(明星店铺!F523:F552)</f>
        <v>7282.8</v>
      </c>
      <c r="G34" s="690">
        <f>SUM(明星店铺!G523:G552)</f>
        <v>84</v>
      </c>
      <c r="H34" s="690">
        <f>SUM(明星店铺!H523:H552)</f>
        <v>17</v>
      </c>
      <c r="I34" s="690">
        <f>SUM(明星店铺!I523:I552)</f>
        <v>26</v>
      </c>
      <c r="J34" s="872">
        <f t="shared" ref="J34:J38" si="36">H34+I34</f>
        <v>43</v>
      </c>
      <c r="K34" s="688">
        <f t="shared" ref="K34:K38" si="37">D34/C34</f>
        <v>0.38885202388852</v>
      </c>
      <c r="L34" s="685">
        <f t="shared" ref="L34:L38" si="38">B34/D34</f>
        <v>1.92784982935154</v>
      </c>
      <c r="M34" s="886">
        <f t="shared" ref="M34:M38" si="39">(B34/C34)*1000</f>
        <v>749.648307896483</v>
      </c>
      <c r="N34" s="887">
        <f t="shared" ref="N34:N38" si="40">F34/B34</f>
        <v>6.44655312820876</v>
      </c>
      <c r="O34" s="688">
        <f t="shared" ref="O34:O38" si="41">E34/D34</f>
        <v>0.00853242320819113</v>
      </c>
      <c r="P34" s="685">
        <f t="shared" ref="P34:P38" si="42">F34/E34</f>
        <v>1456.56</v>
      </c>
      <c r="Q34" s="685">
        <f t="shared" ref="Q34:Q38" si="43">B34/E34</f>
        <v>225.944</v>
      </c>
      <c r="R34" s="902">
        <f t="shared" ref="R34:R38" si="44">B34/G34</f>
        <v>13.4490476190476</v>
      </c>
    </row>
    <row r="35" spans="1:19">
      <c r="A35" s="686" t="s">
        <v>20</v>
      </c>
      <c r="B35" s="685">
        <f>SUM(直通车!B523:B552)</f>
        <v>38763.28</v>
      </c>
      <c r="C35" s="901">
        <f>SUM(直通车!C523:C552)</f>
        <v>174099</v>
      </c>
      <c r="D35" s="901">
        <f>SUM(直通车!D523:D552)</f>
        <v>10706</v>
      </c>
      <c r="E35" s="690">
        <f>SUM(直通车!E523:E552)</f>
        <v>19</v>
      </c>
      <c r="F35" s="685">
        <f>SUM(直通车!F523:F552)</f>
        <v>24965.1</v>
      </c>
      <c r="G35" s="690">
        <f>SUM(直通车!G523:G552)</f>
        <v>252</v>
      </c>
      <c r="H35" s="690">
        <f>SUM(直通车!H523:H552)</f>
        <v>177</v>
      </c>
      <c r="I35" s="690">
        <f>SUM(直通车!I523:I552)</f>
        <v>88</v>
      </c>
      <c r="J35" s="872">
        <f t="shared" si="36"/>
        <v>265</v>
      </c>
      <c r="K35" s="688">
        <f t="shared" si="37"/>
        <v>0.061493747810154</v>
      </c>
      <c r="L35" s="685">
        <f t="shared" si="38"/>
        <v>3.62070614608631</v>
      </c>
      <c r="M35" s="886">
        <f t="shared" si="39"/>
        <v>222.650790642106</v>
      </c>
      <c r="N35" s="887">
        <f t="shared" si="40"/>
        <v>0.644039926445853</v>
      </c>
      <c r="O35" s="688">
        <f t="shared" si="41"/>
        <v>0.00177470577246404</v>
      </c>
      <c r="P35" s="685">
        <f t="shared" si="42"/>
        <v>1313.95263157895</v>
      </c>
      <c r="Q35" s="685">
        <f t="shared" si="43"/>
        <v>2040.17263157895</v>
      </c>
      <c r="R35" s="902">
        <f t="shared" si="44"/>
        <v>153.82253968254</v>
      </c>
    </row>
    <row r="36" spans="1:19">
      <c r="A36" s="686" t="s">
        <v>21</v>
      </c>
      <c r="B36" s="685">
        <f>SUM(引力魔方!B422:B451)</f>
        <v>21321.69</v>
      </c>
      <c r="C36" s="901">
        <f>SUM(引力魔方!C422:C451)</f>
        <v>1533981</v>
      </c>
      <c r="D36" s="901">
        <f>SUM(引力魔方!D422:D451)</f>
        <v>11155</v>
      </c>
      <c r="E36" s="690">
        <f>SUM(引力魔方!E422:E451)</f>
        <v>0</v>
      </c>
      <c r="F36" s="685">
        <f>SUM(引力魔方!F422:F451)</f>
        <v>0</v>
      </c>
      <c r="G36" s="690">
        <f>SUM(引力魔方!G422:G451)</f>
        <v>103</v>
      </c>
      <c r="H36" s="690">
        <f>SUM(引力魔方!H422:H451)</f>
        <v>64</v>
      </c>
      <c r="I36" s="690">
        <f>SUM(引力魔方!I422:I451)</f>
        <v>16</v>
      </c>
      <c r="J36" s="872">
        <f t="shared" si="36"/>
        <v>80</v>
      </c>
      <c r="K36" s="688">
        <f t="shared" si="37"/>
        <v>0.00727192840067771</v>
      </c>
      <c r="L36" s="685">
        <f t="shared" si="38"/>
        <v>1.91140206185567</v>
      </c>
      <c r="M36" s="886">
        <f t="shared" si="39"/>
        <v>13.8995789387222</v>
      </c>
      <c r="N36" s="887">
        <f t="shared" si="40"/>
        <v>0</v>
      </c>
      <c r="O36" s="688">
        <f t="shared" si="41"/>
        <v>0</v>
      </c>
      <c r="P36" s="685" t="e">
        <f t="shared" si="42"/>
        <v>#DIV/0!</v>
      </c>
      <c r="Q36" s="685" t="e">
        <f t="shared" si="43"/>
        <v>#DIV/0!</v>
      </c>
      <c r="R36" s="902">
        <f t="shared" si="44"/>
        <v>207.006699029126</v>
      </c>
    </row>
    <row r="37" spans="1:19">
      <c r="A37" s="686" t="s">
        <v>27</v>
      </c>
      <c r="B37" s="685">
        <f>SUM(万相台!B11:B40)</f>
        <v>6066.03</v>
      </c>
      <c r="C37" s="901">
        <f>SUM(万相台!C11:C40)</f>
        <v>756412</v>
      </c>
      <c r="D37" s="901">
        <f>SUM(万相台!D11:D40)</f>
        <v>9008</v>
      </c>
      <c r="E37" s="690">
        <f>SUM(万相台!E11:E40)</f>
        <v>7</v>
      </c>
      <c r="F37" s="685">
        <f>SUM(万相台!F11:F40)</f>
        <v>6379.9</v>
      </c>
      <c r="G37" s="690">
        <f>SUM(万相台!G11:G40)</f>
        <v>115</v>
      </c>
      <c r="H37" s="690">
        <f>SUM(万相台!H11:H40)</f>
        <v>96</v>
      </c>
      <c r="I37" s="690"/>
      <c r="J37" s="872">
        <f t="shared" si="36"/>
        <v>96</v>
      </c>
      <c r="K37" s="688">
        <f t="shared" si="37"/>
        <v>0.0119088539050147</v>
      </c>
      <c r="L37" s="685">
        <f t="shared" si="38"/>
        <v>0.673404751332149</v>
      </c>
      <c r="M37" s="886">
        <f t="shared" si="39"/>
        <v>8.01947880255734</v>
      </c>
      <c r="N37" s="887">
        <f t="shared" si="40"/>
        <v>1.05174224327938</v>
      </c>
      <c r="O37" s="688">
        <f t="shared" si="41"/>
        <v>0.00077708703374778</v>
      </c>
      <c r="P37" s="685">
        <f t="shared" si="42"/>
        <v>911.414285714286</v>
      </c>
      <c r="Q37" s="685">
        <f t="shared" si="43"/>
        <v>866.575714285714</v>
      </c>
      <c r="R37" s="902">
        <f t="shared" si="44"/>
        <v>52.7480869565217</v>
      </c>
    </row>
    <row r="38" spans="1:19">
      <c r="A38" s="891" t="s">
        <v>22</v>
      </c>
      <c r="B38" s="903">
        <f t="shared" ref="B38:I38" si="45">SUM(B34:B37)</f>
        <v>67280.72</v>
      </c>
      <c r="C38" s="904">
        <f t="shared" si="45"/>
        <v>2465999</v>
      </c>
      <c r="D38" s="904">
        <f t="shared" si="45"/>
        <v>31455</v>
      </c>
      <c r="E38" s="904">
        <f t="shared" si="45"/>
        <v>31</v>
      </c>
      <c r="F38" s="903">
        <f t="shared" si="45"/>
        <v>38627.8</v>
      </c>
      <c r="G38" s="904">
        <f t="shared" si="45"/>
        <v>554</v>
      </c>
      <c r="H38" s="904">
        <f t="shared" si="45"/>
        <v>354</v>
      </c>
      <c r="I38" s="904">
        <f t="shared" si="45"/>
        <v>130</v>
      </c>
      <c r="J38" s="904">
        <f t="shared" si="36"/>
        <v>484</v>
      </c>
      <c r="K38" s="896">
        <f t="shared" si="37"/>
        <v>0.0127554796250931</v>
      </c>
      <c r="L38" s="903">
        <f t="shared" si="38"/>
        <v>2.13895151804165</v>
      </c>
      <c r="M38" s="897">
        <f t="shared" si="39"/>
        <v>27.2833525074422</v>
      </c>
      <c r="N38" s="898">
        <f t="shared" si="40"/>
        <v>0.574128814317088</v>
      </c>
      <c r="O38" s="896">
        <f t="shared" si="41"/>
        <v>0.00098553489111429</v>
      </c>
      <c r="P38" s="903">
        <f t="shared" si="42"/>
        <v>1246.05806451613</v>
      </c>
      <c r="Q38" s="903">
        <f t="shared" si="43"/>
        <v>2170.34580645161</v>
      </c>
      <c r="R38" s="902">
        <f t="shared" si="44"/>
        <v>121.445342960289</v>
      </c>
    </row>
    <row r="39" spans="1:19">
      <c r="A39" s="900"/>
      <c r="B39" s="905"/>
      <c r="C39" s="906"/>
      <c r="D39" s="906"/>
      <c r="E39" s="906"/>
      <c r="F39" s="905"/>
      <c r="G39" s="906"/>
      <c r="H39" s="906"/>
      <c r="I39" s="906"/>
      <c r="J39" s="906"/>
      <c r="K39" s="907"/>
      <c r="L39" s="905"/>
      <c r="M39" s="908"/>
      <c r="N39" s="909"/>
      <c r="O39" s="907"/>
      <c r="P39" s="910"/>
      <c r="Q39" s="905"/>
      <c r="R39" s="911"/>
    </row>
    <row r="40" ht="41.4" spans="1:19">
      <c r="A40" s="868" t="s">
        <v>29</v>
      </c>
      <c r="B40" s="869" t="s">
        <v>1</v>
      </c>
      <c r="C40" s="870" t="s">
        <v>2</v>
      </c>
      <c r="D40" s="870" t="s">
        <v>3</v>
      </c>
      <c r="E40" s="871" t="s">
        <v>4</v>
      </c>
      <c r="F40" s="869" t="s">
        <v>5</v>
      </c>
      <c r="G40" s="871" t="s">
        <v>6</v>
      </c>
      <c r="H40" s="871" t="s">
        <v>7</v>
      </c>
      <c r="I40" s="871" t="s">
        <v>8</v>
      </c>
      <c r="J40" s="871" t="s">
        <v>34</v>
      </c>
      <c r="K40" s="879" t="s">
        <v>9</v>
      </c>
      <c r="L40" s="869" t="s">
        <v>10</v>
      </c>
      <c r="M40" s="880" t="s">
        <v>11</v>
      </c>
      <c r="N40" s="881" t="s">
        <v>12</v>
      </c>
      <c r="O40" s="879" t="s">
        <v>13</v>
      </c>
      <c r="P40" s="875" t="s">
        <v>14</v>
      </c>
      <c r="Q40" s="869" t="s">
        <v>15</v>
      </c>
      <c r="R40" s="912" t="s">
        <v>16</v>
      </c>
      <c r="S40" s="882"/>
    </row>
    <row r="41" spans="1:19">
      <c r="A41" s="686" t="s">
        <v>19</v>
      </c>
      <c r="B41" s="685">
        <f>SUM(明星店铺!B553:B583)</f>
        <v>8005.24</v>
      </c>
      <c r="C41" s="901">
        <f>SUM(明星店铺!C553:C583)</f>
        <v>9248</v>
      </c>
      <c r="D41" s="901">
        <f>SUM(明星店铺!D553:D583)</f>
        <v>3856</v>
      </c>
      <c r="E41" s="690">
        <f>SUM(明星店铺!E553:E583)</f>
        <v>129</v>
      </c>
      <c r="F41" s="685">
        <f>SUM(明星店铺!F553:F583)</f>
        <v>1401487.2</v>
      </c>
      <c r="G41" s="690">
        <f>SUM(明星店铺!G553:G583)</f>
        <v>747</v>
      </c>
      <c r="H41" s="690">
        <f>SUM(明星店铺!H553:H583)</f>
        <v>232</v>
      </c>
      <c r="I41" s="690">
        <f>SUM(明星店铺!I553:I583)</f>
        <v>442</v>
      </c>
      <c r="J41" s="872">
        <f t="shared" ref="J41:J45" si="46">H41+I41</f>
        <v>674</v>
      </c>
      <c r="K41" s="688">
        <f t="shared" ref="K41:K45" si="47">D41/C41</f>
        <v>0.416955017301038</v>
      </c>
      <c r="L41" s="685">
        <f t="shared" ref="L41:L45" si="48">B41/D41</f>
        <v>2.07604771784232</v>
      </c>
      <c r="M41" s="886">
        <f t="shared" ref="M41:M45" si="49">(B41/C41)*1000</f>
        <v>865.618512110727</v>
      </c>
      <c r="N41" s="887">
        <f t="shared" ref="N41:N45" si="50">F41/B41</f>
        <v>175.071228345434</v>
      </c>
      <c r="O41" s="688">
        <f t="shared" ref="O41:O45" si="51">E41/D41</f>
        <v>0.033454356846473</v>
      </c>
      <c r="P41" s="685">
        <f t="shared" ref="P41:P45" si="52">F41/E41</f>
        <v>10864.2418604651</v>
      </c>
      <c r="Q41" s="685">
        <f t="shared" ref="Q41:Q45" si="53">B41/E41</f>
        <v>62.0561240310077</v>
      </c>
      <c r="R41" s="902">
        <f t="shared" ref="R41:R45" si="54">B41/G41</f>
        <v>10.7165194109772</v>
      </c>
    </row>
    <row r="42" spans="1:19">
      <c r="A42" s="686" t="s">
        <v>20</v>
      </c>
      <c r="B42" s="685">
        <f>SUM(直通车!B553:B583)</f>
        <v>57558.86</v>
      </c>
      <c r="C42" s="901">
        <f>SUM(直通车!C553:C583)</f>
        <v>219210</v>
      </c>
      <c r="D42" s="901">
        <f>SUM(直通车!D553:D583)</f>
        <v>18951</v>
      </c>
      <c r="E42" s="690">
        <f>SUM(直通车!E553:E583)</f>
        <v>133</v>
      </c>
      <c r="F42" s="685">
        <f>SUM(直通车!F553:F583)</f>
        <v>1640797.3</v>
      </c>
      <c r="G42" s="690">
        <f>SUM(直通车!G553:G583)</f>
        <v>924</v>
      </c>
      <c r="H42" s="690">
        <f>SUM(直通车!H553:H583)</f>
        <v>626</v>
      </c>
      <c r="I42" s="690">
        <f>SUM(直通车!I553:I583)</f>
        <v>336</v>
      </c>
      <c r="J42" s="872">
        <f t="shared" si="46"/>
        <v>962</v>
      </c>
      <c r="K42" s="688">
        <f t="shared" si="47"/>
        <v>0.0864513480224442</v>
      </c>
      <c r="L42" s="685">
        <f t="shared" si="48"/>
        <v>3.03724658329376</v>
      </c>
      <c r="M42" s="886">
        <f t="shared" si="49"/>
        <v>262.574061402308</v>
      </c>
      <c r="N42" s="887">
        <f t="shared" si="50"/>
        <v>28.5064245539262</v>
      </c>
      <c r="O42" s="688">
        <f t="shared" si="51"/>
        <v>0.0070180993087436</v>
      </c>
      <c r="P42" s="685">
        <f t="shared" si="52"/>
        <v>12336.8218045113</v>
      </c>
      <c r="Q42" s="685">
        <f t="shared" si="53"/>
        <v>432.773383458647</v>
      </c>
      <c r="R42" s="902">
        <f t="shared" si="54"/>
        <v>62.2931385281385</v>
      </c>
    </row>
    <row r="43" spans="1:19">
      <c r="A43" s="686" t="s">
        <v>21</v>
      </c>
      <c r="B43" s="685">
        <f>SUM(引力魔方!B452:B482)</f>
        <v>30457.64</v>
      </c>
      <c r="C43" s="901">
        <f>SUM(引力魔方!C452:C482)</f>
        <v>806896</v>
      </c>
      <c r="D43" s="901">
        <f>SUM(引力魔方!D452:D482)</f>
        <v>10898</v>
      </c>
      <c r="E43" s="690">
        <f>SUM(引力魔方!E452:E482)</f>
        <v>64</v>
      </c>
      <c r="F43" s="913">
        <f>SUM(引力魔方!F452:F482)</f>
        <v>665174.8</v>
      </c>
      <c r="G43" s="690">
        <f>SUM(引力魔方!G452:G482)</f>
        <v>206</v>
      </c>
      <c r="H43" s="690">
        <f>SUM(引力魔方!H452:H482)</f>
        <v>94</v>
      </c>
      <c r="I43" s="690">
        <f>SUM(引力魔方!I452:I482)</f>
        <v>78</v>
      </c>
      <c r="J43" s="872">
        <f t="shared" si="46"/>
        <v>172</v>
      </c>
      <c r="K43" s="688">
        <f t="shared" si="47"/>
        <v>0.0135060776109932</v>
      </c>
      <c r="L43" s="685">
        <f t="shared" si="48"/>
        <v>2.79479170489998</v>
      </c>
      <c r="M43" s="886">
        <f t="shared" si="49"/>
        <v>37.7466736729393</v>
      </c>
      <c r="N43" s="887">
        <f t="shared" si="50"/>
        <v>21.8393414591544</v>
      </c>
      <c r="O43" s="688">
        <f t="shared" si="51"/>
        <v>0.00587263718113415</v>
      </c>
      <c r="P43" s="685">
        <f t="shared" si="52"/>
        <v>10393.35625</v>
      </c>
      <c r="Q43" s="685">
        <f t="shared" si="53"/>
        <v>475.900625</v>
      </c>
      <c r="R43" s="902">
        <f t="shared" si="54"/>
        <v>147.852621359223</v>
      </c>
    </row>
    <row r="44" spans="1:19">
      <c r="A44" s="686" t="s">
        <v>27</v>
      </c>
      <c r="B44" s="685">
        <f>SUM(万相台!B41:B71)</f>
        <v>9480.74</v>
      </c>
      <c r="C44" s="901">
        <f>SUM(万相台!C41:C71)</f>
        <v>91699</v>
      </c>
      <c r="D44" s="901">
        <f>SUM(万相台!D41:D71)</f>
        <v>4467</v>
      </c>
      <c r="E44" s="690">
        <f>SUM(万相台!E41:E71)</f>
        <v>12</v>
      </c>
      <c r="F44" s="685">
        <f>SUM(万相台!F41:F71)</f>
        <v>67545.5</v>
      </c>
      <c r="G44" s="690">
        <f>SUM(万相台!G41:G71)</f>
        <v>114</v>
      </c>
      <c r="H44" s="690">
        <f>SUM(万相台!H41:H71)</f>
        <v>60</v>
      </c>
      <c r="I44" s="690"/>
      <c r="J44" s="872">
        <f t="shared" si="46"/>
        <v>60</v>
      </c>
      <c r="K44" s="688">
        <f t="shared" si="47"/>
        <v>0.0487137264310407</v>
      </c>
      <c r="L44" s="685">
        <f t="shared" si="48"/>
        <v>2.12239534363107</v>
      </c>
      <c r="M44" s="886">
        <f t="shared" si="49"/>
        <v>103.389786148159</v>
      </c>
      <c r="N44" s="887">
        <f t="shared" si="50"/>
        <v>7.12449661102403</v>
      </c>
      <c r="O44" s="688">
        <f t="shared" si="51"/>
        <v>0.00268636668905306</v>
      </c>
      <c r="P44" s="685">
        <f t="shared" si="52"/>
        <v>5628.79166666667</v>
      </c>
      <c r="Q44" s="685">
        <f t="shared" si="53"/>
        <v>790.061666666667</v>
      </c>
      <c r="R44" s="902">
        <f t="shared" si="54"/>
        <v>83.1643859649123</v>
      </c>
    </row>
    <row r="45" spans="1:19">
      <c r="A45" s="891" t="s">
        <v>22</v>
      </c>
      <c r="B45" s="903">
        <f t="shared" ref="B45:I45" si="55">SUM(B41:B44)</f>
        <v>105502.48</v>
      </c>
      <c r="C45" s="904">
        <f t="shared" si="55"/>
        <v>1127053</v>
      </c>
      <c r="D45" s="904">
        <f t="shared" si="55"/>
        <v>38172</v>
      </c>
      <c r="E45" s="904">
        <f t="shared" si="55"/>
        <v>338</v>
      </c>
      <c r="F45" s="903">
        <f t="shared" si="55"/>
        <v>3775004.8</v>
      </c>
      <c r="G45" s="904">
        <f t="shared" si="55"/>
        <v>1991</v>
      </c>
      <c r="H45" s="904">
        <f t="shared" si="55"/>
        <v>1012</v>
      </c>
      <c r="I45" s="904">
        <f t="shared" si="55"/>
        <v>856</v>
      </c>
      <c r="J45" s="904">
        <f t="shared" si="46"/>
        <v>1868</v>
      </c>
      <c r="K45" s="896">
        <f t="shared" si="47"/>
        <v>0.0338688597608098</v>
      </c>
      <c r="L45" s="903">
        <f t="shared" si="48"/>
        <v>2.76387090013623</v>
      </c>
      <c r="M45" s="897">
        <f t="shared" si="49"/>
        <v>93.6091559136971</v>
      </c>
      <c r="N45" s="898">
        <f t="shared" si="50"/>
        <v>35.7811949065084</v>
      </c>
      <c r="O45" s="896">
        <f t="shared" si="51"/>
        <v>0.00885465786440323</v>
      </c>
      <c r="P45" s="903">
        <f t="shared" si="52"/>
        <v>11168.6532544379</v>
      </c>
      <c r="Q45" s="903">
        <f t="shared" si="53"/>
        <v>312.137514792899</v>
      </c>
      <c r="R45" s="902">
        <f t="shared" si="54"/>
        <v>52.9896936212958</v>
      </c>
    </row>
    <row r="46" spans="1:19">
      <c r="A46" s="900"/>
      <c r="B46" s="905"/>
      <c r="C46" s="906"/>
      <c r="D46" s="906"/>
      <c r="E46" s="906"/>
      <c r="F46" s="905"/>
      <c r="G46" s="906"/>
      <c r="H46" s="906"/>
      <c r="I46" s="906"/>
      <c r="J46" s="906"/>
      <c r="K46" s="907"/>
      <c r="L46" s="905"/>
      <c r="M46" s="908"/>
      <c r="N46" s="909"/>
      <c r="O46" s="907"/>
      <c r="P46" s="910"/>
      <c r="Q46" s="905"/>
      <c r="R46" s="911"/>
    </row>
    <row r="47" ht="41.4" spans="1:19">
      <c r="A47" s="868" t="s">
        <v>30</v>
      </c>
      <c r="B47" s="869" t="s">
        <v>1</v>
      </c>
      <c r="C47" s="870" t="s">
        <v>2</v>
      </c>
      <c r="D47" s="870" t="s">
        <v>3</v>
      </c>
      <c r="E47" s="871" t="s">
        <v>4</v>
      </c>
      <c r="F47" s="869" t="s">
        <v>5</v>
      </c>
      <c r="G47" s="871" t="s">
        <v>6</v>
      </c>
      <c r="H47" s="871" t="s">
        <v>7</v>
      </c>
      <c r="I47" s="871" t="s">
        <v>8</v>
      </c>
      <c r="J47" s="871" t="s">
        <v>34</v>
      </c>
      <c r="K47" s="879" t="s">
        <v>9</v>
      </c>
      <c r="L47" s="869" t="s">
        <v>10</v>
      </c>
      <c r="M47" s="880" t="s">
        <v>11</v>
      </c>
      <c r="N47" s="881" t="s">
        <v>12</v>
      </c>
      <c r="O47" s="879" t="s">
        <v>13</v>
      </c>
      <c r="P47" s="875" t="s">
        <v>14</v>
      </c>
      <c r="Q47" s="869" t="s">
        <v>15</v>
      </c>
      <c r="R47" s="912" t="s">
        <v>16</v>
      </c>
      <c r="S47" s="882"/>
    </row>
    <row r="48" spans="1:19">
      <c r="A48" s="686" t="s">
        <v>19</v>
      </c>
      <c r="B48" s="685">
        <f>SUM(明星店铺!B584:B613)</f>
        <v>6386.06</v>
      </c>
      <c r="C48" s="901">
        <f>SUM(明星店铺!C584:C613)</f>
        <v>6596</v>
      </c>
      <c r="D48" s="901">
        <f>SUM(明星店铺!D584:D613)</f>
        <v>2650</v>
      </c>
      <c r="E48" s="690">
        <f>SUM(明星店铺!E584:E613)</f>
        <v>63</v>
      </c>
      <c r="F48" s="685">
        <f>SUM(明星店铺!F584:F613)</f>
        <v>477277.22</v>
      </c>
      <c r="G48" s="690">
        <f>SUM(明星店铺!G584:G613)</f>
        <v>661</v>
      </c>
      <c r="H48" s="690">
        <f>SUM(明星店铺!H584:H613)</f>
        <v>121</v>
      </c>
      <c r="I48" s="690">
        <f>SUM(明星店铺!I584:I613)</f>
        <v>280</v>
      </c>
      <c r="J48" s="872">
        <f t="shared" ref="J48:J52" si="56">H48+I48</f>
        <v>401</v>
      </c>
      <c r="K48" s="688">
        <f t="shared" ref="K48:K52" si="57">D48/C48</f>
        <v>0.40175864160097</v>
      </c>
      <c r="L48" s="685">
        <f t="shared" ref="L48:L52" si="58">B48/D48</f>
        <v>2.40983396226415</v>
      </c>
      <c r="M48" s="886">
        <f t="shared" ref="M48:M52" si="59">(B48/C48)*1000</f>
        <v>968.171619163129</v>
      </c>
      <c r="N48" s="887">
        <f t="shared" ref="N48:N52" si="60">F48/B48</f>
        <v>74.7373529218329</v>
      </c>
      <c r="O48" s="688">
        <f t="shared" ref="O48:O52" si="61">E48/D48</f>
        <v>0.0237735849056604</v>
      </c>
      <c r="P48" s="685">
        <f t="shared" ref="P48:P52" si="62">F48/E48</f>
        <v>7575.82888888889</v>
      </c>
      <c r="Q48" s="685">
        <f t="shared" ref="Q48:Q52" si="63">B48/E48</f>
        <v>101.366031746032</v>
      </c>
      <c r="R48" s="902">
        <f t="shared" ref="R48:R52" si="64">B48/G48</f>
        <v>9.66121028744327</v>
      </c>
    </row>
    <row r="49" spans="1:19">
      <c r="A49" s="686" t="s">
        <v>20</v>
      </c>
      <c r="B49" s="685">
        <f>SUM(直通车!B584:B613)</f>
        <v>85001.26</v>
      </c>
      <c r="C49" s="901">
        <f>SUM(直通车!C584:C613)</f>
        <v>273932</v>
      </c>
      <c r="D49" s="901">
        <f>SUM(直通车!D584:D613)</f>
        <v>22062</v>
      </c>
      <c r="E49" s="690">
        <f>SUM(直通车!E584:E613)</f>
        <v>111</v>
      </c>
      <c r="F49" s="685">
        <f>SUM(直通车!F584:F613)</f>
        <v>872404.39</v>
      </c>
      <c r="G49" s="690">
        <f>SUM(直通车!G584:G613)</f>
        <v>1099</v>
      </c>
      <c r="H49" s="690">
        <f>SUM(直通车!H584:H613)</f>
        <v>513</v>
      </c>
      <c r="I49" s="690">
        <f>SUM(直通车!I584:I613)</f>
        <v>285</v>
      </c>
      <c r="J49" s="872">
        <f t="shared" si="56"/>
        <v>798</v>
      </c>
      <c r="K49" s="688">
        <f t="shared" si="57"/>
        <v>0.0805382357665406</v>
      </c>
      <c r="L49" s="685">
        <f t="shared" si="58"/>
        <v>3.85283564500045</v>
      </c>
      <c r="M49" s="886">
        <f t="shared" si="59"/>
        <v>310.300585546778</v>
      </c>
      <c r="N49" s="887">
        <f t="shared" si="60"/>
        <v>10.2634289185831</v>
      </c>
      <c r="O49" s="688">
        <f t="shared" si="61"/>
        <v>0.00503127549632853</v>
      </c>
      <c r="P49" s="685">
        <f t="shared" si="62"/>
        <v>7859.49900900901</v>
      </c>
      <c r="Q49" s="685">
        <f t="shared" si="63"/>
        <v>765.777117117117</v>
      </c>
      <c r="R49" s="902">
        <f t="shared" si="64"/>
        <v>77.3441856232939</v>
      </c>
    </row>
    <row r="50" spans="1:19">
      <c r="A50" s="686" t="s">
        <v>21</v>
      </c>
      <c r="B50" s="685">
        <f>SUM(引力魔方!B483:B512)</f>
        <v>47468.12</v>
      </c>
      <c r="C50" s="901">
        <f>SUM(引力魔方!C483:C512)</f>
        <v>3705258</v>
      </c>
      <c r="D50" s="901">
        <f>SUM(引力魔方!D483:D512)</f>
        <v>43076</v>
      </c>
      <c r="E50" s="690">
        <f>SUM(引力魔方!E483:E512)</f>
        <v>48</v>
      </c>
      <c r="F50" s="685">
        <f>SUM(引力魔方!F483:F512)</f>
        <v>489457.12</v>
      </c>
      <c r="G50" s="690">
        <f>SUM(引力魔方!G483:G512)</f>
        <v>606</v>
      </c>
      <c r="H50" s="690">
        <f>SUM(引力魔方!H483:H512)</f>
        <v>175</v>
      </c>
      <c r="I50" s="690">
        <f>SUM(引力魔方!I483:I512)</f>
        <v>79</v>
      </c>
      <c r="J50" s="872">
        <f t="shared" si="56"/>
        <v>254</v>
      </c>
      <c r="K50" s="688">
        <f t="shared" si="57"/>
        <v>0.011625641183421</v>
      </c>
      <c r="L50" s="685">
        <f t="shared" si="58"/>
        <v>1.10196211347386</v>
      </c>
      <c r="M50" s="886">
        <f t="shared" si="59"/>
        <v>12.8110161289713</v>
      </c>
      <c r="N50" s="887">
        <f t="shared" si="60"/>
        <v>10.311280918646</v>
      </c>
      <c r="O50" s="688">
        <f t="shared" si="61"/>
        <v>0.00111430959234841</v>
      </c>
      <c r="P50" s="685">
        <f t="shared" si="62"/>
        <v>10197.0233333333</v>
      </c>
      <c r="Q50" s="685">
        <f t="shared" si="63"/>
        <v>988.919166666667</v>
      </c>
      <c r="R50" s="902">
        <f t="shared" si="64"/>
        <v>78.3302310231023</v>
      </c>
    </row>
    <row r="51" spans="1:19">
      <c r="A51" s="686" t="s">
        <v>27</v>
      </c>
      <c r="B51" s="685">
        <f>SUM(万相台!B72:B101)</f>
        <v>10182.62</v>
      </c>
      <c r="C51" s="901">
        <f>SUM(万相台!C72:C101)</f>
        <v>257113</v>
      </c>
      <c r="D51" s="901">
        <f>SUM(万相台!D72:D101)</f>
        <v>10905</v>
      </c>
      <c r="E51" s="690">
        <f>SUM(万相台!E72:E101)</f>
        <v>29</v>
      </c>
      <c r="F51" s="685">
        <f>SUM(万相台!F72:F101)</f>
        <v>265570.08</v>
      </c>
      <c r="G51" s="690">
        <f>SUM(万相台!G72:G101)</f>
        <v>231</v>
      </c>
      <c r="H51" s="690">
        <f>SUM(万相台!H72:H101)</f>
        <v>56</v>
      </c>
      <c r="I51" s="690"/>
      <c r="J51" s="872">
        <f t="shared" si="56"/>
        <v>56</v>
      </c>
      <c r="K51" s="688">
        <f t="shared" si="57"/>
        <v>0.0424132579838437</v>
      </c>
      <c r="L51" s="685">
        <f t="shared" si="58"/>
        <v>0.933756992205411</v>
      </c>
      <c r="M51" s="886">
        <f t="shared" si="59"/>
        <v>39.603676204626</v>
      </c>
      <c r="N51" s="887">
        <f t="shared" si="60"/>
        <v>26.0807218574394</v>
      </c>
      <c r="O51" s="688">
        <f t="shared" si="61"/>
        <v>0.0026593305823017</v>
      </c>
      <c r="P51" s="685">
        <f t="shared" si="62"/>
        <v>9157.58896551724</v>
      </c>
      <c r="Q51" s="685">
        <f t="shared" si="63"/>
        <v>351.124827586207</v>
      </c>
      <c r="R51" s="902">
        <f t="shared" si="64"/>
        <v>44.0806060606061</v>
      </c>
    </row>
    <row r="52" spans="1:19">
      <c r="A52" s="891" t="s">
        <v>22</v>
      </c>
      <c r="B52" s="903">
        <f t="shared" ref="B52:I52" si="65">SUM(B48:B51)</f>
        <v>149038.06</v>
      </c>
      <c r="C52" s="904">
        <f t="shared" si="65"/>
        <v>4242899</v>
      </c>
      <c r="D52" s="904">
        <f t="shared" si="65"/>
        <v>78693</v>
      </c>
      <c r="E52" s="904">
        <f t="shared" si="65"/>
        <v>251</v>
      </c>
      <c r="F52" s="903">
        <f t="shared" si="65"/>
        <v>2104708.81</v>
      </c>
      <c r="G52" s="904">
        <f t="shared" si="65"/>
        <v>2597</v>
      </c>
      <c r="H52" s="904">
        <f t="shared" si="65"/>
        <v>865</v>
      </c>
      <c r="I52" s="904">
        <f t="shared" si="65"/>
        <v>644</v>
      </c>
      <c r="J52" s="904">
        <f t="shared" si="56"/>
        <v>1509</v>
      </c>
      <c r="K52" s="896">
        <f t="shared" si="57"/>
        <v>0.0185469887451952</v>
      </c>
      <c r="L52" s="903">
        <f t="shared" si="58"/>
        <v>1.89391762926817</v>
      </c>
      <c r="M52" s="897">
        <f t="shared" si="59"/>
        <v>35.1264689543635</v>
      </c>
      <c r="N52" s="898">
        <f t="shared" si="60"/>
        <v>14.1219552240549</v>
      </c>
      <c r="O52" s="896">
        <f t="shared" si="61"/>
        <v>0.00318961025758327</v>
      </c>
      <c r="P52" s="903">
        <f t="shared" si="62"/>
        <v>8385.29406374502</v>
      </c>
      <c r="Q52" s="903">
        <f t="shared" si="63"/>
        <v>593.777131474103</v>
      </c>
      <c r="R52" s="902">
        <f t="shared" si="64"/>
        <v>57.3885483249904</v>
      </c>
    </row>
    <row r="53" spans="1:19">
      <c r="A53" s="900"/>
      <c r="B53" s="905"/>
      <c r="C53" s="906"/>
      <c r="D53" s="906"/>
      <c r="E53" s="906"/>
      <c r="F53" s="905"/>
      <c r="G53" s="906"/>
      <c r="H53" s="906"/>
      <c r="I53" s="906"/>
      <c r="J53" s="906"/>
      <c r="K53" s="907"/>
      <c r="L53" s="905"/>
      <c r="M53" s="908"/>
      <c r="N53" s="909"/>
      <c r="O53" s="907"/>
      <c r="P53" s="910"/>
      <c r="Q53" s="905"/>
      <c r="R53" s="911"/>
    </row>
    <row r="54" ht="41.4" spans="1:19">
      <c r="A54" s="868" t="s">
        <v>31</v>
      </c>
      <c r="B54" s="869" t="s">
        <v>1</v>
      </c>
      <c r="C54" s="870" t="s">
        <v>2</v>
      </c>
      <c r="D54" s="870" t="s">
        <v>3</v>
      </c>
      <c r="E54" s="871" t="s">
        <v>4</v>
      </c>
      <c r="F54" s="869" t="s">
        <v>5</v>
      </c>
      <c r="G54" s="871" t="s">
        <v>6</v>
      </c>
      <c r="H54" s="871" t="s">
        <v>7</v>
      </c>
      <c r="I54" s="871" t="s">
        <v>8</v>
      </c>
      <c r="J54" s="871" t="s">
        <v>34</v>
      </c>
      <c r="K54" s="879" t="s">
        <v>9</v>
      </c>
      <c r="L54" s="869" t="s">
        <v>10</v>
      </c>
      <c r="M54" s="880" t="s">
        <v>11</v>
      </c>
      <c r="N54" s="881" t="s">
        <v>12</v>
      </c>
      <c r="O54" s="879" t="s">
        <v>13</v>
      </c>
      <c r="P54" s="875" t="s">
        <v>14</v>
      </c>
      <c r="Q54" s="869" t="s">
        <v>15</v>
      </c>
      <c r="R54" s="912" t="s">
        <v>16</v>
      </c>
      <c r="S54" s="882"/>
    </row>
    <row r="55" spans="1:19">
      <c r="A55" s="686" t="s">
        <v>19</v>
      </c>
      <c r="B55" s="685">
        <f>SUM(明星店铺!B614:B644)</f>
        <v>3841.38</v>
      </c>
      <c r="C55" s="901">
        <f>SUM(明星店铺!C614:C644)</f>
        <v>4328</v>
      </c>
      <c r="D55" s="901">
        <f>SUM(明星店铺!D614:D644)</f>
        <v>1524</v>
      </c>
      <c r="E55" s="690">
        <f>SUM(明星店铺!E614:E644)</f>
        <v>8</v>
      </c>
      <c r="F55" s="685">
        <f>SUM(明星店铺!F614:F644)</f>
        <v>134928</v>
      </c>
      <c r="G55" s="690">
        <f>SUM(明星店铺!G614:G644)</f>
        <v>340</v>
      </c>
      <c r="H55" s="690">
        <f>SUM(明星店铺!H614:H644)</f>
        <v>67</v>
      </c>
      <c r="I55" s="690">
        <f>SUM(明星店铺!I614:I644)</f>
        <v>113</v>
      </c>
      <c r="J55" s="872">
        <f t="shared" ref="J55:J59" si="66">H55+I55</f>
        <v>180</v>
      </c>
      <c r="K55" s="688">
        <f t="shared" ref="K55:K59" si="67">D55/C55</f>
        <v>0.352125693160813</v>
      </c>
      <c r="L55" s="685">
        <f t="shared" ref="L55:L59" si="68">B55/D55</f>
        <v>2.5205905511811</v>
      </c>
      <c r="M55" s="886">
        <f t="shared" ref="M55:M59" si="69">(B55/C55)*1000</f>
        <v>887.564695009242</v>
      </c>
      <c r="N55" s="887">
        <f t="shared" ref="N55:N59" si="70">F55/B55</f>
        <v>35.1248769973291</v>
      </c>
      <c r="O55" s="688">
        <f t="shared" ref="O55:O59" si="71">E55/D55</f>
        <v>0.005249343832021</v>
      </c>
      <c r="P55" s="685">
        <f t="shared" ref="P55:P59" si="72">F55/E55</f>
        <v>16866</v>
      </c>
      <c r="Q55" s="685">
        <f t="shared" ref="Q55:Q59" si="73">B55/E55</f>
        <v>480.1725</v>
      </c>
      <c r="R55" s="902">
        <f t="shared" ref="R55:R59" si="74">B55/G55</f>
        <v>11.2981764705882</v>
      </c>
    </row>
    <row r="56" spans="1:19">
      <c r="A56" s="686" t="s">
        <v>20</v>
      </c>
      <c r="B56" s="685">
        <f>SUM(直通车!B614:B644)</f>
        <v>121344.685</v>
      </c>
      <c r="C56" s="901">
        <f>SUM(直通车!C614:C644)</f>
        <v>299486</v>
      </c>
      <c r="D56" s="901">
        <f>SUM(直通车!D614:D644)</f>
        <v>21703</v>
      </c>
      <c r="E56" s="690">
        <f>SUM(直通车!E614:E644)</f>
        <v>18</v>
      </c>
      <c r="F56" s="685">
        <f>SUM(直通车!F614:F644)</f>
        <v>275328</v>
      </c>
      <c r="G56" s="690">
        <f>SUM(直通车!G614:G644)</f>
        <v>891</v>
      </c>
      <c r="H56" s="690">
        <f>SUM(直通车!H614:H644)</f>
        <v>353</v>
      </c>
      <c r="I56" s="690">
        <f>SUM(直通车!I614:I644)</f>
        <v>219</v>
      </c>
      <c r="J56" s="872">
        <f t="shared" si="66"/>
        <v>572</v>
      </c>
      <c r="K56" s="688">
        <f t="shared" si="67"/>
        <v>0.0724674943069125</v>
      </c>
      <c r="L56" s="685">
        <f t="shared" si="68"/>
        <v>5.59114799797263</v>
      </c>
      <c r="M56" s="886">
        <f t="shared" si="69"/>
        <v>405.176485712187</v>
      </c>
      <c r="N56" s="887">
        <f t="shared" si="70"/>
        <v>2.26897453316558</v>
      </c>
      <c r="O56" s="688">
        <f t="shared" si="71"/>
        <v>0.000829378426945584</v>
      </c>
      <c r="P56" s="685">
        <f t="shared" si="72"/>
        <v>15296</v>
      </c>
      <c r="Q56" s="685">
        <f t="shared" si="73"/>
        <v>6741.37138888889</v>
      </c>
      <c r="R56" s="902">
        <f t="shared" si="74"/>
        <v>136.189320987654</v>
      </c>
    </row>
    <row r="57" spans="1:19">
      <c r="A57" s="686" t="s">
        <v>21</v>
      </c>
      <c r="B57" s="685">
        <f>SUM(引力魔方!B513:B543)</f>
        <v>93923.95</v>
      </c>
      <c r="C57" s="901">
        <f>SUM(引力魔方!C513:C543)</f>
        <v>5708966</v>
      </c>
      <c r="D57" s="901">
        <f>SUM(引力魔方!D513:D543)</f>
        <v>120544</v>
      </c>
      <c r="E57" s="690">
        <f>SUM(引力魔方!E513:E543)</f>
        <v>6</v>
      </c>
      <c r="F57" s="685">
        <f>SUM(引力魔方!F513:F543)</f>
        <v>49886</v>
      </c>
      <c r="G57" s="690">
        <f>SUM(引力魔方!G513:G543)</f>
        <v>429</v>
      </c>
      <c r="H57" s="690">
        <f>SUM(引力魔方!H513:H543)</f>
        <v>546</v>
      </c>
      <c r="I57" s="690">
        <f>SUM(引力魔方!I513:I543)</f>
        <v>66</v>
      </c>
      <c r="J57" s="872">
        <f t="shared" si="66"/>
        <v>612</v>
      </c>
      <c r="K57" s="688">
        <f t="shared" si="67"/>
        <v>0.0211148568760087</v>
      </c>
      <c r="L57" s="685">
        <f t="shared" si="68"/>
        <v>0.77916735797717</v>
      </c>
      <c r="M57" s="886">
        <f t="shared" si="69"/>
        <v>16.4520072461458</v>
      </c>
      <c r="N57" s="887">
        <f t="shared" si="70"/>
        <v>0.531131835916185</v>
      </c>
      <c r="O57" s="688">
        <f t="shared" si="71"/>
        <v>4.97743562516591e-5</v>
      </c>
      <c r="P57" s="685">
        <f t="shared" si="72"/>
        <v>8314.33333333333</v>
      </c>
      <c r="Q57" s="685">
        <f t="shared" si="73"/>
        <v>15653.9916666667</v>
      </c>
      <c r="R57" s="902">
        <f t="shared" si="74"/>
        <v>218.936946386946</v>
      </c>
    </row>
    <row r="58" spans="1:19">
      <c r="A58" s="686" t="s">
        <v>27</v>
      </c>
      <c r="B58" s="685">
        <f>SUM(万相台!B102:B132)</f>
        <v>12814.29</v>
      </c>
      <c r="C58" s="901">
        <f>SUM(万相台!C102:C132)</f>
        <v>913809</v>
      </c>
      <c r="D58" s="901">
        <f>SUM(万相台!D102:D132)</f>
        <v>13322</v>
      </c>
      <c r="E58" s="690">
        <f>SUM(万相台!E102:E132)</f>
        <v>5</v>
      </c>
      <c r="F58" s="685">
        <f>SUM(万相台!F102:F132)</f>
        <v>75770</v>
      </c>
      <c r="G58" s="690">
        <f>SUM(万相台!G102:G132)</f>
        <v>242</v>
      </c>
      <c r="H58" s="690">
        <f>SUM(万相台!H102:H132)</f>
        <v>83</v>
      </c>
      <c r="I58" s="690"/>
      <c r="J58" s="872">
        <f t="shared" si="66"/>
        <v>83</v>
      </c>
      <c r="K58" s="688">
        <f t="shared" si="67"/>
        <v>0.0145785388412677</v>
      </c>
      <c r="L58" s="685">
        <f t="shared" si="68"/>
        <v>0.96188935595256</v>
      </c>
      <c r="M58" s="886">
        <f t="shared" si="69"/>
        <v>14.0229413367564</v>
      </c>
      <c r="N58" s="887">
        <f t="shared" si="70"/>
        <v>5.91293001797212</v>
      </c>
      <c r="O58" s="688">
        <f t="shared" si="71"/>
        <v>0.000375319021167993</v>
      </c>
      <c r="P58" s="685">
        <f t="shared" si="72"/>
        <v>15154</v>
      </c>
      <c r="Q58" s="685">
        <f t="shared" si="73"/>
        <v>2562.858</v>
      </c>
      <c r="R58" s="902">
        <f t="shared" si="74"/>
        <v>52.9516115702479</v>
      </c>
    </row>
    <row r="59" spans="1:19">
      <c r="A59" s="891" t="s">
        <v>22</v>
      </c>
      <c r="B59" s="903">
        <f t="shared" ref="B59:I59" si="75">SUM(B55:B58)</f>
        <v>231924.305</v>
      </c>
      <c r="C59" s="904">
        <f t="shared" si="75"/>
        <v>6926589</v>
      </c>
      <c r="D59" s="904">
        <f t="shared" si="75"/>
        <v>157093</v>
      </c>
      <c r="E59" s="904">
        <f t="shared" si="75"/>
        <v>37</v>
      </c>
      <c r="F59" s="903">
        <f t="shared" si="75"/>
        <v>535912</v>
      </c>
      <c r="G59" s="904">
        <f t="shared" si="75"/>
        <v>1902</v>
      </c>
      <c r="H59" s="904">
        <f t="shared" si="75"/>
        <v>1049</v>
      </c>
      <c r="I59" s="904">
        <f t="shared" si="75"/>
        <v>398</v>
      </c>
      <c r="J59" s="904">
        <f t="shared" si="66"/>
        <v>1447</v>
      </c>
      <c r="K59" s="896">
        <f t="shared" si="67"/>
        <v>0.0226797056964113</v>
      </c>
      <c r="L59" s="903">
        <f t="shared" si="68"/>
        <v>1.47635034660997</v>
      </c>
      <c r="M59" s="897">
        <f t="shared" si="69"/>
        <v>33.483191365909</v>
      </c>
      <c r="N59" s="898">
        <f t="shared" si="70"/>
        <v>2.31071943925842</v>
      </c>
      <c r="O59" s="896">
        <f t="shared" si="71"/>
        <v>0.000235529272469174</v>
      </c>
      <c r="P59" s="903">
        <f t="shared" si="72"/>
        <v>14484.1081081081</v>
      </c>
      <c r="Q59" s="903">
        <f t="shared" si="73"/>
        <v>6268.22445945946</v>
      </c>
      <c r="R59" s="902">
        <f t="shared" si="74"/>
        <v>121.937068874869</v>
      </c>
    </row>
    <row r="60" spans="1:19">
      <c r="A60" s="900"/>
      <c r="B60" s="905"/>
      <c r="C60" s="906"/>
      <c r="D60" s="906"/>
      <c r="E60" s="906"/>
      <c r="F60" s="905"/>
      <c r="G60" s="906"/>
      <c r="H60" s="906"/>
      <c r="I60" s="906"/>
      <c r="J60" s="906"/>
      <c r="K60" s="907"/>
      <c r="L60" s="905"/>
      <c r="M60" s="908"/>
      <c r="N60" s="909"/>
      <c r="O60" s="907"/>
      <c r="P60" s="910"/>
      <c r="Q60" s="905"/>
      <c r="R60" s="911"/>
    </row>
    <row r="61" spans="1:19">
      <c r="A61" s="900"/>
      <c r="B61" s="905"/>
      <c r="C61" s="906"/>
      <c r="D61" s="906"/>
      <c r="E61" s="906"/>
      <c r="F61" s="905"/>
      <c r="G61" s="906"/>
      <c r="H61" s="906"/>
      <c r="I61" s="906"/>
      <c r="J61" s="906"/>
      <c r="K61" s="907"/>
      <c r="L61" s="905"/>
      <c r="M61" s="908"/>
      <c r="N61" s="909"/>
      <c r="O61" s="907"/>
      <c r="P61" s="910"/>
      <c r="Q61" s="905"/>
      <c r="R61" s="911"/>
    </row>
    <row r="62" spans="1:19">
      <c r="A62" s="900"/>
      <c r="B62" s="905"/>
      <c r="C62" s="906"/>
      <c r="D62" s="906"/>
      <c r="E62" s="906"/>
      <c r="F62" s="905"/>
      <c r="G62" s="906"/>
      <c r="H62" s="906"/>
      <c r="I62" s="906"/>
      <c r="J62" s="906"/>
      <c r="K62" s="907"/>
      <c r="L62" s="905"/>
      <c r="M62" s="908"/>
      <c r="N62" s="909"/>
      <c r="O62" s="907"/>
      <c r="P62" s="910"/>
      <c r="Q62" s="905"/>
      <c r="R62" s="911"/>
    </row>
    <row r="63" spans="1:19">
      <c r="A63" s="900" t="s">
        <v>32</v>
      </c>
      <c r="B63" s="911"/>
      <c r="C63" s="38"/>
      <c r="D63" s="38"/>
      <c r="E63" s="38"/>
      <c r="F63" s="911"/>
      <c r="G63" s="38"/>
      <c r="H63" s="38"/>
      <c r="I63" s="38"/>
      <c r="J63" s="38"/>
      <c r="L63" s="911"/>
      <c r="Q63" s="911"/>
      <c r="R63" s="911"/>
    </row>
    <row r="64" ht="41.4" spans="1:19">
      <c r="A64" s="868" t="s">
        <v>0</v>
      </c>
      <c r="B64" s="869" t="s">
        <v>1</v>
      </c>
      <c r="C64" s="870" t="s">
        <v>2</v>
      </c>
      <c r="D64" s="870" t="s">
        <v>3</v>
      </c>
      <c r="E64" s="871" t="s">
        <v>4</v>
      </c>
      <c r="F64" s="869" t="s">
        <v>5</v>
      </c>
      <c r="G64" s="871" t="s">
        <v>6</v>
      </c>
      <c r="H64" s="871" t="s">
        <v>7</v>
      </c>
      <c r="I64" s="871" t="s">
        <v>8</v>
      </c>
      <c r="J64" s="871" t="s">
        <v>34</v>
      </c>
      <c r="K64" s="879" t="s">
        <v>9</v>
      </c>
      <c r="L64" s="869" t="s">
        <v>10</v>
      </c>
      <c r="M64" s="880" t="s">
        <v>11</v>
      </c>
      <c r="N64" s="881" t="s">
        <v>12</v>
      </c>
      <c r="O64" s="879" t="s">
        <v>13</v>
      </c>
      <c r="P64" s="875" t="s">
        <v>14</v>
      </c>
      <c r="Q64" s="869" t="s">
        <v>15</v>
      </c>
      <c r="R64" s="912" t="s">
        <v>16</v>
      </c>
      <c r="S64" s="882"/>
    </row>
    <row r="65" spans="1:26">
      <c r="A65" s="686" t="s">
        <v>19</v>
      </c>
      <c r="B65" s="685">
        <f>SUM(明星店铺!B645:B675)</f>
        <v>4413.62</v>
      </c>
      <c r="C65" s="901">
        <f>SUM(明星店铺!C645:C675)</f>
        <v>5217</v>
      </c>
      <c r="D65" s="901">
        <f>SUM(明星店铺!D645:D675)</f>
        <v>1813</v>
      </c>
      <c r="E65" s="901">
        <f>SUM(明星店铺!E645:E675)</f>
        <v>8</v>
      </c>
      <c r="F65" s="914">
        <f>SUM(明星店铺!F645:F675)</f>
        <v>118804</v>
      </c>
      <c r="G65" s="901">
        <f>SUM(明星店铺!G645:G675)</f>
        <v>442</v>
      </c>
      <c r="H65" s="901">
        <f>SUM(明星店铺!H645:H675)</f>
        <v>43</v>
      </c>
      <c r="I65" s="901">
        <f>SUM(明星店铺!I645:I675)</f>
        <v>117</v>
      </c>
      <c r="J65" s="872">
        <f t="shared" ref="J65:J69" si="76">H65+I65</f>
        <v>160</v>
      </c>
      <c r="K65" s="688">
        <f t="shared" ref="K65:K69" si="77">D65/C65</f>
        <v>0.347517730496454</v>
      </c>
      <c r="L65" s="685">
        <f t="shared" ref="L65:L69" si="78">B65/D65</f>
        <v>2.43442912300055</v>
      </c>
      <c r="M65" s="886">
        <f t="shared" ref="M65:M69" si="79">(B65/C65)*1000</f>
        <v>846.007283879624</v>
      </c>
      <c r="N65" s="887">
        <f t="shared" ref="N65:N67" si="80">F65/B65</f>
        <v>26.9175869241122</v>
      </c>
      <c r="O65" s="688">
        <f t="shared" ref="O65:O69" si="81">E65/D65</f>
        <v>0.00441257584114727</v>
      </c>
      <c r="P65" s="915">
        <f t="shared" ref="P65:P69" si="82">F65/E65</f>
        <v>14850.5</v>
      </c>
      <c r="Q65" s="685">
        <f t="shared" ref="Q65:Q69" si="83">B65/E65</f>
        <v>551.7025</v>
      </c>
      <c r="R65" s="902">
        <f t="shared" ref="R65:R69" si="84">B65/G65</f>
        <v>9.98556561085973</v>
      </c>
    </row>
    <row r="66" spans="1:26">
      <c r="A66" s="686" t="s">
        <v>20</v>
      </c>
      <c r="B66" s="685">
        <f>SUM(直通车!B645:B675)</f>
        <v>64544.95</v>
      </c>
      <c r="C66" s="872">
        <f>SUM(直通车!C645:C675)</f>
        <v>163594</v>
      </c>
      <c r="D66" s="872">
        <f>SUM(直通车!D645:D675)</f>
        <v>15532</v>
      </c>
      <c r="E66" s="872">
        <f>SUM(直通车!E645:E675)</f>
        <v>5</v>
      </c>
      <c r="F66" s="685">
        <f>SUM(直通车!F645:F675)</f>
        <v>54251</v>
      </c>
      <c r="G66" s="872">
        <f>SUM(直通车!G645:G675)</f>
        <v>749</v>
      </c>
      <c r="H66" s="872">
        <f>SUM(直通车!H645:H675)</f>
        <v>148</v>
      </c>
      <c r="I66" s="872">
        <f>SUM(直通车!I645:I675)</f>
        <v>124</v>
      </c>
      <c r="J66" s="872">
        <f t="shared" si="76"/>
        <v>272</v>
      </c>
      <c r="K66" s="688">
        <f t="shared" si="77"/>
        <v>0.0949423572991674</v>
      </c>
      <c r="L66" s="685">
        <f t="shared" si="78"/>
        <v>4.15561099665207</v>
      </c>
      <c r="M66" s="886">
        <f t="shared" si="79"/>
        <v>394.54350404049</v>
      </c>
      <c r="N66" s="887">
        <f t="shared" si="80"/>
        <v>0.840515020927276</v>
      </c>
      <c r="O66" s="688">
        <f t="shared" si="81"/>
        <v>0.000321916044295648</v>
      </c>
      <c r="P66" s="915">
        <f t="shared" si="82"/>
        <v>10850.2</v>
      </c>
      <c r="Q66" s="685">
        <f t="shared" si="83"/>
        <v>12908.99</v>
      </c>
      <c r="R66" s="902">
        <f t="shared" si="84"/>
        <v>86.1748331108144</v>
      </c>
    </row>
    <row r="67" spans="1:26">
      <c r="A67" s="686" t="s">
        <v>21</v>
      </c>
      <c r="B67" s="685">
        <f>SUM(引力魔方!B544:B574)</f>
        <v>37588.65</v>
      </c>
      <c r="C67" s="872">
        <f>SUM(引力魔方!C544:C574)</f>
        <v>31095835</v>
      </c>
      <c r="D67" s="872">
        <f>SUM(引力魔方!D544:D574)</f>
        <v>188677</v>
      </c>
      <c r="E67" s="872">
        <f>SUM(引力魔方!E544:E574)</f>
        <v>0</v>
      </c>
      <c r="F67" s="685">
        <f>SUM(引力魔方!F544:F574)</f>
        <v>0</v>
      </c>
      <c r="G67" s="872">
        <f>SUM(引力魔方!G544:G574)</f>
        <v>280</v>
      </c>
      <c r="H67" s="872">
        <f>SUM(引力魔方!H544:H574)</f>
        <v>169</v>
      </c>
      <c r="I67" s="872">
        <f>SUM(引力魔方!I544:I574)</f>
        <v>43</v>
      </c>
      <c r="J67" s="872">
        <f t="shared" si="76"/>
        <v>212</v>
      </c>
      <c r="K67" s="688">
        <f t="shared" si="77"/>
        <v>0.00606759715569625</v>
      </c>
      <c r="L67" s="685">
        <f t="shared" si="78"/>
        <v>0.199222215744367</v>
      </c>
      <c r="M67" s="886">
        <f t="shared" si="79"/>
        <v>1.20880014960203</v>
      </c>
      <c r="N67" s="887">
        <f t="shared" si="80"/>
        <v>0</v>
      </c>
      <c r="O67" s="688">
        <f t="shared" si="81"/>
        <v>0</v>
      </c>
      <c r="P67" s="915" t="e">
        <f t="shared" si="82"/>
        <v>#DIV/0!</v>
      </c>
      <c r="Q67" s="685" t="e">
        <f t="shared" si="83"/>
        <v>#DIV/0!</v>
      </c>
      <c r="R67" s="902">
        <f t="shared" si="84"/>
        <v>134.245178571429</v>
      </c>
    </row>
    <row r="68" spans="1:26">
      <c r="A68" s="686" t="s">
        <v>27</v>
      </c>
      <c r="B68" s="685">
        <f>SUM(万相台!B133:B163)</f>
        <v>12333.92</v>
      </c>
      <c r="C68" s="872">
        <f>SUM(万相台!C133:C163)</f>
        <v>843593</v>
      </c>
      <c r="D68" s="872">
        <f>SUM(万相台!D133:D163)</f>
        <v>11679</v>
      </c>
      <c r="E68" s="872">
        <f>SUM(万相台!E133:E163)</f>
        <v>11</v>
      </c>
      <c r="F68" s="685">
        <f>SUM(万相台!F133:F163)</f>
        <v>155509</v>
      </c>
      <c r="G68" s="872">
        <f>SUM(万相台!G133:G163)</f>
        <v>187</v>
      </c>
      <c r="H68" s="872">
        <f>SUM(万相台!H133:H163)</f>
        <v>40</v>
      </c>
      <c r="I68" s="38"/>
      <c r="J68" s="872">
        <f t="shared" si="76"/>
        <v>40</v>
      </c>
      <c r="K68" s="688">
        <f t="shared" si="77"/>
        <v>0.0138443538531021</v>
      </c>
      <c r="L68" s="685">
        <f t="shared" si="78"/>
        <v>1.05607671889717</v>
      </c>
      <c r="M68" s="886">
        <f t="shared" si="79"/>
        <v>14.6206997924355</v>
      </c>
      <c r="N68" s="887">
        <f>(B68/C68)*1000</f>
        <v>14.6206997924355</v>
      </c>
      <c r="O68" s="688">
        <f t="shared" si="81"/>
        <v>0.000941861460741502</v>
      </c>
      <c r="P68" s="915">
        <f t="shared" si="82"/>
        <v>14137.1818181818</v>
      </c>
      <c r="Q68" s="685">
        <f t="shared" si="83"/>
        <v>1121.26545454545</v>
      </c>
      <c r="R68" s="902">
        <f t="shared" si="84"/>
        <v>65.9567914438503</v>
      </c>
    </row>
    <row r="69" spans="1:26">
      <c r="A69" s="891" t="s">
        <v>22</v>
      </c>
      <c r="B69" s="903">
        <f t="shared" ref="B69:I69" si="85">SUM(B65:B68)</f>
        <v>118881.14</v>
      </c>
      <c r="C69" s="904">
        <f t="shared" si="85"/>
        <v>32108239</v>
      </c>
      <c r="D69" s="904">
        <f t="shared" si="85"/>
        <v>217701</v>
      </c>
      <c r="E69" s="904">
        <f t="shared" si="85"/>
        <v>24</v>
      </c>
      <c r="F69" s="903">
        <f t="shared" si="85"/>
        <v>328564</v>
      </c>
      <c r="G69" s="904">
        <f t="shared" si="85"/>
        <v>1658</v>
      </c>
      <c r="H69" s="904">
        <f t="shared" si="85"/>
        <v>400</v>
      </c>
      <c r="I69" s="904">
        <f t="shared" si="85"/>
        <v>284</v>
      </c>
      <c r="J69" s="904">
        <f t="shared" si="76"/>
        <v>684</v>
      </c>
      <c r="K69" s="896">
        <f t="shared" si="77"/>
        <v>0.00678022235975009</v>
      </c>
      <c r="L69" s="903">
        <f t="shared" si="78"/>
        <v>0.546075305120326</v>
      </c>
      <c r="M69" s="897">
        <f t="shared" si="79"/>
        <v>3.70251199388419</v>
      </c>
      <c r="N69" s="898">
        <f t="shared" ref="N69:N74" si="86">F69/B69</f>
        <v>2.76380256784213</v>
      </c>
      <c r="O69" s="896">
        <f t="shared" si="81"/>
        <v>0.000110242947896427</v>
      </c>
      <c r="P69" s="916">
        <f t="shared" si="82"/>
        <v>13690.1666666667</v>
      </c>
      <c r="Q69" s="903">
        <f t="shared" si="83"/>
        <v>4953.38083333333</v>
      </c>
      <c r="R69" s="902">
        <f t="shared" si="84"/>
        <v>71.7015319662244</v>
      </c>
    </row>
    <row r="71" ht="41.4" spans="1:26">
      <c r="A71" s="868" t="s">
        <v>23</v>
      </c>
      <c r="B71" s="869" t="s">
        <v>1</v>
      </c>
      <c r="C71" s="870" t="s">
        <v>2</v>
      </c>
      <c r="D71" s="870" t="s">
        <v>3</v>
      </c>
      <c r="E71" s="871" t="s">
        <v>4</v>
      </c>
      <c r="F71" s="869" t="s">
        <v>5</v>
      </c>
      <c r="G71" s="871" t="s">
        <v>6</v>
      </c>
      <c r="H71" s="871" t="s">
        <v>7</v>
      </c>
      <c r="I71" s="871" t="s">
        <v>8</v>
      </c>
      <c r="J71" s="871" t="s">
        <v>34</v>
      </c>
      <c r="K71" s="879" t="s">
        <v>9</v>
      </c>
      <c r="L71" s="869" t="s">
        <v>10</v>
      </c>
      <c r="M71" s="880" t="s">
        <v>11</v>
      </c>
      <c r="N71" s="881" t="s">
        <v>12</v>
      </c>
      <c r="O71" s="879" t="s">
        <v>13</v>
      </c>
      <c r="P71" s="875" t="s">
        <v>14</v>
      </c>
      <c r="Q71" s="869" t="s">
        <v>15</v>
      </c>
      <c r="R71" s="912" t="s">
        <v>16</v>
      </c>
      <c r="S71" s="882"/>
    </row>
    <row r="72" spans="1:26">
      <c r="A72" s="686" t="s">
        <v>19</v>
      </c>
      <c r="B72" s="685">
        <f>SUM(明星店铺!B676:B704)</f>
        <v>5341.79</v>
      </c>
      <c r="C72" s="901">
        <f>SUM(明星店铺!C676:C704)</f>
        <v>7780</v>
      </c>
      <c r="D72" s="901">
        <f>SUM(明星店铺!D676:D704)</f>
        <v>3160</v>
      </c>
      <c r="E72" s="901">
        <f>SUM(明星店铺!E676:E704)</f>
        <v>22</v>
      </c>
      <c r="F72" s="914">
        <f>SUM(明星店铺!F676:F704)</f>
        <v>336056</v>
      </c>
      <c r="G72" s="901">
        <f>SUM(明星店铺!G676:G704)</f>
        <v>812</v>
      </c>
      <c r="H72" s="901">
        <f>SUM(明星店铺!H676:H704)</f>
        <v>56</v>
      </c>
      <c r="I72" s="901">
        <f>SUM(明星店铺!I676:I704)</f>
        <v>252</v>
      </c>
      <c r="J72" s="872">
        <f t="shared" ref="J72:J76" si="87">H72+I72</f>
        <v>308</v>
      </c>
      <c r="K72" s="688">
        <f t="shared" ref="K72:K76" si="88">D72/C72</f>
        <v>0.406169665809769</v>
      </c>
      <c r="L72" s="685">
        <f t="shared" ref="L72:L76" si="89">B72/D72</f>
        <v>1.69043987341772</v>
      </c>
      <c r="M72" s="886">
        <f t="shared" ref="M72:M76" si="90">(B72/C72)*1000</f>
        <v>686.605398457583</v>
      </c>
      <c r="N72" s="887">
        <f t="shared" si="86"/>
        <v>62.9107471465558</v>
      </c>
      <c r="O72" s="688">
        <f t="shared" ref="O72:O76" si="91">E72/D72</f>
        <v>0.0069620253164557</v>
      </c>
      <c r="P72" s="915">
        <f t="shared" ref="P72:P76" si="92">F72/E72</f>
        <v>15275.2727272727</v>
      </c>
      <c r="Q72" s="685">
        <f t="shared" ref="Q72:Q76" si="93">B72/E72</f>
        <v>242.808636363636</v>
      </c>
      <c r="R72" s="902">
        <f t="shared" ref="R72:R76" si="94">B72/G72</f>
        <v>6.57855911330049</v>
      </c>
    </row>
    <row r="73" spans="1:26">
      <c r="A73" s="686" t="s">
        <v>20</v>
      </c>
      <c r="B73" s="685">
        <f>SUM(直通车!B676:B704)</f>
        <v>41071.2</v>
      </c>
      <c r="C73" s="872">
        <f>SUM(直通车!C676:C704)</f>
        <v>120151</v>
      </c>
      <c r="D73" s="872">
        <f>SUM(直通车!D676:D704)</f>
        <v>9048</v>
      </c>
      <c r="E73" s="872">
        <f>SUM(直通车!E676:E704)</f>
        <v>9</v>
      </c>
      <c r="F73" s="685">
        <f>SUM(直通车!F676:F704)</f>
        <v>102983</v>
      </c>
      <c r="G73" s="872">
        <f>SUM(直通车!G676:G704)</f>
        <v>590</v>
      </c>
      <c r="H73" s="872">
        <f>SUM(直通车!H676:H704)</f>
        <v>79</v>
      </c>
      <c r="I73" s="872">
        <f>SUM(直通车!I676:I704)</f>
        <v>115</v>
      </c>
      <c r="J73" s="872">
        <f t="shared" si="87"/>
        <v>194</v>
      </c>
      <c r="K73" s="688">
        <f t="shared" si="88"/>
        <v>0.0753052409051943</v>
      </c>
      <c r="L73" s="685">
        <f t="shared" si="89"/>
        <v>4.53925729442971</v>
      </c>
      <c r="M73" s="886">
        <f t="shared" si="90"/>
        <v>341.82986408769</v>
      </c>
      <c r="N73" s="887">
        <f t="shared" si="86"/>
        <v>2.50742612828454</v>
      </c>
      <c r="O73" s="688">
        <f t="shared" si="91"/>
        <v>0.000994694960212202</v>
      </c>
      <c r="P73" s="915">
        <f t="shared" si="92"/>
        <v>11442.5555555556</v>
      </c>
      <c r="Q73" s="685">
        <f t="shared" si="93"/>
        <v>4563.46666666667</v>
      </c>
      <c r="R73" s="902">
        <f t="shared" si="94"/>
        <v>69.6122033898305</v>
      </c>
    </row>
    <row r="74" spans="1:26">
      <c r="A74" s="686" t="s">
        <v>21</v>
      </c>
      <c r="B74" s="685">
        <f>SUM(引力魔方!B575:B603)</f>
        <v>14419.61</v>
      </c>
      <c r="C74" s="872">
        <f>SUM(引力魔方!C575:C603)</f>
        <v>49785339</v>
      </c>
      <c r="D74" s="872">
        <f>SUM(引力魔方!D575:D603)</f>
        <v>147329</v>
      </c>
      <c r="E74" s="872">
        <f>SUM(引力魔方!E575:E603)</f>
        <v>0</v>
      </c>
      <c r="F74" s="685">
        <f>SUM(引力魔方!F575:F603)</f>
        <v>0</v>
      </c>
      <c r="G74" s="872">
        <f>SUM(引力魔方!G575:G603)</f>
        <v>85</v>
      </c>
      <c r="H74" s="872">
        <f>SUM(引力魔方!H575:H603)</f>
        <v>82</v>
      </c>
      <c r="I74" s="872">
        <f>SUM(引力魔方!I575:I603)</f>
        <v>36</v>
      </c>
      <c r="J74" s="872">
        <f t="shared" si="87"/>
        <v>118</v>
      </c>
      <c r="K74" s="688">
        <f t="shared" si="88"/>
        <v>0.00295928486095073</v>
      </c>
      <c r="L74" s="685">
        <f t="shared" si="89"/>
        <v>0.097873534741972</v>
      </c>
      <c r="M74" s="886">
        <f t="shared" si="90"/>
        <v>0.289635669649653</v>
      </c>
      <c r="N74" s="887">
        <f t="shared" si="86"/>
        <v>0</v>
      </c>
      <c r="O74" s="688">
        <f t="shared" si="91"/>
        <v>0</v>
      </c>
      <c r="P74" s="915" t="e">
        <f t="shared" si="92"/>
        <v>#DIV/0!</v>
      </c>
      <c r="Q74" s="685" t="e">
        <f t="shared" si="93"/>
        <v>#DIV/0!</v>
      </c>
      <c r="R74" s="902">
        <f t="shared" si="94"/>
        <v>169.642470588235</v>
      </c>
    </row>
    <row r="75" spans="1:26">
      <c r="A75" s="686" t="s">
        <v>27</v>
      </c>
      <c r="B75" s="685">
        <f>SUM(万相台!B164:B192)</f>
        <v>5781.09</v>
      </c>
      <c r="C75" s="872">
        <f>SUM(万相台!C164:C192)</f>
        <v>827507</v>
      </c>
      <c r="D75" s="872">
        <f>SUM(万相台!D164:D192)</f>
        <v>16623</v>
      </c>
      <c r="E75" s="872">
        <f>SUM(万相台!E164:E192)</f>
        <v>1</v>
      </c>
      <c r="F75" s="685">
        <f>SUM(万相台!F164:F192)</f>
        <v>15880</v>
      </c>
      <c r="G75" s="872">
        <f>SUM(万相台!G164:G192)</f>
        <v>123</v>
      </c>
      <c r="H75" s="872">
        <f>SUM(万相台!H164:H192)</f>
        <v>67</v>
      </c>
      <c r="I75" s="38"/>
      <c r="J75" s="872">
        <f t="shared" si="87"/>
        <v>67</v>
      </c>
      <c r="K75" s="688">
        <f t="shared" si="88"/>
        <v>0.0200880475935551</v>
      </c>
      <c r="L75" s="685">
        <f t="shared" si="89"/>
        <v>0.347776574625519</v>
      </c>
      <c r="M75" s="886">
        <f t="shared" si="90"/>
        <v>6.98615238300099</v>
      </c>
      <c r="N75" s="887">
        <f>(B75/C75)*1000</f>
        <v>6.98615238300099</v>
      </c>
      <c r="O75" s="688">
        <f t="shared" si="91"/>
        <v>6.01576129459183e-5</v>
      </c>
      <c r="P75" s="915">
        <f t="shared" si="92"/>
        <v>15880</v>
      </c>
      <c r="Q75" s="685">
        <f t="shared" si="93"/>
        <v>5781.09</v>
      </c>
      <c r="R75" s="902">
        <f t="shared" si="94"/>
        <v>47.0007317073171</v>
      </c>
    </row>
    <row r="76" spans="1:26">
      <c r="A76" s="891" t="s">
        <v>22</v>
      </c>
      <c r="B76" s="903">
        <f t="shared" ref="B76:I76" si="95">SUM(B72:B75)</f>
        <v>66613.69</v>
      </c>
      <c r="C76" s="904">
        <f t="shared" si="95"/>
        <v>50740777</v>
      </c>
      <c r="D76" s="904">
        <f t="shared" si="95"/>
        <v>176160</v>
      </c>
      <c r="E76" s="904">
        <f t="shared" si="95"/>
        <v>32</v>
      </c>
      <c r="F76" s="903">
        <f t="shared" si="95"/>
        <v>454919</v>
      </c>
      <c r="G76" s="904">
        <f t="shared" si="95"/>
        <v>1610</v>
      </c>
      <c r="H76" s="904">
        <f t="shared" si="95"/>
        <v>284</v>
      </c>
      <c r="I76" s="904">
        <f t="shared" si="95"/>
        <v>403</v>
      </c>
      <c r="J76" s="904">
        <f t="shared" si="87"/>
        <v>687</v>
      </c>
      <c r="K76" s="896">
        <f t="shared" si="88"/>
        <v>0.00347176394244022</v>
      </c>
      <c r="L76" s="903">
        <f t="shared" si="89"/>
        <v>0.378143108537693</v>
      </c>
      <c r="M76" s="897">
        <f t="shared" si="90"/>
        <v>1.31282360930342</v>
      </c>
      <c r="N76" s="898">
        <f t="shared" ref="N76:N84" si="96">F76/B76</f>
        <v>6.82921183318324</v>
      </c>
      <c r="O76" s="896">
        <f t="shared" si="91"/>
        <v>0.000181653042688465</v>
      </c>
      <c r="P76" s="916">
        <f t="shared" si="92"/>
        <v>14216.21875</v>
      </c>
      <c r="Q76" s="903">
        <f t="shared" si="93"/>
        <v>2081.6778125</v>
      </c>
      <c r="R76" s="902">
        <f t="shared" si="94"/>
        <v>41.3749627329193</v>
      </c>
    </row>
    <row r="79" ht="41.4" spans="1:26">
      <c r="A79" s="868" t="s">
        <v>24</v>
      </c>
      <c r="B79" s="869" t="s">
        <v>1</v>
      </c>
      <c r="C79" s="870" t="s">
        <v>2</v>
      </c>
      <c r="D79" s="870" t="s">
        <v>3</v>
      </c>
      <c r="E79" s="871" t="s">
        <v>4</v>
      </c>
      <c r="F79" s="869" t="s">
        <v>5</v>
      </c>
      <c r="G79" s="871" t="s">
        <v>6</v>
      </c>
      <c r="H79" s="871" t="s">
        <v>7</v>
      </c>
      <c r="I79" s="871" t="s">
        <v>8</v>
      </c>
      <c r="J79" s="871" t="s">
        <v>34</v>
      </c>
      <c r="K79" s="879" t="s">
        <v>9</v>
      </c>
      <c r="L79" s="869" t="s">
        <v>10</v>
      </c>
      <c r="M79" s="880" t="s">
        <v>11</v>
      </c>
      <c r="N79" s="881" t="s">
        <v>12</v>
      </c>
      <c r="O79" s="879" t="s">
        <v>13</v>
      </c>
      <c r="P79" s="875" t="s">
        <v>14</v>
      </c>
      <c r="Q79" s="869" t="s">
        <v>15</v>
      </c>
      <c r="R79" s="912" t="s">
        <v>16</v>
      </c>
      <c r="S79" s="882" t="s">
        <v>35</v>
      </c>
      <c r="T79" s="882" t="s">
        <v>36</v>
      </c>
      <c r="U79" s="882" t="s">
        <v>38</v>
      </c>
      <c r="V79" s="882" t="s">
        <v>39</v>
      </c>
      <c r="W79" s="882" t="s">
        <v>40</v>
      </c>
      <c r="X79" s="882" t="s">
        <v>41</v>
      </c>
      <c r="Y79" s="882" t="s">
        <v>42</v>
      </c>
      <c r="Z79" s="882" t="s">
        <v>43</v>
      </c>
    </row>
    <row r="80" spans="1:26">
      <c r="A80" s="686" t="s">
        <v>19</v>
      </c>
      <c r="B80" s="685">
        <f>SUM(明星店铺!B705:B735)</f>
        <v>7518.61</v>
      </c>
      <c r="C80" s="872">
        <f>SUM(明星店铺!C705:C735)</f>
        <v>9372</v>
      </c>
      <c r="D80" s="872">
        <f>SUM(明星店铺!D705:D735)</f>
        <v>3804</v>
      </c>
      <c r="E80" s="872">
        <f>SUM(明星店铺!E705:E735)</f>
        <v>60</v>
      </c>
      <c r="F80" s="872">
        <f>SUM(明星店铺!F705:F735)</f>
        <v>909870</v>
      </c>
      <c r="G80" s="872">
        <f>SUM(明星店铺!G705:G735)</f>
        <v>1034</v>
      </c>
      <c r="H80" s="872">
        <f>SUM(明星店铺!H705:H735)</f>
        <v>74</v>
      </c>
      <c r="I80" s="872">
        <f>SUM(明星店铺!I705:I735)</f>
        <v>234</v>
      </c>
      <c r="J80" s="872">
        <f t="shared" ref="J80:J84" si="97">H80+I80</f>
        <v>308</v>
      </c>
      <c r="K80" s="688">
        <f t="shared" ref="K80:K84" si="98">D80/C80</f>
        <v>0.405889884763124</v>
      </c>
      <c r="L80" s="685">
        <f t="shared" ref="L80:L84" si="99">B80/D80</f>
        <v>1.97650105152471</v>
      </c>
      <c r="M80" s="886">
        <f t="shared" ref="M80:M84" si="100">(B80/C80)*1000</f>
        <v>802.241784037558</v>
      </c>
      <c r="N80" s="887">
        <f t="shared" si="96"/>
        <v>121.015719660948</v>
      </c>
      <c r="O80" s="688">
        <f t="shared" ref="O80:O84" si="101">E80/D80</f>
        <v>0.0157728706624606</v>
      </c>
      <c r="P80" s="915">
        <f t="shared" ref="P80:P84" si="102">F80/E80</f>
        <v>15164.5</v>
      </c>
      <c r="Q80" s="685">
        <f t="shared" ref="Q80:Q84" si="103">B80/E80</f>
        <v>125.310166666667</v>
      </c>
      <c r="R80" s="902">
        <f t="shared" ref="R80:R84" si="104">B80/G80</f>
        <v>7.2713829787234</v>
      </c>
      <c r="S80" s="558">
        <f t="shared" ref="S80:S84" si="105">G80+J80</f>
        <v>1342</v>
      </c>
      <c r="T80" s="850">
        <f t="shared" ref="T80:T84" si="106">B80/S80</f>
        <v>5.60254098360656</v>
      </c>
      <c r="V80" s="917">
        <f t="shared" ref="V80:V83" si="107">D80/$D$84</f>
        <v>0.00687440476943456</v>
      </c>
    </row>
    <row r="81" spans="1:26">
      <c r="A81" s="686" t="s">
        <v>20</v>
      </c>
      <c r="B81" s="685">
        <f>SUM(直通车!B705:B735)</f>
        <v>79734.93</v>
      </c>
      <c r="C81" s="918">
        <f>SUM(直通车!C705:C735)</f>
        <v>305903</v>
      </c>
      <c r="D81" s="918">
        <f>SUM(直通车!D705:D735)</f>
        <v>16284</v>
      </c>
      <c r="E81" s="918">
        <f>SUM(直通车!E705:E735)</f>
        <v>57</v>
      </c>
      <c r="F81" s="918">
        <f>SUM(直通车!F705:F735)</f>
        <v>945831</v>
      </c>
      <c r="G81" s="918">
        <f>SUM(直通车!G705:G735)</f>
        <v>1117</v>
      </c>
      <c r="H81" s="918">
        <f>SUM(直通车!H705:H735)</f>
        <v>161</v>
      </c>
      <c r="I81" s="918">
        <f>SUM(直通车!I705:I735)</f>
        <v>188</v>
      </c>
      <c r="J81" s="872">
        <f t="shared" si="97"/>
        <v>349</v>
      </c>
      <c r="K81" s="688">
        <f t="shared" si="98"/>
        <v>0.0532325606483101</v>
      </c>
      <c r="L81" s="685">
        <f t="shared" si="99"/>
        <v>4.89651989683125</v>
      </c>
      <c r="M81" s="886">
        <f t="shared" si="100"/>
        <v>260.654292373726</v>
      </c>
      <c r="N81" s="887">
        <f t="shared" si="96"/>
        <v>11.8621913883915</v>
      </c>
      <c r="O81" s="688">
        <f t="shared" si="101"/>
        <v>0.00350036845983788</v>
      </c>
      <c r="P81" s="915">
        <f t="shared" si="102"/>
        <v>16593.5263157895</v>
      </c>
      <c r="Q81" s="685">
        <f t="shared" si="103"/>
        <v>1398.85842105263</v>
      </c>
      <c r="R81" s="902">
        <f t="shared" si="104"/>
        <v>71.3831065353626</v>
      </c>
      <c r="S81" s="558">
        <f t="shared" si="105"/>
        <v>1466</v>
      </c>
      <c r="T81" s="850">
        <f t="shared" si="106"/>
        <v>54.3894474761255</v>
      </c>
      <c r="V81" s="917">
        <f t="shared" si="107"/>
        <v>0.0294276570098508</v>
      </c>
    </row>
    <row r="82" spans="1:26">
      <c r="A82" s="686" t="s">
        <v>21</v>
      </c>
      <c r="B82" s="685">
        <f>SUM(引力魔方!B604:B634)</f>
        <v>46814.25</v>
      </c>
      <c r="C82" s="918">
        <f>SUM(引力魔方!C604:C634)</f>
        <v>66709402</v>
      </c>
      <c r="D82" s="918">
        <f>SUM(引力魔方!D604:D634)</f>
        <v>335835</v>
      </c>
      <c r="E82" s="918">
        <f>SUM(引力魔方!E604:E634)</f>
        <v>4</v>
      </c>
      <c r="F82" s="918">
        <f>SUM(引力魔方!F604:F634)</f>
        <v>73400</v>
      </c>
      <c r="G82" s="918">
        <f>SUM(引力魔方!G604:G634)</f>
        <v>250</v>
      </c>
      <c r="H82" s="918">
        <f>SUM(引力魔方!H604:H634)</f>
        <v>320</v>
      </c>
      <c r="I82" s="918">
        <f>SUM(引力魔方!I604:I634)</f>
        <v>52</v>
      </c>
      <c r="J82" s="872">
        <f t="shared" si="97"/>
        <v>372</v>
      </c>
      <c r="K82" s="688">
        <f t="shared" si="98"/>
        <v>0.00503429786404021</v>
      </c>
      <c r="L82" s="685">
        <f t="shared" si="99"/>
        <v>0.139396578677029</v>
      </c>
      <c r="M82" s="886">
        <f t="shared" si="100"/>
        <v>0.70176389828828</v>
      </c>
      <c r="N82" s="887">
        <f t="shared" si="96"/>
        <v>1.56789866333435</v>
      </c>
      <c r="O82" s="688">
        <f t="shared" si="101"/>
        <v>1.19106108654548e-5</v>
      </c>
      <c r="P82" s="915">
        <f t="shared" si="102"/>
        <v>18350</v>
      </c>
      <c r="Q82" s="685">
        <f t="shared" si="103"/>
        <v>11703.5625</v>
      </c>
      <c r="R82" s="902">
        <f t="shared" si="104"/>
        <v>187.257</v>
      </c>
      <c r="S82" s="558">
        <f t="shared" si="105"/>
        <v>622</v>
      </c>
      <c r="T82" s="850">
        <f t="shared" si="106"/>
        <v>75.2640675241157</v>
      </c>
      <c r="V82" s="917">
        <f t="shared" si="107"/>
        <v>0.606904764916681</v>
      </c>
    </row>
    <row r="83" spans="1:26">
      <c r="A83" s="686" t="s">
        <v>27</v>
      </c>
      <c r="B83" s="685">
        <f>SUM(万相台!B193:B223)</f>
        <v>73707.19</v>
      </c>
      <c r="C83" s="918">
        <f>SUM(万相台!C193:C223)</f>
        <v>19398232</v>
      </c>
      <c r="D83" s="918">
        <f>SUM(万相台!D193:D223)</f>
        <v>197434</v>
      </c>
      <c r="E83" s="918">
        <f>SUM(万相台!E193:E223)</f>
        <v>42</v>
      </c>
      <c r="F83" s="918">
        <f>SUM(万相台!F193:F223)</f>
        <v>703035</v>
      </c>
      <c r="G83" s="918">
        <f>SUM(万相台!G193:G223)</f>
        <v>1507</v>
      </c>
      <c r="H83" s="918">
        <f>SUM(万相台!H193:H223)</f>
        <v>3150</v>
      </c>
      <c r="I83" s="918">
        <f>SUM(万相台!J193:J223)</f>
        <v>0.427278846167421</v>
      </c>
      <c r="J83" s="872">
        <f t="shared" si="97"/>
        <v>3150.42727884617</v>
      </c>
      <c r="K83" s="688">
        <f t="shared" si="98"/>
        <v>0.0101779378656777</v>
      </c>
      <c r="L83" s="685">
        <f t="shared" si="99"/>
        <v>0.373325718974442</v>
      </c>
      <c r="M83" s="886">
        <f t="shared" si="100"/>
        <v>3.79968597138131</v>
      </c>
      <c r="N83" s="887">
        <f t="shared" si="96"/>
        <v>9.53821465721322</v>
      </c>
      <c r="O83" s="688">
        <f t="shared" si="101"/>
        <v>0.000212729317138892</v>
      </c>
      <c r="P83" s="915">
        <f t="shared" si="102"/>
        <v>16738.9285714286</v>
      </c>
      <c r="Q83" s="685">
        <f t="shared" si="103"/>
        <v>1754.9330952381</v>
      </c>
      <c r="R83" s="902">
        <f t="shared" si="104"/>
        <v>48.9098805573988</v>
      </c>
      <c r="S83" s="558">
        <f t="shared" si="105"/>
        <v>4657.42727884617</v>
      </c>
      <c r="T83" s="850">
        <f t="shared" si="106"/>
        <v>15.8257307279439</v>
      </c>
      <c r="V83" s="917">
        <f t="shared" si="107"/>
        <v>0.356793173304033</v>
      </c>
    </row>
    <row r="84" spans="1:26">
      <c r="A84" s="891" t="s">
        <v>22</v>
      </c>
      <c r="B84" s="903">
        <f t="shared" ref="B84:I84" si="108">SUM(B80:B83)</f>
        <v>207774.98</v>
      </c>
      <c r="C84" s="904">
        <f t="shared" si="108"/>
        <v>86422909</v>
      </c>
      <c r="D84" s="904">
        <f t="shared" si="108"/>
        <v>553357</v>
      </c>
      <c r="E84" s="904">
        <f t="shared" si="108"/>
        <v>163</v>
      </c>
      <c r="F84" s="903">
        <f t="shared" si="108"/>
        <v>2632136</v>
      </c>
      <c r="G84" s="904">
        <f t="shared" si="108"/>
        <v>3908</v>
      </c>
      <c r="H84" s="904">
        <f t="shared" si="108"/>
        <v>3705</v>
      </c>
      <c r="I84" s="904">
        <f t="shared" si="108"/>
        <v>474.427278846167</v>
      </c>
      <c r="J84" s="904">
        <f t="shared" si="97"/>
        <v>4179.42727884617</v>
      </c>
      <c r="K84" s="896">
        <f t="shared" si="98"/>
        <v>0.00640289717625682</v>
      </c>
      <c r="L84" s="903">
        <f t="shared" si="99"/>
        <v>0.375480892082327</v>
      </c>
      <c r="M84" s="897">
        <f t="shared" si="100"/>
        <v>2.40416554365232</v>
      </c>
      <c r="N84" s="898">
        <f t="shared" si="96"/>
        <v>12.6682048050251</v>
      </c>
      <c r="O84" s="896">
        <f t="shared" si="101"/>
        <v>0.000294565714358</v>
      </c>
      <c r="P84" s="916">
        <f t="shared" si="102"/>
        <v>16148.0736196319</v>
      </c>
      <c r="Q84" s="903">
        <f t="shared" si="103"/>
        <v>1274.69312883436</v>
      </c>
      <c r="R84" s="902">
        <f t="shared" si="104"/>
        <v>53.1665762538383</v>
      </c>
      <c r="S84" s="558">
        <f t="shared" si="105"/>
        <v>8087.42727884617</v>
      </c>
      <c r="T84" s="850">
        <f t="shared" si="106"/>
        <v>25.6911095254563</v>
      </c>
    </row>
    <row r="87" ht="41.4" spans="1:26">
      <c r="A87" s="868" t="s">
        <v>33</v>
      </c>
      <c r="B87" s="869" t="s">
        <v>1</v>
      </c>
      <c r="C87" s="870" t="s">
        <v>2</v>
      </c>
      <c r="D87" s="870" t="s">
        <v>3</v>
      </c>
      <c r="E87" s="871" t="s">
        <v>4</v>
      </c>
      <c r="F87" s="869" t="s">
        <v>5</v>
      </c>
      <c r="G87" s="871" t="s">
        <v>6</v>
      </c>
      <c r="H87" s="871" t="s">
        <v>7</v>
      </c>
      <c r="I87" s="871" t="s">
        <v>8</v>
      </c>
      <c r="J87" s="871" t="s">
        <v>34</v>
      </c>
      <c r="K87" s="879" t="s">
        <v>9</v>
      </c>
      <c r="L87" s="869" t="s">
        <v>10</v>
      </c>
      <c r="M87" s="880" t="s">
        <v>11</v>
      </c>
      <c r="N87" s="881" t="s">
        <v>12</v>
      </c>
      <c r="O87" s="879" t="s">
        <v>13</v>
      </c>
      <c r="P87" s="875" t="s">
        <v>14</v>
      </c>
      <c r="Q87" s="869" t="s">
        <v>15</v>
      </c>
      <c r="R87" s="912" t="s">
        <v>16</v>
      </c>
      <c r="S87" s="882" t="s">
        <v>35</v>
      </c>
      <c r="T87" s="882" t="s">
        <v>36</v>
      </c>
      <c r="U87" s="882" t="s">
        <v>38</v>
      </c>
      <c r="V87" s="882" t="s">
        <v>39</v>
      </c>
      <c r="W87" s="882" t="s">
        <v>40</v>
      </c>
      <c r="X87" s="882" t="s">
        <v>41</v>
      </c>
      <c r="Y87" s="882" t="s">
        <v>42</v>
      </c>
      <c r="Z87" s="882" t="s">
        <v>43</v>
      </c>
    </row>
    <row r="88" spans="1:26">
      <c r="A88" s="686" t="s">
        <v>19</v>
      </c>
      <c r="B88" s="685">
        <f>SUM(明星店铺!B736:B765)</f>
        <v>6488.18</v>
      </c>
      <c r="C88" s="872">
        <f>SUM(明星店铺!C736:C765)</f>
        <v>7851</v>
      </c>
      <c r="D88" s="872">
        <f>SUM(明星店铺!D736:D765)</f>
        <v>2955</v>
      </c>
      <c r="E88" s="872">
        <f>SUM(明星店铺!E736:E765)</f>
        <v>18</v>
      </c>
      <c r="F88" s="872">
        <f>SUM(明星店铺!F736:F765)</f>
        <v>276039</v>
      </c>
      <c r="G88" s="872">
        <f>SUM(明星店铺!G736:G765)</f>
        <v>783</v>
      </c>
      <c r="H88" s="872">
        <f>SUM(明星店铺!H736:H756)</f>
        <v>44</v>
      </c>
      <c r="I88" s="872">
        <f>SUM(明星店铺!I736:I765)</f>
        <v>145</v>
      </c>
      <c r="J88" s="872">
        <f t="shared" ref="J88:J92" si="109">H88+I88</f>
        <v>189</v>
      </c>
      <c r="K88" s="688">
        <f t="shared" ref="K88:K92" si="110">D88/C88</f>
        <v>0.376385173863202</v>
      </c>
      <c r="L88" s="685">
        <f t="shared" ref="L88:L92" si="111">B88/D88</f>
        <v>2.19566159052453</v>
      </c>
      <c r="M88" s="886">
        <f t="shared" ref="M88:M92" si="112">(B88/C88)*1000</f>
        <v>826.414469494332</v>
      </c>
      <c r="N88" s="887">
        <f t="shared" ref="N88:N92" si="113">F88/B88</f>
        <v>42.5449047344556</v>
      </c>
      <c r="O88" s="688">
        <f t="shared" ref="O88:O92" si="114">E88/D88</f>
        <v>0.00609137055837563</v>
      </c>
      <c r="P88" s="915">
        <f t="shared" ref="P88:P91" si="115">IF(E88=0,"0",F88/E88)</f>
        <v>15335.5</v>
      </c>
      <c r="Q88" s="685">
        <f t="shared" ref="Q88:Q91" si="116">IF(E88=0,"0",B88/E88)</f>
        <v>360.454444444444</v>
      </c>
      <c r="R88" s="902">
        <f t="shared" ref="R88:R92" si="117">B88/G88</f>
        <v>8.28630906768838</v>
      </c>
      <c r="S88" s="558">
        <f t="shared" ref="S88:S92" si="118">G88+J88</f>
        <v>972</v>
      </c>
      <c r="T88" s="850">
        <f t="shared" ref="T88:T92" si="119">B88/S88</f>
        <v>6.67508230452675</v>
      </c>
      <c r="U88" s="917">
        <f t="shared" ref="U88:U92" si="120">(B88-B80)/B80</f>
        <v>-0.137050598448383</v>
      </c>
      <c r="V88" s="917">
        <f t="shared" ref="V88:V91" si="121">D88/$D$92</f>
        <v>0.0073047553833946</v>
      </c>
      <c r="W88" s="917">
        <f t="shared" ref="W88:W92" si="122">(G88-G80)/G80</f>
        <v>-0.242746615087041</v>
      </c>
      <c r="Y88" s="917">
        <f t="shared" ref="Y88:Y92" si="123">(R88-R80)/R80</f>
        <v>0.139578136914906</v>
      </c>
      <c r="Z88" s="917">
        <f t="shared" ref="Z88:Z92" si="124">(T88-T80)/T80</f>
        <v>0.191438371278055</v>
      </c>
    </row>
    <row r="89" spans="1:26">
      <c r="A89" s="686" t="s">
        <v>20</v>
      </c>
      <c r="B89" s="685">
        <f>SUM(直通车!B736:B765)</f>
        <v>55187.14</v>
      </c>
      <c r="C89" s="918">
        <f>SUM(直通车!C736:C765)</f>
        <v>217527</v>
      </c>
      <c r="D89" s="918">
        <f>SUM(直通车!D736:D765)</f>
        <v>13706</v>
      </c>
      <c r="E89" s="918">
        <f>SUM(直通车!E736:E765)</f>
        <v>9</v>
      </c>
      <c r="F89" s="918">
        <f>SUM(直通车!F736:F765)</f>
        <v>196570</v>
      </c>
      <c r="G89" s="918">
        <f>SUM(直通车!G736:G765)</f>
        <v>945</v>
      </c>
      <c r="H89" s="918">
        <f>SUM(直通车!H736:H765)</f>
        <v>95</v>
      </c>
      <c r="I89" s="918">
        <f>SUM(直通车!I736:I765)</f>
        <v>115</v>
      </c>
      <c r="J89" s="872">
        <f t="shared" si="109"/>
        <v>210</v>
      </c>
      <c r="K89" s="688">
        <f t="shared" si="110"/>
        <v>0.0630082702377176</v>
      </c>
      <c r="L89" s="685">
        <f t="shared" si="111"/>
        <v>4.02649496570845</v>
      </c>
      <c r="M89" s="886">
        <f t="shared" si="112"/>
        <v>253.702482910168</v>
      </c>
      <c r="N89" s="887">
        <f t="shared" si="113"/>
        <v>3.56188053956048</v>
      </c>
      <c r="O89" s="688">
        <f t="shared" si="114"/>
        <v>0.000656646724062454</v>
      </c>
      <c r="P89" s="915">
        <f t="shared" si="115"/>
        <v>21841.1111111111</v>
      </c>
      <c r="Q89" s="685">
        <f t="shared" si="116"/>
        <v>6131.90444444445</v>
      </c>
      <c r="R89" s="902">
        <f t="shared" si="117"/>
        <v>58.39908994709</v>
      </c>
      <c r="S89" s="558">
        <f t="shared" si="118"/>
        <v>1155</v>
      </c>
      <c r="T89" s="850">
        <f t="shared" si="119"/>
        <v>47.7810735930736</v>
      </c>
      <c r="U89" s="917">
        <f t="shared" si="120"/>
        <v>-0.307867455329803</v>
      </c>
      <c r="V89" s="917">
        <f t="shared" si="121"/>
        <v>0.0338812105870749</v>
      </c>
      <c r="W89" s="917">
        <f t="shared" si="122"/>
        <v>-0.153983885407341</v>
      </c>
      <c r="Y89" s="917">
        <f t="shared" si="123"/>
        <v>-0.181892008045916</v>
      </c>
      <c r="Z89" s="917">
        <f t="shared" si="124"/>
        <v>-0.121501029881811</v>
      </c>
    </row>
    <row r="90" spans="1:26">
      <c r="A90" s="686" t="s">
        <v>21</v>
      </c>
      <c r="B90" s="685">
        <f>SUM(引力魔方!B635:B664)</f>
        <v>37490.77</v>
      </c>
      <c r="C90" s="918">
        <f>SUM(引力魔方!C635:C664)</f>
        <v>43486150</v>
      </c>
      <c r="D90" s="918">
        <f>SUM(引力魔方!D635:D664)</f>
        <v>167971</v>
      </c>
      <c r="E90" s="918">
        <f>SUM(引力魔方!E635:E664)</f>
        <v>2</v>
      </c>
      <c r="F90" s="918">
        <f>SUM(引力魔方!F635:F664)</f>
        <v>20393.68</v>
      </c>
      <c r="G90" s="918">
        <f>SUM(引力魔方!G635:G664)</f>
        <v>247</v>
      </c>
      <c r="H90" s="918">
        <f>SUM(引力魔方!H635:H664)</f>
        <v>899</v>
      </c>
      <c r="I90" s="918">
        <f>SUM(引力魔方!I635:I664)</f>
        <v>54</v>
      </c>
      <c r="J90" s="872">
        <f t="shared" si="109"/>
        <v>953</v>
      </c>
      <c r="K90" s="688">
        <f t="shared" si="110"/>
        <v>0.00386263212540085</v>
      </c>
      <c r="L90" s="685">
        <f t="shared" si="111"/>
        <v>0.223197873442439</v>
      </c>
      <c r="M90" s="886">
        <f t="shared" si="112"/>
        <v>0.862131276279919</v>
      </c>
      <c r="N90" s="887">
        <f t="shared" si="113"/>
        <v>0.54396535467263</v>
      </c>
      <c r="O90" s="688">
        <f t="shared" si="114"/>
        <v>1.19068172482155e-5</v>
      </c>
      <c r="P90" s="915">
        <f t="shared" si="115"/>
        <v>10196.84</v>
      </c>
      <c r="Q90" s="685">
        <f t="shared" si="116"/>
        <v>18745.385</v>
      </c>
      <c r="R90" s="902">
        <f t="shared" si="117"/>
        <v>151.784493927126</v>
      </c>
      <c r="S90" s="558">
        <f t="shared" si="118"/>
        <v>1200</v>
      </c>
      <c r="T90" s="850">
        <f t="shared" si="119"/>
        <v>31.2423083333333</v>
      </c>
      <c r="U90" s="917">
        <f t="shared" si="120"/>
        <v>-0.199159016752378</v>
      </c>
      <c r="V90" s="917">
        <f t="shared" si="121"/>
        <v>0.415224049578401</v>
      </c>
      <c r="W90" s="917">
        <f t="shared" si="122"/>
        <v>-0.012</v>
      </c>
      <c r="Y90" s="917">
        <f t="shared" si="123"/>
        <v>-0.189432203190666</v>
      </c>
      <c r="Z90" s="917">
        <f t="shared" si="124"/>
        <v>-0.584897423683316</v>
      </c>
    </row>
    <row r="91" spans="1:26">
      <c r="A91" s="686" t="s">
        <v>27</v>
      </c>
      <c r="B91" s="685">
        <f>SUM(万相台!B224:B253)</f>
        <v>61294.7</v>
      </c>
      <c r="C91" s="918">
        <f>SUM(万相台!C224:C253)</f>
        <v>18951479</v>
      </c>
      <c r="D91" s="918">
        <f>SUM(万相台!D224:D253)</f>
        <v>219899</v>
      </c>
      <c r="E91" s="918">
        <f>SUM(万相台!E224:E253)</f>
        <v>31</v>
      </c>
      <c r="F91" s="918">
        <f>SUM(万相台!F224:F253)</f>
        <v>464453.48</v>
      </c>
      <c r="G91" s="918">
        <f>SUM(万相台!G224:G253)</f>
        <v>1037</v>
      </c>
      <c r="H91" s="918">
        <f>SUM(万相台!H224:H253)</f>
        <v>3263</v>
      </c>
      <c r="I91" s="918">
        <f>SUM(万相台!I224:I253)</f>
        <v>394</v>
      </c>
      <c r="J91" s="872">
        <f t="shared" si="109"/>
        <v>3657</v>
      </c>
      <c r="K91" s="688">
        <f t="shared" si="110"/>
        <v>0.0116032632598226</v>
      </c>
      <c r="L91" s="685">
        <f t="shared" si="111"/>
        <v>0.27874023983738</v>
      </c>
      <c r="M91" s="886">
        <f t="shared" si="112"/>
        <v>3.23429638393922</v>
      </c>
      <c r="N91" s="887">
        <f t="shared" si="113"/>
        <v>7.57738401525744</v>
      </c>
      <c r="O91" s="688">
        <f t="shared" si="114"/>
        <v>0.000140973810704005</v>
      </c>
      <c r="P91" s="915">
        <f t="shared" si="115"/>
        <v>14982.3703225806</v>
      </c>
      <c r="Q91" s="685">
        <f t="shared" si="116"/>
        <v>1977.24838709677</v>
      </c>
      <c r="R91" s="902">
        <f t="shared" si="117"/>
        <v>59.1077145612343</v>
      </c>
      <c r="S91" s="558">
        <f t="shared" si="118"/>
        <v>4694</v>
      </c>
      <c r="T91" s="850">
        <f t="shared" si="119"/>
        <v>13.0580954409885</v>
      </c>
      <c r="U91" s="917">
        <f t="shared" si="120"/>
        <v>-0.16840270264</v>
      </c>
      <c r="V91" s="917">
        <f t="shared" si="121"/>
        <v>0.54358998445113</v>
      </c>
      <c r="W91" s="917">
        <f t="shared" si="122"/>
        <v>-0.311877903118779</v>
      </c>
      <c r="Y91" s="917">
        <f t="shared" si="123"/>
        <v>0.208502533386229</v>
      </c>
      <c r="Z91" s="917">
        <f t="shared" si="124"/>
        <v>-0.174881990255814</v>
      </c>
    </row>
    <row r="92" spans="1:26">
      <c r="A92" s="891" t="s">
        <v>22</v>
      </c>
      <c r="B92" s="903">
        <f t="shared" ref="B92:I92" si="125">SUM(B88:B91)</f>
        <v>160460.79</v>
      </c>
      <c r="C92" s="904">
        <f t="shared" si="125"/>
        <v>62663007</v>
      </c>
      <c r="D92" s="904">
        <f t="shared" si="125"/>
        <v>404531</v>
      </c>
      <c r="E92" s="904">
        <f t="shared" si="125"/>
        <v>60</v>
      </c>
      <c r="F92" s="903">
        <f t="shared" si="125"/>
        <v>957456.16</v>
      </c>
      <c r="G92" s="904">
        <f t="shared" si="125"/>
        <v>3012</v>
      </c>
      <c r="H92" s="904">
        <f t="shared" si="125"/>
        <v>4301</v>
      </c>
      <c r="I92" s="904">
        <f t="shared" si="125"/>
        <v>708</v>
      </c>
      <c r="J92" s="872">
        <f t="shared" si="109"/>
        <v>5009</v>
      </c>
      <c r="K92" s="896">
        <f t="shared" si="110"/>
        <v>0.00645565891850674</v>
      </c>
      <c r="L92" s="903">
        <f t="shared" si="111"/>
        <v>0.396658822191624</v>
      </c>
      <c r="M92" s="897">
        <f t="shared" si="112"/>
        <v>2.56069406308574</v>
      </c>
      <c r="N92" s="898">
        <f t="shared" si="113"/>
        <v>5.96691665297173</v>
      </c>
      <c r="O92" s="896">
        <f t="shared" si="114"/>
        <v>0.000148319906261819</v>
      </c>
      <c r="P92" s="916">
        <f>F92/E92</f>
        <v>15957.6026666667</v>
      </c>
      <c r="Q92" s="903">
        <f>B92/E92</f>
        <v>2674.3465</v>
      </c>
      <c r="R92" s="902">
        <f t="shared" si="117"/>
        <v>53.2738346613546</v>
      </c>
      <c r="S92" s="558">
        <f t="shared" si="118"/>
        <v>8021</v>
      </c>
      <c r="T92" s="850">
        <f t="shared" si="119"/>
        <v>20.0050854008228</v>
      </c>
      <c r="U92" s="917">
        <f t="shared" si="120"/>
        <v>-0.22771841922449</v>
      </c>
      <c r="V92" s="917"/>
      <c r="W92" s="917">
        <f t="shared" si="122"/>
        <v>-0.229273285568066</v>
      </c>
      <c r="Y92" s="917">
        <f t="shared" si="123"/>
        <v>0.00201740294511732</v>
      </c>
      <c r="Z92" s="917">
        <f t="shared" si="124"/>
        <v>-0.22132263766185</v>
      </c>
    </row>
    <row r="93" spans="1:26">
      <c r="A93" s="37" t="s">
        <v>45</v>
      </c>
      <c r="B93" s="917">
        <f t="shared" ref="B93:R93" si="126">(B92-B84)/B84</f>
        <v>-0.22771841922449</v>
      </c>
      <c r="C93" s="917">
        <f t="shared" si="126"/>
        <v>-0.274925968992782</v>
      </c>
      <c r="D93" s="917">
        <f t="shared" si="126"/>
        <v>-0.268951147270207</v>
      </c>
      <c r="E93" s="917">
        <f t="shared" si="126"/>
        <v>-0.631901840490798</v>
      </c>
      <c r="F93" s="917">
        <f t="shared" si="126"/>
        <v>-0.636243659142233</v>
      </c>
      <c r="G93" s="917">
        <f t="shared" si="126"/>
        <v>-0.229273285568066</v>
      </c>
      <c r="H93" s="917">
        <f t="shared" si="126"/>
        <v>0.160863697705803</v>
      </c>
      <c r="I93" s="917">
        <f t="shared" si="126"/>
        <v>0.492325655729354</v>
      </c>
      <c r="J93" s="917">
        <f t="shared" si="126"/>
        <v>0.198489569456717</v>
      </c>
      <c r="K93" s="917">
        <f t="shared" si="126"/>
        <v>0.0082402919799443</v>
      </c>
      <c r="L93" s="917">
        <f t="shared" si="126"/>
        <v>0.0564021513634159</v>
      </c>
      <c r="M93" s="917">
        <f t="shared" si="126"/>
        <v>0.0651072135388917</v>
      </c>
      <c r="N93" s="917">
        <f t="shared" si="126"/>
        <v>-0.528984828962915</v>
      </c>
      <c r="O93" s="917">
        <f t="shared" si="126"/>
        <v>-0.49647939650723</v>
      </c>
      <c r="P93" s="917">
        <f t="shared" si="126"/>
        <v>-0.0117952740030657</v>
      </c>
      <c r="Q93" s="917">
        <f t="shared" si="126"/>
        <v>1.09803162777347</v>
      </c>
      <c r="R93" s="917">
        <f t="shared" si="126"/>
        <v>0.00201740294511732</v>
      </c>
    </row>
    <row r="95" ht="41.4" spans="1:26">
      <c r="A95" s="868" t="s">
        <v>75</v>
      </c>
      <c r="B95" s="869" t="s">
        <v>1</v>
      </c>
      <c r="C95" s="870" t="s">
        <v>2</v>
      </c>
      <c r="D95" s="870" t="s">
        <v>3</v>
      </c>
      <c r="E95" s="871" t="s">
        <v>4</v>
      </c>
      <c r="F95" s="869" t="s">
        <v>5</v>
      </c>
      <c r="G95" s="871" t="s">
        <v>6</v>
      </c>
      <c r="H95" s="871" t="s">
        <v>7</v>
      </c>
      <c r="I95" s="871" t="s">
        <v>8</v>
      </c>
      <c r="J95" s="871" t="s">
        <v>34</v>
      </c>
      <c r="K95" s="879" t="s">
        <v>9</v>
      </c>
      <c r="L95" s="869" t="s">
        <v>10</v>
      </c>
      <c r="M95" s="880" t="s">
        <v>11</v>
      </c>
      <c r="N95" s="881" t="s">
        <v>12</v>
      </c>
      <c r="O95" s="879" t="s">
        <v>13</v>
      </c>
      <c r="P95" s="875" t="s">
        <v>14</v>
      </c>
      <c r="Q95" s="869" t="s">
        <v>15</v>
      </c>
      <c r="R95" s="912" t="s">
        <v>16</v>
      </c>
      <c r="S95" s="882" t="s">
        <v>35</v>
      </c>
      <c r="T95" s="882" t="s">
        <v>36</v>
      </c>
      <c r="U95" s="882" t="s">
        <v>38</v>
      </c>
      <c r="V95" s="882" t="s">
        <v>39</v>
      </c>
      <c r="W95" s="882" t="s">
        <v>40</v>
      </c>
      <c r="X95" s="882" t="s">
        <v>41</v>
      </c>
      <c r="Y95" s="882" t="s">
        <v>42</v>
      </c>
      <c r="Z95" s="882" t="s">
        <v>43</v>
      </c>
    </row>
    <row r="96" spans="1:26">
      <c r="A96" s="686" t="s">
        <v>19</v>
      </c>
      <c r="B96" s="694">
        <f>SUM(明星店铺!B754:B784)</f>
        <v>10192.19</v>
      </c>
      <c r="C96" s="694">
        <f>SUM(明星店铺!C754:C784)</f>
        <v>12523</v>
      </c>
      <c r="D96" s="694">
        <f>SUM(明星店铺!D754:D784)</f>
        <v>5987</v>
      </c>
      <c r="E96" s="694">
        <f>SUM(明星店铺!E754:E784)</f>
        <v>63</v>
      </c>
      <c r="F96" s="694">
        <f>SUM(明星店铺!F754:F784)</f>
        <v>716985.81</v>
      </c>
      <c r="G96" s="694">
        <f>SUM(明星店铺!G754:G784)</f>
        <v>1518</v>
      </c>
      <c r="H96" s="694">
        <f>SUM(明星店铺!H754:H784)</f>
        <v>206</v>
      </c>
      <c r="I96" s="694">
        <f>SUM(明星店铺!I754:I784)</f>
        <v>387</v>
      </c>
      <c r="J96" s="872">
        <f t="shared" ref="J96:J100" si="127">H96+I96</f>
        <v>593</v>
      </c>
      <c r="K96" s="688">
        <f t="shared" ref="K96:K100" si="128">D96/C96</f>
        <v>0.478080332188773</v>
      </c>
      <c r="L96" s="685">
        <f t="shared" ref="L96:L100" si="129">B96/D96</f>
        <v>1.70238683814932</v>
      </c>
      <c r="M96" s="886">
        <f t="shared" ref="M96:M100" si="130">(B96/C96)*1000</f>
        <v>813.877665096223</v>
      </c>
      <c r="N96" s="887">
        <f t="shared" ref="N96:N100" si="131">F96/B96</f>
        <v>70.3465898889248</v>
      </c>
      <c r="O96" s="688">
        <f t="shared" ref="O96:O100" si="132">E96/D96</f>
        <v>0.0105227993986972</v>
      </c>
      <c r="P96" s="915">
        <f t="shared" ref="P96:P99" si="133">IF(E96=0,"0",F96/E96)</f>
        <v>11380.7271428571</v>
      </c>
      <c r="Q96" s="685">
        <f t="shared" ref="Q96:Q99" si="134">IF(E96=0,"0",B96/E96)</f>
        <v>161.780793650794</v>
      </c>
      <c r="R96" s="902">
        <f t="shared" ref="R96:R100" si="135">B96/G96</f>
        <v>6.71422266139657</v>
      </c>
      <c r="S96" s="558">
        <f t="shared" ref="S96:S100" si="136">G96+J96</f>
        <v>2111</v>
      </c>
      <c r="T96" s="850">
        <f t="shared" ref="T96:T100" si="137">B96/S96</f>
        <v>4.82813358597821</v>
      </c>
    </row>
    <row r="97" spans="1:26">
      <c r="A97" s="686" t="s">
        <v>20</v>
      </c>
      <c r="B97" s="694">
        <f>SUM(直通车!B754:B784)</f>
        <v>62554.14</v>
      </c>
      <c r="C97" s="694">
        <f>SUM(直通车!C754:C784)</f>
        <v>214054</v>
      </c>
      <c r="D97" s="694">
        <f>SUM(直通车!D754:D784)</f>
        <v>16047</v>
      </c>
      <c r="E97" s="694">
        <f>SUM(直通车!E754:E784)</f>
        <v>34</v>
      </c>
      <c r="F97" s="694">
        <f>SUM(直通车!F754:F784)</f>
        <v>471115</v>
      </c>
      <c r="G97" s="694">
        <f>SUM(直通车!G754:G784)</f>
        <v>1238</v>
      </c>
      <c r="H97" s="694">
        <f>SUM(直通车!H754:H784)</f>
        <v>152</v>
      </c>
      <c r="I97" s="694">
        <f>SUM(直通车!I754:I784)</f>
        <v>167</v>
      </c>
      <c r="J97" s="872">
        <f t="shared" si="127"/>
        <v>319</v>
      </c>
      <c r="K97" s="688">
        <f t="shared" si="128"/>
        <v>0.0749670643856223</v>
      </c>
      <c r="L97" s="685">
        <f t="shared" si="129"/>
        <v>3.89818283791363</v>
      </c>
      <c r="M97" s="886">
        <f t="shared" si="130"/>
        <v>292.235323796799</v>
      </c>
      <c r="N97" s="887">
        <f t="shared" si="131"/>
        <v>7.53131607276513</v>
      </c>
      <c r="O97" s="688">
        <f t="shared" si="132"/>
        <v>0.00211877609522029</v>
      </c>
      <c r="P97" s="915">
        <f t="shared" si="133"/>
        <v>13856.3235294118</v>
      </c>
      <c r="Q97" s="685">
        <f t="shared" si="134"/>
        <v>1839.82764705882</v>
      </c>
      <c r="R97" s="902">
        <f t="shared" si="135"/>
        <v>50.5283844911147</v>
      </c>
      <c r="S97" s="558">
        <f t="shared" si="136"/>
        <v>1557</v>
      </c>
      <c r="T97" s="850">
        <f t="shared" si="137"/>
        <v>40.1760693641618</v>
      </c>
    </row>
    <row r="98" spans="1:26">
      <c r="A98" s="686" t="s">
        <v>21</v>
      </c>
      <c r="B98" s="694">
        <f>SUM(引力魔方!B653:B683)</f>
        <v>39045.92</v>
      </c>
      <c r="C98" s="694">
        <f>SUM(引力魔方!C653:C683)</f>
        <v>42299840</v>
      </c>
      <c r="D98" s="694">
        <f>SUM(引力魔方!D653:D683)</f>
        <v>165191</v>
      </c>
      <c r="E98" s="694">
        <f>SUM(引力魔方!E653:E683)</f>
        <v>11</v>
      </c>
      <c r="F98" s="694">
        <f>SUM(引力魔方!F653:F683)</f>
        <v>115697</v>
      </c>
      <c r="G98" s="694">
        <f>SUM(引力魔方!G653:G683)</f>
        <v>395</v>
      </c>
      <c r="H98" s="694">
        <f>SUM(引力魔方!H653:H683)</f>
        <v>1299</v>
      </c>
      <c r="I98" s="694">
        <f>SUM(引力魔方!I653:I683)</f>
        <v>63</v>
      </c>
      <c r="J98" s="872">
        <f t="shared" si="127"/>
        <v>1362</v>
      </c>
      <c r="K98" s="688">
        <f t="shared" si="128"/>
        <v>0.00390523935787937</v>
      </c>
      <c r="L98" s="685">
        <f t="shared" si="129"/>
        <v>0.236368325150886</v>
      </c>
      <c r="M98" s="886">
        <f t="shared" si="130"/>
        <v>0.923074886335267</v>
      </c>
      <c r="N98" s="887">
        <f t="shared" si="131"/>
        <v>2.96310088224327</v>
      </c>
      <c r="O98" s="688">
        <f t="shared" si="132"/>
        <v>6.65895841783148e-5</v>
      </c>
      <c r="P98" s="915">
        <f t="shared" si="133"/>
        <v>10517.9090909091</v>
      </c>
      <c r="Q98" s="685">
        <f t="shared" si="134"/>
        <v>3549.62909090909</v>
      </c>
      <c r="R98" s="902">
        <f t="shared" si="135"/>
        <v>98.8504303797468</v>
      </c>
      <c r="S98" s="558">
        <f t="shared" si="136"/>
        <v>1757</v>
      </c>
      <c r="T98" s="850">
        <f t="shared" si="137"/>
        <v>22.223062037564</v>
      </c>
    </row>
    <row r="99" spans="1:26">
      <c r="A99" s="686" t="s">
        <v>27</v>
      </c>
      <c r="B99" s="694">
        <f>SUM(万相台!B242:B272)</f>
        <v>71615.16</v>
      </c>
      <c r="C99" s="694">
        <f>SUM(万相台!C242:C272)</f>
        <v>27107290</v>
      </c>
      <c r="D99" s="694">
        <f>SUM(万相台!D242:D272)</f>
        <v>279410</v>
      </c>
      <c r="E99" s="694">
        <f>SUM(万相台!E242:E272)</f>
        <v>50</v>
      </c>
      <c r="F99" s="694">
        <f>SUM(万相台!F242:F272)</f>
        <v>693722</v>
      </c>
      <c r="G99" s="694">
        <f>SUM(万相台!G242:G272)</f>
        <v>1349</v>
      </c>
      <c r="H99" s="694">
        <f>SUM(万相台!H242:H272)</f>
        <v>4672</v>
      </c>
      <c r="I99" s="694">
        <f>SUM(万相台!I242:I272)</f>
        <v>417</v>
      </c>
      <c r="J99" s="872">
        <f t="shared" si="127"/>
        <v>5089</v>
      </c>
      <c r="K99" s="688">
        <f t="shared" si="128"/>
        <v>0.0103075593318255</v>
      </c>
      <c r="L99" s="685">
        <f t="shared" si="129"/>
        <v>0.256308507211625</v>
      </c>
      <c r="M99" s="886">
        <f t="shared" si="130"/>
        <v>2.64191514533544</v>
      </c>
      <c r="N99" s="887">
        <f t="shared" si="131"/>
        <v>9.68680374378833</v>
      </c>
      <c r="O99" s="688">
        <f t="shared" si="132"/>
        <v>0.000178948498622097</v>
      </c>
      <c r="P99" s="915">
        <f t="shared" si="133"/>
        <v>13874.44</v>
      </c>
      <c r="Q99" s="685">
        <f t="shared" si="134"/>
        <v>1432.3032</v>
      </c>
      <c r="R99" s="902">
        <f t="shared" si="135"/>
        <v>53.0875908080059</v>
      </c>
      <c r="S99" s="558">
        <f t="shared" si="136"/>
        <v>6438</v>
      </c>
      <c r="T99" s="850">
        <f t="shared" si="137"/>
        <v>11.1238210624418</v>
      </c>
    </row>
    <row r="100" spans="1:26">
      <c r="A100" s="891" t="s">
        <v>22</v>
      </c>
      <c r="B100" s="903">
        <f t="shared" ref="B100:I100" si="138">SUM(B96:B99)</f>
        <v>183407.41</v>
      </c>
      <c r="C100" s="904">
        <f t="shared" si="138"/>
        <v>69633707</v>
      </c>
      <c r="D100" s="904">
        <f t="shared" si="138"/>
        <v>466635</v>
      </c>
      <c r="E100" s="904">
        <f t="shared" si="138"/>
        <v>158</v>
      </c>
      <c r="F100" s="903">
        <f t="shared" si="138"/>
        <v>1997519.81</v>
      </c>
      <c r="G100" s="904">
        <f t="shared" si="138"/>
        <v>4500</v>
      </c>
      <c r="H100" s="904">
        <f t="shared" si="138"/>
        <v>6329</v>
      </c>
      <c r="I100" s="904">
        <f t="shared" si="138"/>
        <v>1034</v>
      </c>
      <c r="J100" s="872">
        <f t="shared" si="127"/>
        <v>7363</v>
      </c>
      <c r="K100" s="896">
        <f t="shared" si="128"/>
        <v>0.00670128045890189</v>
      </c>
      <c r="L100" s="903">
        <f t="shared" si="129"/>
        <v>0.393042549315846</v>
      </c>
      <c r="M100" s="897">
        <f t="shared" si="130"/>
        <v>2.63388835524727</v>
      </c>
      <c r="N100" s="898">
        <f t="shared" si="131"/>
        <v>10.8911619764981</v>
      </c>
      <c r="O100" s="896">
        <f t="shared" si="132"/>
        <v>0.000338594404620313</v>
      </c>
      <c r="P100" s="916">
        <f>F100/E100</f>
        <v>12642.530443038</v>
      </c>
      <c r="Q100" s="903">
        <f>B100/E100</f>
        <v>1160.80639240506</v>
      </c>
      <c r="R100" s="902">
        <f t="shared" si="135"/>
        <v>40.7572022222222</v>
      </c>
      <c r="S100" s="558">
        <f t="shared" si="136"/>
        <v>11863</v>
      </c>
      <c r="T100" s="850">
        <f t="shared" si="137"/>
        <v>15.4604577257018</v>
      </c>
    </row>
    <row r="101" spans="1:26">
      <c r="A101" s="37" t="s">
        <v>47</v>
      </c>
      <c r="B101" s="917">
        <f t="shared" ref="B101:R101" si="139">(B100-B92)/B92</f>
        <v>0.143004530888823</v>
      </c>
      <c r="C101" s="917">
        <f t="shared" si="139"/>
        <v>0.11124107082828</v>
      </c>
      <c r="D101" s="917">
        <f t="shared" si="139"/>
        <v>0.153520990974734</v>
      </c>
      <c r="E101" s="917">
        <f t="shared" si="139"/>
        <v>1.63333333333333</v>
      </c>
      <c r="F101" s="917">
        <f t="shared" si="139"/>
        <v>1.0862780913123</v>
      </c>
      <c r="G101" s="917">
        <f t="shared" si="139"/>
        <v>0.49402390438247</v>
      </c>
      <c r="H101" s="917">
        <f t="shared" si="139"/>
        <v>0.471518251569402</v>
      </c>
      <c r="I101" s="917">
        <f t="shared" si="139"/>
        <v>0.46045197740113</v>
      </c>
      <c r="J101" s="917">
        <f t="shared" si="139"/>
        <v>0.469954082651228</v>
      </c>
      <c r="K101" s="917">
        <f t="shared" si="139"/>
        <v>0.0380474779562816</v>
      </c>
      <c r="L101" s="917">
        <f t="shared" si="139"/>
        <v>-0.00911683460309129</v>
      </c>
      <c r="M101" s="917">
        <f t="shared" si="139"/>
        <v>0.0285837707895981</v>
      </c>
      <c r="N101" s="917">
        <f t="shared" si="139"/>
        <v>0.825257936370527</v>
      </c>
      <c r="O101" s="917">
        <f t="shared" si="139"/>
        <v>1.282865551591</v>
      </c>
      <c r="P101" s="917">
        <f t="shared" si="139"/>
        <v>-0.207742496970014</v>
      </c>
      <c r="Q101" s="917">
        <f t="shared" si="139"/>
        <v>-0.565947646497915</v>
      </c>
      <c r="R101" s="917">
        <f t="shared" si="139"/>
        <v>-0.234948967325081</v>
      </c>
    </row>
    <row r="103" ht="41.4" spans="1:26">
      <c r="A103" s="919" t="s">
        <v>80</v>
      </c>
      <c r="B103" s="869" t="s">
        <v>1</v>
      </c>
      <c r="C103" s="870" t="s">
        <v>2</v>
      </c>
      <c r="D103" s="870" t="s">
        <v>3</v>
      </c>
      <c r="E103" s="871" t="s">
        <v>4</v>
      </c>
      <c r="F103" s="869" t="s">
        <v>5</v>
      </c>
      <c r="G103" s="871" t="s">
        <v>6</v>
      </c>
      <c r="H103" s="871" t="s">
        <v>7</v>
      </c>
      <c r="I103" s="871" t="s">
        <v>8</v>
      </c>
      <c r="J103" s="871" t="s">
        <v>34</v>
      </c>
      <c r="K103" s="879" t="s">
        <v>9</v>
      </c>
      <c r="L103" s="869" t="s">
        <v>10</v>
      </c>
      <c r="M103" s="880" t="s">
        <v>11</v>
      </c>
      <c r="N103" s="881" t="s">
        <v>12</v>
      </c>
      <c r="O103" s="879" t="s">
        <v>13</v>
      </c>
      <c r="P103" s="875" t="s">
        <v>14</v>
      </c>
      <c r="Q103" s="869" t="s">
        <v>15</v>
      </c>
      <c r="R103" s="912" t="s">
        <v>16</v>
      </c>
      <c r="S103" s="882" t="s">
        <v>35</v>
      </c>
      <c r="T103" s="882" t="s">
        <v>36</v>
      </c>
      <c r="U103" s="882" t="s">
        <v>38</v>
      </c>
      <c r="V103" s="882" t="s">
        <v>39</v>
      </c>
      <c r="W103" s="882" t="s">
        <v>40</v>
      </c>
      <c r="X103" s="882" t="s">
        <v>41</v>
      </c>
      <c r="Y103" s="882" t="s">
        <v>42</v>
      </c>
      <c r="Z103" s="882" t="s">
        <v>43</v>
      </c>
    </row>
    <row r="104" spans="1:26">
      <c r="A104" s="686" t="s">
        <v>19</v>
      </c>
      <c r="B104" s="918">
        <f>SUM(明星店铺!B785:B826)</f>
        <v>15152.03</v>
      </c>
      <c r="C104" s="918">
        <f>SUM(明星店铺!C785:C826)</f>
        <v>14163</v>
      </c>
      <c r="D104" s="918">
        <f>SUM(明星店铺!D785:D826)</f>
        <v>6426</v>
      </c>
      <c r="E104" s="918">
        <f>SUM(明星店铺!E785:E826)</f>
        <v>127</v>
      </c>
      <c r="F104" s="918">
        <f>SUM(明星店铺!F785:F826)</f>
        <v>1746535</v>
      </c>
      <c r="G104" s="918">
        <f>SUM(明星店铺!G785:G826)</f>
        <v>1735</v>
      </c>
      <c r="H104" s="918">
        <f>SUM(明星店铺!H785:H826)</f>
        <v>157</v>
      </c>
      <c r="I104" s="918">
        <f>SUM(明星店铺!I785:I826)</f>
        <v>428</v>
      </c>
      <c r="J104" s="872">
        <f t="shared" ref="J104:J107" si="140">H104+I104</f>
        <v>585</v>
      </c>
      <c r="K104" s="688">
        <f t="shared" ref="K104:K108" si="141">D104/C104</f>
        <v>0.453717432747299</v>
      </c>
      <c r="L104" s="685">
        <f t="shared" ref="L104:L108" si="142">B104/D104</f>
        <v>2.35792561469032</v>
      </c>
      <c r="M104" s="886">
        <f t="shared" ref="M104:M108" si="143">(B104/C104)*1000</f>
        <v>1069.83195650639</v>
      </c>
      <c r="N104" s="887">
        <f t="shared" ref="N104:N108" si="144">F104/B104</f>
        <v>115.267393213979</v>
      </c>
      <c r="O104" s="688">
        <f t="shared" ref="O104:O108" si="145">E104/D104</f>
        <v>0.0197634609399315</v>
      </c>
      <c r="P104" s="915">
        <f t="shared" ref="P104:P107" si="146">IF(E104=0,"0",F104/E104)</f>
        <v>13752.2440944882</v>
      </c>
      <c r="Q104" s="685">
        <f t="shared" ref="Q104:Q107" si="147">IF(E104=0,"0",B104/E104)</f>
        <v>119.307322834646</v>
      </c>
      <c r="R104" s="902">
        <f t="shared" ref="R104:R108" si="148">B104/G104</f>
        <v>8.73315850144092</v>
      </c>
      <c r="S104" s="558">
        <f t="shared" ref="S104:S107" si="149">G104+H104</f>
        <v>1892</v>
      </c>
      <c r="T104" s="850">
        <f t="shared" ref="T104:T108" si="150">B104/S104</f>
        <v>8.00847251585624</v>
      </c>
    </row>
    <row r="105" spans="1:26">
      <c r="A105" s="686" t="s">
        <v>20</v>
      </c>
      <c r="B105" s="918">
        <f>SUM(直通车!B785:B826)</f>
        <v>116345.85</v>
      </c>
      <c r="C105" s="918">
        <f>SUM(直通车!C785:C826)</f>
        <v>480334</v>
      </c>
      <c r="D105" s="918">
        <f>SUM(直通车!D785:D826)</f>
        <v>26161</v>
      </c>
      <c r="E105" s="918">
        <f>SUM(直通车!E785:E826)</f>
        <v>85</v>
      </c>
      <c r="F105" s="918">
        <f>SUM(直通车!F785:F826)</f>
        <v>1103778</v>
      </c>
      <c r="G105" s="918">
        <f>SUM(直通车!G785:G826)</f>
        <v>1867</v>
      </c>
      <c r="H105" s="918">
        <f>SUM(直通车!H785:H826)</f>
        <v>223</v>
      </c>
      <c r="I105" s="918">
        <f>SUM(直通车!I785:I826)</f>
        <v>272</v>
      </c>
      <c r="J105" s="872">
        <f t="shared" si="140"/>
        <v>495</v>
      </c>
      <c r="K105" s="688">
        <f t="shared" si="141"/>
        <v>0.0544641853377025</v>
      </c>
      <c r="L105" s="685">
        <f t="shared" si="142"/>
        <v>4.4473013264019</v>
      </c>
      <c r="M105" s="886">
        <f t="shared" si="143"/>
        <v>242.218643693763</v>
      </c>
      <c r="N105" s="887">
        <f t="shared" si="144"/>
        <v>9.48704229673856</v>
      </c>
      <c r="O105" s="688">
        <f t="shared" si="145"/>
        <v>0.00324911127250487</v>
      </c>
      <c r="P105" s="915">
        <f t="shared" si="146"/>
        <v>12985.6235294118</v>
      </c>
      <c r="Q105" s="685">
        <f t="shared" si="147"/>
        <v>1368.77470588235</v>
      </c>
      <c r="R105" s="902">
        <f t="shared" si="148"/>
        <v>62.317005891805</v>
      </c>
      <c r="S105" s="558">
        <f t="shared" si="149"/>
        <v>2090</v>
      </c>
      <c r="T105" s="850">
        <f t="shared" si="150"/>
        <v>55.6678708133971</v>
      </c>
    </row>
    <row r="106" spans="1:26">
      <c r="A106" s="686" t="s">
        <v>21</v>
      </c>
      <c r="B106" s="918">
        <f>SUM(引力魔方!B684:B725)</f>
        <v>37034.75</v>
      </c>
      <c r="C106" s="918">
        <f>SUM(引力魔方!C684:C725)</f>
        <v>34753338</v>
      </c>
      <c r="D106" s="918">
        <f>SUM(引力魔方!D684:D725)</f>
        <v>116313</v>
      </c>
      <c r="E106" s="918">
        <f>SUM(引力魔方!E684:E725)</f>
        <v>4</v>
      </c>
      <c r="F106" s="918">
        <f>SUM(引力魔方!F684:F725)</f>
        <v>49162</v>
      </c>
      <c r="G106" s="918">
        <f>SUM(引力魔方!G684:G725)</f>
        <v>375</v>
      </c>
      <c r="H106" s="918">
        <f>SUM(引力魔方!H684:H725)</f>
        <v>3202</v>
      </c>
      <c r="I106" s="918">
        <f>SUM(引力魔方!I684:I725)</f>
        <v>51</v>
      </c>
      <c r="J106" s="872">
        <f t="shared" si="140"/>
        <v>3253</v>
      </c>
      <c r="K106" s="688">
        <f t="shared" si="141"/>
        <v>0.00334681520376546</v>
      </c>
      <c r="L106" s="685">
        <f t="shared" si="142"/>
        <v>0.318405939146957</v>
      </c>
      <c r="M106" s="886">
        <f t="shared" si="143"/>
        <v>1.06564583810626</v>
      </c>
      <c r="N106" s="887">
        <f t="shared" si="144"/>
        <v>1.32745597040617</v>
      </c>
      <c r="O106" s="688">
        <f t="shared" si="145"/>
        <v>3.43899650082106e-5</v>
      </c>
      <c r="P106" s="915">
        <f t="shared" si="146"/>
        <v>12290.5</v>
      </c>
      <c r="Q106" s="685">
        <f t="shared" si="147"/>
        <v>9258.6875</v>
      </c>
      <c r="R106" s="902">
        <f t="shared" si="148"/>
        <v>98.7593333333333</v>
      </c>
      <c r="S106" s="558">
        <f t="shared" si="149"/>
        <v>3577</v>
      </c>
      <c r="T106" s="850">
        <f t="shared" si="150"/>
        <v>10.3535784176684</v>
      </c>
    </row>
    <row r="107" spans="1:26">
      <c r="A107" s="686" t="s">
        <v>27</v>
      </c>
      <c r="B107" s="918">
        <f>SUM(万相台!B273:B314)</f>
        <v>148421.85</v>
      </c>
      <c r="C107" s="918">
        <f>SUM(万相台!C273:C314)</f>
        <v>34930369</v>
      </c>
      <c r="D107" s="918">
        <f>SUM(万相台!D273:D314)</f>
        <v>179053</v>
      </c>
      <c r="E107" s="918">
        <f>SUM(万相台!E273:E314)</f>
        <v>147</v>
      </c>
      <c r="F107" s="918">
        <f>SUM(万相台!F273:F314)</f>
        <v>1761192</v>
      </c>
      <c r="G107" s="918">
        <f>SUM(万相台!G273:G314)</f>
        <v>2186</v>
      </c>
      <c r="H107" s="918">
        <f>SUM(万相台!H273:H314)</f>
        <v>9236</v>
      </c>
      <c r="I107" s="918">
        <f>SUM(万相台!I273:I314)</f>
        <v>575</v>
      </c>
      <c r="J107" s="872">
        <f t="shared" si="140"/>
        <v>9811</v>
      </c>
      <c r="K107" s="688">
        <f t="shared" si="141"/>
        <v>0.00512599795324235</v>
      </c>
      <c r="L107" s="685">
        <f t="shared" si="142"/>
        <v>0.828926909909356</v>
      </c>
      <c r="M107" s="886">
        <f t="shared" si="143"/>
        <v>4.24907764358287</v>
      </c>
      <c r="N107" s="887">
        <f t="shared" si="144"/>
        <v>11.8661234851877</v>
      </c>
      <c r="O107" s="688">
        <f t="shared" si="145"/>
        <v>0.000820985965049455</v>
      </c>
      <c r="P107" s="915">
        <f t="shared" si="146"/>
        <v>11980.8979591837</v>
      </c>
      <c r="Q107" s="685">
        <f t="shared" si="147"/>
        <v>1009.67244897959</v>
      </c>
      <c r="R107" s="902">
        <f t="shared" si="148"/>
        <v>67.8965462031107</v>
      </c>
      <c r="S107" s="558">
        <f t="shared" si="149"/>
        <v>11422</v>
      </c>
      <c r="T107" s="850">
        <f t="shared" si="150"/>
        <v>12.9943836455962</v>
      </c>
    </row>
    <row r="108" spans="1:26">
      <c r="A108" s="891" t="s">
        <v>22</v>
      </c>
      <c r="B108" s="903">
        <f t="shared" ref="B108:J108" si="151">SUM(B104:B107)</f>
        <v>316954.48</v>
      </c>
      <c r="C108" s="904">
        <f t="shared" si="151"/>
        <v>70178204</v>
      </c>
      <c r="D108" s="904">
        <f t="shared" si="151"/>
        <v>327953</v>
      </c>
      <c r="E108" s="904">
        <f t="shared" si="151"/>
        <v>363</v>
      </c>
      <c r="F108" s="903">
        <f t="shared" si="151"/>
        <v>4660667</v>
      </c>
      <c r="G108" s="904">
        <f t="shared" si="151"/>
        <v>6163</v>
      </c>
      <c r="H108" s="904">
        <f t="shared" si="151"/>
        <v>12818</v>
      </c>
      <c r="I108" s="904">
        <f t="shared" si="151"/>
        <v>1326</v>
      </c>
      <c r="J108" s="904">
        <f t="shared" si="151"/>
        <v>14144</v>
      </c>
      <c r="K108" s="896">
        <f t="shared" si="141"/>
        <v>0.00467314609533182</v>
      </c>
      <c r="L108" s="903">
        <f t="shared" si="142"/>
        <v>0.966463121239934</v>
      </c>
      <c r="M108" s="897">
        <f t="shared" si="143"/>
        <v>4.5164233613046</v>
      </c>
      <c r="N108" s="898">
        <f t="shared" si="144"/>
        <v>14.7045310733579</v>
      </c>
      <c r="O108" s="896">
        <f t="shared" si="145"/>
        <v>0.0011068659228609</v>
      </c>
      <c r="P108" s="916">
        <f>F108/E108</f>
        <v>12839.303030303</v>
      </c>
      <c r="Q108" s="903">
        <f>B108/E108</f>
        <v>873.152837465565</v>
      </c>
      <c r="R108" s="902">
        <f t="shared" si="148"/>
        <v>51.4286029531073</v>
      </c>
      <c r="S108" s="558">
        <f>G108+J108</f>
        <v>20307</v>
      </c>
      <c r="T108" s="850">
        <f t="shared" si="150"/>
        <v>15.6081390653469</v>
      </c>
    </row>
    <row r="109" spans="1:26">
      <c r="A109" s="37" t="s">
        <v>81</v>
      </c>
      <c r="B109" s="917">
        <f t="shared" ref="B109:R109" si="152">(B108-B100)/B100</f>
        <v>0.728144353600544</v>
      </c>
      <c r="C109" s="917">
        <f t="shared" si="152"/>
        <v>0.00781944583246157</v>
      </c>
      <c r="D109" s="917">
        <f t="shared" si="152"/>
        <v>-0.297195881149078</v>
      </c>
      <c r="E109" s="917">
        <f t="shared" si="152"/>
        <v>1.29746835443038</v>
      </c>
      <c r="F109" s="917">
        <f t="shared" si="152"/>
        <v>1.33322692304113</v>
      </c>
      <c r="G109" s="917">
        <f t="shared" si="152"/>
        <v>0.369555555555556</v>
      </c>
      <c r="H109" s="917">
        <f t="shared" si="152"/>
        <v>1.02528045504819</v>
      </c>
      <c r="I109" s="917">
        <f t="shared" si="152"/>
        <v>0.282398452611219</v>
      </c>
      <c r="J109" s="917">
        <f t="shared" si="152"/>
        <v>0.920956132011408</v>
      </c>
      <c r="K109" s="917">
        <f t="shared" si="152"/>
        <v>-0.302648781230448</v>
      </c>
      <c r="L109" s="917">
        <f t="shared" si="152"/>
        <v>1.45892746961421</v>
      </c>
      <c r="M109" s="917">
        <f t="shared" si="152"/>
        <v>0.714736067801403</v>
      </c>
      <c r="N109" s="917">
        <f t="shared" si="152"/>
        <v>0.350134274477656</v>
      </c>
      <c r="O109" s="917">
        <f t="shared" si="152"/>
        <v>2.26900240452022</v>
      </c>
      <c r="P109" s="917">
        <f t="shared" si="152"/>
        <v>0.0155643356487557</v>
      </c>
      <c r="Q109" s="917">
        <f t="shared" si="152"/>
        <v>-0.247804937000314</v>
      </c>
      <c r="R109" s="917">
        <f t="shared" si="152"/>
        <v>0.261828588544937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S31"/>
  <sheetViews>
    <sheetView topLeftCell="A14" workbookViewId="0">
      <selection activeCell="I1485" sqref="I1485"/>
    </sheetView>
  </sheetViews>
  <sheetFormatPr defaultColWidth="9" defaultRowHeight="13.8"/>
  <cols>
    <col min="3" max="3" width="8.87962962962963" style="37" customWidth="1"/>
    <col min="4" max="4" width="12.6296296296296" style="37" customWidth="1"/>
    <col min="5" max="5" width="10.6296296296296" style="37" customWidth="1"/>
    <col min="6" max="6" width="11.25" style="37" customWidth="1"/>
    <col min="7" max="7" width="9.87962962962963" style="37" customWidth="1"/>
    <col min="8" max="8" width="9.25" style="37" customWidth="1"/>
    <col min="9" max="9" width="11.8796296296296" style="37" customWidth="1"/>
    <col min="10" max="10" width="16" style="558" customWidth="1"/>
    <col min="11" max="11" width="16.8796296296296" style="558" customWidth="1"/>
    <col min="12" max="12" width="9.75" style="850" customWidth="1"/>
    <col min="13" max="13" width="12.8796296296296" style="13" customWidth="1"/>
    <col min="14" max="14" width="12.3796296296296" style="661" customWidth="1"/>
    <col min="15" max="15" width="17.1296296296296" customWidth="1"/>
    <col min="16" max="16" width="14.1296296296296" customWidth="1"/>
    <col min="17" max="17" width="14.6296296296296" customWidth="1"/>
  </cols>
  <sheetData>
    <row r="5" ht="33" customHeight="1" spans="3:19">
      <c r="C5" s="851" t="s">
        <v>24</v>
      </c>
      <c r="D5" s="851" t="s">
        <v>1</v>
      </c>
      <c r="E5" s="851" t="s">
        <v>2</v>
      </c>
      <c r="F5" s="851" t="s">
        <v>3</v>
      </c>
      <c r="G5" s="851" t="s">
        <v>4</v>
      </c>
      <c r="H5" s="851" t="s">
        <v>5</v>
      </c>
      <c r="I5" s="852" t="s">
        <v>6</v>
      </c>
      <c r="J5" s="853" t="s">
        <v>34</v>
      </c>
      <c r="K5" s="853" t="s">
        <v>82</v>
      </c>
      <c r="L5" s="854" t="s">
        <v>83</v>
      </c>
      <c r="M5" s="854" t="s">
        <v>36</v>
      </c>
      <c r="N5" s="855" t="s">
        <v>73</v>
      </c>
    </row>
    <row r="6" ht="24" customHeight="1" spans="3:19">
      <c r="C6" s="686" t="s">
        <v>19</v>
      </c>
      <c r="D6" s="856">
        <v>7518.61</v>
      </c>
      <c r="E6" s="856">
        <v>9372</v>
      </c>
      <c r="F6" s="856">
        <v>3804</v>
      </c>
      <c r="G6" s="686">
        <v>60</v>
      </c>
      <c r="H6" s="856">
        <v>909870</v>
      </c>
      <c r="I6" s="686">
        <v>1034</v>
      </c>
      <c r="J6" s="543">
        <v>308</v>
      </c>
      <c r="K6" s="543">
        <f>I6+J6</f>
        <v>1342</v>
      </c>
      <c r="L6" s="857">
        <f>H6/D6</f>
        <v>121.015719660948</v>
      </c>
      <c r="M6" s="857">
        <v>5.60254098360656</v>
      </c>
      <c r="N6" s="858">
        <f>K6/F6</f>
        <v>0.352786540483701</v>
      </c>
    </row>
    <row r="7" ht="24" customHeight="1" spans="3:19">
      <c r="C7" s="686" t="s">
        <v>20</v>
      </c>
      <c r="D7" s="856">
        <v>79734.93</v>
      </c>
      <c r="E7" s="856">
        <v>305903</v>
      </c>
      <c r="F7" s="856">
        <v>16284</v>
      </c>
      <c r="G7" s="686">
        <v>57</v>
      </c>
      <c r="H7" s="856">
        <v>945831</v>
      </c>
      <c r="I7" s="686">
        <v>1117</v>
      </c>
      <c r="J7" s="543">
        <v>349</v>
      </c>
      <c r="K7" s="543">
        <f>I7+J7</f>
        <v>1466</v>
      </c>
      <c r="L7" s="857">
        <f>H7/D7</f>
        <v>11.8621913883915</v>
      </c>
      <c r="M7" s="857">
        <v>54.3894474761255</v>
      </c>
      <c r="N7" s="858">
        <f t="shared" ref="N7:N16" si="0">K7/F7</f>
        <v>0.090027020388111</v>
      </c>
    </row>
    <row r="8" ht="24" customHeight="1" spans="3:19">
      <c r="C8" s="686" t="s">
        <v>21</v>
      </c>
      <c r="D8" s="856">
        <v>46814.25</v>
      </c>
      <c r="E8" s="856">
        <v>66709402</v>
      </c>
      <c r="F8" s="856">
        <v>335835</v>
      </c>
      <c r="G8" s="686">
        <v>4</v>
      </c>
      <c r="H8" s="856">
        <v>73400</v>
      </c>
      <c r="I8" s="686">
        <v>250</v>
      </c>
      <c r="J8" s="543">
        <v>372</v>
      </c>
      <c r="K8" s="543">
        <f>I8+J8</f>
        <v>622</v>
      </c>
      <c r="L8" s="857">
        <f>H8/D8</f>
        <v>1.56789866333435</v>
      </c>
      <c r="M8" s="857">
        <v>75.2640675241157</v>
      </c>
      <c r="N8" s="858">
        <f t="shared" si="0"/>
        <v>0.00185209998957822</v>
      </c>
    </row>
    <row r="9" ht="24" customHeight="1" spans="3:19">
      <c r="C9" s="686" t="s">
        <v>27</v>
      </c>
      <c r="D9" s="856">
        <v>73707.19</v>
      </c>
      <c r="E9" s="856">
        <v>19398232</v>
      </c>
      <c r="F9" s="856">
        <v>197434</v>
      </c>
      <c r="G9" s="686">
        <v>42</v>
      </c>
      <c r="H9" s="856">
        <v>703035</v>
      </c>
      <c r="I9" s="686">
        <v>1507</v>
      </c>
      <c r="J9" s="543">
        <v>3150.42727884617</v>
      </c>
      <c r="K9" s="543">
        <f>I9+J9</f>
        <v>4657.42727884617</v>
      </c>
      <c r="L9" s="857">
        <f>H9/D9</f>
        <v>9.53821465721322</v>
      </c>
      <c r="M9" s="857">
        <v>15.8257307279439</v>
      </c>
      <c r="N9" s="858">
        <f t="shared" si="0"/>
        <v>0.0235897934441189</v>
      </c>
      <c r="P9" s="40" t="s">
        <v>84</v>
      </c>
      <c r="Q9" s="40"/>
      <c r="R9" s="40"/>
      <c r="S9" s="40"/>
    </row>
    <row r="10" ht="24" customHeight="1" spans="3:19">
      <c r="C10" s="859" t="s">
        <v>22</v>
      </c>
      <c r="D10" s="860">
        <v>207774.98</v>
      </c>
      <c r="E10" s="860">
        <v>86422909</v>
      </c>
      <c r="F10" s="860">
        <v>553357</v>
      </c>
      <c r="G10" s="859">
        <v>163</v>
      </c>
      <c r="H10" s="860">
        <v>2632136</v>
      </c>
      <c r="I10" s="859">
        <v>3908</v>
      </c>
      <c r="J10" s="861">
        <v>4179.42727884617</v>
      </c>
      <c r="K10" s="861">
        <f>I10+J10</f>
        <v>8087.42727884617</v>
      </c>
      <c r="L10" s="862">
        <f>H10/D10</f>
        <v>12.6682048050251</v>
      </c>
      <c r="M10" s="862">
        <v>25.6911095254563</v>
      </c>
      <c r="N10" s="863">
        <f t="shared" si="0"/>
        <v>0.0146152073233847</v>
      </c>
      <c r="P10" s="40"/>
      <c r="Q10" s="40"/>
      <c r="R10" s="40"/>
      <c r="S10" s="40"/>
    </row>
    <row r="11" ht="32.1" customHeight="1" spans="3:19">
      <c r="C11" s="851" t="s">
        <v>33</v>
      </c>
      <c r="D11" s="864" t="s">
        <v>1</v>
      </c>
      <c r="E11" s="864" t="s">
        <v>2</v>
      </c>
      <c r="F11" s="864" t="s">
        <v>3</v>
      </c>
      <c r="G11" s="851" t="s">
        <v>4</v>
      </c>
      <c r="H11" s="864" t="s">
        <v>5</v>
      </c>
      <c r="I11" s="852" t="s">
        <v>6</v>
      </c>
      <c r="J11" s="853" t="s">
        <v>34</v>
      </c>
      <c r="K11" s="853" t="s">
        <v>82</v>
      </c>
      <c r="L11" s="854" t="s">
        <v>83</v>
      </c>
      <c r="M11" s="854" t="s">
        <v>36</v>
      </c>
      <c r="N11" s="855" t="s">
        <v>73</v>
      </c>
      <c r="P11" s="40"/>
      <c r="Q11" s="40"/>
      <c r="R11" s="40"/>
      <c r="S11" s="40"/>
    </row>
    <row r="12" ht="24" customHeight="1" spans="3:19">
      <c r="C12" s="686" t="s">
        <v>19</v>
      </c>
      <c r="D12" s="856">
        <v>6488.18</v>
      </c>
      <c r="E12" s="856">
        <v>7851</v>
      </c>
      <c r="F12" s="856">
        <v>2955</v>
      </c>
      <c r="G12" s="686">
        <v>18</v>
      </c>
      <c r="H12" s="856">
        <v>276039</v>
      </c>
      <c r="I12" s="686">
        <v>783</v>
      </c>
      <c r="J12" s="543">
        <v>189</v>
      </c>
      <c r="K12" s="543">
        <f t="shared" ref="K12:K16" si="1">I12+J12</f>
        <v>972</v>
      </c>
      <c r="L12" s="857">
        <f t="shared" ref="L12:L16" si="2">H12/D12</f>
        <v>42.5449047344556</v>
      </c>
      <c r="M12" s="857">
        <f>D12/K12</f>
        <v>6.67508230452675</v>
      </c>
      <c r="N12" s="858">
        <f t="shared" si="0"/>
        <v>0.328934010152284</v>
      </c>
      <c r="P12" s="40"/>
      <c r="Q12" s="40"/>
      <c r="R12" s="40"/>
      <c r="S12" s="40"/>
    </row>
    <row r="13" ht="24" customHeight="1" spans="3:19">
      <c r="C13" s="686" t="s">
        <v>20</v>
      </c>
      <c r="D13" s="856">
        <v>55187.14</v>
      </c>
      <c r="E13" s="856">
        <v>217527</v>
      </c>
      <c r="F13" s="856">
        <v>13706</v>
      </c>
      <c r="G13" s="686">
        <v>9</v>
      </c>
      <c r="H13" s="856">
        <v>196570</v>
      </c>
      <c r="I13" s="686">
        <v>945</v>
      </c>
      <c r="J13" s="543">
        <v>210</v>
      </c>
      <c r="K13" s="543">
        <f t="shared" si="1"/>
        <v>1155</v>
      </c>
      <c r="L13" s="857">
        <f t="shared" si="2"/>
        <v>3.56188053956048</v>
      </c>
      <c r="M13" s="857">
        <f>D13/K13</f>
        <v>47.7810735930736</v>
      </c>
      <c r="N13" s="858">
        <f t="shared" si="0"/>
        <v>0.0842696629213483</v>
      </c>
      <c r="P13" s="40"/>
      <c r="Q13" s="40"/>
      <c r="R13" s="40"/>
      <c r="S13" s="40"/>
    </row>
    <row r="14" ht="24" customHeight="1" spans="3:19">
      <c r="C14" s="686" t="s">
        <v>21</v>
      </c>
      <c r="D14" s="856">
        <v>37490.77</v>
      </c>
      <c r="E14" s="856">
        <v>43486150</v>
      </c>
      <c r="F14" s="856">
        <v>167971</v>
      </c>
      <c r="G14" s="686">
        <v>2</v>
      </c>
      <c r="H14" s="856">
        <v>20393.68</v>
      </c>
      <c r="I14" s="686">
        <v>247</v>
      </c>
      <c r="J14" s="543">
        <v>953</v>
      </c>
      <c r="K14" s="543">
        <f t="shared" si="1"/>
        <v>1200</v>
      </c>
      <c r="L14" s="857">
        <f t="shared" si="2"/>
        <v>0.54396535467263</v>
      </c>
      <c r="M14" s="857">
        <f t="shared" ref="M14:M23" si="3">D14/K14</f>
        <v>31.2423083333333</v>
      </c>
      <c r="N14" s="858">
        <f t="shared" si="0"/>
        <v>0.00714409034892928</v>
      </c>
      <c r="P14" s="40"/>
      <c r="Q14" s="40"/>
      <c r="R14" s="40"/>
      <c r="S14" s="40"/>
    </row>
    <row r="15" ht="24" customHeight="1" spans="3:19">
      <c r="C15" s="686" t="s">
        <v>27</v>
      </c>
      <c r="D15" s="856">
        <v>61294.7</v>
      </c>
      <c r="E15" s="856">
        <v>18951479</v>
      </c>
      <c r="F15" s="856">
        <v>219899</v>
      </c>
      <c r="G15" s="686">
        <v>31</v>
      </c>
      <c r="H15" s="856">
        <v>464453.48</v>
      </c>
      <c r="I15" s="686">
        <v>1037</v>
      </c>
      <c r="J15" s="543">
        <v>3657</v>
      </c>
      <c r="K15" s="543">
        <f t="shared" si="1"/>
        <v>4694</v>
      </c>
      <c r="L15" s="857">
        <f t="shared" si="2"/>
        <v>7.57738401525744</v>
      </c>
      <c r="M15" s="857">
        <f t="shared" si="3"/>
        <v>13.0580954409885</v>
      </c>
      <c r="N15" s="858">
        <f t="shared" si="0"/>
        <v>0.0213461634659548</v>
      </c>
      <c r="P15" s="40"/>
      <c r="Q15" s="40"/>
      <c r="R15" s="40"/>
      <c r="S15" s="40"/>
    </row>
    <row r="16" ht="24" customHeight="1" spans="3:19">
      <c r="C16" s="859" t="s">
        <v>22</v>
      </c>
      <c r="D16" s="860">
        <v>160460.79</v>
      </c>
      <c r="E16" s="860">
        <v>62663007</v>
      </c>
      <c r="F16" s="860">
        <v>404531</v>
      </c>
      <c r="G16" s="861">
        <v>60</v>
      </c>
      <c r="H16" s="860">
        <v>957456.16</v>
      </c>
      <c r="I16" s="861">
        <v>3012</v>
      </c>
      <c r="J16" s="861">
        <v>5009</v>
      </c>
      <c r="K16" s="861">
        <f t="shared" si="1"/>
        <v>8021</v>
      </c>
      <c r="L16" s="862">
        <f t="shared" si="2"/>
        <v>5.96691665297173</v>
      </c>
      <c r="M16" s="862">
        <f t="shared" si="3"/>
        <v>20.0050854008228</v>
      </c>
      <c r="N16" s="863">
        <f t="shared" si="0"/>
        <v>0.0198278994687675</v>
      </c>
      <c r="P16" s="40"/>
      <c r="Q16" s="40"/>
      <c r="R16" s="40"/>
      <c r="S16" s="40"/>
    </row>
    <row r="17" ht="24" hidden="1" customHeight="1" spans="3:19">
      <c r="C17" s="865" t="s">
        <v>45</v>
      </c>
      <c r="D17" s="866">
        <f>(D16-D10)/D10</f>
        <v>-0.22771841922449</v>
      </c>
      <c r="E17" s="866">
        <f t="shared" ref="E17:N17" si="4">(E16-E10)/E10</f>
        <v>-0.274925968992782</v>
      </c>
      <c r="F17" s="866">
        <f t="shared" si="4"/>
        <v>-0.268951147270207</v>
      </c>
      <c r="G17" s="866">
        <f t="shared" si="4"/>
        <v>-0.631901840490798</v>
      </c>
      <c r="H17" s="866">
        <f t="shared" si="4"/>
        <v>-0.636243659142233</v>
      </c>
      <c r="I17" s="866">
        <f t="shared" si="4"/>
        <v>-0.229273285568066</v>
      </c>
      <c r="J17" s="866">
        <f t="shared" si="4"/>
        <v>0.198489569456716</v>
      </c>
      <c r="K17" s="867">
        <f t="shared" si="4"/>
        <v>-0.00821364774678351</v>
      </c>
      <c r="L17" s="867">
        <f t="shared" si="4"/>
        <v>-0.528984828962915</v>
      </c>
      <c r="M17" s="867">
        <f t="shared" si="4"/>
        <v>-0.22132263766185</v>
      </c>
      <c r="N17" s="867">
        <f t="shared" si="4"/>
        <v>0.356662210124275</v>
      </c>
      <c r="P17" s="40"/>
      <c r="Q17" s="40"/>
      <c r="R17" s="40"/>
      <c r="S17" s="40"/>
    </row>
    <row r="18" ht="41.4" spans="3:19">
      <c r="C18" s="868" t="s">
        <v>46</v>
      </c>
      <c r="D18" s="869" t="s">
        <v>1</v>
      </c>
      <c r="E18" s="870" t="s">
        <v>2</v>
      </c>
      <c r="F18" s="870" t="s">
        <v>3</v>
      </c>
      <c r="G18" s="871" t="s">
        <v>4</v>
      </c>
      <c r="H18" s="869" t="s">
        <v>5</v>
      </c>
      <c r="I18" s="871" t="s">
        <v>6</v>
      </c>
      <c r="J18" s="871" t="s">
        <v>34</v>
      </c>
      <c r="K18" s="853" t="s">
        <v>82</v>
      </c>
      <c r="L18" s="854" t="s">
        <v>83</v>
      </c>
      <c r="M18" s="854" t="s">
        <v>36</v>
      </c>
      <c r="N18" s="855" t="s">
        <v>73</v>
      </c>
      <c r="O18" t="s">
        <v>44</v>
      </c>
    </row>
    <row r="19" ht="21" customHeight="1" spans="3:19">
      <c r="C19" s="686" t="s">
        <v>19</v>
      </c>
      <c r="D19" s="856">
        <v>11156.3</v>
      </c>
      <c r="E19" s="856">
        <v>12760</v>
      </c>
      <c r="F19" s="856">
        <v>6320</v>
      </c>
      <c r="G19" s="686">
        <v>78</v>
      </c>
      <c r="H19" s="856">
        <v>842627.81</v>
      </c>
      <c r="I19" s="686">
        <v>1608</v>
      </c>
      <c r="J19" s="872">
        <v>670</v>
      </c>
      <c r="K19" s="543">
        <f t="shared" ref="K19:K22" si="5">I19+J19</f>
        <v>2278</v>
      </c>
      <c r="L19" s="857">
        <f t="shared" ref="L19:L23" si="6">H19/D19</f>
        <v>75.5293251346773</v>
      </c>
      <c r="M19" s="857">
        <f t="shared" si="3"/>
        <v>4.89741000877963</v>
      </c>
      <c r="N19" s="858">
        <f t="shared" ref="N19:N23" si="7">K19/F19</f>
        <v>0.360443037974684</v>
      </c>
      <c r="O19" s="873">
        <f>D19/$D$23</f>
        <v>0.0604138562785643</v>
      </c>
    </row>
    <row r="20" ht="21" customHeight="1" spans="3:19">
      <c r="C20" s="686" t="s">
        <v>20</v>
      </c>
      <c r="D20" s="856">
        <v>66820.87</v>
      </c>
      <c r="E20" s="856">
        <v>220604</v>
      </c>
      <c r="F20" s="856">
        <v>16317</v>
      </c>
      <c r="G20" s="686">
        <v>64</v>
      </c>
      <c r="H20" s="856">
        <v>864387</v>
      </c>
      <c r="I20" s="686">
        <v>1389</v>
      </c>
      <c r="J20" s="872">
        <v>375</v>
      </c>
      <c r="K20" s="543">
        <f t="shared" si="5"/>
        <v>1764</v>
      </c>
      <c r="L20" s="857">
        <f t="shared" si="6"/>
        <v>12.9358836543134</v>
      </c>
      <c r="M20" s="857">
        <f t="shared" si="3"/>
        <v>37.8803117913832</v>
      </c>
      <c r="N20" s="858">
        <f t="shared" si="7"/>
        <v>0.108108108108108</v>
      </c>
      <c r="O20" s="873">
        <f>D20/$D$23</f>
        <v>0.361849935604871</v>
      </c>
    </row>
    <row r="21" ht="21" customHeight="1" spans="3:19">
      <c r="C21" s="686" t="s">
        <v>21</v>
      </c>
      <c r="D21" s="856">
        <v>31305.85</v>
      </c>
      <c r="E21" s="856">
        <v>35598553</v>
      </c>
      <c r="F21" s="856">
        <v>126129</v>
      </c>
      <c r="G21" s="686">
        <v>11</v>
      </c>
      <c r="H21" s="856">
        <v>115697</v>
      </c>
      <c r="I21" s="686">
        <v>349</v>
      </c>
      <c r="J21" s="872">
        <v>1355</v>
      </c>
      <c r="K21" s="543">
        <f t="shared" si="5"/>
        <v>1704</v>
      </c>
      <c r="L21" s="857">
        <f t="shared" si="6"/>
        <v>3.6956990466638</v>
      </c>
      <c r="M21" s="857">
        <f t="shared" si="3"/>
        <v>18.3719776995305</v>
      </c>
      <c r="N21" s="858">
        <f t="shared" si="7"/>
        <v>0.0135099778797897</v>
      </c>
      <c r="O21" s="873">
        <f>D21/$D$23</f>
        <v>0.169528169964799</v>
      </c>
    </row>
    <row r="22" ht="21" customHeight="1" spans="3:19">
      <c r="C22" s="686" t="s">
        <v>27</v>
      </c>
      <c r="D22" s="856">
        <v>75381.57</v>
      </c>
      <c r="E22" s="856">
        <v>25259836</v>
      </c>
      <c r="F22" s="856">
        <v>181871</v>
      </c>
      <c r="G22" s="686">
        <v>95</v>
      </c>
      <c r="H22" s="856">
        <v>1159174</v>
      </c>
      <c r="I22" s="686">
        <v>1400</v>
      </c>
      <c r="J22" s="872">
        <v>5463</v>
      </c>
      <c r="K22" s="543">
        <f t="shared" si="5"/>
        <v>6863</v>
      </c>
      <c r="L22" s="857">
        <f t="shared" si="6"/>
        <v>15.3774191755359</v>
      </c>
      <c r="M22" s="857">
        <f t="shared" si="3"/>
        <v>10.9837636602069</v>
      </c>
      <c r="N22" s="858">
        <f t="shared" si="7"/>
        <v>0.0377355378262615</v>
      </c>
      <c r="O22" s="873">
        <f>D22/$D$23</f>
        <v>0.408208038151765</v>
      </c>
    </row>
    <row r="23" spans="3:19">
      <c r="C23" s="861" t="s">
        <v>22</v>
      </c>
      <c r="D23" s="860">
        <f>SUM(D19:D22)</f>
        <v>184664.59</v>
      </c>
      <c r="E23" s="860">
        <f t="shared" ref="E23:K23" si="8">SUM(E19:E22)</f>
        <v>61091753</v>
      </c>
      <c r="F23" s="860">
        <f t="shared" si="8"/>
        <v>330637</v>
      </c>
      <c r="G23" s="861">
        <f t="shared" si="8"/>
        <v>248</v>
      </c>
      <c r="H23" s="860">
        <f t="shared" si="8"/>
        <v>2981885.81</v>
      </c>
      <c r="I23" s="861">
        <f t="shared" si="8"/>
        <v>4746</v>
      </c>
      <c r="J23" s="861">
        <f t="shared" si="8"/>
        <v>7863</v>
      </c>
      <c r="K23" s="861">
        <f t="shared" si="8"/>
        <v>12609</v>
      </c>
      <c r="L23" s="862">
        <f t="shared" si="6"/>
        <v>16.1475776704132</v>
      </c>
      <c r="M23" s="862">
        <f t="shared" si="3"/>
        <v>14.6454587992704</v>
      </c>
      <c r="N23" s="863">
        <f t="shared" si="7"/>
        <v>0.038135477880576</v>
      </c>
    </row>
    <row r="24" ht="21" customHeight="1" spans="3:19">
      <c r="C24" s="865" t="s">
        <v>47</v>
      </c>
      <c r="D24" s="874">
        <f>(D23-D16)/D16</f>
        <v>0.150839342122147</v>
      </c>
      <c r="E24" s="874">
        <f t="shared" ref="E24:N24" si="9">(E23-E16)/E16</f>
        <v>-0.0250746664615057</v>
      </c>
      <c r="F24" s="874">
        <f t="shared" si="9"/>
        <v>-0.182665852555181</v>
      </c>
      <c r="G24" s="874">
        <f t="shared" si="9"/>
        <v>3.13333333333333</v>
      </c>
      <c r="H24" s="874">
        <f t="shared" si="9"/>
        <v>2.11438364969107</v>
      </c>
      <c r="I24" s="874">
        <f t="shared" si="9"/>
        <v>0.575697211155379</v>
      </c>
      <c r="J24" s="874">
        <f t="shared" si="9"/>
        <v>0.569774406069076</v>
      </c>
      <c r="K24" s="874">
        <f t="shared" si="9"/>
        <v>0.571998503927191</v>
      </c>
      <c r="L24" s="874">
        <f t="shared" si="9"/>
        <v>1.70618455217924</v>
      </c>
      <c r="M24" s="874">
        <f t="shared" si="9"/>
        <v>-0.267913207775261</v>
      </c>
      <c r="N24" s="874">
        <f t="shared" si="9"/>
        <v>0.92332414942118</v>
      </c>
    </row>
    <row r="25" ht="41.4" spans="3:19">
      <c r="C25" s="868" t="s">
        <v>48</v>
      </c>
      <c r="D25" s="869" t="s">
        <v>1</v>
      </c>
      <c r="E25" s="870" t="s">
        <v>2</v>
      </c>
      <c r="F25" s="870" t="s">
        <v>3</v>
      </c>
      <c r="G25" s="871" t="s">
        <v>4</v>
      </c>
      <c r="H25" s="869" t="s">
        <v>5</v>
      </c>
      <c r="I25" s="871" t="s">
        <v>6</v>
      </c>
      <c r="J25" s="871" t="s">
        <v>34</v>
      </c>
      <c r="K25" s="853" t="s">
        <v>82</v>
      </c>
      <c r="L25" s="854" t="s">
        <v>83</v>
      </c>
      <c r="M25" s="854" t="s">
        <v>36</v>
      </c>
      <c r="N25" s="855" t="s">
        <v>73</v>
      </c>
    </row>
    <row r="26" spans="3:19">
      <c r="C26" s="686" t="s">
        <v>19</v>
      </c>
      <c r="D26" s="856">
        <v>11156.3</v>
      </c>
      <c r="E26" s="856">
        <v>12760</v>
      </c>
      <c r="F26" s="856">
        <v>6320</v>
      </c>
      <c r="G26" s="686">
        <v>78</v>
      </c>
      <c r="H26" s="856">
        <v>842627.81</v>
      </c>
      <c r="I26" s="686">
        <v>1608</v>
      </c>
      <c r="J26" s="872">
        <v>670</v>
      </c>
      <c r="K26" s="543">
        <f t="shared" ref="K26:K29" si="10">I26+J26</f>
        <v>2278</v>
      </c>
      <c r="L26" s="857">
        <f t="shared" ref="L26:L30" si="11">H26/D26</f>
        <v>75.5293251346773</v>
      </c>
      <c r="M26" s="857">
        <f t="shared" ref="M26:M30" si="12">D26/K26</f>
        <v>4.89741000877963</v>
      </c>
      <c r="N26" s="858">
        <f t="shared" ref="N26:N30" si="13">K26/F26</f>
        <v>0.360443037974684</v>
      </c>
    </row>
    <row r="27" spans="3:19">
      <c r="C27" s="686" t="s">
        <v>20</v>
      </c>
      <c r="D27" s="856">
        <v>66820.87</v>
      </c>
      <c r="E27" s="856">
        <v>220604</v>
      </c>
      <c r="F27" s="856">
        <v>16317</v>
      </c>
      <c r="G27" s="686">
        <v>64</v>
      </c>
      <c r="H27" s="856">
        <v>864387</v>
      </c>
      <c r="I27" s="686">
        <v>1389</v>
      </c>
      <c r="J27" s="872">
        <v>375</v>
      </c>
      <c r="K27" s="543">
        <f t="shared" si="10"/>
        <v>1764</v>
      </c>
      <c r="L27" s="857">
        <f t="shared" si="11"/>
        <v>12.9358836543134</v>
      </c>
      <c r="M27" s="857">
        <f t="shared" si="12"/>
        <v>37.8803117913832</v>
      </c>
      <c r="N27" s="858">
        <f t="shared" si="13"/>
        <v>0.108108108108108</v>
      </c>
    </row>
    <row r="28" spans="3:19">
      <c r="C28" s="686" t="s">
        <v>21</v>
      </c>
      <c r="D28" s="856">
        <v>31305.85</v>
      </c>
      <c r="E28" s="856">
        <v>35598553</v>
      </c>
      <c r="F28" s="856">
        <v>126129</v>
      </c>
      <c r="G28" s="686">
        <v>11</v>
      </c>
      <c r="H28" s="856">
        <v>115697</v>
      </c>
      <c r="I28" s="686">
        <v>349</v>
      </c>
      <c r="J28" s="872">
        <v>1355</v>
      </c>
      <c r="K28" s="543">
        <f t="shared" si="10"/>
        <v>1704</v>
      </c>
      <c r="L28" s="857">
        <f t="shared" si="11"/>
        <v>3.6956990466638</v>
      </c>
      <c r="M28" s="857">
        <f t="shared" si="12"/>
        <v>18.3719776995305</v>
      </c>
      <c r="N28" s="858">
        <f t="shared" si="13"/>
        <v>0.0135099778797897</v>
      </c>
    </row>
    <row r="29" spans="3:19">
      <c r="C29" s="686" t="s">
        <v>27</v>
      </c>
      <c r="D29" s="856">
        <v>75381.57</v>
      </c>
      <c r="E29" s="856">
        <v>25259836</v>
      </c>
      <c r="F29" s="856">
        <v>181871</v>
      </c>
      <c r="G29" s="686">
        <v>95</v>
      </c>
      <c r="H29" s="856">
        <v>1159174</v>
      </c>
      <c r="I29" s="686">
        <v>1400</v>
      </c>
      <c r="J29" s="872">
        <v>5463</v>
      </c>
      <c r="K29" s="543">
        <f t="shared" si="10"/>
        <v>6863</v>
      </c>
      <c r="L29" s="857">
        <f t="shared" si="11"/>
        <v>15.3774191755359</v>
      </c>
      <c r="M29" s="857">
        <f t="shared" si="12"/>
        <v>10.9837636602069</v>
      </c>
      <c r="N29" s="858">
        <f t="shared" si="13"/>
        <v>0.0377355378262615</v>
      </c>
    </row>
    <row r="30" spans="3:19">
      <c r="C30" s="861" t="s">
        <v>22</v>
      </c>
      <c r="D30" s="860">
        <f t="shared" ref="D30:K30" si="14">SUM(D26:D29)</f>
        <v>184664.59</v>
      </c>
      <c r="E30" s="860">
        <f t="shared" si="14"/>
        <v>61091753</v>
      </c>
      <c r="F30" s="860">
        <f t="shared" si="14"/>
        <v>330637</v>
      </c>
      <c r="G30" s="861">
        <f t="shared" si="14"/>
        <v>248</v>
      </c>
      <c r="H30" s="860">
        <f t="shared" si="14"/>
        <v>2981885.81</v>
      </c>
      <c r="I30" s="861">
        <f t="shared" si="14"/>
        <v>4746</v>
      </c>
      <c r="J30" s="861">
        <f t="shared" si="14"/>
        <v>7863</v>
      </c>
      <c r="K30" s="861">
        <f t="shared" si="14"/>
        <v>12609</v>
      </c>
      <c r="L30" s="862">
        <f t="shared" si="11"/>
        <v>16.1475776704132</v>
      </c>
      <c r="M30" s="862">
        <f t="shared" si="12"/>
        <v>14.6454587992704</v>
      </c>
      <c r="N30" s="863">
        <f t="shared" si="13"/>
        <v>0.038135477880576</v>
      </c>
    </row>
    <row r="31" spans="3:19">
      <c r="C31" s="865" t="s">
        <v>50</v>
      </c>
      <c r="D31" s="874">
        <f t="shared" ref="D31:N31" si="15">(D30-D23)/D23</f>
        <v>0</v>
      </c>
      <c r="E31" s="874">
        <f t="shared" si="15"/>
        <v>0</v>
      </c>
      <c r="F31" s="874">
        <f t="shared" si="15"/>
        <v>0</v>
      </c>
      <c r="G31" s="874">
        <f t="shared" si="15"/>
        <v>0</v>
      </c>
      <c r="H31" s="874">
        <f t="shared" si="15"/>
        <v>0</v>
      </c>
      <c r="I31" s="874">
        <f t="shared" si="15"/>
        <v>0</v>
      </c>
      <c r="J31" s="874">
        <f t="shared" si="15"/>
        <v>0</v>
      </c>
      <c r="K31" s="874">
        <f t="shared" si="15"/>
        <v>0</v>
      </c>
      <c r="L31" s="874">
        <f t="shared" si="15"/>
        <v>0</v>
      </c>
      <c r="M31" s="874">
        <f t="shared" si="15"/>
        <v>0</v>
      </c>
      <c r="N31" s="874">
        <f t="shared" si="15"/>
        <v>0</v>
      </c>
    </row>
  </sheetData>
  <mergeCells count="1">
    <mergeCell ref="P9:S17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5"/>
  <sheetViews>
    <sheetView workbookViewId="0">
      <selection activeCell="I1485" sqref="I1485"/>
    </sheetView>
  </sheetViews>
  <sheetFormatPr defaultColWidth="9" defaultRowHeight="13.8" outlineLevelRow="4"/>
  <cols>
    <col min="2" max="2" width="10" customWidth="1"/>
  </cols>
  <sheetData>
    <row r="1" ht="62.4" spans="2:10">
      <c r="B1" s="15" t="s">
        <v>1</v>
      </c>
      <c r="C1" s="17" t="s">
        <v>2</v>
      </c>
      <c r="D1" s="17" t="s">
        <v>3</v>
      </c>
      <c r="E1" s="17" t="s">
        <v>4</v>
      </c>
      <c r="F1" s="15" t="s">
        <v>5</v>
      </c>
      <c r="G1" s="17" t="s">
        <v>6</v>
      </c>
      <c r="H1" s="17" t="s">
        <v>7</v>
      </c>
      <c r="I1" s="17" t="s">
        <v>8</v>
      </c>
      <c r="J1" s="18" t="s">
        <v>9</v>
      </c>
    </row>
    <row r="2" ht="60" customHeight="1" spans="2:10">
      <c r="B2" s="5">
        <v>563.39</v>
      </c>
      <c r="C2" s="6">
        <v>47778</v>
      </c>
      <c r="D2">
        <v>407</v>
      </c>
      <c r="E2">
        <v>0</v>
      </c>
      <c r="F2" s="5">
        <v>0</v>
      </c>
      <c r="G2">
        <v>3</v>
      </c>
      <c r="H2">
        <v>0</v>
      </c>
      <c r="I2">
        <v>1</v>
      </c>
      <c r="J2" s="849">
        <v>0.0083</v>
      </c>
    </row>
    <row r="3" ht="60" customHeight="1" spans="2:10">
      <c r="B3" s="5">
        <v>443.27</v>
      </c>
      <c r="C3" s="6">
        <v>42520</v>
      </c>
      <c r="D3">
        <v>274</v>
      </c>
      <c r="E3">
        <v>0</v>
      </c>
      <c r="F3" s="5">
        <v>0</v>
      </c>
      <c r="G3">
        <v>3</v>
      </c>
      <c r="H3">
        <v>0</v>
      </c>
      <c r="I3">
        <v>6</v>
      </c>
      <c r="J3" s="849">
        <v>0.0063</v>
      </c>
    </row>
    <row r="4" ht="67.5" customHeight="1" spans="2:10">
      <c r="B4" s="5">
        <v>168.34</v>
      </c>
      <c r="C4" s="6">
        <v>15576</v>
      </c>
      <c r="D4">
        <v>114</v>
      </c>
      <c r="E4">
        <v>0</v>
      </c>
      <c r="F4" s="5">
        <v>0</v>
      </c>
      <c r="G4">
        <v>0</v>
      </c>
      <c r="H4">
        <v>0</v>
      </c>
      <c r="I4">
        <v>1</v>
      </c>
      <c r="J4" s="849">
        <v>0.0071</v>
      </c>
    </row>
    <row r="5" ht="105" customHeight="1" spans="2:10">
      <c r="B5" s="5">
        <v>1083.66</v>
      </c>
      <c r="C5" s="6">
        <v>100876</v>
      </c>
      <c r="D5">
        <v>440</v>
      </c>
      <c r="E5">
        <v>0</v>
      </c>
      <c r="F5" s="5">
        <v>0</v>
      </c>
      <c r="G5">
        <v>1</v>
      </c>
      <c r="H5">
        <v>0</v>
      </c>
      <c r="I5">
        <v>0</v>
      </c>
      <c r="J5" s="9">
        <v>0.0041</v>
      </c>
    </row>
  </sheetData>
  <sheetProtection formatCells="0" insertHyperlinks="0" autoFilter="0"/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workbookViewId="0">
      <selection activeCell="I1485" sqref="I1485"/>
    </sheetView>
  </sheetViews>
  <sheetFormatPr defaultColWidth="9" defaultRowHeight="13.8" outlineLevelRow="2"/>
  <sheetData>
    <row r="1" ht="31.2" spans="1:16">
      <c r="A1" s="847" t="s">
        <v>85</v>
      </c>
      <c r="B1" s="847" t="s">
        <v>1</v>
      </c>
      <c r="C1" s="847" t="s">
        <v>2</v>
      </c>
      <c r="D1" s="847" t="s">
        <v>3</v>
      </c>
      <c r="E1" s="847" t="s">
        <v>4</v>
      </c>
      <c r="F1" s="848" t="s">
        <v>5</v>
      </c>
      <c r="G1" s="847" t="s">
        <v>9</v>
      </c>
      <c r="H1" s="847" t="s">
        <v>10</v>
      </c>
      <c r="J1" s="5"/>
      <c r="K1" s="5"/>
      <c r="P1" s="5"/>
    </row>
    <row r="2" ht="82.15" customHeight="1" spans="1:16">
      <c r="B2" s="5">
        <v>27.67</v>
      </c>
      <c r="C2">
        <v>71</v>
      </c>
      <c r="D2">
        <v>4</v>
      </c>
      <c r="E2">
        <v>0</v>
      </c>
      <c r="F2" s="5">
        <v>0</v>
      </c>
      <c r="G2" s="7">
        <v>0.0563</v>
      </c>
      <c r="H2">
        <v>6.92</v>
      </c>
      <c r="J2" s="5"/>
      <c r="K2" s="5"/>
      <c r="P2" s="5"/>
    </row>
    <row r="3" ht="47.65" customHeight="1" spans="1:16">
      <c r="B3" s="5">
        <v>441.91</v>
      </c>
      <c r="C3">
        <v>359</v>
      </c>
      <c r="D3">
        <v>139</v>
      </c>
      <c r="E3">
        <v>0</v>
      </c>
      <c r="F3" s="5">
        <v>0</v>
      </c>
      <c r="G3" s="7">
        <v>0.3872</v>
      </c>
      <c r="H3">
        <v>3.18</v>
      </c>
      <c r="J3" s="5"/>
      <c r="K3" s="5"/>
      <c r="P3" s="5"/>
    </row>
  </sheetData>
  <sheetProtection formatCells="0" insertHyperlinks="0" autoFilter="0"/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485" sqref="I1485"/>
    </sheetView>
  </sheetViews>
  <sheetFormatPr defaultColWidth="9" defaultRowHeight="13.8"/>
  <sheetData/>
  <sheetProtection formatCells="0" insertHyperlinks="0" autoFilter="0"/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02"/>
  <sheetViews>
    <sheetView tabSelected="1" zoomScale="85" zoomScaleNormal="85" workbookViewId="0">
      <pane ySplit="1" topLeftCell="A1377" activePane="bottomLeft" state="frozen"/>
      <selection/>
      <selection pane="bottomLeft" activeCell="L1399" sqref="L1399"/>
    </sheetView>
  </sheetViews>
  <sheetFormatPr defaultColWidth="9" defaultRowHeight="13.8"/>
  <cols>
    <col min="1" max="1" width="12.8796296296296" style="37" customWidth="1"/>
    <col min="2" max="2" width="12.8796296296296" style="670" customWidth="1"/>
    <col min="3" max="3" width="12.8796296296296" style="671" customWidth="1"/>
    <col min="4" max="5" width="12.8796296296296" style="37" customWidth="1"/>
    <col min="6" max="6" width="13.6296296296296" style="41" customWidth="1"/>
    <col min="7" max="9" width="12.8796296296296" style="37" customWidth="1"/>
    <col min="10" max="10" width="12.8796296296296" style="672" customWidth="1"/>
    <col min="11" max="11" width="12.8796296296296" style="673" customWidth="1"/>
    <col min="12" max="12" width="12.8796296296296" style="674" customWidth="1"/>
    <col min="13" max="13" width="12.8796296296296" style="37" customWidth="1"/>
    <col min="14" max="14" width="12.8796296296296" style="39" customWidth="1"/>
    <col min="15" max="15" width="12.6296296296296" style="675"/>
    <col min="17" max="17" width="12.6296296296296"/>
  </cols>
  <sheetData>
    <row r="1" s="1" customFormat="1" ht="60" customHeight="1" spans="1:17">
      <c r="A1" s="676" t="s">
        <v>68</v>
      </c>
      <c r="B1" s="677" t="s">
        <v>1</v>
      </c>
      <c r="C1" s="678" t="s">
        <v>2</v>
      </c>
      <c r="D1" s="676" t="s">
        <v>3</v>
      </c>
      <c r="E1" s="676" t="s">
        <v>4</v>
      </c>
      <c r="F1" s="679" t="s">
        <v>5</v>
      </c>
      <c r="G1" s="676" t="s">
        <v>6</v>
      </c>
      <c r="H1" s="676" t="s">
        <v>7</v>
      </c>
      <c r="I1" s="676" t="s">
        <v>8</v>
      </c>
      <c r="J1" s="680" t="s">
        <v>9</v>
      </c>
      <c r="K1" s="681" t="s">
        <v>10</v>
      </c>
      <c r="L1" s="682" t="s">
        <v>86</v>
      </c>
      <c r="M1" s="676" t="s">
        <v>12</v>
      </c>
      <c r="N1" s="683" t="s">
        <v>13</v>
      </c>
      <c r="O1" s="683" t="s">
        <v>72</v>
      </c>
      <c r="P1" s="683" t="s">
        <v>87</v>
      </c>
      <c r="Q1" s="683" t="s">
        <v>73</v>
      </c>
    </row>
    <row r="2" ht="15.6" hidden="1" customHeight="1" spans="1:17">
      <c r="A2" s="684">
        <v>44197</v>
      </c>
      <c r="B2" s="685">
        <v>850.4</v>
      </c>
      <c r="C2" s="686">
        <v>136427</v>
      </c>
      <c r="D2" s="686">
        <v>583</v>
      </c>
      <c r="E2" s="686">
        <v>0</v>
      </c>
      <c r="F2" s="687">
        <v>0</v>
      </c>
      <c r="G2" s="686">
        <v>1</v>
      </c>
      <c r="H2" s="686">
        <v>1</v>
      </c>
      <c r="I2" s="686">
        <v>0</v>
      </c>
      <c r="J2" s="688">
        <v>0.0043</v>
      </c>
      <c r="K2" s="689">
        <f t="shared" ref="K2:K9" si="0">B2/D2</f>
        <v>1.45866209262436</v>
      </c>
      <c r="L2" s="686" t="s">
        <v>18</v>
      </c>
      <c r="M2" s="686">
        <v>0</v>
      </c>
      <c r="N2" s="686">
        <v>0</v>
      </c>
    </row>
    <row r="3" ht="14.45" hidden="1" customHeight="1" spans="1:17">
      <c r="A3" s="684">
        <v>44198</v>
      </c>
      <c r="B3" s="685">
        <v>922.78</v>
      </c>
      <c r="C3" s="686">
        <v>127728</v>
      </c>
      <c r="D3" s="686">
        <v>644</v>
      </c>
      <c r="E3" s="686">
        <v>0</v>
      </c>
      <c r="F3" s="687">
        <v>0</v>
      </c>
      <c r="G3" s="686">
        <v>0</v>
      </c>
      <c r="H3" s="686">
        <v>0</v>
      </c>
      <c r="I3" s="686">
        <v>0</v>
      </c>
      <c r="J3" s="688">
        <v>0.005</v>
      </c>
      <c r="K3" s="689">
        <f t="shared" si="0"/>
        <v>1.43288819875776</v>
      </c>
      <c r="L3" s="686" t="s">
        <v>18</v>
      </c>
      <c r="M3" s="686">
        <v>0</v>
      </c>
      <c r="N3" s="686">
        <v>0</v>
      </c>
    </row>
    <row r="4" ht="13.35" hidden="1" customHeight="1" spans="1:17">
      <c r="A4" s="684">
        <v>44199</v>
      </c>
      <c r="B4" s="685">
        <v>1013.45</v>
      </c>
      <c r="C4" s="686">
        <v>139328</v>
      </c>
      <c r="D4" s="686">
        <v>595</v>
      </c>
      <c r="E4" s="686">
        <v>0</v>
      </c>
      <c r="F4" s="687">
        <v>0</v>
      </c>
      <c r="G4" s="686">
        <v>3</v>
      </c>
      <c r="H4" s="686">
        <v>1</v>
      </c>
      <c r="I4" s="686">
        <v>0</v>
      </c>
      <c r="J4" s="688">
        <v>0.0043</v>
      </c>
      <c r="K4" s="689">
        <f t="shared" si="0"/>
        <v>1.70327731092437</v>
      </c>
      <c r="L4" s="686" t="s">
        <v>18</v>
      </c>
      <c r="M4" s="686">
        <v>0</v>
      </c>
      <c r="N4" s="686">
        <v>0</v>
      </c>
    </row>
    <row r="5" ht="14.45" hidden="1" customHeight="1" spans="1:17">
      <c r="A5" s="684">
        <v>44200</v>
      </c>
      <c r="B5" s="685">
        <v>1005.2</v>
      </c>
      <c r="C5" s="686">
        <v>155198</v>
      </c>
      <c r="D5" s="686">
        <v>621</v>
      </c>
      <c r="E5" s="686">
        <v>0</v>
      </c>
      <c r="F5" s="687">
        <v>0</v>
      </c>
      <c r="G5" s="686">
        <v>8</v>
      </c>
      <c r="H5" s="686">
        <v>2</v>
      </c>
      <c r="I5" s="686">
        <v>1</v>
      </c>
      <c r="J5" s="688">
        <v>0.004</v>
      </c>
      <c r="K5" s="689">
        <f t="shared" si="0"/>
        <v>1.61867954911433</v>
      </c>
      <c r="L5" s="686" t="s">
        <v>18</v>
      </c>
      <c r="M5" s="686">
        <v>0</v>
      </c>
      <c r="N5" s="686">
        <v>0</v>
      </c>
    </row>
    <row r="6" ht="16.35" hidden="1" customHeight="1" spans="1:17">
      <c r="A6" s="684">
        <v>44201</v>
      </c>
      <c r="B6" s="685">
        <v>1003.85</v>
      </c>
      <c r="C6" s="686">
        <v>150251</v>
      </c>
      <c r="D6" s="686">
        <v>619</v>
      </c>
      <c r="E6" s="686">
        <v>0</v>
      </c>
      <c r="F6" s="687">
        <v>0</v>
      </c>
      <c r="G6" s="686">
        <v>4</v>
      </c>
      <c r="H6" s="686">
        <v>3</v>
      </c>
      <c r="I6" s="686">
        <v>3</v>
      </c>
      <c r="J6" s="688">
        <v>0.0041</v>
      </c>
      <c r="K6" s="689">
        <f t="shared" si="0"/>
        <v>1.62172859450727</v>
      </c>
      <c r="L6" s="686" t="s">
        <v>18</v>
      </c>
      <c r="M6" s="686">
        <v>0</v>
      </c>
      <c r="N6" s="686">
        <v>0</v>
      </c>
    </row>
    <row r="7" ht="17.45" hidden="1" customHeight="1" spans="1:17">
      <c r="A7" s="684">
        <v>44202</v>
      </c>
      <c r="B7" s="685">
        <v>1004.94</v>
      </c>
      <c r="C7" s="690">
        <v>143562</v>
      </c>
      <c r="D7" s="686">
        <v>626</v>
      </c>
      <c r="E7" s="686">
        <v>0</v>
      </c>
      <c r="F7" s="687">
        <v>0</v>
      </c>
      <c r="G7" s="686">
        <v>2</v>
      </c>
      <c r="H7" s="686">
        <v>1</v>
      </c>
      <c r="I7" s="686">
        <v>0</v>
      </c>
      <c r="J7" s="688">
        <v>0.0044</v>
      </c>
      <c r="K7" s="689">
        <f t="shared" si="0"/>
        <v>1.60533546325879</v>
      </c>
      <c r="L7" s="686" t="s">
        <v>18</v>
      </c>
      <c r="M7" s="686">
        <v>0</v>
      </c>
      <c r="N7" s="686">
        <v>0</v>
      </c>
    </row>
    <row r="8" ht="15.6" hidden="1" customHeight="1" spans="1:17">
      <c r="A8" s="684">
        <v>44203</v>
      </c>
      <c r="B8" s="685">
        <v>1008.31</v>
      </c>
      <c r="C8" s="690">
        <v>141273</v>
      </c>
      <c r="D8" s="686">
        <v>604</v>
      </c>
      <c r="E8" s="686">
        <v>0</v>
      </c>
      <c r="F8" s="687">
        <v>0</v>
      </c>
      <c r="G8" s="686">
        <v>3</v>
      </c>
      <c r="H8" s="686">
        <v>3</v>
      </c>
      <c r="I8" s="686">
        <v>0</v>
      </c>
      <c r="J8" s="688">
        <v>0.0043</v>
      </c>
      <c r="K8" s="689">
        <f t="shared" si="0"/>
        <v>1.66938741721854</v>
      </c>
      <c r="L8" s="686" t="s">
        <v>18</v>
      </c>
      <c r="M8" s="686">
        <v>0</v>
      </c>
      <c r="N8" s="686">
        <v>0</v>
      </c>
    </row>
    <row r="9" ht="18" hidden="1" customHeight="1" spans="1:17">
      <c r="A9" s="684">
        <v>44204</v>
      </c>
      <c r="B9" s="685">
        <v>234.07</v>
      </c>
      <c r="C9" s="690">
        <v>31295</v>
      </c>
      <c r="D9" s="686">
        <v>85</v>
      </c>
      <c r="E9" s="686">
        <v>0</v>
      </c>
      <c r="F9" s="687">
        <v>0</v>
      </c>
      <c r="G9" s="686">
        <v>1</v>
      </c>
      <c r="H9" s="686">
        <v>1</v>
      </c>
      <c r="I9" s="686">
        <v>0</v>
      </c>
      <c r="J9" s="688">
        <v>0.0027</v>
      </c>
      <c r="K9" s="689">
        <f t="shared" si="0"/>
        <v>2.75376470588235</v>
      </c>
      <c r="L9" s="686" t="s">
        <v>18</v>
      </c>
      <c r="M9" s="686">
        <v>0</v>
      </c>
      <c r="N9" s="686">
        <v>0</v>
      </c>
    </row>
    <row r="10" ht="17.45" hidden="1" customHeight="1" spans="1:17">
      <c r="A10" s="684">
        <v>44205</v>
      </c>
      <c r="B10" s="685">
        <v>0</v>
      </c>
      <c r="C10" s="686">
        <v>0</v>
      </c>
      <c r="D10" s="686">
        <v>0</v>
      </c>
      <c r="E10" s="686">
        <v>0</v>
      </c>
      <c r="F10" s="687">
        <v>0</v>
      </c>
      <c r="G10" s="686">
        <v>0</v>
      </c>
      <c r="H10" s="686">
        <v>0</v>
      </c>
      <c r="I10" s="686">
        <v>0</v>
      </c>
      <c r="J10" s="688">
        <v>0</v>
      </c>
      <c r="K10" s="689">
        <v>0</v>
      </c>
      <c r="L10" s="686" t="s">
        <v>18</v>
      </c>
      <c r="M10" s="686">
        <v>0</v>
      </c>
      <c r="N10" s="686">
        <v>0</v>
      </c>
    </row>
    <row r="11" ht="17.45" hidden="1" customHeight="1" spans="1:17">
      <c r="A11" s="684">
        <v>44206</v>
      </c>
      <c r="B11" s="685">
        <v>0</v>
      </c>
      <c r="C11" s="686">
        <v>0</v>
      </c>
      <c r="D11" s="686">
        <v>0</v>
      </c>
      <c r="E11" s="686">
        <v>0</v>
      </c>
      <c r="F11" s="687">
        <v>0</v>
      </c>
      <c r="G11" s="686">
        <v>0</v>
      </c>
      <c r="H11" s="686">
        <v>0</v>
      </c>
      <c r="I11" s="686">
        <v>0</v>
      </c>
      <c r="J11" s="688">
        <v>0</v>
      </c>
      <c r="K11" s="689">
        <v>0</v>
      </c>
      <c r="L11" s="686" t="s">
        <v>18</v>
      </c>
      <c r="M11" s="686">
        <v>0</v>
      </c>
      <c r="N11" s="686">
        <v>0</v>
      </c>
    </row>
    <row r="12" ht="18" hidden="1" customHeight="1" spans="1:17">
      <c r="A12" s="684">
        <v>44207</v>
      </c>
      <c r="B12" s="685">
        <v>0</v>
      </c>
      <c r="C12" s="686">
        <v>0</v>
      </c>
      <c r="D12" s="686">
        <v>0</v>
      </c>
      <c r="E12" s="686">
        <v>0</v>
      </c>
      <c r="F12" s="687">
        <v>0</v>
      </c>
      <c r="G12" s="686">
        <v>0</v>
      </c>
      <c r="H12" s="686">
        <v>0</v>
      </c>
      <c r="I12" s="686">
        <v>0</v>
      </c>
      <c r="J12" s="688">
        <v>0</v>
      </c>
      <c r="K12" s="689">
        <v>0</v>
      </c>
      <c r="L12" s="686" t="s">
        <v>18</v>
      </c>
      <c r="M12" s="686">
        <v>0</v>
      </c>
      <c r="N12" s="686">
        <v>0</v>
      </c>
    </row>
    <row r="13" ht="18.6" hidden="1" customHeight="1" spans="1:17">
      <c r="A13" s="684">
        <v>44208</v>
      </c>
      <c r="B13" s="685">
        <v>0</v>
      </c>
      <c r="C13" s="686">
        <v>0</v>
      </c>
      <c r="D13" s="686">
        <v>0</v>
      </c>
      <c r="E13" s="686">
        <v>0</v>
      </c>
      <c r="F13" s="687">
        <v>0</v>
      </c>
      <c r="G13" s="686">
        <v>0</v>
      </c>
      <c r="H13" s="686">
        <v>0</v>
      </c>
      <c r="I13" s="686">
        <v>0</v>
      </c>
      <c r="J13" s="688">
        <v>0</v>
      </c>
      <c r="K13" s="689">
        <v>0</v>
      </c>
      <c r="L13" s="686" t="s">
        <v>18</v>
      </c>
      <c r="M13" s="686">
        <v>0</v>
      </c>
      <c r="N13" s="686">
        <v>0</v>
      </c>
    </row>
    <row r="14" ht="18" hidden="1" customHeight="1" spans="1:17">
      <c r="A14" s="684">
        <v>44209</v>
      </c>
      <c r="B14" s="685">
        <v>0</v>
      </c>
      <c r="C14" s="686">
        <v>0</v>
      </c>
      <c r="D14" s="686">
        <v>0</v>
      </c>
      <c r="E14" s="686">
        <v>0</v>
      </c>
      <c r="F14" s="687">
        <v>0</v>
      </c>
      <c r="G14" s="686">
        <v>0</v>
      </c>
      <c r="H14" s="686">
        <v>0</v>
      </c>
      <c r="I14" s="686">
        <v>0</v>
      </c>
      <c r="J14" s="688">
        <v>0</v>
      </c>
      <c r="K14" s="689">
        <v>0</v>
      </c>
      <c r="L14" s="686" t="s">
        <v>18</v>
      </c>
      <c r="M14" s="686">
        <v>0</v>
      </c>
      <c r="N14" s="686">
        <v>0</v>
      </c>
    </row>
    <row r="15" ht="17.45" hidden="1" customHeight="1" spans="1:17">
      <c r="A15" s="684">
        <v>44210</v>
      </c>
      <c r="B15" s="685">
        <v>0</v>
      </c>
      <c r="C15" s="686">
        <v>0</v>
      </c>
      <c r="D15" s="686">
        <v>0</v>
      </c>
      <c r="E15" s="686">
        <v>0</v>
      </c>
      <c r="F15" s="687">
        <v>0</v>
      </c>
      <c r="G15" s="686">
        <v>0</v>
      </c>
      <c r="H15" s="686">
        <v>0</v>
      </c>
      <c r="I15" s="686">
        <v>0</v>
      </c>
      <c r="J15" s="688">
        <v>0</v>
      </c>
      <c r="K15" s="689">
        <v>0</v>
      </c>
      <c r="L15" s="686" t="s">
        <v>18</v>
      </c>
      <c r="M15" s="686">
        <v>0</v>
      </c>
      <c r="N15" s="686">
        <v>0</v>
      </c>
    </row>
    <row r="16" ht="16.9" hidden="1" customHeight="1" spans="1:17">
      <c r="A16" s="684">
        <v>44211</v>
      </c>
      <c r="B16" s="685">
        <v>0</v>
      </c>
      <c r="C16" s="686">
        <v>0</v>
      </c>
      <c r="D16" s="686">
        <v>0</v>
      </c>
      <c r="E16" s="686">
        <v>0</v>
      </c>
      <c r="F16" s="687">
        <v>0</v>
      </c>
      <c r="G16" s="686">
        <v>0</v>
      </c>
      <c r="H16" s="686">
        <v>0</v>
      </c>
      <c r="I16" s="686">
        <v>0</v>
      </c>
      <c r="J16" s="688">
        <v>0</v>
      </c>
      <c r="K16" s="689">
        <v>0</v>
      </c>
      <c r="L16" s="686" t="s">
        <v>18</v>
      </c>
      <c r="M16" s="686">
        <v>0</v>
      </c>
      <c r="N16" s="686">
        <v>0</v>
      </c>
    </row>
    <row r="17" ht="18" hidden="1" customHeight="1" spans="1:14">
      <c r="A17" s="684">
        <v>44212</v>
      </c>
      <c r="B17" s="685">
        <v>0</v>
      </c>
      <c r="C17" s="686">
        <v>0</v>
      </c>
      <c r="D17" s="686">
        <v>0</v>
      </c>
      <c r="E17" s="686">
        <v>0</v>
      </c>
      <c r="F17" s="687">
        <v>0</v>
      </c>
      <c r="G17" s="686">
        <v>0</v>
      </c>
      <c r="H17" s="686">
        <v>0</v>
      </c>
      <c r="I17" s="686">
        <v>0</v>
      </c>
      <c r="J17" s="688">
        <v>0</v>
      </c>
      <c r="K17" s="689">
        <v>0</v>
      </c>
      <c r="L17" s="686" t="s">
        <v>18</v>
      </c>
      <c r="M17" s="686">
        <v>0</v>
      </c>
      <c r="N17" s="686">
        <v>0</v>
      </c>
    </row>
    <row r="18" ht="15" hidden="1" customHeight="1" spans="1:14">
      <c r="A18" s="684">
        <v>44213</v>
      </c>
      <c r="B18" s="685">
        <v>0</v>
      </c>
      <c r="C18" s="686">
        <v>0</v>
      </c>
      <c r="D18" s="686">
        <v>0</v>
      </c>
      <c r="E18" s="686">
        <v>0</v>
      </c>
      <c r="F18" s="687">
        <v>0</v>
      </c>
      <c r="G18" s="686">
        <v>0</v>
      </c>
      <c r="H18" s="686">
        <v>0</v>
      </c>
      <c r="I18" s="686">
        <v>0</v>
      </c>
      <c r="J18" s="688">
        <v>0</v>
      </c>
      <c r="K18" s="689">
        <v>0</v>
      </c>
      <c r="L18" s="686" t="s">
        <v>18</v>
      </c>
      <c r="M18" s="686">
        <v>0</v>
      </c>
      <c r="N18" s="686">
        <v>0</v>
      </c>
    </row>
    <row r="19" ht="15" hidden="1" customHeight="1" spans="1:14">
      <c r="A19" s="684">
        <v>44214</v>
      </c>
      <c r="B19" s="685">
        <v>0</v>
      </c>
      <c r="C19" s="691">
        <v>0</v>
      </c>
      <c r="D19" s="686">
        <v>0</v>
      </c>
      <c r="E19" s="686">
        <v>0</v>
      </c>
      <c r="F19" s="687">
        <v>0</v>
      </c>
      <c r="G19" s="686">
        <v>0</v>
      </c>
      <c r="H19" s="686">
        <v>0</v>
      </c>
      <c r="I19" s="686">
        <v>0</v>
      </c>
      <c r="J19" s="688">
        <v>0</v>
      </c>
      <c r="K19" s="689">
        <v>0</v>
      </c>
      <c r="L19" s="692" t="s">
        <v>18</v>
      </c>
      <c r="M19" s="686">
        <v>0</v>
      </c>
      <c r="N19" s="527">
        <v>0</v>
      </c>
    </row>
    <row r="20" ht="16.35" hidden="1" customHeight="1" spans="1:14">
      <c r="A20" s="684">
        <v>44215</v>
      </c>
      <c r="B20" s="685">
        <v>0</v>
      </c>
      <c r="C20" s="691">
        <v>0</v>
      </c>
      <c r="D20" s="686">
        <v>0</v>
      </c>
      <c r="E20" s="686">
        <v>0</v>
      </c>
      <c r="F20" s="687">
        <v>0</v>
      </c>
      <c r="G20" s="686">
        <v>0</v>
      </c>
      <c r="H20" s="686">
        <v>0</v>
      </c>
      <c r="I20" s="686">
        <v>0</v>
      </c>
      <c r="J20" s="688">
        <v>0</v>
      </c>
      <c r="K20" s="689">
        <v>0</v>
      </c>
      <c r="L20" s="692" t="s">
        <v>18</v>
      </c>
      <c r="M20" s="686">
        <v>0</v>
      </c>
      <c r="N20" s="527">
        <v>0</v>
      </c>
    </row>
    <row r="21" ht="14.45" hidden="1" customHeight="1" spans="1:14">
      <c r="A21" s="684">
        <v>44216</v>
      </c>
      <c r="B21" s="685">
        <v>0</v>
      </c>
      <c r="C21" s="691">
        <v>0</v>
      </c>
      <c r="D21" s="686">
        <v>0</v>
      </c>
      <c r="E21" s="686">
        <v>0</v>
      </c>
      <c r="F21" s="687">
        <v>0</v>
      </c>
      <c r="G21" s="686">
        <v>0</v>
      </c>
      <c r="H21" s="686">
        <v>0</v>
      </c>
      <c r="I21" s="686">
        <v>0</v>
      </c>
      <c r="J21" s="688">
        <v>0</v>
      </c>
      <c r="K21" s="689">
        <v>0</v>
      </c>
      <c r="L21" s="692" t="s">
        <v>18</v>
      </c>
      <c r="M21" s="686">
        <v>0</v>
      </c>
      <c r="N21" s="527">
        <v>0</v>
      </c>
    </row>
    <row r="22" ht="16.35" hidden="1" customHeight="1" spans="1:14">
      <c r="A22" s="684">
        <v>44217</v>
      </c>
      <c r="B22" s="685">
        <v>0</v>
      </c>
      <c r="C22" s="691">
        <v>0</v>
      </c>
      <c r="D22" s="686">
        <v>0</v>
      </c>
      <c r="E22" s="686">
        <v>0</v>
      </c>
      <c r="F22" s="687">
        <v>0</v>
      </c>
      <c r="G22" s="686">
        <v>0</v>
      </c>
      <c r="H22" s="686">
        <v>0</v>
      </c>
      <c r="I22" s="686">
        <v>0</v>
      </c>
      <c r="J22" s="688">
        <v>0</v>
      </c>
      <c r="K22" s="689">
        <v>0</v>
      </c>
      <c r="L22" s="692" t="s">
        <v>18</v>
      </c>
      <c r="M22" s="686">
        <v>0</v>
      </c>
      <c r="N22" s="527">
        <v>0</v>
      </c>
    </row>
    <row r="23" ht="14.45" hidden="1" customHeight="1" spans="1:14">
      <c r="A23" s="684">
        <v>44218</v>
      </c>
      <c r="B23" s="685">
        <v>0</v>
      </c>
      <c r="C23" s="691">
        <v>0</v>
      </c>
      <c r="D23" s="686">
        <v>0</v>
      </c>
      <c r="E23" s="686">
        <v>0</v>
      </c>
      <c r="F23" s="687">
        <v>0</v>
      </c>
      <c r="G23" s="686">
        <v>0</v>
      </c>
      <c r="H23" s="686">
        <v>0</v>
      </c>
      <c r="I23" s="686">
        <v>0</v>
      </c>
      <c r="J23" s="688">
        <v>0</v>
      </c>
      <c r="K23" s="689">
        <v>0</v>
      </c>
      <c r="L23" s="692" t="s">
        <v>18</v>
      </c>
      <c r="M23" s="686">
        <v>0</v>
      </c>
      <c r="N23" s="527">
        <v>0</v>
      </c>
    </row>
    <row r="24" ht="14.45" hidden="1" customHeight="1" spans="1:14">
      <c r="A24" s="684">
        <v>44219</v>
      </c>
      <c r="B24" s="685">
        <v>0</v>
      </c>
      <c r="C24" s="691">
        <v>0</v>
      </c>
      <c r="D24" s="686">
        <v>0</v>
      </c>
      <c r="E24" s="686">
        <v>0</v>
      </c>
      <c r="F24" s="687">
        <v>0</v>
      </c>
      <c r="G24" s="686">
        <v>0</v>
      </c>
      <c r="H24" s="686">
        <v>0</v>
      </c>
      <c r="I24" s="686">
        <v>0</v>
      </c>
      <c r="J24" s="688">
        <v>0</v>
      </c>
      <c r="K24" s="689">
        <v>0</v>
      </c>
      <c r="L24" s="692" t="s">
        <v>18</v>
      </c>
      <c r="M24" s="686">
        <v>0</v>
      </c>
      <c r="N24" s="527">
        <v>0</v>
      </c>
    </row>
    <row r="25" ht="13.9" hidden="1" customHeight="1" spans="1:14">
      <c r="A25" s="684">
        <v>44220</v>
      </c>
      <c r="B25" s="685">
        <v>0</v>
      </c>
      <c r="C25" s="691">
        <v>0</v>
      </c>
      <c r="D25" s="686">
        <v>0</v>
      </c>
      <c r="E25" s="686">
        <v>0</v>
      </c>
      <c r="F25" s="687">
        <v>0</v>
      </c>
      <c r="G25" s="686">
        <v>0</v>
      </c>
      <c r="H25" s="686">
        <v>0</v>
      </c>
      <c r="I25" s="686">
        <v>0</v>
      </c>
      <c r="J25" s="688">
        <v>0</v>
      </c>
      <c r="K25" s="689">
        <v>0</v>
      </c>
      <c r="L25" s="692" t="s">
        <v>18</v>
      </c>
      <c r="M25" s="686">
        <v>0</v>
      </c>
      <c r="N25" s="527">
        <v>0</v>
      </c>
    </row>
    <row r="26" ht="15" hidden="1" customHeight="1" spans="1:14">
      <c r="A26" s="684">
        <v>44221</v>
      </c>
      <c r="B26" s="685">
        <v>0</v>
      </c>
      <c r="C26" s="691">
        <v>0</v>
      </c>
      <c r="D26" s="686">
        <v>0</v>
      </c>
      <c r="E26" s="686">
        <v>0</v>
      </c>
      <c r="F26" s="687">
        <v>0</v>
      </c>
      <c r="G26" s="686">
        <v>0</v>
      </c>
      <c r="H26" s="686">
        <v>0</v>
      </c>
      <c r="I26" s="686">
        <v>0</v>
      </c>
      <c r="J26" s="688">
        <v>0</v>
      </c>
      <c r="K26" s="689">
        <v>0</v>
      </c>
      <c r="L26" s="692" t="s">
        <v>18</v>
      </c>
      <c r="M26" s="686">
        <v>0</v>
      </c>
      <c r="N26" s="686">
        <v>0</v>
      </c>
    </row>
    <row r="27" ht="17.45" hidden="1" customHeight="1" spans="1:14">
      <c r="A27" s="684">
        <v>44222</v>
      </c>
      <c r="B27" s="685">
        <v>0</v>
      </c>
      <c r="C27" s="691">
        <v>0</v>
      </c>
      <c r="D27" s="686">
        <v>0</v>
      </c>
      <c r="E27" s="686">
        <v>0</v>
      </c>
      <c r="F27" s="687">
        <v>0</v>
      </c>
      <c r="G27" s="686">
        <v>0</v>
      </c>
      <c r="H27" s="686">
        <v>0</v>
      </c>
      <c r="I27" s="686">
        <v>0</v>
      </c>
      <c r="J27" s="688">
        <v>0</v>
      </c>
      <c r="K27" s="689">
        <v>0</v>
      </c>
      <c r="L27" s="692" t="s">
        <v>18</v>
      </c>
      <c r="M27" s="686">
        <v>0</v>
      </c>
      <c r="N27" s="686">
        <v>0</v>
      </c>
    </row>
    <row r="28" ht="15" hidden="1" customHeight="1" spans="1:14">
      <c r="A28" s="684">
        <v>44223</v>
      </c>
      <c r="B28" s="685">
        <v>0</v>
      </c>
      <c r="C28" s="691">
        <v>0</v>
      </c>
      <c r="D28" s="686">
        <v>0</v>
      </c>
      <c r="E28" s="686">
        <v>0</v>
      </c>
      <c r="F28" s="687">
        <v>0</v>
      </c>
      <c r="G28" s="686">
        <v>0</v>
      </c>
      <c r="H28" s="686">
        <v>0</v>
      </c>
      <c r="I28" s="686">
        <v>0</v>
      </c>
      <c r="J28" s="688">
        <v>0</v>
      </c>
      <c r="K28" s="689">
        <v>0</v>
      </c>
      <c r="L28" s="692" t="s">
        <v>18</v>
      </c>
      <c r="M28" s="686">
        <v>0</v>
      </c>
      <c r="N28" s="686">
        <v>0</v>
      </c>
    </row>
    <row r="29" ht="15.6" hidden="1" customHeight="1" spans="1:14">
      <c r="A29" s="684">
        <v>44224</v>
      </c>
      <c r="B29" s="685">
        <v>0</v>
      </c>
      <c r="C29" s="691">
        <v>0</v>
      </c>
      <c r="D29" s="686">
        <v>0</v>
      </c>
      <c r="E29" s="686">
        <v>0</v>
      </c>
      <c r="F29" s="687">
        <v>0</v>
      </c>
      <c r="G29" s="686">
        <v>0</v>
      </c>
      <c r="H29" s="686">
        <v>0</v>
      </c>
      <c r="I29" s="686">
        <v>0</v>
      </c>
      <c r="J29" s="688">
        <v>0</v>
      </c>
      <c r="K29" s="689">
        <v>0</v>
      </c>
      <c r="L29" s="692" t="s">
        <v>18</v>
      </c>
      <c r="M29" s="686">
        <v>0</v>
      </c>
      <c r="N29" s="686">
        <v>0</v>
      </c>
    </row>
    <row r="30" ht="13.9" hidden="1" customHeight="1" spans="1:14">
      <c r="A30" s="684">
        <v>44225</v>
      </c>
      <c r="B30" s="685">
        <v>0</v>
      </c>
      <c r="C30" s="691">
        <v>0</v>
      </c>
      <c r="D30" s="686">
        <v>0</v>
      </c>
      <c r="E30" s="686">
        <v>0</v>
      </c>
      <c r="F30" s="687">
        <v>0</v>
      </c>
      <c r="G30" s="686">
        <v>0</v>
      </c>
      <c r="H30" s="686">
        <v>0</v>
      </c>
      <c r="I30" s="686">
        <v>0</v>
      </c>
      <c r="J30" s="688">
        <v>0</v>
      </c>
      <c r="K30" s="689">
        <v>0</v>
      </c>
      <c r="L30" s="692" t="s">
        <v>18</v>
      </c>
      <c r="M30" s="686">
        <v>0</v>
      </c>
      <c r="N30" s="686">
        <v>0</v>
      </c>
    </row>
    <row r="31" ht="16.35" hidden="1" customHeight="1" spans="1:14">
      <c r="A31" s="684">
        <v>44226</v>
      </c>
      <c r="B31" s="685">
        <v>0</v>
      </c>
      <c r="C31" s="691">
        <v>0</v>
      </c>
      <c r="D31" s="686">
        <v>0</v>
      </c>
      <c r="E31" s="686">
        <v>0</v>
      </c>
      <c r="F31" s="687">
        <v>0</v>
      </c>
      <c r="G31" s="686">
        <v>0</v>
      </c>
      <c r="H31" s="686">
        <v>0</v>
      </c>
      <c r="I31" s="686">
        <v>0</v>
      </c>
      <c r="J31" s="688">
        <v>0</v>
      </c>
      <c r="K31" s="689">
        <v>0</v>
      </c>
      <c r="L31" s="692" t="s">
        <v>18</v>
      </c>
      <c r="M31" s="686">
        <v>0</v>
      </c>
      <c r="N31" s="686">
        <v>0</v>
      </c>
    </row>
    <row r="32" ht="13.9" hidden="1" customHeight="1" spans="1:14">
      <c r="A32" s="684">
        <v>44227</v>
      </c>
      <c r="B32" s="685">
        <v>0</v>
      </c>
      <c r="C32" s="691">
        <v>0</v>
      </c>
      <c r="D32" s="686">
        <v>0</v>
      </c>
      <c r="E32" s="686">
        <v>0</v>
      </c>
      <c r="F32" s="687">
        <v>0</v>
      </c>
      <c r="G32" s="686">
        <v>0</v>
      </c>
      <c r="H32" s="686">
        <v>0</v>
      </c>
      <c r="I32" s="686">
        <v>0</v>
      </c>
      <c r="J32" s="688">
        <v>0</v>
      </c>
      <c r="K32" s="689">
        <v>0</v>
      </c>
      <c r="L32" s="692" t="s">
        <v>18</v>
      </c>
      <c r="M32" s="686">
        <v>0</v>
      </c>
      <c r="N32" s="686">
        <v>0</v>
      </c>
    </row>
    <row r="33" ht="14.45" hidden="1" customHeight="1" spans="1:14">
      <c r="A33" s="684">
        <f t="shared" ref="A33:A62" si="1">A32+1</f>
        <v>44228</v>
      </c>
      <c r="B33" s="685">
        <v>0</v>
      </c>
      <c r="C33" s="691">
        <v>0</v>
      </c>
      <c r="D33" s="686">
        <v>0</v>
      </c>
      <c r="E33" s="686">
        <v>0</v>
      </c>
      <c r="F33" s="687">
        <v>0</v>
      </c>
      <c r="G33" s="686">
        <v>0</v>
      </c>
      <c r="H33" s="686">
        <v>0</v>
      </c>
      <c r="I33" s="686">
        <v>0</v>
      </c>
      <c r="J33" s="688">
        <v>0</v>
      </c>
      <c r="K33" s="689">
        <v>0</v>
      </c>
      <c r="L33" s="692" t="s">
        <v>18</v>
      </c>
      <c r="M33" s="686">
        <v>0</v>
      </c>
      <c r="N33" s="527">
        <v>0</v>
      </c>
    </row>
    <row r="34" ht="13.9" hidden="1" customHeight="1" spans="1:14">
      <c r="A34" s="684">
        <f t="shared" si="1"/>
        <v>44229</v>
      </c>
      <c r="B34" s="685">
        <v>0</v>
      </c>
      <c r="C34" s="691">
        <v>0</v>
      </c>
      <c r="D34" s="686">
        <v>0</v>
      </c>
      <c r="E34" s="686">
        <v>0</v>
      </c>
      <c r="F34" s="687">
        <v>0</v>
      </c>
      <c r="G34" s="686">
        <v>0</v>
      </c>
      <c r="H34" s="686">
        <v>0</v>
      </c>
      <c r="I34" s="686">
        <v>0</v>
      </c>
      <c r="J34" s="688">
        <v>0</v>
      </c>
      <c r="K34" s="689">
        <v>0</v>
      </c>
      <c r="L34" s="692" t="s">
        <v>18</v>
      </c>
      <c r="M34" s="686">
        <v>0</v>
      </c>
      <c r="N34" s="527">
        <v>0</v>
      </c>
    </row>
    <row r="35" ht="15.6" hidden="1" customHeight="1" spans="1:14">
      <c r="A35" s="684">
        <f t="shared" si="1"/>
        <v>44230</v>
      </c>
      <c r="B35" s="685">
        <v>0</v>
      </c>
      <c r="C35" s="691">
        <v>0</v>
      </c>
      <c r="D35" s="686">
        <v>0</v>
      </c>
      <c r="E35" s="686">
        <v>0</v>
      </c>
      <c r="F35" s="687">
        <v>0</v>
      </c>
      <c r="G35" s="686">
        <v>0</v>
      </c>
      <c r="H35" s="686">
        <v>0</v>
      </c>
      <c r="I35" s="686">
        <v>0</v>
      </c>
      <c r="J35" s="688">
        <v>0</v>
      </c>
      <c r="K35" s="689">
        <v>0</v>
      </c>
      <c r="L35" s="692" t="s">
        <v>18</v>
      </c>
      <c r="M35" s="686">
        <v>0</v>
      </c>
      <c r="N35" s="527">
        <v>0</v>
      </c>
    </row>
    <row r="36" ht="15.6" hidden="1" customHeight="1" spans="1:14">
      <c r="A36" s="684">
        <f t="shared" si="1"/>
        <v>44231</v>
      </c>
      <c r="B36" s="685">
        <v>0</v>
      </c>
      <c r="C36" s="691">
        <v>0</v>
      </c>
      <c r="D36" s="686">
        <v>0</v>
      </c>
      <c r="E36" s="686">
        <v>0</v>
      </c>
      <c r="F36" s="687">
        <v>0</v>
      </c>
      <c r="G36" s="686">
        <v>0</v>
      </c>
      <c r="H36" s="686">
        <v>0</v>
      </c>
      <c r="I36" s="686">
        <v>0</v>
      </c>
      <c r="J36" s="688">
        <v>0</v>
      </c>
      <c r="K36" s="689">
        <v>0</v>
      </c>
      <c r="L36" s="692" t="s">
        <v>18</v>
      </c>
      <c r="M36" s="686">
        <v>0</v>
      </c>
      <c r="N36" s="527">
        <v>0</v>
      </c>
    </row>
    <row r="37" ht="15.6" hidden="1" customHeight="1" spans="1:14">
      <c r="A37" s="684">
        <f t="shared" si="1"/>
        <v>44232</v>
      </c>
      <c r="B37" s="685">
        <v>0</v>
      </c>
      <c r="C37" s="691">
        <v>0</v>
      </c>
      <c r="D37" s="686">
        <v>0</v>
      </c>
      <c r="E37" s="686">
        <v>0</v>
      </c>
      <c r="F37" s="687">
        <v>0</v>
      </c>
      <c r="G37" s="686">
        <v>0</v>
      </c>
      <c r="H37" s="686">
        <v>0</v>
      </c>
      <c r="I37" s="686">
        <v>0</v>
      </c>
      <c r="J37" s="688">
        <v>0</v>
      </c>
      <c r="K37" s="689">
        <v>0</v>
      </c>
      <c r="L37" s="692" t="s">
        <v>18</v>
      </c>
      <c r="M37" s="686">
        <v>0</v>
      </c>
      <c r="N37" s="527">
        <v>0</v>
      </c>
    </row>
    <row r="38" ht="15.6" hidden="1" customHeight="1" spans="1:14">
      <c r="A38" s="684">
        <f t="shared" si="1"/>
        <v>44233</v>
      </c>
      <c r="B38" s="685">
        <v>0</v>
      </c>
      <c r="C38" s="691">
        <v>0</v>
      </c>
      <c r="D38" s="686">
        <v>0</v>
      </c>
      <c r="E38" s="686">
        <v>0</v>
      </c>
      <c r="F38" s="687">
        <v>0</v>
      </c>
      <c r="G38" s="686">
        <v>0</v>
      </c>
      <c r="H38" s="686">
        <v>0</v>
      </c>
      <c r="I38" s="686">
        <v>0</v>
      </c>
      <c r="J38" s="688">
        <v>0</v>
      </c>
      <c r="K38" s="689">
        <v>0</v>
      </c>
      <c r="L38" s="692" t="s">
        <v>18</v>
      </c>
      <c r="M38" s="686">
        <v>0</v>
      </c>
      <c r="N38" s="527">
        <v>0</v>
      </c>
    </row>
    <row r="39" ht="15.6" hidden="1" customHeight="1" spans="1:14">
      <c r="A39" s="684">
        <f t="shared" si="1"/>
        <v>44234</v>
      </c>
      <c r="B39" s="685">
        <v>0</v>
      </c>
      <c r="C39" s="691">
        <v>0</v>
      </c>
      <c r="D39" s="686">
        <v>0</v>
      </c>
      <c r="E39" s="686">
        <v>0</v>
      </c>
      <c r="F39" s="687">
        <v>0</v>
      </c>
      <c r="G39" s="686">
        <v>0</v>
      </c>
      <c r="H39" s="686">
        <v>0</v>
      </c>
      <c r="I39" s="686">
        <v>0</v>
      </c>
      <c r="J39" s="688">
        <v>0</v>
      </c>
      <c r="K39" s="689">
        <v>0</v>
      </c>
      <c r="L39" s="692" t="s">
        <v>18</v>
      </c>
      <c r="M39" s="686">
        <v>0</v>
      </c>
      <c r="N39" s="527">
        <v>0</v>
      </c>
    </row>
    <row r="40" ht="15.6" hidden="1" customHeight="1" spans="1:14">
      <c r="A40" s="684">
        <f t="shared" si="1"/>
        <v>44235</v>
      </c>
      <c r="B40" s="685">
        <v>0</v>
      </c>
      <c r="C40" s="691">
        <v>0</v>
      </c>
      <c r="D40" s="686">
        <v>0</v>
      </c>
      <c r="E40" s="686">
        <v>0</v>
      </c>
      <c r="F40" s="687">
        <v>0</v>
      </c>
      <c r="G40" s="686">
        <v>0</v>
      </c>
      <c r="H40" s="686">
        <v>0</v>
      </c>
      <c r="I40" s="686">
        <v>0</v>
      </c>
      <c r="J40" s="688">
        <v>0</v>
      </c>
      <c r="K40" s="689">
        <v>0</v>
      </c>
      <c r="L40" s="692" t="s">
        <v>18</v>
      </c>
      <c r="M40" s="686">
        <v>0</v>
      </c>
      <c r="N40" s="527">
        <v>0</v>
      </c>
    </row>
    <row r="41" ht="13.9" hidden="1" customHeight="1" spans="1:14">
      <c r="A41" s="684">
        <f t="shared" si="1"/>
        <v>44236</v>
      </c>
      <c r="B41" s="685">
        <v>0</v>
      </c>
      <c r="C41" s="691">
        <v>0</v>
      </c>
      <c r="D41" s="686">
        <v>0</v>
      </c>
      <c r="E41" s="686">
        <v>0</v>
      </c>
      <c r="F41" s="687">
        <v>0</v>
      </c>
      <c r="G41" s="686">
        <v>0</v>
      </c>
      <c r="H41" s="686">
        <v>0</v>
      </c>
      <c r="I41" s="686">
        <v>0</v>
      </c>
      <c r="J41" s="688">
        <v>0</v>
      </c>
      <c r="K41" s="689">
        <v>0</v>
      </c>
      <c r="L41" s="692" t="s">
        <v>18</v>
      </c>
      <c r="M41" s="686">
        <v>0</v>
      </c>
      <c r="N41" s="527">
        <v>0</v>
      </c>
    </row>
    <row r="42" ht="16.9" hidden="1" customHeight="1" spans="1:14">
      <c r="A42" s="684">
        <f t="shared" si="1"/>
        <v>44237</v>
      </c>
      <c r="B42" s="685">
        <v>0</v>
      </c>
      <c r="C42" s="691">
        <v>0</v>
      </c>
      <c r="D42" s="686">
        <v>0</v>
      </c>
      <c r="E42" s="686">
        <v>0</v>
      </c>
      <c r="F42" s="687">
        <v>0</v>
      </c>
      <c r="G42" s="686">
        <v>0</v>
      </c>
      <c r="H42" s="686">
        <v>0</v>
      </c>
      <c r="I42" s="686">
        <v>0</v>
      </c>
      <c r="J42" s="688">
        <v>0</v>
      </c>
      <c r="K42" s="689">
        <v>0</v>
      </c>
      <c r="L42" s="692" t="s">
        <v>18</v>
      </c>
      <c r="M42" s="686">
        <v>0</v>
      </c>
      <c r="N42" s="527">
        <v>0</v>
      </c>
    </row>
    <row r="43" ht="15.6" hidden="1" customHeight="1" spans="1:14">
      <c r="A43" s="684">
        <f t="shared" si="1"/>
        <v>44238</v>
      </c>
      <c r="B43" s="685">
        <v>0</v>
      </c>
      <c r="C43" s="691">
        <v>0</v>
      </c>
      <c r="D43" s="686">
        <v>0</v>
      </c>
      <c r="E43" s="686">
        <v>0</v>
      </c>
      <c r="F43" s="687">
        <v>0</v>
      </c>
      <c r="G43" s="686">
        <v>0</v>
      </c>
      <c r="H43" s="686">
        <v>0</v>
      </c>
      <c r="I43" s="686">
        <v>0</v>
      </c>
      <c r="J43" s="688">
        <v>0</v>
      </c>
      <c r="K43" s="689">
        <v>0</v>
      </c>
      <c r="L43" s="692" t="s">
        <v>18</v>
      </c>
      <c r="M43" s="686">
        <v>0</v>
      </c>
      <c r="N43" s="527">
        <v>0</v>
      </c>
    </row>
    <row r="44" ht="15" hidden="1" customHeight="1" spans="1:14">
      <c r="A44" s="684">
        <f t="shared" si="1"/>
        <v>44239</v>
      </c>
      <c r="B44" s="685">
        <v>0</v>
      </c>
      <c r="C44" s="691">
        <v>0</v>
      </c>
      <c r="D44" s="686">
        <v>0</v>
      </c>
      <c r="E44" s="686">
        <v>0</v>
      </c>
      <c r="F44" s="687">
        <v>0</v>
      </c>
      <c r="G44" s="686">
        <v>0</v>
      </c>
      <c r="H44" s="686">
        <v>0</v>
      </c>
      <c r="I44" s="686">
        <v>0</v>
      </c>
      <c r="J44" s="688">
        <v>0</v>
      </c>
      <c r="K44" s="689">
        <v>0</v>
      </c>
      <c r="L44" s="692" t="s">
        <v>18</v>
      </c>
      <c r="M44" s="686">
        <v>0</v>
      </c>
      <c r="N44" s="527">
        <v>0</v>
      </c>
    </row>
    <row r="45" ht="16.9" hidden="1" customHeight="1" spans="1:14">
      <c r="A45" s="684">
        <f t="shared" si="1"/>
        <v>44240</v>
      </c>
      <c r="B45" s="685">
        <v>0</v>
      </c>
      <c r="C45" s="691">
        <v>0</v>
      </c>
      <c r="D45" s="686">
        <v>0</v>
      </c>
      <c r="E45" s="686">
        <v>0</v>
      </c>
      <c r="F45" s="687">
        <v>0</v>
      </c>
      <c r="G45" s="686">
        <v>0</v>
      </c>
      <c r="H45" s="686">
        <v>0</v>
      </c>
      <c r="I45" s="686">
        <v>0</v>
      </c>
      <c r="J45" s="688">
        <v>0</v>
      </c>
      <c r="K45" s="689">
        <v>0</v>
      </c>
      <c r="L45" s="692" t="s">
        <v>18</v>
      </c>
      <c r="M45" s="686">
        <v>0</v>
      </c>
      <c r="N45" s="527">
        <v>0</v>
      </c>
    </row>
    <row r="46" ht="16.35" hidden="1" customHeight="1" spans="1:14">
      <c r="A46" s="684">
        <f t="shared" si="1"/>
        <v>44241</v>
      </c>
      <c r="B46" s="685">
        <v>0</v>
      </c>
      <c r="C46" s="691">
        <v>0</v>
      </c>
      <c r="D46" s="686">
        <v>0</v>
      </c>
      <c r="E46" s="686">
        <v>0</v>
      </c>
      <c r="F46" s="687">
        <v>0</v>
      </c>
      <c r="G46" s="686">
        <v>0</v>
      </c>
      <c r="H46" s="686">
        <v>0</v>
      </c>
      <c r="I46" s="686">
        <v>0</v>
      </c>
      <c r="J46" s="688">
        <v>0</v>
      </c>
      <c r="K46" s="689">
        <v>0</v>
      </c>
      <c r="L46" s="692" t="s">
        <v>18</v>
      </c>
      <c r="M46" s="686">
        <v>0</v>
      </c>
      <c r="N46" s="527">
        <v>0</v>
      </c>
    </row>
    <row r="47" ht="15.6" hidden="1" customHeight="1" spans="1:14">
      <c r="A47" s="684">
        <f t="shared" si="1"/>
        <v>44242</v>
      </c>
      <c r="B47" s="685">
        <v>0</v>
      </c>
      <c r="C47" s="691">
        <v>0</v>
      </c>
      <c r="D47" s="686">
        <v>0</v>
      </c>
      <c r="E47" s="686">
        <v>0</v>
      </c>
      <c r="F47" s="687">
        <v>0</v>
      </c>
      <c r="G47" s="686">
        <v>0</v>
      </c>
      <c r="H47" s="686">
        <v>0</v>
      </c>
      <c r="I47" s="686">
        <v>0</v>
      </c>
      <c r="J47" s="688">
        <v>0</v>
      </c>
      <c r="K47" s="689">
        <v>0</v>
      </c>
      <c r="L47" s="692" t="s">
        <v>18</v>
      </c>
      <c r="M47" s="686">
        <v>0</v>
      </c>
      <c r="N47" s="527">
        <v>0</v>
      </c>
    </row>
    <row r="48" ht="15" hidden="1" customHeight="1" spans="1:14">
      <c r="A48" s="684">
        <f t="shared" si="1"/>
        <v>44243</v>
      </c>
      <c r="B48" s="685">
        <v>0</v>
      </c>
      <c r="C48" s="691">
        <v>0</v>
      </c>
      <c r="D48" s="686">
        <v>0</v>
      </c>
      <c r="E48" s="686">
        <v>0</v>
      </c>
      <c r="F48" s="687">
        <v>0</v>
      </c>
      <c r="G48" s="686">
        <v>0</v>
      </c>
      <c r="H48" s="686">
        <v>0</v>
      </c>
      <c r="I48" s="686">
        <v>0</v>
      </c>
      <c r="J48" s="688">
        <v>0</v>
      </c>
      <c r="K48" s="689">
        <v>0</v>
      </c>
      <c r="L48" s="692" t="s">
        <v>18</v>
      </c>
      <c r="M48" s="686">
        <v>0</v>
      </c>
      <c r="N48" s="527">
        <v>0</v>
      </c>
    </row>
    <row r="49" ht="16.9" hidden="1" customHeight="1" spans="1:14">
      <c r="A49" s="684">
        <f t="shared" si="1"/>
        <v>44244</v>
      </c>
      <c r="B49" s="685">
        <v>0</v>
      </c>
      <c r="C49" s="691">
        <v>0</v>
      </c>
      <c r="D49" s="686">
        <v>0</v>
      </c>
      <c r="E49" s="686">
        <v>0</v>
      </c>
      <c r="F49" s="687">
        <v>0</v>
      </c>
      <c r="G49" s="686">
        <v>0</v>
      </c>
      <c r="H49" s="686">
        <v>0</v>
      </c>
      <c r="I49" s="686">
        <v>0</v>
      </c>
      <c r="J49" s="688">
        <v>0</v>
      </c>
      <c r="K49" s="689">
        <v>0</v>
      </c>
      <c r="L49" s="692" t="s">
        <v>18</v>
      </c>
      <c r="M49" s="686">
        <v>0</v>
      </c>
      <c r="N49" s="527">
        <v>0</v>
      </c>
    </row>
    <row r="50" ht="15" hidden="1" customHeight="1" spans="1:14">
      <c r="A50" s="684">
        <f t="shared" si="1"/>
        <v>44245</v>
      </c>
      <c r="B50" s="685">
        <v>0</v>
      </c>
      <c r="C50" s="691">
        <v>0</v>
      </c>
      <c r="D50" s="686">
        <v>0</v>
      </c>
      <c r="E50" s="686">
        <v>0</v>
      </c>
      <c r="F50" s="687">
        <v>0</v>
      </c>
      <c r="G50" s="686">
        <v>0</v>
      </c>
      <c r="H50" s="686">
        <v>0</v>
      </c>
      <c r="I50" s="686">
        <v>0</v>
      </c>
      <c r="J50" s="688">
        <v>0</v>
      </c>
      <c r="K50" s="689">
        <v>0</v>
      </c>
      <c r="L50" s="692" t="s">
        <v>18</v>
      </c>
      <c r="M50" s="686">
        <v>0</v>
      </c>
      <c r="N50" s="527">
        <v>0</v>
      </c>
    </row>
    <row r="51" ht="13.9" hidden="1" customHeight="1" spans="1:14">
      <c r="A51" s="684">
        <f t="shared" si="1"/>
        <v>44246</v>
      </c>
      <c r="B51" s="685">
        <v>0</v>
      </c>
      <c r="C51" s="691">
        <v>0</v>
      </c>
      <c r="D51" s="686">
        <v>0</v>
      </c>
      <c r="E51" s="686">
        <v>0</v>
      </c>
      <c r="F51" s="687">
        <v>0</v>
      </c>
      <c r="G51" s="686">
        <v>0</v>
      </c>
      <c r="H51" s="686">
        <v>0</v>
      </c>
      <c r="I51" s="686">
        <v>0</v>
      </c>
      <c r="J51" s="688">
        <v>0</v>
      </c>
      <c r="K51" s="689">
        <v>0</v>
      </c>
      <c r="L51" s="692" t="s">
        <v>18</v>
      </c>
      <c r="M51" s="686">
        <v>0</v>
      </c>
      <c r="N51" s="527">
        <v>0</v>
      </c>
    </row>
    <row r="52" ht="16.9" hidden="1" customHeight="1" spans="1:14">
      <c r="A52" s="684">
        <f t="shared" si="1"/>
        <v>44247</v>
      </c>
      <c r="B52" s="685">
        <v>0</v>
      </c>
      <c r="C52" s="691">
        <v>0</v>
      </c>
      <c r="D52" s="686">
        <v>0</v>
      </c>
      <c r="E52" s="686">
        <v>0</v>
      </c>
      <c r="F52" s="687">
        <v>0</v>
      </c>
      <c r="G52" s="686">
        <v>0</v>
      </c>
      <c r="H52" s="686">
        <v>0</v>
      </c>
      <c r="I52" s="686">
        <v>0</v>
      </c>
      <c r="J52" s="688">
        <v>0</v>
      </c>
      <c r="K52" s="689">
        <v>0</v>
      </c>
      <c r="L52" s="692" t="s">
        <v>18</v>
      </c>
      <c r="M52" s="686">
        <v>0</v>
      </c>
      <c r="N52" s="527">
        <v>0</v>
      </c>
    </row>
    <row r="53" ht="16.35" hidden="1" customHeight="1" spans="1:14">
      <c r="A53" s="684">
        <f t="shared" si="1"/>
        <v>44248</v>
      </c>
      <c r="B53" s="685">
        <v>0</v>
      </c>
      <c r="C53" s="691">
        <v>0</v>
      </c>
      <c r="D53" s="686">
        <v>0</v>
      </c>
      <c r="E53" s="686">
        <v>0</v>
      </c>
      <c r="F53" s="687">
        <v>0</v>
      </c>
      <c r="G53" s="686">
        <v>0</v>
      </c>
      <c r="H53" s="686">
        <v>0</v>
      </c>
      <c r="I53" s="686">
        <v>0</v>
      </c>
      <c r="J53" s="688">
        <v>0</v>
      </c>
      <c r="K53" s="689">
        <v>0</v>
      </c>
      <c r="L53" s="692" t="s">
        <v>18</v>
      </c>
      <c r="M53" s="686">
        <v>0</v>
      </c>
      <c r="N53" s="527">
        <v>0</v>
      </c>
    </row>
    <row r="54" ht="17.45" hidden="1" customHeight="1" spans="1:14">
      <c r="A54" s="684">
        <f t="shared" si="1"/>
        <v>44249</v>
      </c>
      <c r="B54" s="685">
        <v>0</v>
      </c>
      <c r="C54" s="691">
        <v>0</v>
      </c>
      <c r="D54" s="686">
        <v>0</v>
      </c>
      <c r="E54" s="686">
        <v>0</v>
      </c>
      <c r="F54" s="687">
        <v>0</v>
      </c>
      <c r="G54" s="686">
        <v>0</v>
      </c>
      <c r="H54" s="686">
        <v>0</v>
      </c>
      <c r="I54" s="686">
        <v>0</v>
      </c>
      <c r="J54" s="688">
        <v>0</v>
      </c>
      <c r="K54" s="689">
        <v>0</v>
      </c>
      <c r="L54" s="692" t="s">
        <v>18</v>
      </c>
      <c r="M54" s="686">
        <v>0</v>
      </c>
      <c r="N54" s="527">
        <v>0</v>
      </c>
    </row>
    <row r="55" ht="15" hidden="1" customHeight="1" spans="1:14">
      <c r="A55" s="684">
        <f t="shared" si="1"/>
        <v>44250</v>
      </c>
      <c r="B55" s="685">
        <v>0</v>
      </c>
      <c r="C55" s="691">
        <v>0</v>
      </c>
      <c r="D55" s="686">
        <v>0</v>
      </c>
      <c r="E55" s="686">
        <v>0</v>
      </c>
      <c r="F55" s="687">
        <v>0</v>
      </c>
      <c r="G55" s="686">
        <v>0</v>
      </c>
      <c r="H55" s="686">
        <v>0</v>
      </c>
      <c r="I55" s="686">
        <v>0</v>
      </c>
      <c r="J55" s="688">
        <v>0</v>
      </c>
      <c r="K55" s="689">
        <v>0</v>
      </c>
      <c r="L55" s="692" t="s">
        <v>18</v>
      </c>
      <c r="M55" s="686">
        <v>0</v>
      </c>
      <c r="N55" s="527">
        <v>0</v>
      </c>
    </row>
    <row r="56" ht="16.35" hidden="1" customHeight="1" spans="1:14">
      <c r="A56" s="684">
        <f t="shared" si="1"/>
        <v>44251</v>
      </c>
      <c r="B56" s="685">
        <v>0</v>
      </c>
      <c r="C56" s="691">
        <v>0</v>
      </c>
      <c r="D56" s="686">
        <v>0</v>
      </c>
      <c r="E56" s="686">
        <v>0</v>
      </c>
      <c r="F56" s="687">
        <v>0</v>
      </c>
      <c r="G56" s="686">
        <v>0</v>
      </c>
      <c r="H56" s="686">
        <v>0</v>
      </c>
      <c r="I56" s="686">
        <v>0</v>
      </c>
      <c r="J56" s="688">
        <v>0</v>
      </c>
      <c r="K56" s="689">
        <v>0</v>
      </c>
      <c r="L56" s="692" t="s">
        <v>18</v>
      </c>
      <c r="M56" s="686">
        <v>0</v>
      </c>
      <c r="N56" s="527">
        <v>0</v>
      </c>
    </row>
    <row r="57" ht="13.9" hidden="1" customHeight="1" spans="1:14">
      <c r="A57" s="684">
        <f t="shared" si="1"/>
        <v>44252</v>
      </c>
      <c r="B57" s="685">
        <v>0</v>
      </c>
      <c r="C57" s="691">
        <v>0</v>
      </c>
      <c r="D57" s="686">
        <v>0</v>
      </c>
      <c r="E57" s="686">
        <v>0</v>
      </c>
      <c r="F57" s="687">
        <v>0</v>
      </c>
      <c r="G57" s="686">
        <v>0</v>
      </c>
      <c r="H57" s="686">
        <v>0</v>
      </c>
      <c r="I57" s="686">
        <v>0</v>
      </c>
      <c r="J57" s="688">
        <v>0</v>
      </c>
      <c r="K57" s="689">
        <v>0</v>
      </c>
      <c r="L57" s="692" t="s">
        <v>18</v>
      </c>
      <c r="M57" s="686">
        <v>0</v>
      </c>
      <c r="N57" s="527">
        <v>0</v>
      </c>
    </row>
    <row r="58" ht="15" hidden="1" customHeight="1" spans="1:14">
      <c r="A58" s="684">
        <f t="shared" si="1"/>
        <v>44253</v>
      </c>
      <c r="B58" s="685">
        <v>0</v>
      </c>
      <c r="C58" s="691">
        <v>0</v>
      </c>
      <c r="D58" s="686">
        <v>0</v>
      </c>
      <c r="E58" s="686">
        <v>0</v>
      </c>
      <c r="F58" s="687">
        <v>0</v>
      </c>
      <c r="G58" s="686">
        <v>0</v>
      </c>
      <c r="H58" s="686">
        <v>0</v>
      </c>
      <c r="I58" s="686">
        <v>0</v>
      </c>
      <c r="J58" s="688">
        <v>0</v>
      </c>
      <c r="K58" s="689">
        <v>0</v>
      </c>
      <c r="L58" s="692" t="s">
        <v>18</v>
      </c>
      <c r="M58" s="686">
        <v>0</v>
      </c>
      <c r="N58" s="527">
        <v>0</v>
      </c>
    </row>
    <row r="59" ht="16.35" hidden="1" customHeight="1" spans="1:14">
      <c r="A59" s="684">
        <f t="shared" si="1"/>
        <v>44254</v>
      </c>
      <c r="B59" s="685">
        <v>0</v>
      </c>
      <c r="C59" s="691">
        <v>0</v>
      </c>
      <c r="D59" s="686">
        <v>0</v>
      </c>
      <c r="E59" s="686">
        <v>0</v>
      </c>
      <c r="F59" s="687">
        <v>0</v>
      </c>
      <c r="G59" s="686">
        <v>0</v>
      </c>
      <c r="H59" s="686">
        <v>0</v>
      </c>
      <c r="I59" s="686">
        <v>0</v>
      </c>
      <c r="J59" s="688">
        <v>0</v>
      </c>
      <c r="K59" s="689">
        <v>0</v>
      </c>
      <c r="L59" s="692" t="s">
        <v>18</v>
      </c>
      <c r="M59" s="686">
        <v>0</v>
      </c>
      <c r="N59" s="527">
        <v>0</v>
      </c>
    </row>
    <row r="60" ht="16.9" hidden="1" customHeight="1" spans="1:14">
      <c r="A60" s="684">
        <f t="shared" si="1"/>
        <v>44255</v>
      </c>
      <c r="B60" s="685">
        <v>0</v>
      </c>
      <c r="C60" s="691">
        <v>0</v>
      </c>
      <c r="D60" s="686">
        <v>0</v>
      </c>
      <c r="E60" s="686">
        <v>0</v>
      </c>
      <c r="F60" s="687">
        <v>0</v>
      </c>
      <c r="G60" s="686">
        <v>0</v>
      </c>
      <c r="H60" s="686">
        <v>0</v>
      </c>
      <c r="I60" s="686">
        <v>0</v>
      </c>
      <c r="J60" s="688">
        <v>0</v>
      </c>
      <c r="K60" s="689">
        <v>0</v>
      </c>
      <c r="L60" s="692" t="s">
        <v>18</v>
      </c>
      <c r="M60" s="686">
        <v>0</v>
      </c>
      <c r="N60" s="527">
        <v>0</v>
      </c>
    </row>
    <row r="61" ht="14.45" hidden="1" customHeight="1" spans="1:14">
      <c r="A61" s="684">
        <f t="shared" si="1"/>
        <v>44256</v>
      </c>
      <c r="B61" s="685">
        <v>0</v>
      </c>
      <c r="C61" s="691">
        <v>0</v>
      </c>
      <c r="D61" s="686">
        <v>0</v>
      </c>
      <c r="E61" s="686">
        <v>0</v>
      </c>
      <c r="F61" s="687">
        <v>0</v>
      </c>
      <c r="G61" s="686">
        <v>0</v>
      </c>
      <c r="H61" s="686">
        <v>0</v>
      </c>
      <c r="I61" s="686">
        <v>0</v>
      </c>
      <c r="J61" s="688">
        <v>0</v>
      </c>
      <c r="K61" s="689">
        <v>0</v>
      </c>
      <c r="L61" s="692" t="s">
        <v>18</v>
      </c>
      <c r="M61" s="686">
        <v>0</v>
      </c>
      <c r="N61" s="527">
        <v>0</v>
      </c>
    </row>
    <row r="62" hidden="1" spans="1:14">
      <c r="A62" s="684">
        <f t="shared" si="1"/>
        <v>44257</v>
      </c>
      <c r="B62" s="685">
        <v>0</v>
      </c>
      <c r="C62" s="691">
        <v>0</v>
      </c>
      <c r="D62" s="686">
        <v>0</v>
      </c>
      <c r="E62" s="686">
        <v>0</v>
      </c>
      <c r="F62" s="687">
        <v>0</v>
      </c>
      <c r="G62" s="686">
        <v>0</v>
      </c>
      <c r="H62" s="686">
        <v>0</v>
      </c>
      <c r="I62" s="686">
        <v>0</v>
      </c>
      <c r="J62" s="688">
        <v>0</v>
      </c>
      <c r="K62" s="689">
        <v>0</v>
      </c>
      <c r="L62" s="692" t="s">
        <v>18</v>
      </c>
      <c r="M62" s="686">
        <v>0</v>
      </c>
      <c r="N62" s="527">
        <v>0</v>
      </c>
    </row>
    <row r="63" hidden="1" spans="1:14">
      <c r="A63" s="684"/>
      <c r="B63" s="685"/>
      <c r="C63" s="691"/>
      <c r="D63" s="686"/>
      <c r="E63" s="686"/>
      <c r="F63" s="687"/>
      <c r="G63" s="686"/>
      <c r="H63" s="686"/>
      <c r="I63" s="686"/>
      <c r="J63" s="688"/>
      <c r="K63" s="689"/>
      <c r="L63" s="692"/>
      <c r="M63" s="686"/>
      <c r="N63" s="527"/>
    </row>
    <row r="64" hidden="1" spans="1:14">
      <c r="A64" s="684"/>
      <c r="B64" s="685"/>
      <c r="C64" s="691"/>
      <c r="D64" s="686"/>
      <c r="E64" s="686"/>
      <c r="F64" s="687"/>
      <c r="G64" s="686"/>
      <c r="H64" s="686"/>
      <c r="I64" s="686"/>
      <c r="J64" s="688"/>
      <c r="K64" s="689"/>
      <c r="L64" s="692"/>
      <c r="M64" s="686"/>
      <c r="N64" s="527"/>
    </row>
    <row r="65" hidden="1" spans="1:14">
      <c r="A65" s="684">
        <v>44361</v>
      </c>
      <c r="B65" s="685">
        <v>0</v>
      </c>
      <c r="C65" s="691">
        <v>0</v>
      </c>
      <c r="D65" s="686">
        <v>0</v>
      </c>
      <c r="E65" s="686">
        <v>0</v>
      </c>
      <c r="F65" s="687">
        <v>0</v>
      </c>
      <c r="G65" s="686">
        <v>0</v>
      </c>
      <c r="H65" s="686">
        <v>0</v>
      </c>
      <c r="I65" s="686">
        <v>0</v>
      </c>
      <c r="J65" s="688">
        <v>0</v>
      </c>
      <c r="K65" s="689">
        <v>0</v>
      </c>
      <c r="L65" s="692" t="s">
        <v>18</v>
      </c>
      <c r="M65" s="686">
        <v>0</v>
      </c>
      <c r="N65" s="686">
        <v>0</v>
      </c>
    </row>
    <row r="66" hidden="1" spans="1:14">
      <c r="A66" s="684">
        <f>A65+1</f>
        <v>44362</v>
      </c>
      <c r="B66" s="685">
        <v>0</v>
      </c>
      <c r="C66" s="691">
        <v>0</v>
      </c>
      <c r="D66" s="686">
        <v>0</v>
      </c>
      <c r="E66" s="686">
        <v>0</v>
      </c>
      <c r="F66" s="687">
        <v>0</v>
      </c>
      <c r="G66" s="686">
        <v>0</v>
      </c>
      <c r="H66" s="686">
        <v>0</v>
      </c>
      <c r="I66" s="686">
        <v>0</v>
      </c>
      <c r="J66" s="688">
        <v>0</v>
      </c>
      <c r="K66" s="689">
        <v>0</v>
      </c>
      <c r="L66" s="692">
        <v>0</v>
      </c>
      <c r="M66" s="686">
        <v>0</v>
      </c>
      <c r="N66" s="686">
        <v>0</v>
      </c>
    </row>
    <row r="67" hidden="1" spans="1:14">
      <c r="A67" s="684">
        <f t="shared" ref="A67:A130" si="2">A66+1</f>
        <v>44363</v>
      </c>
      <c r="B67" s="685">
        <v>69.95</v>
      </c>
      <c r="C67" s="691">
        <v>921</v>
      </c>
      <c r="D67" s="686">
        <v>27</v>
      </c>
      <c r="E67" s="686">
        <v>0</v>
      </c>
      <c r="F67" s="687">
        <v>0</v>
      </c>
      <c r="G67" s="686">
        <v>0</v>
      </c>
      <c r="H67" s="686">
        <v>1</v>
      </c>
      <c r="I67" s="686">
        <v>0</v>
      </c>
      <c r="J67" s="688">
        <v>0.0293</v>
      </c>
      <c r="K67" s="689">
        <v>2.59</v>
      </c>
      <c r="L67" s="692">
        <v>11.06</v>
      </c>
      <c r="M67" s="686">
        <v>0</v>
      </c>
      <c r="N67" s="686">
        <v>0</v>
      </c>
    </row>
    <row r="68" hidden="1" spans="1:14">
      <c r="A68" s="684">
        <f t="shared" si="2"/>
        <v>44364</v>
      </c>
      <c r="B68" s="685">
        <v>589.03</v>
      </c>
      <c r="C68" s="691">
        <v>14217</v>
      </c>
      <c r="D68" s="686">
        <v>261</v>
      </c>
      <c r="E68" s="686">
        <v>0</v>
      </c>
      <c r="F68" s="687">
        <v>0</v>
      </c>
      <c r="G68" s="686">
        <v>9</v>
      </c>
      <c r="H68" s="686">
        <v>5</v>
      </c>
      <c r="I68" s="686">
        <v>0</v>
      </c>
      <c r="J68" s="688">
        <v>0.0184</v>
      </c>
      <c r="K68" s="689">
        <v>2.26</v>
      </c>
      <c r="L68" s="692">
        <v>12.76</v>
      </c>
      <c r="M68" s="686">
        <v>0</v>
      </c>
      <c r="N68" s="686">
        <v>0</v>
      </c>
    </row>
    <row r="69" hidden="1" spans="1:14">
      <c r="A69" s="684">
        <f t="shared" si="2"/>
        <v>44365</v>
      </c>
      <c r="B69" s="685">
        <v>585.02</v>
      </c>
      <c r="C69" s="691">
        <v>22735</v>
      </c>
      <c r="D69" s="686">
        <v>244</v>
      </c>
      <c r="E69" s="686">
        <v>0</v>
      </c>
      <c r="F69" s="687">
        <v>0</v>
      </c>
      <c r="G69" s="686">
        <v>3</v>
      </c>
      <c r="H69" s="686">
        <v>5</v>
      </c>
      <c r="I69" s="686">
        <v>0</v>
      </c>
      <c r="J69" s="688">
        <v>0.0107</v>
      </c>
      <c r="K69" s="689">
        <v>2.4</v>
      </c>
      <c r="L69" s="692">
        <v>16.98</v>
      </c>
      <c r="M69" s="686">
        <v>0</v>
      </c>
      <c r="N69" s="686">
        <v>0</v>
      </c>
    </row>
    <row r="70" hidden="1" spans="1:14">
      <c r="A70" s="684">
        <f t="shared" si="2"/>
        <v>44366</v>
      </c>
      <c r="B70" s="685">
        <v>569.49</v>
      </c>
      <c r="C70" s="691">
        <v>20904</v>
      </c>
      <c r="D70" s="686">
        <v>281</v>
      </c>
      <c r="E70" s="686">
        <v>0</v>
      </c>
      <c r="F70" s="687">
        <v>0</v>
      </c>
      <c r="G70" s="686">
        <v>7</v>
      </c>
      <c r="H70" s="686">
        <v>2</v>
      </c>
      <c r="I70" s="686">
        <v>0</v>
      </c>
      <c r="J70" s="688">
        <v>0.0134</v>
      </c>
      <c r="K70" s="689">
        <v>2.03</v>
      </c>
      <c r="L70" s="692">
        <v>14.89</v>
      </c>
      <c r="M70" s="686">
        <v>0</v>
      </c>
      <c r="N70" s="686">
        <v>0</v>
      </c>
    </row>
    <row r="71" hidden="1" spans="1:14">
      <c r="A71" s="684">
        <f t="shared" si="2"/>
        <v>44367</v>
      </c>
      <c r="B71" s="685">
        <v>496.89</v>
      </c>
      <c r="C71" s="691">
        <v>18416</v>
      </c>
      <c r="D71" s="686">
        <v>280</v>
      </c>
      <c r="E71" s="686">
        <v>0</v>
      </c>
      <c r="F71" s="687">
        <v>0</v>
      </c>
      <c r="G71" s="686">
        <v>12</v>
      </c>
      <c r="H71" s="686">
        <v>9</v>
      </c>
      <c r="I71" s="686">
        <v>1</v>
      </c>
      <c r="J71" s="688">
        <v>0.0152</v>
      </c>
      <c r="K71" s="689">
        <v>1.77</v>
      </c>
      <c r="L71" s="692">
        <v>8.91</v>
      </c>
      <c r="M71" s="686">
        <v>0</v>
      </c>
      <c r="N71" s="686">
        <v>0</v>
      </c>
    </row>
    <row r="72" hidden="1" spans="1:14">
      <c r="A72" s="684">
        <f t="shared" si="2"/>
        <v>44368</v>
      </c>
      <c r="B72" s="685">
        <v>324.04</v>
      </c>
      <c r="C72" s="691">
        <v>18970</v>
      </c>
      <c r="D72" s="686">
        <v>290</v>
      </c>
      <c r="E72" s="686">
        <v>1</v>
      </c>
      <c r="F72" s="687">
        <v>1334</v>
      </c>
      <c r="G72" s="686">
        <v>9</v>
      </c>
      <c r="H72" s="686">
        <v>4</v>
      </c>
      <c r="I72" s="686">
        <v>0</v>
      </c>
      <c r="J72" s="688">
        <v>0.0153</v>
      </c>
      <c r="K72" s="689">
        <v>1.12</v>
      </c>
      <c r="L72" s="692">
        <v>7.23</v>
      </c>
      <c r="M72" s="686">
        <v>4.12</v>
      </c>
      <c r="N72" s="527">
        <v>0.0034</v>
      </c>
    </row>
    <row r="73" hidden="1" spans="1:14">
      <c r="A73" s="684">
        <f t="shared" si="2"/>
        <v>44369</v>
      </c>
      <c r="B73" s="685">
        <v>285.44</v>
      </c>
      <c r="C73" s="691">
        <v>20233</v>
      </c>
      <c r="D73" s="686">
        <v>315</v>
      </c>
      <c r="E73" s="686">
        <v>0</v>
      </c>
      <c r="F73" s="687">
        <v>0</v>
      </c>
      <c r="G73" s="686">
        <v>3</v>
      </c>
      <c r="H73" s="686">
        <v>5</v>
      </c>
      <c r="I73" s="686">
        <v>1</v>
      </c>
      <c r="J73" s="688">
        <v>0.0156</v>
      </c>
      <c r="K73" s="689">
        <v>0.91</v>
      </c>
      <c r="L73" s="692">
        <v>6.44</v>
      </c>
      <c r="M73" s="686">
        <v>0</v>
      </c>
      <c r="N73" s="686">
        <v>0</v>
      </c>
    </row>
    <row r="74" hidden="1" spans="1:14">
      <c r="A74" s="684">
        <f t="shared" si="2"/>
        <v>44370</v>
      </c>
      <c r="B74" s="685">
        <v>289.04</v>
      </c>
      <c r="C74" s="691">
        <v>16450</v>
      </c>
      <c r="D74" s="686">
        <v>327</v>
      </c>
      <c r="E74" s="686">
        <v>0</v>
      </c>
      <c r="F74" s="687">
        <v>0</v>
      </c>
      <c r="G74" s="686">
        <v>4</v>
      </c>
      <c r="H74" s="686">
        <v>14</v>
      </c>
      <c r="I74" s="686">
        <v>1</v>
      </c>
      <c r="J74" s="688">
        <v>0.0199</v>
      </c>
      <c r="K74" s="689">
        <v>0.88</v>
      </c>
      <c r="L74" s="692">
        <v>5.86</v>
      </c>
      <c r="M74" s="686">
        <v>0</v>
      </c>
      <c r="N74" s="686">
        <v>0</v>
      </c>
    </row>
    <row r="75" hidden="1" spans="1:14">
      <c r="A75" s="684">
        <f t="shared" si="2"/>
        <v>44371</v>
      </c>
      <c r="B75" s="685">
        <v>289.79</v>
      </c>
      <c r="C75" s="691">
        <v>15678</v>
      </c>
      <c r="D75" s="686">
        <v>361</v>
      </c>
      <c r="E75" s="686">
        <v>0</v>
      </c>
      <c r="F75" s="687">
        <v>0</v>
      </c>
      <c r="G75" s="686">
        <v>4</v>
      </c>
      <c r="H75" s="686">
        <v>17</v>
      </c>
      <c r="I75" s="686">
        <v>2</v>
      </c>
      <c r="J75" s="688">
        <v>0.023</v>
      </c>
      <c r="K75" s="689">
        <v>0.8</v>
      </c>
      <c r="L75" s="692">
        <v>4.65</v>
      </c>
      <c r="M75" s="686">
        <v>0</v>
      </c>
      <c r="N75" s="686">
        <v>0</v>
      </c>
    </row>
    <row r="76" hidden="1" spans="1:14">
      <c r="A76" s="684">
        <f t="shared" si="2"/>
        <v>44372</v>
      </c>
      <c r="B76" s="685">
        <v>275.27</v>
      </c>
      <c r="C76" s="691">
        <v>14483</v>
      </c>
      <c r="D76" s="686">
        <v>321</v>
      </c>
      <c r="E76" s="686">
        <v>0</v>
      </c>
      <c r="F76" s="687">
        <v>0</v>
      </c>
      <c r="G76" s="686">
        <v>8</v>
      </c>
      <c r="H76" s="686">
        <v>9</v>
      </c>
      <c r="I76" s="686">
        <v>0</v>
      </c>
      <c r="J76" s="688">
        <v>0.0222</v>
      </c>
      <c r="K76" s="689">
        <v>0.86</v>
      </c>
      <c r="L76" s="692">
        <v>5.86</v>
      </c>
      <c r="M76" s="686">
        <v>0</v>
      </c>
      <c r="N76" s="686">
        <v>0</v>
      </c>
    </row>
    <row r="77" hidden="1" spans="1:14">
      <c r="A77" s="684">
        <f t="shared" si="2"/>
        <v>44373</v>
      </c>
      <c r="B77" s="685">
        <v>282.51</v>
      </c>
      <c r="C77" s="691">
        <v>13532</v>
      </c>
      <c r="D77" s="686">
        <v>322</v>
      </c>
      <c r="E77" s="686">
        <v>0</v>
      </c>
      <c r="F77" s="687">
        <v>0</v>
      </c>
      <c r="G77" s="686">
        <v>11</v>
      </c>
      <c r="H77" s="686">
        <v>2</v>
      </c>
      <c r="I77" s="686">
        <v>0</v>
      </c>
      <c r="J77" s="688">
        <v>0.0238</v>
      </c>
      <c r="K77" s="689">
        <v>0.88</v>
      </c>
      <c r="L77" s="692">
        <v>7.16</v>
      </c>
      <c r="M77" s="686">
        <v>0</v>
      </c>
      <c r="N77" s="686">
        <v>0</v>
      </c>
    </row>
    <row r="78" hidden="1" spans="1:14">
      <c r="A78" s="684">
        <f t="shared" si="2"/>
        <v>44374</v>
      </c>
      <c r="B78" s="685">
        <v>285.9</v>
      </c>
      <c r="C78" s="691">
        <v>15099</v>
      </c>
      <c r="D78" s="686">
        <v>324</v>
      </c>
      <c r="E78" s="686">
        <v>0</v>
      </c>
      <c r="F78" s="687">
        <v>0</v>
      </c>
      <c r="G78" s="686">
        <v>14</v>
      </c>
      <c r="H78" s="686">
        <v>3</v>
      </c>
      <c r="I78" s="686">
        <v>0</v>
      </c>
      <c r="J78" s="688">
        <v>0.0215</v>
      </c>
      <c r="K78" s="689">
        <v>0.88</v>
      </c>
      <c r="L78" s="692">
        <v>7.3</v>
      </c>
      <c r="M78" s="686">
        <v>0</v>
      </c>
      <c r="N78" s="686">
        <v>0</v>
      </c>
    </row>
    <row r="79" hidden="1" spans="1:14">
      <c r="A79" s="684">
        <f t="shared" si="2"/>
        <v>44375</v>
      </c>
      <c r="B79" s="685">
        <v>294.43</v>
      </c>
      <c r="C79" s="691">
        <v>15264</v>
      </c>
      <c r="D79" s="686">
        <v>320</v>
      </c>
      <c r="E79" s="686">
        <v>0</v>
      </c>
      <c r="F79" s="687">
        <v>0</v>
      </c>
      <c r="G79" s="686">
        <v>14</v>
      </c>
      <c r="H79" s="686">
        <v>11</v>
      </c>
      <c r="I79" s="686">
        <v>0</v>
      </c>
      <c r="J79" s="688">
        <v>0.021</v>
      </c>
      <c r="K79" s="689">
        <v>0.92</v>
      </c>
      <c r="L79" s="692">
        <v>6.72</v>
      </c>
      <c r="M79" s="686">
        <v>0</v>
      </c>
      <c r="N79" s="686">
        <v>0</v>
      </c>
    </row>
    <row r="80" hidden="1" spans="1:14">
      <c r="A80" s="684">
        <f t="shared" si="2"/>
        <v>44376</v>
      </c>
      <c r="B80" s="685">
        <v>283.57</v>
      </c>
      <c r="C80" s="691">
        <v>15496</v>
      </c>
      <c r="D80" s="686">
        <v>335</v>
      </c>
      <c r="E80" s="686">
        <v>0</v>
      </c>
      <c r="F80" s="687">
        <v>0</v>
      </c>
      <c r="G80" s="686">
        <v>4</v>
      </c>
      <c r="H80" s="686">
        <v>2</v>
      </c>
      <c r="I80" s="686">
        <v>0</v>
      </c>
      <c r="J80" s="688">
        <v>0.0216</v>
      </c>
      <c r="K80" s="689">
        <v>0.85</v>
      </c>
      <c r="L80" s="692">
        <v>6.43</v>
      </c>
      <c r="M80" s="686">
        <v>0</v>
      </c>
      <c r="N80" s="686">
        <v>0</v>
      </c>
    </row>
    <row r="81" hidden="1" spans="1:14">
      <c r="A81" s="684">
        <f t="shared" si="2"/>
        <v>44377</v>
      </c>
      <c r="B81" s="685">
        <v>290.56</v>
      </c>
      <c r="C81" s="691">
        <v>14816</v>
      </c>
      <c r="D81" s="686">
        <v>344</v>
      </c>
      <c r="E81" s="686">
        <v>0</v>
      </c>
      <c r="F81" s="687">
        <v>0</v>
      </c>
      <c r="G81" s="686">
        <v>4</v>
      </c>
      <c r="H81" s="686">
        <v>7</v>
      </c>
      <c r="I81" s="686">
        <v>0</v>
      </c>
      <c r="J81" s="688">
        <v>0.0232</v>
      </c>
      <c r="K81" s="689">
        <v>0.84</v>
      </c>
      <c r="L81" s="692">
        <v>7.43</v>
      </c>
      <c r="M81" s="686">
        <v>0</v>
      </c>
      <c r="N81" s="686">
        <v>0</v>
      </c>
    </row>
    <row r="82" hidden="1" spans="1:14">
      <c r="A82" s="684">
        <f t="shared" si="2"/>
        <v>44378</v>
      </c>
      <c r="B82" s="685">
        <v>260.38</v>
      </c>
      <c r="C82" s="691">
        <v>6756</v>
      </c>
      <c r="D82" s="686">
        <v>178</v>
      </c>
      <c r="E82" s="686">
        <v>0</v>
      </c>
      <c r="F82" s="687">
        <v>0</v>
      </c>
      <c r="G82" s="686">
        <v>5</v>
      </c>
      <c r="H82" s="686">
        <v>1</v>
      </c>
      <c r="I82" s="686">
        <v>0</v>
      </c>
      <c r="J82" s="688">
        <v>0.0263</v>
      </c>
      <c r="K82" s="689">
        <v>1.46</v>
      </c>
      <c r="L82" s="692">
        <v>17.3</v>
      </c>
      <c r="M82" s="686">
        <v>0</v>
      </c>
      <c r="N82" s="686">
        <v>0</v>
      </c>
    </row>
    <row r="83" hidden="1" spans="1:14">
      <c r="A83" s="684">
        <f t="shared" si="2"/>
        <v>44379</v>
      </c>
      <c r="B83" s="685">
        <v>293.06</v>
      </c>
      <c r="C83" s="691">
        <v>8200</v>
      </c>
      <c r="D83" s="686">
        <v>215</v>
      </c>
      <c r="E83" s="686">
        <v>0</v>
      </c>
      <c r="F83" s="687">
        <v>0</v>
      </c>
      <c r="G83" s="686">
        <v>4</v>
      </c>
      <c r="H83" s="686">
        <v>2</v>
      </c>
      <c r="I83" s="686">
        <v>0</v>
      </c>
      <c r="J83" s="688">
        <v>0.0262</v>
      </c>
      <c r="K83" s="689">
        <v>1.36</v>
      </c>
      <c r="L83" s="692">
        <v>15.4</v>
      </c>
      <c r="M83" s="686">
        <v>0</v>
      </c>
      <c r="N83" s="686">
        <v>0</v>
      </c>
    </row>
    <row r="84" hidden="1" spans="1:14">
      <c r="A84" s="684">
        <f t="shared" si="2"/>
        <v>44380</v>
      </c>
      <c r="B84" s="685">
        <v>279.13</v>
      </c>
      <c r="C84" s="691">
        <v>8102</v>
      </c>
      <c r="D84" s="686">
        <v>282</v>
      </c>
      <c r="E84" s="686">
        <v>0</v>
      </c>
      <c r="F84" s="687">
        <v>0</v>
      </c>
      <c r="G84" s="686">
        <v>2</v>
      </c>
      <c r="H84" s="686">
        <v>1</v>
      </c>
      <c r="I84" s="686">
        <v>0</v>
      </c>
      <c r="J84" s="688">
        <v>0.0348</v>
      </c>
      <c r="K84" s="689">
        <v>0.99</v>
      </c>
      <c r="L84" s="692">
        <v>9.29</v>
      </c>
      <c r="M84" s="686">
        <v>0</v>
      </c>
      <c r="N84" s="686">
        <v>0</v>
      </c>
    </row>
    <row r="85" hidden="1" spans="1:14">
      <c r="A85" s="684">
        <f t="shared" si="2"/>
        <v>44381</v>
      </c>
      <c r="B85" s="685">
        <v>289.27</v>
      </c>
      <c r="C85" s="691">
        <v>7944</v>
      </c>
      <c r="D85" s="686">
        <v>326</v>
      </c>
      <c r="E85" s="686">
        <v>0</v>
      </c>
      <c r="F85" s="687">
        <v>0</v>
      </c>
      <c r="G85" s="686">
        <v>6</v>
      </c>
      <c r="H85" s="686">
        <v>1</v>
      </c>
      <c r="I85" s="686">
        <v>0</v>
      </c>
      <c r="J85" s="688">
        <v>0.041</v>
      </c>
      <c r="K85" s="689">
        <v>0.89</v>
      </c>
      <c r="L85" s="692">
        <v>8.1</v>
      </c>
      <c r="M85" s="686">
        <v>0</v>
      </c>
      <c r="N85" s="686">
        <v>0</v>
      </c>
    </row>
    <row r="86" hidden="1" spans="1:14">
      <c r="A86" s="684">
        <f t="shared" si="2"/>
        <v>44382</v>
      </c>
      <c r="B86" s="685">
        <v>287.36</v>
      </c>
      <c r="C86" s="691">
        <v>9508</v>
      </c>
      <c r="D86" s="686">
        <v>379</v>
      </c>
      <c r="E86" s="686">
        <v>0</v>
      </c>
      <c r="F86" s="687">
        <v>0</v>
      </c>
      <c r="G86" s="686">
        <v>2</v>
      </c>
      <c r="H86" s="686">
        <v>1</v>
      </c>
      <c r="I86" s="686">
        <v>2</v>
      </c>
      <c r="J86" s="688">
        <v>0.0399</v>
      </c>
      <c r="K86" s="689">
        <v>0.76</v>
      </c>
      <c r="L86" s="692">
        <v>7.08</v>
      </c>
      <c r="M86" s="686">
        <v>0</v>
      </c>
      <c r="N86" s="686">
        <v>0</v>
      </c>
    </row>
    <row r="87" hidden="1" spans="1:14">
      <c r="A87" s="684">
        <f t="shared" si="2"/>
        <v>44383</v>
      </c>
      <c r="B87" s="685">
        <v>295.09</v>
      </c>
      <c r="C87" s="691">
        <v>8392</v>
      </c>
      <c r="D87" s="686">
        <v>385</v>
      </c>
      <c r="E87" s="686">
        <v>0</v>
      </c>
      <c r="F87" s="687">
        <v>0</v>
      </c>
      <c r="G87" s="686">
        <v>4</v>
      </c>
      <c r="H87" s="686">
        <v>3</v>
      </c>
      <c r="I87" s="686">
        <v>0</v>
      </c>
      <c r="J87" s="688">
        <v>0.0459</v>
      </c>
      <c r="K87" s="689">
        <v>0.77</v>
      </c>
      <c r="L87" s="692">
        <v>5.74</v>
      </c>
      <c r="M87" s="686">
        <v>0</v>
      </c>
      <c r="N87" s="686">
        <v>0</v>
      </c>
    </row>
    <row r="88" hidden="1" spans="1:14">
      <c r="A88" s="684">
        <f t="shared" si="2"/>
        <v>44384</v>
      </c>
      <c r="B88" s="685">
        <v>288.16</v>
      </c>
      <c r="C88" s="691">
        <v>8819</v>
      </c>
      <c r="D88" s="686">
        <v>477</v>
      </c>
      <c r="E88" s="686">
        <v>0</v>
      </c>
      <c r="F88" s="687">
        <v>0</v>
      </c>
      <c r="G88" s="686">
        <v>4</v>
      </c>
      <c r="H88" s="686">
        <v>1</v>
      </c>
      <c r="I88" s="686">
        <v>2</v>
      </c>
      <c r="J88" s="688">
        <v>0.0541</v>
      </c>
      <c r="K88" s="689">
        <v>0.6</v>
      </c>
      <c r="L88" s="692">
        <v>7.02</v>
      </c>
      <c r="M88" s="686">
        <v>0</v>
      </c>
      <c r="N88" s="686">
        <v>0</v>
      </c>
    </row>
    <row r="89" hidden="1" spans="1:14">
      <c r="A89" s="684">
        <f t="shared" si="2"/>
        <v>44385</v>
      </c>
      <c r="B89" s="685">
        <v>281.99</v>
      </c>
      <c r="C89" s="691">
        <v>8263</v>
      </c>
      <c r="D89" s="686">
        <v>469</v>
      </c>
      <c r="E89" s="686">
        <v>0</v>
      </c>
      <c r="F89" s="687">
        <v>0</v>
      </c>
      <c r="G89" s="686">
        <v>4</v>
      </c>
      <c r="H89" s="686">
        <v>3</v>
      </c>
      <c r="I89" s="686">
        <v>0</v>
      </c>
      <c r="J89" s="688">
        <v>0.0568</v>
      </c>
      <c r="K89" s="689">
        <v>0.6</v>
      </c>
      <c r="L89" s="692">
        <v>5.9</v>
      </c>
      <c r="M89" s="686">
        <v>0</v>
      </c>
      <c r="N89" s="686">
        <v>0</v>
      </c>
    </row>
    <row r="90" hidden="1" spans="1:14">
      <c r="A90" s="684">
        <f t="shared" si="2"/>
        <v>44386</v>
      </c>
      <c r="B90" s="685">
        <v>287.32</v>
      </c>
      <c r="C90" s="691">
        <v>7715</v>
      </c>
      <c r="D90" s="686">
        <v>498</v>
      </c>
      <c r="E90" s="686">
        <v>0</v>
      </c>
      <c r="F90" s="687">
        <v>0</v>
      </c>
      <c r="G90" s="686">
        <v>4</v>
      </c>
      <c r="H90" s="686">
        <v>2</v>
      </c>
      <c r="I90" s="686">
        <v>0</v>
      </c>
      <c r="J90" s="688">
        <v>0.0645</v>
      </c>
      <c r="K90" s="689">
        <v>0.58</v>
      </c>
      <c r="L90" s="692">
        <v>7.98</v>
      </c>
      <c r="M90" s="686">
        <v>0</v>
      </c>
      <c r="N90" s="686">
        <v>0</v>
      </c>
    </row>
    <row r="91" hidden="1" spans="1:14">
      <c r="A91" s="684">
        <f t="shared" si="2"/>
        <v>44387</v>
      </c>
      <c r="B91" s="685">
        <v>272.75</v>
      </c>
      <c r="C91" s="691">
        <v>7612</v>
      </c>
      <c r="D91" s="686">
        <v>500</v>
      </c>
      <c r="E91" s="686">
        <v>0</v>
      </c>
      <c r="F91" s="687">
        <v>0</v>
      </c>
      <c r="G91" s="686">
        <v>3</v>
      </c>
      <c r="H91" s="686">
        <v>7</v>
      </c>
      <c r="I91" s="686">
        <v>1</v>
      </c>
      <c r="J91" s="688">
        <v>0.0657</v>
      </c>
      <c r="K91" s="689">
        <v>0.55</v>
      </c>
      <c r="L91" s="692">
        <v>5.85</v>
      </c>
      <c r="M91" s="686">
        <v>0</v>
      </c>
      <c r="N91" s="686">
        <v>0</v>
      </c>
    </row>
    <row r="92" hidden="1" spans="1:14">
      <c r="A92" s="684">
        <f t="shared" si="2"/>
        <v>44388</v>
      </c>
      <c r="B92" s="685">
        <v>277.76</v>
      </c>
      <c r="C92" s="691">
        <v>8056</v>
      </c>
      <c r="D92" s="686">
        <v>606</v>
      </c>
      <c r="E92" s="686">
        <v>1</v>
      </c>
      <c r="F92" s="687">
        <v>0.01</v>
      </c>
      <c r="G92" s="686">
        <v>5</v>
      </c>
      <c r="H92" s="686">
        <v>2</v>
      </c>
      <c r="I92" s="686">
        <v>0</v>
      </c>
      <c r="J92" s="688">
        <v>0.0752</v>
      </c>
      <c r="K92" s="689">
        <v>0.46</v>
      </c>
      <c r="L92" s="692">
        <v>5.29</v>
      </c>
      <c r="M92" s="686">
        <v>0</v>
      </c>
      <c r="N92" s="686">
        <v>0</v>
      </c>
    </row>
    <row r="93" hidden="1" spans="1:14">
      <c r="A93" s="684">
        <f t="shared" si="2"/>
        <v>44389</v>
      </c>
      <c r="B93" s="685">
        <v>287.1</v>
      </c>
      <c r="C93" s="691">
        <v>9408</v>
      </c>
      <c r="D93" s="686">
        <v>626</v>
      </c>
      <c r="E93" s="686">
        <v>0</v>
      </c>
      <c r="F93" s="687">
        <v>0</v>
      </c>
      <c r="G93" s="686">
        <v>3</v>
      </c>
      <c r="H93" s="686">
        <v>2</v>
      </c>
      <c r="I93" s="686">
        <v>1</v>
      </c>
      <c r="J93" s="688">
        <v>0.0745</v>
      </c>
      <c r="K93" s="689">
        <v>0.46</v>
      </c>
      <c r="L93" s="692">
        <v>6.41</v>
      </c>
      <c r="M93" s="686">
        <v>0</v>
      </c>
      <c r="N93" s="686">
        <v>0</v>
      </c>
    </row>
    <row r="94" hidden="1" spans="1:14">
      <c r="A94" s="684">
        <f t="shared" si="2"/>
        <v>44390</v>
      </c>
      <c r="B94" s="685">
        <v>277.22</v>
      </c>
      <c r="C94" s="691">
        <v>9146</v>
      </c>
      <c r="D94" s="686">
        <v>668</v>
      </c>
      <c r="E94" s="686">
        <v>0</v>
      </c>
      <c r="F94" s="687">
        <v>0</v>
      </c>
      <c r="G94" s="686">
        <v>5</v>
      </c>
      <c r="H94" s="686">
        <v>1</v>
      </c>
      <c r="I94" s="686">
        <v>2</v>
      </c>
      <c r="J94" s="688">
        <v>0.073</v>
      </c>
      <c r="K94" s="689">
        <v>0.42</v>
      </c>
      <c r="L94" s="692">
        <v>4.72</v>
      </c>
      <c r="M94" s="686">
        <v>0</v>
      </c>
      <c r="N94" s="686">
        <v>0</v>
      </c>
    </row>
    <row r="95" hidden="1" spans="1:14">
      <c r="A95" s="684">
        <f t="shared" si="2"/>
        <v>44391</v>
      </c>
      <c r="B95" s="685">
        <v>281.74</v>
      </c>
      <c r="C95" s="691">
        <v>7932</v>
      </c>
      <c r="D95" s="686">
        <v>614</v>
      </c>
      <c r="E95" s="686">
        <v>0</v>
      </c>
      <c r="F95" s="687">
        <v>0</v>
      </c>
      <c r="G95" s="686">
        <v>4</v>
      </c>
      <c r="H95" s="686">
        <v>3</v>
      </c>
      <c r="I95" s="686">
        <v>0</v>
      </c>
      <c r="J95" s="688">
        <v>0.0774</v>
      </c>
      <c r="K95" s="689">
        <v>0.46</v>
      </c>
      <c r="L95" s="692">
        <v>6.45</v>
      </c>
      <c r="M95" s="686">
        <v>0</v>
      </c>
      <c r="N95" s="686">
        <v>0</v>
      </c>
    </row>
    <row r="96" hidden="1" spans="1:14">
      <c r="A96" s="684">
        <f t="shared" si="2"/>
        <v>44392</v>
      </c>
      <c r="B96" s="685">
        <v>284.19</v>
      </c>
      <c r="C96" s="691">
        <v>6183</v>
      </c>
      <c r="D96" s="686">
        <v>610</v>
      </c>
      <c r="E96" s="686">
        <v>0</v>
      </c>
      <c r="F96" s="687">
        <v>0</v>
      </c>
      <c r="G96" s="686">
        <v>5</v>
      </c>
      <c r="H96" s="686">
        <v>6</v>
      </c>
      <c r="I96" s="686">
        <v>1</v>
      </c>
      <c r="J96" s="688">
        <v>0.0987</v>
      </c>
      <c r="K96" s="689">
        <v>0.47</v>
      </c>
      <c r="L96" s="692">
        <v>4.64</v>
      </c>
      <c r="M96" s="686">
        <v>0</v>
      </c>
      <c r="N96" s="686">
        <v>0</v>
      </c>
    </row>
    <row r="97" hidden="1" spans="1:14">
      <c r="A97" s="684">
        <f t="shared" si="2"/>
        <v>44393</v>
      </c>
      <c r="B97" s="685">
        <v>288.16</v>
      </c>
      <c r="C97" s="691">
        <v>8150</v>
      </c>
      <c r="D97" s="686">
        <v>744</v>
      </c>
      <c r="E97" s="686">
        <v>0</v>
      </c>
      <c r="F97" s="687">
        <v>0</v>
      </c>
      <c r="G97" s="686">
        <v>4</v>
      </c>
      <c r="H97" s="686">
        <v>1</v>
      </c>
      <c r="I97" s="686">
        <v>2</v>
      </c>
      <c r="J97" s="688">
        <v>0.0913</v>
      </c>
      <c r="K97" s="689">
        <v>0.39</v>
      </c>
      <c r="L97" s="692">
        <v>4.63</v>
      </c>
      <c r="M97" s="686">
        <v>0</v>
      </c>
      <c r="N97" s="686">
        <v>0</v>
      </c>
    </row>
    <row r="98" hidden="1" spans="1:14">
      <c r="A98" s="684">
        <f t="shared" si="2"/>
        <v>44394</v>
      </c>
      <c r="B98" s="685">
        <v>1.06</v>
      </c>
      <c r="C98" s="691">
        <v>6</v>
      </c>
      <c r="D98" s="686">
        <v>2</v>
      </c>
      <c r="E98" s="686">
        <v>0</v>
      </c>
      <c r="F98" s="687">
        <v>0</v>
      </c>
      <c r="G98" s="686">
        <v>0</v>
      </c>
      <c r="H98" s="686">
        <v>0</v>
      </c>
      <c r="I98" s="686">
        <v>0</v>
      </c>
      <c r="J98" s="688">
        <v>0.3333</v>
      </c>
      <c r="K98" s="689">
        <v>0.53</v>
      </c>
      <c r="L98" s="687" t="s">
        <v>18</v>
      </c>
      <c r="M98" s="686">
        <v>0</v>
      </c>
      <c r="N98" s="686">
        <v>0</v>
      </c>
    </row>
    <row r="99" hidden="1" spans="1:14">
      <c r="A99" s="684">
        <f t="shared" si="2"/>
        <v>44395</v>
      </c>
      <c r="B99" s="685" t="s">
        <v>18</v>
      </c>
      <c r="C99" s="687" t="s">
        <v>18</v>
      </c>
      <c r="D99" s="687" t="s">
        <v>18</v>
      </c>
      <c r="E99" s="687" t="s">
        <v>18</v>
      </c>
      <c r="F99" s="687" t="s">
        <v>18</v>
      </c>
      <c r="G99" s="687" t="s">
        <v>18</v>
      </c>
      <c r="H99" s="687" t="s">
        <v>18</v>
      </c>
      <c r="I99" s="687" t="s">
        <v>18</v>
      </c>
      <c r="J99" s="687" t="s">
        <v>18</v>
      </c>
      <c r="K99" s="687" t="s">
        <v>18</v>
      </c>
      <c r="L99" s="687" t="s">
        <v>18</v>
      </c>
      <c r="M99" s="687" t="s">
        <v>18</v>
      </c>
      <c r="N99" s="687" t="s">
        <v>18</v>
      </c>
    </row>
    <row r="100" hidden="1" spans="1:14">
      <c r="A100" s="684">
        <f t="shared" si="2"/>
        <v>44396</v>
      </c>
      <c r="B100" s="685">
        <v>283.86</v>
      </c>
      <c r="C100" s="691">
        <v>10848</v>
      </c>
      <c r="D100" s="686">
        <v>251</v>
      </c>
      <c r="E100" s="686">
        <v>0</v>
      </c>
      <c r="F100" s="687">
        <v>0</v>
      </c>
      <c r="G100" s="686">
        <v>2</v>
      </c>
      <c r="H100" s="686">
        <v>2</v>
      </c>
      <c r="I100" s="686">
        <v>2</v>
      </c>
      <c r="J100" s="688">
        <v>0.0231</v>
      </c>
      <c r="K100" s="689">
        <v>1.13</v>
      </c>
      <c r="L100" s="692">
        <v>11.91</v>
      </c>
      <c r="M100" s="686">
        <v>0</v>
      </c>
      <c r="N100" s="686">
        <v>0</v>
      </c>
    </row>
    <row r="101" hidden="1" spans="1:14">
      <c r="A101" s="684">
        <f t="shared" si="2"/>
        <v>44397</v>
      </c>
      <c r="B101" s="685">
        <v>273.12</v>
      </c>
      <c r="C101" s="691">
        <v>7069</v>
      </c>
      <c r="D101" s="686">
        <v>338</v>
      </c>
      <c r="E101" s="686">
        <v>0</v>
      </c>
      <c r="F101" s="687">
        <v>0</v>
      </c>
      <c r="G101" s="686">
        <v>5</v>
      </c>
      <c r="H101" s="686">
        <v>0</v>
      </c>
      <c r="I101" s="686">
        <v>0</v>
      </c>
      <c r="J101" s="688">
        <v>0.0478</v>
      </c>
      <c r="K101" s="689">
        <v>0.81</v>
      </c>
      <c r="L101" s="692">
        <v>8.18</v>
      </c>
      <c r="M101" s="686">
        <v>0</v>
      </c>
      <c r="N101" s="686">
        <v>0</v>
      </c>
    </row>
    <row r="102" hidden="1" spans="1:14">
      <c r="A102" s="684">
        <f t="shared" si="2"/>
        <v>44398</v>
      </c>
      <c r="B102" s="685">
        <v>282.43</v>
      </c>
      <c r="C102" s="691">
        <v>12346</v>
      </c>
      <c r="D102" s="686">
        <v>643</v>
      </c>
      <c r="E102" s="686">
        <v>0</v>
      </c>
      <c r="F102" s="687">
        <v>0</v>
      </c>
      <c r="G102" s="686">
        <v>2</v>
      </c>
      <c r="H102" s="686">
        <v>1</v>
      </c>
      <c r="I102" s="686">
        <v>0</v>
      </c>
      <c r="J102" s="688">
        <v>0.0521</v>
      </c>
      <c r="K102" s="689">
        <v>0.44</v>
      </c>
      <c r="L102" s="692">
        <v>5.39</v>
      </c>
      <c r="M102" s="686">
        <v>0</v>
      </c>
      <c r="N102" s="686">
        <v>0</v>
      </c>
    </row>
    <row r="103" hidden="1" spans="1:14">
      <c r="A103" s="684">
        <f t="shared" si="2"/>
        <v>44399</v>
      </c>
      <c r="B103" s="685">
        <v>294.34</v>
      </c>
      <c r="C103" s="691">
        <v>9114</v>
      </c>
      <c r="D103" s="686">
        <v>644</v>
      </c>
      <c r="E103" s="686">
        <v>0</v>
      </c>
      <c r="F103" s="687">
        <v>0</v>
      </c>
      <c r="G103" s="686">
        <v>4</v>
      </c>
      <c r="H103" s="686">
        <v>4</v>
      </c>
      <c r="I103" s="686">
        <v>1</v>
      </c>
      <c r="J103" s="688">
        <v>0.0707</v>
      </c>
      <c r="K103" s="689">
        <v>0.46</v>
      </c>
      <c r="L103" s="692">
        <v>6.3</v>
      </c>
      <c r="M103" s="686">
        <v>0</v>
      </c>
      <c r="N103" s="686">
        <v>0</v>
      </c>
    </row>
    <row r="104" hidden="1" spans="1:14">
      <c r="A104" s="684">
        <f t="shared" si="2"/>
        <v>44400</v>
      </c>
      <c r="B104" s="685">
        <v>276.5</v>
      </c>
      <c r="C104" s="691">
        <v>10636</v>
      </c>
      <c r="D104" s="686">
        <v>633</v>
      </c>
      <c r="E104" s="686">
        <v>0</v>
      </c>
      <c r="F104" s="687">
        <v>0</v>
      </c>
      <c r="G104" s="686">
        <v>4</v>
      </c>
      <c r="H104" s="686">
        <v>3</v>
      </c>
      <c r="I104" s="686">
        <v>0</v>
      </c>
      <c r="J104" s="688">
        <v>0.0595</v>
      </c>
      <c r="K104" s="689">
        <v>0.44</v>
      </c>
      <c r="L104" s="692">
        <v>4.86</v>
      </c>
      <c r="M104" s="686">
        <v>0</v>
      </c>
      <c r="N104" s="686">
        <v>0</v>
      </c>
    </row>
    <row r="105" hidden="1" spans="1:14">
      <c r="A105" s="684">
        <f t="shared" si="2"/>
        <v>44401</v>
      </c>
      <c r="B105" s="685">
        <v>1.18</v>
      </c>
      <c r="C105" s="691">
        <v>0</v>
      </c>
      <c r="D105" s="686">
        <v>3</v>
      </c>
      <c r="E105" s="686"/>
      <c r="F105" s="687">
        <v>0</v>
      </c>
      <c r="G105" s="686"/>
      <c r="H105" s="686">
        <v>0</v>
      </c>
      <c r="I105" s="686">
        <v>0</v>
      </c>
      <c r="J105" s="688">
        <v>0</v>
      </c>
      <c r="K105" s="689">
        <v>0</v>
      </c>
      <c r="L105" s="692">
        <v>0</v>
      </c>
      <c r="M105" s="686">
        <v>0</v>
      </c>
      <c r="N105" s="686">
        <v>0</v>
      </c>
    </row>
    <row r="106" hidden="1" spans="1:14">
      <c r="A106" s="684">
        <f t="shared" si="2"/>
        <v>44402</v>
      </c>
      <c r="B106" s="685" t="s">
        <v>18</v>
      </c>
      <c r="C106" s="691" t="s">
        <v>18</v>
      </c>
      <c r="D106" s="691" t="s">
        <v>18</v>
      </c>
      <c r="E106" s="691" t="s">
        <v>18</v>
      </c>
      <c r="F106" s="691" t="s">
        <v>18</v>
      </c>
      <c r="G106" s="691" t="s">
        <v>18</v>
      </c>
      <c r="H106" s="691" t="s">
        <v>18</v>
      </c>
      <c r="I106" s="691" t="s">
        <v>18</v>
      </c>
      <c r="J106" s="691" t="s">
        <v>18</v>
      </c>
      <c r="K106" s="691" t="s">
        <v>18</v>
      </c>
      <c r="L106" s="691" t="s">
        <v>18</v>
      </c>
      <c r="M106" s="691" t="s">
        <v>18</v>
      </c>
      <c r="N106" s="691" t="s">
        <v>18</v>
      </c>
    </row>
    <row r="107" hidden="1" spans="1:14">
      <c r="A107" s="684">
        <f t="shared" si="2"/>
        <v>44403</v>
      </c>
      <c r="B107" s="685" t="s">
        <v>18</v>
      </c>
      <c r="C107" s="687" t="s">
        <v>18</v>
      </c>
      <c r="D107" s="687" t="s">
        <v>18</v>
      </c>
      <c r="E107" s="687" t="s">
        <v>18</v>
      </c>
      <c r="F107" s="687" t="s">
        <v>18</v>
      </c>
      <c r="G107" s="687" t="s">
        <v>18</v>
      </c>
      <c r="H107" s="687" t="s">
        <v>18</v>
      </c>
      <c r="I107" s="687" t="s">
        <v>18</v>
      </c>
      <c r="J107" s="687" t="s">
        <v>18</v>
      </c>
      <c r="K107" s="687" t="s">
        <v>18</v>
      </c>
      <c r="L107" s="687" t="s">
        <v>18</v>
      </c>
      <c r="M107" s="687" t="s">
        <v>18</v>
      </c>
      <c r="N107" s="687" t="s">
        <v>18</v>
      </c>
    </row>
    <row r="108" hidden="1" spans="1:14">
      <c r="A108" s="684">
        <f t="shared" si="2"/>
        <v>44404</v>
      </c>
      <c r="B108" s="685">
        <v>99.32</v>
      </c>
      <c r="C108" s="691">
        <v>4589</v>
      </c>
      <c r="D108" s="686">
        <v>50</v>
      </c>
      <c r="E108" s="686">
        <v>0</v>
      </c>
      <c r="F108" s="687">
        <v>0</v>
      </c>
      <c r="G108" s="686">
        <v>0</v>
      </c>
      <c r="H108" s="686">
        <v>1</v>
      </c>
      <c r="I108" s="686">
        <v>0</v>
      </c>
      <c r="J108" s="688">
        <v>0.0109</v>
      </c>
      <c r="K108" s="689">
        <v>1.99</v>
      </c>
      <c r="L108" s="692">
        <v>26.81</v>
      </c>
      <c r="M108" s="686">
        <v>0</v>
      </c>
      <c r="N108" s="686">
        <v>0</v>
      </c>
    </row>
    <row r="109" hidden="1" spans="1:14">
      <c r="A109" s="684">
        <f t="shared" si="2"/>
        <v>44405</v>
      </c>
      <c r="B109" s="685">
        <v>210.59</v>
      </c>
      <c r="C109" s="691">
        <v>22311</v>
      </c>
      <c r="D109" s="686">
        <v>196</v>
      </c>
      <c r="E109" s="686">
        <v>1</v>
      </c>
      <c r="F109" s="687">
        <v>0.1</v>
      </c>
      <c r="G109" s="686">
        <v>2</v>
      </c>
      <c r="H109" s="686">
        <v>0</v>
      </c>
      <c r="I109" s="686">
        <v>0</v>
      </c>
      <c r="J109" s="688">
        <v>0.0088</v>
      </c>
      <c r="K109" s="689">
        <v>1.07</v>
      </c>
      <c r="L109" s="692">
        <v>9.54</v>
      </c>
      <c r="M109" s="686">
        <v>0</v>
      </c>
      <c r="N109" s="686">
        <v>0</v>
      </c>
    </row>
    <row r="110" hidden="1" spans="1:14">
      <c r="A110" s="684">
        <f t="shared" si="2"/>
        <v>44406</v>
      </c>
      <c r="B110" s="685">
        <v>218.13</v>
      </c>
      <c r="C110" s="691">
        <v>23065</v>
      </c>
      <c r="D110" s="686">
        <v>349</v>
      </c>
      <c r="E110" s="686">
        <v>0</v>
      </c>
      <c r="F110" s="687">
        <v>0</v>
      </c>
      <c r="G110" s="686">
        <v>2</v>
      </c>
      <c r="H110" s="686">
        <v>5</v>
      </c>
      <c r="I110" s="686">
        <v>3</v>
      </c>
      <c r="J110" s="688">
        <v>0.0151</v>
      </c>
      <c r="K110" s="689">
        <v>0.53</v>
      </c>
      <c r="L110" s="692">
        <v>5.01</v>
      </c>
      <c r="M110" s="686">
        <v>0</v>
      </c>
      <c r="N110" s="686">
        <v>0</v>
      </c>
    </row>
    <row r="111" hidden="1" spans="1:14">
      <c r="A111" s="684">
        <f t="shared" si="2"/>
        <v>44407</v>
      </c>
      <c r="B111" s="685">
        <v>166.95</v>
      </c>
      <c r="C111" s="691">
        <v>25592</v>
      </c>
      <c r="D111" s="686">
        <v>255</v>
      </c>
      <c r="E111" s="686">
        <v>0</v>
      </c>
      <c r="F111" s="687">
        <v>0</v>
      </c>
      <c r="G111" s="686">
        <v>0</v>
      </c>
      <c r="H111" s="686">
        <v>3</v>
      </c>
      <c r="I111" s="686">
        <v>1</v>
      </c>
      <c r="J111" s="688">
        <v>0.01</v>
      </c>
      <c r="K111" s="689">
        <v>0.65</v>
      </c>
      <c r="L111" s="692">
        <v>4.92</v>
      </c>
      <c r="M111" s="686">
        <v>0</v>
      </c>
      <c r="N111" s="686">
        <v>0</v>
      </c>
    </row>
    <row r="112" hidden="1" spans="1:14">
      <c r="A112" s="684">
        <f t="shared" si="2"/>
        <v>44408</v>
      </c>
      <c r="B112" s="685">
        <v>164.77</v>
      </c>
      <c r="C112" s="691">
        <v>14507</v>
      </c>
      <c r="D112" s="686">
        <v>208</v>
      </c>
      <c r="E112" s="686">
        <v>0</v>
      </c>
      <c r="F112" s="687">
        <v>0</v>
      </c>
      <c r="G112" s="686">
        <v>1</v>
      </c>
      <c r="H112" s="686">
        <v>3</v>
      </c>
      <c r="I112" s="686">
        <v>0</v>
      </c>
      <c r="J112" s="688">
        <v>0.0143</v>
      </c>
      <c r="K112" s="689">
        <v>0.79</v>
      </c>
      <c r="L112" s="692">
        <v>9.06</v>
      </c>
      <c r="M112" s="686">
        <v>0</v>
      </c>
      <c r="N112" s="686">
        <v>0</v>
      </c>
    </row>
    <row r="113" hidden="1" spans="1:14">
      <c r="A113" s="684">
        <f t="shared" si="2"/>
        <v>44409</v>
      </c>
      <c r="B113" s="685">
        <v>146.24</v>
      </c>
      <c r="C113" s="691">
        <v>10251</v>
      </c>
      <c r="D113" s="686">
        <v>179</v>
      </c>
      <c r="E113" s="686">
        <v>0</v>
      </c>
      <c r="F113" s="687">
        <v>0</v>
      </c>
      <c r="G113" s="686">
        <v>5</v>
      </c>
      <c r="H113" s="686">
        <v>4</v>
      </c>
      <c r="I113" s="686">
        <v>0</v>
      </c>
      <c r="J113" s="688">
        <v>0.0175</v>
      </c>
      <c r="K113" s="689">
        <v>0.82</v>
      </c>
      <c r="L113" s="692">
        <v>6.34</v>
      </c>
      <c r="M113" s="686">
        <v>0</v>
      </c>
      <c r="N113" s="686">
        <v>0</v>
      </c>
    </row>
    <row r="114" hidden="1" spans="1:14">
      <c r="A114" s="684">
        <f t="shared" si="2"/>
        <v>44410</v>
      </c>
      <c r="B114" s="685">
        <v>139.13</v>
      </c>
      <c r="C114" s="691">
        <v>12108</v>
      </c>
      <c r="D114" s="686">
        <v>166</v>
      </c>
      <c r="E114" s="686">
        <v>0</v>
      </c>
      <c r="F114" s="687">
        <v>0</v>
      </c>
      <c r="G114" s="686">
        <v>1</v>
      </c>
      <c r="H114" s="686">
        <v>2</v>
      </c>
      <c r="I114" s="686">
        <v>0</v>
      </c>
      <c r="J114" s="688">
        <v>0.0137</v>
      </c>
      <c r="K114" s="689">
        <v>0.84</v>
      </c>
      <c r="L114" s="692">
        <v>6.01</v>
      </c>
      <c r="M114" s="686">
        <v>0</v>
      </c>
      <c r="N114" s="686">
        <v>0</v>
      </c>
    </row>
    <row r="115" hidden="1" spans="1:14">
      <c r="A115" s="684">
        <f t="shared" si="2"/>
        <v>44411</v>
      </c>
      <c r="B115" s="685">
        <v>131.77</v>
      </c>
      <c r="C115" s="691">
        <v>9156</v>
      </c>
      <c r="D115" s="686">
        <v>136</v>
      </c>
      <c r="E115" s="686">
        <v>0</v>
      </c>
      <c r="F115" s="687">
        <v>0</v>
      </c>
      <c r="G115" s="686">
        <v>4</v>
      </c>
      <c r="H115" s="686">
        <v>1</v>
      </c>
      <c r="I115" s="686">
        <v>0</v>
      </c>
      <c r="J115" s="688">
        <v>0.0149</v>
      </c>
      <c r="K115" s="689">
        <v>0.97</v>
      </c>
      <c r="L115" s="692">
        <v>6.18</v>
      </c>
      <c r="M115" s="686">
        <v>0</v>
      </c>
      <c r="N115" s="686">
        <v>0</v>
      </c>
    </row>
    <row r="116" hidden="1" spans="1:14">
      <c r="A116" s="684">
        <f t="shared" si="2"/>
        <v>44412</v>
      </c>
      <c r="B116" s="685">
        <v>145.88</v>
      </c>
      <c r="C116" s="691">
        <v>14333</v>
      </c>
      <c r="D116" s="686">
        <v>131</v>
      </c>
      <c r="E116" s="686">
        <v>0</v>
      </c>
      <c r="F116" s="687">
        <v>0</v>
      </c>
      <c r="G116" s="686">
        <v>1</v>
      </c>
      <c r="H116" s="686">
        <v>2</v>
      </c>
      <c r="I116" s="686">
        <v>0</v>
      </c>
      <c r="J116" s="688">
        <v>0.0091</v>
      </c>
      <c r="K116" s="689">
        <v>1.11</v>
      </c>
      <c r="L116" s="692">
        <v>7.78</v>
      </c>
      <c r="M116" s="686">
        <v>0</v>
      </c>
      <c r="N116" s="686">
        <v>0</v>
      </c>
    </row>
    <row r="117" hidden="1" spans="1:14">
      <c r="A117" s="684">
        <f t="shared" si="2"/>
        <v>44413</v>
      </c>
      <c r="B117" s="685">
        <v>121.44</v>
      </c>
      <c r="C117" s="691">
        <v>10770</v>
      </c>
      <c r="D117" s="686">
        <v>121</v>
      </c>
      <c r="E117" s="686">
        <v>0</v>
      </c>
      <c r="F117" s="687">
        <v>0</v>
      </c>
      <c r="G117" s="686">
        <v>1</v>
      </c>
      <c r="H117" s="686">
        <v>3</v>
      </c>
      <c r="I117" s="686">
        <v>0</v>
      </c>
      <c r="J117" s="688">
        <v>0.0112</v>
      </c>
      <c r="K117" s="689">
        <v>1</v>
      </c>
      <c r="L117" s="692">
        <v>7.17</v>
      </c>
      <c r="M117" s="686">
        <v>0</v>
      </c>
      <c r="N117" s="686">
        <v>0</v>
      </c>
    </row>
    <row r="118" hidden="1" spans="1:14">
      <c r="A118" s="684">
        <f t="shared" si="2"/>
        <v>44414</v>
      </c>
      <c r="B118" s="685">
        <v>150.18</v>
      </c>
      <c r="C118" s="691">
        <v>12333</v>
      </c>
      <c r="D118" s="686">
        <v>176</v>
      </c>
      <c r="E118" s="686">
        <v>0</v>
      </c>
      <c r="F118" s="687">
        <v>0</v>
      </c>
      <c r="G118" s="686">
        <v>1</v>
      </c>
      <c r="H118" s="686">
        <v>3</v>
      </c>
      <c r="I118" s="686">
        <v>0</v>
      </c>
      <c r="J118" s="688">
        <v>0.0143</v>
      </c>
      <c r="K118" s="689">
        <v>0.85</v>
      </c>
      <c r="L118" s="692">
        <v>6.31</v>
      </c>
      <c r="M118" s="686">
        <v>0</v>
      </c>
      <c r="N118" s="686">
        <v>0</v>
      </c>
    </row>
    <row r="119" hidden="1" spans="1:14">
      <c r="A119" s="684">
        <f t="shared" si="2"/>
        <v>44415</v>
      </c>
      <c r="B119" s="685">
        <v>1.04</v>
      </c>
      <c r="C119" s="691">
        <v>0</v>
      </c>
      <c r="D119" s="686">
        <v>2</v>
      </c>
      <c r="E119" s="686">
        <v>0</v>
      </c>
      <c r="F119" s="687">
        <v>0</v>
      </c>
      <c r="G119" s="686">
        <v>0</v>
      </c>
      <c r="H119" s="686">
        <v>0</v>
      </c>
      <c r="I119" s="686">
        <v>0</v>
      </c>
      <c r="J119" s="688" t="s">
        <v>18</v>
      </c>
      <c r="K119" s="689">
        <v>0.52</v>
      </c>
      <c r="L119" s="692">
        <v>1.04</v>
      </c>
      <c r="M119" s="686">
        <v>0</v>
      </c>
      <c r="N119" s="686">
        <v>0</v>
      </c>
    </row>
    <row r="120" hidden="1" spans="1:14">
      <c r="A120" s="684">
        <f t="shared" si="2"/>
        <v>44416</v>
      </c>
      <c r="B120" s="685" t="s">
        <v>18</v>
      </c>
      <c r="C120" s="691" t="s">
        <v>18</v>
      </c>
      <c r="D120" s="691" t="s">
        <v>18</v>
      </c>
      <c r="E120" s="691" t="s">
        <v>18</v>
      </c>
      <c r="F120" s="691" t="s">
        <v>18</v>
      </c>
      <c r="G120" s="691" t="s">
        <v>18</v>
      </c>
      <c r="H120" s="691" t="s">
        <v>18</v>
      </c>
      <c r="I120" s="691" t="s">
        <v>18</v>
      </c>
      <c r="J120" s="691" t="s">
        <v>18</v>
      </c>
      <c r="K120" s="691" t="s">
        <v>18</v>
      </c>
      <c r="L120" s="691" t="s">
        <v>18</v>
      </c>
      <c r="M120" s="691" t="s">
        <v>18</v>
      </c>
      <c r="N120" s="691" t="s">
        <v>18</v>
      </c>
    </row>
    <row r="121" hidden="1" spans="1:14">
      <c r="A121" s="684">
        <f t="shared" si="2"/>
        <v>44417</v>
      </c>
      <c r="B121" s="685">
        <v>299.58</v>
      </c>
      <c r="C121" s="691">
        <v>89826</v>
      </c>
      <c r="D121" s="686">
        <v>315</v>
      </c>
      <c r="E121" s="686">
        <v>0</v>
      </c>
      <c r="F121" s="687">
        <v>0</v>
      </c>
      <c r="G121" s="686">
        <v>6</v>
      </c>
      <c r="H121" s="686">
        <v>2</v>
      </c>
      <c r="I121" s="686">
        <v>0</v>
      </c>
      <c r="J121" s="688">
        <v>0.0035</v>
      </c>
      <c r="K121" s="689">
        <v>0.95</v>
      </c>
      <c r="L121" s="692">
        <v>13.63</v>
      </c>
      <c r="M121" s="686">
        <v>0</v>
      </c>
      <c r="N121" s="686">
        <v>0</v>
      </c>
    </row>
    <row r="122" hidden="1" spans="1:14">
      <c r="A122" s="684">
        <f t="shared" si="2"/>
        <v>44418</v>
      </c>
      <c r="B122" s="685">
        <v>300</v>
      </c>
      <c r="C122" s="691">
        <v>47253</v>
      </c>
      <c r="D122" s="686">
        <v>266</v>
      </c>
      <c r="E122" s="686">
        <v>0</v>
      </c>
      <c r="F122" s="687">
        <v>0</v>
      </c>
      <c r="G122" s="686">
        <v>3</v>
      </c>
      <c r="H122" s="686">
        <v>1</v>
      </c>
      <c r="I122" s="686">
        <v>0</v>
      </c>
      <c r="J122" s="688">
        <v>0.0056</v>
      </c>
      <c r="K122" s="689">
        <v>1.13</v>
      </c>
      <c r="L122" s="692">
        <v>14.53</v>
      </c>
      <c r="M122" s="686">
        <v>0</v>
      </c>
      <c r="N122" s="686">
        <v>0</v>
      </c>
    </row>
    <row r="123" hidden="1" spans="1:14">
      <c r="A123" s="684">
        <f t="shared" si="2"/>
        <v>44419</v>
      </c>
      <c r="B123" s="685">
        <v>127.6</v>
      </c>
      <c r="C123" s="691">
        <v>21223</v>
      </c>
      <c r="D123" s="686">
        <v>189</v>
      </c>
      <c r="E123" s="686">
        <v>0</v>
      </c>
      <c r="F123" s="687">
        <v>0</v>
      </c>
      <c r="G123" s="686">
        <v>2</v>
      </c>
      <c r="H123" s="686">
        <v>0</v>
      </c>
      <c r="I123" s="686">
        <v>0</v>
      </c>
      <c r="J123" s="688">
        <v>0.0089</v>
      </c>
      <c r="K123" s="689">
        <v>0.65</v>
      </c>
      <c r="L123" s="692">
        <v>3.03</v>
      </c>
      <c r="M123" s="686">
        <v>0</v>
      </c>
      <c r="N123" s="686">
        <v>0</v>
      </c>
    </row>
    <row r="124" hidden="1" spans="1:14">
      <c r="A124" s="684">
        <f t="shared" si="2"/>
        <v>44420</v>
      </c>
      <c r="B124" s="685">
        <v>244.78</v>
      </c>
      <c r="C124" s="691">
        <v>23099</v>
      </c>
      <c r="D124" s="686">
        <v>348</v>
      </c>
      <c r="E124" s="686">
        <v>0</v>
      </c>
      <c r="F124" s="687">
        <v>0</v>
      </c>
      <c r="G124" s="686">
        <v>3</v>
      </c>
      <c r="H124" s="686">
        <v>7</v>
      </c>
      <c r="I124" s="686">
        <v>0</v>
      </c>
      <c r="J124" s="688">
        <v>0.0151</v>
      </c>
      <c r="K124" s="689">
        <v>0.7</v>
      </c>
      <c r="L124" s="692">
        <v>2.23</v>
      </c>
      <c r="M124" s="686">
        <v>0</v>
      </c>
      <c r="N124" s="686">
        <v>0</v>
      </c>
    </row>
    <row r="125" hidden="1" spans="1:14">
      <c r="A125" s="684">
        <f t="shared" si="2"/>
        <v>44421</v>
      </c>
      <c r="B125" s="685">
        <v>300</v>
      </c>
      <c r="C125" s="691">
        <v>25400</v>
      </c>
      <c r="D125" s="686">
        <v>428</v>
      </c>
      <c r="E125" s="686">
        <v>0</v>
      </c>
      <c r="F125" s="687">
        <v>0</v>
      </c>
      <c r="G125" s="686">
        <v>5</v>
      </c>
      <c r="H125" s="686">
        <v>4</v>
      </c>
      <c r="I125" s="686">
        <v>0</v>
      </c>
      <c r="J125" s="688">
        <v>0.0162</v>
      </c>
      <c r="K125" s="689">
        <v>0.7</v>
      </c>
      <c r="L125" s="692">
        <v>2.21</v>
      </c>
      <c r="M125" s="686">
        <v>0</v>
      </c>
      <c r="N125" s="686">
        <v>0</v>
      </c>
    </row>
    <row r="126" hidden="1" spans="1:14">
      <c r="A126" s="684">
        <f t="shared" si="2"/>
        <v>44422</v>
      </c>
      <c r="B126" s="685" t="s">
        <v>18</v>
      </c>
      <c r="C126" s="687" t="s">
        <v>18</v>
      </c>
      <c r="D126" s="687" t="s">
        <v>18</v>
      </c>
      <c r="E126" s="687" t="s">
        <v>18</v>
      </c>
      <c r="F126" s="687" t="s">
        <v>18</v>
      </c>
      <c r="G126" s="687" t="s">
        <v>18</v>
      </c>
      <c r="H126" s="687" t="s">
        <v>18</v>
      </c>
      <c r="I126" s="687" t="s">
        <v>18</v>
      </c>
      <c r="J126" s="687" t="s">
        <v>18</v>
      </c>
      <c r="K126" s="687" t="s">
        <v>18</v>
      </c>
      <c r="L126" s="687" t="s">
        <v>18</v>
      </c>
      <c r="M126" s="687" t="s">
        <v>18</v>
      </c>
      <c r="N126" s="687" t="s">
        <v>18</v>
      </c>
    </row>
    <row r="127" hidden="1" spans="1:14">
      <c r="A127" s="684">
        <f t="shared" si="2"/>
        <v>44423</v>
      </c>
      <c r="B127" s="685" t="s">
        <v>18</v>
      </c>
      <c r="C127" s="687" t="s">
        <v>18</v>
      </c>
      <c r="D127" s="687" t="s">
        <v>18</v>
      </c>
      <c r="E127" s="687" t="s">
        <v>18</v>
      </c>
      <c r="F127" s="687" t="s">
        <v>18</v>
      </c>
      <c r="G127" s="687" t="s">
        <v>18</v>
      </c>
      <c r="H127" s="687" t="s">
        <v>18</v>
      </c>
      <c r="I127" s="687" t="s">
        <v>18</v>
      </c>
      <c r="J127" s="687" t="s">
        <v>18</v>
      </c>
      <c r="K127" s="687" t="s">
        <v>18</v>
      </c>
      <c r="L127" s="687" t="s">
        <v>18</v>
      </c>
      <c r="M127" s="687" t="s">
        <v>18</v>
      </c>
      <c r="N127" s="687" t="s">
        <v>18</v>
      </c>
    </row>
    <row r="128" hidden="1" spans="1:14">
      <c r="A128" s="684">
        <f t="shared" si="2"/>
        <v>44424</v>
      </c>
      <c r="B128" s="685">
        <v>296.38</v>
      </c>
      <c r="C128" s="691">
        <v>40884</v>
      </c>
      <c r="D128" s="686">
        <v>688</v>
      </c>
      <c r="E128" s="686">
        <v>0</v>
      </c>
      <c r="F128" s="687">
        <v>0</v>
      </c>
      <c r="G128" s="686">
        <v>0</v>
      </c>
      <c r="H128" s="686">
        <v>3</v>
      </c>
      <c r="I128" s="686">
        <v>0</v>
      </c>
      <c r="J128" s="688">
        <v>0.0168</v>
      </c>
      <c r="K128" s="689">
        <v>0.43</v>
      </c>
      <c r="L128" s="692">
        <v>1.38</v>
      </c>
      <c r="M128" s="686">
        <v>0</v>
      </c>
      <c r="N128" s="686">
        <v>0</v>
      </c>
    </row>
    <row r="129" hidden="1" spans="1:14">
      <c r="A129" s="684">
        <f t="shared" si="2"/>
        <v>44425</v>
      </c>
      <c r="B129" s="685">
        <v>145.49</v>
      </c>
      <c r="C129" s="691">
        <v>15578</v>
      </c>
      <c r="D129" s="686">
        <v>291</v>
      </c>
      <c r="E129" s="686">
        <v>0</v>
      </c>
      <c r="F129" s="687">
        <v>0</v>
      </c>
      <c r="G129" s="686">
        <v>0</v>
      </c>
      <c r="H129" s="686">
        <v>3</v>
      </c>
      <c r="I129" s="686">
        <v>1</v>
      </c>
      <c r="J129" s="688">
        <v>0.0187</v>
      </c>
      <c r="K129" s="689">
        <v>0.5</v>
      </c>
      <c r="L129" s="692">
        <v>1.58</v>
      </c>
      <c r="M129" s="686">
        <v>0</v>
      </c>
      <c r="N129" s="686">
        <v>0</v>
      </c>
    </row>
    <row r="130" hidden="1" spans="1:14">
      <c r="A130" s="684">
        <f t="shared" si="2"/>
        <v>44426</v>
      </c>
      <c r="B130" s="685">
        <v>103.95</v>
      </c>
      <c r="C130" s="691">
        <v>13797</v>
      </c>
      <c r="D130" s="686">
        <v>178</v>
      </c>
      <c r="E130" s="686">
        <v>0</v>
      </c>
      <c r="F130" s="687">
        <v>0</v>
      </c>
      <c r="G130" s="686">
        <v>4</v>
      </c>
      <c r="H130" s="686">
        <v>4</v>
      </c>
      <c r="I130" s="686">
        <v>1</v>
      </c>
      <c r="J130" s="688">
        <v>0.0129</v>
      </c>
      <c r="K130" s="689">
        <v>0.58</v>
      </c>
      <c r="L130" s="692">
        <v>1.74</v>
      </c>
      <c r="M130" s="686">
        <v>0</v>
      </c>
      <c r="N130" s="686">
        <v>0</v>
      </c>
    </row>
    <row r="131" hidden="1" spans="1:14">
      <c r="A131" s="684">
        <f t="shared" ref="A131:A194" si="3">A130+1</f>
        <v>44427</v>
      </c>
      <c r="B131" s="685" t="s">
        <v>18</v>
      </c>
      <c r="C131" s="687" t="s">
        <v>18</v>
      </c>
      <c r="D131" s="687" t="s">
        <v>18</v>
      </c>
      <c r="E131" s="687" t="s">
        <v>18</v>
      </c>
      <c r="F131" s="687" t="s">
        <v>18</v>
      </c>
      <c r="G131" s="687" t="s">
        <v>18</v>
      </c>
      <c r="H131" s="687" t="s">
        <v>18</v>
      </c>
      <c r="I131" s="687" t="s">
        <v>18</v>
      </c>
      <c r="J131" s="687" t="s">
        <v>18</v>
      </c>
      <c r="K131" s="687" t="s">
        <v>18</v>
      </c>
      <c r="L131" s="687" t="s">
        <v>18</v>
      </c>
      <c r="M131" s="687" t="s">
        <v>18</v>
      </c>
      <c r="N131" s="687" t="s">
        <v>18</v>
      </c>
    </row>
    <row r="132" hidden="1" spans="1:14">
      <c r="A132" s="684">
        <f t="shared" si="3"/>
        <v>44428</v>
      </c>
      <c r="B132" s="685">
        <v>597.92</v>
      </c>
      <c r="C132" s="691">
        <v>224591</v>
      </c>
      <c r="D132" s="686">
        <v>734</v>
      </c>
      <c r="E132" s="686">
        <v>0</v>
      </c>
      <c r="F132" s="687">
        <v>0</v>
      </c>
      <c r="G132" s="686">
        <v>1</v>
      </c>
      <c r="H132" s="686">
        <v>7</v>
      </c>
      <c r="I132" s="686">
        <v>1</v>
      </c>
      <c r="J132" s="688">
        <v>0.0033</v>
      </c>
      <c r="K132" s="689">
        <v>0.81</v>
      </c>
      <c r="L132" s="692">
        <v>4.09</v>
      </c>
      <c r="M132" s="686">
        <v>0</v>
      </c>
      <c r="N132" s="686">
        <v>0</v>
      </c>
    </row>
    <row r="133" hidden="1" spans="1:14">
      <c r="A133" s="684">
        <f t="shared" si="3"/>
        <v>44429</v>
      </c>
      <c r="B133" s="685">
        <v>300.21</v>
      </c>
      <c r="C133" s="691">
        <v>116702</v>
      </c>
      <c r="D133" s="686">
        <v>344</v>
      </c>
      <c r="E133" s="686">
        <v>0</v>
      </c>
      <c r="F133" s="687">
        <v>0</v>
      </c>
      <c r="G133" s="686">
        <v>3</v>
      </c>
      <c r="H133" s="686">
        <v>3</v>
      </c>
      <c r="I133" s="686">
        <v>0</v>
      </c>
      <c r="J133" s="688">
        <v>0.0029</v>
      </c>
      <c r="K133" s="689">
        <v>0.87</v>
      </c>
      <c r="L133" s="692">
        <v>5.8</v>
      </c>
      <c r="M133" s="686">
        <v>0</v>
      </c>
      <c r="N133" s="686">
        <v>0</v>
      </c>
    </row>
    <row r="134" hidden="1" spans="1:14">
      <c r="A134" s="684">
        <f t="shared" si="3"/>
        <v>44430</v>
      </c>
      <c r="B134" s="685">
        <v>300</v>
      </c>
      <c r="C134" s="691">
        <v>127532</v>
      </c>
      <c r="D134" s="686">
        <v>427</v>
      </c>
      <c r="E134" s="686">
        <v>0</v>
      </c>
      <c r="F134" s="687">
        <v>0</v>
      </c>
      <c r="G134" s="686">
        <v>3</v>
      </c>
      <c r="H134" s="686">
        <v>0</v>
      </c>
      <c r="I134" s="686">
        <v>0</v>
      </c>
      <c r="J134" s="688">
        <v>0.0033</v>
      </c>
      <c r="K134" s="689">
        <v>0.7</v>
      </c>
      <c r="L134" s="692">
        <v>7.47</v>
      </c>
      <c r="M134" s="686">
        <v>0</v>
      </c>
      <c r="N134" s="686">
        <v>0</v>
      </c>
    </row>
    <row r="135" hidden="1" spans="1:14">
      <c r="A135" s="684">
        <f t="shared" si="3"/>
        <v>44431</v>
      </c>
      <c r="B135" s="685">
        <v>454.12</v>
      </c>
      <c r="C135" s="691">
        <v>233456</v>
      </c>
      <c r="D135" s="686">
        <v>570</v>
      </c>
      <c r="E135" s="686">
        <v>0</v>
      </c>
      <c r="F135" s="687">
        <v>0</v>
      </c>
      <c r="G135" s="686">
        <v>2</v>
      </c>
      <c r="H135" s="686">
        <v>1</v>
      </c>
      <c r="I135" s="686">
        <v>0</v>
      </c>
      <c r="J135" s="688">
        <v>0.0024</v>
      </c>
      <c r="K135" s="689">
        <v>0.8</v>
      </c>
      <c r="L135" s="692">
        <v>8.89</v>
      </c>
      <c r="M135" s="686">
        <v>0</v>
      </c>
      <c r="N135" s="686">
        <v>0</v>
      </c>
    </row>
    <row r="136" hidden="1" spans="1:14">
      <c r="A136" s="684">
        <f t="shared" si="3"/>
        <v>44432</v>
      </c>
      <c r="B136" s="685">
        <v>465</v>
      </c>
      <c r="C136" s="691">
        <v>195941</v>
      </c>
      <c r="D136" s="686">
        <v>480</v>
      </c>
      <c r="E136" s="686">
        <v>0</v>
      </c>
      <c r="F136" s="687">
        <v>0</v>
      </c>
      <c r="G136" s="686">
        <v>3</v>
      </c>
      <c r="H136" s="686">
        <v>1</v>
      </c>
      <c r="I136" s="686">
        <v>0</v>
      </c>
      <c r="J136" s="688">
        <v>0.0024</v>
      </c>
      <c r="K136" s="689">
        <v>0.97</v>
      </c>
      <c r="L136" s="692">
        <v>7.24</v>
      </c>
      <c r="M136" s="686">
        <v>0</v>
      </c>
      <c r="N136" s="686">
        <v>0</v>
      </c>
    </row>
    <row r="137" hidden="1" spans="1:14">
      <c r="A137" s="684">
        <f t="shared" si="3"/>
        <v>44433</v>
      </c>
      <c r="B137" s="685">
        <v>176.12</v>
      </c>
      <c r="C137" s="691">
        <v>57419</v>
      </c>
      <c r="D137" s="686">
        <v>167</v>
      </c>
      <c r="E137" s="686">
        <v>0</v>
      </c>
      <c r="F137" s="687">
        <v>0</v>
      </c>
      <c r="G137" s="686">
        <v>0</v>
      </c>
      <c r="H137" s="686">
        <v>0</v>
      </c>
      <c r="I137" s="686">
        <v>0</v>
      </c>
      <c r="J137" s="688">
        <v>0.0029</v>
      </c>
      <c r="K137" s="689">
        <v>1.05</v>
      </c>
      <c r="L137" s="692">
        <v>7.77</v>
      </c>
      <c r="M137" s="686">
        <v>0</v>
      </c>
      <c r="N137" s="686">
        <v>0</v>
      </c>
    </row>
    <row r="138" hidden="1" spans="1:14">
      <c r="A138" s="684">
        <f t="shared" si="3"/>
        <v>44434</v>
      </c>
      <c r="B138" s="685">
        <v>71.76</v>
      </c>
      <c r="C138" s="691">
        <v>39560</v>
      </c>
      <c r="D138" s="686">
        <v>63</v>
      </c>
      <c r="E138" s="686">
        <v>0</v>
      </c>
      <c r="F138" s="687">
        <v>0</v>
      </c>
      <c r="G138" s="686">
        <v>0</v>
      </c>
      <c r="H138" s="686">
        <v>0</v>
      </c>
      <c r="I138" s="686">
        <v>0</v>
      </c>
      <c r="J138" s="688">
        <v>0.0016</v>
      </c>
      <c r="K138" s="689">
        <v>1.14</v>
      </c>
      <c r="L138" s="692">
        <v>15.72</v>
      </c>
      <c r="M138" s="686">
        <v>0</v>
      </c>
      <c r="N138" s="686">
        <v>0</v>
      </c>
    </row>
    <row r="139" hidden="1" spans="1:14">
      <c r="A139" s="684">
        <f t="shared" si="3"/>
        <v>44435</v>
      </c>
      <c r="B139" s="685">
        <v>62.28</v>
      </c>
      <c r="C139" s="691">
        <v>24278</v>
      </c>
      <c r="D139" s="686">
        <v>45</v>
      </c>
      <c r="E139" s="686">
        <v>0</v>
      </c>
      <c r="F139" s="687">
        <v>0</v>
      </c>
      <c r="G139" s="686">
        <v>0</v>
      </c>
      <c r="H139" s="686">
        <v>0</v>
      </c>
      <c r="I139" s="686">
        <v>0</v>
      </c>
      <c r="J139" s="688">
        <v>0.0019</v>
      </c>
      <c r="K139" s="689">
        <v>1.38</v>
      </c>
      <c r="L139" s="692">
        <v>9.32</v>
      </c>
      <c r="M139" s="686">
        <v>0</v>
      </c>
      <c r="N139" s="686">
        <v>0</v>
      </c>
    </row>
    <row r="140" hidden="1" spans="1:14">
      <c r="A140" s="684">
        <f t="shared" si="3"/>
        <v>44436</v>
      </c>
      <c r="B140" s="685" t="s">
        <v>18</v>
      </c>
      <c r="C140" s="691" t="s">
        <v>18</v>
      </c>
      <c r="D140" s="687" t="s">
        <v>18</v>
      </c>
      <c r="E140" s="691" t="s">
        <v>18</v>
      </c>
      <c r="F140" s="687" t="s">
        <v>18</v>
      </c>
      <c r="G140" s="691" t="s">
        <v>18</v>
      </c>
      <c r="H140" s="687" t="s">
        <v>18</v>
      </c>
      <c r="I140" s="691" t="s">
        <v>18</v>
      </c>
      <c r="J140" s="687" t="s">
        <v>18</v>
      </c>
      <c r="K140" s="691" t="s">
        <v>18</v>
      </c>
      <c r="L140" s="687" t="s">
        <v>18</v>
      </c>
      <c r="M140" s="691" t="s">
        <v>18</v>
      </c>
      <c r="N140" s="687" t="s">
        <v>18</v>
      </c>
    </row>
    <row r="141" hidden="1" spans="1:14">
      <c r="A141" s="684">
        <f t="shared" si="3"/>
        <v>44437</v>
      </c>
      <c r="B141" s="685" t="s">
        <v>18</v>
      </c>
      <c r="C141" s="687" t="s">
        <v>18</v>
      </c>
      <c r="D141" s="687" t="s">
        <v>18</v>
      </c>
      <c r="E141" s="687" t="s">
        <v>18</v>
      </c>
      <c r="F141" s="687" t="s">
        <v>18</v>
      </c>
      <c r="G141" s="687" t="s">
        <v>18</v>
      </c>
      <c r="H141" s="687" t="s">
        <v>18</v>
      </c>
      <c r="I141" s="687" t="s">
        <v>18</v>
      </c>
      <c r="J141" s="687" t="s">
        <v>18</v>
      </c>
      <c r="K141" s="687" t="s">
        <v>18</v>
      </c>
      <c r="L141" s="687" t="s">
        <v>18</v>
      </c>
      <c r="M141" s="687" t="s">
        <v>18</v>
      </c>
      <c r="N141" s="687" t="s">
        <v>18</v>
      </c>
    </row>
    <row r="142" hidden="1" spans="1:14">
      <c r="A142" s="684">
        <f t="shared" si="3"/>
        <v>44438</v>
      </c>
      <c r="B142" s="685">
        <v>87.96</v>
      </c>
      <c r="C142" s="691">
        <v>7072</v>
      </c>
      <c r="D142" s="686">
        <v>106</v>
      </c>
      <c r="E142" s="686">
        <v>0</v>
      </c>
      <c r="F142" s="687">
        <v>0</v>
      </c>
      <c r="G142" s="686">
        <v>0</v>
      </c>
      <c r="H142" s="686">
        <v>2</v>
      </c>
      <c r="I142" s="686">
        <v>0</v>
      </c>
      <c r="J142" s="688">
        <v>0.015</v>
      </c>
      <c r="K142" s="689">
        <v>0.83</v>
      </c>
      <c r="L142" s="692">
        <v>2.91</v>
      </c>
      <c r="M142" s="686">
        <v>0</v>
      </c>
      <c r="N142" s="686">
        <v>0</v>
      </c>
    </row>
    <row r="143" hidden="1" spans="1:14">
      <c r="A143" s="684">
        <f t="shared" si="3"/>
        <v>44439</v>
      </c>
      <c r="B143" s="685">
        <v>293.12</v>
      </c>
      <c r="C143" s="691">
        <v>50033</v>
      </c>
      <c r="D143" s="686">
        <v>427</v>
      </c>
      <c r="E143" s="686">
        <v>0</v>
      </c>
      <c r="F143" s="687">
        <v>0</v>
      </c>
      <c r="G143" s="686">
        <v>2</v>
      </c>
      <c r="H143" s="686">
        <v>1</v>
      </c>
      <c r="I143" s="686">
        <v>0</v>
      </c>
      <c r="J143" s="688">
        <v>0.0085</v>
      </c>
      <c r="K143" s="689">
        <v>0.69</v>
      </c>
      <c r="L143" s="692">
        <v>4.61</v>
      </c>
      <c r="M143" s="686">
        <v>0</v>
      </c>
      <c r="N143" s="686">
        <v>0</v>
      </c>
    </row>
    <row r="144" hidden="1" spans="1:14">
      <c r="A144" s="684">
        <f t="shared" si="3"/>
        <v>44440</v>
      </c>
      <c r="B144" s="685">
        <v>601.38</v>
      </c>
      <c r="C144" s="691">
        <v>138946</v>
      </c>
      <c r="D144" s="686">
        <v>646</v>
      </c>
      <c r="E144" s="686">
        <v>0</v>
      </c>
      <c r="F144" s="687">
        <v>0</v>
      </c>
      <c r="G144" s="686">
        <v>2</v>
      </c>
      <c r="H144" s="686">
        <v>6</v>
      </c>
      <c r="I144" s="686">
        <v>0</v>
      </c>
      <c r="J144" s="688">
        <v>0.0046</v>
      </c>
      <c r="K144" s="689">
        <v>0.93</v>
      </c>
      <c r="L144" s="692">
        <v>5.78</v>
      </c>
      <c r="M144" s="686">
        <v>0</v>
      </c>
      <c r="N144" s="686">
        <v>0</v>
      </c>
    </row>
    <row r="145" hidden="1" spans="1:14">
      <c r="A145" s="684">
        <f t="shared" si="3"/>
        <v>44441</v>
      </c>
      <c r="B145" s="685">
        <v>189.58</v>
      </c>
      <c r="C145" s="691">
        <v>45965</v>
      </c>
      <c r="D145" s="686">
        <v>282</v>
      </c>
      <c r="E145" s="686">
        <v>0</v>
      </c>
      <c r="F145" s="687">
        <v>0</v>
      </c>
      <c r="G145" s="686">
        <v>2</v>
      </c>
      <c r="H145" s="686">
        <v>4</v>
      </c>
      <c r="I145" s="686">
        <v>0</v>
      </c>
      <c r="J145" s="688">
        <v>0.0061</v>
      </c>
      <c r="K145" s="689">
        <v>0.67</v>
      </c>
      <c r="L145" s="692">
        <v>5.13</v>
      </c>
      <c r="M145" s="686">
        <v>0</v>
      </c>
      <c r="N145" s="686">
        <v>0</v>
      </c>
    </row>
    <row r="146" hidden="1" spans="1:14">
      <c r="A146" s="684">
        <f t="shared" si="3"/>
        <v>44442</v>
      </c>
      <c r="B146" s="685">
        <v>196.49</v>
      </c>
      <c r="C146" s="691">
        <v>18437</v>
      </c>
      <c r="D146" s="686">
        <v>234</v>
      </c>
      <c r="E146" s="686">
        <v>0</v>
      </c>
      <c r="F146" s="687">
        <v>0</v>
      </c>
      <c r="G146" s="686">
        <v>1</v>
      </c>
      <c r="H146" s="686">
        <v>2</v>
      </c>
      <c r="I146" s="686">
        <v>0</v>
      </c>
      <c r="J146" s="688">
        <v>0.0127</v>
      </c>
      <c r="K146" s="689">
        <v>0.84</v>
      </c>
      <c r="L146" s="692">
        <v>6.54</v>
      </c>
      <c r="M146" s="686">
        <v>0</v>
      </c>
      <c r="N146" s="686">
        <v>0</v>
      </c>
    </row>
    <row r="147" hidden="1" spans="1:14">
      <c r="A147" s="684">
        <f t="shared" si="3"/>
        <v>44443</v>
      </c>
      <c r="B147" s="685">
        <v>5.24</v>
      </c>
      <c r="C147" s="691">
        <v>0</v>
      </c>
      <c r="D147" s="686">
        <v>5</v>
      </c>
      <c r="E147" s="686">
        <v>0</v>
      </c>
      <c r="F147" s="687">
        <v>0</v>
      </c>
      <c r="G147" s="686">
        <v>0</v>
      </c>
      <c r="H147" s="686">
        <v>0</v>
      </c>
      <c r="I147" s="686">
        <v>0</v>
      </c>
      <c r="J147" s="688">
        <v>0</v>
      </c>
      <c r="K147" s="689">
        <v>1.05</v>
      </c>
      <c r="L147" s="692">
        <v>0</v>
      </c>
      <c r="M147" s="686">
        <v>0</v>
      </c>
      <c r="N147" s="686">
        <v>0</v>
      </c>
    </row>
    <row r="148" hidden="1" spans="1:14">
      <c r="A148" s="684">
        <f t="shared" si="3"/>
        <v>44444</v>
      </c>
      <c r="B148" s="685">
        <v>294.04</v>
      </c>
      <c r="C148" s="691">
        <v>46144</v>
      </c>
      <c r="D148" s="686">
        <v>371</v>
      </c>
      <c r="E148" s="686">
        <v>0</v>
      </c>
      <c r="F148" s="687">
        <v>0</v>
      </c>
      <c r="G148" s="686">
        <v>4</v>
      </c>
      <c r="H148" s="686">
        <v>1</v>
      </c>
      <c r="I148" s="686">
        <v>0</v>
      </c>
      <c r="J148" s="688">
        <v>0.008</v>
      </c>
      <c r="K148" s="689">
        <v>0.8</v>
      </c>
      <c r="L148" s="692">
        <v>7.23</v>
      </c>
      <c r="M148" s="686">
        <v>0</v>
      </c>
      <c r="N148" s="527">
        <v>0</v>
      </c>
    </row>
    <row r="149" hidden="1" spans="1:14">
      <c r="A149" s="684">
        <f t="shared" si="3"/>
        <v>44445</v>
      </c>
      <c r="B149" s="685">
        <v>300</v>
      </c>
      <c r="C149" s="691">
        <v>19982</v>
      </c>
      <c r="D149" s="686">
        <v>273</v>
      </c>
      <c r="E149" s="686">
        <v>0</v>
      </c>
      <c r="F149" s="687">
        <v>0</v>
      </c>
      <c r="G149" s="686">
        <v>1</v>
      </c>
      <c r="H149" s="686">
        <v>1</v>
      </c>
      <c r="I149" s="686">
        <v>1</v>
      </c>
      <c r="J149" s="688">
        <v>0.0137</v>
      </c>
      <c r="K149" s="689">
        <v>1.1</v>
      </c>
      <c r="L149" s="692">
        <v>14.77</v>
      </c>
      <c r="M149" s="686">
        <v>0</v>
      </c>
      <c r="N149" s="527">
        <v>0</v>
      </c>
    </row>
    <row r="150" hidden="1" spans="1:14">
      <c r="A150" s="684">
        <f t="shared" si="3"/>
        <v>44446</v>
      </c>
      <c r="B150" s="685">
        <v>300</v>
      </c>
      <c r="C150" s="691">
        <v>22572</v>
      </c>
      <c r="D150" s="686">
        <v>300</v>
      </c>
      <c r="E150" s="686">
        <v>0</v>
      </c>
      <c r="F150" s="687">
        <v>0</v>
      </c>
      <c r="G150" s="686">
        <v>0</v>
      </c>
      <c r="H150" s="686">
        <v>6</v>
      </c>
      <c r="I150" s="686">
        <v>0</v>
      </c>
      <c r="J150" s="688">
        <v>0.0133</v>
      </c>
      <c r="K150" s="689">
        <v>1</v>
      </c>
      <c r="L150" s="692">
        <v>10.84</v>
      </c>
      <c r="M150" s="686">
        <v>0</v>
      </c>
      <c r="N150" s="527">
        <v>0</v>
      </c>
    </row>
    <row r="151" hidden="1" spans="1:14">
      <c r="A151" s="684">
        <f t="shared" si="3"/>
        <v>44447</v>
      </c>
      <c r="B151" s="685">
        <v>244.02</v>
      </c>
      <c r="C151" s="691">
        <v>19056</v>
      </c>
      <c r="D151" s="686">
        <v>246</v>
      </c>
      <c r="E151" s="686">
        <v>0</v>
      </c>
      <c r="F151" s="687">
        <v>0</v>
      </c>
      <c r="G151" s="686">
        <v>0</v>
      </c>
      <c r="H151" s="686">
        <v>2</v>
      </c>
      <c r="I151" s="686">
        <v>0</v>
      </c>
      <c r="J151" s="688">
        <v>0.0129</v>
      </c>
      <c r="K151" s="689">
        <v>0.99</v>
      </c>
      <c r="L151" s="692">
        <v>8.33</v>
      </c>
      <c r="M151" s="686">
        <v>0</v>
      </c>
      <c r="N151" s="527">
        <v>0</v>
      </c>
    </row>
    <row r="152" hidden="1" spans="1:14">
      <c r="A152" s="684">
        <f t="shared" si="3"/>
        <v>44448</v>
      </c>
      <c r="B152" s="685" t="s">
        <v>18</v>
      </c>
      <c r="C152" s="687" t="s">
        <v>18</v>
      </c>
      <c r="D152" s="687" t="s">
        <v>18</v>
      </c>
      <c r="E152" s="687" t="s">
        <v>18</v>
      </c>
      <c r="F152" s="687" t="s">
        <v>18</v>
      </c>
      <c r="G152" s="687" t="s">
        <v>18</v>
      </c>
      <c r="H152" s="687" t="s">
        <v>18</v>
      </c>
      <c r="I152" s="687" t="s">
        <v>18</v>
      </c>
      <c r="J152" s="687" t="s">
        <v>18</v>
      </c>
      <c r="K152" s="687" t="s">
        <v>18</v>
      </c>
      <c r="L152" s="687" t="s">
        <v>18</v>
      </c>
      <c r="M152" s="687" t="s">
        <v>18</v>
      </c>
      <c r="N152" s="693" t="s">
        <v>18</v>
      </c>
    </row>
    <row r="153" hidden="1" spans="1:14">
      <c r="A153" s="684">
        <f t="shared" si="3"/>
        <v>44449</v>
      </c>
      <c r="B153" s="685" t="s">
        <v>18</v>
      </c>
      <c r="C153" s="687" t="s">
        <v>18</v>
      </c>
      <c r="D153" s="687" t="s">
        <v>18</v>
      </c>
      <c r="E153" s="687" t="s">
        <v>18</v>
      </c>
      <c r="F153" s="687" t="s">
        <v>18</v>
      </c>
      <c r="G153" s="687" t="s">
        <v>18</v>
      </c>
      <c r="H153" s="687" t="s">
        <v>18</v>
      </c>
      <c r="I153" s="687" t="s">
        <v>18</v>
      </c>
      <c r="J153" s="687" t="s">
        <v>18</v>
      </c>
      <c r="K153" s="687" t="s">
        <v>18</v>
      </c>
      <c r="L153" s="687" t="s">
        <v>18</v>
      </c>
      <c r="M153" s="687" t="s">
        <v>18</v>
      </c>
      <c r="N153" s="693" t="s">
        <v>18</v>
      </c>
    </row>
    <row r="154" hidden="1" spans="1:14">
      <c r="A154" s="684">
        <f t="shared" si="3"/>
        <v>44450</v>
      </c>
      <c r="B154" s="685">
        <v>16.97</v>
      </c>
      <c r="C154" s="691">
        <v>0</v>
      </c>
      <c r="D154" s="686">
        <v>19</v>
      </c>
      <c r="E154" s="686">
        <v>0</v>
      </c>
      <c r="F154" s="687">
        <v>0</v>
      </c>
      <c r="G154" s="686">
        <v>0</v>
      </c>
      <c r="H154" s="686">
        <v>0</v>
      </c>
      <c r="I154" s="686">
        <v>0</v>
      </c>
      <c r="J154" s="688">
        <v>0</v>
      </c>
      <c r="K154" s="689">
        <v>0.89</v>
      </c>
      <c r="L154" s="692">
        <v>16.97</v>
      </c>
      <c r="M154" s="686">
        <v>0</v>
      </c>
      <c r="N154" s="527">
        <v>0</v>
      </c>
    </row>
    <row r="155" hidden="1" spans="1:14">
      <c r="A155" s="684">
        <f t="shared" si="3"/>
        <v>44451</v>
      </c>
      <c r="B155" s="685">
        <v>298.62</v>
      </c>
      <c r="C155" s="691">
        <v>20169</v>
      </c>
      <c r="D155" s="686">
        <v>365</v>
      </c>
      <c r="E155" s="686">
        <v>0</v>
      </c>
      <c r="F155" s="687">
        <v>0</v>
      </c>
      <c r="G155" s="686">
        <v>0</v>
      </c>
      <c r="H155" s="686">
        <v>4</v>
      </c>
      <c r="I155" s="686">
        <v>2</v>
      </c>
      <c r="J155" s="688">
        <v>0.0181</v>
      </c>
      <c r="K155" s="689">
        <v>0.82</v>
      </c>
      <c r="L155" s="692">
        <v>4.09</v>
      </c>
      <c r="M155" s="686">
        <v>0</v>
      </c>
      <c r="N155" s="527">
        <v>0</v>
      </c>
    </row>
    <row r="156" hidden="1" spans="1:14">
      <c r="A156" s="684">
        <f t="shared" si="3"/>
        <v>44452</v>
      </c>
      <c r="B156" s="685">
        <v>122.35</v>
      </c>
      <c r="C156" s="691">
        <v>8348</v>
      </c>
      <c r="D156" s="686">
        <v>137</v>
      </c>
      <c r="E156" s="686">
        <v>0</v>
      </c>
      <c r="F156" s="687">
        <v>0</v>
      </c>
      <c r="G156" s="686">
        <v>0</v>
      </c>
      <c r="H156" s="686">
        <v>1</v>
      </c>
      <c r="I156" s="686">
        <v>0</v>
      </c>
      <c r="J156" s="688">
        <v>0.0164</v>
      </c>
      <c r="K156" s="689">
        <v>0.89</v>
      </c>
      <c r="L156" s="692">
        <v>6.67</v>
      </c>
      <c r="M156" s="686">
        <v>0</v>
      </c>
      <c r="N156" s="527">
        <v>0</v>
      </c>
    </row>
    <row r="157" hidden="1" spans="1:14">
      <c r="A157" s="684">
        <f t="shared" si="3"/>
        <v>44453</v>
      </c>
      <c r="B157" s="685">
        <v>2.23</v>
      </c>
      <c r="C157" s="691">
        <v>0</v>
      </c>
      <c r="D157" s="686">
        <v>2</v>
      </c>
      <c r="E157" s="686">
        <v>0</v>
      </c>
      <c r="F157" s="687">
        <v>0</v>
      </c>
      <c r="G157" s="686">
        <v>0</v>
      </c>
      <c r="H157" s="686">
        <v>0</v>
      </c>
      <c r="I157" s="686">
        <v>0</v>
      </c>
      <c r="J157" s="688">
        <v>0</v>
      </c>
      <c r="K157" s="689">
        <v>1.12</v>
      </c>
      <c r="L157" s="692" t="s">
        <v>18</v>
      </c>
      <c r="M157" s="686">
        <v>0</v>
      </c>
      <c r="N157" s="527">
        <v>0</v>
      </c>
    </row>
    <row r="158" hidden="1" spans="1:14">
      <c r="A158" s="684">
        <f t="shared" si="3"/>
        <v>44454</v>
      </c>
      <c r="B158" s="685">
        <v>300</v>
      </c>
      <c r="C158" s="691">
        <v>48222</v>
      </c>
      <c r="D158" s="686">
        <v>299</v>
      </c>
      <c r="E158" s="686">
        <v>0</v>
      </c>
      <c r="F158" s="687">
        <v>0</v>
      </c>
      <c r="G158" s="686">
        <v>0</v>
      </c>
      <c r="H158" s="686">
        <v>4</v>
      </c>
      <c r="I158" s="686">
        <v>0</v>
      </c>
      <c r="J158" s="688">
        <v>0.0062</v>
      </c>
      <c r="K158" s="689">
        <v>1</v>
      </c>
      <c r="L158" s="692">
        <v>7.1</v>
      </c>
      <c r="M158" s="686">
        <v>0</v>
      </c>
      <c r="N158" s="527">
        <v>0</v>
      </c>
    </row>
    <row r="159" hidden="1" spans="1:14">
      <c r="A159" s="684">
        <f t="shared" si="3"/>
        <v>44455</v>
      </c>
      <c r="B159" s="685">
        <v>300</v>
      </c>
      <c r="C159" s="691">
        <v>18173</v>
      </c>
      <c r="D159" s="686">
        <v>340</v>
      </c>
      <c r="E159" s="686">
        <v>0</v>
      </c>
      <c r="F159" s="687">
        <v>0</v>
      </c>
      <c r="G159" s="686">
        <v>1</v>
      </c>
      <c r="H159" s="686">
        <v>0</v>
      </c>
      <c r="I159" s="686">
        <v>0</v>
      </c>
      <c r="J159" s="688">
        <v>0.0187</v>
      </c>
      <c r="K159" s="689">
        <v>0.88</v>
      </c>
      <c r="L159" s="692">
        <v>9.3</v>
      </c>
      <c r="M159" s="686">
        <v>0</v>
      </c>
      <c r="N159" s="527">
        <v>0</v>
      </c>
    </row>
    <row r="160" hidden="1" spans="1:14">
      <c r="A160" s="684">
        <f t="shared" si="3"/>
        <v>44456</v>
      </c>
      <c r="B160" s="685">
        <v>12.81</v>
      </c>
      <c r="C160" s="691">
        <v>1817</v>
      </c>
      <c r="D160" s="686">
        <v>17</v>
      </c>
      <c r="E160" s="686">
        <v>0</v>
      </c>
      <c r="F160" s="687">
        <v>0</v>
      </c>
      <c r="G160" s="686">
        <v>0</v>
      </c>
      <c r="H160" s="686">
        <v>0</v>
      </c>
      <c r="I160" s="686">
        <v>0</v>
      </c>
      <c r="J160" s="688">
        <v>0.0094</v>
      </c>
      <c r="K160" s="689">
        <v>0.75</v>
      </c>
      <c r="L160" s="692">
        <v>6.27</v>
      </c>
      <c r="M160" s="686">
        <v>0</v>
      </c>
      <c r="N160" s="527">
        <v>0</v>
      </c>
    </row>
    <row r="161" hidden="1" spans="1:14">
      <c r="A161" s="684">
        <f t="shared" si="3"/>
        <v>44457</v>
      </c>
      <c r="B161" s="685" t="s">
        <v>18</v>
      </c>
      <c r="C161" s="687" t="s">
        <v>18</v>
      </c>
      <c r="D161" s="687" t="s">
        <v>18</v>
      </c>
      <c r="E161" s="687" t="s">
        <v>18</v>
      </c>
      <c r="F161" s="687" t="s">
        <v>18</v>
      </c>
      <c r="G161" s="687" t="s">
        <v>18</v>
      </c>
      <c r="H161" s="687" t="s">
        <v>18</v>
      </c>
      <c r="I161" s="687" t="s">
        <v>18</v>
      </c>
      <c r="J161" s="687" t="s">
        <v>18</v>
      </c>
      <c r="K161" s="687" t="s">
        <v>18</v>
      </c>
      <c r="L161" s="687" t="s">
        <v>18</v>
      </c>
      <c r="M161" s="687" t="s">
        <v>18</v>
      </c>
      <c r="N161" s="693" t="s">
        <v>18</v>
      </c>
    </row>
    <row r="162" hidden="1" spans="1:14">
      <c r="A162" s="684">
        <f t="shared" si="3"/>
        <v>44458</v>
      </c>
      <c r="B162" s="685">
        <v>300</v>
      </c>
      <c r="C162" s="691">
        <v>17074</v>
      </c>
      <c r="D162" s="686">
        <v>208</v>
      </c>
      <c r="E162" s="686">
        <v>0</v>
      </c>
      <c r="F162" s="687">
        <v>0</v>
      </c>
      <c r="G162" s="686">
        <v>1</v>
      </c>
      <c r="H162" s="686">
        <v>2</v>
      </c>
      <c r="I162" s="686">
        <v>0</v>
      </c>
      <c r="J162" s="688">
        <v>0.0122</v>
      </c>
      <c r="K162" s="689">
        <v>1.44</v>
      </c>
      <c r="L162" s="692">
        <v>5.28</v>
      </c>
      <c r="M162" s="686">
        <v>0</v>
      </c>
      <c r="N162" s="527">
        <v>0</v>
      </c>
    </row>
    <row r="163" hidden="1" spans="1:14">
      <c r="A163" s="684">
        <f t="shared" si="3"/>
        <v>44459</v>
      </c>
      <c r="B163" s="685">
        <v>112.88</v>
      </c>
      <c r="C163" s="691">
        <v>7419</v>
      </c>
      <c r="D163" s="686">
        <v>106</v>
      </c>
      <c r="E163" s="686">
        <v>1</v>
      </c>
      <c r="F163" s="687">
        <v>0.01</v>
      </c>
      <c r="G163" s="686">
        <v>0</v>
      </c>
      <c r="H163" s="686">
        <v>0</v>
      </c>
      <c r="I163" s="686">
        <v>1</v>
      </c>
      <c r="J163" s="688">
        <v>0.0142</v>
      </c>
      <c r="K163" s="689">
        <v>1.06</v>
      </c>
      <c r="L163" s="692">
        <v>5.04</v>
      </c>
      <c r="M163" s="686">
        <v>0</v>
      </c>
      <c r="N163" s="527">
        <v>0.0095</v>
      </c>
    </row>
    <row r="164" hidden="1" spans="1:14">
      <c r="A164" s="684">
        <f t="shared" si="3"/>
        <v>44460</v>
      </c>
      <c r="B164" s="685" t="s">
        <v>18</v>
      </c>
      <c r="C164" s="691"/>
      <c r="D164" s="686"/>
      <c r="E164" s="686"/>
      <c r="F164" s="687"/>
      <c r="G164" s="686"/>
      <c r="H164" s="686"/>
      <c r="I164" s="686"/>
      <c r="J164" s="688"/>
      <c r="K164" s="689"/>
      <c r="L164" s="692"/>
      <c r="M164" s="686"/>
      <c r="N164" s="527"/>
    </row>
    <row r="165" hidden="1" spans="1:14">
      <c r="A165" s="684">
        <f t="shared" si="3"/>
        <v>44461</v>
      </c>
      <c r="B165" s="685">
        <v>144.23</v>
      </c>
      <c r="C165" s="691">
        <v>14476</v>
      </c>
      <c r="D165" s="686">
        <v>150</v>
      </c>
      <c r="E165" s="686">
        <v>0</v>
      </c>
      <c r="F165" s="687">
        <v>0</v>
      </c>
      <c r="G165" s="686">
        <v>4</v>
      </c>
      <c r="H165" s="686">
        <v>0</v>
      </c>
      <c r="I165" s="686">
        <v>0</v>
      </c>
      <c r="J165" s="688">
        <v>0.0104</v>
      </c>
      <c r="K165" s="689">
        <v>0.96</v>
      </c>
      <c r="L165" s="692">
        <v>9.96</v>
      </c>
      <c r="M165" s="686">
        <v>0</v>
      </c>
      <c r="N165" s="527">
        <v>0</v>
      </c>
    </row>
    <row r="166" hidden="1" spans="1:14">
      <c r="A166" s="684">
        <f t="shared" si="3"/>
        <v>44462</v>
      </c>
      <c r="B166" s="685">
        <v>157.09</v>
      </c>
      <c r="C166" s="691">
        <v>13777</v>
      </c>
      <c r="D166" s="686">
        <v>158</v>
      </c>
      <c r="E166" s="686">
        <v>0</v>
      </c>
      <c r="F166" s="687">
        <v>0</v>
      </c>
      <c r="G166" s="686">
        <v>0</v>
      </c>
      <c r="H166" s="686">
        <v>0</v>
      </c>
      <c r="I166" s="686">
        <v>0</v>
      </c>
      <c r="J166" s="688">
        <v>0.0115</v>
      </c>
      <c r="K166" s="689">
        <v>0.99</v>
      </c>
      <c r="L166" s="692">
        <v>33.87</v>
      </c>
      <c r="M166" s="686">
        <v>0</v>
      </c>
      <c r="N166" s="527">
        <v>0</v>
      </c>
    </row>
    <row r="167" hidden="1" spans="1:14">
      <c r="A167" s="684">
        <f t="shared" si="3"/>
        <v>44463</v>
      </c>
      <c r="B167" s="685" t="s">
        <v>18</v>
      </c>
      <c r="C167" s="691"/>
      <c r="D167" s="686"/>
      <c r="E167" s="686"/>
      <c r="F167" s="687"/>
      <c r="G167" s="686"/>
      <c r="H167" s="686"/>
      <c r="I167" s="686"/>
      <c r="J167" s="688"/>
      <c r="K167" s="689"/>
      <c r="L167" s="692"/>
      <c r="M167" s="686"/>
      <c r="N167" s="527"/>
    </row>
    <row r="168" hidden="1" spans="1:14">
      <c r="A168" s="684">
        <f t="shared" si="3"/>
        <v>44464</v>
      </c>
      <c r="B168" s="685">
        <v>300</v>
      </c>
      <c r="C168" s="691">
        <v>29903</v>
      </c>
      <c r="D168" s="686">
        <v>312</v>
      </c>
      <c r="E168" s="686">
        <v>0</v>
      </c>
      <c r="F168" s="687">
        <v>0</v>
      </c>
      <c r="G168" s="686">
        <v>3</v>
      </c>
      <c r="H168" s="686">
        <v>2</v>
      </c>
      <c r="I168" s="686">
        <v>0</v>
      </c>
      <c r="J168" s="688">
        <v>0.0104</v>
      </c>
      <c r="K168" s="689">
        <v>0.96</v>
      </c>
      <c r="L168" s="692">
        <v>14.69</v>
      </c>
      <c r="M168" s="686">
        <v>0</v>
      </c>
      <c r="N168" s="527">
        <v>0</v>
      </c>
    </row>
    <row r="169" hidden="1" spans="1:14">
      <c r="A169" s="684">
        <f t="shared" si="3"/>
        <v>44465</v>
      </c>
      <c r="B169" s="685">
        <v>176.85</v>
      </c>
      <c r="C169" s="691">
        <v>16287</v>
      </c>
      <c r="D169" s="686">
        <v>163</v>
      </c>
      <c r="E169" s="686">
        <v>0</v>
      </c>
      <c r="F169" s="687">
        <v>0</v>
      </c>
      <c r="G169" s="686">
        <v>3</v>
      </c>
      <c r="H169" s="686">
        <v>2</v>
      </c>
      <c r="I169" s="686">
        <v>0</v>
      </c>
      <c r="J169" s="688">
        <v>0.0099</v>
      </c>
      <c r="K169" s="689">
        <v>1.09</v>
      </c>
      <c r="L169" s="692">
        <v>10.71</v>
      </c>
      <c r="M169" s="686">
        <v>0</v>
      </c>
      <c r="N169" s="527">
        <v>0</v>
      </c>
    </row>
    <row r="170" hidden="1" spans="1:14">
      <c r="A170" s="684">
        <f t="shared" si="3"/>
        <v>44466</v>
      </c>
      <c r="B170" s="685" t="s">
        <v>18</v>
      </c>
      <c r="C170" s="691"/>
      <c r="D170" s="686"/>
      <c r="E170" s="686"/>
      <c r="F170" s="687"/>
      <c r="G170" s="686"/>
      <c r="H170" s="686"/>
      <c r="I170" s="686"/>
      <c r="J170" s="688"/>
      <c r="K170" s="689"/>
      <c r="L170" s="692"/>
      <c r="M170" s="686"/>
      <c r="N170" s="527"/>
    </row>
    <row r="171" hidden="1" spans="1:14">
      <c r="A171" s="684">
        <f t="shared" si="3"/>
        <v>44467</v>
      </c>
      <c r="B171" s="685">
        <v>300.9</v>
      </c>
      <c r="C171" s="691">
        <v>20679</v>
      </c>
      <c r="D171" s="686">
        <v>279</v>
      </c>
      <c r="E171" s="686">
        <v>0</v>
      </c>
      <c r="F171" s="687">
        <v>0</v>
      </c>
      <c r="G171" s="686">
        <v>4</v>
      </c>
      <c r="H171" s="686">
        <v>1</v>
      </c>
      <c r="I171" s="686">
        <v>0</v>
      </c>
      <c r="J171" s="688">
        <v>0.0135</v>
      </c>
      <c r="K171" s="689">
        <v>1.08</v>
      </c>
      <c r="L171" s="692">
        <v>24.56</v>
      </c>
      <c r="M171" s="686">
        <v>0</v>
      </c>
      <c r="N171" s="527">
        <v>0</v>
      </c>
    </row>
    <row r="172" hidden="1" spans="1:14">
      <c r="A172" s="684">
        <f t="shared" si="3"/>
        <v>44468</v>
      </c>
      <c r="B172" s="685">
        <v>299.82</v>
      </c>
      <c r="C172" s="691">
        <v>20679</v>
      </c>
      <c r="D172" s="686">
        <v>278</v>
      </c>
      <c r="E172" s="686">
        <v>0</v>
      </c>
      <c r="F172" s="687">
        <v>0</v>
      </c>
      <c r="G172" s="686">
        <v>4</v>
      </c>
      <c r="H172" s="686">
        <v>1</v>
      </c>
      <c r="I172" s="686">
        <v>0</v>
      </c>
      <c r="J172" s="688">
        <v>0.0134</v>
      </c>
      <c r="K172" s="689">
        <v>1.08</v>
      </c>
      <c r="L172" s="692">
        <v>24.46</v>
      </c>
      <c r="M172" s="686">
        <v>0</v>
      </c>
      <c r="N172" s="527">
        <v>0</v>
      </c>
    </row>
    <row r="173" hidden="1" spans="1:14">
      <c r="A173" s="684">
        <f t="shared" si="3"/>
        <v>44469</v>
      </c>
      <c r="B173" s="685">
        <v>143</v>
      </c>
      <c r="C173" s="691">
        <v>14598</v>
      </c>
      <c r="D173" s="686">
        <v>159</v>
      </c>
      <c r="E173" s="686">
        <v>0</v>
      </c>
      <c r="F173" s="687">
        <v>0</v>
      </c>
      <c r="G173" s="686">
        <v>3</v>
      </c>
      <c r="H173" s="686">
        <v>3</v>
      </c>
      <c r="I173" s="686">
        <v>0</v>
      </c>
      <c r="J173" s="688">
        <v>0.0109</v>
      </c>
      <c r="K173" s="689">
        <v>0.9</v>
      </c>
      <c r="L173" s="692">
        <v>8.04</v>
      </c>
      <c r="M173" s="686">
        <v>0</v>
      </c>
      <c r="N173" s="527">
        <v>0</v>
      </c>
    </row>
    <row r="174" hidden="1" spans="1:14">
      <c r="A174" s="684">
        <f t="shared" si="3"/>
        <v>44470</v>
      </c>
      <c r="B174" s="685">
        <v>1.42</v>
      </c>
      <c r="C174" s="691">
        <v>0</v>
      </c>
      <c r="D174" s="686">
        <v>2</v>
      </c>
      <c r="E174" s="686">
        <v>0</v>
      </c>
      <c r="F174" s="687">
        <v>0</v>
      </c>
      <c r="G174" s="686">
        <v>0</v>
      </c>
      <c r="H174" s="686">
        <v>0</v>
      </c>
      <c r="I174" s="686">
        <v>0</v>
      </c>
      <c r="J174" s="688" t="s">
        <v>18</v>
      </c>
      <c r="K174" s="689">
        <v>0.71</v>
      </c>
      <c r="L174" s="692">
        <v>1.42</v>
      </c>
      <c r="M174" s="686">
        <v>0</v>
      </c>
      <c r="N174" s="527">
        <v>0</v>
      </c>
    </row>
    <row r="175" hidden="1" spans="1:14">
      <c r="A175" s="684">
        <f t="shared" si="3"/>
        <v>44471</v>
      </c>
      <c r="B175" s="685" t="s">
        <v>18</v>
      </c>
      <c r="C175" s="687" t="s">
        <v>18</v>
      </c>
      <c r="D175" s="687" t="s">
        <v>18</v>
      </c>
      <c r="E175" s="687" t="s">
        <v>18</v>
      </c>
      <c r="F175" s="687" t="s">
        <v>18</v>
      </c>
      <c r="G175" s="687" t="s">
        <v>18</v>
      </c>
      <c r="H175" s="687" t="s">
        <v>18</v>
      </c>
      <c r="I175" s="687" t="s">
        <v>18</v>
      </c>
      <c r="J175" s="687" t="s">
        <v>18</v>
      </c>
      <c r="K175" s="687" t="s">
        <v>18</v>
      </c>
      <c r="L175" s="687" t="s">
        <v>18</v>
      </c>
      <c r="M175" s="687" t="s">
        <v>18</v>
      </c>
      <c r="N175" s="693" t="s">
        <v>18</v>
      </c>
    </row>
    <row r="176" hidden="1" spans="1:14">
      <c r="A176" s="684">
        <f t="shared" si="3"/>
        <v>44472</v>
      </c>
      <c r="B176" s="685" t="s">
        <v>18</v>
      </c>
      <c r="C176" s="687" t="s">
        <v>18</v>
      </c>
      <c r="D176" s="687" t="s">
        <v>18</v>
      </c>
      <c r="E176" s="687" t="s">
        <v>18</v>
      </c>
      <c r="F176" s="687" t="s">
        <v>18</v>
      </c>
      <c r="G176" s="687" t="s">
        <v>18</v>
      </c>
      <c r="H176" s="687" t="s">
        <v>18</v>
      </c>
      <c r="I176" s="687" t="s">
        <v>18</v>
      </c>
      <c r="J176" s="687" t="s">
        <v>18</v>
      </c>
      <c r="K176" s="687" t="s">
        <v>18</v>
      </c>
      <c r="L176" s="687" t="s">
        <v>18</v>
      </c>
      <c r="M176" s="687" t="s">
        <v>18</v>
      </c>
      <c r="N176" s="693" t="s">
        <v>18</v>
      </c>
    </row>
    <row r="177" hidden="1" spans="1:14">
      <c r="A177" s="684">
        <f t="shared" si="3"/>
        <v>44473</v>
      </c>
      <c r="B177" s="685" t="s">
        <v>18</v>
      </c>
      <c r="C177" s="687" t="s">
        <v>18</v>
      </c>
      <c r="D177" s="687" t="s">
        <v>18</v>
      </c>
      <c r="E177" s="687" t="s">
        <v>18</v>
      </c>
      <c r="F177" s="687" t="s">
        <v>18</v>
      </c>
      <c r="G177" s="687" t="s">
        <v>18</v>
      </c>
      <c r="H177" s="687" t="s">
        <v>18</v>
      </c>
      <c r="I177" s="687" t="s">
        <v>18</v>
      </c>
      <c r="J177" s="687" t="s">
        <v>18</v>
      </c>
      <c r="K177" s="687" t="s">
        <v>18</v>
      </c>
      <c r="L177" s="687" t="s">
        <v>18</v>
      </c>
      <c r="M177" s="687" t="s">
        <v>18</v>
      </c>
      <c r="N177" s="693" t="s">
        <v>18</v>
      </c>
    </row>
    <row r="178" hidden="1" spans="1:14">
      <c r="A178" s="684">
        <f t="shared" si="3"/>
        <v>44474</v>
      </c>
      <c r="B178" s="685" t="s">
        <v>18</v>
      </c>
      <c r="C178" s="687" t="s">
        <v>18</v>
      </c>
      <c r="D178" s="687" t="s">
        <v>18</v>
      </c>
      <c r="E178" s="687" t="s">
        <v>18</v>
      </c>
      <c r="F178" s="687" t="s">
        <v>18</v>
      </c>
      <c r="G178" s="687" t="s">
        <v>18</v>
      </c>
      <c r="H178" s="687" t="s">
        <v>18</v>
      </c>
      <c r="I178" s="687" t="s">
        <v>18</v>
      </c>
      <c r="J178" s="687" t="s">
        <v>18</v>
      </c>
      <c r="K178" s="687" t="s">
        <v>18</v>
      </c>
      <c r="L178" s="687" t="s">
        <v>18</v>
      </c>
      <c r="M178" s="687" t="s">
        <v>18</v>
      </c>
      <c r="N178" s="693" t="s">
        <v>18</v>
      </c>
    </row>
    <row r="179" hidden="1" spans="1:14">
      <c r="A179" s="684">
        <f t="shared" si="3"/>
        <v>44475</v>
      </c>
      <c r="B179" s="685" t="s">
        <v>18</v>
      </c>
      <c r="C179" s="687" t="s">
        <v>18</v>
      </c>
      <c r="D179" s="687" t="s">
        <v>18</v>
      </c>
      <c r="E179" s="687" t="s">
        <v>18</v>
      </c>
      <c r="F179" s="687" t="s">
        <v>18</v>
      </c>
      <c r="G179" s="687" t="s">
        <v>18</v>
      </c>
      <c r="H179" s="687" t="s">
        <v>18</v>
      </c>
      <c r="I179" s="687" t="s">
        <v>18</v>
      </c>
      <c r="J179" s="687" t="s">
        <v>18</v>
      </c>
      <c r="K179" s="687" t="s">
        <v>18</v>
      </c>
      <c r="L179" s="687" t="s">
        <v>18</v>
      </c>
      <c r="M179" s="687" t="s">
        <v>18</v>
      </c>
      <c r="N179" s="693" t="s">
        <v>18</v>
      </c>
    </row>
    <row r="180" hidden="1" spans="1:14">
      <c r="A180" s="684">
        <f t="shared" si="3"/>
        <v>44476</v>
      </c>
      <c r="B180" s="685" t="s">
        <v>18</v>
      </c>
      <c r="C180" s="687" t="s">
        <v>18</v>
      </c>
      <c r="D180" s="687" t="s">
        <v>18</v>
      </c>
      <c r="E180" s="687" t="s">
        <v>18</v>
      </c>
      <c r="F180" s="687" t="s">
        <v>18</v>
      </c>
      <c r="G180" s="687" t="s">
        <v>18</v>
      </c>
      <c r="H180" s="687" t="s">
        <v>18</v>
      </c>
      <c r="I180" s="687" t="s">
        <v>18</v>
      </c>
      <c r="J180" s="687" t="s">
        <v>18</v>
      </c>
      <c r="K180" s="687" t="s">
        <v>18</v>
      </c>
      <c r="L180" s="687" t="s">
        <v>18</v>
      </c>
      <c r="M180" s="687" t="s">
        <v>18</v>
      </c>
      <c r="N180" s="693" t="s">
        <v>18</v>
      </c>
    </row>
    <row r="181" hidden="1" spans="1:14">
      <c r="A181" s="684">
        <f t="shared" si="3"/>
        <v>44477</v>
      </c>
      <c r="B181" s="685">
        <v>29.89</v>
      </c>
      <c r="C181" s="691">
        <v>802</v>
      </c>
      <c r="D181" s="686">
        <v>13</v>
      </c>
      <c r="E181" s="686">
        <v>0</v>
      </c>
      <c r="F181" s="687">
        <v>0</v>
      </c>
      <c r="G181" s="686">
        <v>0</v>
      </c>
      <c r="H181" s="686">
        <v>0</v>
      </c>
      <c r="I181" s="686">
        <v>0</v>
      </c>
      <c r="J181" s="688">
        <v>0.0162</v>
      </c>
      <c r="K181" s="689">
        <v>2.3</v>
      </c>
      <c r="L181" s="692">
        <v>24.34</v>
      </c>
      <c r="M181" s="686">
        <v>0</v>
      </c>
      <c r="N181" s="527">
        <v>0</v>
      </c>
    </row>
    <row r="182" hidden="1" spans="1:14">
      <c r="A182" s="684">
        <f t="shared" si="3"/>
        <v>44478</v>
      </c>
      <c r="B182" s="685">
        <v>95.46</v>
      </c>
      <c r="C182" s="691">
        <v>2513</v>
      </c>
      <c r="D182" s="686">
        <v>46</v>
      </c>
      <c r="E182" s="686">
        <v>1</v>
      </c>
      <c r="F182" s="687">
        <v>99</v>
      </c>
      <c r="G182" s="686">
        <v>3</v>
      </c>
      <c r="H182" s="686">
        <v>0</v>
      </c>
      <c r="I182" s="686">
        <v>0</v>
      </c>
      <c r="J182" s="688">
        <v>0.0183</v>
      </c>
      <c r="K182" s="689">
        <v>2.08</v>
      </c>
      <c r="L182" s="692">
        <v>23.54</v>
      </c>
      <c r="M182" s="686">
        <v>1.04</v>
      </c>
      <c r="N182" s="527">
        <v>0.0217</v>
      </c>
    </row>
    <row r="183" hidden="1" spans="1:14">
      <c r="A183" s="684">
        <f t="shared" si="3"/>
        <v>44479</v>
      </c>
      <c r="B183" s="685">
        <v>292.53</v>
      </c>
      <c r="C183" s="691">
        <v>21284</v>
      </c>
      <c r="D183" s="686">
        <v>124</v>
      </c>
      <c r="E183" s="686">
        <v>0</v>
      </c>
      <c r="F183" s="687">
        <v>0</v>
      </c>
      <c r="G183" s="686">
        <v>0</v>
      </c>
      <c r="H183" s="686">
        <v>1</v>
      </c>
      <c r="I183" s="686">
        <v>0</v>
      </c>
      <c r="J183" s="688">
        <v>0.0058</v>
      </c>
      <c r="K183" s="689">
        <v>2.36</v>
      </c>
      <c r="L183" s="692">
        <v>56.54</v>
      </c>
      <c r="M183" s="686">
        <v>0</v>
      </c>
      <c r="N183" s="527">
        <v>0</v>
      </c>
    </row>
    <row r="184" hidden="1" spans="1:14">
      <c r="A184" s="684">
        <f t="shared" si="3"/>
        <v>44480</v>
      </c>
      <c r="B184" s="685">
        <v>240.57</v>
      </c>
      <c r="C184" s="691">
        <v>7377</v>
      </c>
      <c r="D184" s="686">
        <v>109</v>
      </c>
      <c r="E184" s="686">
        <v>0</v>
      </c>
      <c r="F184" s="687">
        <v>0</v>
      </c>
      <c r="G184" s="686">
        <v>0</v>
      </c>
      <c r="H184" s="686">
        <v>0</v>
      </c>
      <c r="I184" s="686">
        <v>1</v>
      </c>
      <c r="J184" s="688">
        <v>0.0148</v>
      </c>
      <c r="K184" s="689">
        <v>2.21</v>
      </c>
      <c r="L184" s="692">
        <v>15.33</v>
      </c>
      <c r="M184" s="686">
        <v>0</v>
      </c>
      <c r="N184" s="527">
        <v>0</v>
      </c>
    </row>
    <row r="185" hidden="1" spans="1:14">
      <c r="A185" s="684">
        <f t="shared" si="3"/>
        <v>44481</v>
      </c>
      <c r="B185" s="685" t="s">
        <v>18</v>
      </c>
      <c r="C185" s="691"/>
      <c r="D185" s="686"/>
      <c r="E185" s="686"/>
      <c r="F185" s="687"/>
      <c r="G185" s="686"/>
      <c r="H185" s="686"/>
      <c r="I185" s="686"/>
      <c r="J185" s="688"/>
      <c r="K185" s="689"/>
      <c r="L185" s="692"/>
      <c r="M185" s="686"/>
      <c r="N185" s="527"/>
    </row>
    <row r="186" hidden="1" spans="1:14">
      <c r="A186" s="684">
        <f t="shared" si="3"/>
        <v>44482</v>
      </c>
      <c r="B186" s="685">
        <v>300</v>
      </c>
      <c r="C186" s="691">
        <v>38683</v>
      </c>
      <c r="D186" s="686">
        <v>145</v>
      </c>
      <c r="E186" s="686">
        <v>0</v>
      </c>
      <c r="F186" s="687">
        <v>0</v>
      </c>
      <c r="G186" s="686">
        <v>0</v>
      </c>
      <c r="H186" s="686">
        <v>1</v>
      </c>
      <c r="I186" s="686">
        <v>0</v>
      </c>
      <c r="J186" s="688">
        <v>0.0037</v>
      </c>
      <c r="K186" s="689">
        <v>2.07</v>
      </c>
      <c r="L186" s="692">
        <v>24.03</v>
      </c>
      <c r="M186" s="686">
        <v>0</v>
      </c>
      <c r="N186" s="527">
        <v>0</v>
      </c>
    </row>
    <row r="187" hidden="1" spans="1:14">
      <c r="A187" s="684">
        <f t="shared" si="3"/>
        <v>44483</v>
      </c>
      <c r="B187" s="685">
        <v>233.71</v>
      </c>
      <c r="C187" s="691">
        <v>7436</v>
      </c>
      <c r="D187" s="686">
        <v>99</v>
      </c>
      <c r="E187" s="686">
        <v>0</v>
      </c>
      <c r="F187" s="687">
        <v>0</v>
      </c>
      <c r="G187" s="686">
        <v>0</v>
      </c>
      <c r="H187" s="686">
        <v>2</v>
      </c>
      <c r="I187" s="686">
        <v>1</v>
      </c>
      <c r="J187" s="688">
        <v>0.0133</v>
      </c>
      <c r="K187" s="689">
        <v>2.36</v>
      </c>
      <c r="L187" s="692">
        <v>29.36</v>
      </c>
      <c r="M187" s="686">
        <v>0</v>
      </c>
      <c r="N187" s="527">
        <v>0</v>
      </c>
    </row>
    <row r="188" hidden="1" spans="1:14">
      <c r="A188" s="684">
        <f t="shared" si="3"/>
        <v>44484</v>
      </c>
      <c r="B188" s="685">
        <v>255.51</v>
      </c>
      <c r="C188" s="691">
        <v>4816</v>
      </c>
      <c r="D188" s="686">
        <v>111</v>
      </c>
      <c r="E188" s="686">
        <v>0</v>
      </c>
      <c r="F188" s="687">
        <v>0</v>
      </c>
      <c r="G188" s="686">
        <v>4</v>
      </c>
      <c r="H188" s="686">
        <v>2</v>
      </c>
      <c r="I188" s="686">
        <v>0</v>
      </c>
      <c r="J188" s="688">
        <v>0.023</v>
      </c>
      <c r="K188" s="689">
        <v>3.3</v>
      </c>
      <c r="L188" s="692">
        <v>18.49</v>
      </c>
      <c r="M188" s="686">
        <v>0</v>
      </c>
      <c r="N188" s="527">
        <v>0</v>
      </c>
    </row>
    <row r="189" hidden="1" spans="1:14">
      <c r="A189" s="684">
        <f t="shared" si="3"/>
        <v>44485</v>
      </c>
      <c r="B189" s="685" t="s">
        <v>18</v>
      </c>
      <c r="C189" s="691"/>
      <c r="D189" s="686"/>
      <c r="E189" s="686"/>
      <c r="F189" s="687"/>
      <c r="G189" s="686"/>
      <c r="H189" s="686"/>
      <c r="I189" s="686"/>
      <c r="J189" s="688"/>
      <c r="K189" s="689"/>
      <c r="L189" s="692"/>
      <c r="M189" s="686"/>
      <c r="N189" s="527"/>
    </row>
    <row r="190" hidden="1" spans="1:14">
      <c r="A190" s="684">
        <f t="shared" si="3"/>
        <v>44486</v>
      </c>
      <c r="B190" s="685">
        <v>239.95</v>
      </c>
      <c r="C190" s="691">
        <v>4471</v>
      </c>
      <c r="D190" s="686">
        <v>106</v>
      </c>
      <c r="E190" s="686">
        <v>0</v>
      </c>
      <c r="F190" s="687">
        <v>0</v>
      </c>
      <c r="G190" s="686">
        <v>1</v>
      </c>
      <c r="H190" s="686">
        <v>4</v>
      </c>
      <c r="I190" s="686">
        <v>0</v>
      </c>
      <c r="J190" s="688">
        <v>0.0237</v>
      </c>
      <c r="K190" s="689">
        <v>2.26</v>
      </c>
      <c r="L190" s="692">
        <v>12.42</v>
      </c>
      <c r="M190" s="686">
        <v>0</v>
      </c>
      <c r="N190" s="527">
        <v>0</v>
      </c>
    </row>
    <row r="191" hidden="1" spans="1:14">
      <c r="A191" s="684">
        <f t="shared" si="3"/>
        <v>44487</v>
      </c>
      <c r="B191" s="685">
        <v>229.07</v>
      </c>
      <c r="C191" s="691">
        <v>3321</v>
      </c>
      <c r="D191" s="686">
        <v>94</v>
      </c>
      <c r="E191" s="686">
        <v>0</v>
      </c>
      <c r="F191" s="687">
        <v>0</v>
      </c>
      <c r="G191" s="686">
        <v>0</v>
      </c>
      <c r="H191" s="686">
        <v>5</v>
      </c>
      <c r="I191" s="686">
        <v>0</v>
      </c>
      <c r="J191" s="688">
        <v>0.0283</v>
      </c>
      <c r="K191" s="689">
        <v>2.44</v>
      </c>
      <c r="L191" s="692">
        <v>10.99</v>
      </c>
      <c r="M191" s="686">
        <v>0</v>
      </c>
      <c r="N191" s="527">
        <v>0</v>
      </c>
    </row>
    <row r="192" hidden="1" spans="1:14">
      <c r="A192" s="684">
        <f t="shared" si="3"/>
        <v>44488</v>
      </c>
      <c r="B192" s="685" t="s">
        <v>18</v>
      </c>
      <c r="C192" s="691"/>
      <c r="D192" s="686"/>
      <c r="E192" s="686"/>
      <c r="F192" s="687"/>
      <c r="G192" s="686"/>
      <c r="H192" s="686"/>
      <c r="I192" s="686"/>
      <c r="J192" s="688"/>
      <c r="K192" s="689"/>
      <c r="L192" s="692"/>
      <c r="M192" s="686"/>
      <c r="N192" s="527"/>
    </row>
    <row r="193" hidden="1" spans="1:14">
      <c r="A193" s="684">
        <f t="shared" si="3"/>
        <v>44489</v>
      </c>
      <c r="B193" s="685">
        <v>16.43</v>
      </c>
      <c r="C193" s="691">
        <v>293</v>
      </c>
      <c r="D193" s="686">
        <v>10</v>
      </c>
      <c r="E193" s="686">
        <v>0</v>
      </c>
      <c r="F193" s="687">
        <v>0</v>
      </c>
      <c r="G193" s="686">
        <v>0</v>
      </c>
      <c r="H193" s="686">
        <v>0</v>
      </c>
      <c r="I193" s="686">
        <v>0</v>
      </c>
      <c r="J193" s="688">
        <v>0.0341</v>
      </c>
      <c r="K193" s="689">
        <v>1.64</v>
      </c>
      <c r="L193" s="692">
        <v>11.31</v>
      </c>
      <c r="M193" s="686">
        <v>0</v>
      </c>
      <c r="N193" s="527">
        <v>0</v>
      </c>
    </row>
    <row r="194" hidden="1" spans="1:14">
      <c r="A194" s="684">
        <f t="shared" si="3"/>
        <v>44490</v>
      </c>
      <c r="B194" s="685">
        <v>83.37</v>
      </c>
      <c r="C194" s="691">
        <v>2293</v>
      </c>
      <c r="D194" s="686">
        <v>63</v>
      </c>
      <c r="E194" s="686">
        <v>0</v>
      </c>
      <c r="F194" s="687">
        <v>0</v>
      </c>
      <c r="G194" s="686">
        <v>0</v>
      </c>
      <c r="H194" s="686">
        <v>4</v>
      </c>
      <c r="I194" s="686">
        <v>0</v>
      </c>
      <c r="J194" s="688">
        <v>0.0275</v>
      </c>
      <c r="K194" s="689">
        <v>1.32</v>
      </c>
      <c r="L194" s="692">
        <v>11.69</v>
      </c>
      <c r="M194" s="686">
        <v>0</v>
      </c>
      <c r="N194" s="527">
        <v>0</v>
      </c>
    </row>
    <row r="195" hidden="1" spans="1:14">
      <c r="A195" s="684">
        <f t="shared" ref="A195:A258" si="4">A194+1</f>
        <v>44491</v>
      </c>
      <c r="B195" s="685">
        <v>1395.88</v>
      </c>
      <c r="C195" s="691">
        <v>15924</v>
      </c>
      <c r="D195" s="686">
        <v>192</v>
      </c>
      <c r="E195" s="686">
        <v>0</v>
      </c>
      <c r="F195" s="687">
        <v>0</v>
      </c>
      <c r="G195" s="686">
        <v>0</v>
      </c>
      <c r="H195" s="686">
        <v>3</v>
      </c>
      <c r="I195" s="686">
        <v>0</v>
      </c>
      <c r="J195" s="688">
        <v>0.0121</v>
      </c>
      <c r="K195" s="689">
        <v>7.27</v>
      </c>
      <c r="L195" s="692">
        <v>59.81</v>
      </c>
      <c r="M195" s="686">
        <v>0</v>
      </c>
      <c r="N195" s="527">
        <v>0</v>
      </c>
    </row>
    <row r="196" hidden="1" spans="1:14">
      <c r="A196" s="684">
        <f t="shared" si="4"/>
        <v>44492</v>
      </c>
      <c r="B196" s="685">
        <v>1000</v>
      </c>
      <c r="C196" s="691">
        <v>3719</v>
      </c>
      <c r="D196" s="686">
        <v>52</v>
      </c>
      <c r="E196" s="686">
        <v>0</v>
      </c>
      <c r="F196" s="687">
        <v>0</v>
      </c>
      <c r="G196" s="686">
        <v>0</v>
      </c>
      <c r="H196" s="686">
        <v>1</v>
      </c>
      <c r="I196" s="686">
        <v>0</v>
      </c>
      <c r="J196" s="688">
        <v>0.014</v>
      </c>
      <c r="K196" s="689">
        <v>19.23</v>
      </c>
      <c r="L196" s="692">
        <v>165.69</v>
      </c>
      <c r="M196" s="686">
        <v>0</v>
      </c>
      <c r="N196" s="527">
        <v>0</v>
      </c>
    </row>
    <row r="197" hidden="1" spans="1:14">
      <c r="A197" s="684">
        <f t="shared" si="4"/>
        <v>44493</v>
      </c>
      <c r="B197" s="685">
        <v>1000</v>
      </c>
      <c r="C197" s="691">
        <v>11348</v>
      </c>
      <c r="D197" s="686">
        <v>123</v>
      </c>
      <c r="E197" s="686">
        <v>0</v>
      </c>
      <c r="F197" s="687">
        <v>0</v>
      </c>
      <c r="G197" s="686">
        <v>0</v>
      </c>
      <c r="H197" s="686">
        <v>3</v>
      </c>
      <c r="I197" s="686">
        <v>0</v>
      </c>
      <c r="J197" s="688">
        <v>0.0108</v>
      </c>
      <c r="K197" s="689">
        <v>8.13</v>
      </c>
      <c r="L197" s="692">
        <v>88.5</v>
      </c>
      <c r="M197" s="686">
        <v>0</v>
      </c>
      <c r="N197" s="527">
        <v>0</v>
      </c>
    </row>
    <row r="198" hidden="1" spans="1:14">
      <c r="A198" s="684">
        <f t="shared" si="4"/>
        <v>44494</v>
      </c>
      <c r="B198" s="685">
        <v>795.6</v>
      </c>
      <c r="C198" s="691">
        <v>12005</v>
      </c>
      <c r="D198" s="686">
        <v>152</v>
      </c>
      <c r="E198" s="686">
        <v>0</v>
      </c>
      <c r="F198" s="687">
        <v>0</v>
      </c>
      <c r="G198" s="686">
        <v>0</v>
      </c>
      <c r="H198" s="686">
        <v>2</v>
      </c>
      <c r="I198" s="686">
        <v>0</v>
      </c>
      <c r="J198" s="688">
        <v>0.0127</v>
      </c>
      <c r="K198" s="689">
        <v>5.23</v>
      </c>
      <c r="L198" s="692">
        <v>60.3</v>
      </c>
      <c r="M198" s="686">
        <v>0</v>
      </c>
      <c r="N198" s="527">
        <v>0</v>
      </c>
    </row>
    <row r="199" hidden="1" spans="1:14">
      <c r="A199" s="684">
        <f t="shared" si="4"/>
        <v>44495</v>
      </c>
      <c r="B199" s="685">
        <v>733.25</v>
      </c>
      <c r="C199" s="691">
        <v>12027</v>
      </c>
      <c r="D199" s="686">
        <v>329</v>
      </c>
      <c r="E199" s="686">
        <v>1</v>
      </c>
      <c r="F199" s="687">
        <v>11</v>
      </c>
      <c r="G199" s="686">
        <v>0</v>
      </c>
      <c r="H199" s="686">
        <v>8</v>
      </c>
      <c r="I199" s="686">
        <v>0</v>
      </c>
      <c r="J199" s="688">
        <v>0.0274</v>
      </c>
      <c r="K199" s="689">
        <v>2.23</v>
      </c>
      <c r="L199" s="692">
        <v>11.76</v>
      </c>
      <c r="M199" s="686">
        <v>0.02</v>
      </c>
      <c r="N199" s="527">
        <v>0.003</v>
      </c>
    </row>
    <row r="200" hidden="1" spans="1:14">
      <c r="A200" s="684">
        <f t="shared" si="4"/>
        <v>44496</v>
      </c>
      <c r="B200" s="685">
        <v>897.1</v>
      </c>
      <c r="C200" s="691">
        <v>12892</v>
      </c>
      <c r="D200" s="686">
        <v>398</v>
      </c>
      <c r="E200" s="686">
        <v>0</v>
      </c>
      <c r="F200" s="687">
        <v>0</v>
      </c>
      <c r="G200" s="686">
        <v>1</v>
      </c>
      <c r="H200" s="686">
        <v>8</v>
      </c>
      <c r="I200" s="686">
        <v>0</v>
      </c>
      <c r="J200" s="688">
        <v>0.0309</v>
      </c>
      <c r="K200" s="689">
        <v>2.25</v>
      </c>
      <c r="L200" s="692">
        <v>14.15</v>
      </c>
      <c r="M200" s="686">
        <v>0</v>
      </c>
      <c r="N200" s="527">
        <v>0</v>
      </c>
    </row>
    <row r="201" hidden="1" spans="1:14">
      <c r="A201" s="684">
        <f t="shared" si="4"/>
        <v>44497</v>
      </c>
      <c r="B201" s="685">
        <v>818.57</v>
      </c>
      <c r="C201" s="691">
        <v>12735</v>
      </c>
      <c r="D201" s="686">
        <v>349</v>
      </c>
      <c r="E201" s="686">
        <v>1</v>
      </c>
      <c r="F201" s="687">
        <v>11</v>
      </c>
      <c r="G201" s="686">
        <v>1</v>
      </c>
      <c r="H201" s="686">
        <v>9</v>
      </c>
      <c r="I201" s="686">
        <v>2</v>
      </c>
      <c r="J201" s="688">
        <v>0.0274</v>
      </c>
      <c r="K201" s="689">
        <v>2.35</v>
      </c>
      <c r="L201" s="692">
        <v>13.56</v>
      </c>
      <c r="M201" s="686">
        <v>0.01</v>
      </c>
      <c r="N201" s="527">
        <v>0.0029</v>
      </c>
    </row>
    <row r="202" hidden="1" spans="1:14">
      <c r="A202" s="684">
        <f t="shared" si="4"/>
        <v>44498</v>
      </c>
      <c r="B202" s="685">
        <v>922.78</v>
      </c>
      <c r="C202" s="691">
        <v>14805</v>
      </c>
      <c r="D202" s="686">
        <v>421</v>
      </c>
      <c r="E202" s="686">
        <v>0</v>
      </c>
      <c r="F202" s="687">
        <v>0</v>
      </c>
      <c r="G202" s="686">
        <v>1</v>
      </c>
      <c r="H202" s="686">
        <v>11</v>
      </c>
      <c r="I202" s="686">
        <v>0</v>
      </c>
      <c r="J202" s="688">
        <v>0.0284</v>
      </c>
      <c r="K202" s="689">
        <v>2.19</v>
      </c>
      <c r="L202" s="692">
        <v>12.55</v>
      </c>
      <c r="M202" s="686">
        <v>0</v>
      </c>
      <c r="N202" s="527">
        <v>0</v>
      </c>
    </row>
    <row r="203" hidden="1" spans="1:14">
      <c r="A203" s="684">
        <f t="shared" si="4"/>
        <v>44499</v>
      </c>
      <c r="B203" s="685">
        <v>864.68</v>
      </c>
      <c r="C203" s="691">
        <v>16941</v>
      </c>
      <c r="D203" s="686">
        <v>477</v>
      </c>
      <c r="E203" s="686">
        <v>2</v>
      </c>
      <c r="F203" s="687">
        <v>8199.45</v>
      </c>
      <c r="G203" s="686">
        <v>4</v>
      </c>
      <c r="H203" s="686">
        <v>13</v>
      </c>
      <c r="I203" s="686">
        <v>2</v>
      </c>
      <c r="J203" s="688">
        <v>0.0282</v>
      </c>
      <c r="K203" s="689">
        <v>1.81</v>
      </c>
      <c r="L203" s="692">
        <v>10.09</v>
      </c>
      <c r="M203" s="686">
        <v>9.48</v>
      </c>
      <c r="N203" s="527">
        <v>0.0042</v>
      </c>
    </row>
    <row r="204" hidden="1" spans="1:14">
      <c r="A204" s="684">
        <f t="shared" si="4"/>
        <v>44500</v>
      </c>
      <c r="B204" s="685">
        <v>750.42</v>
      </c>
      <c r="C204" s="691">
        <v>9987</v>
      </c>
      <c r="D204" s="686">
        <v>362</v>
      </c>
      <c r="E204" s="686">
        <v>2</v>
      </c>
      <c r="F204" s="687">
        <v>972</v>
      </c>
      <c r="G204" s="686">
        <v>6</v>
      </c>
      <c r="H204" s="686">
        <v>4</v>
      </c>
      <c r="I204" s="686">
        <v>1</v>
      </c>
      <c r="J204" s="688">
        <v>0.0362</v>
      </c>
      <c r="K204" s="689">
        <v>2.07</v>
      </c>
      <c r="L204" s="692">
        <v>11.1</v>
      </c>
      <c r="M204" s="686">
        <v>1.3</v>
      </c>
      <c r="N204" s="527">
        <v>0.0055</v>
      </c>
    </row>
    <row r="205" hidden="1" spans="1:14">
      <c r="A205" s="684">
        <f t="shared" si="4"/>
        <v>44501</v>
      </c>
      <c r="B205" s="685">
        <v>1112.89</v>
      </c>
      <c r="C205" s="691">
        <v>14183</v>
      </c>
      <c r="D205" s="686">
        <v>414</v>
      </c>
      <c r="E205" s="686">
        <v>2</v>
      </c>
      <c r="F205" s="687">
        <v>1042</v>
      </c>
      <c r="G205" s="686">
        <v>3</v>
      </c>
      <c r="H205" s="686">
        <v>4</v>
      </c>
      <c r="I205" s="686">
        <v>2</v>
      </c>
      <c r="J205" s="688">
        <v>0.0292</v>
      </c>
      <c r="K205" s="689">
        <v>2.69</v>
      </c>
      <c r="L205" s="692">
        <v>18.98</v>
      </c>
      <c r="M205" s="686">
        <v>0.94</v>
      </c>
      <c r="N205" s="527">
        <v>0.0048</v>
      </c>
    </row>
    <row r="206" hidden="1" spans="1:14">
      <c r="A206" s="684">
        <f t="shared" si="4"/>
        <v>44502</v>
      </c>
      <c r="B206" s="685">
        <v>917.75</v>
      </c>
      <c r="C206" s="691">
        <v>10263</v>
      </c>
      <c r="D206" s="686">
        <v>459</v>
      </c>
      <c r="E206" s="686">
        <v>0</v>
      </c>
      <c r="F206" s="687">
        <v>0</v>
      </c>
      <c r="G206" s="686">
        <v>7</v>
      </c>
      <c r="H206" s="686">
        <v>10</v>
      </c>
      <c r="I206" s="686">
        <v>1</v>
      </c>
      <c r="J206" s="688">
        <v>0.0447</v>
      </c>
      <c r="K206" s="689">
        <v>2</v>
      </c>
      <c r="L206" s="692">
        <v>17.49</v>
      </c>
      <c r="M206" s="686">
        <v>0</v>
      </c>
      <c r="N206" s="527">
        <v>0</v>
      </c>
    </row>
    <row r="207" hidden="1" spans="1:14">
      <c r="A207" s="684">
        <f t="shared" si="4"/>
        <v>44503</v>
      </c>
      <c r="B207" s="685">
        <v>895.29</v>
      </c>
      <c r="C207" s="691">
        <v>11806</v>
      </c>
      <c r="D207" s="686">
        <v>464</v>
      </c>
      <c r="E207" s="686">
        <v>0</v>
      </c>
      <c r="F207" s="687">
        <v>0</v>
      </c>
      <c r="G207" s="686">
        <v>0</v>
      </c>
      <c r="H207" s="686">
        <v>4</v>
      </c>
      <c r="I207" s="686">
        <v>0</v>
      </c>
      <c r="J207" s="688">
        <v>0.0393</v>
      </c>
      <c r="K207" s="689">
        <v>1.93</v>
      </c>
      <c r="L207" s="692">
        <v>16.26</v>
      </c>
      <c r="M207" s="686">
        <v>0</v>
      </c>
      <c r="N207" s="527">
        <v>0</v>
      </c>
    </row>
    <row r="208" hidden="1" spans="1:14">
      <c r="A208" s="684">
        <f t="shared" si="4"/>
        <v>44504</v>
      </c>
      <c r="B208" s="685">
        <v>833.51</v>
      </c>
      <c r="C208" s="691">
        <v>14723</v>
      </c>
      <c r="D208" s="686">
        <v>494</v>
      </c>
      <c r="E208" s="686">
        <v>0</v>
      </c>
      <c r="F208" s="687">
        <v>0</v>
      </c>
      <c r="G208" s="686">
        <v>3</v>
      </c>
      <c r="H208" s="686">
        <v>10</v>
      </c>
      <c r="I208" s="686">
        <v>1</v>
      </c>
      <c r="J208" s="688">
        <v>0.0336</v>
      </c>
      <c r="K208" s="689">
        <v>1.69</v>
      </c>
      <c r="L208" s="692">
        <v>11.33</v>
      </c>
      <c r="M208" s="686">
        <v>0</v>
      </c>
      <c r="N208" s="527">
        <v>0</v>
      </c>
    </row>
    <row r="209" hidden="1" spans="1:14">
      <c r="A209" s="684">
        <f t="shared" si="4"/>
        <v>44505</v>
      </c>
      <c r="B209" s="685">
        <v>884.93</v>
      </c>
      <c r="C209" s="691">
        <v>22377</v>
      </c>
      <c r="D209" s="686">
        <v>600</v>
      </c>
      <c r="E209" s="686">
        <v>0</v>
      </c>
      <c r="F209" s="687">
        <v>0</v>
      </c>
      <c r="G209" s="686">
        <v>5</v>
      </c>
      <c r="H209" s="686">
        <v>7</v>
      </c>
      <c r="I209" s="686">
        <v>1</v>
      </c>
      <c r="J209" s="688">
        <v>0.0268</v>
      </c>
      <c r="K209" s="689">
        <v>1.47</v>
      </c>
      <c r="L209" s="692">
        <v>13.35</v>
      </c>
      <c r="M209" s="686">
        <v>0</v>
      </c>
      <c r="N209" s="527">
        <v>0</v>
      </c>
    </row>
    <row r="210" hidden="1" spans="1:14">
      <c r="A210" s="684">
        <f t="shared" si="4"/>
        <v>44506</v>
      </c>
      <c r="B210" s="685">
        <v>897.77</v>
      </c>
      <c r="C210" s="691">
        <v>22739</v>
      </c>
      <c r="D210" s="686">
        <v>553</v>
      </c>
      <c r="E210" s="686">
        <v>0</v>
      </c>
      <c r="F210" s="687">
        <v>0</v>
      </c>
      <c r="G210" s="686">
        <v>1</v>
      </c>
      <c r="H210" s="686">
        <v>6</v>
      </c>
      <c r="I210" s="686">
        <v>1</v>
      </c>
      <c r="J210" s="688">
        <v>0.0243</v>
      </c>
      <c r="K210" s="689">
        <v>1.62</v>
      </c>
      <c r="L210" s="692">
        <v>13.96</v>
      </c>
      <c r="M210" s="686">
        <v>0</v>
      </c>
      <c r="N210" s="527">
        <v>0</v>
      </c>
    </row>
    <row r="211" hidden="1" spans="1:14">
      <c r="A211" s="684">
        <f t="shared" si="4"/>
        <v>44507</v>
      </c>
      <c r="B211" s="685">
        <v>894.46</v>
      </c>
      <c r="C211" s="691">
        <v>16188</v>
      </c>
      <c r="D211" s="686">
        <v>534</v>
      </c>
      <c r="E211" s="686">
        <v>0</v>
      </c>
      <c r="F211" s="687">
        <v>0</v>
      </c>
      <c r="G211" s="686">
        <v>2</v>
      </c>
      <c r="H211" s="686">
        <v>9</v>
      </c>
      <c r="I211" s="686">
        <v>0</v>
      </c>
      <c r="J211" s="688">
        <v>0.033</v>
      </c>
      <c r="K211" s="689">
        <v>1.68</v>
      </c>
      <c r="L211" s="692">
        <v>13.98</v>
      </c>
      <c r="M211" s="686">
        <v>0</v>
      </c>
      <c r="N211" s="527">
        <v>0</v>
      </c>
    </row>
    <row r="212" hidden="1" spans="1:14">
      <c r="A212" s="684">
        <f t="shared" si="4"/>
        <v>44508</v>
      </c>
      <c r="B212" s="685">
        <v>829.52</v>
      </c>
      <c r="C212" s="691">
        <v>10780</v>
      </c>
      <c r="D212" s="686">
        <v>388</v>
      </c>
      <c r="E212" s="686">
        <v>0</v>
      </c>
      <c r="F212" s="687">
        <v>0</v>
      </c>
      <c r="G212" s="686">
        <v>1</v>
      </c>
      <c r="H212" s="686">
        <v>4</v>
      </c>
      <c r="I212" s="686">
        <v>0</v>
      </c>
      <c r="J212" s="688">
        <v>0.036</v>
      </c>
      <c r="K212" s="689">
        <v>2.14</v>
      </c>
      <c r="L212" s="692">
        <v>17.07</v>
      </c>
      <c r="M212" s="686">
        <v>0</v>
      </c>
      <c r="N212" s="527">
        <v>0</v>
      </c>
    </row>
    <row r="213" hidden="1" spans="1:14">
      <c r="A213" s="684">
        <f t="shared" si="4"/>
        <v>44509</v>
      </c>
      <c r="B213" s="685">
        <v>1113.33</v>
      </c>
      <c r="C213" s="691">
        <v>14130</v>
      </c>
      <c r="D213" s="686">
        <v>517</v>
      </c>
      <c r="E213" s="686">
        <v>1</v>
      </c>
      <c r="F213" s="687">
        <v>961</v>
      </c>
      <c r="G213" s="686">
        <v>2</v>
      </c>
      <c r="H213" s="686">
        <v>8</v>
      </c>
      <c r="I213" s="686">
        <v>2</v>
      </c>
      <c r="J213" s="688">
        <v>0.0366</v>
      </c>
      <c r="K213" s="689">
        <v>2.15</v>
      </c>
      <c r="L213" s="692">
        <v>13.72</v>
      </c>
      <c r="M213" s="686">
        <v>0.86</v>
      </c>
      <c r="N213" s="527">
        <v>0.0017</v>
      </c>
    </row>
    <row r="214" hidden="1" spans="1:14">
      <c r="A214" s="684">
        <f t="shared" si="4"/>
        <v>44510</v>
      </c>
      <c r="B214" s="685">
        <v>1425.99</v>
      </c>
      <c r="C214" s="691">
        <v>15960</v>
      </c>
      <c r="D214" s="686">
        <v>626</v>
      </c>
      <c r="E214" s="686">
        <v>1</v>
      </c>
      <c r="F214" s="687">
        <v>2834.64</v>
      </c>
      <c r="G214" s="686">
        <v>3</v>
      </c>
      <c r="H214" s="686">
        <v>11</v>
      </c>
      <c r="I214" s="686">
        <v>1</v>
      </c>
      <c r="J214" s="688">
        <v>0.0392</v>
      </c>
      <c r="K214" s="689">
        <v>2.28</v>
      </c>
      <c r="L214" s="692">
        <v>13.35</v>
      </c>
      <c r="M214" s="686">
        <v>1.99</v>
      </c>
      <c r="N214" s="527">
        <v>0.0016</v>
      </c>
    </row>
    <row r="215" hidden="1" spans="1:14">
      <c r="A215" s="684">
        <f t="shared" si="4"/>
        <v>44511</v>
      </c>
      <c r="B215" s="685">
        <v>1416.45</v>
      </c>
      <c r="C215" s="691">
        <v>13472</v>
      </c>
      <c r="D215" s="686">
        <v>676</v>
      </c>
      <c r="E215" s="686">
        <v>1</v>
      </c>
      <c r="F215" s="687">
        <v>192</v>
      </c>
      <c r="G215" s="686">
        <v>3</v>
      </c>
      <c r="H215" s="686">
        <v>4</v>
      </c>
      <c r="I215" s="686">
        <v>1</v>
      </c>
      <c r="J215" s="688">
        <v>0.0502</v>
      </c>
      <c r="K215" s="689">
        <v>2.1</v>
      </c>
      <c r="L215" s="692">
        <v>13.88</v>
      </c>
      <c r="M215" s="686">
        <v>0.14</v>
      </c>
      <c r="N215" s="527">
        <v>0.0015</v>
      </c>
    </row>
    <row r="216" hidden="1" spans="1:14">
      <c r="A216" s="684">
        <f t="shared" si="4"/>
        <v>44512</v>
      </c>
      <c r="B216" s="685">
        <v>810.63</v>
      </c>
      <c r="C216" s="691">
        <v>15571</v>
      </c>
      <c r="D216" s="686">
        <v>635</v>
      </c>
      <c r="E216" s="686">
        <v>1</v>
      </c>
      <c r="F216" s="687">
        <v>1111</v>
      </c>
      <c r="G216" s="686">
        <v>3</v>
      </c>
      <c r="H216" s="686">
        <v>6</v>
      </c>
      <c r="I216" s="686">
        <v>2</v>
      </c>
      <c r="J216" s="688">
        <v>0.0408</v>
      </c>
      <c r="K216" s="689">
        <v>1.28</v>
      </c>
      <c r="L216" s="692">
        <v>8.69</v>
      </c>
      <c r="M216" s="686">
        <v>1.37</v>
      </c>
      <c r="N216" s="527">
        <v>0.0016</v>
      </c>
    </row>
    <row r="217" hidden="1" spans="1:14">
      <c r="A217" s="684">
        <f t="shared" si="4"/>
        <v>44513</v>
      </c>
      <c r="B217" s="685">
        <v>547.43</v>
      </c>
      <c r="C217" s="691">
        <v>25088</v>
      </c>
      <c r="D217" s="686">
        <v>721</v>
      </c>
      <c r="E217" s="686">
        <v>0</v>
      </c>
      <c r="F217" s="687">
        <v>0</v>
      </c>
      <c r="G217" s="686">
        <v>1</v>
      </c>
      <c r="H217" s="686">
        <v>9</v>
      </c>
      <c r="I217" s="686">
        <v>0</v>
      </c>
      <c r="J217" s="688">
        <v>0.0287</v>
      </c>
      <c r="K217" s="689">
        <v>0.76</v>
      </c>
      <c r="L217" s="692">
        <v>5.12</v>
      </c>
      <c r="M217" s="686">
        <v>0</v>
      </c>
      <c r="N217" s="527">
        <v>0</v>
      </c>
    </row>
    <row r="218" hidden="1" spans="1:14">
      <c r="A218" s="684">
        <f t="shared" si="4"/>
        <v>44514</v>
      </c>
      <c r="B218" s="685">
        <v>538.42</v>
      </c>
      <c r="C218" s="691">
        <v>24966</v>
      </c>
      <c r="D218" s="686">
        <v>783</v>
      </c>
      <c r="E218" s="686">
        <v>0</v>
      </c>
      <c r="F218" s="687">
        <v>0</v>
      </c>
      <c r="G218" s="686">
        <v>1</v>
      </c>
      <c r="H218" s="686">
        <v>6</v>
      </c>
      <c r="I218" s="686">
        <v>2</v>
      </c>
      <c r="J218" s="688">
        <v>0.0314</v>
      </c>
      <c r="K218" s="689">
        <v>0.69</v>
      </c>
      <c r="L218" s="692">
        <v>4.72</v>
      </c>
      <c r="M218" s="686">
        <v>0</v>
      </c>
      <c r="N218" s="527">
        <v>0</v>
      </c>
    </row>
    <row r="219" hidden="1" spans="1:14">
      <c r="A219" s="684">
        <f t="shared" si="4"/>
        <v>44515</v>
      </c>
      <c r="B219" s="685">
        <v>271.84</v>
      </c>
      <c r="C219" s="691">
        <v>24588</v>
      </c>
      <c r="D219" s="686">
        <v>464</v>
      </c>
      <c r="E219" s="686">
        <v>0</v>
      </c>
      <c r="F219" s="687">
        <v>0</v>
      </c>
      <c r="G219" s="686">
        <v>0</v>
      </c>
      <c r="H219" s="686">
        <v>3</v>
      </c>
      <c r="I219" s="686">
        <v>0</v>
      </c>
      <c r="J219" s="688">
        <v>0.0189</v>
      </c>
      <c r="K219" s="689">
        <v>0.59</v>
      </c>
      <c r="L219" s="692">
        <v>4.59</v>
      </c>
      <c r="M219" s="686">
        <v>0</v>
      </c>
      <c r="N219" s="527">
        <v>0</v>
      </c>
    </row>
    <row r="220" hidden="1" spans="1:14">
      <c r="A220" s="684">
        <f t="shared" si="4"/>
        <v>44516</v>
      </c>
      <c r="B220" s="685">
        <v>255.59</v>
      </c>
      <c r="C220" s="691">
        <v>6061</v>
      </c>
      <c r="D220" s="686">
        <v>301</v>
      </c>
      <c r="E220" s="686">
        <v>0</v>
      </c>
      <c r="F220" s="687">
        <v>0</v>
      </c>
      <c r="G220" s="686">
        <v>0</v>
      </c>
      <c r="H220" s="686">
        <v>3</v>
      </c>
      <c r="I220" s="686">
        <v>0</v>
      </c>
      <c r="J220" s="688">
        <v>0.0497</v>
      </c>
      <c r="K220" s="689">
        <v>0.85</v>
      </c>
      <c r="L220" s="692">
        <v>5</v>
      </c>
      <c r="M220" s="686">
        <v>0</v>
      </c>
      <c r="N220" s="527">
        <v>0</v>
      </c>
    </row>
    <row r="221" hidden="1" spans="1:14">
      <c r="A221" s="684">
        <f t="shared" si="4"/>
        <v>44517</v>
      </c>
      <c r="B221" s="685">
        <v>294.22</v>
      </c>
      <c r="C221" s="691">
        <v>7049</v>
      </c>
      <c r="D221" s="686">
        <v>179</v>
      </c>
      <c r="E221" s="686">
        <v>0</v>
      </c>
      <c r="F221" s="687">
        <v>0</v>
      </c>
      <c r="G221" s="686">
        <v>1</v>
      </c>
      <c r="H221" s="686">
        <v>4</v>
      </c>
      <c r="I221" s="686">
        <v>0</v>
      </c>
      <c r="J221" s="688">
        <v>0.0254</v>
      </c>
      <c r="K221" s="689">
        <v>1.64</v>
      </c>
      <c r="L221" s="692">
        <v>11.51</v>
      </c>
      <c r="M221" s="686">
        <v>0</v>
      </c>
      <c r="N221" s="527">
        <v>0</v>
      </c>
    </row>
    <row r="222" hidden="1" spans="1:14">
      <c r="A222" s="684">
        <f t="shared" si="4"/>
        <v>44518</v>
      </c>
      <c r="B222" s="685">
        <v>275.72</v>
      </c>
      <c r="C222" s="691">
        <v>8130</v>
      </c>
      <c r="D222" s="686">
        <v>159</v>
      </c>
      <c r="E222" s="686">
        <v>0</v>
      </c>
      <c r="F222" s="687">
        <v>0</v>
      </c>
      <c r="G222" s="686">
        <v>2</v>
      </c>
      <c r="H222" s="686">
        <v>1</v>
      </c>
      <c r="I222" s="686">
        <v>0</v>
      </c>
      <c r="J222" s="688">
        <v>0.0196</v>
      </c>
      <c r="K222" s="689">
        <v>1.73</v>
      </c>
      <c r="L222" s="692">
        <v>16.12</v>
      </c>
      <c r="M222" s="686">
        <v>0</v>
      </c>
      <c r="N222" s="527">
        <v>0</v>
      </c>
    </row>
    <row r="223" hidden="1" spans="1:14">
      <c r="A223" s="684">
        <f t="shared" si="4"/>
        <v>44519</v>
      </c>
      <c r="B223" s="685">
        <v>271.09</v>
      </c>
      <c r="C223" s="691">
        <v>7062</v>
      </c>
      <c r="D223" s="686">
        <v>141</v>
      </c>
      <c r="E223" s="686">
        <v>0</v>
      </c>
      <c r="F223" s="687">
        <v>0</v>
      </c>
      <c r="G223" s="686">
        <v>1</v>
      </c>
      <c r="H223" s="686">
        <v>0</v>
      </c>
      <c r="I223" s="686">
        <v>0</v>
      </c>
      <c r="J223" s="688">
        <v>0.02</v>
      </c>
      <c r="K223" s="689">
        <v>1.92</v>
      </c>
      <c r="L223" s="692">
        <v>12.93</v>
      </c>
      <c r="M223" s="686">
        <v>0</v>
      </c>
      <c r="N223" s="527">
        <v>0</v>
      </c>
    </row>
    <row r="224" hidden="1" spans="1:14">
      <c r="A224" s="684">
        <f t="shared" si="4"/>
        <v>44520</v>
      </c>
      <c r="B224" s="685" t="s">
        <v>18</v>
      </c>
      <c r="C224" s="687" t="s">
        <v>18</v>
      </c>
      <c r="D224" s="687" t="s">
        <v>18</v>
      </c>
      <c r="E224" s="687" t="s">
        <v>18</v>
      </c>
      <c r="F224" s="687" t="s">
        <v>18</v>
      </c>
      <c r="G224" s="687" t="s">
        <v>18</v>
      </c>
      <c r="H224" s="687" t="s">
        <v>18</v>
      </c>
      <c r="I224" s="687" t="s">
        <v>18</v>
      </c>
      <c r="J224" s="687" t="s">
        <v>18</v>
      </c>
      <c r="K224" s="687" t="s">
        <v>18</v>
      </c>
      <c r="L224" s="687" t="s">
        <v>18</v>
      </c>
      <c r="M224" s="687" t="s">
        <v>18</v>
      </c>
      <c r="N224" s="693" t="s">
        <v>18</v>
      </c>
    </row>
    <row r="225" hidden="1" spans="1:14">
      <c r="A225" s="684">
        <f t="shared" si="4"/>
        <v>44521</v>
      </c>
      <c r="B225" s="685">
        <v>300</v>
      </c>
      <c r="C225" s="691">
        <v>9333</v>
      </c>
      <c r="D225" s="686">
        <v>139</v>
      </c>
      <c r="E225" s="686">
        <v>0</v>
      </c>
      <c r="F225" s="687">
        <v>0</v>
      </c>
      <c r="G225" s="686">
        <v>0</v>
      </c>
      <c r="H225" s="686">
        <v>1</v>
      </c>
      <c r="I225" s="686">
        <v>0</v>
      </c>
      <c r="J225" s="688">
        <v>0.0149</v>
      </c>
      <c r="K225" s="689">
        <v>2.16</v>
      </c>
      <c r="L225" s="692">
        <v>21.33</v>
      </c>
      <c r="M225" s="686">
        <v>0</v>
      </c>
      <c r="N225" s="527">
        <v>0</v>
      </c>
    </row>
    <row r="226" hidden="1" spans="1:14">
      <c r="A226" s="684">
        <f t="shared" si="4"/>
        <v>44522</v>
      </c>
      <c r="B226" s="685">
        <v>242.59</v>
      </c>
      <c r="C226" s="691">
        <v>9132</v>
      </c>
      <c r="D226" s="686">
        <v>115</v>
      </c>
      <c r="E226" s="686">
        <v>0</v>
      </c>
      <c r="F226" s="687">
        <v>0</v>
      </c>
      <c r="G226" s="686">
        <v>0</v>
      </c>
      <c r="H226" s="686">
        <v>1</v>
      </c>
      <c r="I226" s="686">
        <v>0</v>
      </c>
      <c r="J226" s="688">
        <v>0.0126</v>
      </c>
      <c r="K226" s="689">
        <v>2.11</v>
      </c>
      <c r="L226" s="692">
        <v>30.69</v>
      </c>
      <c r="M226" s="686">
        <v>0</v>
      </c>
      <c r="N226" s="527">
        <v>0</v>
      </c>
    </row>
    <row r="227" hidden="1" spans="1:14">
      <c r="A227" s="684">
        <f t="shared" si="4"/>
        <v>44523</v>
      </c>
      <c r="B227" s="685">
        <v>0</v>
      </c>
      <c r="C227" s="691" t="s">
        <v>18</v>
      </c>
      <c r="D227" s="691" t="s">
        <v>18</v>
      </c>
      <c r="E227" s="691" t="s">
        <v>18</v>
      </c>
      <c r="F227" s="691" t="s">
        <v>18</v>
      </c>
      <c r="G227" s="691" t="s">
        <v>18</v>
      </c>
      <c r="H227" s="691" t="s">
        <v>18</v>
      </c>
      <c r="I227" s="691" t="s">
        <v>18</v>
      </c>
      <c r="J227" s="691" t="s">
        <v>18</v>
      </c>
      <c r="K227" s="691" t="s">
        <v>18</v>
      </c>
      <c r="L227" s="691" t="s">
        <v>18</v>
      </c>
      <c r="M227" s="691" t="s">
        <v>18</v>
      </c>
      <c r="N227" s="527" t="s">
        <v>18</v>
      </c>
    </row>
    <row r="228" hidden="1" spans="1:14">
      <c r="A228" s="684">
        <f t="shared" si="4"/>
        <v>44524</v>
      </c>
      <c r="B228" s="685">
        <v>271.05</v>
      </c>
      <c r="C228" s="691">
        <v>13717</v>
      </c>
      <c r="D228" s="686">
        <v>153</v>
      </c>
      <c r="E228" s="686">
        <v>0</v>
      </c>
      <c r="F228" s="687">
        <v>0</v>
      </c>
      <c r="G228" s="686">
        <v>0</v>
      </c>
      <c r="H228" s="686">
        <v>1</v>
      </c>
      <c r="I228" s="686">
        <v>0</v>
      </c>
      <c r="J228" s="688">
        <v>0.0112</v>
      </c>
      <c r="K228" s="689">
        <v>1.77</v>
      </c>
      <c r="L228" s="692">
        <v>29.25</v>
      </c>
      <c r="M228" s="686">
        <v>0</v>
      </c>
      <c r="N228" s="527">
        <v>0</v>
      </c>
    </row>
    <row r="229" hidden="1" spans="1:14">
      <c r="A229" s="684">
        <f t="shared" si="4"/>
        <v>44525</v>
      </c>
      <c r="B229" s="685">
        <v>276.31</v>
      </c>
      <c r="C229" s="691">
        <v>8931</v>
      </c>
      <c r="D229" s="686">
        <v>134</v>
      </c>
      <c r="E229" s="686">
        <v>0</v>
      </c>
      <c r="F229" s="687">
        <v>0</v>
      </c>
      <c r="G229" s="686">
        <v>0</v>
      </c>
      <c r="H229" s="686">
        <v>0</v>
      </c>
      <c r="I229" s="686">
        <v>0</v>
      </c>
      <c r="J229" s="688">
        <v>0.015</v>
      </c>
      <c r="K229" s="689">
        <v>2.06</v>
      </c>
      <c r="L229" s="692">
        <v>135.11</v>
      </c>
      <c r="M229" s="686">
        <v>0</v>
      </c>
      <c r="N229" s="527">
        <v>0</v>
      </c>
    </row>
    <row r="230" hidden="1" spans="1:14">
      <c r="A230" s="684">
        <f t="shared" si="4"/>
        <v>44526</v>
      </c>
      <c r="B230" s="685">
        <v>246.09</v>
      </c>
      <c r="C230" s="691">
        <v>5410</v>
      </c>
      <c r="D230" s="686">
        <v>112</v>
      </c>
      <c r="E230" s="686">
        <v>0</v>
      </c>
      <c r="F230" s="687">
        <v>0</v>
      </c>
      <c r="G230" s="686">
        <v>0</v>
      </c>
      <c r="H230" s="686">
        <v>0</v>
      </c>
      <c r="I230" s="686">
        <v>0</v>
      </c>
      <c r="J230" s="688">
        <v>0.0207</v>
      </c>
      <c r="K230" s="689">
        <v>2.2</v>
      </c>
      <c r="L230" s="692">
        <v>239.83</v>
      </c>
      <c r="M230" s="686">
        <v>0</v>
      </c>
      <c r="N230" s="527">
        <v>0</v>
      </c>
    </row>
    <row r="231" hidden="1" spans="1:14">
      <c r="A231" s="684">
        <f t="shared" si="4"/>
        <v>44527</v>
      </c>
      <c r="B231" s="685">
        <v>0</v>
      </c>
      <c r="C231" s="691" t="s">
        <v>18</v>
      </c>
      <c r="D231" s="691" t="s">
        <v>18</v>
      </c>
      <c r="E231" s="691" t="s">
        <v>18</v>
      </c>
      <c r="F231" s="691" t="s">
        <v>18</v>
      </c>
      <c r="G231" s="691" t="s">
        <v>18</v>
      </c>
      <c r="H231" s="691" t="s">
        <v>18</v>
      </c>
      <c r="I231" s="691" t="s">
        <v>18</v>
      </c>
      <c r="J231" s="691" t="s">
        <v>18</v>
      </c>
      <c r="K231" s="691" t="s">
        <v>18</v>
      </c>
      <c r="L231" s="691" t="s">
        <v>18</v>
      </c>
      <c r="M231" s="691" t="s">
        <v>18</v>
      </c>
      <c r="N231" s="527" t="s">
        <v>18</v>
      </c>
    </row>
    <row r="232" hidden="1" spans="1:14">
      <c r="A232" s="684">
        <f t="shared" si="4"/>
        <v>44528</v>
      </c>
      <c r="B232" s="685">
        <v>278.99</v>
      </c>
      <c r="C232" s="691">
        <v>5750</v>
      </c>
      <c r="D232" s="686">
        <v>158</v>
      </c>
      <c r="E232" s="686">
        <v>0</v>
      </c>
      <c r="F232" s="687">
        <v>0</v>
      </c>
      <c r="G232" s="686">
        <v>0</v>
      </c>
      <c r="H232" s="686">
        <v>1</v>
      </c>
      <c r="I232" s="686">
        <v>0</v>
      </c>
      <c r="J232" s="688">
        <v>0.0275</v>
      </c>
      <c r="K232" s="689">
        <v>1.77</v>
      </c>
      <c r="L232" s="692">
        <v>93</v>
      </c>
      <c r="M232" s="686">
        <v>0</v>
      </c>
      <c r="N232" s="527">
        <v>0</v>
      </c>
    </row>
    <row r="233" hidden="1" spans="1:14">
      <c r="A233" s="684">
        <f t="shared" si="4"/>
        <v>44529</v>
      </c>
      <c r="B233" s="685">
        <v>300</v>
      </c>
      <c r="C233" s="691">
        <v>12328</v>
      </c>
      <c r="D233" s="686">
        <v>143</v>
      </c>
      <c r="E233" s="686">
        <v>0</v>
      </c>
      <c r="F233" s="687">
        <v>0</v>
      </c>
      <c r="G233" s="686">
        <v>0</v>
      </c>
      <c r="H233" s="686">
        <v>0</v>
      </c>
      <c r="I233" s="686">
        <v>0</v>
      </c>
      <c r="J233" s="688">
        <v>0.0116</v>
      </c>
      <c r="K233" s="689">
        <v>2.1</v>
      </c>
      <c r="L233" s="692">
        <v>294</v>
      </c>
      <c r="M233" s="686">
        <v>0</v>
      </c>
      <c r="N233" s="527">
        <v>0</v>
      </c>
    </row>
    <row r="234" hidden="1" spans="1:14">
      <c r="A234" s="684">
        <f t="shared" si="4"/>
        <v>44530</v>
      </c>
      <c r="B234" s="685">
        <v>2</v>
      </c>
      <c r="C234" s="691">
        <v>0</v>
      </c>
      <c r="D234" s="686">
        <v>1</v>
      </c>
      <c r="E234" s="686">
        <v>0</v>
      </c>
      <c r="F234" s="687">
        <v>0</v>
      </c>
      <c r="G234" s="686">
        <v>0</v>
      </c>
      <c r="H234" s="686">
        <v>0</v>
      </c>
      <c r="I234" s="686">
        <v>0</v>
      </c>
      <c r="J234" s="688">
        <v>0</v>
      </c>
      <c r="K234" s="689">
        <v>2</v>
      </c>
      <c r="L234" s="692">
        <v>0</v>
      </c>
      <c r="M234" s="686">
        <v>0</v>
      </c>
      <c r="N234" s="527">
        <v>0</v>
      </c>
    </row>
    <row r="235" hidden="1" spans="1:14">
      <c r="A235" s="684">
        <f t="shared" si="4"/>
        <v>44531</v>
      </c>
      <c r="B235" s="685">
        <v>300</v>
      </c>
      <c r="C235" s="691">
        <v>80233</v>
      </c>
      <c r="D235" s="686">
        <v>259</v>
      </c>
      <c r="E235" s="686">
        <v>0</v>
      </c>
      <c r="F235" s="687">
        <v>0</v>
      </c>
      <c r="G235" s="686">
        <v>0</v>
      </c>
      <c r="H235" s="686">
        <v>0</v>
      </c>
      <c r="I235" s="686">
        <v>0</v>
      </c>
      <c r="J235" s="688">
        <v>0.0032</v>
      </c>
      <c r="K235" s="689">
        <v>1.16</v>
      </c>
      <c r="L235" s="692">
        <v>13.68</v>
      </c>
      <c r="M235" s="686">
        <v>0</v>
      </c>
      <c r="N235" s="527">
        <v>0</v>
      </c>
    </row>
    <row r="236" hidden="1" spans="1:14">
      <c r="A236" s="684">
        <f t="shared" si="4"/>
        <v>44532</v>
      </c>
      <c r="B236" s="685">
        <v>300</v>
      </c>
      <c r="C236" s="691">
        <v>15774</v>
      </c>
      <c r="D236" s="686">
        <v>163</v>
      </c>
      <c r="E236" s="686">
        <v>0</v>
      </c>
      <c r="F236" s="687">
        <v>0</v>
      </c>
      <c r="G236" s="686">
        <v>0</v>
      </c>
      <c r="H236" s="686">
        <v>0</v>
      </c>
      <c r="I236" s="686">
        <v>0</v>
      </c>
      <c r="J236" s="688">
        <v>0.0103</v>
      </c>
      <c r="K236" s="689">
        <v>1.84</v>
      </c>
      <c r="L236" s="692">
        <v>296.04</v>
      </c>
      <c r="M236" s="686">
        <v>0</v>
      </c>
      <c r="N236" s="527">
        <v>0</v>
      </c>
    </row>
    <row r="237" hidden="1" spans="1:14">
      <c r="A237" s="684">
        <f t="shared" si="4"/>
        <v>44533</v>
      </c>
      <c r="B237" s="685">
        <v>294.98</v>
      </c>
      <c r="C237" s="691">
        <v>12525</v>
      </c>
      <c r="D237" s="686">
        <v>169</v>
      </c>
      <c r="E237" s="686">
        <v>0</v>
      </c>
      <c r="F237" s="687">
        <v>0</v>
      </c>
      <c r="G237" s="686">
        <v>0</v>
      </c>
      <c r="H237" s="686">
        <v>2</v>
      </c>
      <c r="I237" s="686">
        <v>0</v>
      </c>
      <c r="J237" s="688">
        <v>0.0135</v>
      </c>
      <c r="K237" s="689">
        <v>1.75</v>
      </c>
      <c r="L237" s="692">
        <v>24.999</v>
      </c>
      <c r="M237" s="686">
        <v>0</v>
      </c>
      <c r="N237" s="527">
        <v>0</v>
      </c>
    </row>
    <row r="238" hidden="1" spans="1:14">
      <c r="A238" s="684">
        <f t="shared" si="4"/>
        <v>44534</v>
      </c>
      <c r="B238" s="685">
        <v>0</v>
      </c>
      <c r="C238" s="691" t="s">
        <v>18</v>
      </c>
      <c r="D238" s="691" t="s">
        <v>18</v>
      </c>
      <c r="E238" s="691" t="s">
        <v>18</v>
      </c>
      <c r="F238" s="691" t="s">
        <v>18</v>
      </c>
      <c r="G238" s="691" t="s">
        <v>18</v>
      </c>
      <c r="H238" s="691" t="s">
        <v>18</v>
      </c>
      <c r="I238" s="691" t="s">
        <v>18</v>
      </c>
      <c r="J238" s="691" t="s">
        <v>18</v>
      </c>
      <c r="K238" s="691" t="s">
        <v>18</v>
      </c>
      <c r="L238" s="691" t="s">
        <v>18</v>
      </c>
      <c r="M238" s="691" t="s">
        <v>18</v>
      </c>
      <c r="N238" s="527" t="s">
        <v>18</v>
      </c>
    </row>
    <row r="239" hidden="1" spans="1:14">
      <c r="A239" s="684">
        <f t="shared" si="4"/>
        <v>44535</v>
      </c>
      <c r="B239" s="685">
        <v>300</v>
      </c>
      <c r="C239" s="691">
        <v>3489</v>
      </c>
      <c r="D239" s="686">
        <v>155</v>
      </c>
      <c r="E239" s="686">
        <v>0</v>
      </c>
      <c r="F239" s="687">
        <v>0</v>
      </c>
      <c r="G239" s="686">
        <v>0</v>
      </c>
      <c r="H239" s="686">
        <v>0</v>
      </c>
      <c r="I239" s="686">
        <v>0</v>
      </c>
      <c r="J239" s="688">
        <v>0.0444</v>
      </c>
      <c r="K239" s="689">
        <v>1.94</v>
      </c>
      <c r="L239" s="692">
        <v>0</v>
      </c>
      <c r="M239" s="686">
        <v>0</v>
      </c>
      <c r="N239" s="527">
        <v>0</v>
      </c>
    </row>
    <row r="240" hidden="1" spans="1:14">
      <c r="A240" s="684">
        <f t="shared" si="4"/>
        <v>44536</v>
      </c>
      <c r="B240" s="685">
        <v>300</v>
      </c>
      <c r="C240" s="691">
        <v>2478</v>
      </c>
      <c r="D240" s="686">
        <v>157</v>
      </c>
      <c r="E240" s="686">
        <v>0</v>
      </c>
      <c r="F240" s="687">
        <v>0</v>
      </c>
      <c r="G240" s="686">
        <v>1</v>
      </c>
      <c r="H240" s="686">
        <v>0</v>
      </c>
      <c r="I240" s="686">
        <v>0</v>
      </c>
      <c r="J240" s="688">
        <v>0.06334</v>
      </c>
      <c r="K240" s="689">
        <v>1.91</v>
      </c>
      <c r="L240" s="692">
        <v>73.52</v>
      </c>
      <c r="M240" s="686">
        <v>0</v>
      </c>
      <c r="N240" s="527">
        <v>0</v>
      </c>
    </row>
    <row r="241" hidden="1" spans="1:14">
      <c r="A241" s="684">
        <f t="shared" si="4"/>
        <v>44537</v>
      </c>
      <c r="B241" s="685">
        <v>0</v>
      </c>
      <c r="C241" s="691"/>
      <c r="D241" s="686"/>
      <c r="E241" s="686"/>
      <c r="F241" s="687"/>
      <c r="G241" s="686"/>
      <c r="H241" s="686"/>
      <c r="I241" s="686"/>
      <c r="J241" s="688"/>
      <c r="K241" s="689"/>
      <c r="L241" s="692"/>
      <c r="M241" s="686"/>
      <c r="N241" s="527"/>
    </row>
    <row r="242" hidden="1" spans="1:14">
      <c r="A242" s="684">
        <f t="shared" si="4"/>
        <v>44538</v>
      </c>
      <c r="B242" s="685">
        <v>300</v>
      </c>
      <c r="C242" s="691">
        <v>2316</v>
      </c>
      <c r="D242" s="686">
        <v>156</v>
      </c>
      <c r="E242" s="686">
        <v>0</v>
      </c>
      <c r="F242" s="687">
        <v>0</v>
      </c>
      <c r="G242" s="686">
        <v>1</v>
      </c>
      <c r="H242" s="686">
        <v>0</v>
      </c>
      <c r="I242" s="686">
        <v>0</v>
      </c>
      <c r="J242" s="688">
        <v>0.0674</v>
      </c>
      <c r="K242" s="689">
        <v>1.92</v>
      </c>
      <c r="L242" s="692">
        <v>74.48</v>
      </c>
      <c r="M242" s="686">
        <v>0</v>
      </c>
      <c r="N242" s="527">
        <v>0</v>
      </c>
    </row>
    <row r="243" hidden="1" spans="1:14">
      <c r="A243" s="684">
        <f t="shared" si="4"/>
        <v>44539</v>
      </c>
      <c r="B243" s="685">
        <v>116.95</v>
      </c>
      <c r="C243" s="691">
        <v>4166</v>
      </c>
      <c r="D243" s="686">
        <v>71</v>
      </c>
      <c r="E243" s="686">
        <v>0</v>
      </c>
      <c r="F243" s="687">
        <v>0</v>
      </c>
      <c r="G243" s="686">
        <v>0</v>
      </c>
      <c r="H243" s="686">
        <v>0</v>
      </c>
      <c r="I243" s="686">
        <v>0</v>
      </c>
      <c r="J243" s="688">
        <v>0.017</v>
      </c>
      <c r="K243" s="689">
        <v>1.65</v>
      </c>
      <c r="L243" s="692">
        <v>22.13</v>
      </c>
      <c r="M243" s="686">
        <v>0</v>
      </c>
      <c r="N243" s="527">
        <v>0</v>
      </c>
    </row>
    <row r="244" hidden="1" spans="1:14">
      <c r="A244" s="684">
        <f t="shared" si="4"/>
        <v>44540</v>
      </c>
      <c r="B244" s="685">
        <v>128.75</v>
      </c>
      <c r="C244" s="691">
        <v>5087</v>
      </c>
      <c r="D244" s="686">
        <v>75</v>
      </c>
      <c r="E244" s="686">
        <v>0</v>
      </c>
      <c r="F244" s="687">
        <v>0</v>
      </c>
      <c r="G244" s="686">
        <v>0</v>
      </c>
      <c r="H244" s="686">
        <v>0</v>
      </c>
      <c r="I244" s="686">
        <v>0</v>
      </c>
      <c r="J244" s="688">
        <v>0.0147</v>
      </c>
      <c r="K244" s="689">
        <v>1.72</v>
      </c>
      <c r="L244" s="692">
        <v>15.02</v>
      </c>
      <c r="M244" s="686">
        <v>0</v>
      </c>
      <c r="N244" s="527">
        <v>0</v>
      </c>
    </row>
    <row r="245" hidden="1" spans="1:14">
      <c r="A245" s="684">
        <f t="shared" si="4"/>
        <v>44541</v>
      </c>
      <c r="B245" s="685">
        <v>1.12</v>
      </c>
      <c r="C245" s="691">
        <v>2</v>
      </c>
      <c r="D245" s="686">
        <v>1</v>
      </c>
      <c r="E245" s="686">
        <v>0</v>
      </c>
      <c r="F245" s="687">
        <v>0</v>
      </c>
      <c r="G245" s="686">
        <v>0</v>
      </c>
      <c r="H245" s="686">
        <v>0</v>
      </c>
      <c r="I245" s="686">
        <v>0</v>
      </c>
      <c r="J245" s="688">
        <v>0.5</v>
      </c>
      <c r="K245" s="689">
        <v>1.12</v>
      </c>
      <c r="L245" s="692">
        <v>1.12</v>
      </c>
      <c r="M245" s="686">
        <v>0</v>
      </c>
      <c r="N245" s="527">
        <v>0</v>
      </c>
    </row>
    <row r="246" hidden="1" spans="1:14">
      <c r="A246" s="684">
        <f t="shared" si="4"/>
        <v>44542</v>
      </c>
      <c r="B246" s="685">
        <v>105.55</v>
      </c>
      <c r="C246" s="691">
        <v>2669</v>
      </c>
      <c r="D246" s="686">
        <v>60</v>
      </c>
      <c r="E246" s="686">
        <v>2</v>
      </c>
      <c r="F246" s="687">
        <v>224</v>
      </c>
      <c r="G246" s="686">
        <v>0</v>
      </c>
      <c r="H246" s="686">
        <v>1</v>
      </c>
      <c r="I246" s="686">
        <v>0</v>
      </c>
      <c r="J246" s="688">
        <v>0.0225</v>
      </c>
      <c r="K246" s="689">
        <v>1.76</v>
      </c>
      <c r="L246" s="692">
        <v>19.31</v>
      </c>
      <c r="M246" s="686">
        <v>2.12</v>
      </c>
      <c r="N246" s="527">
        <v>0.0333</v>
      </c>
    </row>
    <row r="247" hidden="1" spans="1:14">
      <c r="A247" s="684">
        <f t="shared" si="4"/>
        <v>44543</v>
      </c>
      <c r="B247" s="685">
        <v>259.63</v>
      </c>
      <c r="C247" s="691">
        <v>4648</v>
      </c>
      <c r="D247" s="686">
        <v>84</v>
      </c>
      <c r="E247" s="686">
        <v>0</v>
      </c>
      <c r="F247" s="687">
        <v>0</v>
      </c>
      <c r="G247" s="686">
        <v>0</v>
      </c>
      <c r="H247" s="686">
        <v>0</v>
      </c>
      <c r="I247" s="686">
        <v>0</v>
      </c>
      <c r="J247" s="688">
        <v>0.0181</v>
      </c>
      <c r="K247" s="689">
        <v>3.09</v>
      </c>
      <c r="L247" s="692">
        <v>75.93</v>
      </c>
      <c r="M247" s="686">
        <v>0</v>
      </c>
      <c r="N247" s="527">
        <v>0</v>
      </c>
    </row>
    <row r="248" hidden="1" spans="1:14">
      <c r="A248" s="684">
        <f t="shared" si="4"/>
        <v>44544</v>
      </c>
      <c r="B248" s="685" t="s">
        <v>18</v>
      </c>
      <c r="C248" s="687" t="s">
        <v>18</v>
      </c>
      <c r="D248" s="687" t="s">
        <v>18</v>
      </c>
      <c r="E248" s="687" t="s">
        <v>18</v>
      </c>
      <c r="F248" s="687" t="s">
        <v>18</v>
      </c>
      <c r="G248" s="687" t="s">
        <v>18</v>
      </c>
      <c r="H248" s="687" t="s">
        <v>18</v>
      </c>
      <c r="I248" s="687" t="s">
        <v>18</v>
      </c>
      <c r="J248" s="687" t="s">
        <v>18</v>
      </c>
      <c r="K248" s="687" t="s">
        <v>18</v>
      </c>
      <c r="L248" s="687" t="s">
        <v>18</v>
      </c>
      <c r="M248" s="687" t="s">
        <v>18</v>
      </c>
      <c r="N248" s="693" t="s">
        <v>18</v>
      </c>
    </row>
    <row r="249" hidden="1" spans="1:14">
      <c r="A249" s="684">
        <f t="shared" si="4"/>
        <v>44545</v>
      </c>
      <c r="B249" s="685">
        <v>300</v>
      </c>
      <c r="C249" s="691">
        <v>4180</v>
      </c>
      <c r="D249" s="686">
        <v>78</v>
      </c>
      <c r="E249" s="686">
        <v>0</v>
      </c>
      <c r="F249" s="687">
        <v>0</v>
      </c>
      <c r="G249" s="686">
        <v>0</v>
      </c>
      <c r="H249" s="686">
        <v>1</v>
      </c>
      <c r="I249" s="686">
        <v>1</v>
      </c>
      <c r="J249" s="688">
        <v>0.0187</v>
      </c>
      <c r="K249" s="689">
        <v>3.85</v>
      </c>
      <c r="L249" s="692">
        <v>47.39</v>
      </c>
      <c r="M249" s="686">
        <v>0</v>
      </c>
      <c r="N249" s="527">
        <v>0</v>
      </c>
    </row>
    <row r="250" hidden="1" spans="1:14">
      <c r="A250" s="684">
        <f t="shared" si="4"/>
        <v>44546</v>
      </c>
      <c r="B250" s="685">
        <v>300</v>
      </c>
      <c r="C250" s="691">
        <v>2543</v>
      </c>
      <c r="D250" s="686">
        <v>81</v>
      </c>
      <c r="E250" s="686">
        <v>0</v>
      </c>
      <c r="F250" s="687">
        <v>0</v>
      </c>
      <c r="G250" s="686">
        <v>0</v>
      </c>
      <c r="H250" s="686">
        <v>0</v>
      </c>
      <c r="I250" s="686">
        <v>1</v>
      </c>
      <c r="J250" s="688">
        <v>0.0319</v>
      </c>
      <c r="K250" s="689">
        <v>3.7</v>
      </c>
      <c r="L250" s="692">
        <v>3.13</v>
      </c>
      <c r="M250" s="686">
        <v>0</v>
      </c>
      <c r="N250" s="527">
        <v>0</v>
      </c>
    </row>
    <row r="251" hidden="1" spans="1:14">
      <c r="A251" s="684">
        <f t="shared" si="4"/>
        <v>44547</v>
      </c>
      <c r="B251" s="685" t="s">
        <v>18</v>
      </c>
      <c r="C251" s="687" t="s">
        <v>18</v>
      </c>
      <c r="D251" s="687" t="s">
        <v>18</v>
      </c>
      <c r="E251" s="687" t="s">
        <v>18</v>
      </c>
      <c r="F251" s="687" t="s">
        <v>18</v>
      </c>
      <c r="G251" s="687" t="s">
        <v>18</v>
      </c>
      <c r="H251" s="687" t="s">
        <v>18</v>
      </c>
      <c r="I251" s="687" t="s">
        <v>18</v>
      </c>
      <c r="J251" s="687" t="s">
        <v>18</v>
      </c>
      <c r="K251" s="687" t="s">
        <v>18</v>
      </c>
      <c r="L251" s="687" t="s">
        <v>18</v>
      </c>
      <c r="M251" s="687" t="s">
        <v>18</v>
      </c>
      <c r="N251" s="693" t="s">
        <v>18</v>
      </c>
    </row>
    <row r="252" hidden="1" spans="1:14">
      <c r="A252" s="684">
        <f t="shared" si="4"/>
        <v>44548</v>
      </c>
      <c r="B252" s="685" t="s">
        <v>18</v>
      </c>
      <c r="C252" s="687" t="s">
        <v>18</v>
      </c>
      <c r="D252" s="687" t="s">
        <v>18</v>
      </c>
      <c r="E252" s="687" t="s">
        <v>18</v>
      </c>
      <c r="F252" s="687" t="s">
        <v>18</v>
      </c>
      <c r="G252" s="687" t="s">
        <v>18</v>
      </c>
      <c r="H252" s="687" t="s">
        <v>18</v>
      </c>
      <c r="I252" s="687" t="s">
        <v>18</v>
      </c>
      <c r="J252" s="687" t="s">
        <v>18</v>
      </c>
      <c r="K252" s="687" t="s">
        <v>18</v>
      </c>
      <c r="L252" s="687" t="s">
        <v>18</v>
      </c>
      <c r="M252" s="687" t="s">
        <v>18</v>
      </c>
      <c r="N252" s="693" t="s">
        <v>18</v>
      </c>
    </row>
    <row r="253" hidden="1" spans="1:14">
      <c r="A253" s="684">
        <f t="shared" si="4"/>
        <v>44549</v>
      </c>
      <c r="B253" s="685" t="s">
        <v>18</v>
      </c>
      <c r="C253" s="687" t="s">
        <v>18</v>
      </c>
      <c r="D253" s="687" t="s">
        <v>18</v>
      </c>
      <c r="E253" s="687" t="s">
        <v>18</v>
      </c>
      <c r="F253" s="687" t="s">
        <v>18</v>
      </c>
      <c r="G253" s="687" t="s">
        <v>18</v>
      </c>
      <c r="H253" s="687" t="s">
        <v>18</v>
      </c>
      <c r="I253" s="687" t="s">
        <v>18</v>
      </c>
      <c r="J253" s="687" t="s">
        <v>18</v>
      </c>
      <c r="K253" s="687" t="s">
        <v>18</v>
      </c>
      <c r="L253" s="687" t="s">
        <v>18</v>
      </c>
      <c r="M253" s="687" t="s">
        <v>18</v>
      </c>
      <c r="N253" s="693" t="s">
        <v>18</v>
      </c>
    </row>
    <row r="254" hidden="1" spans="1:14">
      <c r="A254" s="684">
        <f t="shared" si="4"/>
        <v>44550</v>
      </c>
      <c r="B254" s="685">
        <v>36.25</v>
      </c>
      <c r="C254" s="691">
        <v>574</v>
      </c>
      <c r="D254" s="686">
        <v>13</v>
      </c>
      <c r="E254" s="686">
        <v>0</v>
      </c>
      <c r="F254" s="687">
        <v>0</v>
      </c>
      <c r="G254" s="686">
        <v>0</v>
      </c>
      <c r="H254" s="686">
        <v>0</v>
      </c>
      <c r="I254" s="686">
        <v>0</v>
      </c>
      <c r="J254" s="688">
        <v>0.0226</v>
      </c>
      <c r="K254" s="689">
        <v>2.709</v>
      </c>
      <c r="L254" s="692">
        <v>36.25</v>
      </c>
      <c r="M254" s="686">
        <v>0</v>
      </c>
      <c r="N254" s="527">
        <v>0</v>
      </c>
    </row>
    <row r="255" hidden="1" spans="1:14">
      <c r="A255" s="684">
        <f t="shared" si="4"/>
        <v>44551</v>
      </c>
      <c r="B255" s="685">
        <v>101.54</v>
      </c>
      <c r="C255" s="691">
        <v>6919</v>
      </c>
      <c r="D255" s="686">
        <v>39</v>
      </c>
      <c r="E255" s="686">
        <v>0</v>
      </c>
      <c r="F255" s="687">
        <v>0</v>
      </c>
      <c r="G255" s="686">
        <v>0</v>
      </c>
      <c r="H255" s="686">
        <v>0</v>
      </c>
      <c r="I255" s="686">
        <v>0</v>
      </c>
      <c r="J255" s="688">
        <v>0.0056</v>
      </c>
      <c r="K255" s="689">
        <v>2.6</v>
      </c>
      <c r="L255" s="692">
        <v>20.26</v>
      </c>
      <c r="M255" s="686">
        <v>0</v>
      </c>
      <c r="N255" s="527">
        <v>0</v>
      </c>
    </row>
    <row r="256" hidden="1" spans="1:14">
      <c r="A256" s="684">
        <f t="shared" si="4"/>
        <v>44552</v>
      </c>
      <c r="B256" s="685">
        <v>265.29</v>
      </c>
      <c r="C256" s="691">
        <v>4344</v>
      </c>
      <c r="D256" s="686">
        <v>105</v>
      </c>
      <c r="E256" s="686">
        <v>0</v>
      </c>
      <c r="F256" s="687">
        <v>0</v>
      </c>
      <c r="G256" s="686">
        <v>0</v>
      </c>
      <c r="H256" s="686">
        <v>0</v>
      </c>
      <c r="I256" s="686">
        <v>0</v>
      </c>
      <c r="J256" s="688">
        <v>0.0242</v>
      </c>
      <c r="K256" s="689">
        <v>2.53</v>
      </c>
      <c r="L256" s="692">
        <v>13.27</v>
      </c>
      <c r="M256" s="686">
        <v>0</v>
      </c>
      <c r="N256" s="527">
        <v>0</v>
      </c>
    </row>
    <row r="257" hidden="1" spans="1:14">
      <c r="A257" s="684">
        <f t="shared" si="4"/>
        <v>44553</v>
      </c>
      <c r="B257" s="685">
        <v>270.25</v>
      </c>
      <c r="C257" s="691">
        <v>3808</v>
      </c>
      <c r="D257" s="686">
        <v>94</v>
      </c>
      <c r="E257" s="686">
        <v>0</v>
      </c>
      <c r="F257" s="687">
        <v>0</v>
      </c>
      <c r="G257" s="686">
        <v>0</v>
      </c>
      <c r="H257" s="686">
        <v>0</v>
      </c>
      <c r="I257" s="686">
        <v>0</v>
      </c>
      <c r="J257" s="688">
        <v>0.0247</v>
      </c>
      <c r="K257" s="689">
        <v>2.88</v>
      </c>
      <c r="L257" s="692">
        <v>15.43</v>
      </c>
      <c r="M257" s="686">
        <v>0</v>
      </c>
      <c r="N257" s="527">
        <v>0</v>
      </c>
    </row>
    <row r="258" hidden="1" spans="1:14">
      <c r="A258" s="684">
        <f t="shared" si="4"/>
        <v>44554</v>
      </c>
      <c r="B258" s="685">
        <v>266.84</v>
      </c>
      <c r="C258" s="691">
        <v>2781</v>
      </c>
      <c r="D258" s="686">
        <v>114</v>
      </c>
      <c r="E258" s="686">
        <v>0</v>
      </c>
      <c r="F258" s="687">
        <v>0</v>
      </c>
      <c r="G258" s="686">
        <v>0</v>
      </c>
      <c r="H258" s="686">
        <v>1</v>
      </c>
      <c r="I258" s="686">
        <v>0</v>
      </c>
      <c r="J258" s="688">
        <v>0.041</v>
      </c>
      <c r="K258" s="689">
        <v>2.34</v>
      </c>
      <c r="L258" s="692">
        <v>15.57</v>
      </c>
      <c r="M258" s="686">
        <v>0</v>
      </c>
      <c r="N258" s="527">
        <v>0</v>
      </c>
    </row>
    <row r="259" hidden="1" spans="1:14">
      <c r="A259" s="684">
        <f t="shared" ref="A259:A267" si="5">A258+1</f>
        <v>44555</v>
      </c>
      <c r="B259" s="685" t="s">
        <v>18</v>
      </c>
      <c r="C259" s="687" t="s">
        <v>18</v>
      </c>
      <c r="D259" s="687" t="s">
        <v>18</v>
      </c>
      <c r="E259" s="687" t="s">
        <v>18</v>
      </c>
      <c r="F259" s="687" t="s">
        <v>18</v>
      </c>
      <c r="G259" s="687" t="s">
        <v>18</v>
      </c>
      <c r="H259" s="687" t="s">
        <v>18</v>
      </c>
      <c r="I259" s="687" t="s">
        <v>18</v>
      </c>
      <c r="J259" s="687" t="s">
        <v>18</v>
      </c>
      <c r="K259" s="687" t="s">
        <v>18</v>
      </c>
      <c r="L259" s="687" t="s">
        <v>18</v>
      </c>
      <c r="M259" s="687" t="s">
        <v>18</v>
      </c>
      <c r="N259" s="687" t="s">
        <v>18</v>
      </c>
    </row>
    <row r="260" hidden="1" spans="1:14">
      <c r="A260" s="684">
        <f t="shared" si="5"/>
        <v>44556</v>
      </c>
      <c r="B260" s="685">
        <v>265.7</v>
      </c>
      <c r="C260" s="691">
        <v>2335</v>
      </c>
      <c r="D260" s="686">
        <v>115</v>
      </c>
      <c r="E260" s="686">
        <v>0</v>
      </c>
      <c r="F260" s="687">
        <v>0</v>
      </c>
      <c r="G260" s="686">
        <v>1</v>
      </c>
      <c r="H260" s="686">
        <v>0</v>
      </c>
      <c r="I260" s="686">
        <v>0</v>
      </c>
      <c r="J260" s="688">
        <v>0.0493</v>
      </c>
      <c r="K260" s="689">
        <v>2.31</v>
      </c>
      <c r="L260" s="692">
        <v>26.03</v>
      </c>
      <c r="M260" s="686">
        <v>0</v>
      </c>
      <c r="N260" s="527">
        <v>0</v>
      </c>
    </row>
    <row r="261" hidden="1" spans="1:14">
      <c r="A261" s="684">
        <f t="shared" si="5"/>
        <v>44557</v>
      </c>
      <c r="B261" s="685">
        <v>257.15</v>
      </c>
      <c r="C261" s="691">
        <v>2418</v>
      </c>
      <c r="D261" s="686">
        <v>125</v>
      </c>
      <c r="E261" s="686">
        <v>0</v>
      </c>
      <c r="F261" s="687">
        <v>0</v>
      </c>
      <c r="G261" s="686">
        <v>1</v>
      </c>
      <c r="H261" s="686">
        <v>0</v>
      </c>
      <c r="I261" s="686">
        <v>0</v>
      </c>
      <c r="J261" s="688">
        <v>0.0517</v>
      </c>
      <c r="K261" s="689">
        <v>2.06</v>
      </c>
      <c r="L261" s="692">
        <v>12.52</v>
      </c>
      <c r="M261" s="686">
        <v>0</v>
      </c>
      <c r="N261" s="527">
        <v>0</v>
      </c>
    </row>
    <row r="262" hidden="1" spans="1:14">
      <c r="A262" s="684">
        <f t="shared" si="5"/>
        <v>44558</v>
      </c>
      <c r="B262" s="685">
        <v>1.12</v>
      </c>
      <c r="C262" s="691">
        <v>7</v>
      </c>
      <c r="D262" s="686">
        <v>1</v>
      </c>
      <c r="E262" s="686">
        <v>0</v>
      </c>
      <c r="F262" s="687">
        <v>0</v>
      </c>
      <c r="G262" s="686">
        <v>0</v>
      </c>
      <c r="H262" s="686">
        <v>0</v>
      </c>
      <c r="I262" s="686">
        <v>0</v>
      </c>
      <c r="J262" s="688">
        <v>0.1429</v>
      </c>
      <c r="K262" s="689">
        <v>1.12</v>
      </c>
      <c r="L262" s="692">
        <v>1.12</v>
      </c>
      <c r="M262" s="686">
        <v>0</v>
      </c>
      <c r="N262" s="527">
        <v>0</v>
      </c>
    </row>
    <row r="263" hidden="1" spans="1:14">
      <c r="A263" s="684">
        <f t="shared" si="5"/>
        <v>44559</v>
      </c>
      <c r="B263" s="685">
        <v>380.54</v>
      </c>
      <c r="C263" s="691">
        <v>52198</v>
      </c>
      <c r="D263" s="686">
        <v>261</v>
      </c>
      <c r="E263" s="686">
        <v>0</v>
      </c>
      <c r="F263" s="687">
        <v>0</v>
      </c>
      <c r="G263" s="686">
        <v>1</v>
      </c>
      <c r="H263" s="686">
        <v>1</v>
      </c>
      <c r="I263" s="686">
        <v>0</v>
      </c>
      <c r="J263" s="688">
        <v>0.005</v>
      </c>
      <c r="K263" s="689">
        <v>1.46</v>
      </c>
      <c r="L263" s="692">
        <v>19.35</v>
      </c>
      <c r="M263" s="686">
        <v>0</v>
      </c>
      <c r="N263" s="527">
        <v>0</v>
      </c>
    </row>
    <row r="264" hidden="1" spans="1:14">
      <c r="A264" s="684">
        <f t="shared" si="5"/>
        <v>44560</v>
      </c>
      <c r="B264" s="685">
        <v>285.73</v>
      </c>
      <c r="C264" s="691">
        <v>31098</v>
      </c>
      <c r="D264" s="686">
        <v>144</v>
      </c>
      <c r="E264" s="686">
        <v>0</v>
      </c>
      <c r="F264" s="687">
        <v>0</v>
      </c>
      <c r="G264" s="686">
        <v>0</v>
      </c>
      <c r="H264" s="686">
        <v>0</v>
      </c>
      <c r="I264" s="686">
        <v>0</v>
      </c>
      <c r="J264" s="688">
        <v>0.0046</v>
      </c>
      <c r="K264" s="689">
        <v>1.98</v>
      </c>
      <c r="L264" s="692">
        <v>28.28</v>
      </c>
      <c r="M264" s="686">
        <v>0</v>
      </c>
      <c r="N264" s="527">
        <v>0</v>
      </c>
    </row>
    <row r="265" hidden="1" spans="1:14">
      <c r="A265" s="684">
        <f t="shared" si="5"/>
        <v>44561</v>
      </c>
      <c r="B265" s="685">
        <v>207.09</v>
      </c>
      <c r="C265" s="691">
        <v>13062</v>
      </c>
      <c r="D265" s="686">
        <v>100</v>
      </c>
      <c r="E265" s="686">
        <v>0</v>
      </c>
      <c r="F265" s="687">
        <v>0</v>
      </c>
      <c r="G265" s="686">
        <v>0</v>
      </c>
      <c r="H265" s="686">
        <v>0</v>
      </c>
      <c r="I265" s="686">
        <v>1</v>
      </c>
      <c r="J265" s="688">
        <v>0.0077</v>
      </c>
      <c r="K265" s="689">
        <v>2.07</v>
      </c>
      <c r="L265" s="692">
        <v>22.74</v>
      </c>
      <c r="M265" s="686">
        <v>0</v>
      </c>
      <c r="N265" s="527">
        <v>0</v>
      </c>
    </row>
    <row r="266" spans="1:14">
      <c r="A266" s="684">
        <f t="shared" si="5"/>
        <v>44562</v>
      </c>
      <c r="B266" s="685" t="s">
        <v>18</v>
      </c>
      <c r="C266" s="687" t="s">
        <v>18</v>
      </c>
      <c r="D266" s="687" t="s">
        <v>18</v>
      </c>
      <c r="E266" s="687" t="s">
        <v>18</v>
      </c>
      <c r="F266" s="687" t="s">
        <v>18</v>
      </c>
      <c r="G266" s="687" t="s">
        <v>18</v>
      </c>
      <c r="H266" s="687" t="s">
        <v>18</v>
      </c>
      <c r="I266" s="687" t="s">
        <v>18</v>
      </c>
      <c r="J266" s="687" t="s">
        <v>18</v>
      </c>
      <c r="K266" s="687" t="s">
        <v>18</v>
      </c>
      <c r="L266" s="687" t="s">
        <v>18</v>
      </c>
      <c r="M266" s="687" t="s">
        <v>18</v>
      </c>
      <c r="N266" s="687" t="s">
        <v>18</v>
      </c>
    </row>
    <row r="267" spans="1:14">
      <c r="A267" s="684">
        <f t="shared" si="5"/>
        <v>44563</v>
      </c>
      <c r="B267" s="685" t="s">
        <v>18</v>
      </c>
      <c r="C267" s="687" t="s">
        <v>18</v>
      </c>
      <c r="D267" s="687" t="s">
        <v>18</v>
      </c>
      <c r="E267" s="687" t="s">
        <v>18</v>
      </c>
      <c r="F267" s="687" t="s">
        <v>18</v>
      </c>
      <c r="G267" s="687" t="s">
        <v>18</v>
      </c>
      <c r="H267" s="687" t="s">
        <v>18</v>
      </c>
      <c r="I267" s="687" t="s">
        <v>18</v>
      </c>
      <c r="J267" s="687" t="s">
        <v>18</v>
      </c>
      <c r="K267" s="687" t="s">
        <v>18</v>
      </c>
      <c r="L267" s="687" t="s">
        <v>18</v>
      </c>
      <c r="M267" s="687" t="s">
        <v>18</v>
      </c>
      <c r="N267" s="687" t="s">
        <v>18</v>
      </c>
    </row>
    <row r="268" spans="1:14">
      <c r="A268" s="684">
        <f t="shared" ref="A268:A307" si="6">A267+1</f>
        <v>44564</v>
      </c>
      <c r="B268" s="685" t="s">
        <v>18</v>
      </c>
      <c r="C268" s="687" t="s">
        <v>18</v>
      </c>
      <c r="D268" s="687" t="s">
        <v>18</v>
      </c>
      <c r="E268" s="687" t="s">
        <v>18</v>
      </c>
      <c r="F268" s="687" t="s">
        <v>18</v>
      </c>
      <c r="G268" s="687" t="s">
        <v>18</v>
      </c>
      <c r="H268" s="687" t="s">
        <v>18</v>
      </c>
      <c r="I268" s="687" t="s">
        <v>18</v>
      </c>
      <c r="J268" s="687" t="s">
        <v>18</v>
      </c>
      <c r="K268" s="687" t="s">
        <v>18</v>
      </c>
      <c r="L268" s="687" t="s">
        <v>18</v>
      </c>
      <c r="M268" s="687" t="s">
        <v>18</v>
      </c>
      <c r="N268" s="687" t="s">
        <v>18</v>
      </c>
    </row>
    <row r="269" spans="1:14">
      <c r="A269" s="684">
        <f t="shared" si="6"/>
        <v>44565</v>
      </c>
      <c r="B269" s="685" t="s">
        <v>18</v>
      </c>
      <c r="C269" s="687" t="s">
        <v>18</v>
      </c>
      <c r="D269" s="687" t="s">
        <v>18</v>
      </c>
      <c r="E269" s="687" t="s">
        <v>18</v>
      </c>
      <c r="F269" s="687" t="s">
        <v>18</v>
      </c>
      <c r="G269" s="687" t="s">
        <v>18</v>
      </c>
      <c r="H269" s="687" t="s">
        <v>18</v>
      </c>
      <c r="I269" s="687" t="s">
        <v>18</v>
      </c>
      <c r="J269" s="687" t="s">
        <v>18</v>
      </c>
      <c r="K269" s="687" t="s">
        <v>18</v>
      </c>
      <c r="L269" s="687" t="s">
        <v>18</v>
      </c>
      <c r="M269" s="687" t="s">
        <v>18</v>
      </c>
      <c r="N269" s="687" t="s">
        <v>18</v>
      </c>
    </row>
    <row r="270" spans="1:14">
      <c r="A270" s="684">
        <f t="shared" si="6"/>
        <v>44566</v>
      </c>
      <c r="B270" s="685" t="s">
        <v>18</v>
      </c>
      <c r="C270" s="687" t="s">
        <v>18</v>
      </c>
      <c r="D270" s="687" t="s">
        <v>18</v>
      </c>
      <c r="E270" s="687" t="s">
        <v>18</v>
      </c>
      <c r="F270" s="687" t="s">
        <v>18</v>
      </c>
      <c r="G270" s="687" t="s">
        <v>18</v>
      </c>
      <c r="H270" s="687" t="s">
        <v>18</v>
      </c>
      <c r="I270" s="687" t="s">
        <v>18</v>
      </c>
      <c r="J270" s="687" t="s">
        <v>18</v>
      </c>
      <c r="K270" s="687" t="s">
        <v>18</v>
      </c>
      <c r="L270" s="687" t="s">
        <v>18</v>
      </c>
      <c r="M270" s="687" t="s">
        <v>18</v>
      </c>
      <c r="N270" s="687" t="s">
        <v>18</v>
      </c>
    </row>
    <row r="271" spans="1:14">
      <c r="A271" s="684">
        <f t="shared" si="6"/>
        <v>44567</v>
      </c>
      <c r="B271" s="685" t="s">
        <v>18</v>
      </c>
      <c r="C271" s="687" t="s">
        <v>18</v>
      </c>
      <c r="D271" s="687" t="s">
        <v>18</v>
      </c>
      <c r="E271" s="687" t="s">
        <v>18</v>
      </c>
      <c r="F271" s="687" t="s">
        <v>18</v>
      </c>
      <c r="G271" s="687" t="s">
        <v>18</v>
      </c>
      <c r="H271" s="687" t="s">
        <v>18</v>
      </c>
      <c r="I271" s="687" t="s">
        <v>18</v>
      </c>
      <c r="J271" s="687" t="s">
        <v>18</v>
      </c>
      <c r="K271" s="687" t="s">
        <v>18</v>
      </c>
      <c r="L271" s="687" t="s">
        <v>18</v>
      </c>
      <c r="M271" s="687" t="s">
        <v>18</v>
      </c>
      <c r="N271" s="687" t="s">
        <v>18</v>
      </c>
    </row>
    <row r="272" spans="1:14">
      <c r="A272" s="684">
        <f t="shared" si="6"/>
        <v>44568</v>
      </c>
      <c r="B272" s="685" t="s">
        <v>18</v>
      </c>
      <c r="C272" s="687" t="s">
        <v>18</v>
      </c>
      <c r="D272" s="687" t="s">
        <v>18</v>
      </c>
      <c r="E272" s="687" t="s">
        <v>18</v>
      </c>
      <c r="F272" s="687" t="s">
        <v>18</v>
      </c>
      <c r="G272" s="687" t="s">
        <v>18</v>
      </c>
      <c r="H272" s="687" t="s">
        <v>18</v>
      </c>
      <c r="I272" s="687" t="s">
        <v>18</v>
      </c>
      <c r="J272" s="687" t="s">
        <v>18</v>
      </c>
      <c r="K272" s="687" t="s">
        <v>18</v>
      </c>
      <c r="L272" s="687" t="s">
        <v>18</v>
      </c>
      <c r="M272" s="687" t="s">
        <v>18</v>
      </c>
      <c r="N272" s="687" t="s">
        <v>18</v>
      </c>
    </row>
    <row r="273" spans="1:14">
      <c r="A273" s="684">
        <f t="shared" si="6"/>
        <v>44569</v>
      </c>
      <c r="B273" s="685" t="s">
        <v>18</v>
      </c>
      <c r="C273" s="687" t="s">
        <v>18</v>
      </c>
      <c r="D273" s="687" t="s">
        <v>18</v>
      </c>
      <c r="E273" s="687" t="s">
        <v>18</v>
      </c>
      <c r="F273" s="687" t="s">
        <v>18</v>
      </c>
      <c r="G273" s="687" t="s">
        <v>18</v>
      </c>
      <c r="H273" s="687" t="s">
        <v>18</v>
      </c>
      <c r="I273" s="687" t="s">
        <v>18</v>
      </c>
      <c r="J273" s="687" t="s">
        <v>18</v>
      </c>
      <c r="K273" s="687" t="s">
        <v>18</v>
      </c>
      <c r="L273" s="687" t="s">
        <v>18</v>
      </c>
      <c r="M273" s="687" t="s">
        <v>18</v>
      </c>
      <c r="N273" s="687" t="s">
        <v>18</v>
      </c>
    </row>
    <row r="274" spans="1:14">
      <c r="A274" s="684">
        <f t="shared" si="6"/>
        <v>44570</v>
      </c>
      <c r="B274" s="685" t="s">
        <v>18</v>
      </c>
      <c r="C274" s="687" t="s">
        <v>18</v>
      </c>
      <c r="D274" s="687" t="s">
        <v>18</v>
      </c>
      <c r="E274" s="687" t="s">
        <v>18</v>
      </c>
      <c r="F274" s="687" t="s">
        <v>18</v>
      </c>
      <c r="G274" s="687" t="s">
        <v>18</v>
      </c>
      <c r="H274" s="687" t="s">
        <v>18</v>
      </c>
      <c r="I274" s="687" t="s">
        <v>18</v>
      </c>
      <c r="J274" s="687" t="s">
        <v>18</v>
      </c>
      <c r="K274" s="687" t="s">
        <v>18</v>
      </c>
      <c r="L274" s="687" t="s">
        <v>18</v>
      </c>
      <c r="M274" s="687" t="s">
        <v>18</v>
      </c>
      <c r="N274" s="687" t="s">
        <v>18</v>
      </c>
    </row>
    <row r="275" spans="1:14">
      <c r="A275" s="684">
        <f t="shared" si="6"/>
        <v>44571</v>
      </c>
      <c r="B275" s="685" t="s">
        <v>18</v>
      </c>
      <c r="C275" s="687" t="s">
        <v>18</v>
      </c>
      <c r="D275" s="687" t="s">
        <v>18</v>
      </c>
      <c r="E275" s="687" t="s">
        <v>18</v>
      </c>
      <c r="F275" s="687" t="s">
        <v>18</v>
      </c>
      <c r="G275" s="687" t="s">
        <v>18</v>
      </c>
      <c r="H275" s="687" t="s">
        <v>18</v>
      </c>
      <c r="I275" s="687" t="s">
        <v>18</v>
      </c>
      <c r="J275" s="687" t="s">
        <v>18</v>
      </c>
      <c r="K275" s="687" t="s">
        <v>18</v>
      </c>
      <c r="L275" s="687" t="s">
        <v>18</v>
      </c>
      <c r="M275" s="687" t="s">
        <v>18</v>
      </c>
      <c r="N275" s="687" t="s">
        <v>18</v>
      </c>
    </row>
    <row r="276" spans="1:14">
      <c r="A276" s="684">
        <f t="shared" si="6"/>
        <v>44572</v>
      </c>
      <c r="B276" s="685" t="s">
        <v>18</v>
      </c>
      <c r="C276" s="687" t="s">
        <v>18</v>
      </c>
      <c r="D276" s="687" t="s">
        <v>18</v>
      </c>
      <c r="E276" s="687" t="s">
        <v>18</v>
      </c>
      <c r="F276" s="687" t="s">
        <v>18</v>
      </c>
      <c r="G276" s="687" t="s">
        <v>18</v>
      </c>
      <c r="H276" s="687" t="s">
        <v>18</v>
      </c>
      <c r="I276" s="687" t="s">
        <v>18</v>
      </c>
      <c r="J276" s="687" t="s">
        <v>18</v>
      </c>
      <c r="K276" s="687" t="s">
        <v>18</v>
      </c>
      <c r="L276" s="687" t="s">
        <v>18</v>
      </c>
      <c r="M276" s="687" t="s">
        <v>18</v>
      </c>
      <c r="N276" s="687" t="s">
        <v>18</v>
      </c>
    </row>
    <row r="277" spans="1:14">
      <c r="A277" s="684">
        <f t="shared" si="6"/>
        <v>44573</v>
      </c>
      <c r="B277" s="685" t="s">
        <v>18</v>
      </c>
      <c r="C277" s="687" t="s">
        <v>18</v>
      </c>
      <c r="D277" s="687" t="s">
        <v>18</v>
      </c>
      <c r="E277" s="687" t="s">
        <v>18</v>
      </c>
      <c r="F277" s="687" t="s">
        <v>18</v>
      </c>
      <c r="G277" s="687" t="s">
        <v>18</v>
      </c>
      <c r="H277" s="687" t="s">
        <v>18</v>
      </c>
      <c r="I277" s="687" t="s">
        <v>18</v>
      </c>
      <c r="J277" s="687" t="s">
        <v>18</v>
      </c>
      <c r="K277" s="687" t="s">
        <v>18</v>
      </c>
      <c r="L277" s="687" t="s">
        <v>18</v>
      </c>
      <c r="M277" s="687" t="s">
        <v>18</v>
      </c>
      <c r="N277" s="687" t="s">
        <v>18</v>
      </c>
    </row>
    <row r="278" spans="1:14">
      <c r="A278" s="684">
        <f t="shared" si="6"/>
        <v>44574</v>
      </c>
      <c r="B278" s="685" t="s">
        <v>18</v>
      </c>
      <c r="C278" s="687" t="s">
        <v>18</v>
      </c>
      <c r="D278" s="687" t="s">
        <v>18</v>
      </c>
      <c r="E278" s="687" t="s">
        <v>18</v>
      </c>
      <c r="F278" s="687" t="s">
        <v>18</v>
      </c>
      <c r="G278" s="687" t="s">
        <v>18</v>
      </c>
      <c r="H278" s="687" t="s">
        <v>18</v>
      </c>
      <c r="I278" s="687" t="s">
        <v>18</v>
      </c>
      <c r="J278" s="687" t="s">
        <v>18</v>
      </c>
      <c r="K278" s="687" t="s">
        <v>18</v>
      </c>
      <c r="L278" s="687" t="s">
        <v>18</v>
      </c>
      <c r="M278" s="687" t="s">
        <v>18</v>
      </c>
      <c r="N278" s="687" t="s">
        <v>18</v>
      </c>
    </row>
    <row r="279" spans="1:14">
      <c r="A279" s="684">
        <f t="shared" si="6"/>
        <v>44575</v>
      </c>
      <c r="B279" s="685" t="s">
        <v>18</v>
      </c>
      <c r="C279" s="687" t="s">
        <v>18</v>
      </c>
      <c r="D279" s="687" t="s">
        <v>18</v>
      </c>
      <c r="E279" s="687" t="s">
        <v>18</v>
      </c>
      <c r="F279" s="687" t="s">
        <v>18</v>
      </c>
      <c r="G279" s="687" t="s">
        <v>18</v>
      </c>
      <c r="H279" s="687" t="s">
        <v>18</v>
      </c>
      <c r="I279" s="687" t="s">
        <v>18</v>
      </c>
      <c r="J279" s="687" t="s">
        <v>18</v>
      </c>
      <c r="K279" s="687" t="s">
        <v>18</v>
      </c>
      <c r="L279" s="687" t="s">
        <v>18</v>
      </c>
      <c r="M279" s="687" t="s">
        <v>18</v>
      </c>
      <c r="N279" s="687" t="s">
        <v>18</v>
      </c>
    </row>
    <row r="280" spans="1:14">
      <c r="A280" s="684">
        <f t="shared" si="6"/>
        <v>44576</v>
      </c>
      <c r="B280" s="685" t="s">
        <v>18</v>
      </c>
      <c r="C280" s="687" t="s">
        <v>18</v>
      </c>
      <c r="D280" s="687" t="s">
        <v>18</v>
      </c>
      <c r="E280" s="687" t="s">
        <v>18</v>
      </c>
      <c r="F280" s="687" t="s">
        <v>18</v>
      </c>
      <c r="G280" s="687" t="s">
        <v>18</v>
      </c>
      <c r="H280" s="687" t="s">
        <v>18</v>
      </c>
      <c r="I280" s="687" t="s">
        <v>18</v>
      </c>
      <c r="J280" s="687" t="s">
        <v>18</v>
      </c>
      <c r="K280" s="687" t="s">
        <v>18</v>
      </c>
      <c r="L280" s="687" t="s">
        <v>18</v>
      </c>
      <c r="M280" s="687" t="s">
        <v>18</v>
      </c>
      <c r="N280" s="687" t="s">
        <v>18</v>
      </c>
    </row>
    <row r="281" spans="1:14">
      <c r="A281" s="684">
        <f t="shared" si="6"/>
        <v>44577</v>
      </c>
      <c r="B281" s="685" t="s">
        <v>18</v>
      </c>
      <c r="C281" s="687" t="s">
        <v>18</v>
      </c>
      <c r="D281" s="687" t="s">
        <v>18</v>
      </c>
      <c r="E281" s="687" t="s">
        <v>18</v>
      </c>
      <c r="F281" s="687" t="s">
        <v>18</v>
      </c>
      <c r="G281" s="687" t="s">
        <v>18</v>
      </c>
      <c r="H281" s="687" t="s">
        <v>18</v>
      </c>
      <c r="I281" s="687" t="s">
        <v>18</v>
      </c>
      <c r="J281" s="687" t="s">
        <v>18</v>
      </c>
      <c r="K281" s="687" t="s">
        <v>18</v>
      </c>
      <c r="L281" s="687" t="s">
        <v>18</v>
      </c>
      <c r="M281" s="687" t="s">
        <v>18</v>
      </c>
      <c r="N281" s="687" t="s">
        <v>18</v>
      </c>
    </row>
    <row r="282" spans="1:14">
      <c r="A282" s="684">
        <f t="shared" si="6"/>
        <v>44578</v>
      </c>
      <c r="B282" s="685" t="s">
        <v>18</v>
      </c>
      <c r="C282" s="687" t="s">
        <v>18</v>
      </c>
      <c r="D282" s="687" t="s">
        <v>18</v>
      </c>
      <c r="E282" s="687" t="s">
        <v>18</v>
      </c>
      <c r="F282" s="687" t="s">
        <v>18</v>
      </c>
      <c r="G282" s="687" t="s">
        <v>18</v>
      </c>
      <c r="H282" s="687" t="s">
        <v>18</v>
      </c>
      <c r="I282" s="687" t="s">
        <v>18</v>
      </c>
      <c r="J282" s="687" t="s">
        <v>18</v>
      </c>
      <c r="K282" s="687" t="s">
        <v>18</v>
      </c>
      <c r="L282" s="687" t="s">
        <v>18</v>
      </c>
      <c r="M282" s="687" t="s">
        <v>18</v>
      </c>
      <c r="N282" s="687" t="s">
        <v>18</v>
      </c>
    </row>
    <row r="283" spans="1:14">
      <c r="A283" s="684">
        <f t="shared" si="6"/>
        <v>44579</v>
      </c>
      <c r="B283" s="685" t="s">
        <v>18</v>
      </c>
      <c r="C283" s="687" t="s">
        <v>18</v>
      </c>
      <c r="D283" s="687" t="s">
        <v>18</v>
      </c>
      <c r="E283" s="687" t="s">
        <v>18</v>
      </c>
      <c r="F283" s="687" t="s">
        <v>18</v>
      </c>
      <c r="G283" s="687" t="s">
        <v>18</v>
      </c>
      <c r="H283" s="687" t="s">
        <v>18</v>
      </c>
      <c r="I283" s="687" t="s">
        <v>18</v>
      </c>
      <c r="J283" s="687" t="s">
        <v>18</v>
      </c>
      <c r="K283" s="687" t="s">
        <v>18</v>
      </c>
      <c r="L283" s="687" t="s">
        <v>18</v>
      </c>
      <c r="M283" s="687" t="s">
        <v>18</v>
      </c>
      <c r="N283" s="687" t="s">
        <v>18</v>
      </c>
    </row>
    <row r="284" spans="1:14">
      <c r="A284" s="684">
        <f t="shared" si="6"/>
        <v>44580</v>
      </c>
      <c r="B284" s="685" t="s">
        <v>18</v>
      </c>
      <c r="C284" s="687" t="s">
        <v>18</v>
      </c>
      <c r="D284" s="687" t="s">
        <v>18</v>
      </c>
      <c r="E284" s="687" t="s">
        <v>18</v>
      </c>
      <c r="F284" s="687" t="s">
        <v>18</v>
      </c>
      <c r="G284" s="687" t="s">
        <v>18</v>
      </c>
      <c r="H284" s="687" t="s">
        <v>18</v>
      </c>
      <c r="I284" s="687" t="s">
        <v>18</v>
      </c>
      <c r="J284" s="687" t="s">
        <v>18</v>
      </c>
      <c r="K284" s="687" t="s">
        <v>18</v>
      </c>
      <c r="L284" s="687" t="s">
        <v>18</v>
      </c>
      <c r="M284" s="687" t="s">
        <v>18</v>
      </c>
      <c r="N284" s="687" t="s">
        <v>18</v>
      </c>
    </row>
    <row r="285" spans="1:14">
      <c r="A285" s="684">
        <f t="shared" si="6"/>
        <v>44581</v>
      </c>
      <c r="B285" s="685" t="s">
        <v>18</v>
      </c>
      <c r="C285" s="687" t="s">
        <v>18</v>
      </c>
      <c r="D285" s="687" t="s">
        <v>18</v>
      </c>
      <c r="E285" s="687" t="s">
        <v>18</v>
      </c>
      <c r="F285" s="687" t="s">
        <v>18</v>
      </c>
      <c r="G285" s="687" t="s">
        <v>18</v>
      </c>
      <c r="H285" s="687" t="s">
        <v>18</v>
      </c>
      <c r="I285" s="687" t="s">
        <v>18</v>
      </c>
      <c r="J285" s="687" t="s">
        <v>18</v>
      </c>
      <c r="K285" s="687" t="s">
        <v>18</v>
      </c>
      <c r="L285" s="687" t="s">
        <v>18</v>
      </c>
      <c r="M285" s="687" t="s">
        <v>18</v>
      </c>
      <c r="N285" s="687" t="s">
        <v>18</v>
      </c>
    </row>
    <row r="286" spans="1:14">
      <c r="A286" s="684">
        <f t="shared" si="6"/>
        <v>44582</v>
      </c>
      <c r="B286" s="685" t="s">
        <v>18</v>
      </c>
      <c r="C286" s="687" t="s">
        <v>18</v>
      </c>
      <c r="D286" s="687" t="s">
        <v>18</v>
      </c>
      <c r="E286" s="687" t="s">
        <v>18</v>
      </c>
      <c r="F286" s="687" t="s">
        <v>18</v>
      </c>
      <c r="G286" s="687" t="s">
        <v>18</v>
      </c>
      <c r="H286" s="687" t="s">
        <v>18</v>
      </c>
      <c r="I286" s="687" t="s">
        <v>18</v>
      </c>
      <c r="J286" s="687" t="s">
        <v>18</v>
      </c>
      <c r="K286" s="687" t="s">
        <v>18</v>
      </c>
      <c r="L286" s="687" t="s">
        <v>18</v>
      </c>
      <c r="M286" s="687" t="s">
        <v>18</v>
      </c>
      <c r="N286" s="687" t="s">
        <v>18</v>
      </c>
    </row>
    <row r="287" spans="1:14">
      <c r="A287" s="684">
        <f t="shared" si="6"/>
        <v>44583</v>
      </c>
      <c r="B287" s="685" t="s">
        <v>18</v>
      </c>
      <c r="C287" s="687" t="s">
        <v>18</v>
      </c>
      <c r="D287" s="687" t="s">
        <v>18</v>
      </c>
      <c r="E287" s="687" t="s">
        <v>18</v>
      </c>
      <c r="F287" s="687" t="s">
        <v>18</v>
      </c>
      <c r="G287" s="687" t="s">
        <v>18</v>
      </c>
      <c r="H287" s="687" t="s">
        <v>18</v>
      </c>
      <c r="I287" s="687" t="s">
        <v>18</v>
      </c>
      <c r="J287" s="687" t="s">
        <v>18</v>
      </c>
      <c r="K287" s="687" t="s">
        <v>18</v>
      </c>
      <c r="L287" s="687" t="s">
        <v>18</v>
      </c>
      <c r="M287" s="687" t="s">
        <v>18</v>
      </c>
      <c r="N287" s="687" t="s">
        <v>18</v>
      </c>
    </row>
    <row r="288" spans="1:14">
      <c r="A288" s="684">
        <f t="shared" si="6"/>
        <v>44584</v>
      </c>
      <c r="B288" s="685" t="s">
        <v>18</v>
      </c>
      <c r="C288" s="687" t="s">
        <v>18</v>
      </c>
      <c r="D288" s="687" t="s">
        <v>18</v>
      </c>
      <c r="E288" s="687" t="s">
        <v>18</v>
      </c>
      <c r="F288" s="687" t="s">
        <v>18</v>
      </c>
      <c r="G288" s="687" t="s">
        <v>18</v>
      </c>
      <c r="H288" s="687" t="s">
        <v>18</v>
      </c>
      <c r="I288" s="687" t="s">
        <v>18</v>
      </c>
      <c r="J288" s="687" t="s">
        <v>18</v>
      </c>
      <c r="K288" s="687" t="s">
        <v>18</v>
      </c>
      <c r="L288" s="687" t="s">
        <v>18</v>
      </c>
      <c r="M288" s="687" t="s">
        <v>18</v>
      </c>
      <c r="N288" s="687" t="s">
        <v>18</v>
      </c>
    </row>
    <row r="289" spans="1:14">
      <c r="A289" s="684">
        <f t="shared" si="6"/>
        <v>44585</v>
      </c>
      <c r="B289" s="685" t="s">
        <v>18</v>
      </c>
      <c r="C289" s="687" t="s">
        <v>18</v>
      </c>
      <c r="D289" s="687" t="s">
        <v>18</v>
      </c>
      <c r="E289" s="687" t="s">
        <v>18</v>
      </c>
      <c r="F289" s="687" t="s">
        <v>18</v>
      </c>
      <c r="G289" s="687" t="s">
        <v>18</v>
      </c>
      <c r="H289" s="687" t="s">
        <v>18</v>
      </c>
      <c r="I289" s="687" t="s">
        <v>18</v>
      </c>
      <c r="J289" s="687" t="s">
        <v>18</v>
      </c>
      <c r="K289" s="687" t="s">
        <v>18</v>
      </c>
      <c r="L289" s="687" t="s">
        <v>18</v>
      </c>
      <c r="M289" s="687" t="s">
        <v>18</v>
      </c>
      <c r="N289" s="687" t="s">
        <v>18</v>
      </c>
    </row>
    <row r="290" spans="1:14">
      <c r="A290" s="684">
        <f t="shared" si="6"/>
        <v>44586</v>
      </c>
      <c r="B290" s="685" t="s">
        <v>18</v>
      </c>
      <c r="C290" s="687" t="s">
        <v>18</v>
      </c>
      <c r="D290" s="687" t="s">
        <v>18</v>
      </c>
      <c r="E290" s="687" t="s">
        <v>18</v>
      </c>
      <c r="F290" s="687" t="s">
        <v>18</v>
      </c>
      <c r="G290" s="687" t="s">
        <v>18</v>
      </c>
      <c r="H290" s="687" t="s">
        <v>18</v>
      </c>
      <c r="I290" s="687" t="s">
        <v>18</v>
      </c>
      <c r="J290" s="687" t="s">
        <v>18</v>
      </c>
      <c r="K290" s="687" t="s">
        <v>18</v>
      </c>
      <c r="L290" s="687" t="s">
        <v>18</v>
      </c>
      <c r="M290" s="687" t="s">
        <v>18</v>
      </c>
      <c r="N290" s="687" t="s">
        <v>18</v>
      </c>
    </row>
    <row r="291" spans="1:14">
      <c r="A291" s="684">
        <f t="shared" si="6"/>
        <v>44587</v>
      </c>
      <c r="B291" s="685" t="s">
        <v>18</v>
      </c>
      <c r="C291" s="687" t="s">
        <v>18</v>
      </c>
      <c r="D291" s="687" t="s">
        <v>18</v>
      </c>
      <c r="E291" s="687" t="s">
        <v>18</v>
      </c>
      <c r="F291" s="687" t="s">
        <v>18</v>
      </c>
      <c r="G291" s="687" t="s">
        <v>18</v>
      </c>
      <c r="H291" s="687" t="s">
        <v>18</v>
      </c>
      <c r="I291" s="687" t="s">
        <v>18</v>
      </c>
      <c r="J291" s="687" t="s">
        <v>18</v>
      </c>
      <c r="K291" s="687" t="s">
        <v>18</v>
      </c>
      <c r="L291" s="687" t="s">
        <v>18</v>
      </c>
      <c r="M291" s="687" t="s">
        <v>18</v>
      </c>
      <c r="N291" s="687" t="s">
        <v>18</v>
      </c>
    </row>
    <row r="292" spans="1:14">
      <c r="A292" s="684">
        <f t="shared" si="6"/>
        <v>44588</v>
      </c>
      <c r="B292" s="685" t="s">
        <v>18</v>
      </c>
      <c r="C292" s="687" t="s">
        <v>18</v>
      </c>
      <c r="D292" s="687" t="s">
        <v>18</v>
      </c>
      <c r="E292" s="687" t="s">
        <v>18</v>
      </c>
      <c r="F292" s="687" t="s">
        <v>18</v>
      </c>
      <c r="G292" s="687" t="s">
        <v>18</v>
      </c>
      <c r="H292" s="687" t="s">
        <v>18</v>
      </c>
      <c r="I292" s="687" t="s">
        <v>18</v>
      </c>
      <c r="J292" s="687" t="s">
        <v>18</v>
      </c>
      <c r="K292" s="687" t="s">
        <v>18</v>
      </c>
      <c r="L292" s="687" t="s">
        <v>18</v>
      </c>
      <c r="M292" s="687" t="s">
        <v>18</v>
      </c>
      <c r="N292" s="687" t="s">
        <v>18</v>
      </c>
    </row>
    <row r="293" spans="1:14">
      <c r="A293" s="684">
        <f t="shared" si="6"/>
        <v>44589</v>
      </c>
      <c r="B293" s="685" t="s">
        <v>18</v>
      </c>
      <c r="C293" s="687" t="s">
        <v>18</v>
      </c>
      <c r="D293" s="687" t="s">
        <v>18</v>
      </c>
      <c r="E293" s="687" t="s">
        <v>18</v>
      </c>
      <c r="F293" s="687" t="s">
        <v>18</v>
      </c>
      <c r="G293" s="687" t="s">
        <v>18</v>
      </c>
      <c r="H293" s="687" t="s">
        <v>18</v>
      </c>
      <c r="I293" s="687" t="s">
        <v>18</v>
      </c>
      <c r="J293" s="687" t="s">
        <v>18</v>
      </c>
      <c r="K293" s="687" t="s">
        <v>18</v>
      </c>
      <c r="L293" s="687" t="s">
        <v>18</v>
      </c>
      <c r="M293" s="687" t="s">
        <v>18</v>
      </c>
      <c r="N293" s="687" t="s">
        <v>18</v>
      </c>
    </row>
    <row r="294" spans="1:14">
      <c r="A294" s="684">
        <f t="shared" si="6"/>
        <v>44590</v>
      </c>
      <c r="B294" s="685" t="s">
        <v>18</v>
      </c>
      <c r="C294" s="687" t="s">
        <v>18</v>
      </c>
      <c r="D294" s="687" t="s">
        <v>18</v>
      </c>
      <c r="E294" s="687" t="s">
        <v>18</v>
      </c>
      <c r="F294" s="687" t="s">
        <v>18</v>
      </c>
      <c r="G294" s="687" t="s">
        <v>18</v>
      </c>
      <c r="H294" s="687" t="s">
        <v>18</v>
      </c>
      <c r="I294" s="687" t="s">
        <v>18</v>
      </c>
      <c r="J294" s="687" t="s">
        <v>18</v>
      </c>
      <c r="K294" s="687" t="s">
        <v>18</v>
      </c>
      <c r="L294" s="687" t="s">
        <v>18</v>
      </c>
      <c r="M294" s="687" t="s">
        <v>18</v>
      </c>
      <c r="N294" s="687" t="s">
        <v>18</v>
      </c>
    </row>
    <row r="295" spans="1:14">
      <c r="A295" s="684">
        <f t="shared" si="6"/>
        <v>44591</v>
      </c>
      <c r="B295" s="685" t="s">
        <v>18</v>
      </c>
      <c r="C295" s="687" t="s">
        <v>18</v>
      </c>
      <c r="D295" s="687" t="s">
        <v>18</v>
      </c>
      <c r="E295" s="687" t="s">
        <v>18</v>
      </c>
      <c r="F295" s="687" t="s">
        <v>18</v>
      </c>
      <c r="G295" s="687" t="s">
        <v>18</v>
      </c>
      <c r="H295" s="687" t="s">
        <v>18</v>
      </c>
      <c r="I295" s="687" t="s">
        <v>18</v>
      </c>
      <c r="J295" s="687" t="s">
        <v>18</v>
      </c>
      <c r="K295" s="687" t="s">
        <v>18</v>
      </c>
      <c r="L295" s="687" t="s">
        <v>18</v>
      </c>
      <c r="M295" s="687" t="s">
        <v>18</v>
      </c>
      <c r="N295" s="687" t="s">
        <v>18</v>
      </c>
    </row>
    <row r="296" spans="1:14">
      <c r="A296" s="684">
        <f t="shared" si="6"/>
        <v>44592</v>
      </c>
      <c r="B296" s="685" t="s">
        <v>18</v>
      </c>
      <c r="C296" s="687" t="s">
        <v>18</v>
      </c>
      <c r="D296" s="687" t="s">
        <v>18</v>
      </c>
      <c r="E296" s="687" t="s">
        <v>18</v>
      </c>
      <c r="F296" s="687" t="s">
        <v>18</v>
      </c>
      <c r="G296" s="687" t="s">
        <v>18</v>
      </c>
      <c r="H296" s="687" t="s">
        <v>18</v>
      </c>
      <c r="I296" s="687" t="s">
        <v>18</v>
      </c>
      <c r="J296" s="687" t="s">
        <v>18</v>
      </c>
      <c r="K296" s="687" t="s">
        <v>18</v>
      </c>
      <c r="L296" s="687" t="s">
        <v>18</v>
      </c>
      <c r="M296" s="687" t="s">
        <v>18</v>
      </c>
      <c r="N296" s="687" t="s">
        <v>18</v>
      </c>
    </row>
    <row r="297" spans="1:14">
      <c r="A297" s="684">
        <f t="shared" si="6"/>
        <v>44593</v>
      </c>
      <c r="B297" s="685" t="s">
        <v>18</v>
      </c>
      <c r="C297" s="687" t="s">
        <v>18</v>
      </c>
      <c r="D297" s="687" t="s">
        <v>18</v>
      </c>
      <c r="E297" s="687" t="s">
        <v>18</v>
      </c>
      <c r="F297" s="687" t="s">
        <v>18</v>
      </c>
      <c r="G297" s="687" t="s">
        <v>18</v>
      </c>
      <c r="H297" s="687" t="s">
        <v>18</v>
      </c>
      <c r="I297" s="687" t="s">
        <v>18</v>
      </c>
      <c r="J297" s="687" t="s">
        <v>18</v>
      </c>
      <c r="K297" s="687" t="s">
        <v>18</v>
      </c>
      <c r="L297" s="687" t="s">
        <v>18</v>
      </c>
      <c r="M297" s="687" t="s">
        <v>18</v>
      </c>
      <c r="N297" s="687" t="s">
        <v>18</v>
      </c>
    </row>
    <row r="298" spans="1:14">
      <c r="A298" s="684">
        <f t="shared" si="6"/>
        <v>44594</v>
      </c>
      <c r="B298" s="685" t="s">
        <v>18</v>
      </c>
      <c r="C298" s="687" t="s">
        <v>18</v>
      </c>
      <c r="D298" s="687" t="s">
        <v>18</v>
      </c>
      <c r="E298" s="687" t="s">
        <v>18</v>
      </c>
      <c r="F298" s="687" t="s">
        <v>18</v>
      </c>
      <c r="G298" s="687" t="s">
        <v>18</v>
      </c>
      <c r="H298" s="687" t="s">
        <v>18</v>
      </c>
      <c r="I298" s="687" t="s">
        <v>18</v>
      </c>
      <c r="J298" s="687" t="s">
        <v>18</v>
      </c>
      <c r="K298" s="687" t="s">
        <v>18</v>
      </c>
      <c r="L298" s="687" t="s">
        <v>18</v>
      </c>
      <c r="M298" s="687" t="s">
        <v>18</v>
      </c>
      <c r="N298" s="687" t="s">
        <v>18</v>
      </c>
    </row>
    <row r="299" spans="1:14">
      <c r="A299" s="684">
        <f t="shared" si="6"/>
        <v>44595</v>
      </c>
      <c r="B299" s="685" t="s">
        <v>18</v>
      </c>
      <c r="C299" s="687" t="s">
        <v>18</v>
      </c>
      <c r="D299" s="687" t="s">
        <v>18</v>
      </c>
      <c r="E299" s="687" t="s">
        <v>18</v>
      </c>
      <c r="F299" s="687" t="s">
        <v>18</v>
      </c>
      <c r="G299" s="687" t="s">
        <v>18</v>
      </c>
      <c r="H299" s="687" t="s">
        <v>18</v>
      </c>
      <c r="I299" s="687" t="s">
        <v>18</v>
      </c>
      <c r="J299" s="687" t="s">
        <v>18</v>
      </c>
      <c r="K299" s="687" t="s">
        <v>18</v>
      </c>
      <c r="L299" s="687" t="s">
        <v>18</v>
      </c>
      <c r="M299" s="687" t="s">
        <v>18</v>
      </c>
      <c r="N299" s="687" t="s">
        <v>18</v>
      </c>
    </row>
    <row r="300" spans="1:14">
      <c r="A300" s="684">
        <f t="shared" si="6"/>
        <v>44596</v>
      </c>
      <c r="B300" s="685" t="s">
        <v>18</v>
      </c>
      <c r="C300" s="687" t="s">
        <v>18</v>
      </c>
      <c r="D300" s="687" t="s">
        <v>18</v>
      </c>
      <c r="E300" s="687" t="s">
        <v>18</v>
      </c>
      <c r="F300" s="687" t="s">
        <v>18</v>
      </c>
      <c r="G300" s="687" t="s">
        <v>18</v>
      </c>
      <c r="H300" s="687" t="s">
        <v>18</v>
      </c>
      <c r="I300" s="687" t="s">
        <v>18</v>
      </c>
      <c r="J300" s="687" t="s">
        <v>18</v>
      </c>
      <c r="K300" s="687" t="s">
        <v>18</v>
      </c>
      <c r="L300" s="687" t="s">
        <v>18</v>
      </c>
      <c r="M300" s="687" t="s">
        <v>18</v>
      </c>
      <c r="N300" s="687" t="s">
        <v>18</v>
      </c>
    </row>
    <row r="301" spans="1:14">
      <c r="A301" s="684">
        <f t="shared" si="6"/>
        <v>44597</v>
      </c>
      <c r="B301" s="685" t="s">
        <v>18</v>
      </c>
      <c r="C301" s="687" t="s">
        <v>18</v>
      </c>
      <c r="D301" s="687" t="s">
        <v>18</v>
      </c>
      <c r="E301" s="687" t="s">
        <v>18</v>
      </c>
      <c r="F301" s="687" t="s">
        <v>18</v>
      </c>
      <c r="G301" s="687" t="s">
        <v>18</v>
      </c>
      <c r="H301" s="687" t="s">
        <v>18</v>
      </c>
      <c r="I301" s="687" t="s">
        <v>18</v>
      </c>
      <c r="J301" s="687" t="s">
        <v>18</v>
      </c>
      <c r="K301" s="687" t="s">
        <v>18</v>
      </c>
      <c r="L301" s="687" t="s">
        <v>18</v>
      </c>
      <c r="M301" s="687" t="s">
        <v>18</v>
      </c>
      <c r="N301" s="687" t="s">
        <v>18</v>
      </c>
    </row>
    <row r="302" spans="1:14">
      <c r="A302" s="684">
        <f t="shared" si="6"/>
        <v>44598</v>
      </c>
      <c r="B302" s="685" t="s">
        <v>18</v>
      </c>
      <c r="C302" s="687" t="s">
        <v>18</v>
      </c>
      <c r="D302" s="687" t="s">
        <v>18</v>
      </c>
      <c r="E302" s="687" t="s">
        <v>18</v>
      </c>
      <c r="F302" s="687" t="s">
        <v>18</v>
      </c>
      <c r="G302" s="687" t="s">
        <v>18</v>
      </c>
      <c r="H302" s="687" t="s">
        <v>18</v>
      </c>
      <c r="I302" s="687" t="s">
        <v>18</v>
      </c>
      <c r="J302" s="687" t="s">
        <v>18</v>
      </c>
      <c r="K302" s="687" t="s">
        <v>18</v>
      </c>
      <c r="L302" s="687" t="s">
        <v>18</v>
      </c>
      <c r="M302" s="687" t="s">
        <v>18</v>
      </c>
      <c r="N302" s="687" t="s">
        <v>18</v>
      </c>
    </row>
    <row r="303" spans="1:14">
      <c r="A303" s="684">
        <f t="shared" si="6"/>
        <v>44599</v>
      </c>
      <c r="B303" s="685" t="s">
        <v>18</v>
      </c>
      <c r="C303" s="687" t="s">
        <v>18</v>
      </c>
      <c r="D303" s="687" t="s">
        <v>18</v>
      </c>
      <c r="E303" s="687" t="s">
        <v>18</v>
      </c>
      <c r="F303" s="687" t="s">
        <v>18</v>
      </c>
      <c r="G303" s="687" t="s">
        <v>18</v>
      </c>
      <c r="H303" s="687" t="s">
        <v>18</v>
      </c>
      <c r="I303" s="687" t="s">
        <v>18</v>
      </c>
      <c r="J303" s="687" t="s">
        <v>18</v>
      </c>
      <c r="K303" s="687" t="s">
        <v>18</v>
      </c>
      <c r="L303" s="687" t="s">
        <v>18</v>
      </c>
      <c r="M303" s="687" t="s">
        <v>18</v>
      </c>
      <c r="N303" s="687" t="s">
        <v>18</v>
      </c>
    </row>
    <row r="304" spans="1:14">
      <c r="A304" s="684">
        <f t="shared" si="6"/>
        <v>44600</v>
      </c>
      <c r="B304" s="685" t="s">
        <v>18</v>
      </c>
      <c r="C304" s="687" t="s">
        <v>18</v>
      </c>
      <c r="D304" s="687" t="s">
        <v>18</v>
      </c>
      <c r="E304" s="687" t="s">
        <v>18</v>
      </c>
      <c r="F304" s="687" t="s">
        <v>18</v>
      </c>
      <c r="G304" s="687" t="s">
        <v>18</v>
      </c>
      <c r="H304" s="687" t="s">
        <v>18</v>
      </c>
      <c r="I304" s="687" t="s">
        <v>18</v>
      </c>
      <c r="J304" s="687" t="s">
        <v>18</v>
      </c>
      <c r="K304" s="687" t="s">
        <v>18</v>
      </c>
      <c r="L304" s="687" t="s">
        <v>18</v>
      </c>
      <c r="M304" s="687" t="s">
        <v>18</v>
      </c>
      <c r="N304" s="687" t="s">
        <v>18</v>
      </c>
    </row>
    <row r="305" spans="1:14">
      <c r="A305" s="684">
        <f t="shared" si="6"/>
        <v>44601</v>
      </c>
      <c r="B305" s="685" t="s">
        <v>18</v>
      </c>
      <c r="C305" s="687" t="s">
        <v>18</v>
      </c>
      <c r="D305" s="687" t="s">
        <v>18</v>
      </c>
      <c r="E305" s="687" t="s">
        <v>18</v>
      </c>
      <c r="F305" s="687" t="s">
        <v>18</v>
      </c>
      <c r="G305" s="687" t="s">
        <v>18</v>
      </c>
      <c r="H305" s="687" t="s">
        <v>18</v>
      </c>
      <c r="I305" s="687" t="s">
        <v>18</v>
      </c>
      <c r="J305" s="687" t="s">
        <v>18</v>
      </c>
      <c r="K305" s="687" t="s">
        <v>18</v>
      </c>
      <c r="L305" s="687" t="s">
        <v>18</v>
      </c>
      <c r="M305" s="687" t="s">
        <v>18</v>
      </c>
      <c r="N305" s="687" t="s">
        <v>18</v>
      </c>
    </row>
    <row r="306" spans="1:14">
      <c r="A306" s="684">
        <f t="shared" si="6"/>
        <v>44602</v>
      </c>
      <c r="B306" s="685" t="s">
        <v>18</v>
      </c>
      <c r="C306" s="687" t="s">
        <v>18</v>
      </c>
      <c r="D306" s="687" t="s">
        <v>18</v>
      </c>
      <c r="E306" s="687" t="s">
        <v>18</v>
      </c>
      <c r="F306" s="687" t="s">
        <v>18</v>
      </c>
      <c r="G306" s="687" t="s">
        <v>18</v>
      </c>
      <c r="H306" s="687" t="s">
        <v>18</v>
      </c>
      <c r="I306" s="687" t="s">
        <v>18</v>
      </c>
      <c r="J306" s="687" t="s">
        <v>18</v>
      </c>
      <c r="K306" s="687" t="s">
        <v>18</v>
      </c>
      <c r="L306" s="687" t="s">
        <v>18</v>
      </c>
      <c r="M306" s="687" t="s">
        <v>18</v>
      </c>
      <c r="N306" s="687" t="s">
        <v>18</v>
      </c>
    </row>
    <row r="307" spans="1:14">
      <c r="A307" s="684">
        <f t="shared" si="6"/>
        <v>44603</v>
      </c>
      <c r="B307" s="685" t="s">
        <v>18</v>
      </c>
      <c r="C307" s="687" t="s">
        <v>18</v>
      </c>
      <c r="D307" s="687" t="s">
        <v>18</v>
      </c>
      <c r="E307" s="687" t="s">
        <v>18</v>
      </c>
      <c r="F307" s="687" t="s">
        <v>18</v>
      </c>
      <c r="G307" s="687" t="s">
        <v>18</v>
      </c>
      <c r="H307" s="687" t="s">
        <v>18</v>
      </c>
      <c r="I307" s="687" t="s">
        <v>18</v>
      </c>
      <c r="J307" s="687" t="s">
        <v>18</v>
      </c>
      <c r="K307" s="687" t="s">
        <v>18</v>
      </c>
      <c r="L307" s="687" t="s">
        <v>18</v>
      </c>
      <c r="M307" s="687" t="s">
        <v>18</v>
      </c>
      <c r="N307" s="687" t="s">
        <v>18</v>
      </c>
    </row>
    <row r="308" spans="1:14">
      <c r="A308" s="684">
        <f t="shared" ref="A308:A328" si="7">A307+1</f>
        <v>44604</v>
      </c>
      <c r="B308" s="685" t="s">
        <v>18</v>
      </c>
      <c r="C308" s="687" t="s">
        <v>18</v>
      </c>
      <c r="D308" s="687" t="s">
        <v>18</v>
      </c>
      <c r="E308" s="687" t="s">
        <v>18</v>
      </c>
      <c r="F308" s="687" t="s">
        <v>18</v>
      </c>
      <c r="G308" s="687" t="s">
        <v>18</v>
      </c>
      <c r="H308" s="687" t="s">
        <v>18</v>
      </c>
      <c r="I308" s="687" t="s">
        <v>18</v>
      </c>
      <c r="J308" s="687" t="s">
        <v>18</v>
      </c>
      <c r="K308" s="687" t="s">
        <v>18</v>
      </c>
      <c r="L308" s="687" t="s">
        <v>18</v>
      </c>
      <c r="M308" s="687" t="s">
        <v>18</v>
      </c>
      <c r="N308" s="687" t="s">
        <v>18</v>
      </c>
    </row>
    <row r="309" spans="1:14">
      <c r="A309" s="684">
        <f t="shared" si="7"/>
        <v>44605</v>
      </c>
      <c r="B309" s="685" t="s">
        <v>18</v>
      </c>
      <c r="C309" s="687" t="s">
        <v>18</v>
      </c>
      <c r="D309" s="687" t="s">
        <v>18</v>
      </c>
      <c r="E309" s="687" t="s">
        <v>18</v>
      </c>
      <c r="F309" s="687" t="s">
        <v>18</v>
      </c>
      <c r="G309" s="687" t="s">
        <v>18</v>
      </c>
      <c r="H309" s="687" t="s">
        <v>18</v>
      </c>
      <c r="I309" s="687" t="s">
        <v>18</v>
      </c>
      <c r="J309" s="687" t="s">
        <v>18</v>
      </c>
      <c r="K309" s="687" t="s">
        <v>18</v>
      </c>
      <c r="L309" s="687" t="s">
        <v>18</v>
      </c>
      <c r="M309" s="687" t="s">
        <v>18</v>
      </c>
      <c r="N309" s="687" t="s">
        <v>18</v>
      </c>
    </row>
    <row r="310" spans="1:14">
      <c r="A310" s="684">
        <f t="shared" si="7"/>
        <v>44606</v>
      </c>
      <c r="B310" s="685" t="s">
        <v>18</v>
      </c>
      <c r="C310" s="687" t="s">
        <v>18</v>
      </c>
      <c r="D310" s="687" t="s">
        <v>18</v>
      </c>
      <c r="E310" s="687" t="s">
        <v>18</v>
      </c>
      <c r="F310" s="687" t="s">
        <v>18</v>
      </c>
      <c r="G310" s="687" t="s">
        <v>18</v>
      </c>
      <c r="H310" s="687" t="s">
        <v>18</v>
      </c>
      <c r="I310" s="687" t="s">
        <v>18</v>
      </c>
      <c r="J310" s="687" t="s">
        <v>18</v>
      </c>
      <c r="K310" s="687" t="s">
        <v>18</v>
      </c>
      <c r="L310" s="687" t="s">
        <v>18</v>
      </c>
      <c r="M310" s="687" t="s">
        <v>18</v>
      </c>
      <c r="N310" s="687" t="s">
        <v>18</v>
      </c>
    </row>
    <row r="311" spans="1:14">
      <c r="A311" s="684">
        <f t="shared" si="7"/>
        <v>44607</v>
      </c>
      <c r="B311" s="685" t="s">
        <v>18</v>
      </c>
      <c r="C311" s="687" t="s">
        <v>18</v>
      </c>
      <c r="D311" s="687" t="s">
        <v>18</v>
      </c>
      <c r="E311" s="687" t="s">
        <v>18</v>
      </c>
      <c r="F311" s="687" t="s">
        <v>18</v>
      </c>
      <c r="G311" s="687" t="s">
        <v>18</v>
      </c>
      <c r="H311" s="687" t="s">
        <v>18</v>
      </c>
      <c r="I311" s="687" t="s">
        <v>18</v>
      </c>
      <c r="J311" s="687" t="s">
        <v>18</v>
      </c>
      <c r="K311" s="687" t="s">
        <v>18</v>
      </c>
      <c r="L311" s="687" t="s">
        <v>18</v>
      </c>
      <c r="M311" s="687" t="s">
        <v>18</v>
      </c>
      <c r="N311" s="687" t="s">
        <v>18</v>
      </c>
    </row>
    <row r="312" spans="1:14">
      <c r="A312" s="684">
        <f t="shared" si="7"/>
        <v>44608</v>
      </c>
      <c r="B312" s="685" t="s">
        <v>18</v>
      </c>
      <c r="C312" s="687" t="s">
        <v>18</v>
      </c>
      <c r="D312" s="687" t="s">
        <v>18</v>
      </c>
      <c r="E312" s="687" t="s">
        <v>18</v>
      </c>
      <c r="F312" s="687" t="s">
        <v>18</v>
      </c>
      <c r="G312" s="687" t="s">
        <v>18</v>
      </c>
      <c r="H312" s="687" t="s">
        <v>18</v>
      </c>
      <c r="I312" s="687" t="s">
        <v>18</v>
      </c>
      <c r="J312" s="687" t="s">
        <v>18</v>
      </c>
      <c r="K312" s="687" t="s">
        <v>18</v>
      </c>
      <c r="L312" s="687" t="s">
        <v>18</v>
      </c>
      <c r="M312" s="687" t="s">
        <v>18</v>
      </c>
      <c r="N312" s="687" t="s">
        <v>18</v>
      </c>
    </row>
    <row r="313" spans="1:14">
      <c r="A313" s="684">
        <f t="shared" si="7"/>
        <v>44609</v>
      </c>
      <c r="B313" s="685" t="s">
        <v>18</v>
      </c>
      <c r="C313" s="687" t="s">
        <v>18</v>
      </c>
      <c r="D313" s="687" t="s">
        <v>18</v>
      </c>
      <c r="E313" s="687" t="s">
        <v>18</v>
      </c>
      <c r="F313" s="687" t="s">
        <v>18</v>
      </c>
      <c r="G313" s="687" t="s">
        <v>18</v>
      </c>
      <c r="H313" s="687" t="s">
        <v>18</v>
      </c>
      <c r="I313" s="687" t="s">
        <v>18</v>
      </c>
      <c r="J313" s="687" t="s">
        <v>18</v>
      </c>
      <c r="K313" s="687" t="s">
        <v>18</v>
      </c>
      <c r="L313" s="687" t="s">
        <v>18</v>
      </c>
      <c r="M313" s="687" t="s">
        <v>18</v>
      </c>
      <c r="N313" s="687" t="s">
        <v>18</v>
      </c>
    </row>
    <row r="314" spans="1:14">
      <c r="A314" s="684">
        <f t="shared" si="7"/>
        <v>44610</v>
      </c>
      <c r="B314" s="685" t="s">
        <v>18</v>
      </c>
      <c r="C314" s="687" t="s">
        <v>18</v>
      </c>
      <c r="D314" s="687" t="s">
        <v>18</v>
      </c>
      <c r="E314" s="687" t="s">
        <v>18</v>
      </c>
      <c r="F314" s="687" t="s">
        <v>18</v>
      </c>
      <c r="G314" s="687" t="s">
        <v>18</v>
      </c>
      <c r="H314" s="687" t="s">
        <v>18</v>
      </c>
      <c r="I314" s="687" t="s">
        <v>18</v>
      </c>
      <c r="J314" s="687" t="s">
        <v>18</v>
      </c>
      <c r="K314" s="687" t="s">
        <v>18</v>
      </c>
      <c r="L314" s="687" t="s">
        <v>18</v>
      </c>
      <c r="M314" s="687" t="s">
        <v>18</v>
      </c>
      <c r="N314" s="687" t="s">
        <v>18</v>
      </c>
    </row>
    <row r="315" spans="1:14">
      <c r="A315" s="684">
        <f t="shared" si="7"/>
        <v>44611</v>
      </c>
      <c r="B315" s="685" t="s">
        <v>18</v>
      </c>
      <c r="C315" s="687" t="s">
        <v>18</v>
      </c>
      <c r="D315" s="687" t="s">
        <v>18</v>
      </c>
      <c r="E315" s="687" t="s">
        <v>18</v>
      </c>
      <c r="F315" s="687" t="s">
        <v>18</v>
      </c>
      <c r="G315" s="687" t="s">
        <v>18</v>
      </c>
      <c r="H315" s="687" t="s">
        <v>18</v>
      </c>
      <c r="I315" s="687" t="s">
        <v>18</v>
      </c>
      <c r="J315" s="687" t="s">
        <v>18</v>
      </c>
      <c r="K315" s="687" t="s">
        <v>18</v>
      </c>
      <c r="L315" s="687" t="s">
        <v>18</v>
      </c>
      <c r="M315" s="687" t="s">
        <v>18</v>
      </c>
      <c r="N315" s="687" t="s">
        <v>18</v>
      </c>
    </row>
    <row r="316" spans="1:14">
      <c r="A316" s="684">
        <f t="shared" si="7"/>
        <v>44612</v>
      </c>
      <c r="B316" s="685" t="s">
        <v>18</v>
      </c>
      <c r="C316" s="687" t="s">
        <v>18</v>
      </c>
      <c r="D316" s="687" t="s">
        <v>18</v>
      </c>
      <c r="E316" s="687" t="s">
        <v>18</v>
      </c>
      <c r="F316" s="687" t="s">
        <v>18</v>
      </c>
      <c r="G316" s="687" t="s">
        <v>18</v>
      </c>
      <c r="H316" s="687" t="s">
        <v>18</v>
      </c>
      <c r="I316" s="687" t="s">
        <v>18</v>
      </c>
      <c r="J316" s="687" t="s">
        <v>18</v>
      </c>
      <c r="K316" s="687" t="s">
        <v>18</v>
      </c>
      <c r="L316" s="687" t="s">
        <v>18</v>
      </c>
      <c r="M316" s="687" t="s">
        <v>18</v>
      </c>
      <c r="N316" s="687" t="s">
        <v>18</v>
      </c>
    </row>
    <row r="317" spans="1:14">
      <c r="A317" s="684">
        <f t="shared" si="7"/>
        <v>44613</v>
      </c>
      <c r="B317" s="685" t="s">
        <v>18</v>
      </c>
      <c r="C317" s="687" t="s">
        <v>18</v>
      </c>
      <c r="D317" s="687" t="s">
        <v>18</v>
      </c>
      <c r="E317" s="687" t="s">
        <v>18</v>
      </c>
      <c r="F317" s="687" t="s">
        <v>18</v>
      </c>
      <c r="G317" s="687" t="s">
        <v>18</v>
      </c>
      <c r="H317" s="687" t="s">
        <v>18</v>
      </c>
      <c r="I317" s="687" t="s">
        <v>18</v>
      </c>
      <c r="J317" s="687" t="s">
        <v>18</v>
      </c>
      <c r="K317" s="687" t="s">
        <v>18</v>
      </c>
      <c r="L317" s="687" t="s">
        <v>18</v>
      </c>
      <c r="M317" s="687" t="s">
        <v>18</v>
      </c>
      <c r="N317" s="687" t="s">
        <v>18</v>
      </c>
    </row>
    <row r="318" spans="1:14">
      <c r="A318" s="684">
        <f t="shared" si="7"/>
        <v>44614</v>
      </c>
      <c r="B318" s="685">
        <v>8.16</v>
      </c>
      <c r="C318" s="687">
        <v>789</v>
      </c>
      <c r="D318" s="687">
        <v>14</v>
      </c>
      <c r="E318" s="694">
        <v>0</v>
      </c>
      <c r="F318" s="694">
        <v>0</v>
      </c>
      <c r="G318" s="694">
        <v>0</v>
      </c>
      <c r="H318" s="694">
        <v>0</v>
      </c>
      <c r="I318" s="694">
        <v>0</v>
      </c>
      <c r="J318" s="694">
        <v>0.0177</v>
      </c>
      <c r="K318" s="694">
        <v>0.58</v>
      </c>
      <c r="L318" s="694">
        <v>0</v>
      </c>
      <c r="M318" s="694">
        <v>0</v>
      </c>
      <c r="N318" s="688">
        <v>0</v>
      </c>
    </row>
    <row r="319" spans="1:14">
      <c r="A319" s="684">
        <f t="shared" si="7"/>
        <v>44615</v>
      </c>
      <c r="B319" s="685">
        <v>29.56</v>
      </c>
      <c r="C319" s="687">
        <v>2828</v>
      </c>
      <c r="D319" s="687">
        <v>42</v>
      </c>
      <c r="E319" s="694">
        <v>0</v>
      </c>
      <c r="F319" s="694">
        <v>0</v>
      </c>
      <c r="G319" s="694">
        <v>0</v>
      </c>
      <c r="H319" s="694">
        <v>0</v>
      </c>
      <c r="I319" s="694">
        <v>0</v>
      </c>
      <c r="J319" s="694">
        <v>0</v>
      </c>
      <c r="K319" s="694">
        <v>0</v>
      </c>
      <c r="L319" s="687">
        <v>6.79</v>
      </c>
      <c r="M319" s="694">
        <v>0</v>
      </c>
      <c r="N319" s="688">
        <v>0</v>
      </c>
    </row>
    <row r="320" spans="1:14">
      <c r="A320" s="684">
        <f t="shared" si="7"/>
        <v>44616</v>
      </c>
      <c r="B320" s="685">
        <v>153.08</v>
      </c>
      <c r="C320" s="691">
        <v>18574</v>
      </c>
      <c r="D320" s="686">
        <v>164</v>
      </c>
      <c r="E320" s="694">
        <v>0</v>
      </c>
      <c r="F320" s="694">
        <v>0</v>
      </c>
      <c r="G320" s="686">
        <v>1</v>
      </c>
      <c r="H320" s="686">
        <v>1</v>
      </c>
      <c r="I320" s="686">
        <v>1</v>
      </c>
      <c r="J320" s="688">
        <v>0.0088</v>
      </c>
      <c r="K320" s="689">
        <v>0.93</v>
      </c>
      <c r="L320" s="692" t="s">
        <v>18</v>
      </c>
      <c r="M320" s="694">
        <v>0</v>
      </c>
      <c r="N320" s="688">
        <v>0</v>
      </c>
    </row>
    <row r="321" spans="1:15">
      <c r="A321" s="684">
        <f t="shared" si="7"/>
        <v>44617</v>
      </c>
      <c r="B321" s="685">
        <v>269.92</v>
      </c>
      <c r="C321" s="691">
        <v>44190</v>
      </c>
      <c r="D321" s="686">
        <v>276</v>
      </c>
      <c r="E321" s="686">
        <v>0</v>
      </c>
      <c r="F321" s="687">
        <v>0</v>
      </c>
      <c r="G321" s="686">
        <v>1</v>
      </c>
      <c r="H321" s="686">
        <v>2</v>
      </c>
      <c r="I321" s="686">
        <v>0</v>
      </c>
      <c r="J321" s="688">
        <v>0.0063</v>
      </c>
      <c r="K321" s="689">
        <v>0.98</v>
      </c>
      <c r="L321" s="692">
        <v>17.94</v>
      </c>
      <c r="M321" s="686">
        <v>0</v>
      </c>
      <c r="N321" s="688">
        <v>0</v>
      </c>
    </row>
    <row r="322" spans="1:15">
      <c r="A322" s="684">
        <f t="shared" si="7"/>
        <v>44618</v>
      </c>
      <c r="B322" s="685">
        <v>275</v>
      </c>
      <c r="C322" s="691">
        <v>32895</v>
      </c>
      <c r="D322" s="686">
        <v>303</v>
      </c>
      <c r="E322" s="686">
        <v>0</v>
      </c>
      <c r="F322" s="687">
        <v>0</v>
      </c>
      <c r="G322" s="686">
        <v>1</v>
      </c>
      <c r="H322" s="686">
        <v>2</v>
      </c>
      <c r="I322" s="686">
        <v>1</v>
      </c>
      <c r="J322" s="688">
        <v>0.0092</v>
      </c>
      <c r="K322" s="689">
        <v>0.91</v>
      </c>
      <c r="L322" s="692">
        <v>27.5</v>
      </c>
      <c r="M322" s="686">
        <v>0</v>
      </c>
      <c r="N322" s="688">
        <v>0</v>
      </c>
    </row>
    <row r="323" spans="1:15">
      <c r="A323" s="684">
        <f t="shared" si="7"/>
        <v>44619</v>
      </c>
      <c r="B323" s="685">
        <v>277.62</v>
      </c>
      <c r="C323" s="691">
        <v>44328</v>
      </c>
      <c r="D323" s="686">
        <v>380</v>
      </c>
      <c r="E323" s="686">
        <v>0</v>
      </c>
      <c r="F323" s="687">
        <v>0</v>
      </c>
      <c r="G323" s="686">
        <v>2</v>
      </c>
      <c r="H323" s="686">
        <v>2</v>
      </c>
      <c r="I323" s="686">
        <v>9</v>
      </c>
      <c r="J323" s="688">
        <v>0.0086</v>
      </c>
      <c r="K323" s="689">
        <v>0.73</v>
      </c>
      <c r="L323" s="692">
        <v>7.48</v>
      </c>
      <c r="M323" s="686">
        <v>0</v>
      </c>
      <c r="N323" s="527">
        <v>0</v>
      </c>
    </row>
    <row r="324" spans="1:15">
      <c r="A324" s="684">
        <f t="shared" si="7"/>
        <v>44620</v>
      </c>
      <c r="B324" s="685">
        <v>324.6</v>
      </c>
      <c r="C324" s="691">
        <v>54023</v>
      </c>
      <c r="D324" s="686">
        <v>470</v>
      </c>
      <c r="E324" s="686">
        <v>0</v>
      </c>
      <c r="F324" s="687">
        <v>0</v>
      </c>
      <c r="G324" s="686">
        <v>3</v>
      </c>
      <c r="H324" s="686">
        <v>5</v>
      </c>
      <c r="I324" s="686">
        <v>0</v>
      </c>
      <c r="J324" s="688">
        <v>0.0087</v>
      </c>
      <c r="K324" s="689">
        <v>0.69</v>
      </c>
      <c r="L324" s="692">
        <v>10.09</v>
      </c>
      <c r="M324" s="686">
        <v>0</v>
      </c>
      <c r="N324" s="527">
        <v>0</v>
      </c>
    </row>
    <row r="325" spans="1:15">
      <c r="A325" s="684">
        <f t="shared" si="7"/>
        <v>44621</v>
      </c>
      <c r="B325" s="685">
        <v>45.61</v>
      </c>
      <c r="C325" s="691">
        <v>12996</v>
      </c>
      <c r="D325" s="686">
        <v>36</v>
      </c>
      <c r="E325" s="686">
        <v>0</v>
      </c>
      <c r="F325" s="687">
        <v>0</v>
      </c>
      <c r="G325" s="686">
        <v>0</v>
      </c>
      <c r="H325" s="686">
        <v>0</v>
      </c>
      <c r="I325" s="686">
        <v>0</v>
      </c>
      <c r="J325" s="688">
        <v>0.0028</v>
      </c>
      <c r="K325" s="689">
        <v>1.27</v>
      </c>
      <c r="L325" s="692">
        <v>22.81</v>
      </c>
      <c r="M325" s="686">
        <v>0</v>
      </c>
      <c r="N325" s="527">
        <v>0</v>
      </c>
      <c r="O325" s="675" t="e">
        <f>B325/(G325+H325)</f>
        <v>#DIV/0!</v>
      </c>
    </row>
    <row r="326" spans="1:15">
      <c r="A326" s="684">
        <f t="shared" si="7"/>
        <v>44622</v>
      </c>
      <c r="B326" s="685">
        <v>170.7</v>
      </c>
      <c r="C326" s="691">
        <v>20669</v>
      </c>
      <c r="D326" s="686">
        <v>114</v>
      </c>
      <c r="E326" s="686">
        <v>0</v>
      </c>
      <c r="F326" s="687">
        <v>0</v>
      </c>
      <c r="G326" s="686">
        <v>0</v>
      </c>
      <c r="H326" s="686">
        <v>1</v>
      </c>
      <c r="I326" s="686">
        <v>0</v>
      </c>
      <c r="J326" s="688">
        <v>0.0055</v>
      </c>
      <c r="K326" s="689">
        <v>1.5</v>
      </c>
      <c r="L326" s="692">
        <v>18.62</v>
      </c>
      <c r="M326" s="686">
        <v>0</v>
      </c>
      <c r="N326" s="527">
        <v>0</v>
      </c>
      <c r="O326" s="675">
        <f t="shared" ref="O326:O389" si="8">B326/(G326+H326)</f>
        <v>170.7</v>
      </c>
    </row>
    <row r="327" spans="1:15">
      <c r="A327" s="684">
        <f t="shared" si="7"/>
        <v>44623</v>
      </c>
      <c r="B327" s="685">
        <v>320.12</v>
      </c>
      <c r="C327" s="691">
        <v>27182</v>
      </c>
      <c r="D327" s="686">
        <v>189</v>
      </c>
      <c r="E327" s="686">
        <v>0</v>
      </c>
      <c r="F327" s="687">
        <v>0</v>
      </c>
      <c r="G327" s="686">
        <v>2</v>
      </c>
      <c r="H327" s="686">
        <v>1</v>
      </c>
      <c r="I327" s="686">
        <v>0</v>
      </c>
      <c r="J327" s="688">
        <v>0.007</v>
      </c>
      <c r="K327" s="689">
        <v>1.69</v>
      </c>
      <c r="L327" s="692">
        <v>22.19</v>
      </c>
      <c r="M327" s="686">
        <v>0</v>
      </c>
      <c r="N327" s="527">
        <v>0</v>
      </c>
      <c r="O327" s="675">
        <f t="shared" si="8"/>
        <v>106.706666666667</v>
      </c>
    </row>
    <row r="328" spans="1:15">
      <c r="A328" s="684">
        <f t="shared" si="7"/>
        <v>44624</v>
      </c>
      <c r="B328" s="685">
        <v>353.05</v>
      </c>
      <c r="C328" s="691">
        <v>26118</v>
      </c>
      <c r="D328" s="686">
        <v>212</v>
      </c>
      <c r="E328" s="686">
        <v>0</v>
      </c>
      <c r="F328" s="687">
        <v>0</v>
      </c>
      <c r="G328" s="686">
        <v>0</v>
      </c>
      <c r="H328" s="686">
        <v>2</v>
      </c>
      <c r="I328" s="686">
        <v>0</v>
      </c>
      <c r="J328" s="688">
        <v>0.0081</v>
      </c>
      <c r="K328" s="689">
        <v>1.67</v>
      </c>
      <c r="L328" s="692">
        <v>43.74</v>
      </c>
      <c r="M328" s="686">
        <v>0</v>
      </c>
      <c r="N328" s="527">
        <v>0</v>
      </c>
      <c r="O328" s="675">
        <f t="shared" si="8"/>
        <v>176.525</v>
      </c>
    </row>
    <row r="329" spans="1:15">
      <c r="A329" s="684">
        <f t="shared" ref="A329:A335" si="9">A328+1</f>
        <v>44625</v>
      </c>
      <c r="B329" s="685">
        <v>416.58</v>
      </c>
      <c r="C329" s="691">
        <v>38795</v>
      </c>
      <c r="D329" s="686">
        <v>308</v>
      </c>
      <c r="E329" s="686">
        <v>0</v>
      </c>
      <c r="F329" s="687">
        <v>0</v>
      </c>
      <c r="G329" s="686">
        <v>0</v>
      </c>
      <c r="H329" s="686">
        <v>4</v>
      </c>
      <c r="I329" s="686">
        <v>0</v>
      </c>
      <c r="J329" s="688">
        <v>0.0079</v>
      </c>
      <c r="K329" s="689">
        <v>1.35</v>
      </c>
      <c r="L329" s="692">
        <v>31.59</v>
      </c>
      <c r="M329" s="686">
        <v>0</v>
      </c>
      <c r="N329" s="527">
        <v>0</v>
      </c>
      <c r="O329" s="675">
        <f t="shared" si="8"/>
        <v>104.145</v>
      </c>
    </row>
    <row r="330" spans="1:15">
      <c r="A330" s="684">
        <f t="shared" si="9"/>
        <v>44626</v>
      </c>
      <c r="B330" s="685">
        <v>288.13</v>
      </c>
      <c r="C330" s="691">
        <v>31752</v>
      </c>
      <c r="D330" s="686">
        <v>242</v>
      </c>
      <c r="E330" s="686">
        <v>0</v>
      </c>
      <c r="F330" s="687">
        <v>0</v>
      </c>
      <c r="G330" s="686">
        <v>0</v>
      </c>
      <c r="H330" s="686">
        <v>3</v>
      </c>
      <c r="I330" s="686">
        <v>0</v>
      </c>
      <c r="J330" s="688">
        <v>0.0076</v>
      </c>
      <c r="K330" s="689">
        <v>1.19</v>
      </c>
      <c r="L330" s="692">
        <v>31.46</v>
      </c>
      <c r="M330" s="686">
        <v>0</v>
      </c>
      <c r="N330" s="527">
        <v>0</v>
      </c>
      <c r="O330" s="675">
        <f t="shared" si="8"/>
        <v>96.0433333333333</v>
      </c>
    </row>
    <row r="331" spans="1:15">
      <c r="A331" s="684">
        <f t="shared" si="9"/>
        <v>44627</v>
      </c>
      <c r="B331" s="685">
        <v>284.46</v>
      </c>
      <c r="C331" s="691">
        <v>39507</v>
      </c>
      <c r="D331" s="686">
        <v>266</v>
      </c>
      <c r="E331" s="686">
        <v>0</v>
      </c>
      <c r="F331" s="687">
        <v>0</v>
      </c>
      <c r="G331" s="686">
        <v>0</v>
      </c>
      <c r="H331" s="686">
        <v>1</v>
      </c>
      <c r="I331" s="686">
        <v>0</v>
      </c>
      <c r="J331" s="688">
        <v>0.0067</v>
      </c>
      <c r="K331" s="689">
        <v>1.07</v>
      </c>
      <c r="L331" s="692">
        <v>47.05</v>
      </c>
      <c r="M331" s="686">
        <v>0</v>
      </c>
      <c r="N331" s="527">
        <v>0</v>
      </c>
      <c r="O331" s="675">
        <f t="shared" si="8"/>
        <v>284.46</v>
      </c>
    </row>
    <row r="332" spans="1:15">
      <c r="A332" s="684">
        <f t="shared" si="9"/>
        <v>44628</v>
      </c>
      <c r="B332" s="685">
        <v>152.85</v>
      </c>
      <c r="C332" s="691">
        <v>22552</v>
      </c>
      <c r="D332" s="686">
        <v>144</v>
      </c>
      <c r="E332" s="686">
        <v>0</v>
      </c>
      <c r="F332" s="687">
        <v>0</v>
      </c>
      <c r="G332" s="686">
        <v>0</v>
      </c>
      <c r="H332" s="686">
        <v>2</v>
      </c>
      <c r="I332" s="686">
        <v>0</v>
      </c>
      <c r="J332" s="688">
        <v>0.0064</v>
      </c>
      <c r="K332" s="689">
        <v>1.06</v>
      </c>
      <c r="L332" s="692">
        <v>30.32</v>
      </c>
      <c r="M332" s="686">
        <v>0</v>
      </c>
      <c r="N332" s="527">
        <v>0</v>
      </c>
      <c r="O332" s="675">
        <f t="shared" si="8"/>
        <v>76.425</v>
      </c>
    </row>
    <row r="333" spans="1:15">
      <c r="A333" s="684">
        <f t="shared" si="9"/>
        <v>44629</v>
      </c>
      <c r="B333" s="685">
        <v>0</v>
      </c>
      <c r="C333" s="691">
        <v>0</v>
      </c>
      <c r="D333" s="686">
        <v>0</v>
      </c>
      <c r="E333" s="686">
        <v>0</v>
      </c>
      <c r="F333" s="687">
        <v>0</v>
      </c>
      <c r="G333" s="686">
        <v>0</v>
      </c>
      <c r="H333" s="686">
        <v>0</v>
      </c>
      <c r="I333" s="686">
        <v>0</v>
      </c>
      <c r="J333" s="688">
        <v>0</v>
      </c>
      <c r="K333" s="689">
        <v>0</v>
      </c>
      <c r="L333" s="692">
        <v>0</v>
      </c>
      <c r="M333" s="686">
        <v>0</v>
      </c>
      <c r="N333" s="527">
        <v>0</v>
      </c>
      <c r="O333" s="675" t="e">
        <f t="shared" si="8"/>
        <v>#DIV/0!</v>
      </c>
    </row>
    <row r="334" spans="1:15">
      <c r="A334" s="684">
        <f t="shared" si="9"/>
        <v>44630</v>
      </c>
      <c r="B334" s="685">
        <v>0</v>
      </c>
      <c r="C334" s="691">
        <v>0</v>
      </c>
      <c r="D334" s="686">
        <v>0</v>
      </c>
      <c r="E334" s="686">
        <v>0</v>
      </c>
      <c r="F334" s="687">
        <v>0</v>
      </c>
      <c r="G334" s="686">
        <v>0</v>
      </c>
      <c r="H334" s="686">
        <v>0</v>
      </c>
      <c r="I334" s="686">
        <v>0</v>
      </c>
      <c r="J334" s="688">
        <v>0</v>
      </c>
      <c r="K334" s="689">
        <v>0</v>
      </c>
      <c r="L334" s="692">
        <v>0</v>
      </c>
      <c r="M334" s="686">
        <v>0</v>
      </c>
      <c r="N334" s="527">
        <v>0</v>
      </c>
      <c r="O334" s="675" t="e">
        <f t="shared" si="8"/>
        <v>#DIV/0!</v>
      </c>
    </row>
    <row r="335" spans="1:15">
      <c r="A335" s="684">
        <f t="shared" si="9"/>
        <v>44631</v>
      </c>
      <c r="B335" s="685">
        <v>0</v>
      </c>
      <c r="C335" s="691">
        <v>0</v>
      </c>
      <c r="D335" s="686">
        <v>0</v>
      </c>
      <c r="E335" s="686">
        <v>0</v>
      </c>
      <c r="F335" s="687">
        <v>0</v>
      </c>
      <c r="G335" s="686">
        <v>0</v>
      </c>
      <c r="H335" s="686">
        <v>0</v>
      </c>
      <c r="I335" s="686">
        <v>0</v>
      </c>
      <c r="J335" s="688">
        <v>0</v>
      </c>
      <c r="K335" s="689">
        <v>0</v>
      </c>
      <c r="L335" s="692">
        <v>0</v>
      </c>
      <c r="M335" s="686">
        <v>0</v>
      </c>
      <c r="N335" s="527">
        <v>0</v>
      </c>
      <c r="O335" s="675" t="e">
        <f t="shared" si="8"/>
        <v>#DIV/0!</v>
      </c>
    </row>
    <row r="336" spans="1:15">
      <c r="A336" s="684">
        <f t="shared" ref="A336:A342" si="10">A335+1</f>
        <v>44632</v>
      </c>
      <c r="B336" s="685">
        <v>0</v>
      </c>
      <c r="C336" s="691">
        <v>0</v>
      </c>
      <c r="D336" s="686">
        <v>0</v>
      </c>
      <c r="E336" s="686">
        <v>0</v>
      </c>
      <c r="F336" s="687">
        <v>0</v>
      </c>
      <c r="G336" s="686">
        <v>0</v>
      </c>
      <c r="H336" s="686">
        <v>0</v>
      </c>
      <c r="I336" s="686">
        <v>0</v>
      </c>
      <c r="J336" s="688">
        <v>0</v>
      </c>
      <c r="K336" s="689">
        <v>0</v>
      </c>
      <c r="L336" s="692">
        <v>0</v>
      </c>
      <c r="M336" s="686">
        <v>0</v>
      </c>
      <c r="N336" s="527">
        <v>0</v>
      </c>
      <c r="O336" s="675" t="e">
        <f t="shared" si="8"/>
        <v>#DIV/0!</v>
      </c>
    </row>
    <row r="337" spans="1:15">
      <c r="A337" s="684">
        <f t="shared" si="10"/>
        <v>44633</v>
      </c>
      <c r="B337" s="685">
        <v>0</v>
      </c>
      <c r="C337" s="691">
        <v>0</v>
      </c>
      <c r="D337" s="686">
        <v>0</v>
      </c>
      <c r="E337" s="686">
        <v>0</v>
      </c>
      <c r="F337" s="687">
        <v>0</v>
      </c>
      <c r="G337" s="686">
        <v>0</v>
      </c>
      <c r="H337" s="686">
        <v>0</v>
      </c>
      <c r="I337" s="686">
        <v>0</v>
      </c>
      <c r="J337" s="688">
        <v>0</v>
      </c>
      <c r="K337" s="689">
        <v>0</v>
      </c>
      <c r="L337" s="692">
        <v>0</v>
      </c>
      <c r="M337" s="686">
        <v>0</v>
      </c>
      <c r="N337" s="527">
        <v>0</v>
      </c>
      <c r="O337" s="675" t="e">
        <f t="shared" si="8"/>
        <v>#DIV/0!</v>
      </c>
    </row>
    <row r="338" spans="1:15">
      <c r="A338" s="684">
        <f t="shared" si="10"/>
        <v>44634</v>
      </c>
      <c r="B338" s="685">
        <v>0</v>
      </c>
      <c r="C338" s="691">
        <v>0</v>
      </c>
      <c r="D338" s="686">
        <v>0</v>
      </c>
      <c r="E338" s="686">
        <v>0</v>
      </c>
      <c r="F338" s="687">
        <v>0</v>
      </c>
      <c r="G338" s="686">
        <v>0</v>
      </c>
      <c r="H338" s="686">
        <v>0</v>
      </c>
      <c r="I338" s="686">
        <v>0</v>
      </c>
      <c r="J338" s="688">
        <v>0</v>
      </c>
      <c r="K338" s="689">
        <v>0</v>
      </c>
      <c r="L338" s="692">
        <v>0</v>
      </c>
      <c r="M338" s="686">
        <v>0</v>
      </c>
      <c r="N338" s="527">
        <v>0</v>
      </c>
      <c r="O338" s="675" t="e">
        <f t="shared" si="8"/>
        <v>#DIV/0!</v>
      </c>
    </row>
    <row r="339" spans="1:15">
      <c r="A339" s="684">
        <f t="shared" si="10"/>
        <v>44635</v>
      </c>
      <c r="B339" s="685">
        <v>0</v>
      </c>
      <c r="C339" s="691">
        <v>0</v>
      </c>
      <c r="D339" s="686">
        <v>0</v>
      </c>
      <c r="E339" s="686">
        <v>0</v>
      </c>
      <c r="F339" s="687">
        <v>0</v>
      </c>
      <c r="G339" s="686">
        <v>0</v>
      </c>
      <c r="H339" s="686">
        <v>0</v>
      </c>
      <c r="I339" s="686">
        <v>0</v>
      </c>
      <c r="J339" s="688">
        <v>0</v>
      </c>
      <c r="K339" s="689">
        <v>0</v>
      </c>
      <c r="L339" s="692">
        <v>0</v>
      </c>
      <c r="M339" s="686">
        <v>0</v>
      </c>
      <c r="N339" s="527">
        <v>0</v>
      </c>
      <c r="O339" s="675" t="e">
        <f t="shared" si="8"/>
        <v>#DIV/0!</v>
      </c>
    </row>
    <row r="340" spans="1:15">
      <c r="A340" s="684">
        <f t="shared" si="10"/>
        <v>44636</v>
      </c>
      <c r="B340" s="685">
        <v>0</v>
      </c>
      <c r="C340" s="691">
        <v>0</v>
      </c>
      <c r="D340" s="686">
        <v>0</v>
      </c>
      <c r="E340" s="686">
        <v>0</v>
      </c>
      <c r="F340" s="687">
        <v>0</v>
      </c>
      <c r="G340" s="686">
        <v>0</v>
      </c>
      <c r="H340" s="686">
        <v>0</v>
      </c>
      <c r="I340" s="686">
        <v>0</v>
      </c>
      <c r="J340" s="688">
        <v>0</v>
      </c>
      <c r="K340" s="689">
        <v>0</v>
      </c>
      <c r="L340" s="692">
        <v>0</v>
      </c>
      <c r="M340" s="686">
        <v>0</v>
      </c>
      <c r="N340" s="527">
        <v>0</v>
      </c>
      <c r="O340" s="675" t="e">
        <f t="shared" si="8"/>
        <v>#DIV/0!</v>
      </c>
    </row>
    <row r="341" spans="1:15">
      <c r="A341" s="684">
        <f t="shared" si="10"/>
        <v>44637</v>
      </c>
      <c r="B341" s="685">
        <v>0</v>
      </c>
      <c r="C341" s="691">
        <v>0</v>
      </c>
      <c r="D341" s="686">
        <v>0</v>
      </c>
      <c r="E341" s="686">
        <v>0</v>
      </c>
      <c r="F341" s="687">
        <v>0</v>
      </c>
      <c r="G341" s="686">
        <v>0</v>
      </c>
      <c r="H341" s="686">
        <v>0</v>
      </c>
      <c r="I341" s="686">
        <v>0</v>
      </c>
      <c r="J341" s="688">
        <v>0</v>
      </c>
      <c r="K341" s="689">
        <v>0</v>
      </c>
      <c r="L341" s="692">
        <v>0</v>
      </c>
      <c r="M341" s="686">
        <v>0</v>
      </c>
      <c r="N341" s="527">
        <v>0</v>
      </c>
      <c r="O341" s="675" t="e">
        <f t="shared" si="8"/>
        <v>#DIV/0!</v>
      </c>
    </row>
    <row r="342" spans="1:15">
      <c r="A342" s="684">
        <f t="shared" si="10"/>
        <v>44638</v>
      </c>
      <c r="B342" s="685">
        <v>0</v>
      </c>
      <c r="C342" s="691">
        <v>0</v>
      </c>
      <c r="D342" s="686">
        <v>0</v>
      </c>
      <c r="E342" s="686">
        <v>0</v>
      </c>
      <c r="F342" s="687">
        <v>0</v>
      </c>
      <c r="G342" s="686">
        <v>0</v>
      </c>
      <c r="H342" s="686">
        <v>0</v>
      </c>
      <c r="I342" s="686">
        <v>0</v>
      </c>
      <c r="J342" s="688">
        <v>0</v>
      </c>
      <c r="K342" s="689">
        <v>0</v>
      </c>
      <c r="L342" s="692">
        <v>0</v>
      </c>
      <c r="M342" s="686">
        <v>0</v>
      </c>
      <c r="N342" s="527">
        <v>0</v>
      </c>
      <c r="O342" s="675" t="e">
        <f t="shared" si="8"/>
        <v>#DIV/0!</v>
      </c>
    </row>
    <row r="343" spans="1:15">
      <c r="A343" s="684">
        <f t="shared" ref="A343:A349" si="11">A342+1</f>
        <v>44639</v>
      </c>
      <c r="B343" s="685">
        <v>0</v>
      </c>
      <c r="C343" s="691">
        <v>0</v>
      </c>
      <c r="D343" s="691">
        <v>0</v>
      </c>
      <c r="E343" s="691">
        <v>0</v>
      </c>
      <c r="F343" s="687">
        <v>0</v>
      </c>
      <c r="G343" s="691">
        <v>0</v>
      </c>
      <c r="H343" s="691">
        <v>0</v>
      </c>
      <c r="I343" s="691">
        <v>0</v>
      </c>
      <c r="J343" s="688">
        <v>0</v>
      </c>
      <c r="K343" s="689">
        <v>0</v>
      </c>
      <c r="L343" s="692">
        <v>0</v>
      </c>
      <c r="M343" s="691">
        <v>0</v>
      </c>
      <c r="N343" s="527">
        <v>0</v>
      </c>
      <c r="O343" s="675" t="e">
        <f t="shared" si="8"/>
        <v>#DIV/0!</v>
      </c>
    </row>
    <row r="344" spans="1:15">
      <c r="A344" s="684">
        <f t="shared" si="11"/>
        <v>44640</v>
      </c>
      <c r="B344" s="685">
        <v>0</v>
      </c>
      <c r="C344" s="691">
        <v>0</v>
      </c>
      <c r="D344" s="691">
        <v>0</v>
      </c>
      <c r="E344" s="691">
        <v>0</v>
      </c>
      <c r="F344" s="687">
        <v>0</v>
      </c>
      <c r="G344" s="691">
        <v>0</v>
      </c>
      <c r="H344" s="691">
        <v>0</v>
      </c>
      <c r="I344" s="691">
        <v>0</v>
      </c>
      <c r="J344" s="688">
        <v>0</v>
      </c>
      <c r="K344" s="689">
        <v>0</v>
      </c>
      <c r="L344" s="692">
        <v>0</v>
      </c>
      <c r="M344" s="691">
        <v>0</v>
      </c>
      <c r="N344" s="527">
        <v>0</v>
      </c>
      <c r="O344" s="675" t="e">
        <f t="shared" si="8"/>
        <v>#DIV/0!</v>
      </c>
    </row>
    <row r="345" spans="1:15">
      <c r="A345" s="684">
        <f t="shared" si="11"/>
        <v>44641</v>
      </c>
      <c r="B345" s="685">
        <v>0</v>
      </c>
      <c r="C345" s="691">
        <v>0</v>
      </c>
      <c r="D345" s="691">
        <v>0</v>
      </c>
      <c r="E345" s="691">
        <v>0</v>
      </c>
      <c r="F345" s="687">
        <v>0</v>
      </c>
      <c r="G345" s="691">
        <v>0</v>
      </c>
      <c r="H345" s="691">
        <v>0</v>
      </c>
      <c r="I345" s="691">
        <v>0</v>
      </c>
      <c r="J345" s="688">
        <v>0</v>
      </c>
      <c r="K345" s="689">
        <v>0</v>
      </c>
      <c r="L345" s="692">
        <v>0</v>
      </c>
      <c r="M345" s="691">
        <v>0</v>
      </c>
      <c r="N345" s="527">
        <v>0</v>
      </c>
      <c r="O345" s="675" t="e">
        <f t="shared" si="8"/>
        <v>#DIV/0!</v>
      </c>
    </row>
    <row r="346" spans="1:15">
      <c r="A346" s="684">
        <f t="shared" si="11"/>
        <v>44642</v>
      </c>
      <c r="B346" s="685">
        <v>0</v>
      </c>
      <c r="C346" s="691">
        <v>0</v>
      </c>
      <c r="D346" s="691">
        <v>0</v>
      </c>
      <c r="E346" s="691">
        <v>0</v>
      </c>
      <c r="F346" s="687">
        <v>0</v>
      </c>
      <c r="G346" s="691">
        <v>0</v>
      </c>
      <c r="H346" s="691">
        <v>0</v>
      </c>
      <c r="I346" s="691">
        <v>0</v>
      </c>
      <c r="J346" s="688">
        <v>0</v>
      </c>
      <c r="K346" s="689">
        <v>0</v>
      </c>
      <c r="L346" s="692">
        <v>0</v>
      </c>
      <c r="M346" s="691">
        <v>0</v>
      </c>
      <c r="N346" s="527">
        <v>0</v>
      </c>
      <c r="O346" s="675" t="e">
        <f t="shared" si="8"/>
        <v>#DIV/0!</v>
      </c>
    </row>
    <row r="347" spans="1:15">
      <c r="A347" s="684">
        <f t="shared" si="11"/>
        <v>44643</v>
      </c>
      <c r="B347" s="685">
        <v>0</v>
      </c>
      <c r="C347" s="691">
        <v>0</v>
      </c>
      <c r="D347" s="691">
        <v>0</v>
      </c>
      <c r="E347" s="691">
        <v>0</v>
      </c>
      <c r="F347" s="687">
        <v>0</v>
      </c>
      <c r="G347" s="691">
        <v>0</v>
      </c>
      <c r="H347" s="691">
        <v>0</v>
      </c>
      <c r="I347" s="691">
        <v>0</v>
      </c>
      <c r="J347" s="688">
        <v>0</v>
      </c>
      <c r="K347" s="689">
        <v>0</v>
      </c>
      <c r="L347" s="692">
        <v>0</v>
      </c>
      <c r="M347" s="691">
        <v>0</v>
      </c>
      <c r="N347" s="527">
        <v>0</v>
      </c>
      <c r="O347" s="675" t="e">
        <f t="shared" si="8"/>
        <v>#DIV/0!</v>
      </c>
    </row>
    <row r="348" spans="1:15">
      <c r="A348" s="684">
        <f t="shared" si="11"/>
        <v>44644</v>
      </c>
      <c r="B348" s="685">
        <v>0</v>
      </c>
      <c r="C348" s="691">
        <v>0</v>
      </c>
      <c r="D348" s="691">
        <v>0</v>
      </c>
      <c r="E348" s="691">
        <v>0</v>
      </c>
      <c r="F348" s="687">
        <v>0</v>
      </c>
      <c r="G348" s="691">
        <v>0</v>
      </c>
      <c r="H348" s="691">
        <v>0</v>
      </c>
      <c r="I348" s="691">
        <v>0</v>
      </c>
      <c r="J348" s="688">
        <v>0</v>
      </c>
      <c r="K348" s="689">
        <v>0</v>
      </c>
      <c r="L348" s="692">
        <v>0</v>
      </c>
      <c r="M348" s="691">
        <v>0</v>
      </c>
      <c r="N348" s="527">
        <v>0</v>
      </c>
      <c r="O348" s="675" t="e">
        <f t="shared" si="8"/>
        <v>#DIV/0!</v>
      </c>
    </row>
    <row r="349" spans="1:15">
      <c r="A349" s="684">
        <f t="shared" si="11"/>
        <v>44645</v>
      </c>
      <c r="B349" s="685">
        <v>0</v>
      </c>
      <c r="C349" s="691">
        <v>0</v>
      </c>
      <c r="D349" s="691">
        <v>0</v>
      </c>
      <c r="E349" s="691">
        <v>0</v>
      </c>
      <c r="F349" s="687">
        <v>0</v>
      </c>
      <c r="G349" s="691">
        <v>0</v>
      </c>
      <c r="H349" s="691">
        <v>0</v>
      </c>
      <c r="I349" s="691">
        <v>0</v>
      </c>
      <c r="J349" s="688">
        <v>0</v>
      </c>
      <c r="K349" s="689">
        <v>0</v>
      </c>
      <c r="L349" s="692">
        <v>0</v>
      </c>
      <c r="M349" s="691">
        <v>0</v>
      </c>
      <c r="N349" s="527">
        <v>0</v>
      </c>
      <c r="O349" s="675" t="e">
        <f t="shared" si="8"/>
        <v>#DIV/0!</v>
      </c>
    </row>
    <row r="350" spans="1:15">
      <c r="A350" s="684">
        <f t="shared" ref="A350:A356" si="12">A349+1</f>
        <v>44646</v>
      </c>
      <c r="B350" s="685">
        <v>0</v>
      </c>
      <c r="C350" s="691">
        <v>0</v>
      </c>
      <c r="D350" s="691">
        <v>0</v>
      </c>
      <c r="E350" s="691">
        <v>0</v>
      </c>
      <c r="F350" s="687">
        <v>0</v>
      </c>
      <c r="G350" s="691">
        <v>0</v>
      </c>
      <c r="H350" s="691">
        <v>0</v>
      </c>
      <c r="I350" s="691">
        <v>0</v>
      </c>
      <c r="J350" s="688">
        <v>0</v>
      </c>
      <c r="K350" s="689">
        <v>0</v>
      </c>
      <c r="L350" s="692">
        <v>0</v>
      </c>
      <c r="M350" s="691">
        <v>0</v>
      </c>
      <c r="N350" s="527">
        <v>0</v>
      </c>
      <c r="O350" s="675" t="e">
        <f t="shared" si="8"/>
        <v>#DIV/0!</v>
      </c>
    </row>
    <row r="351" spans="1:15">
      <c r="A351" s="684">
        <f t="shared" si="12"/>
        <v>44647</v>
      </c>
      <c r="B351" s="685">
        <v>0</v>
      </c>
      <c r="C351" s="691">
        <v>0</v>
      </c>
      <c r="D351" s="691">
        <v>0</v>
      </c>
      <c r="E351" s="691">
        <v>0</v>
      </c>
      <c r="F351" s="687">
        <v>0</v>
      </c>
      <c r="G351" s="691">
        <v>0</v>
      </c>
      <c r="H351" s="691">
        <v>0</v>
      </c>
      <c r="I351" s="691">
        <v>0</v>
      </c>
      <c r="J351" s="688">
        <v>0</v>
      </c>
      <c r="K351" s="689">
        <v>0</v>
      </c>
      <c r="L351" s="692">
        <v>0</v>
      </c>
      <c r="M351" s="691">
        <v>0</v>
      </c>
      <c r="N351" s="527">
        <v>0</v>
      </c>
      <c r="O351" s="675" t="e">
        <f t="shared" si="8"/>
        <v>#DIV/0!</v>
      </c>
    </row>
    <row r="352" spans="1:15">
      <c r="A352" s="684">
        <f t="shared" si="12"/>
        <v>44648</v>
      </c>
      <c r="B352" s="685">
        <v>0</v>
      </c>
      <c r="C352" s="691">
        <v>0</v>
      </c>
      <c r="D352" s="691">
        <v>0</v>
      </c>
      <c r="E352" s="691">
        <v>0</v>
      </c>
      <c r="F352" s="687">
        <v>0</v>
      </c>
      <c r="G352" s="691">
        <v>0</v>
      </c>
      <c r="H352" s="691">
        <v>0</v>
      </c>
      <c r="I352" s="691">
        <v>0</v>
      </c>
      <c r="J352" s="688">
        <v>0</v>
      </c>
      <c r="K352" s="689">
        <v>0</v>
      </c>
      <c r="L352" s="692">
        <v>0</v>
      </c>
      <c r="M352" s="691">
        <v>0</v>
      </c>
      <c r="N352" s="527">
        <v>0</v>
      </c>
      <c r="O352" s="675" t="e">
        <f t="shared" si="8"/>
        <v>#DIV/0!</v>
      </c>
    </row>
    <row r="353" spans="1:15">
      <c r="A353" s="684">
        <f t="shared" si="12"/>
        <v>44649</v>
      </c>
      <c r="B353" s="685">
        <v>0</v>
      </c>
      <c r="C353" s="691">
        <v>0</v>
      </c>
      <c r="D353" s="691">
        <v>0</v>
      </c>
      <c r="E353" s="691">
        <v>0</v>
      </c>
      <c r="F353" s="687">
        <v>0</v>
      </c>
      <c r="G353" s="691">
        <v>0</v>
      </c>
      <c r="H353" s="691">
        <v>0</v>
      </c>
      <c r="I353" s="691">
        <v>0</v>
      </c>
      <c r="J353" s="688">
        <v>0</v>
      </c>
      <c r="K353" s="689">
        <v>0</v>
      </c>
      <c r="L353" s="692">
        <v>0</v>
      </c>
      <c r="M353" s="691">
        <v>0</v>
      </c>
      <c r="N353" s="527">
        <v>0</v>
      </c>
      <c r="O353" s="675" t="e">
        <f t="shared" si="8"/>
        <v>#DIV/0!</v>
      </c>
    </row>
    <row r="354" spans="1:15">
      <c r="A354" s="684">
        <f t="shared" si="12"/>
        <v>44650</v>
      </c>
      <c r="B354" s="685">
        <v>0</v>
      </c>
      <c r="C354" s="691">
        <v>0</v>
      </c>
      <c r="D354" s="691">
        <v>0</v>
      </c>
      <c r="E354" s="691">
        <v>0</v>
      </c>
      <c r="F354" s="687">
        <v>0</v>
      </c>
      <c r="G354" s="691">
        <v>0</v>
      </c>
      <c r="H354" s="691">
        <v>0</v>
      </c>
      <c r="I354" s="691">
        <v>0</v>
      </c>
      <c r="J354" s="688">
        <v>0</v>
      </c>
      <c r="K354" s="689">
        <v>0</v>
      </c>
      <c r="L354" s="692">
        <v>0</v>
      </c>
      <c r="M354" s="691">
        <v>0</v>
      </c>
      <c r="N354" s="527">
        <v>0</v>
      </c>
      <c r="O354" s="675" t="e">
        <f t="shared" si="8"/>
        <v>#DIV/0!</v>
      </c>
    </row>
    <row r="355" spans="1:15">
      <c r="A355" s="684">
        <f t="shared" si="12"/>
        <v>44651</v>
      </c>
      <c r="B355" s="685">
        <v>0</v>
      </c>
      <c r="C355" s="691">
        <v>0</v>
      </c>
      <c r="D355" s="691">
        <v>0</v>
      </c>
      <c r="E355" s="691">
        <v>0</v>
      </c>
      <c r="F355" s="687">
        <v>0</v>
      </c>
      <c r="G355" s="691">
        <v>0</v>
      </c>
      <c r="H355" s="691">
        <v>0</v>
      </c>
      <c r="I355" s="691">
        <v>0</v>
      </c>
      <c r="J355" s="688">
        <v>0</v>
      </c>
      <c r="K355" s="689">
        <v>0</v>
      </c>
      <c r="L355" s="692">
        <v>0</v>
      </c>
      <c r="M355" s="691">
        <v>0</v>
      </c>
      <c r="N355" s="527">
        <v>0</v>
      </c>
      <c r="O355" s="675" t="e">
        <f t="shared" si="8"/>
        <v>#DIV/0!</v>
      </c>
    </row>
    <row r="356" spans="1:15">
      <c r="A356" s="684">
        <f t="shared" si="12"/>
        <v>44652</v>
      </c>
      <c r="B356" s="685">
        <v>0</v>
      </c>
      <c r="C356" s="691">
        <v>0</v>
      </c>
      <c r="D356" s="691">
        <v>0</v>
      </c>
      <c r="E356" s="691">
        <v>0</v>
      </c>
      <c r="F356" s="687">
        <v>0</v>
      </c>
      <c r="G356" s="691">
        <v>0</v>
      </c>
      <c r="H356" s="691">
        <v>0</v>
      </c>
      <c r="I356" s="691">
        <v>0</v>
      </c>
      <c r="J356" s="688">
        <v>0</v>
      </c>
      <c r="K356" s="689">
        <v>0</v>
      </c>
      <c r="L356" s="692">
        <v>0</v>
      </c>
      <c r="M356" s="691">
        <v>0</v>
      </c>
      <c r="N356" s="527">
        <v>0</v>
      </c>
      <c r="O356" s="675" t="e">
        <f t="shared" si="8"/>
        <v>#DIV/0!</v>
      </c>
    </row>
    <row r="357" spans="1:15">
      <c r="A357" s="684">
        <f t="shared" ref="A357:A363" si="13">A356+1</f>
        <v>44653</v>
      </c>
      <c r="B357" s="685">
        <v>0</v>
      </c>
      <c r="C357" s="691">
        <v>0</v>
      </c>
      <c r="D357" s="691">
        <v>0</v>
      </c>
      <c r="E357" s="691">
        <v>0</v>
      </c>
      <c r="F357" s="687">
        <v>0</v>
      </c>
      <c r="G357" s="691">
        <v>0</v>
      </c>
      <c r="H357" s="691">
        <v>0</v>
      </c>
      <c r="I357" s="691">
        <v>0</v>
      </c>
      <c r="J357" s="688">
        <v>0</v>
      </c>
      <c r="K357" s="689">
        <v>0</v>
      </c>
      <c r="L357" s="692">
        <v>0</v>
      </c>
      <c r="M357" s="691">
        <v>0</v>
      </c>
      <c r="N357" s="527">
        <v>0</v>
      </c>
      <c r="O357" s="675" t="e">
        <f t="shared" si="8"/>
        <v>#DIV/0!</v>
      </c>
    </row>
    <row r="358" spans="1:15">
      <c r="A358" s="684">
        <f t="shared" si="13"/>
        <v>44654</v>
      </c>
      <c r="B358" s="685">
        <v>0</v>
      </c>
      <c r="C358" s="691">
        <v>0</v>
      </c>
      <c r="D358" s="691">
        <v>0</v>
      </c>
      <c r="E358" s="691">
        <v>0</v>
      </c>
      <c r="F358" s="687">
        <v>0</v>
      </c>
      <c r="G358" s="691">
        <v>0</v>
      </c>
      <c r="H358" s="691">
        <v>0</v>
      </c>
      <c r="I358" s="691">
        <v>0</v>
      </c>
      <c r="J358" s="688">
        <v>0</v>
      </c>
      <c r="K358" s="689">
        <v>0</v>
      </c>
      <c r="L358" s="692">
        <v>0</v>
      </c>
      <c r="M358" s="691">
        <v>0</v>
      </c>
      <c r="N358" s="527">
        <v>0</v>
      </c>
      <c r="O358" s="675" t="e">
        <f t="shared" si="8"/>
        <v>#DIV/0!</v>
      </c>
    </row>
    <row r="359" spans="1:15">
      <c r="A359" s="684">
        <f t="shared" si="13"/>
        <v>44655</v>
      </c>
      <c r="B359" s="685">
        <v>0</v>
      </c>
      <c r="C359" s="691">
        <v>0</v>
      </c>
      <c r="D359" s="691">
        <v>0</v>
      </c>
      <c r="E359" s="691">
        <v>0</v>
      </c>
      <c r="F359" s="687">
        <v>0</v>
      </c>
      <c r="G359" s="691">
        <v>0</v>
      </c>
      <c r="H359" s="691">
        <v>0</v>
      </c>
      <c r="I359" s="691">
        <v>0</v>
      </c>
      <c r="J359" s="688">
        <v>0</v>
      </c>
      <c r="K359" s="689">
        <v>0</v>
      </c>
      <c r="L359" s="692">
        <v>0</v>
      </c>
      <c r="M359" s="691">
        <v>0</v>
      </c>
      <c r="N359" s="527">
        <v>0</v>
      </c>
      <c r="O359" s="675" t="e">
        <f t="shared" si="8"/>
        <v>#DIV/0!</v>
      </c>
    </row>
    <row r="360" spans="1:15">
      <c r="A360" s="684">
        <f t="shared" si="13"/>
        <v>44656</v>
      </c>
      <c r="B360" s="685">
        <v>0</v>
      </c>
      <c r="C360" s="691">
        <v>0</v>
      </c>
      <c r="D360" s="691">
        <v>0</v>
      </c>
      <c r="E360" s="691">
        <v>0</v>
      </c>
      <c r="F360" s="687">
        <v>0</v>
      </c>
      <c r="G360" s="691">
        <v>0</v>
      </c>
      <c r="H360" s="691">
        <v>0</v>
      </c>
      <c r="I360" s="691">
        <v>0</v>
      </c>
      <c r="J360" s="688">
        <v>0</v>
      </c>
      <c r="K360" s="689">
        <v>0</v>
      </c>
      <c r="L360" s="692">
        <v>0</v>
      </c>
      <c r="M360" s="691">
        <v>0</v>
      </c>
      <c r="N360" s="527">
        <v>0</v>
      </c>
      <c r="O360" s="675" t="e">
        <f t="shared" si="8"/>
        <v>#DIV/0!</v>
      </c>
    </row>
    <row r="361" spans="1:15">
      <c r="A361" s="684">
        <f t="shared" si="13"/>
        <v>44657</v>
      </c>
      <c r="B361" s="685">
        <v>0</v>
      </c>
      <c r="C361" s="691">
        <v>0</v>
      </c>
      <c r="D361" s="691">
        <v>0</v>
      </c>
      <c r="E361" s="691">
        <v>0</v>
      </c>
      <c r="F361" s="687">
        <v>0</v>
      </c>
      <c r="G361" s="691">
        <v>0</v>
      </c>
      <c r="H361" s="691">
        <v>0</v>
      </c>
      <c r="I361" s="691">
        <v>0</v>
      </c>
      <c r="J361" s="688">
        <v>0</v>
      </c>
      <c r="K361" s="689">
        <v>0</v>
      </c>
      <c r="L361" s="692">
        <v>0</v>
      </c>
      <c r="M361" s="691">
        <v>0</v>
      </c>
      <c r="N361" s="527">
        <v>0</v>
      </c>
      <c r="O361" s="675" t="e">
        <f t="shared" si="8"/>
        <v>#DIV/0!</v>
      </c>
    </row>
    <row r="362" spans="1:15">
      <c r="A362" s="684">
        <f t="shared" si="13"/>
        <v>44658</v>
      </c>
      <c r="B362" s="685">
        <v>0</v>
      </c>
      <c r="C362" s="691">
        <v>0</v>
      </c>
      <c r="D362" s="691">
        <v>0</v>
      </c>
      <c r="E362" s="691">
        <v>0</v>
      </c>
      <c r="F362" s="687">
        <v>0</v>
      </c>
      <c r="G362" s="691">
        <v>0</v>
      </c>
      <c r="H362" s="691">
        <v>0</v>
      </c>
      <c r="I362" s="691">
        <v>0</v>
      </c>
      <c r="J362" s="688">
        <v>0</v>
      </c>
      <c r="K362" s="689">
        <v>0</v>
      </c>
      <c r="L362" s="692">
        <v>0</v>
      </c>
      <c r="M362" s="691">
        <v>0</v>
      </c>
      <c r="N362" s="527">
        <v>0</v>
      </c>
      <c r="O362" s="675" t="e">
        <f t="shared" si="8"/>
        <v>#DIV/0!</v>
      </c>
    </row>
    <row r="363" spans="1:15">
      <c r="A363" s="684">
        <f t="shared" si="13"/>
        <v>44659</v>
      </c>
      <c r="B363" s="685">
        <v>0</v>
      </c>
      <c r="C363" s="691">
        <v>0</v>
      </c>
      <c r="D363" s="691">
        <v>0</v>
      </c>
      <c r="E363" s="691">
        <v>0</v>
      </c>
      <c r="F363" s="687">
        <v>0</v>
      </c>
      <c r="G363" s="691">
        <v>0</v>
      </c>
      <c r="H363" s="691">
        <v>0</v>
      </c>
      <c r="I363" s="691">
        <v>0</v>
      </c>
      <c r="J363" s="688">
        <v>0</v>
      </c>
      <c r="K363" s="689">
        <v>0</v>
      </c>
      <c r="L363" s="692">
        <v>0</v>
      </c>
      <c r="M363" s="691">
        <v>0</v>
      </c>
      <c r="N363" s="527">
        <v>0</v>
      </c>
      <c r="O363" s="675" t="e">
        <f t="shared" si="8"/>
        <v>#DIV/0!</v>
      </c>
    </row>
    <row r="364" spans="1:15">
      <c r="A364" s="684">
        <f t="shared" ref="A364:A370" si="14">A363+1</f>
        <v>44660</v>
      </c>
      <c r="B364" s="685">
        <v>0</v>
      </c>
      <c r="C364" s="691">
        <v>0</v>
      </c>
      <c r="D364" s="691">
        <v>0</v>
      </c>
      <c r="E364" s="691">
        <v>0</v>
      </c>
      <c r="F364" s="687">
        <v>0</v>
      </c>
      <c r="G364" s="691">
        <v>0</v>
      </c>
      <c r="H364" s="691">
        <v>0</v>
      </c>
      <c r="I364" s="691">
        <v>0</v>
      </c>
      <c r="J364" s="688">
        <v>0</v>
      </c>
      <c r="K364" s="689">
        <v>0</v>
      </c>
      <c r="L364" s="692">
        <v>0</v>
      </c>
      <c r="M364" s="691">
        <v>0</v>
      </c>
      <c r="N364" s="527">
        <v>0</v>
      </c>
      <c r="O364" s="675" t="e">
        <f t="shared" si="8"/>
        <v>#DIV/0!</v>
      </c>
    </row>
    <row r="365" spans="1:15">
      <c r="A365" s="684">
        <f t="shared" si="14"/>
        <v>44661</v>
      </c>
      <c r="B365" s="685">
        <v>0</v>
      </c>
      <c r="C365" s="691">
        <v>0</v>
      </c>
      <c r="D365" s="691">
        <v>0</v>
      </c>
      <c r="E365" s="691">
        <v>0</v>
      </c>
      <c r="F365" s="687">
        <v>0</v>
      </c>
      <c r="G365" s="691">
        <v>0</v>
      </c>
      <c r="H365" s="691">
        <v>0</v>
      </c>
      <c r="I365" s="691">
        <v>0</v>
      </c>
      <c r="J365" s="688">
        <v>0</v>
      </c>
      <c r="K365" s="689">
        <v>0</v>
      </c>
      <c r="L365" s="692">
        <v>0</v>
      </c>
      <c r="M365" s="691">
        <v>0</v>
      </c>
      <c r="N365" s="527">
        <v>0</v>
      </c>
      <c r="O365" s="675" t="e">
        <f t="shared" si="8"/>
        <v>#DIV/0!</v>
      </c>
    </row>
    <row r="366" spans="1:15">
      <c r="A366" s="684">
        <f t="shared" si="14"/>
        <v>44662</v>
      </c>
      <c r="B366" s="685">
        <v>0</v>
      </c>
      <c r="C366" s="691">
        <v>0</v>
      </c>
      <c r="D366" s="691">
        <v>0</v>
      </c>
      <c r="E366" s="691">
        <v>0</v>
      </c>
      <c r="F366" s="687">
        <v>0</v>
      </c>
      <c r="G366" s="691">
        <v>0</v>
      </c>
      <c r="H366" s="691">
        <v>0</v>
      </c>
      <c r="I366" s="691">
        <v>0</v>
      </c>
      <c r="J366" s="688">
        <v>0</v>
      </c>
      <c r="K366" s="689">
        <v>0</v>
      </c>
      <c r="L366" s="692">
        <v>0</v>
      </c>
      <c r="M366" s="691">
        <v>0</v>
      </c>
      <c r="N366" s="527">
        <v>0</v>
      </c>
      <c r="O366" s="675" t="e">
        <f t="shared" si="8"/>
        <v>#DIV/0!</v>
      </c>
    </row>
    <row r="367" spans="1:15">
      <c r="A367" s="684">
        <f t="shared" si="14"/>
        <v>44663</v>
      </c>
      <c r="B367" s="685">
        <v>0</v>
      </c>
      <c r="C367" s="691">
        <v>0</v>
      </c>
      <c r="D367" s="691">
        <v>0</v>
      </c>
      <c r="E367" s="691">
        <v>0</v>
      </c>
      <c r="F367" s="687">
        <v>0</v>
      </c>
      <c r="G367" s="691">
        <v>0</v>
      </c>
      <c r="H367" s="691">
        <v>0</v>
      </c>
      <c r="I367" s="691">
        <v>0</v>
      </c>
      <c r="J367" s="688">
        <v>0</v>
      </c>
      <c r="K367" s="689">
        <v>0</v>
      </c>
      <c r="L367" s="692">
        <v>0</v>
      </c>
      <c r="M367" s="691">
        <v>0</v>
      </c>
      <c r="N367" s="527">
        <v>0</v>
      </c>
      <c r="O367" s="675" t="e">
        <f t="shared" si="8"/>
        <v>#DIV/0!</v>
      </c>
    </row>
    <row r="368" spans="1:15">
      <c r="A368" s="684">
        <f t="shared" si="14"/>
        <v>44664</v>
      </c>
      <c r="B368" s="685">
        <v>0</v>
      </c>
      <c r="C368" s="691">
        <v>0</v>
      </c>
      <c r="D368" s="691">
        <v>0</v>
      </c>
      <c r="E368" s="691">
        <v>0</v>
      </c>
      <c r="F368" s="687">
        <v>0</v>
      </c>
      <c r="G368" s="691">
        <v>0</v>
      </c>
      <c r="H368" s="691">
        <v>0</v>
      </c>
      <c r="I368" s="691">
        <v>0</v>
      </c>
      <c r="J368" s="688">
        <v>0</v>
      </c>
      <c r="K368" s="689">
        <v>0</v>
      </c>
      <c r="L368" s="692">
        <v>0</v>
      </c>
      <c r="M368" s="691">
        <v>0</v>
      </c>
      <c r="N368" s="527">
        <v>0</v>
      </c>
      <c r="O368" s="675" t="e">
        <f t="shared" si="8"/>
        <v>#DIV/0!</v>
      </c>
    </row>
    <row r="369" spans="1:15">
      <c r="A369" s="684">
        <f t="shared" si="14"/>
        <v>44665</v>
      </c>
      <c r="B369" s="685">
        <v>0</v>
      </c>
      <c r="C369" s="691">
        <v>0</v>
      </c>
      <c r="D369" s="691">
        <v>0</v>
      </c>
      <c r="E369" s="691">
        <v>0</v>
      </c>
      <c r="F369" s="687">
        <v>0</v>
      </c>
      <c r="G369" s="691">
        <v>0</v>
      </c>
      <c r="H369" s="691">
        <v>0</v>
      </c>
      <c r="I369" s="691">
        <v>0</v>
      </c>
      <c r="J369" s="688">
        <v>0</v>
      </c>
      <c r="K369" s="689">
        <v>0</v>
      </c>
      <c r="L369" s="692">
        <v>0</v>
      </c>
      <c r="M369" s="691">
        <v>0</v>
      </c>
      <c r="N369" s="527">
        <v>0</v>
      </c>
      <c r="O369" s="675" t="e">
        <f t="shared" si="8"/>
        <v>#DIV/0!</v>
      </c>
    </row>
    <row r="370" spans="1:15">
      <c r="A370" s="684">
        <f t="shared" si="14"/>
        <v>44666</v>
      </c>
      <c r="B370" s="685">
        <v>0</v>
      </c>
      <c r="C370" s="691">
        <v>0</v>
      </c>
      <c r="D370" s="691">
        <v>0</v>
      </c>
      <c r="E370" s="691">
        <v>0</v>
      </c>
      <c r="F370" s="687">
        <v>0</v>
      </c>
      <c r="G370" s="691">
        <v>0</v>
      </c>
      <c r="H370" s="691">
        <v>0</v>
      </c>
      <c r="I370" s="691">
        <v>0</v>
      </c>
      <c r="J370" s="688">
        <v>0</v>
      </c>
      <c r="K370" s="689">
        <v>0</v>
      </c>
      <c r="L370" s="692">
        <v>0</v>
      </c>
      <c r="M370" s="691">
        <v>0</v>
      </c>
      <c r="N370" s="527">
        <v>0</v>
      </c>
      <c r="O370" s="675" t="e">
        <f t="shared" si="8"/>
        <v>#DIV/0!</v>
      </c>
    </row>
    <row r="371" spans="1:15">
      <c r="A371" s="684">
        <f t="shared" ref="A371:A378" si="15">A370+1</f>
        <v>44667</v>
      </c>
      <c r="B371" s="685">
        <v>0</v>
      </c>
      <c r="C371" s="691">
        <v>0</v>
      </c>
      <c r="D371" s="691">
        <v>0</v>
      </c>
      <c r="E371" s="691">
        <v>0</v>
      </c>
      <c r="F371" s="687">
        <v>0</v>
      </c>
      <c r="G371" s="691">
        <v>0</v>
      </c>
      <c r="H371" s="691">
        <v>0</v>
      </c>
      <c r="I371" s="691">
        <v>0</v>
      </c>
      <c r="J371" s="688">
        <v>0</v>
      </c>
      <c r="K371" s="689">
        <v>0</v>
      </c>
      <c r="L371" s="692">
        <v>0</v>
      </c>
      <c r="M371" s="691">
        <v>0</v>
      </c>
      <c r="N371" s="527">
        <v>0</v>
      </c>
      <c r="O371" s="675" t="e">
        <f t="shared" si="8"/>
        <v>#DIV/0!</v>
      </c>
    </row>
    <row r="372" spans="1:15">
      <c r="A372" s="684">
        <f t="shared" si="15"/>
        <v>44668</v>
      </c>
      <c r="B372" s="685">
        <v>0</v>
      </c>
      <c r="C372" s="691">
        <v>0</v>
      </c>
      <c r="D372" s="691">
        <v>0</v>
      </c>
      <c r="E372" s="691">
        <v>0</v>
      </c>
      <c r="F372" s="687">
        <v>0</v>
      </c>
      <c r="G372" s="691">
        <v>0</v>
      </c>
      <c r="H372" s="691">
        <v>0</v>
      </c>
      <c r="I372" s="691">
        <v>0</v>
      </c>
      <c r="J372" s="688">
        <v>0</v>
      </c>
      <c r="K372" s="689">
        <v>0</v>
      </c>
      <c r="L372" s="692">
        <v>0</v>
      </c>
      <c r="M372" s="691">
        <v>0</v>
      </c>
      <c r="N372" s="527">
        <v>0</v>
      </c>
      <c r="O372" s="675" t="e">
        <f t="shared" si="8"/>
        <v>#DIV/0!</v>
      </c>
    </row>
    <row r="373" spans="1:15">
      <c r="A373" s="684">
        <f t="shared" si="15"/>
        <v>44669</v>
      </c>
      <c r="B373" s="685">
        <v>0</v>
      </c>
      <c r="C373" s="691">
        <v>0</v>
      </c>
      <c r="D373" s="691">
        <v>0</v>
      </c>
      <c r="E373" s="691">
        <v>0</v>
      </c>
      <c r="F373" s="687">
        <v>0</v>
      </c>
      <c r="G373" s="691">
        <v>0</v>
      </c>
      <c r="H373" s="691">
        <v>0</v>
      </c>
      <c r="I373" s="691">
        <v>0</v>
      </c>
      <c r="J373" s="688">
        <v>0</v>
      </c>
      <c r="K373" s="689">
        <v>0</v>
      </c>
      <c r="L373" s="692">
        <v>0</v>
      </c>
      <c r="M373" s="691">
        <v>0</v>
      </c>
      <c r="N373" s="527">
        <v>0</v>
      </c>
      <c r="O373" s="675" t="e">
        <f t="shared" si="8"/>
        <v>#DIV/0!</v>
      </c>
    </row>
    <row r="374" spans="1:15">
      <c r="A374" s="684">
        <f t="shared" si="15"/>
        <v>44670</v>
      </c>
      <c r="B374" s="685">
        <v>0</v>
      </c>
      <c r="C374" s="691">
        <v>0</v>
      </c>
      <c r="D374" s="691">
        <v>0</v>
      </c>
      <c r="E374" s="691">
        <v>0</v>
      </c>
      <c r="F374" s="687">
        <v>0</v>
      </c>
      <c r="G374" s="691">
        <v>0</v>
      </c>
      <c r="H374" s="691">
        <v>0</v>
      </c>
      <c r="I374" s="691">
        <v>0</v>
      </c>
      <c r="J374" s="688">
        <v>0</v>
      </c>
      <c r="K374" s="689">
        <v>0</v>
      </c>
      <c r="L374" s="692">
        <v>0</v>
      </c>
      <c r="M374" s="691">
        <v>0</v>
      </c>
      <c r="N374" s="527">
        <v>0</v>
      </c>
      <c r="O374" s="675" t="e">
        <f t="shared" si="8"/>
        <v>#DIV/0!</v>
      </c>
    </row>
    <row r="375" spans="1:15">
      <c r="A375" s="684">
        <f t="shared" si="15"/>
        <v>44671</v>
      </c>
      <c r="B375" s="685">
        <v>0</v>
      </c>
      <c r="C375" s="691">
        <v>0</v>
      </c>
      <c r="D375" s="691">
        <v>0</v>
      </c>
      <c r="E375" s="691">
        <v>0</v>
      </c>
      <c r="F375" s="687">
        <v>0</v>
      </c>
      <c r="G375" s="691">
        <v>0</v>
      </c>
      <c r="H375" s="691">
        <v>0</v>
      </c>
      <c r="I375" s="691">
        <v>0</v>
      </c>
      <c r="J375" s="688">
        <v>0</v>
      </c>
      <c r="K375" s="689">
        <v>0</v>
      </c>
      <c r="L375" s="692">
        <v>0</v>
      </c>
      <c r="M375" s="691">
        <v>0</v>
      </c>
      <c r="N375" s="527">
        <v>0</v>
      </c>
      <c r="O375" s="675" t="e">
        <f t="shared" si="8"/>
        <v>#DIV/0!</v>
      </c>
    </row>
    <row r="376" spans="1:15">
      <c r="A376" s="684">
        <f t="shared" si="15"/>
        <v>44672</v>
      </c>
      <c r="B376" s="685">
        <v>0</v>
      </c>
      <c r="C376" s="691">
        <v>0</v>
      </c>
      <c r="D376" s="691">
        <v>0</v>
      </c>
      <c r="E376" s="691">
        <v>0</v>
      </c>
      <c r="F376" s="687">
        <v>0</v>
      </c>
      <c r="G376" s="691">
        <v>0</v>
      </c>
      <c r="H376" s="691">
        <v>0</v>
      </c>
      <c r="I376" s="691">
        <v>0</v>
      </c>
      <c r="J376" s="688">
        <v>0</v>
      </c>
      <c r="K376" s="689">
        <v>0</v>
      </c>
      <c r="L376" s="692">
        <v>0</v>
      </c>
      <c r="M376" s="691">
        <v>0</v>
      </c>
      <c r="N376" s="527">
        <v>0</v>
      </c>
      <c r="O376" s="675" t="e">
        <f t="shared" si="8"/>
        <v>#DIV/0!</v>
      </c>
    </row>
    <row r="377" spans="1:15">
      <c r="A377" s="684">
        <f t="shared" si="15"/>
        <v>44673</v>
      </c>
      <c r="B377" s="685">
        <v>0</v>
      </c>
      <c r="C377" s="691">
        <v>0</v>
      </c>
      <c r="D377" s="691">
        <v>0</v>
      </c>
      <c r="E377" s="691">
        <v>0</v>
      </c>
      <c r="F377" s="687">
        <v>0</v>
      </c>
      <c r="G377" s="691">
        <v>0</v>
      </c>
      <c r="H377" s="691">
        <v>0</v>
      </c>
      <c r="I377" s="691">
        <v>0</v>
      </c>
      <c r="J377" s="688">
        <v>0</v>
      </c>
      <c r="K377" s="689">
        <v>0</v>
      </c>
      <c r="L377" s="692">
        <v>0</v>
      </c>
      <c r="M377" s="691">
        <v>0</v>
      </c>
      <c r="N377" s="527">
        <v>0</v>
      </c>
      <c r="O377" s="675" t="e">
        <f t="shared" si="8"/>
        <v>#DIV/0!</v>
      </c>
    </row>
    <row r="378" spans="1:15">
      <c r="A378" s="684">
        <f t="shared" si="15"/>
        <v>44674</v>
      </c>
      <c r="B378" s="685">
        <v>0</v>
      </c>
      <c r="C378" s="691">
        <v>0</v>
      </c>
      <c r="D378" s="691">
        <v>0</v>
      </c>
      <c r="E378" s="691">
        <v>0</v>
      </c>
      <c r="F378" s="687">
        <v>0</v>
      </c>
      <c r="G378" s="691">
        <v>0</v>
      </c>
      <c r="H378" s="691">
        <v>0</v>
      </c>
      <c r="I378" s="691">
        <v>0</v>
      </c>
      <c r="J378" s="688">
        <v>0</v>
      </c>
      <c r="K378" s="689">
        <v>0</v>
      </c>
      <c r="L378" s="692">
        <v>0</v>
      </c>
      <c r="M378" s="691">
        <v>0</v>
      </c>
      <c r="N378" s="527">
        <v>0</v>
      </c>
      <c r="O378" s="675" t="e">
        <f t="shared" si="8"/>
        <v>#DIV/0!</v>
      </c>
    </row>
    <row r="379" spans="1:15">
      <c r="A379" s="684">
        <f t="shared" ref="A379:A384" si="16">A378+1</f>
        <v>44675</v>
      </c>
      <c r="B379" s="685">
        <v>0</v>
      </c>
      <c r="C379" s="691">
        <v>0</v>
      </c>
      <c r="D379" s="691">
        <v>0</v>
      </c>
      <c r="E379" s="691">
        <v>0</v>
      </c>
      <c r="F379" s="687">
        <v>0</v>
      </c>
      <c r="G379" s="691">
        <v>0</v>
      </c>
      <c r="H379" s="691">
        <v>0</v>
      </c>
      <c r="I379" s="691">
        <v>0</v>
      </c>
      <c r="J379" s="688">
        <v>0</v>
      </c>
      <c r="K379" s="689">
        <v>0</v>
      </c>
      <c r="L379" s="692">
        <v>0</v>
      </c>
      <c r="M379" s="691">
        <v>0</v>
      </c>
      <c r="N379" s="527">
        <v>0</v>
      </c>
      <c r="O379" s="675" t="e">
        <f t="shared" si="8"/>
        <v>#DIV/0!</v>
      </c>
    </row>
    <row r="380" spans="1:15">
      <c r="A380" s="684">
        <f t="shared" si="16"/>
        <v>44676</v>
      </c>
      <c r="B380" s="685">
        <v>0</v>
      </c>
      <c r="C380" s="691">
        <v>0</v>
      </c>
      <c r="D380" s="691">
        <v>0</v>
      </c>
      <c r="E380" s="691">
        <v>0</v>
      </c>
      <c r="F380" s="687">
        <v>0</v>
      </c>
      <c r="G380" s="691">
        <v>0</v>
      </c>
      <c r="H380" s="691">
        <v>0</v>
      </c>
      <c r="I380" s="691">
        <v>0</v>
      </c>
      <c r="J380" s="688">
        <v>0</v>
      </c>
      <c r="K380" s="689">
        <v>0</v>
      </c>
      <c r="L380" s="692">
        <v>0</v>
      </c>
      <c r="M380" s="691">
        <v>0</v>
      </c>
      <c r="N380" s="527">
        <v>0</v>
      </c>
      <c r="O380" s="675" t="e">
        <f t="shared" si="8"/>
        <v>#DIV/0!</v>
      </c>
    </row>
    <row r="381" spans="1:15">
      <c r="A381" s="684">
        <f t="shared" si="16"/>
        <v>44677</v>
      </c>
      <c r="B381" s="685">
        <v>0</v>
      </c>
      <c r="C381" s="691">
        <v>0</v>
      </c>
      <c r="D381" s="691">
        <v>0</v>
      </c>
      <c r="E381" s="691">
        <v>0</v>
      </c>
      <c r="F381" s="687">
        <v>0</v>
      </c>
      <c r="G381" s="691">
        <v>0</v>
      </c>
      <c r="H381" s="691">
        <v>0</v>
      </c>
      <c r="I381" s="691">
        <v>0</v>
      </c>
      <c r="J381" s="688">
        <v>0</v>
      </c>
      <c r="K381" s="689">
        <v>0</v>
      </c>
      <c r="L381" s="692">
        <v>0</v>
      </c>
      <c r="M381" s="691">
        <v>0</v>
      </c>
      <c r="N381" s="527">
        <v>0</v>
      </c>
      <c r="O381" s="675" t="e">
        <f t="shared" si="8"/>
        <v>#DIV/0!</v>
      </c>
    </row>
    <row r="382" spans="1:15">
      <c r="A382" s="684">
        <f t="shared" si="16"/>
        <v>44678</v>
      </c>
      <c r="B382" s="685">
        <v>0</v>
      </c>
      <c r="C382" s="691">
        <v>0</v>
      </c>
      <c r="D382" s="691">
        <v>0</v>
      </c>
      <c r="E382" s="691">
        <v>0</v>
      </c>
      <c r="F382" s="687">
        <v>0</v>
      </c>
      <c r="G382" s="691">
        <v>0</v>
      </c>
      <c r="H382" s="691">
        <v>0</v>
      </c>
      <c r="I382" s="691">
        <v>0</v>
      </c>
      <c r="J382" s="688">
        <v>0</v>
      </c>
      <c r="K382" s="689">
        <v>0</v>
      </c>
      <c r="L382" s="692">
        <v>0</v>
      </c>
      <c r="M382" s="691">
        <v>0</v>
      </c>
      <c r="N382" s="527">
        <v>0</v>
      </c>
      <c r="O382" s="675" t="e">
        <f t="shared" si="8"/>
        <v>#DIV/0!</v>
      </c>
    </row>
    <row r="383" spans="1:15">
      <c r="A383" s="684">
        <f t="shared" si="16"/>
        <v>44679</v>
      </c>
      <c r="B383" s="685">
        <v>0</v>
      </c>
      <c r="C383" s="691">
        <v>0</v>
      </c>
      <c r="D383" s="691">
        <v>0</v>
      </c>
      <c r="E383" s="691">
        <v>0</v>
      </c>
      <c r="F383" s="687">
        <v>0</v>
      </c>
      <c r="G383" s="691">
        <v>0</v>
      </c>
      <c r="H383" s="691">
        <v>0</v>
      </c>
      <c r="I383" s="691">
        <v>0</v>
      </c>
      <c r="J383" s="688">
        <v>0</v>
      </c>
      <c r="K383" s="689">
        <v>0</v>
      </c>
      <c r="L383" s="692">
        <v>0</v>
      </c>
      <c r="M383" s="691">
        <v>0</v>
      </c>
      <c r="N383" s="527">
        <v>0</v>
      </c>
      <c r="O383" s="675" t="e">
        <f t="shared" si="8"/>
        <v>#DIV/0!</v>
      </c>
    </row>
    <row r="384" spans="1:15">
      <c r="A384" s="684">
        <f t="shared" si="16"/>
        <v>44680</v>
      </c>
      <c r="B384" s="685">
        <v>0</v>
      </c>
      <c r="C384" s="691">
        <v>0</v>
      </c>
      <c r="D384" s="691">
        <v>0</v>
      </c>
      <c r="E384" s="691">
        <v>0</v>
      </c>
      <c r="F384" s="687">
        <v>0</v>
      </c>
      <c r="G384" s="691">
        <v>0</v>
      </c>
      <c r="H384" s="691">
        <v>0</v>
      </c>
      <c r="I384" s="691">
        <v>0</v>
      </c>
      <c r="J384" s="688">
        <v>0</v>
      </c>
      <c r="K384" s="689">
        <v>0</v>
      </c>
      <c r="L384" s="692">
        <v>0</v>
      </c>
      <c r="M384" s="691">
        <v>0</v>
      </c>
      <c r="N384" s="527">
        <v>0</v>
      </c>
      <c r="O384" s="675" t="e">
        <f t="shared" si="8"/>
        <v>#DIV/0!</v>
      </c>
    </row>
    <row r="385" spans="1:15">
      <c r="A385" s="684">
        <f t="shared" ref="A385:A405" si="17">A384+1</f>
        <v>44681</v>
      </c>
      <c r="B385" s="685">
        <v>0</v>
      </c>
      <c r="C385" s="691">
        <v>0</v>
      </c>
      <c r="D385" s="691">
        <v>0</v>
      </c>
      <c r="E385" s="691">
        <v>0</v>
      </c>
      <c r="F385" s="687">
        <v>0</v>
      </c>
      <c r="G385" s="691">
        <v>0</v>
      </c>
      <c r="H385" s="691">
        <v>0</v>
      </c>
      <c r="I385" s="691">
        <v>0</v>
      </c>
      <c r="J385" s="688">
        <v>0</v>
      </c>
      <c r="K385" s="689">
        <v>0</v>
      </c>
      <c r="L385" s="692">
        <v>0</v>
      </c>
      <c r="M385" s="691">
        <v>0</v>
      </c>
      <c r="N385" s="527">
        <v>0</v>
      </c>
      <c r="O385" s="675" t="e">
        <f t="shared" si="8"/>
        <v>#DIV/0!</v>
      </c>
    </row>
    <row r="386" spans="1:15">
      <c r="A386" s="684">
        <f t="shared" si="17"/>
        <v>44682</v>
      </c>
      <c r="B386" s="685">
        <v>0</v>
      </c>
      <c r="C386" s="691">
        <v>0</v>
      </c>
      <c r="D386" s="691">
        <v>0</v>
      </c>
      <c r="E386" s="691">
        <v>0</v>
      </c>
      <c r="F386" s="687">
        <v>0</v>
      </c>
      <c r="G386" s="691">
        <v>0</v>
      </c>
      <c r="H386" s="691">
        <v>0</v>
      </c>
      <c r="I386" s="691">
        <v>0</v>
      </c>
      <c r="J386" s="688">
        <v>0</v>
      </c>
      <c r="K386" s="689">
        <v>0</v>
      </c>
      <c r="L386" s="692">
        <v>0</v>
      </c>
      <c r="M386" s="691">
        <v>0</v>
      </c>
      <c r="N386" s="527">
        <v>0</v>
      </c>
      <c r="O386" s="675" t="e">
        <f t="shared" si="8"/>
        <v>#DIV/0!</v>
      </c>
    </row>
    <row r="387" spans="1:15">
      <c r="A387" s="684">
        <f t="shared" si="17"/>
        <v>44683</v>
      </c>
      <c r="B387" s="685">
        <v>0</v>
      </c>
      <c r="C387" s="691">
        <v>0</v>
      </c>
      <c r="D387" s="691">
        <v>0</v>
      </c>
      <c r="E387" s="691">
        <v>0</v>
      </c>
      <c r="F387" s="687">
        <v>0</v>
      </c>
      <c r="G387" s="691">
        <v>0</v>
      </c>
      <c r="H387" s="691">
        <v>0</v>
      </c>
      <c r="I387" s="691">
        <v>0</v>
      </c>
      <c r="J387" s="688">
        <v>0</v>
      </c>
      <c r="K387" s="689">
        <v>0</v>
      </c>
      <c r="L387" s="692">
        <v>0</v>
      </c>
      <c r="M387" s="691">
        <v>0</v>
      </c>
      <c r="N387" s="527">
        <v>0</v>
      </c>
      <c r="O387" s="675" t="e">
        <f t="shared" si="8"/>
        <v>#DIV/0!</v>
      </c>
    </row>
    <row r="388" spans="1:15">
      <c r="A388" s="684">
        <f t="shared" si="17"/>
        <v>44684</v>
      </c>
      <c r="B388" s="685">
        <v>0</v>
      </c>
      <c r="C388" s="691">
        <v>0</v>
      </c>
      <c r="D388" s="691">
        <v>0</v>
      </c>
      <c r="E388" s="691">
        <v>0</v>
      </c>
      <c r="F388" s="687">
        <v>0</v>
      </c>
      <c r="G388" s="691">
        <v>0</v>
      </c>
      <c r="H388" s="691">
        <v>0</v>
      </c>
      <c r="I388" s="691">
        <v>0</v>
      </c>
      <c r="J388" s="688">
        <v>0</v>
      </c>
      <c r="K388" s="689">
        <v>0</v>
      </c>
      <c r="L388" s="692">
        <v>0</v>
      </c>
      <c r="M388" s="691">
        <v>0</v>
      </c>
      <c r="N388" s="527">
        <v>0</v>
      </c>
      <c r="O388" s="675" t="e">
        <f t="shared" si="8"/>
        <v>#DIV/0!</v>
      </c>
    </row>
    <row r="389" spans="1:15">
      <c r="A389" s="684">
        <f t="shared" si="17"/>
        <v>44685</v>
      </c>
      <c r="B389" s="685">
        <v>0</v>
      </c>
      <c r="C389" s="691">
        <v>0</v>
      </c>
      <c r="D389" s="691">
        <v>0</v>
      </c>
      <c r="E389" s="691">
        <v>0</v>
      </c>
      <c r="F389" s="687">
        <v>0</v>
      </c>
      <c r="G389" s="691">
        <v>0</v>
      </c>
      <c r="H389" s="691">
        <v>0</v>
      </c>
      <c r="I389" s="691">
        <v>0</v>
      </c>
      <c r="J389" s="688">
        <v>0</v>
      </c>
      <c r="K389" s="689">
        <v>0</v>
      </c>
      <c r="L389" s="692">
        <v>0</v>
      </c>
      <c r="M389" s="691">
        <v>0</v>
      </c>
      <c r="N389" s="527">
        <v>0</v>
      </c>
      <c r="O389" s="675" t="e">
        <f t="shared" si="8"/>
        <v>#DIV/0!</v>
      </c>
    </row>
    <row r="390" spans="1:15">
      <c r="A390" s="684">
        <f t="shared" si="17"/>
        <v>44686</v>
      </c>
      <c r="B390" s="685">
        <v>0</v>
      </c>
      <c r="C390" s="691">
        <v>0</v>
      </c>
      <c r="D390" s="691">
        <v>0</v>
      </c>
      <c r="E390" s="691">
        <v>0</v>
      </c>
      <c r="F390" s="687">
        <v>0</v>
      </c>
      <c r="G390" s="691">
        <v>0</v>
      </c>
      <c r="H390" s="691">
        <v>0</v>
      </c>
      <c r="I390" s="691">
        <v>0</v>
      </c>
      <c r="J390" s="688">
        <v>0</v>
      </c>
      <c r="K390" s="689">
        <v>0</v>
      </c>
      <c r="L390" s="692">
        <v>0</v>
      </c>
      <c r="M390" s="691">
        <v>0</v>
      </c>
      <c r="N390" s="527">
        <v>0</v>
      </c>
      <c r="O390" s="675" t="e">
        <f t="shared" ref="O390:O453" si="18">B390/(G390+H390)</f>
        <v>#DIV/0!</v>
      </c>
    </row>
    <row r="391" spans="1:15">
      <c r="A391" s="684">
        <f t="shared" si="17"/>
        <v>44687</v>
      </c>
      <c r="B391" s="685">
        <v>0</v>
      </c>
      <c r="C391" s="691">
        <v>0</v>
      </c>
      <c r="D391" s="691">
        <v>0</v>
      </c>
      <c r="E391" s="691">
        <v>0</v>
      </c>
      <c r="F391" s="687">
        <v>0</v>
      </c>
      <c r="G391" s="691">
        <v>0</v>
      </c>
      <c r="H391" s="691">
        <v>0</v>
      </c>
      <c r="I391" s="691">
        <v>0</v>
      </c>
      <c r="J391" s="688">
        <v>0</v>
      </c>
      <c r="K391" s="689">
        <v>0</v>
      </c>
      <c r="L391" s="692">
        <v>0</v>
      </c>
      <c r="M391" s="691">
        <v>0</v>
      </c>
      <c r="N391" s="527">
        <v>0</v>
      </c>
      <c r="O391" s="675" t="e">
        <f t="shared" si="18"/>
        <v>#DIV/0!</v>
      </c>
    </row>
    <row r="392" spans="1:15">
      <c r="A392" s="684">
        <f t="shared" si="17"/>
        <v>44688</v>
      </c>
      <c r="B392" s="685">
        <v>0</v>
      </c>
      <c r="C392" s="691">
        <v>0</v>
      </c>
      <c r="D392" s="691">
        <v>0</v>
      </c>
      <c r="E392" s="691">
        <v>0</v>
      </c>
      <c r="F392" s="687">
        <v>0</v>
      </c>
      <c r="G392" s="691">
        <v>0</v>
      </c>
      <c r="H392" s="691">
        <v>0</v>
      </c>
      <c r="I392" s="691">
        <v>0</v>
      </c>
      <c r="J392" s="688">
        <v>0</v>
      </c>
      <c r="K392" s="689">
        <v>0</v>
      </c>
      <c r="L392" s="692">
        <v>0</v>
      </c>
      <c r="M392" s="691">
        <v>0</v>
      </c>
      <c r="N392" s="527">
        <v>0</v>
      </c>
      <c r="O392" s="675" t="e">
        <f t="shared" si="18"/>
        <v>#DIV/0!</v>
      </c>
    </row>
    <row r="393" spans="1:15">
      <c r="A393" s="684">
        <f t="shared" si="17"/>
        <v>44689</v>
      </c>
      <c r="B393" s="685">
        <v>0</v>
      </c>
      <c r="C393" s="691">
        <v>0</v>
      </c>
      <c r="D393" s="691">
        <v>0</v>
      </c>
      <c r="E393" s="691">
        <v>0</v>
      </c>
      <c r="F393" s="687">
        <v>0</v>
      </c>
      <c r="G393" s="691">
        <v>0</v>
      </c>
      <c r="H393" s="691">
        <v>0</v>
      </c>
      <c r="I393" s="691">
        <v>0</v>
      </c>
      <c r="J393" s="688">
        <v>0</v>
      </c>
      <c r="K393" s="689">
        <v>0</v>
      </c>
      <c r="L393" s="692">
        <v>0</v>
      </c>
      <c r="M393" s="691">
        <v>0</v>
      </c>
      <c r="N393" s="527">
        <v>0</v>
      </c>
      <c r="O393" s="675" t="e">
        <f t="shared" si="18"/>
        <v>#DIV/0!</v>
      </c>
    </row>
    <row r="394" spans="1:15">
      <c r="A394" s="684">
        <f t="shared" si="17"/>
        <v>44690</v>
      </c>
      <c r="B394" s="685">
        <v>0</v>
      </c>
      <c r="C394" s="691">
        <v>0</v>
      </c>
      <c r="D394" s="691">
        <v>0</v>
      </c>
      <c r="E394" s="691">
        <v>0</v>
      </c>
      <c r="F394" s="687">
        <v>0</v>
      </c>
      <c r="G394" s="691">
        <v>0</v>
      </c>
      <c r="H394" s="691">
        <v>0</v>
      </c>
      <c r="I394" s="691">
        <v>0</v>
      </c>
      <c r="J394" s="688">
        <v>0</v>
      </c>
      <c r="K394" s="689">
        <v>0</v>
      </c>
      <c r="L394" s="692">
        <v>0</v>
      </c>
      <c r="M394" s="691">
        <v>0</v>
      </c>
      <c r="N394" s="527">
        <v>0</v>
      </c>
      <c r="O394" s="675" t="e">
        <f t="shared" si="18"/>
        <v>#DIV/0!</v>
      </c>
    </row>
    <row r="395" spans="1:15">
      <c r="A395" s="684">
        <f t="shared" si="17"/>
        <v>44691</v>
      </c>
      <c r="B395" s="685">
        <v>0</v>
      </c>
      <c r="C395" s="691">
        <v>0</v>
      </c>
      <c r="D395" s="691">
        <v>0</v>
      </c>
      <c r="E395" s="691">
        <v>0</v>
      </c>
      <c r="F395" s="687">
        <v>0</v>
      </c>
      <c r="G395" s="691">
        <v>0</v>
      </c>
      <c r="H395" s="691">
        <v>0</v>
      </c>
      <c r="I395" s="691">
        <v>0</v>
      </c>
      <c r="J395" s="688">
        <v>0</v>
      </c>
      <c r="K395" s="689">
        <v>0</v>
      </c>
      <c r="L395" s="692">
        <v>0</v>
      </c>
      <c r="M395" s="691">
        <v>0</v>
      </c>
      <c r="N395" s="527">
        <v>0</v>
      </c>
      <c r="O395" s="675" t="e">
        <f t="shared" si="18"/>
        <v>#DIV/0!</v>
      </c>
    </row>
    <row r="396" spans="1:15">
      <c r="A396" s="684">
        <f t="shared" si="17"/>
        <v>44692</v>
      </c>
      <c r="B396" s="685">
        <v>0</v>
      </c>
      <c r="C396" s="691">
        <v>0</v>
      </c>
      <c r="D396" s="691">
        <v>0</v>
      </c>
      <c r="E396" s="691">
        <v>0</v>
      </c>
      <c r="F396" s="687">
        <v>0</v>
      </c>
      <c r="G396" s="691">
        <v>0</v>
      </c>
      <c r="H396" s="691">
        <v>0</v>
      </c>
      <c r="I396" s="691">
        <v>0</v>
      </c>
      <c r="J396" s="688">
        <v>0</v>
      </c>
      <c r="K396" s="689">
        <v>0</v>
      </c>
      <c r="L396" s="692">
        <v>0</v>
      </c>
      <c r="M396" s="691">
        <v>0</v>
      </c>
      <c r="N396" s="527">
        <v>0</v>
      </c>
      <c r="O396" s="675" t="e">
        <f t="shared" si="18"/>
        <v>#DIV/0!</v>
      </c>
    </row>
    <row r="397" spans="1:15">
      <c r="A397" s="684">
        <f t="shared" si="17"/>
        <v>44693</v>
      </c>
      <c r="B397" s="685">
        <v>0</v>
      </c>
      <c r="C397" s="691">
        <v>0</v>
      </c>
      <c r="D397" s="691">
        <v>0</v>
      </c>
      <c r="E397" s="691">
        <v>0</v>
      </c>
      <c r="F397" s="687">
        <v>0</v>
      </c>
      <c r="G397" s="691">
        <v>0</v>
      </c>
      <c r="H397" s="691">
        <v>0</v>
      </c>
      <c r="I397" s="691">
        <v>0</v>
      </c>
      <c r="J397" s="688">
        <v>0</v>
      </c>
      <c r="K397" s="689">
        <v>0</v>
      </c>
      <c r="L397" s="692">
        <v>0</v>
      </c>
      <c r="M397" s="691">
        <v>0</v>
      </c>
      <c r="N397" s="527">
        <v>0</v>
      </c>
      <c r="O397" s="675" t="e">
        <f t="shared" si="18"/>
        <v>#DIV/0!</v>
      </c>
    </row>
    <row r="398" spans="1:15">
      <c r="A398" s="684">
        <f t="shared" si="17"/>
        <v>44694</v>
      </c>
      <c r="B398" s="685">
        <v>0</v>
      </c>
      <c r="C398" s="691">
        <v>0</v>
      </c>
      <c r="D398" s="691">
        <v>0</v>
      </c>
      <c r="E398" s="691">
        <v>0</v>
      </c>
      <c r="F398" s="687">
        <v>0</v>
      </c>
      <c r="G398" s="691">
        <v>0</v>
      </c>
      <c r="H398" s="691">
        <v>0</v>
      </c>
      <c r="I398" s="691">
        <v>0</v>
      </c>
      <c r="J398" s="688">
        <v>0</v>
      </c>
      <c r="K398" s="689">
        <v>0</v>
      </c>
      <c r="L398" s="692">
        <v>0</v>
      </c>
      <c r="M398" s="691">
        <v>0</v>
      </c>
      <c r="N398" s="527">
        <v>0</v>
      </c>
      <c r="O398" s="675" t="e">
        <f t="shared" si="18"/>
        <v>#DIV/0!</v>
      </c>
    </row>
    <row r="399" spans="1:15">
      <c r="A399" s="684">
        <f t="shared" si="17"/>
        <v>44695</v>
      </c>
      <c r="B399" s="685">
        <v>0</v>
      </c>
      <c r="C399" s="691">
        <v>0</v>
      </c>
      <c r="D399" s="691">
        <v>0</v>
      </c>
      <c r="E399" s="691">
        <v>0</v>
      </c>
      <c r="F399" s="687">
        <v>0</v>
      </c>
      <c r="G399" s="691">
        <v>0</v>
      </c>
      <c r="H399" s="691">
        <v>0</v>
      </c>
      <c r="I399" s="691">
        <v>0</v>
      </c>
      <c r="J399" s="688">
        <v>0</v>
      </c>
      <c r="K399" s="689">
        <v>0</v>
      </c>
      <c r="L399" s="692">
        <v>0</v>
      </c>
      <c r="M399" s="691">
        <v>0</v>
      </c>
      <c r="N399" s="527">
        <v>0</v>
      </c>
      <c r="O399" s="675" t="e">
        <f t="shared" si="18"/>
        <v>#DIV/0!</v>
      </c>
    </row>
    <row r="400" spans="1:15">
      <c r="A400" s="684">
        <f t="shared" si="17"/>
        <v>44696</v>
      </c>
      <c r="B400" s="685">
        <v>0</v>
      </c>
      <c r="C400" s="691">
        <v>0</v>
      </c>
      <c r="D400" s="691">
        <v>0</v>
      </c>
      <c r="E400" s="691">
        <v>0</v>
      </c>
      <c r="F400" s="687">
        <v>0</v>
      </c>
      <c r="G400" s="691">
        <v>0</v>
      </c>
      <c r="H400" s="691">
        <v>0</v>
      </c>
      <c r="I400" s="691">
        <v>0</v>
      </c>
      <c r="J400" s="688">
        <v>0</v>
      </c>
      <c r="K400" s="689">
        <v>0</v>
      </c>
      <c r="L400" s="692">
        <v>0</v>
      </c>
      <c r="M400" s="691">
        <v>0</v>
      </c>
      <c r="N400" s="527">
        <v>0</v>
      </c>
      <c r="O400" s="675" t="e">
        <f t="shared" si="18"/>
        <v>#DIV/0!</v>
      </c>
    </row>
    <row r="401" spans="1:15">
      <c r="A401" s="684">
        <f t="shared" si="17"/>
        <v>44697</v>
      </c>
      <c r="B401" s="685">
        <v>0</v>
      </c>
      <c r="C401" s="691">
        <v>0</v>
      </c>
      <c r="D401" s="691">
        <v>0</v>
      </c>
      <c r="E401" s="691">
        <v>0</v>
      </c>
      <c r="F401" s="687">
        <v>0</v>
      </c>
      <c r="G401" s="691">
        <v>0</v>
      </c>
      <c r="H401" s="691">
        <v>0</v>
      </c>
      <c r="I401" s="691">
        <v>0</v>
      </c>
      <c r="J401" s="688">
        <v>0</v>
      </c>
      <c r="K401" s="689">
        <v>0</v>
      </c>
      <c r="L401" s="692">
        <v>0</v>
      </c>
      <c r="M401" s="691">
        <v>0</v>
      </c>
      <c r="N401" s="527">
        <v>0</v>
      </c>
      <c r="O401" s="675" t="e">
        <f t="shared" si="18"/>
        <v>#DIV/0!</v>
      </c>
    </row>
    <row r="402" spans="1:15">
      <c r="A402" s="684">
        <f t="shared" si="17"/>
        <v>44698</v>
      </c>
      <c r="B402" s="685">
        <v>0</v>
      </c>
      <c r="C402" s="691">
        <v>0</v>
      </c>
      <c r="D402" s="691">
        <v>0</v>
      </c>
      <c r="E402" s="691">
        <v>0</v>
      </c>
      <c r="F402" s="687">
        <v>0</v>
      </c>
      <c r="G402" s="691">
        <v>0</v>
      </c>
      <c r="H402" s="691">
        <v>0</v>
      </c>
      <c r="I402" s="691">
        <v>0</v>
      </c>
      <c r="J402" s="688">
        <v>0</v>
      </c>
      <c r="K402" s="689">
        <v>0</v>
      </c>
      <c r="L402" s="692">
        <v>0</v>
      </c>
      <c r="M402" s="691">
        <v>0</v>
      </c>
      <c r="N402" s="527">
        <v>0</v>
      </c>
      <c r="O402" s="675" t="e">
        <f t="shared" si="18"/>
        <v>#DIV/0!</v>
      </c>
    </row>
    <row r="403" spans="1:15">
      <c r="A403" s="684">
        <f t="shared" si="17"/>
        <v>44699</v>
      </c>
      <c r="B403" s="685">
        <v>0</v>
      </c>
      <c r="C403" s="691">
        <v>0</v>
      </c>
      <c r="D403" s="691">
        <v>0</v>
      </c>
      <c r="E403" s="691">
        <v>0</v>
      </c>
      <c r="F403" s="687">
        <v>0</v>
      </c>
      <c r="G403" s="691">
        <v>0</v>
      </c>
      <c r="H403" s="691">
        <v>0</v>
      </c>
      <c r="I403" s="691">
        <v>0</v>
      </c>
      <c r="J403" s="688">
        <v>0</v>
      </c>
      <c r="K403" s="689">
        <v>0</v>
      </c>
      <c r="L403" s="692">
        <v>0</v>
      </c>
      <c r="M403" s="691">
        <v>0</v>
      </c>
      <c r="N403" s="527">
        <v>0</v>
      </c>
      <c r="O403" s="675" t="e">
        <f t="shared" si="18"/>
        <v>#DIV/0!</v>
      </c>
    </row>
    <row r="404" spans="1:15">
      <c r="A404" s="684">
        <f t="shared" si="17"/>
        <v>44700</v>
      </c>
      <c r="B404" s="685">
        <v>0</v>
      </c>
      <c r="C404" s="691">
        <v>0</v>
      </c>
      <c r="D404" s="691">
        <v>0</v>
      </c>
      <c r="E404" s="691">
        <v>0</v>
      </c>
      <c r="F404" s="687">
        <v>0</v>
      </c>
      <c r="G404" s="691">
        <v>0</v>
      </c>
      <c r="H404" s="691">
        <v>0</v>
      </c>
      <c r="I404" s="691">
        <v>0</v>
      </c>
      <c r="J404" s="688">
        <v>0</v>
      </c>
      <c r="K404" s="689">
        <v>0</v>
      </c>
      <c r="L404" s="692">
        <v>0</v>
      </c>
      <c r="M404" s="691">
        <v>0</v>
      </c>
      <c r="N404" s="527">
        <v>0</v>
      </c>
      <c r="O404" s="675" t="e">
        <f t="shared" si="18"/>
        <v>#DIV/0!</v>
      </c>
    </row>
    <row r="405" spans="1:15">
      <c r="A405" s="684">
        <f t="shared" si="17"/>
        <v>44701</v>
      </c>
      <c r="B405" s="685">
        <v>0</v>
      </c>
      <c r="C405" s="691">
        <v>0</v>
      </c>
      <c r="D405" s="691">
        <v>0</v>
      </c>
      <c r="E405" s="691">
        <v>0</v>
      </c>
      <c r="F405" s="687">
        <v>0</v>
      </c>
      <c r="G405" s="691">
        <v>0</v>
      </c>
      <c r="H405" s="691">
        <v>0</v>
      </c>
      <c r="I405" s="691">
        <v>0</v>
      </c>
      <c r="J405" s="688">
        <v>0</v>
      </c>
      <c r="K405" s="689">
        <v>0</v>
      </c>
      <c r="L405" s="692">
        <v>0</v>
      </c>
      <c r="M405" s="691">
        <v>0</v>
      </c>
      <c r="N405" s="527">
        <v>0</v>
      </c>
      <c r="O405" s="675" t="e">
        <f t="shared" si="18"/>
        <v>#DIV/0!</v>
      </c>
    </row>
    <row r="406" spans="1:15">
      <c r="A406" s="684">
        <f t="shared" ref="A406:A412" si="19">A405+1</f>
        <v>44702</v>
      </c>
      <c r="B406" s="685">
        <v>0</v>
      </c>
      <c r="C406" s="691">
        <v>0</v>
      </c>
      <c r="D406" s="691">
        <v>0</v>
      </c>
      <c r="E406" s="691">
        <v>0</v>
      </c>
      <c r="F406" s="687">
        <v>0</v>
      </c>
      <c r="G406" s="691">
        <v>0</v>
      </c>
      <c r="H406" s="691">
        <v>0</v>
      </c>
      <c r="I406" s="691">
        <v>0</v>
      </c>
      <c r="J406" s="688">
        <v>0</v>
      </c>
      <c r="K406" s="689">
        <v>0</v>
      </c>
      <c r="L406" s="692">
        <v>0</v>
      </c>
      <c r="M406" s="691">
        <v>0</v>
      </c>
      <c r="N406" s="527">
        <v>0</v>
      </c>
      <c r="O406" s="675" t="e">
        <f t="shared" si="18"/>
        <v>#DIV/0!</v>
      </c>
    </row>
    <row r="407" spans="1:15">
      <c r="A407" s="684">
        <f t="shared" si="19"/>
        <v>44703</v>
      </c>
      <c r="B407" s="685">
        <v>0</v>
      </c>
      <c r="C407" s="691">
        <v>0</v>
      </c>
      <c r="D407" s="691">
        <v>0</v>
      </c>
      <c r="E407" s="691">
        <v>0</v>
      </c>
      <c r="F407" s="687">
        <v>0</v>
      </c>
      <c r="G407" s="691">
        <v>0</v>
      </c>
      <c r="H407" s="691">
        <v>0</v>
      </c>
      <c r="I407" s="691">
        <v>0</v>
      </c>
      <c r="J407" s="688">
        <v>0</v>
      </c>
      <c r="K407" s="689">
        <v>0</v>
      </c>
      <c r="L407" s="692">
        <v>0</v>
      </c>
      <c r="M407" s="691">
        <v>0</v>
      </c>
      <c r="N407" s="527">
        <v>0</v>
      </c>
      <c r="O407" s="675" t="e">
        <f t="shared" si="18"/>
        <v>#DIV/0!</v>
      </c>
    </row>
    <row r="408" spans="1:15">
      <c r="A408" s="684">
        <f t="shared" si="19"/>
        <v>44704</v>
      </c>
      <c r="B408" s="685">
        <v>0</v>
      </c>
      <c r="C408" s="691">
        <v>0</v>
      </c>
      <c r="D408" s="691">
        <v>0</v>
      </c>
      <c r="E408" s="691">
        <v>0</v>
      </c>
      <c r="F408" s="687">
        <v>0</v>
      </c>
      <c r="G408" s="691">
        <v>0</v>
      </c>
      <c r="H408" s="691">
        <v>0</v>
      </c>
      <c r="I408" s="691">
        <v>0</v>
      </c>
      <c r="J408" s="688">
        <v>0</v>
      </c>
      <c r="K408" s="689">
        <v>0</v>
      </c>
      <c r="L408" s="692">
        <v>0</v>
      </c>
      <c r="M408" s="691">
        <v>0</v>
      </c>
      <c r="N408" s="527">
        <v>0</v>
      </c>
      <c r="O408" s="675" t="e">
        <f t="shared" si="18"/>
        <v>#DIV/0!</v>
      </c>
    </row>
    <row r="409" spans="1:15">
      <c r="A409" s="684">
        <f t="shared" si="19"/>
        <v>44705</v>
      </c>
      <c r="B409" s="685">
        <v>0</v>
      </c>
      <c r="C409" s="691">
        <v>0</v>
      </c>
      <c r="D409" s="691">
        <v>0</v>
      </c>
      <c r="E409" s="691">
        <v>0</v>
      </c>
      <c r="F409" s="687">
        <v>0</v>
      </c>
      <c r="G409" s="691">
        <v>0</v>
      </c>
      <c r="H409" s="691">
        <v>0</v>
      </c>
      <c r="I409" s="691">
        <v>0</v>
      </c>
      <c r="J409" s="688">
        <v>0</v>
      </c>
      <c r="K409" s="689">
        <v>0</v>
      </c>
      <c r="L409" s="692">
        <v>0</v>
      </c>
      <c r="M409" s="691">
        <v>0</v>
      </c>
      <c r="N409" s="527">
        <v>0</v>
      </c>
      <c r="O409" s="675" t="e">
        <f t="shared" si="18"/>
        <v>#DIV/0!</v>
      </c>
    </row>
    <row r="410" spans="1:15">
      <c r="A410" s="684">
        <f t="shared" si="19"/>
        <v>44706</v>
      </c>
      <c r="B410" s="685">
        <v>0</v>
      </c>
      <c r="C410" s="691">
        <v>0</v>
      </c>
      <c r="D410" s="691">
        <v>0</v>
      </c>
      <c r="E410" s="691">
        <v>0</v>
      </c>
      <c r="F410" s="687">
        <v>0</v>
      </c>
      <c r="G410" s="691">
        <v>0</v>
      </c>
      <c r="H410" s="691">
        <v>0</v>
      </c>
      <c r="I410" s="691">
        <v>0</v>
      </c>
      <c r="J410" s="688">
        <v>0</v>
      </c>
      <c r="K410" s="689">
        <v>0</v>
      </c>
      <c r="L410" s="692">
        <v>0</v>
      </c>
      <c r="M410" s="691">
        <v>0</v>
      </c>
      <c r="N410" s="527">
        <v>0</v>
      </c>
      <c r="O410" s="675" t="e">
        <f t="shared" si="18"/>
        <v>#DIV/0!</v>
      </c>
    </row>
    <row r="411" spans="1:15">
      <c r="A411" s="684">
        <f t="shared" si="19"/>
        <v>44707</v>
      </c>
      <c r="B411" s="685">
        <v>0</v>
      </c>
      <c r="C411" s="691">
        <v>0</v>
      </c>
      <c r="D411" s="691">
        <v>0</v>
      </c>
      <c r="E411" s="691">
        <v>0</v>
      </c>
      <c r="F411" s="687">
        <v>0</v>
      </c>
      <c r="G411" s="691">
        <v>0</v>
      </c>
      <c r="H411" s="691">
        <v>0</v>
      </c>
      <c r="I411" s="691">
        <v>0</v>
      </c>
      <c r="J411" s="688">
        <v>0</v>
      </c>
      <c r="K411" s="689">
        <v>0</v>
      </c>
      <c r="L411" s="692">
        <v>0</v>
      </c>
      <c r="M411" s="691">
        <v>0</v>
      </c>
      <c r="N411" s="527">
        <v>0</v>
      </c>
      <c r="O411" s="675" t="e">
        <f t="shared" si="18"/>
        <v>#DIV/0!</v>
      </c>
    </row>
    <row r="412" spans="1:15">
      <c r="A412" s="684">
        <f t="shared" si="19"/>
        <v>44708</v>
      </c>
      <c r="B412" s="685">
        <v>0</v>
      </c>
      <c r="C412" s="691">
        <v>0</v>
      </c>
      <c r="D412" s="691">
        <v>0</v>
      </c>
      <c r="E412" s="691">
        <v>0</v>
      </c>
      <c r="F412" s="687">
        <v>0</v>
      </c>
      <c r="G412" s="691">
        <v>0</v>
      </c>
      <c r="H412" s="691">
        <v>0</v>
      </c>
      <c r="I412" s="691">
        <v>0</v>
      </c>
      <c r="J412" s="688">
        <v>0</v>
      </c>
      <c r="K412" s="689">
        <v>0</v>
      </c>
      <c r="L412" s="692">
        <v>0</v>
      </c>
      <c r="M412" s="691">
        <v>0</v>
      </c>
      <c r="N412" s="527">
        <v>0</v>
      </c>
      <c r="O412" s="675" t="e">
        <f t="shared" si="18"/>
        <v>#DIV/0!</v>
      </c>
    </row>
    <row r="413" s="541" customFormat="1" spans="1:15">
      <c r="A413" s="695">
        <v>45161</v>
      </c>
      <c r="B413" s="696">
        <v>184.75</v>
      </c>
      <c r="C413" s="697">
        <v>5119</v>
      </c>
      <c r="D413" s="698">
        <v>61</v>
      </c>
      <c r="E413" s="698">
        <v>0</v>
      </c>
      <c r="F413" s="696">
        <v>0</v>
      </c>
      <c r="G413" s="697">
        <v>1</v>
      </c>
      <c r="H413" s="697">
        <v>0</v>
      </c>
      <c r="I413" s="697">
        <v>0</v>
      </c>
      <c r="J413" s="699">
        <f>D413/C413</f>
        <v>0.0119163899199062</v>
      </c>
      <c r="K413" s="700">
        <f>B413/D413</f>
        <v>3.02868852459016</v>
      </c>
      <c r="L413" s="701">
        <f>B413/C413*1000</f>
        <v>36.0910334049619</v>
      </c>
      <c r="M413" s="702">
        <f>F413/B413</f>
        <v>0</v>
      </c>
      <c r="N413" s="703">
        <f>E413/D413</f>
        <v>0</v>
      </c>
      <c r="O413" s="675">
        <f t="shared" si="18"/>
        <v>184.75</v>
      </c>
    </row>
    <row r="414" s="541" customFormat="1" spans="1:15">
      <c r="A414" s="695">
        <v>45162</v>
      </c>
      <c r="B414" s="696">
        <v>599.69</v>
      </c>
      <c r="C414" s="697">
        <v>81627</v>
      </c>
      <c r="D414" s="698">
        <v>528</v>
      </c>
      <c r="E414" s="698">
        <v>0</v>
      </c>
      <c r="F414" s="696">
        <v>0</v>
      </c>
      <c r="G414" s="698">
        <v>5</v>
      </c>
      <c r="H414" s="698">
        <v>3</v>
      </c>
      <c r="I414" s="698">
        <v>0</v>
      </c>
      <c r="J414" s="699">
        <f t="shared" ref="J414:J445" si="20">D414/C414</f>
        <v>0.00646844794001985</v>
      </c>
      <c r="K414" s="700">
        <f t="shared" ref="K414:K445" si="21">B414/D414</f>
        <v>1.13577651515152</v>
      </c>
      <c r="L414" s="701">
        <f t="shared" ref="L414:L445" si="22">B414/C414*1000</f>
        <v>7.34671125975474</v>
      </c>
      <c r="M414" s="702">
        <f t="shared" ref="M414:M445" si="23">F414/B414</f>
        <v>0</v>
      </c>
      <c r="N414" s="703">
        <f t="shared" ref="N414:N445" si="24">E414/D414</f>
        <v>0</v>
      </c>
      <c r="O414" s="675">
        <f t="shared" si="18"/>
        <v>74.96125</v>
      </c>
    </row>
    <row r="415" s="541" customFormat="1" spans="1:15">
      <c r="A415" s="695">
        <v>45163</v>
      </c>
      <c r="B415" s="696">
        <v>800</v>
      </c>
      <c r="C415" s="697">
        <v>97621</v>
      </c>
      <c r="D415" s="698">
        <v>529</v>
      </c>
      <c r="E415" s="698">
        <v>0</v>
      </c>
      <c r="F415" s="696">
        <v>0</v>
      </c>
      <c r="G415" s="698">
        <v>4</v>
      </c>
      <c r="H415" s="698">
        <v>2</v>
      </c>
      <c r="I415" s="698">
        <v>0</v>
      </c>
      <c r="J415" s="699">
        <f t="shared" si="20"/>
        <v>0.00541891601192366</v>
      </c>
      <c r="K415" s="700">
        <f t="shared" si="21"/>
        <v>1.51228733459357</v>
      </c>
      <c r="L415" s="701">
        <f t="shared" si="22"/>
        <v>8.19495805205847</v>
      </c>
      <c r="M415" s="702">
        <f t="shared" si="23"/>
        <v>0</v>
      </c>
      <c r="N415" s="703">
        <f t="shared" si="24"/>
        <v>0</v>
      </c>
      <c r="O415" s="675">
        <f t="shared" si="18"/>
        <v>133.333333333333</v>
      </c>
    </row>
    <row r="416" s="541" customFormat="1" spans="1:15">
      <c r="A416" s="695">
        <v>45164</v>
      </c>
      <c r="B416" s="696">
        <v>397.93</v>
      </c>
      <c r="C416" s="697">
        <v>47392</v>
      </c>
      <c r="D416" s="698">
        <v>274</v>
      </c>
      <c r="E416" s="698">
        <v>0</v>
      </c>
      <c r="F416" s="696">
        <v>0</v>
      </c>
      <c r="G416" s="698">
        <v>6</v>
      </c>
      <c r="H416" s="698">
        <v>2</v>
      </c>
      <c r="I416" s="698">
        <v>1</v>
      </c>
      <c r="J416" s="699">
        <f t="shared" si="20"/>
        <v>0.00578156650911546</v>
      </c>
      <c r="K416" s="700">
        <f t="shared" si="21"/>
        <v>1.45229927007299</v>
      </c>
      <c r="L416" s="701">
        <f t="shared" si="22"/>
        <v>8.39656482106685</v>
      </c>
      <c r="M416" s="702">
        <f t="shared" si="23"/>
        <v>0</v>
      </c>
      <c r="N416" s="703">
        <f t="shared" si="24"/>
        <v>0</v>
      </c>
      <c r="O416" s="675">
        <f t="shared" si="18"/>
        <v>49.74125</v>
      </c>
    </row>
    <row r="417" s="541" customFormat="1" spans="1:15">
      <c r="A417" s="695">
        <v>45165</v>
      </c>
      <c r="B417" s="696">
        <v>400</v>
      </c>
      <c r="C417" s="697">
        <v>36959</v>
      </c>
      <c r="D417" s="698">
        <v>242</v>
      </c>
      <c r="E417" s="698">
        <v>0</v>
      </c>
      <c r="F417" s="696">
        <v>0</v>
      </c>
      <c r="G417" s="698">
        <v>1</v>
      </c>
      <c r="H417" s="698">
        <v>2</v>
      </c>
      <c r="I417" s="698">
        <v>1</v>
      </c>
      <c r="J417" s="699">
        <f t="shared" si="20"/>
        <v>0.00654779620660732</v>
      </c>
      <c r="K417" s="700">
        <f t="shared" si="21"/>
        <v>1.65289256198347</v>
      </c>
      <c r="L417" s="701">
        <f t="shared" si="22"/>
        <v>10.8228036472848</v>
      </c>
      <c r="M417" s="702">
        <f t="shared" si="23"/>
        <v>0</v>
      </c>
      <c r="N417" s="703">
        <f t="shared" si="24"/>
        <v>0</v>
      </c>
      <c r="O417" s="675">
        <f t="shared" si="18"/>
        <v>133.333333333333</v>
      </c>
    </row>
    <row r="418" s="541" customFormat="1" spans="1:15">
      <c r="A418" s="695">
        <v>45166</v>
      </c>
      <c r="B418" s="696">
        <v>400</v>
      </c>
      <c r="C418" s="697">
        <v>48804</v>
      </c>
      <c r="D418" s="698">
        <v>288</v>
      </c>
      <c r="E418" s="698">
        <v>0</v>
      </c>
      <c r="F418" s="696">
        <v>0</v>
      </c>
      <c r="G418" s="698">
        <v>8</v>
      </c>
      <c r="H418" s="698">
        <v>0</v>
      </c>
      <c r="I418" s="698">
        <v>0</v>
      </c>
      <c r="J418" s="699">
        <f t="shared" si="20"/>
        <v>0.00590115564298008</v>
      </c>
      <c r="K418" s="700">
        <f t="shared" si="21"/>
        <v>1.38888888888889</v>
      </c>
      <c r="L418" s="701">
        <f t="shared" si="22"/>
        <v>8.196049504139</v>
      </c>
      <c r="M418" s="702">
        <f t="shared" si="23"/>
        <v>0</v>
      </c>
      <c r="N418" s="703">
        <f t="shared" si="24"/>
        <v>0</v>
      </c>
      <c r="O418" s="675">
        <f t="shared" si="18"/>
        <v>50</v>
      </c>
    </row>
    <row r="419" s="541" customFormat="1" spans="1:15">
      <c r="A419" s="695">
        <v>45167</v>
      </c>
      <c r="B419" s="696">
        <v>399.82</v>
      </c>
      <c r="C419" s="697">
        <v>48128</v>
      </c>
      <c r="D419" s="698">
        <v>271</v>
      </c>
      <c r="E419" s="698">
        <v>0</v>
      </c>
      <c r="F419" s="696">
        <v>0</v>
      </c>
      <c r="G419" s="698">
        <v>0</v>
      </c>
      <c r="H419" s="698">
        <v>1</v>
      </c>
      <c r="I419" s="698">
        <v>0</v>
      </c>
      <c r="J419" s="699">
        <f t="shared" si="20"/>
        <v>0.00563081781914894</v>
      </c>
      <c r="K419" s="700">
        <f t="shared" si="21"/>
        <v>1.47535055350554</v>
      </c>
      <c r="L419" s="701">
        <f t="shared" si="22"/>
        <v>8.30743018617021</v>
      </c>
      <c r="M419" s="702">
        <f t="shared" si="23"/>
        <v>0</v>
      </c>
      <c r="N419" s="703">
        <f t="shared" si="24"/>
        <v>0</v>
      </c>
      <c r="O419" s="675">
        <f t="shared" si="18"/>
        <v>399.82</v>
      </c>
    </row>
    <row r="420" s="541" customFormat="1" spans="1:15">
      <c r="A420" s="695">
        <v>45168</v>
      </c>
      <c r="B420" s="696">
        <v>399.6</v>
      </c>
      <c r="C420" s="697">
        <v>34171</v>
      </c>
      <c r="D420" s="698">
        <v>239</v>
      </c>
      <c r="E420" s="698">
        <v>0</v>
      </c>
      <c r="F420" s="696">
        <v>0</v>
      </c>
      <c r="G420" s="698">
        <v>0</v>
      </c>
      <c r="H420" s="698">
        <v>1</v>
      </c>
      <c r="I420" s="698">
        <v>0</v>
      </c>
      <c r="J420" s="699">
        <f t="shared" si="20"/>
        <v>0.00699423487752773</v>
      </c>
      <c r="K420" s="700">
        <f t="shared" si="21"/>
        <v>1.67196652719665</v>
      </c>
      <c r="L420" s="701">
        <f t="shared" si="22"/>
        <v>11.6941265985777</v>
      </c>
      <c r="M420" s="702">
        <f t="shared" si="23"/>
        <v>0</v>
      </c>
      <c r="N420" s="703">
        <f t="shared" si="24"/>
        <v>0</v>
      </c>
      <c r="O420" s="675">
        <f t="shared" si="18"/>
        <v>399.6</v>
      </c>
    </row>
    <row r="421" s="541" customFormat="1" spans="1:15">
      <c r="A421" s="695">
        <v>45169</v>
      </c>
      <c r="B421" s="696">
        <v>595.11</v>
      </c>
      <c r="C421" s="697">
        <v>44376</v>
      </c>
      <c r="D421" s="698">
        <v>300</v>
      </c>
      <c r="E421" s="698">
        <v>0</v>
      </c>
      <c r="F421" s="696">
        <v>0</v>
      </c>
      <c r="G421" s="698">
        <v>0</v>
      </c>
      <c r="H421" s="698">
        <v>3</v>
      </c>
      <c r="I421" s="698">
        <v>0</v>
      </c>
      <c r="J421" s="699">
        <f t="shared" si="20"/>
        <v>0.00676041103299081</v>
      </c>
      <c r="K421" s="700">
        <f t="shared" si="21"/>
        <v>1.9837</v>
      </c>
      <c r="L421" s="701">
        <f t="shared" si="22"/>
        <v>13.4106273661439</v>
      </c>
      <c r="M421" s="702">
        <f t="shared" si="23"/>
        <v>0</v>
      </c>
      <c r="N421" s="703">
        <f t="shared" si="24"/>
        <v>0</v>
      </c>
      <c r="O421" s="675">
        <f t="shared" si="18"/>
        <v>198.37</v>
      </c>
    </row>
    <row r="422" s="541" customFormat="1" spans="1:15">
      <c r="A422" s="695">
        <v>45170</v>
      </c>
      <c r="B422" s="704">
        <v>786.95</v>
      </c>
      <c r="C422" s="705">
        <v>49923</v>
      </c>
      <c r="D422" s="706">
        <v>400</v>
      </c>
      <c r="E422" s="698">
        <v>0</v>
      </c>
      <c r="F422" s="696">
        <v>0</v>
      </c>
      <c r="G422" s="698">
        <v>1</v>
      </c>
      <c r="H422" s="698">
        <v>3</v>
      </c>
      <c r="I422" s="698">
        <v>0</v>
      </c>
      <c r="J422" s="699">
        <f t="shared" si="20"/>
        <v>0.00801233900206318</v>
      </c>
      <c r="K422" s="700">
        <f t="shared" si="21"/>
        <v>1.967375</v>
      </c>
      <c r="L422" s="701">
        <f t="shared" si="22"/>
        <v>15.763275444184</v>
      </c>
      <c r="M422" s="702">
        <f t="shared" si="23"/>
        <v>0</v>
      </c>
      <c r="N422" s="703">
        <f t="shared" si="24"/>
        <v>0</v>
      </c>
      <c r="O422" s="675">
        <f t="shared" si="18"/>
        <v>196.7375</v>
      </c>
    </row>
    <row r="423" s="541" customFormat="1" spans="1:15">
      <c r="A423" s="695">
        <v>45171</v>
      </c>
      <c r="B423" s="704">
        <v>797.06</v>
      </c>
      <c r="C423" s="705">
        <v>45865</v>
      </c>
      <c r="D423" s="706">
        <v>431</v>
      </c>
      <c r="E423" s="698">
        <v>0</v>
      </c>
      <c r="F423" s="696">
        <v>0</v>
      </c>
      <c r="G423" s="698">
        <v>3</v>
      </c>
      <c r="H423" s="698">
        <v>2</v>
      </c>
      <c r="I423" s="698">
        <v>0</v>
      </c>
      <c r="J423" s="699">
        <f t="shared" si="20"/>
        <v>0.00939714379156219</v>
      </c>
      <c r="K423" s="700">
        <f t="shared" si="21"/>
        <v>1.84932714617169</v>
      </c>
      <c r="L423" s="701">
        <f t="shared" si="22"/>
        <v>17.3783931102148</v>
      </c>
      <c r="M423" s="702">
        <f t="shared" si="23"/>
        <v>0</v>
      </c>
      <c r="N423" s="703">
        <f t="shared" si="24"/>
        <v>0</v>
      </c>
      <c r="O423" s="675">
        <f t="shared" si="18"/>
        <v>159.412</v>
      </c>
    </row>
    <row r="424" s="541" customFormat="1" spans="1:15">
      <c r="A424" s="695">
        <v>45172</v>
      </c>
      <c r="B424" s="704">
        <v>998.79</v>
      </c>
      <c r="C424" s="705">
        <v>77473</v>
      </c>
      <c r="D424" s="706">
        <v>697</v>
      </c>
      <c r="E424" s="698">
        <v>0</v>
      </c>
      <c r="F424" s="696">
        <v>0</v>
      </c>
      <c r="G424" s="698">
        <v>2</v>
      </c>
      <c r="H424" s="698">
        <v>5</v>
      </c>
      <c r="I424" s="698">
        <v>0</v>
      </c>
      <c r="J424" s="699">
        <f t="shared" si="20"/>
        <v>0.00899668271526854</v>
      </c>
      <c r="K424" s="700">
        <f t="shared" si="21"/>
        <v>1.43298421807747</v>
      </c>
      <c r="L424" s="701">
        <f t="shared" si="22"/>
        <v>12.8921043460302</v>
      </c>
      <c r="M424" s="702">
        <f t="shared" si="23"/>
        <v>0</v>
      </c>
      <c r="N424" s="703">
        <f t="shared" si="24"/>
        <v>0</v>
      </c>
      <c r="O424" s="675">
        <f t="shared" si="18"/>
        <v>142.684285714286</v>
      </c>
    </row>
    <row r="425" s="541" customFormat="1" spans="1:15">
      <c r="A425" s="695">
        <v>45173</v>
      </c>
      <c r="B425" s="696">
        <v>990.33</v>
      </c>
      <c r="C425" s="707">
        <v>76448</v>
      </c>
      <c r="D425" s="707">
        <v>664</v>
      </c>
      <c r="E425" s="698">
        <v>0</v>
      </c>
      <c r="F425" s="696">
        <v>0</v>
      </c>
      <c r="G425" s="698">
        <v>2</v>
      </c>
      <c r="H425" s="698">
        <v>5</v>
      </c>
      <c r="I425" s="698">
        <v>0</v>
      </c>
      <c r="J425" s="699">
        <f t="shared" si="20"/>
        <v>0.0086856425282545</v>
      </c>
      <c r="K425" s="700">
        <f t="shared" si="21"/>
        <v>1.49146084337349</v>
      </c>
      <c r="L425" s="701">
        <f t="shared" si="22"/>
        <v>12.9542957304311</v>
      </c>
      <c r="M425" s="702">
        <f t="shared" si="23"/>
        <v>0</v>
      </c>
      <c r="N425" s="703">
        <f t="shared" si="24"/>
        <v>0</v>
      </c>
      <c r="O425" s="675">
        <f t="shared" si="18"/>
        <v>141.475714285714</v>
      </c>
    </row>
    <row r="426" s="541" customFormat="1" spans="1:15">
      <c r="A426" s="695">
        <v>45174</v>
      </c>
      <c r="B426" s="708">
        <v>996</v>
      </c>
      <c r="C426" s="707">
        <v>93419</v>
      </c>
      <c r="D426" s="707">
        <v>661</v>
      </c>
      <c r="E426" s="698">
        <v>0</v>
      </c>
      <c r="F426" s="696">
        <v>0</v>
      </c>
      <c r="G426" s="698">
        <v>1</v>
      </c>
      <c r="H426" s="698">
        <v>3</v>
      </c>
      <c r="I426" s="698">
        <v>0</v>
      </c>
      <c r="J426" s="699">
        <f t="shared" si="20"/>
        <v>0.00707564842269774</v>
      </c>
      <c r="K426" s="700">
        <f t="shared" si="21"/>
        <v>1.50680786686838</v>
      </c>
      <c r="L426" s="701">
        <f t="shared" si="22"/>
        <v>10.6616427065158</v>
      </c>
      <c r="M426" s="702">
        <f t="shared" si="23"/>
        <v>0</v>
      </c>
      <c r="N426" s="703">
        <f t="shared" si="24"/>
        <v>0</v>
      </c>
      <c r="O426" s="675">
        <f t="shared" si="18"/>
        <v>249</v>
      </c>
    </row>
    <row r="427" s="541" customFormat="1" spans="1:15">
      <c r="A427" s="695">
        <v>45175</v>
      </c>
      <c r="B427" s="708">
        <v>598</v>
      </c>
      <c r="C427" s="707">
        <v>52996</v>
      </c>
      <c r="D427" s="707">
        <v>349</v>
      </c>
      <c r="E427" s="698">
        <v>0</v>
      </c>
      <c r="F427" s="696">
        <v>0</v>
      </c>
      <c r="G427" s="698">
        <v>2</v>
      </c>
      <c r="H427" s="698">
        <v>2</v>
      </c>
      <c r="I427" s="698">
        <v>0</v>
      </c>
      <c r="J427" s="699">
        <f t="shared" si="20"/>
        <v>0.00658540267189977</v>
      </c>
      <c r="K427" s="700">
        <f t="shared" si="21"/>
        <v>1.7134670487106</v>
      </c>
      <c r="L427" s="701">
        <f t="shared" si="22"/>
        <v>11.283870480791</v>
      </c>
      <c r="M427" s="702">
        <f t="shared" si="23"/>
        <v>0</v>
      </c>
      <c r="N427" s="703">
        <f t="shared" si="24"/>
        <v>0</v>
      </c>
      <c r="O427" s="675">
        <f t="shared" si="18"/>
        <v>149.5</v>
      </c>
    </row>
    <row r="428" s="541" customFormat="1" spans="1:15">
      <c r="A428" s="695">
        <v>45176</v>
      </c>
      <c r="B428" s="704">
        <v>597.96</v>
      </c>
      <c r="C428" s="705">
        <v>66060</v>
      </c>
      <c r="D428" s="706">
        <v>464</v>
      </c>
      <c r="E428" s="698">
        <v>0</v>
      </c>
      <c r="F428" s="696">
        <v>0</v>
      </c>
      <c r="G428" s="698">
        <v>8</v>
      </c>
      <c r="H428" s="698">
        <v>3</v>
      </c>
      <c r="I428" s="698">
        <v>1</v>
      </c>
      <c r="J428" s="699">
        <f t="shared" si="20"/>
        <v>0.00702391765062065</v>
      </c>
      <c r="K428" s="700">
        <f t="shared" si="21"/>
        <v>1.28870689655172</v>
      </c>
      <c r="L428" s="701">
        <f t="shared" si="22"/>
        <v>9.05177111716621</v>
      </c>
      <c r="M428" s="702">
        <f t="shared" si="23"/>
        <v>0</v>
      </c>
      <c r="N428" s="703">
        <f t="shared" si="24"/>
        <v>0</v>
      </c>
      <c r="O428" s="675">
        <f t="shared" si="18"/>
        <v>54.36</v>
      </c>
    </row>
    <row r="429" s="541" customFormat="1" spans="1:15">
      <c r="A429" s="695">
        <v>45177</v>
      </c>
      <c r="B429" s="704">
        <v>600</v>
      </c>
      <c r="C429" s="707">
        <v>54139</v>
      </c>
      <c r="D429" s="707">
        <v>364</v>
      </c>
      <c r="E429" s="709">
        <v>0</v>
      </c>
      <c r="F429" s="696">
        <v>0</v>
      </c>
      <c r="G429" s="698">
        <v>6</v>
      </c>
      <c r="H429" s="698">
        <v>1</v>
      </c>
      <c r="I429" s="698">
        <v>2</v>
      </c>
      <c r="J429" s="699">
        <f t="shared" si="20"/>
        <v>0.00672343412327527</v>
      </c>
      <c r="K429" s="700">
        <f t="shared" si="21"/>
        <v>1.64835164835165</v>
      </c>
      <c r="L429" s="701">
        <f t="shared" si="22"/>
        <v>11.0825837196845</v>
      </c>
      <c r="M429" s="702">
        <f t="shared" si="23"/>
        <v>0</v>
      </c>
      <c r="N429" s="703">
        <f t="shared" si="24"/>
        <v>0</v>
      </c>
      <c r="O429" s="675">
        <f t="shared" si="18"/>
        <v>85.7142857142857</v>
      </c>
    </row>
    <row r="430" s="541" customFormat="1" spans="1:15">
      <c r="A430" s="695">
        <v>45178</v>
      </c>
      <c r="B430" s="704">
        <v>599</v>
      </c>
      <c r="C430" s="707">
        <v>53535</v>
      </c>
      <c r="D430" s="707">
        <v>398</v>
      </c>
      <c r="E430" s="698">
        <v>0</v>
      </c>
      <c r="F430" s="696">
        <v>0</v>
      </c>
      <c r="G430" s="698">
        <v>9</v>
      </c>
      <c r="H430" s="698">
        <v>4</v>
      </c>
      <c r="I430" s="698">
        <v>1</v>
      </c>
      <c r="J430" s="699">
        <f t="shared" si="20"/>
        <v>0.00743438871766134</v>
      </c>
      <c r="K430" s="700">
        <f t="shared" si="21"/>
        <v>1.50502512562814</v>
      </c>
      <c r="L430" s="701">
        <f t="shared" si="22"/>
        <v>11.1889418137667</v>
      </c>
      <c r="M430" s="702">
        <f t="shared" si="23"/>
        <v>0</v>
      </c>
      <c r="N430" s="703">
        <f t="shared" si="24"/>
        <v>0</v>
      </c>
      <c r="O430" s="675">
        <f t="shared" si="18"/>
        <v>46.0769230769231</v>
      </c>
    </row>
    <row r="431" s="541" customFormat="1" spans="1:15">
      <c r="A431" s="710">
        <v>45179</v>
      </c>
      <c r="B431" s="711">
        <v>599</v>
      </c>
      <c r="C431" s="712">
        <v>54545</v>
      </c>
      <c r="D431" s="712">
        <v>376</v>
      </c>
      <c r="E431" s="698">
        <v>0</v>
      </c>
      <c r="F431" s="713">
        <v>0</v>
      </c>
      <c r="G431" s="714">
        <v>1</v>
      </c>
      <c r="H431" s="714">
        <v>5</v>
      </c>
      <c r="I431" s="714">
        <v>0</v>
      </c>
      <c r="J431" s="699">
        <f t="shared" si="20"/>
        <v>0.00689339077825649</v>
      </c>
      <c r="K431" s="700">
        <f t="shared" si="21"/>
        <v>1.59308510638298</v>
      </c>
      <c r="L431" s="701">
        <f t="shared" si="22"/>
        <v>10.9817581813182</v>
      </c>
      <c r="M431" s="702">
        <f t="shared" si="23"/>
        <v>0</v>
      </c>
      <c r="N431" s="703">
        <f t="shared" si="24"/>
        <v>0</v>
      </c>
      <c r="O431" s="675">
        <f t="shared" si="18"/>
        <v>99.8333333333333</v>
      </c>
    </row>
    <row r="432" s="541" customFormat="1" spans="1:15">
      <c r="A432" s="695">
        <v>45180</v>
      </c>
      <c r="B432" s="696">
        <v>800</v>
      </c>
      <c r="C432" s="707">
        <v>78486</v>
      </c>
      <c r="D432" s="707">
        <v>561</v>
      </c>
      <c r="E432" s="698">
        <v>0</v>
      </c>
      <c r="F432" s="696">
        <v>0</v>
      </c>
      <c r="G432" s="698">
        <v>5</v>
      </c>
      <c r="H432" s="698">
        <v>4</v>
      </c>
      <c r="I432" s="698">
        <v>0</v>
      </c>
      <c r="J432" s="699">
        <f t="shared" si="20"/>
        <v>0.00714777157709655</v>
      </c>
      <c r="K432" s="700">
        <f t="shared" si="21"/>
        <v>1.42602495543672</v>
      </c>
      <c r="L432" s="701">
        <f t="shared" si="22"/>
        <v>10.192900644701</v>
      </c>
      <c r="M432" s="702">
        <f t="shared" si="23"/>
        <v>0</v>
      </c>
      <c r="N432" s="703">
        <f t="shared" si="24"/>
        <v>0</v>
      </c>
      <c r="O432" s="675">
        <f t="shared" si="18"/>
        <v>88.8888888888889</v>
      </c>
    </row>
    <row r="433" s="541" customFormat="1" spans="1:15">
      <c r="A433" s="695">
        <v>45181</v>
      </c>
      <c r="B433" s="704">
        <v>599</v>
      </c>
      <c r="C433" s="707">
        <v>64340</v>
      </c>
      <c r="D433" s="707">
        <v>514</v>
      </c>
      <c r="E433" s="698">
        <v>0</v>
      </c>
      <c r="F433" s="696">
        <v>0</v>
      </c>
      <c r="G433" s="698">
        <v>6</v>
      </c>
      <c r="H433" s="698">
        <v>1</v>
      </c>
      <c r="I433" s="698">
        <v>0</v>
      </c>
      <c r="J433" s="699">
        <f t="shared" si="20"/>
        <v>0.00798880944979795</v>
      </c>
      <c r="K433" s="700">
        <f t="shared" si="21"/>
        <v>1.16536964980545</v>
      </c>
      <c r="L433" s="701">
        <f t="shared" si="22"/>
        <v>9.30991607087348</v>
      </c>
      <c r="M433" s="702">
        <f t="shared" si="23"/>
        <v>0</v>
      </c>
      <c r="N433" s="703">
        <f t="shared" si="24"/>
        <v>0</v>
      </c>
      <c r="O433" s="675">
        <f t="shared" si="18"/>
        <v>85.5714285714286</v>
      </c>
    </row>
    <row r="434" s="541" customFormat="1" spans="1:15">
      <c r="A434" s="695">
        <v>45182</v>
      </c>
      <c r="B434" s="715">
        <v>599</v>
      </c>
      <c r="C434" s="707">
        <v>93030</v>
      </c>
      <c r="D434" s="707">
        <v>502</v>
      </c>
      <c r="E434" s="698">
        <v>0</v>
      </c>
      <c r="F434" s="696">
        <v>0</v>
      </c>
      <c r="G434" s="698">
        <v>6</v>
      </c>
      <c r="H434" s="698">
        <v>5</v>
      </c>
      <c r="I434" s="698">
        <v>1</v>
      </c>
      <c r="J434" s="699">
        <f t="shared" si="20"/>
        <v>0.0053961087821133</v>
      </c>
      <c r="K434" s="700">
        <f t="shared" si="21"/>
        <v>1.19322709163347</v>
      </c>
      <c r="L434" s="701">
        <f t="shared" si="22"/>
        <v>6.43878318821885</v>
      </c>
      <c r="M434" s="702">
        <f t="shared" si="23"/>
        <v>0</v>
      </c>
      <c r="N434" s="703">
        <f t="shared" si="24"/>
        <v>0</v>
      </c>
      <c r="O434" s="675">
        <f t="shared" si="18"/>
        <v>54.4545454545455</v>
      </c>
    </row>
    <row r="435" s="541" customFormat="1" spans="1:15">
      <c r="A435" s="695">
        <v>45183</v>
      </c>
      <c r="B435" s="704">
        <v>597.68</v>
      </c>
      <c r="C435" s="716">
        <v>82856</v>
      </c>
      <c r="D435" s="716">
        <v>368</v>
      </c>
      <c r="E435" s="698">
        <v>0</v>
      </c>
      <c r="F435" s="696">
        <v>0</v>
      </c>
      <c r="G435" s="698">
        <v>0</v>
      </c>
      <c r="H435" s="698">
        <v>0</v>
      </c>
      <c r="I435" s="698">
        <v>0</v>
      </c>
      <c r="J435" s="699">
        <f t="shared" si="20"/>
        <v>0.00444144057159409</v>
      </c>
      <c r="K435" s="700">
        <f t="shared" si="21"/>
        <v>1.62413043478261</v>
      </c>
      <c r="L435" s="701">
        <f t="shared" si="22"/>
        <v>7.21347880660423</v>
      </c>
      <c r="M435" s="702">
        <f t="shared" si="23"/>
        <v>0</v>
      </c>
      <c r="N435" s="703">
        <f t="shared" si="24"/>
        <v>0</v>
      </c>
      <c r="O435" s="675" t="e">
        <f t="shared" si="18"/>
        <v>#DIV/0!</v>
      </c>
    </row>
    <row r="436" s="541" customFormat="1" spans="1:15">
      <c r="A436" s="695">
        <v>45184</v>
      </c>
      <c r="B436" s="696">
        <v>697.93</v>
      </c>
      <c r="C436" s="707">
        <v>66348</v>
      </c>
      <c r="D436" s="716">
        <v>383</v>
      </c>
      <c r="E436" s="698">
        <v>0</v>
      </c>
      <c r="F436" s="696">
        <v>0</v>
      </c>
      <c r="G436" s="698">
        <v>1</v>
      </c>
      <c r="H436" s="698">
        <v>2</v>
      </c>
      <c r="I436" s="698">
        <v>1</v>
      </c>
      <c r="J436" s="699">
        <f t="shared" si="20"/>
        <v>0.00577259299451378</v>
      </c>
      <c r="K436" s="700">
        <f t="shared" si="21"/>
        <v>1.82227154046997</v>
      </c>
      <c r="L436" s="701">
        <f t="shared" si="22"/>
        <v>10.5192319286188</v>
      </c>
      <c r="M436" s="702">
        <f t="shared" si="23"/>
        <v>0</v>
      </c>
      <c r="N436" s="703">
        <f t="shared" si="24"/>
        <v>0</v>
      </c>
      <c r="O436" s="675">
        <f t="shared" si="18"/>
        <v>232.643333333333</v>
      </c>
    </row>
    <row r="437" s="541" customFormat="1" spans="1:15">
      <c r="A437" s="695">
        <v>45185</v>
      </c>
      <c r="B437" s="696">
        <v>699.34</v>
      </c>
      <c r="C437" s="707">
        <v>54980</v>
      </c>
      <c r="D437" s="707">
        <v>408</v>
      </c>
      <c r="E437" s="698">
        <v>0</v>
      </c>
      <c r="F437" s="696">
        <v>0</v>
      </c>
      <c r="G437" s="698">
        <v>6</v>
      </c>
      <c r="H437" s="698">
        <v>7</v>
      </c>
      <c r="I437" s="698">
        <v>2</v>
      </c>
      <c r="J437" s="699">
        <f t="shared" si="20"/>
        <v>0.00742088032011641</v>
      </c>
      <c r="K437" s="700">
        <f t="shared" si="21"/>
        <v>1.71406862745098</v>
      </c>
      <c r="L437" s="701">
        <f t="shared" si="22"/>
        <v>12.7198981447799</v>
      </c>
      <c r="M437" s="702">
        <f t="shared" si="23"/>
        <v>0</v>
      </c>
      <c r="N437" s="703">
        <f t="shared" si="24"/>
        <v>0</v>
      </c>
      <c r="O437" s="675">
        <f t="shared" si="18"/>
        <v>53.7953846153846</v>
      </c>
    </row>
    <row r="438" s="541" customFormat="1" spans="1:15">
      <c r="A438" s="695">
        <v>45186</v>
      </c>
      <c r="B438" s="696">
        <v>698.74</v>
      </c>
      <c r="C438" s="707">
        <v>50580</v>
      </c>
      <c r="D438" s="707">
        <v>438</v>
      </c>
      <c r="E438" s="698">
        <v>0</v>
      </c>
      <c r="F438" s="696">
        <v>0</v>
      </c>
      <c r="G438" s="698">
        <v>7</v>
      </c>
      <c r="H438" s="698">
        <v>1</v>
      </c>
      <c r="I438" s="698">
        <v>1</v>
      </c>
      <c r="J438" s="699">
        <f t="shared" si="20"/>
        <v>0.00865954922894425</v>
      </c>
      <c r="K438" s="700">
        <f t="shared" si="21"/>
        <v>1.59529680365297</v>
      </c>
      <c r="L438" s="701">
        <f t="shared" si="22"/>
        <v>13.8145512060103</v>
      </c>
      <c r="M438" s="702">
        <f t="shared" si="23"/>
        <v>0</v>
      </c>
      <c r="N438" s="703">
        <f t="shared" si="24"/>
        <v>0</v>
      </c>
      <c r="O438" s="675">
        <f t="shared" si="18"/>
        <v>87.3425</v>
      </c>
    </row>
    <row r="439" s="541" customFormat="1" spans="1:15">
      <c r="A439" s="695">
        <v>45187</v>
      </c>
      <c r="B439" s="717">
        <v>696.6</v>
      </c>
      <c r="C439" s="712">
        <v>35104</v>
      </c>
      <c r="D439" s="712">
        <v>356</v>
      </c>
      <c r="E439" s="714">
        <v>0</v>
      </c>
      <c r="F439" s="713">
        <v>0</v>
      </c>
      <c r="G439" s="714">
        <v>7</v>
      </c>
      <c r="H439" s="714">
        <v>3</v>
      </c>
      <c r="I439" s="714">
        <v>2</v>
      </c>
      <c r="J439" s="699">
        <f t="shared" si="20"/>
        <v>0.0101412944393801</v>
      </c>
      <c r="K439" s="700">
        <f t="shared" si="21"/>
        <v>1.95674157303371</v>
      </c>
      <c r="L439" s="701">
        <f t="shared" si="22"/>
        <v>19.8438924339107</v>
      </c>
      <c r="M439" s="702">
        <f t="shared" si="23"/>
        <v>0</v>
      </c>
      <c r="N439" s="703">
        <f t="shared" si="24"/>
        <v>0</v>
      </c>
      <c r="O439" s="675">
        <f t="shared" si="18"/>
        <v>69.66</v>
      </c>
    </row>
    <row r="440" s="541" customFormat="1" spans="1:15">
      <c r="A440" s="710">
        <v>45188</v>
      </c>
      <c r="B440" s="718">
        <v>694.48</v>
      </c>
      <c r="C440" s="719">
        <v>48874</v>
      </c>
      <c r="D440" s="719">
        <v>353</v>
      </c>
      <c r="E440" s="720">
        <v>0</v>
      </c>
      <c r="F440" s="721">
        <v>0</v>
      </c>
      <c r="G440" s="720">
        <v>1</v>
      </c>
      <c r="H440" s="720">
        <v>1</v>
      </c>
      <c r="I440" s="720">
        <v>1</v>
      </c>
      <c r="J440" s="699">
        <f t="shared" si="20"/>
        <v>0.00722265417195237</v>
      </c>
      <c r="K440" s="700">
        <f t="shared" si="21"/>
        <v>1.96736543909348</v>
      </c>
      <c r="L440" s="701">
        <f t="shared" si="22"/>
        <v>14.2096001964235</v>
      </c>
      <c r="M440" s="702">
        <f t="shared" si="23"/>
        <v>0</v>
      </c>
      <c r="N440" s="703">
        <f t="shared" si="24"/>
        <v>0</v>
      </c>
      <c r="O440" s="675">
        <f t="shared" si="18"/>
        <v>347.24</v>
      </c>
    </row>
    <row r="441" s="541" customFormat="1" spans="1:15">
      <c r="A441" s="695">
        <v>45189</v>
      </c>
      <c r="B441" s="722">
        <v>698.71</v>
      </c>
      <c r="C441" s="723">
        <v>41941</v>
      </c>
      <c r="D441" s="723">
        <v>256</v>
      </c>
      <c r="E441" s="714">
        <v>0</v>
      </c>
      <c r="F441" s="713">
        <v>0</v>
      </c>
      <c r="G441" s="714">
        <v>6</v>
      </c>
      <c r="H441" s="714">
        <v>1</v>
      </c>
      <c r="I441" s="714">
        <v>1</v>
      </c>
      <c r="J441" s="699">
        <f t="shared" si="20"/>
        <v>0.00610381249850981</v>
      </c>
      <c r="K441" s="700">
        <f t="shared" si="21"/>
        <v>2.7293359375</v>
      </c>
      <c r="L441" s="701">
        <f t="shared" si="22"/>
        <v>16.6593548079445</v>
      </c>
      <c r="M441" s="702">
        <f t="shared" si="23"/>
        <v>0</v>
      </c>
      <c r="N441" s="703">
        <f t="shared" si="24"/>
        <v>0</v>
      </c>
      <c r="O441" s="675">
        <f t="shared" si="18"/>
        <v>99.8157142857143</v>
      </c>
    </row>
    <row r="442" s="541" customFormat="1" spans="1:15">
      <c r="A442" s="695">
        <v>45190</v>
      </c>
      <c r="B442" s="718">
        <v>694.88</v>
      </c>
      <c r="C442" s="719">
        <v>38046</v>
      </c>
      <c r="D442" s="719">
        <v>310</v>
      </c>
      <c r="E442" s="720">
        <v>0</v>
      </c>
      <c r="F442" s="721">
        <v>0</v>
      </c>
      <c r="G442" s="720">
        <v>3</v>
      </c>
      <c r="H442" s="720">
        <v>1</v>
      </c>
      <c r="I442" s="720">
        <v>1</v>
      </c>
      <c r="J442" s="699">
        <f t="shared" si="20"/>
        <v>0.00814803133049466</v>
      </c>
      <c r="K442" s="700">
        <f t="shared" si="21"/>
        <v>2.24154838709677</v>
      </c>
      <c r="L442" s="701">
        <f t="shared" si="22"/>
        <v>18.2642064868843</v>
      </c>
      <c r="M442" s="702">
        <f t="shared" si="23"/>
        <v>0</v>
      </c>
      <c r="N442" s="703">
        <f t="shared" si="24"/>
        <v>0</v>
      </c>
      <c r="O442" s="675">
        <f t="shared" si="18"/>
        <v>173.72</v>
      </c>
    </row>
    <row r="443" s="541" customFormat="1" spans="1:15">
      <c r="A443" s="695">
        <v>45191</v>
      </c>
      <c r="B443" s="715">
        <v>699.22</v>
      </c>
      <c r="C443" s="697">
        <v>42050</v>
      </c>
      <c r="D443" s="698">
        <v>229</v>
      </c>
      <c r="E443" s="698">
        <v>0</v>
      </c>
      <c r="F443" s="696">
        <v>0</v>
      </c>
      <c r="G443" s="698">
        <v>0</v>
      </c>
      <c r="H443" s="698">
        <v>1</v>
      </c>
      <c r="I443" s="698">
        <v>0</v>
      </c>
      <c r="J443" s="699">
        <f t="shared" si="20"/>
        <v>0.00544589774078478</v>
      </c>
      <c r="K443" s="700">
        <f t="shared" si="21"/>
        <v>3.05336244541485</v>
      </c>
      <c r="L443" s="701">
        <f t="shared" si="22"/>
        <v>16.6282996432818</v>
      </c>
      <c r="M443" s="702">
        <f t="shared" si="23"/>
        <v>0</v>
      </c>
      <c r="N443" s="703">
        <f t="shared" si="24"/>
        <v>0</v>
      </c>
      <c r="O443" s="675">
        <f t="shared" si="18"/>
        <v>699.22</v>
      </c>
    </row>
    <row r="444" s="541" customFormat="1" spans="1:15">
      <c r="A444" s="695">
        <v>45192</v>
      </c>
      <c r="B444" s="715">
        <v>696.31</v>
      </c>
      <c r="C444" s="697">
        <v>25659</v>
      </c>
      <c r="D444" s="698">
        <v>174</v>
      </c>
      <c r="E444" s="698">
        <v>0</v>
      </c>
      <c r="F444" s="696">
        <v>0</v>
      </c>
      <c r="G444" s="698">
        <v>0</v>
      </c>
      <c r="H444" s="698">
        <v>0</v>
      </c>
      <c r="I444" s="698">
        <v>0</v>
      </c>
      <c r="J444" s="699">
        <f t="shared" si="20"/>
        <v>0.00678124634631124</v>
      </c>
      <c r="K444" s="700">
        <f t="shared" si="21"/>
        <v>4.0017816091954</v>
      </c>
      <c r="L444" s="701">
        <f t="shared" si="22"/>
        <v>27.1370669160918</v>
      </c>
      <c r="M444" s="702">
        <f t="shared" si="23"/>
        <v>0</v>
      </c>
      <c r="N444" s="703">
        <f t="shared" si="24"/>
        <v>0</v>
      </c>
      <c r="O444" s="675" t="e">
        <f t="shared" si="18"/>
        <v>#DIV/0!</v>
      </c>
    </row>
    <row r="445" s="541" customFormat="1" spans="1:15">
      <c r="A445" s="695">
        <v>45193</v>
      </c>
      <c r="B445" s="715">
        <v>698.28</v>
      </c>
      <c r="C445" s="697">
        <v>28629</v>
      </c>
      <c r="D445" s="698">
        <v>201</v>
      </c>
      <c r="E445" s="698">
        <v>0</v>
      </c>
      <c r="F445" s="696">
        <v>0</v>
      </c>
      <c r="G445" s="698">
        <v>9</v>
      </c>
      <c r="H445" s="698">
        <v>0</v>
      </c>
      <c r="I445" s="698">
        <v>1</v>
      </c>
      <c r="J445" s="699">
        <f t="shared" si="20"/>
        <v>0.0070208529812428</v>
      </c>
      <c r="K445" s="700">
        <f t="shared" si="21"/>
        <v>3.47402985074627</v>
      </c>
      <c r="L445" s="701">
        <f t="shared" si="22"/>
        <v>24.3906528345384</v>
      </c>
      <c r="M445" s="702">
        <f t="shared" si="23"/>
        <v>0</v>
      </c>
      <c r="N445" s="703">
        <f t="shared" si="24"/>
        <v>0</v>
      </c>
      <c r="O445" s="675">
        <f t="shared" si="18"/>
        <v>77.5866666666667</v>
      </c>
    </row>
    <row r="446" s="541" customFormat="1" spans="1:15">
      <c r="A446" s="695">
        <v>45194</v>
      </c>
      <c r="B446" s="696">
        <v>697.48</v>
      </c>
      <c r="C446" s="697">
        <v>23518</v>
      </c>
      <c r="D446" s="698">
        <v>179</v>
      </c>
      <c r="E446" s="698">
        <v>0</v>
      </c>
      <c r="F446" s="696">
        <v>0</v>
      </c>
      <c r="G446" s="698">
        <v>1</v>
      </c>
      <c r="H446" s="698">
        <v>0</v>
      </c>
      <c r="I446" s="698">
        <v>0</v>
      </c>
      <c r="J446" s="699">
        <f t="shared" ref="J446:J474" si="25">D446/C446</f>
        <v>0.0076111914278425</v>
      </c>
      <c r="K446" s="700">
        <f t="shared" ref="K446:K474" si="26">B446/D446</f>
        <v>3.89653631284916</v>
      </c>
      <c r="L446" s="701">
        <f t="shared" ref="L446:L474" si="27">B446/C446*1000</f>
        <v>29.6572837826346</v>
      </c>
      <c r="M446" s="702">
        <f t="shared" ref="M446:M474" si="28">F446/B446</f>
        <v>0</v>
      </c>
      <c r="N446" s="703">
        <f t="shared" ref="N446:N509" si="29">E446/D446</f>
        <v>0</v>
      </c>
      <c r="O446" s="675">
        <f t="shared" si="18"/>
        <v>697.48</v>
      </c>
    </row>
    <row r="447" s="541" customFormat="1" spans="1:15">
      <c r="A447" s="695">
        <v>45195</v>
      </c>
      <c r="B447" s="704">
        <v>697.11</v>
      </c>
      <c r="C447" s="706">
        <v>30484</v>
      </c>
      <c r="D447" s="706">
        <v>188</v>
      </c>
      <c r="E447" s="724">
        <v>0</v>
      </c>
      <c r="F447" s="696">
        <v>0</v>
      </c>
      <c r="G447" s="698">
        <v>1</v>
      </c>
      <c r="H447" s="698">
        <v>1</v>
      </c>
      <c r="I447" s="698">
        <v>1</v>
      </c>
      <c r="J447" s="699">
        <f t="shared" si="25"/>
        <v>0.00616716966277391</v>
      </c>
      <c r="K447" s="700">
        <f t="shared" si="26"/>
        <v>3.70803191489362</v>
      </c>
      <c r="L447" s="701">
        <f t="shared" si="27"/>
        <v>22.8680619341294</v>
      </c>
      <c r="M447" s="702">
        <f t="shared" si="28"/>
        <v>0</v>
      </c>
      <c r="N447" s="703">
        <f t="shared" si="29"/>
        <v>0</v>
      </c>
      <c r="O447" s="675">
        <f t="shared" si="18"/>
        <v>348.555</v>
      </c>
    </row>
    <row r="448" s="541" customFormat="1" spans="1:15">
      <c r="A448" s="695">
        <v>45196</v>
      </c>
      <c r="B448" s="725">
        <v>696.2</v>
      </c>
      <c r="C448" s="726">
        <v>23318</v>
      </c>
      <c r="D448" s="726">
        <v>227</v>
      </c>
      <c r="E448" s="698">
        <v>0</v>
      </c>
      <c r="F448" s="696">
        <v>0</v>
      </c>
      <c r="G448" s="709">
        <v>0</v>
      </c>
      <c r="H448" s="709">
        <v>0</v>
      </c>
      <c r="I448" s="709">
        <v>0</v>
      </c>
      <c r="J448" s="699">
        <f t="shared" si="25"/>
        <v>0.00973496869371301</v>
      </c>
      <c r="K448" s="700">
        <f t="shared" si="26"/>
        <v>3.06696035242291</v>
      </c>
      <c r="L448" s="701">
        <f t="shared" si="27"/>
        <v>29.856763015696</v>
      </c>
      <c r="M448" s="702">
        <f t="shared" si="28"/>
        <v>0</v>
      </c>
      <c r="N448" s="703">
        <f t="shared" si="29"/>
        <v>0</v>
      </c>
      <c r="O448" s="675" t="e">
        <f t="shared" si="18"/>
        <v>#DIV/0!</v>
      </c>
    </row>
    <row r="449" s="541" customFormat="1" spans="1:15">
      <c r="A449" s="695">
        <v>45197</v>
      </c>
      <c r="B449" s="725">
        <v>699.39</v>
      </c>
      <c r="C449" s="726">
        <v>34380</v>
      </c>
      <c r="D449" s="726">
        <v>227</v>
      </c>
      <c r="E449" s="724">
        <v>0</v>
      </c>
      <c r="F449" s="696">
        <v>0</v>
      </c>
      <c r="G449" s="709">
        <v>4</v>
      </c>
      <c r="H449" s="709">
        <v>0</v>
      </c>
      <c r="I449" s="709">
        <v>0</v>
      </c>
      <c r="J449" s="699">
        <f t="shared" si="25"/>
        <v>0.00660267597440372</v>
      </c>
      <c r="K449" s="700">
        <f t="shared" si="26"/>
        <v>3.08101321585903</v>
      </c>
      <c r="L449" s="701">
        <f t="shared" si="27"/>
        <v>20.3429319371728</v>
      </c>
      <c r="M449" s="702">
        <f t="shared" si="28"/>
        <v>0</v>
      </c>
      <c r="N449" s="703">
        <f t="shared" si="29"/>
        <v>0</v>
      </c>
      <c r="O449" s="675">
        <f t="shared" si="18"/>
        <v>174.8475</v>
      </c>
    </row>
    <row r="450" s="541" customFormat="1" spans="1:15">
      <c r="A450" s="695">
        <v>45198</v>
      </c>
      <c r="B450" s="727">
        <v>700</v>
      </c>
      <c r="C450" s="728">
        <v>22019</v>
      </c>
      <c r="D450" s="728">
        <v>219</v>
      </c>
      <c r="E450" s="698">
        <v>0</v>
      </c>
      <c r="F450" s="696">
        <v>0</v>
      </c>
      <c r="G450" s="709">
        <v>1</v>
      </c>
      <c r="H450" s="709">
        <v>2</v>
      </c>
      <c r="I450" s="709">
        <v>0</v>
      </c>
      <c r="J450" s="699">
        <f t="shared" si="25"/>
        <v>0.00994595576547527</v>
      </c>
      <c r="K450" s="700">
        <f t="shared" si="26"/>
        <v>3.19634703196347</v>
      </c>
      <c r="L450" s="701">
        <f t="shared" si="27"/>
        <v>31.7907261910168</v>
      </c>
      <c r="M450" s="702">
        <f t="shared" si="28"/>
        <v>0</v>
      </c>
      <c r="N450" s="703">
        <f t="shared" si="29"/>
        <v>0</v>
      </c>
      <c r="O450" s="675">
        <f t="shared" si="18"/>
        <v>233.333333333333</v>
      </c>
    </row>
    <row r="451" s="541" customFormat="1" spans="1:15">
      <c r="A451" s="695">
        <v>45199</v>
      </c>
      <c r="B451" s="725">
        <v>698.25</v>
      </c>
      <c r="C451" s="726">
        <v>24936</v>
      </c>
      <c r="D451" s="726">
        <v>258</v>
      </c>
      <c r="E451" s="724">
        <v>0</v>
      </c>
      <c r="F451" s="696">
        <v>0</v>
      </c>
      <c r="G451" s="709">
        <v>4</v>
      </c>
      <c r="H451" s="709">
        <v>1</v>
      </c>
      <c r="I451" s="709">
        <v>0</v>
      </c>
      <c r="J451" s="699">
        <f t="shared" si="25"/>
        <v>0.0103464870067372</v>
      </c>
      <c r="K451" s="700">
        <f t="shared" si="26"/>
        <v>2.70639534883721</v>
      </c>
      <c r="L451" s="701">
        <f t="shared" si="27"/>
        <v>28.0016843118383</v>
      </c>
      <c r="M451" s="702">
        <f t="shared" si="28"/>
        <v>0</v>
      </c>
      <c r="N451" s="703">
        <f t="shared" si="29"/>
        <v>0</v>
      </c>
      <c r="O451" s="675">
        <f t="shared" si="18"/>
        <v>139.65</v>
      </c>
    </row>
    <row r="452" s="541" customFormat="1" spans="1:15">
      <c r="A452" s="695">
        <v>45200</v>
      </c>
      <c r="B452" s="727">
        <v>697.07</v>
      </c>
      <c r="C452" s="698">
        <v>23695</v>
      </c>
      <c r="D452" s="729">
        <v>289</v>
      </c>
      <c r="E452" s="698">
        <v>0</v>
      </c>
      <c r="F452" s="696">
        <v>0</v>
      </c>
      <c r="G452" s="709">
        <v>3</v>
      </c>
      <c r="H452" s="709">
        <v>1</v>
      </c>
      <c r="I452" s="709">
        <v>0</v>
      </c>
      <c r="J452" s="699">
        <f t="shared" si="25"/>
        <v>0.0121966659632834</v>
      </c>
      <c r="K452" s="700">
        <f t="shared" si="26"/>
        <v>2.41200692041523</v>
      </c>
      <c r="L452" s="701">
        <f t="shared" si="27"/>
        <v>29.4184427094324</v>
      </c>
      <c r="M452" s="702">
        <f t="shared" si="28"/>
        <v>0</v>
      </c>
      <c r="N452" s="703">
        <f t="shared" si="29"/>
        <v>0</v>
      </c>
      <c r="O452" s="675">
        <f t="shared" si="18"/>
        <v>174.2675</v>
      </c>
    </row>
    <row r="453" s="541" customFormat="1" spans="1:15">
      <c r="A453" s="695">
        <v>45201</v>
      </c>
      <c r="B453" s="725">
        <v>693.74</v>
      </c>
      <c r="C453" s="730">
        <v>24200</v>
      </c>
      <c r="D453" s="726">
        <v>243</v>
      </c>
      <c r="E453" s="724">
        <v>2</v>
      </c>
      <c r="F453" s="696">
        <v>20</v>
      </c>
      <c r="G453" s="709">
        <v>4</v>
      </c>
      <c r="H453" s="709">
        <v>2</v>
      </c>
      <c r="I453" s="709">
        <v>2</v>
      </c>
      <c r="J453" s="699">
        <f t="shared" si="25"/>
        <v>0.0100413223140496</v>
      </c>
      <c r="K453" s="700">
        <f t="shared" si="26"/>
        <v>2.85489711934156</v>
      </c>
      <c r="L453" s="701">
        <f t="shared" si="27"/>
        <v>28.6669421487603</v>
      </c>
      <c r="M453" s="702">
        <f t="shared" si="28"/>
        <v>0.0288292443855047</v>
      </c>
      <c r="N453" s="703">
        <f t="shared" si="29"/>
        <v>0.00823045267489712</v>
      </c>
      <c r="O453" s="675">
        <f t="shared" si="18"/>
        <v>115.623333333333</v>
      </c>
    </row>
    <row r="454" s="541" customFormat="1" spans="1:15">
      <c r="A454" s="695">
        <v>45202</v>
      </c>
      <c r="B454" s="725">
        <v>690.35</v>
      </c>
      <c r="C454" s="730">
        <v>23775</v>
      </c>
      <c r="D454" s="726">
        <v>303</v>
      </c>
      <c r="E454" s="698">
        <v>2</v>
      </c>
      <c r="F454" s="696">
        <v>20</v>
      </c>
      <c r="G454" s="709">
        <v>2</v>
      </c>
      <c r="H454" s="709">
        <v>1</v>
      </c>
      <c r="I454" s="709">
        <v>0</v>
      </c>
      <c r="J454" s="699">
        <f t="shared" si="25"/>
        <v>0.0127444794952681</v>
      </c>
      <c r="K454" s="700">
        <f t="shared" si="26"/>
        <v>2.27838283828383</v>
      </c>
      <c r="L454" s="701">
        <f t="shared" si="27"/>
        <v>29.0368033648791</v>
      </c>
      <c r="M454" s="702">
        <f t="shared" si="28"/>
        <v>0.0289708119070037</v>
      </c>
      <c r="N454" s="703">
        <f t="shared" si="29"/>
        <v>0.0066006600660066</v>
      </c>
      <c r="O454" s="675">
        <f t="shared" ref="O454:O517" si="30">B454/(G454+H454)</f>
        <v>230.116666666667</v>
      </c>
    </row>
    <row r="455" s="541" customFormat="1" spans="1:15">
      <c r="A455" s="695">
        <v>45203</v>
      </c>
      <c r="B455" s="725">
        <v>684.89</v>
      </c>
      <c r="C455" s="730">
        <v>15146</v>
      </c>
      <c r="D455" s="726">
        <v>222</v>
      </c>
      <c r="E455" s="724">
        <v>2</v>
      </c>
      <c r="F455" s="696">
        <v>6000</v>
      </c>
      <c r="G455" s="709">
        <v>1</v>
      </c>
      <c r="H455" s="709">
        <v>1</v>
      </c>
      <c r="I455" s="709">
        <v>1</v>
      </c>
      <c r="J455" s="699">
        <f t="shared" si="25"/>
        <v>0.0146573352700383</v>
      </c>
      <c r="K455" s="700">
        <f t="shared" si="26"/>
        <v>3.08509009009009</v>
      </c>
      <c r="L455" s="701">
        <f t="shared" si="27"/>
        <v>45.2191997887231</v>
      </c>
      <c r="M455" s="702">
        <f t="shared" si="28"/>
        <v>8.76053088817182</v>
      </c>
      <c r="N455" s="703">
        <f t="shared" si="29"/>
        <v>0.00900900900900901</v>
      </c>
      <c r="O455" s="675">
        <f t="shared" si="30"/>
        <v>342.445</v>
      </c>
    </row>
    <row r="456" s="541" customFormat="1" spans="1:15">
      <c r="A456" s="695">
        <v>45204</v>
      </c>
      <c r="B456" s="725">
        <v>691.46</v>
      </c>
      <c r="C456" s="730">
        <v>22962</v>
      </c>
      <c r="D456" s="726">
        <v>308</v>
      </c>
      <c r="E456" s="698">
        <v>0</v>
      </c>
      <c r="F456" s="696">
        <v>0</v>
      </c>
      <c r="G456" s="709">
        <v>1</v>
      </c>
      <c r="H456" s="709">
        <v>0</v>
      </c>
      <c r="I456" s="709">
        <v>0</v>
      </c>
      <c r="J456" s="699">
        <f t="shared" si="25"/>
        <v>0.0134134657259821</v>
      </c>
      <c r="K456" s="700">
        <f t="shared" si="26"/>
        <v>2.245</v>
      </c>
      <c r="L456" s="701">
        <f t="shared" si="27"/>
        <v>30.1132305548297</v>
      </c>
      <c r="M456" s="702">
        <f t="shared" si="28"/>
        <v>0</v>
      </c>
      <c r="N456" s="703">
        <f t="shared" si="29"/>
        <v>0</v>
      </c>
      <c r="O456" s="675">
        <f t="shared" si="30"/>
        <v>691.46</v>
      </c>
    </row>
    <row r="457" s="541" customFormat="1" spans="1:15">
      <c r="A457" s="695">
        <v>45205</v>
      </c>
      <c r="B457" s="725">
        <v>687.2</v>
      </c>
      <c r="C457" s="730">
        <v>12697</v>
      </c>
      <c r="D457" s="731">
        <v>227</v>
      </c>
      <c r="E457" s="724">
        <v>0</v>
      </c>
      <c r="F457" s="696">
        <v>0</v>
      </c>
      <c r="G457" s="709">
        <v>0</v>
      </c>
      <c r="H457" s="709">
        <v>0</v>
      </c>
      <c r="I457" s="709">
        <v>0</v>
      </c>
      <c r="J457" s="699">
        <f t="shared" si="25"/>
        <v>0.0178782389540836</v>
      </c>
      <c r="K457" s="700">
        <f t="shared" si="26"/>
        <v>3.0273127753304</v>
      </c>
      <c r="L457" s="701">
        <f t="shared" si="27"/>
        <v>54.123021186107</v>
      </c>
      <c r="M457" s="702">
        <f t="shared" si="28"/>
        <v>0</v>
      </c>
      <c r="N457" s="703">
        <f t="shared" si="29"/>
        <v>0</v>
      </c>
      <c r="O457" s="675" t="e">
        <f t="shared" si="30"/>
        <v>#DIV/0!</v>
      </c>
    </row>
    <row r="458" s="541" customFormat="1" spans="1:15">
      <c r="A458" s="695">
        <v>45206</v>
      </c>
      <c r="B458" s="732">
        <v>700</v>
      </c>
      <c r="C458" s="733">
        <v>24491</v>
      </c>
      <c r="D458" s="734">
        <v>351</v>
      </c>
      <c r="E458" s="698">
        <v>0</v>
      </c>
      <c r="F458" s="696">
        <v>0</v>
      </c>
      <c r="G458" s="709">
        <v>4</v>
      </c>
      <c r="H458" s="709">
        <v>1</v>
      </c>
      <c r="I458" s="709">
        <v>1</v>
      </c>
      <c r="J458" s="699">
        <f t="shared" si="25"/>
        <v>0.0143317953533951</v>
      </c>
      <c r="K458" s="700">
        <f t="shared" si="26"/>
        <v>1.99430199430199</v>
      </c>
      <c r="L458" s="701">
        <f t="shared" si="27"/>
        <v>28.581928055204</v>
      </c>
      <c r="M458" s="702">
        <f t="shared" si="28"/>
        <v>0</v>
      </c>
      <c r="N458" s="703">
        <f t="shared" si="29"/>
        <v>0</v>
      </c>
      <c r="O458" s="675">
        <f t="shared" si="30"/>
        <v>140</v>
      </c>
    </row>
    <row r="459" s="541" customFormat="1" spans="1:15">
      <c r="A459" s="695">
        <v>45207</v>
      </c>
      <c r="B459" s="725">
        <v>697.59</v>
      </c>
      <c r="C459" s="726">
        <v>21002</v>
      </c>
      <c r="D459" s="735">
        <v>315</v>
      </c>
      <c r="E459" s="724">
        <v>0</v>
      </c>
      <c r="F459" s="696">
        <v>0</v>
      </c>
      <c r="G459" s="709">
        <v>2</v>
      </c>
      <c r="H459" s="709">
        <v>0</v>
      </c>
      <c r="I459" s="709">
        <v>0</v>
      </c>
      <c r="J459" s="699">
        <f t="shared" si="25"/>
        <v>0.0149985715646129</v>
      </c>
      <c r="K459" s="700">
        <f t="shared" si="26"/>
        <v>2.21457142857143</v>
      </c>
      <c r="L459" s="701">
        <f t="shared" si="27"/>
        <v>33.2154080563756</v>
      </c>
      <c r="M459" s="702">
        <f t="shared" si="28"/>
        <v>0</v>
      </c>
      <c r="N459" s="703">
        <f t="shared" si="29"/>
        <v>0</v>
      </c>
      <c r="O459" s="675">
        <f t="shared" si="30"/>
        <v>348.795</v>
      </c>
    </row>
    <row r="460" s="541" customFormat="1" spans="1:15">
      <c r="A460" s="695">
        <v>45208</v>
      </c>
      <c r="B460" s="725">
        <v>694.05</v>
      </c>
      <c r="C460" s="726">
        <v>25015</v>
      </c>
      <c r="D460" s="735">
        <v>332</v>
      </c>
      <c r="E460" s="698">
        <v>0</v>
      </c>
      <c r="F460" s="696">
        <v>0</v>
      </c>
      <c r="G460" s="709">
        <v>7</v>
      </c>
      <c r="H460" s="709">
        <v>1</v>
      </c>
      <c r="I460" s="709">
        <v>1</v>
      </c>
      <c r="J460" s="699">
        <f t="shared" si="25"/>
        <v>0.0132720367779332</v>
      </c>
      <c r="K460" s="700">
        <f t="shared" si="26"/>
        <v>2.09051204819277</v>
      </c>
      <c r="L460" s="701">
        <f t="shared" si="27"/>
        <v>27.745352788327</v>
      </c>
      <c r="M460" s="702">
        <f t="shared" si="28"/>
        <v>0</v>
      </c>
      <c r="N460" s="703">
        <f t="shared" si="29"/>
        <v>0</v>
      </c>
      <c r="O460" s="675">
        <f t="shared" si="30"/>
        <v>86.75625</v>
      </c>
    </row>
    <row r="461" s="541" customFormat="1" spans="1:15">
      <c r="A461" s="695">
        <v>45209</v>
      </c>
      <c r="B461" s="736">
        <v>684.79</v>
      </c>
      <c r="C461" s="737">
        <v>27099</v>
      </c>
      <c r="D461" s="737">
        <v>444</v>
      </c>
      <c r="E461" s="709">
        <v>0</v>
      </c>
      <c r="F461" s="738">
        <v>0</v>
      </c>
      <c r="G461" s="709">
        <v>4</v>
      </c>
      <c r="H461" s="709">
        <v>0</v>
      </c>
      <c r="I461" s="709">
        <v>0</v>
      </c>
      <c r="J461" s="699">
        <f t="shared" si="25"/>
        <v>0.0163843684268792</v>
      </c>
      <c r="K461" s="700">
        <f t="shared" si="26"/>
        <v>1.54231981981982</v>
      </c>
      <c r="L461" s="701">
        <f t="shared" si="27"/>
        <v>25.2699361600059</v>
      </c>
      <c r="M461" s="702">
        <f t="shared" si="28"/>
        <v>0</v>
      </c>
      <c r="N461" s="703">
        <f t="shared" si="29"/>
        <v>0</v>
      </c>
      <c r="O461" s="675">
        <f t="shared" si="30"/>
        <v>171.1975</v>
      </c>
    </row>
    <row r="462" s="541" customFormat="1" spans="1:15">
      <c r="A462" s="695">
        <v>45210</v>
      </c>
      <c r="B462" s="739">
        <v>686.99</v>
      </c>
      <c r="C462" s="707">
        <v>18651</v>
      </c>
      <c r="D462" s="707">
        <v>278</v>
      </c>
      <c r="E462" s="698">
        <v>0</v>
      </c>
      <c r="F462" s="696">
        <v>0</v>
      </c>
      <c r="G462" s="698">
        <v>2</v>
      </c>
      <c r="H462" s="698">
        <v>1</v>
      </c>
      <c r="I462" s="698">
        <v>0</v>
      </c>
      <c r="J462" s="699">
        <f t="shared" si="25"/>
        <v>0.0149053670044502</v>
      </c>
      <c r="K462" s="700">
        <f t="shared" si="26"/>
        <v>2.47118705035971</v>
      </c>
      <c r="L462" s="701">
        <f t="shared" si="27"/>
        <v>36.8339499222562</v>
      </c>
      <c r="M462" s="702">
        <f t="shared" si="28"/>
        <v>0</v>
      </c>
      <c r="N462" s="703">
        <f t="shared" si="29"/>
        <v>0</v>
      </c>
      <c r="O462" s="675">
        <f t="shared" si="30"/>
        <v>228.996666666667</v>
      </c>
    </row>
    <row r="463" s="541" customFormat="1" spans="1:15">
      <c r="A463" s="695">
        <v>45211</v>
      </c>
      <c r="B463" s="696">
        <v>696</v>
      </c>
      <c r="C463" s="707">
        <v>17603</v>
      </c>
      <c r="D463" s="707">
        <v>325</v>
      </c>
      <c r="E463" s="698">
        <v>3</v>
      </c>
      <c r="F463" s="696">
        <v>8909.8</v>
      </c>
      <c r="G463" s="698">
        <v>6</v>
      </c>
      <c r="H463" s="698">
        <v>0</v>
      </c>
      <c r="I463" s="698">
        <v>2</v>
      </c>
      <c r="J463" s="699">
        <f t="shared" si="25"/>
        <v>0.0184627620291996</v>
      </c>
      <c r="K463" s="700">
        <f t="shared" si="26"/>
        <v>2.14153846153846</v>
      </c>
      <c r="L463" s="701">
        <f t="shared" si="27"/>
        <v>39.5387149917628</v>
      </c>
      <c r="M463" s="702">
        <f t="shared" si="28"/>
        <v>12.8014367816092</v>
      </c>
      <c r="N463" s="703">
        <f t="shared" si="29"/>
        <v>0.00923076923076923</v>
      </c>
      <c r="O463" s="675">
        <f t="shared" si="30"/>
        <v>116</v>
      </c>
    </row>
    <row r="464" s="541" customFormat="1" spans="1:15">
      <c r="A464" s="695">
        <v>45212</v>
      </c>
      <c r="B464" s="739">
        <v>699.89</v>
      </c>
      <c r="C464" s="707">
        <v>8432</v>
      </c>
      <c r="D464" s="707">
        <v>172</v>
      </c>
      <c r="E464" s="698">
        <v>0</v>
      </c>
      <c r="F464" s="696">
        <v>0</v>
      </c>
      <c r="G464" s="698">
        <v>2</v>
      </c>
      <c r="H464" s="698">
        <v>1</v>
      </c>
      <c r="I464" s="698">
        <v>2</v>
      </c>
      <c r="J464" s="699">
        <f t="shared" si="25"/>
        <v>0.0203984819734345</v>
      </c>
      <c r="K464" s="700">
        <f t="shared" si="26"/>
        <v>4.06912790697674</v>
      </c>
      <c r="L464" s="701">
        <f t="shared" si="27"/>
        <v>83.0040322580645</v>
      </c>
      <c r="M464" s="702">
        <f t="shared" si="28"/>
        <v>0</v>
      </c>
      <c r="N464" s="703">
        <f t="shared" si="29"/>
        <v>0</v>
      </c>
      <c r="O464" s="675">
        <f t="shared" si="30"/>
        <v>233.296666666667</v>
      </c>
    </row>
    <row r="465" s="541" customFormat="1" spans="1:15">
      <c r="A465" s="695">
        <v>45213</v>
      </c>
      <c r="B465" s="739">
        <v>700</v>
      </c>
      <c r="C465" s="707">
        <v>10343</v>
      </c>
      <c r="D465" s="707">
        <v>176</v>
      </c>
      <c r="E465" s="698">
        <v>0</v>
      </c>
      <c r="F465" s="696">
        <v>0</v>
      </c>
      <c r="G465" s="698">
        <v>1</v>
      </c>
      <c r="H465" s="698">
        <v>0</v>
      </c>
      <c r="I465" s="698">
        <v>3</v>
      </c>
      <c r="J465" s="699">
        <f t="shared" si="25"/>
        <v>0.0170163395533211</v>
      </c>
      <c r="K465" s="700">
        <f t="shared" si="26"/>
        <v>3.97727272727273</v>
      </c>
      <c r="L465" s="701">
        <f t="shared" si="27"/>
        <v>67.6786232234361</v>
      </c>
      <c r="M465" s="702">
        <f t="shared" si="28"/>
        <v>0</v>
      </c>
      <c r="N465" s="703">
        <f t="shared" si="29"/>
        <v>0</v>
      </c>
      <c r="O465" s="675">
        <f t="shared" si="30"/>
        <v>700</v>
      </c>
    </row>
    <row r="466" s="541" customFormat="1" spans="1:15">
      <c r="A466" s="695">
        <v>45214</v>
      </c>
      <c r="B466" s="739">
        <v>696.39</v>
      </c>
      <c r="C466" s="707">
        <v>8449</v>
      </c>
      <c r="D466" s="707">
        <v>151</v>
      </c>
      <c r="E466" s="698">
        <v>0</v>
      </c>
      <c r="F466" s="696">
        <v>0</v>
      </c>
      <c r="G466" s="698">
        <v>0</v>
      </c>
      <c r="H466" s="698">
        <v>0</v>
      </c>
      <c r="I466" s="698">
        <v>1</v>
      </c>
      <c r="J466" s="699">
        <f t="shared" si="25"/>
        <v>0.0178719375073973</v>
      </c>
      <c r="K466" s="700">
        <f t="shared" si="26"/>
        <v>4.61185430463576</v>
      </c>
      <c r="L466" s="701">
        <f t="shared" si="27"/>
        <v>82.4227719256717</v>
      </c>
      <c r="M466" s="702">
        <f t="shared" si="28"/>
        <v>0</v>
      </c>
      <c r="N466" s="703">
        <f t="shared" si="29"/>
        <v>0</v>
      </c>
      <c r="O466" s="675" t="e">
        <f t="shared" si="30"/>
        <v>#DIV/0!</v>
      </c>
    </row>
    <row r="467" s="541" customFormat="1" spans="1:15">
      <c r="A467" s="695">
        <v>45215</v>
      </c>
      <c r="B467" s="739">
        <v>696.19</v>
      </c>
      <c r="C467" s="707">
        <v>12419</v>
      </c>
      <c r="D467" s="707">
        <v>163</v>
      </c>
      <c r="E467" s="698">
        <v>0</v>
      </c>
      <c r="F467" s="696">
        <v>0</v>
      </c>
      <c r="G467" s="698">
        <v>4</v>
      </c>
      <c r="H467" s="698">
        <v>1</v>
      </c>
      <c r="I467" s="698">
        <v>0</v>
      </c>
      <c r="J467" s="699">
        <f t="shared" si="25"/>
        <v>0.0131250503261132</v>
      </c>
      <c r="K467" s="700">
        <f t="shared" si="26"/>
        <v>4.27110429447853</v>
      </c>
      <c r="L467" s="701">
        <f t="shared" si="27"/>
        <v>56.058458813109</v>
      </c>
      <c r="M467" s="702">
        <f t="shared" si="28"/>
        <v>0</v>
      </c>
      <c r="N467" s="703">
        <f t="shared" si="29"/>
        <v>0</v>
      </c>
      <c r="O467" s="675">
        <f t="shared" si="30"/>
        <v>139.238</v>
      </c>
    </row>
    <row r="468" s="541" customFormat="1" spans="1:15">
      <c r="A468" s="695">
        <v>45216</v>
      </c>
      <c r="B468" s="739">
        <v>695.86</v>
      </c>
      <c r="C468" s="707">
        <v>7584</v>
      </c>
      <c r="D468" s="707">
        <v>151</v>
      </c>
      <c r="E468" s="698">
        <v>0</v>
      </c>
      <c r="F468" s="696">
        <v>0</v>
      </c>
      <c r="G468" s="698">
        <v>0</v>
      </c>
      <c r="H468" s="698">
        <v>1</v>
      </c>
      <c r="I468" s="698">
        <v>0</v>
      </c>
      <c r="J468" s="699">
        <f t="shared" si="25"/>
        <v>0.0199103375527426</v>
      </c>
      <c r="K468" s="700">
        <f t="shared" si="26"/>
        <v>4.60834437086093</v>
      </c>
      <c r="L468" s="701">
        <f t="shared" si="27"/>
        <v>91.7536919831224</v>
      </c>
      <c r="M468" s="702">
        <f t="shared" si="28"/>
        <v>0</v>
      </c>
      <c r="N468" s="703">
        <f t="shared" si="29"/>
        <v>0</v>
      </c>
      <c r="O468" s="675">
        <f t="shared" si="30"/>
        <v>695.86</v>
      </c>
    </row>
    <row r="469" s="541" customFormat="1" spans="1:15">
      <c r="A469" s="695">
        <v>45217</v>
      </c>
      <c r="B469" s="739">
        <v>898.81</v>
      </c>
      <c r="C469" s="707">
        <v>13386</v>
      </c>
      <c r="D469" s="707">
        <v>196</v>
      </c>
      <c r="E469" s="698">
        <v>0</v>
      </c>
      <c r="F469" s="696">
        <v>0</v>
      </c>
      <c r="G469" s="698">
        <v>1</v>
      </c>
      <c r="H469" s="698">
        <v>1</v>
      </c>
      <c r="I469" s="698">
        <v>0</v>
      </c>
      <c r="J469" s="699">
        <f t="shared" si="25"/>
        <v>0.0146421634543553</v>
      </c>
      <c r="K469" s="700">
        <f t="shared" si="26"/>
        <v>4.58576530612245</v>
      </c>
      <c r="L469" s="701">
        <f t="shared" si="27"/>
        <v>67.1455251755566</v>
      </c>
      <c r="M469" s="702">
        <f t="shared" si="28"/>
        <v>0</v>
      </c>
      <c r="N469" s="703">
        <f t="shared" si="29"/>
        <v>0</v>
      </c>
      <c r="O469" s="675">
        <f t="shared" si="30"/>
        <v>449.405</v>
      </c>
    </row>
    <row r="470" s="541" customFormat="1" spans="1:15">
      <c r="A470" s="695">
        <v>45218</v>
      </c>
      <c r="B470" s="740">
        <v>882.19</v>
      </c>
      <c r="C470" s="741">
        <v>13174</v>
      </c>
      <c r="D470" s="741">
        <v>275</v>
      </c>
      <c r="E470" s="698">
        <v>0</v>
      </c>
      <c r="F470" s="696">
        <v>0</v>
      </c>
      <c r="G470" s="698">
        <v>0</v>
      </c>
      <c r="H470" s="698">
        <v>0</v>
      </c>
      <c r="I470" s="698">
        <v>0</v>
      </c>
      <c r="J470" s="699">
        <f t="shared" si="25"/>
        <v>0.0208744496735995</v>
      </c>
      <c r="K470" s="700">
        <f t="shared" si="26"/>
        <v>3.20796363636364</v>
      </c>
      <c r="L470" s="701">
        <f t="shared" si="27"/>
        <v>66.96447548201</v>
      </c>
      <c r="M470" s="702">
        <f t="shared" si="28"/>
        <v>0</v>
      </c>
      <c r="N470" s="703">
        <f t="shared" si="29"/>
        <v>0</v>
      </c>
      <c r="O470" s="675" t="e">
        <f t="shared" si="30"/>
        <v>#DIV/0!</v>
      </c>
    </row>
    <row r="471" s="541" customFormat="1" spans="1:15">
      <c r="A471" s="695">
        <v>45219</v>
      </c>
      <c r="B471" s="740">
        <v>884.93</v>
      </c>
      <c r="C471" s="742">
        <v>23435</v>
      </c>
      <c r="D471" s="741">
        <v>320</v>
      </c>
      <c r="E471" s="698">
        <v>0</v>
      </c>
      <c r="F471" s="696">
        <v>0</v>
      </c>
      <c r="G471" s="698">
        <v>11</v>
      </c>
      <c r="H471" s="698">
        <v>3</v>
      </c>
      <c r="I471" s="698">
        <v>1</v>
      </c>
      <c r="J471" s="699">
        <f t="shared" si="25"/>
        <v>0.0136547898442501</v>
      </c>
      <c r="K471" s="700">
        <f t="shared" si="26"/>
        <v>2.76540625</v>
      </c>
      <c r="L471" s="701">
        <f t="shared" si="27"/>
        <v>37.7610411777256</v>
      </c>
      <c r="M471" s="702">
        <f t="shared" si="28"/>
        <v>0</v>
      </c>
      <c r="N471" s="703">
        <f t="shared" si="29"/>
        <v>0</v>
      </c>
      <c r="O471" s="675">
        <f t="shared" si="30"/>
        <v>63.2092857142857</v>
      </c>
    </row>
    <row r="472" s="541" customFormat="1" spans="1:15">
      <c r="A472" s="695">
        <v>45220</v>
      </c>
      <c r="B472" s="740">
        <v>888.88</v>
      </c>
      <c r="C472" s="742">
        <v>26456</v>
      </c>
      <c r="D472" s="741">
        <v>336</v>
      </c>
      <c r="E472" s="698">
        <v>0</v>
      </c>
      <c r="F472" s="696">
        <v>0</v>
      </c>
      <c r="G472" s="698">
        <v>6</v>
      </c>
      <c r="H472" s="698">
        <v>5</v>
      </c>
      <c r="I472" s="698">
        <v>1</v>
      </c>
      <c r="J472" s="699">
        <f t="shared" si="25"/>
        <v>0.0127003326277593</v>
      </c>
      <c r="K472" s="700">
        <f t="shared" si="26"/>
        <v>2.64547619047619</v>
      </c>
      <c r="L472" s="701">
        <f t="shared" si="27"/>
        <v>33.5984275778651</v>
      </c>
      <c r="M472" s="702">
        <f t="shared" si="28"/>
        <v>0</v>
      </c>
      <c r="N472" s="703">
        <f t="shared" si="29"/>
        <v>0</v>
      </c>
      <c r="O472" s="675">
        <f t="shared" si="30"/>
        <v>80.8072727272727</v>
      </c>
    </row>
    <row r="473" s="541" customFormat="1" spans="1:15">
      <c r="A473" s="695">
        <v>45221</v>
      </c>
      <c r="B473" s="740">
        <v>897.95</v>
      </c>
      <c r="C473" s="742">
        <v>29288</v>
      </c>
      <c r="D473" s="741">
        <v>344</v>
      </c>
      <c r="E473" s="698">
        <v>0</v>
      </c>
      <c r="F473" s="696">
        <v>0</v>
      </c>
      <c r="G473" s="698">
        <v>7</v>
      </c>
      <c r="H473" s="698">
        <v>3</v>
      </c>
      <c r="I473" s="698">
        <v>0</v>
      </c>
      <c r="J473" s="699">
        <f t="shared" si="25"/>
        <v>0.0117454247473368</v>
      </c>
      <c r="K473" s="700">
        <f t="shared" si="26"/>
        <v>2.61031976744186</v>
      </c>
      <c r="L473" s="701">
        <f t="shared" si="27"/>
        <v>30.6593143949741</v>
      </c>
      <c r="M473" s="702">
        <f t="shared" si="28"/>
        <v>0</v>
      </c>
      <c r="N473" s="703">
        <f t="shared" si="29"/>
        <v>0</v>
      </c>
      <c r="O473" s="675">
        <f t="shared" si="30"/>
        <v>89.795</v>
      </c>
    </row>
    <row r="474" s="541" customFormat="1" spans="1:15">
      <c r="A474" s="695">
        <v>45222</v>
      </c>
      <c r="B474" s="743">
        <v>891.34</v>
      </c>
      <c r="C474" s="707">
        <v>44231</v>
      </c>
      <c r="D474" s="707">
        <v>323</v>
      </c>
      <c r="E474" s="698">
        <v>0</v>
      </c>
      <c r="F474" s="696">
        <v>0</v>
      </c>
      <c r="G474" s="698">
        <v>13</v>
      </c>
      <c r="H474" s="698">
        <v>2</v>
      </c>
      <c r="I474" s="698">
        <v>2</v>
      </c>
      <c r="J474" s="699">
        <f t="shared" si="25"/>
        <v>0.00730257059528385</v>
      </c>
      <c r="K474" s="700">
        <f t="shared" si="26"/>
        <v>2.75956656346749</v>
      </c>
      <c r="L474" s="701">
        <f t="shared" si="27"/>
        <v>20.1519296421062</v>
      </c>
      <c r="M474" s="702">
        <f t="shared" si="28"/>
        <v>0</v>
      </c>
      <c r="N474" s="703">
        <f t="shared" si="29"/>
        <v>0</v>
      </c>
      <c r="O474" s="675">
        <f t="shared" si="30"/>
        <v>59.4226666666667</v>
      </c>
    </row>
    <row r="475" s="541" customFormat="1" spans="1:15">
      <c r="A475" s="695">
        <v>45223</v>
      </c>
      <c r="B475" s="744">
        <v>1268.72</v>
      </c>
      <c r="C475" s="731">
        <v>70816</v>
      </c>
      <c r="D475" s="698">
        <v>540</v>
      </c>
      <c r="E475" s="698">
        <v>22</v>
      </c>
      <c r="F475" s="696">
        <f>113374+138269</f>
        <v>251643</v>
      </c>
      <c r="G475" s="698">
        <v>10</v>
      </c>
      <c r="H475" s="698">
        <v>8</v>
      </c>
      <c r="I475" s="698">
        <v>10</v>
      </c>
      <c r="J475" s="699">
        <f t="shared" ref="J475:J512" si="31">D475/C475</f>
        <v>0.00762539539087212</v>
      </c>
      <c r="K475" s="700">
        <f t="shared" ref="K475:K512" si="32">B475/D475</f>
        <v>2.34948148148148</v>
      </c>
      <c r="L475" s="701">
        <f t="shared" ref="L475:L512" si="33">B475/C475*1000</f>
        <v>17.9157252598283</v>
      </c>
      <c r="M475" s="702">
        <f t="shared" ref="M475:M502" si="34">F475/B475</f>
        <v>198.344000252223</v>
      </c>
      <c r="N475" s="703">
        <f t="shared" si="29"/>
        <v>0.0407407407407407</v>
      </c>
      <c r="O475" s="675">
        <f t="shared" si="30"/>
        <v>70.4844444444444</v>
      </c>
    </row>
    <row r="476" s="541" customFormat="1" spans="1:15">
      <c r="A476" s="695">
        <v>45224</v>
      </c>
      <c r="B476" s="744">
        <v>993.67</v>
      </c>
      <c r="C476" s="731">
        <v>34867</v>
      </c>
      <c r="D476" s="698">
        <v>331</v>
      </c>
      <c r="E476" s="698">
        <v>10</v>
      </c>
      <c r="F476" s="696">
        <f>45288+69081</f>
        <v>114369</v>
      </c>
      <c r="G476" s="698">
        <v>16</v>
      </c>
      <c r="H476" s="698">
        <v>8</v>
      </c>
      <c r="I476" s="698">
        <v>4</v>
      </c>
      <c r="J476" s="699">
        <f t="shared" si="31"/>
        <v>0.00949321708205467</v>
      </c>
      <c r="K476" s="700">
        <f t="shared" si="32"/>
        <v>3.00202416918429</v>
      </c>
      <c r="L476" s="701">
        <f t="shared" si="33"/>
        <v>28.4988671236413</v>
      </c>
      <c r="M476" s="702">
        <f t="shared" si="34"/>
        <v>115.097567602927</v>
      </c>
      <c r="N476" s="703">
        <f t="shared" si="29"/>
        <v>0.0302114803625378</v>
      </c>
      <c r="O476" s="675">
        <f t="shared" si="30"/>
        <v>41.4029166666667</v>
      </c>
    </row>
    <row r="477" s="541" customFormat="1" spans="1:15">
      <c r="A477" s="695">
        <v>45225</v>
      </c>
      <c r="B477" s="744">
        <v>590.72</v>
      </c>
      <c r="C477" s="731">
        <v>12147</v>
      </c>
      <c r="D477" s="698">
        <v>158</v>
      </c>
      <c r="E477" s="698">
        <v>0</v>
      </c>
      <c r="F477" s="696">
        <v>0</v>
      </c>
      <c r="G477" s="698">
        <v>3</v>
      </c>
      <c r="H477" s="698">
        <v>3</v>
      </c>
      <c r="I477" s="698">
        <v>1</v>
      </c>
      <c r="J477" s="699">
        <f t="shared" si="31"/>
        <v>0.0130073269119947</v>
      </c>
      <c r="K477" s="700">
        <f t="shared" si="32"/>
        <v>3.73873417721519</v>
      </c>
      <c r="L477" s="701">
        <f t="shared" si="33"/>
        <v>48.6309376800856</v>
      </c>
      <c r="M477" s="702">
        <f t="shared" si="34"/>
        <v>0</v>
      </c>
      <c r="N477" s="703">
        <f t="shared" si="29"/>
        <v>0</v>
      </c>
      <c r="O477" s="675">
        <f t="shared" si="30"/>
        <v>98.4533333333333</v>
      </c>
    </row>
    <row r="478" s="541" customFormat="1" spans="1:15">
      <c r="A478" s="695">
        <v>45226</v>
      </c>
      <c r="B478" s="744">
        <v>1464.16</v>
      </c>
      <c r="C478" s="731">
        <v>28357</v>
      </c>
      <c r="D478" s="698">
        <v>393</v>
      </c>
      <c r="E478" s="698">
        <v>2</v>
      </c>
      <c r="F478" s="696">
        <f>10997+11097</f>
        <v>22094</v>
      </c>
      <c r="G478" s="698">
        <v>11</v>
      </c>
      <c r="H478" s="698">
        <v>6</v>
      </c>
      <c r="I478" s="698">
        <v>6</v>
      </c>
      <c r="J478" s="699">
        <f t="shared" si="31"/>
        <v>0.0138590118841909</v>
      </c>
      <c r="K478" s="700">
        <f t="shared" si="32"/>
        <v>3.72559796437659</v>
      </c>
      <c r="L478" s="701">
        <f t="shared" si="33"/>
        <v>51.6331064640124</v>
      </c>
      <c r="M478" s="702">
        <f t="shared" si="34"/>
        <v>15.0898808873347</v>
      </c>
      <c r="N478" s="703">
        <f t="shared" si="29"/>
        <v>0.00508905852417303</v>
      </c>
      <c r="O478" s="675">
        <f t="shared" si="30"/>
        <v>86.1270588235294</v>
      </c>
    </row>
    <row r="479" s="541" customFormat="1" spans="1:15">
      <c r="A479" s="695">
        <v>45227</v>
      </c>
      <c r="B479" s="744">
        <v>1296.41</v>
      </c>
      <c r="C479" s="730">
        <v>34355</v>
      </c>
      <c r="D479" s="698">
        <v>355</v>
      </c>
      <c r="E479" s="698">
        <v>3</v>
      </c>
      <c r="F479" s="696">
        <f>12398+27859</f>
        <v>40257</v>
      </c>
      <c r="G479" s="698">
        <v>15</v>
      </c>
      <c r="H479" s="698">
        <v>7</v>
      </c>
      <c r="I479" s="698">
        <v>10</v>
      </c>
      <c r="J479" s="699">
        <f t="shared" si="31"/>
        <v>0.0103332848202591</v>
      </c>
      <c r="K479" s="700">
        <f t="shared" si="32"/>
        <v>3.65185915492958</v>
      </c>
      <c r="L479" s="701">
        <f t="shared" si="33"/>
        <v>37.7357007713579</v>
      </c>
      <c r="M479" s="702">
        <f t="shared" si="34"/>
        <v>31.0526762366844</v>
      </c>
      <c r="N479" s="703">
        <f t="shared" si="29"/>
        <v>0.00845070422535211</v>
      </c>
      <c r="O479" s="675">
        <f t="shared" si="30"/>
        <v>58.9277272727273</v>
      </c>
    </row>
    <row r="480" s="541" customFormat="1" spans="1:15">
      <c r="A480" s="695">
        <v>45228</v>
      </c>
      <c r="B480" s="744">
        <v>1380.41</v>
      </c>
      <c r="C480" s="745">
        <v>20524</v>
      </c>
      <c r="D480" s="698">
        <v>371</v>
      </c>
      <c r="E480" s="698">
        <v>6</v>
      </c>
      <c r="F480" s="696">
        <f>28793+53300</f>
        <v>82093</v>
      </c>
      <c r="G480" s="698">
        <v>20</v>
      </c>
      <c r="H480" s="698">
        <v>8</v>
      </c>
      <c r="I480" s="698">
        <v>4</v>
      </c>
      <c r="J480" s="699">
        <f t="shared" si="31"/>
        <v>0.0180763983628922</v>
      </c>
      <c r="K480" s="700">
        <f t="shared" si="32"/>
        <v>3.72078167115903</v>
      </c>
      <c r="L480" s="701">
        <f t="shared" si="33"/>
        <v>67.2583317092185</v>
      </c>
      <c r="M480" s="702">
        <f t="shared" si="34"/>
        <v>59.4700125325085</v>
      </c>
      <c r="N480" s="703">
        <f t="shared" si="29"/>
        <v>0.0161725067385445</v>
      </c>
      <c r="O480" s="675">
        <f t="shared" si="30"/>
        <v>49.3003571428571</v>
      </c>
    </row>
    <row r="481" s="541" customFormat="1" spans="1:15">
      <c r="A481" s="695">
        <v>45229</v>
      </c>
      <c r="B481" s="744">
        <v>1197.27</v>
      </c>
      <c r="C481" s="745">
        <v>23978</v>
      </c>
      <c r="D481" s="698">
        <v>300</v>
      </c>
      <c r="E481" s="698">
        <v>0</v>
      </c>
      <c r="F481" s="696">
        <v>0</v>
      </c>
      <c r="G481" s="698">
        <v>3</v>
      </c>
      <c r="H481" s="698">
        <v>5</v>
      </c>
      <c r="I481" s="698">
        <v>2</v>
      </c>
      <c r="J481" s="699">
        <f t="shared" si="31"/>
        <v>0.0125114688464426</v>
      </c>
      <c r="K481" s="700">
        <f t="shared" si="32"/>
        <v>3.9909</v>
      </c>
      <c r="L481" s="701">
        <f t="shared" si="33"/>
        <v>49.9320210192677</v>
      </c>
      <c r="M481" s="702">
        <f t="shared" si="34"/>
        <v>0</v>
      </c>
      <c r="N481" s="703">
        <f t="shared" si="29"/>
        <v>0</v>
      </c>
      <c r="O481" s="675">
        <f t="shared" si="30"/>
        <v>149.65875</v>
      </c>
    </row>
    <row r="482" s="541" customFormat="1" spans="1:15">
      <c r="A482" s="695">
        <v>45230</v>
      </c>
      <c r="B482" s="744">
        <v>5129.72</v>
      </c>
      <c r="C482" s="745">
        <v>128319</v>
      </c>
      <c r="D482" s="729">
        <v>2206</v>
      </c>
      <c r="E482" s="698">
        <v>12</v>
      </c>
      <c r="F482" s="696">
        <f>46690+93079</f>
        <v>139769</v>
      </c>
      <c r="G482" s="698">
        <v>47</v>
      </c>
      <c r="H482" s="698">
        <v>24</v>
      </c>
      <c r="I482" s="698">
        <v>24</v>
      </c>
      <c r="J482" s="699">
        <f t="shared" si="31"/>
        <v>0.0171915304826253</v>
      </c>
      <c r="K482" s="700">
        <f t="shared" si="32"/>
        <v>2.32534904805077</v>
      </c>
      <c r="L482" s="701">
        <f t="shared" si="33"/>
        <v>39.9763090423086</v>
      </c>
      <c r="M482" s="702">
        <f t="shared" si="34"/>
        <v>27.2469062638896</v>
      </c>
      <c r="N482" s="703">
        <f t="shared" si="29"/>
        <v>0.00543970988213962</v>
      </c>
      <c r="O482" s="675">
        <f t="shared" si="30"/>
        <v>72.2495774647887</v>
      </c>
    </row>
    <row r="483" s="541" customFormat="1" spans="1:15">
      <c r="A483" s="695">
        <v>45231</v>
      </c>
      <c r="B483" s="744">
        <v>2220.29</v>
      </c>
      <c r="C483" s="745">
        <v>68420</v>
      </c>
      <c r="D483" s="729">
        <v>1360</v>
      </c>
      <c r="E483" s="698">
        <v>0</v>
      </c>
      <c r="F483" s="696">
        <v>0</v>
      </c>
      <c r="G483" s="698">
        <v>56</v>
      </c>
      <c r="H483" s="698">
        <v>9</v>
      </c>
      <c r="I483" s="698">
        <v>13</v>
      </c>
      <c r="J483" s="699">
        <f t="shared" si="31"/>
        <v>0.0198772288804443</v>
      </c>
      <c r="K483" s="700">
        <f t="shared" si="32"/>
        <v>1.63256617647059</v>
      </c>
      <c r="L483" s="701">
        <f t="shared" si="33"/>
        <v>32.4508915521777</v>
      </c>
      <c r="M483" s="702">
        <f t="shared" si="34"/>
        <v>0</v>
      </c>
      <c r="N483" s="703">
        <f t="shared" si="29"/>
        <v>0</v>
      </c>
      <c r="O483" s="675">
        <f t="shared" si="30"/>
        <v>34.1583076923077</v>
      </c>
    </row>
    <row r="484" s="541" customFormat="1" spans="1:15">
      <c r="A484" s="695">
        <v>45232</v>
      </c>
      <c r="B484" s="744">
        <v>1852.27</v>
      </c>
      <c r="C484" s="745">
        <v>96894</v>
      </c>
      <c r="D484" s="729">
        <v>1399</v>
      </c>
      <c r="E484" s="698">
        <v>15</v>
      </c>
      <c r="F484" s="696">
        <v>210744</v>
      </c>
      <c r="G484" s="698">
        <v>45</v>
      </c>
      <c r="H484" s="698">
        <v>9</v>
      </c>
      <c r="I484" s="698">
        <v>10</v>
      </c>
      <c r="J484" s="699">
        <f t="shared" si="31"/>
        <v>0.0144384585216835</v>
      </c>
      <c r="K484" s="700">
        <f t="shared" si="32"/>
        <v>1.3239957112223</v>
      </c>
      <c r="L484" s="701">
        <f t="shared" si="33"/>
        <v>19.11645715937</v>
      </c>
      <c r="M484" s="702">
        <f t="shared" si="34"/>
        <v>113.776069363538</v>
      </c>
      <c r="N484" s="703">
        <f t="shared" si="29"/>
        <v>0.0107219442458899</v>
      </c>
      <c r="O484" s="675">
        <f t="shared" si="30"/>
        <v>34.3012962962963</v>
      </c>
    </row>
    <row r="485" s="541" customFormat="1" spans="1:15">
      <c r="A485" s="695">
        <v>45233</v>
      </c>
      <c r="B485" s="744">
        <v>1757.44</v>
      </c>
      <c r="C485" s="745">
        <v>112427</v>
      </c>
      <c r="D485" s="729">
        <v>1480</v>
      </c>
      <c r="E485" s="698">
        <v>4</v>
      </c>
      <c r="F485" s="696">
        <v>48732</v>
      </c>
      <c r="G485" s="698">
        <v>37</v>
      </c>
      <c r="H485" s="698">
        <v>16</v>
      </c>
      <c r="I485" s="698">
        <v>10</v>
      </c>
      <c r="J485" s="699">
        <f t="shared" si="31"/>
        <v>0.0131640975922154</v>
      </c>
      <c r="K485" s="700">
        <f t="shared" si="32"/>
        <v>1.18745945945946</v>
      </c>
      <c r="L485" s="701">
        <f t="shared" si="33"/>
        <v>15.6318322111237</v>
      </c>
      <c r="M485" s="702">
        <f t="shared" si="34"/>
        <v>27.728969410051</v>
      </c>
      <c r="N485" s="703">
        <f t="shared" si="29"/>
        <v>0.0027027027027027</v>
      </c>
      <c r="O485" s="675">
        <f t="shared" si="30"/>
        <v>33.1592452830189</v>
      </c>
    </row>
    <row r="486" s="541" customFormat="1" spans="1:15">
      <c r="A486" s="695">
        <v>45234</v>
      </c>
      <c r="B486" s="744">
        <v>1562.58</v>
      </c>
      <c r="C486" s="745">
        <v>103860</v>
      </c>
      <c r="D486" s="729">
        <v>1579</v>
      </c>
      <c r="E486" s="698">
        <v>3</v>
      </c>
      <c r="F486" s="696">
        <v>63781</v>
      </c>
      <c r="G486" s="698">
        <v>41</v>
      </c>
      <c r="H486" s="698">
        <v>4</v>
      </c>
      <c r="I486" s="698">
        <v>5</v>
      </c>
      <c r="J486" s="699">
        <f t="shared" si="31"/>
        <v>0.0152031580974389</v>
      </c>
      <c r="K486" s="700">
        <f t="shared" si="32"/>
        <v>0.989601013299557</v>
      </c>
      <c r="L486" s="701">
        <f t="shared" si="33"/>
        <v>15.0450606585789</v>
      </c>
      <c r="M486" s="702">
        <f t="shared" si="34"/>
        <v>40.8177501311933</v>
      </c>
      <c r="N486" s="703">
        <f t="shared" si="29"/>
        <v>0.00189993666877771</v>
      </c>
      <c r="O486" s="675">
        <f t="shared" si="30"/>
        <v>34.724</v>
      </c>
    </row>
    <row r="487" s="541" customFormat="1" spans="1:15">
      <c r="A487" s="695">
        <v>45235</v>
      </c>
      <c r="B487" s="744">
        <v>1578.11</v>
      </c>
      <c r="C487" s="745">
        <v>101153</v>
      </c>
      <c r="D487" s="729">
        <v>1607</v>
      </c>
      <c r="E487" s="698">
        <v>4</v>
      </c>
      <c r="F487" s="696">
        <v>47389</v>
      </c>
      <c r="G487" s="698">
        <v>62</v>
      </c>
      <c r="H487" s="698">
        <v>10</v>
      </c>
      <c r="I487" s="698">
        <v>3</v>
      </c>
      <c r="J487" s="699">
        <f t="shared" si="31"/>
        <v>0.0158868249088015</v>
      </c>
      <c r="K487" s="700">
        <f t="shared" si="32"/>
        <v>0.982022401991288</v>
      </c>
      <c r="L487" s="701">
        <f t="shared" si="33"/>
        <v>15.6012179569563</v>
      </c>
      <c r="M487" s="702">
        <f t="shared" si="34"/>
        <v>30.0289586910925</v>
      </c>
      <c r="N487" s="703">
        <f t="shared" si="29"/>
        <v>0.00248911014312383</v>
      </c>
      <c r="O487" s="675">
        <f t="shared" si="30"/>
        <v>21.9181944444444</v>
      </c>
    </row>
    <row r="488" s="541" customFormat="1" spans="1:15">
      <c r="A488" s="695">
        <v>45236</v>
      </c>
      <c r="B488" s="744">
        <v>1768.28</v>
      </c>
      <c r="C488" s="745">
        <v>167156</v>
      </c>
      <c r="D488" s="729">
        <v>1706</v>
      </c>
      <c r="E488" s="698">
        <v>0</v>
      </c>
      <c r="F488" s="696">
        <v>0</v>
      </c>
      <c r="G488" s="698">
        <v>26</v>
      </c>
      <c r="H488" s="698">
        <v>14</v>
      </c>
      <c r="I488" s="698">
        <v>2</v>
      </c>
      <c r="J488" s="699">
        <f t="shared" si="31"/>
        <v>0.0102060350810022</v>
      </c>
      <c r="K488" s="700">
        <f t="shared" si="32"/>
        <v>1.03650644783118</v>
      </c>
      <c r="L488" s="701">
        <f t="shared" si="33"/>
        <v>10.57862116825</v>
      </c>
      <c r="M488" s="702">
        <f t="shared" si="34"/>
        <v>0</v>
      </c>
      <c r="N488" s="703">
        <f t="shared" si="29"/>
        <v>0</v>
      </c>
      <c r="O488" s="675">
        <f t="shared" si="30"/>
        <v>44.207</v>
      </c>
    </row>
    <row r="489" s="541" customFormat="1" spans="1:15">
      <c r="A489" s="710">
        <v>45237</v>
      </c>
      <c r="B489" s="746">
        <v>1780.53</v>
      </c>
      <c r="C489" s="747">
        <v>170437</v>
      </c>
      <c r="D489" s="747">
        <v>1737</v>
      </c>
      <c r="E489" s="733">
        <v>1</v>
      </c>
      <c r="F489" s="746">
        <v>9998</v>
      </c>
      <c r="G489" s="733">
        <v>12</v>
      </c>
      <c r="H489" s="733">
        <v>5</v>
      </c>
      <c r="I489" s="733">
        <v>5</v>
      </c>
      <c r="J489" s="748">
        <f t="shared" si="31"/>
        <v>0.0101914490398212</v>
      </c>
      <c r="K489" s="749">
        <f t="shared" si="32"/>
        <v>1.02506044905009</v>
      </c>
      <c r="L489" s="750">
        <f t="shared" si="33"/>
        <v>10.4468513292302</v>
      </c>
      <c r="M489" s="702">
        <f t="shared" si="34"/>
        <v>5.61518199637187</v>
      </c>
      <c r="N489" s="703">
        <f t="shared" si="29"/>
        <v>0.000575705238917674</v>
      </c>
      <c r="O489" s="675">
        <f t="shared" si="30"/>
        <v>104.737058823529</v>
      </c>
    </row>
    <row r="490" s="541" customFormat="1" spans="1:15">
      <c r="A490" s="751">
        <v>45238</v>
      </c>
      <c r="B490" s="752">
        <v>1773.77</v>
      </c>
      <c r="C490" s="753">
        <v>150841</v>
      </c>
      <c r="D490" s="754">
        <v>1603</v>
      </c>
      <c r="E490" s="755">
        <v>0</v>
      </c>
      <c r="F490" s="756">
        <v>0</v>
      </c>
      <c r="G490" s="755">
        <v>18</v>
      </c>
      <c r="H490" s="755">
        <v>9</v>
      </c>
      <c r="I490" s="755">
        <v>3</v>
      </c>
      <c r="J490" s="757">
        <f t="shared" si="31"/>
        <v>0.010627084148209</v>
      </c>
      <c r="K490" s="758">
        <f t="shared" si="32"/>
        <v>1.10653150343107</v>
      </c>
      <c r="L490" s="759">
        <f t="shared" si="33"/>
        <v>11.7592033996062</v>
      </c>
      <c r="M490" s="760">
        <f t="shared" si="34"/>
        <v>0</v>
      </c>
      <c r="N490" s="703">
        <f t="shared" si="29"/>
        <v>0</v>
      </c>
      <c r="O490" s="675">
        <f t="shared" si="30"/>
        <v>65.6951851851852</v>
      </c>
    </row>
    <row r="491" s="541" customFormat="1" spans="1:15">
      <c r="A491" s="761">
        <v>45239</v>
      </c>
      <c r="B491" s="721">
        <v>1781.34</v>
      </c>
      <c r="C491" s="762">
        <v>213228</v>
      </c>
      <c r="D491" s="720">
        <v>1731</v>
      </c>
      <c r="E491" s="720">
        <v>1</v>
      </c>
      <c r="F491" s="763">
        <v>10997</v>
      </c>
      <c r="G491" s="720">
        <v>19</v>
      </c>
      <c r="H491" s="720">
        <v>6</v>
      </c>
      <c r="I491" s="720">
        <v>1</v>
      </c>
      <c r="J491" s="764">
        <f t="shared" si="31"/>
        <v>0.00811807079745624</v>
      </c>
      <c r="K491" s="765">
        <f t="shared" si="32"/>
        <v>1.02908145580589</v>
      </c>
      <c r="L491" s="766">
        <f t="shared" si="33"/>
        <v>8.35415611458157</v>
      </c>
      <c r="M491" s="767">
        <f t="shared" si="34"/>
        <v>6.17344246466144</v>
      </c>
      <c r="N491" s="768">
        <f t="shared" si="29"/>
        <v>0.000577700751010976</v>
      </c>
      <c r="O491" s="675">
        <f t="shared" si="30"/>
        <v>71.2536</v>
      </c>
    </row>
    <row r="492" s="541" customFormat="1" spans="1:15">
      <c r="A492" s="751">
        <v>45240</v>
      </c>
      <c r="B492" s="769">
        <v>2184.47</v>
      </c>
      <c r="C492" s="770">
        <v>213260</v>
      </c>
      <c r="D492" s="770">
        <v>1981</v>
      </c>
      <c r="E492" s="771">
        <v>3</v>
      </c>
      <c r="F492" s="756">
        <v>0.03</v>
      </c>
      <c r="G492" s="755">
        <v>20</v>
      </c>
      <c r="H492" s="755">
        <v>6</v>
      </c>
      <c r="I492" s="755">
        <v>2</v>
      </c>
      <c r="J492" s="757">
        <f t="shared" si="31"/>
        <v>0.00928913063865704</v>
      </c>
      <c r="K492" s="758">
        <f t="shared" si="32"/>
        <v>1.10271075214538</v>
      </c>
      <c r="L492" s="759">
        <f t="shared" si="33"/>
        <v>10.2432242333302</v>
      </c>
      <c r="M492" s="772">
        <f t="shared" si="34"/>
        <v>1.37333083081938e-5</v>
      </c>
      <c r="N492" s="773">
        <f t="shared" si="29"/>
        <v>0.00151438667339727</v>
      </c>
      <c r="O492" s="675">
        <f t="shared" si="30"/>
        <v>84.0180769230769</v>
      </c>
    </row>
    <row r="493" s="541" customFormat="1" spans="1:15">
      <c r="A493" s="751">
        <v>45241</v>
      </c>
      <c r="B493" s="769">
        <v>2902.97</v>
      </c>
      <c r="C493" s="770">
        <v>284084</v>
      </c>
      <c r="D493" s="770">
        <v>2463</v>
      </c>
      <c r="E493" s="774">
        <v>11</v>
      </c>
      <c r="F493" s="775">
        <v>42889.07</v>
      </c>
      <c r="G493" s="755">
        <v>30</v>
      </c>
      <c r="H493" s="755">
        <v>12</v>
      </c>
      <c r="I493" s="755">
        <v>5</v>
      </c>
      <c r="J493" s="757">
        <f t="shared" si="31"/>
        <v>0.00866997085369116</v>
      </c>
      <c r="K493" s="758">
        <f t="shared" si="32"/>
        <v>1.1786317498985</v>
      </c>
      <c r="L493" s="759">
        <f t="shared" si="33"/>
        <v>10.218702918855</v>
      </c>
      <c r="M493" s="772">
        <f t="shared" si="34"/>
        <v>14.7742036603892</v>
      </c>
      <c r="N493" s="773">
        <f t="shared" si="29"/>
        <v>0.00446609825416159</v>
      </c>
      <c r="O493" s="675">
        <f t="shared" si="30"/>
        <v>69.1183333333333</v>
      </c>
    </row>
    <row r="494" s="541" customFormat="1" spans="1:15">
      <c r="A494" s="751">
        <v>45242</v>
      </c>
      <c r="B494" s="769">
        <v>1584.87</v>
      </c>
      <c r="C494" s="770">
        <v>263426</v>
      </c>
      <c r="D494" s="770">
        <v>2116</v>
      </c>
      <c r="E494" s="771">
        <v>3</v>
      </c>
      <c r="F494" s="776">
        <v>9998.02</v>
      </c>
      <c r="G494" s="755">
        <v>21</v>
      </c>
      <c r="H494" s="755">
        <v>5</v>
      </c>
      <c r="I494" s="755">
        <v>4</v>
      </c>
      <c r="J494" s="757">
        <f t="shared" si="31"/>
        <v>0.00803261637044179</v>
      </c>
      <c r="K494" s="758">
        <f t="shared" si="32"/>
        <v>0.748993383742911</v>
      </c>
      <c r="L494" s="759">
        <f t="shared" si="33"/>
        <v>6.0163765156059</v>
      </c>
      <c r="M494" s="772">
        <f t="shared" si="34"/>
        <v>6.30841646317995</v>
      </c>
      <c r="N494" s="773">
        <f t="shared" si="29"/>
        <v>0.00141776937618147</v>
      </c>
      <c r="O494" s="675">
        <f t="shared" si="30"/>
        <v>60.9565384615385</v>
      </c>
    </row>
    <row r="495" s="541" customFormat="1" spans="1:15">
      <c r="A495" s="751">
        <v>45243</v>
      </c>
      <c r="B495" s="752">
        <v>1594.74</v>
      </c>
      <c r="C495" s="753">
        <v>272087</v>
      </c>
      <c r="D495" s="755">
        <v>1915</v>
      </c>
      <c r="E495" s="755">
        <v>2</v>
      </c>
      <c r="F495" s="756">
        <v>28660</v>
      </c>
      <c r="G495" s="755">
        <v>18</v>
      </c>
      <c r="H495" s="755">
        <v>2</v>
      </c>
      <c r="I495" s="755">
        <v>1</v>
      </c>
      <c r="J495" s="757">
        <f t="shared" si="31"/>
        <v>0.0070381899907015</v>
      </c>
      <c r="K495" s="758">
        <f t="shared" si="32"/>
        <v>0.832762402088773</v>
      </c>
      <c r="L495" s="759">
        <f t="shared" si="33"/>
        <v>5.86114000301374</v>
      </c>
      <c r="M495" s="772">
        <f t="shared" si="34"/>
        <v>17.9715815744259</v>
      </c>
      <c r="N495" s="773">
        <f t="shared" si="29"/>
        <v>0.0010443864229765</v>
      </c>
      <c r="O495" s="675">
        <f t="shared" si="30"/>
        <v>79.737</v>
      </c>
    </row>
    <row r="496" s="541" customFormat="1" spans="1:15">
      <c r="A496" s="751">
        <v>45244</v>
      </c>
      <c r="B496" s="777">
        <v>1528.01</v>
      </c>
      <c r="C496" s="778">
        <v>80854</v>
      </c>
      <c r="D496" s="778">
        <v>955</v>
      </c>
      <c r="E496" s="779">
        <v>0</v>
      </c>
      <c r="F496" s="780">
        <v>0</v>
      </c>
      <c r="G496" s="779">
        <v>31</v>
      </c>
      <c r="H496" s="779">
        <v>3</v>
      </c>
      <c r="I496" s="779">
        <v>3</v>
      </c>
      <c r="J496" s="757">
        <f t="shared" si="31"/>
        <v>0.0118114131644693</v>
      </c>
      <c r="K496" s="758">
        <f t="shared" si="32"/>
        <v>1.60001047120419</v>
      </c>
      <c r="L496" s="759">
        <f t="shared" si="33"/>
        <v>18.8983847428699</v>
      </c>
      <c r="M496" s="772">
        <f t="shared" si="34"/>
        <v>0</v>
      </c>
      <c r="N496" s="773">
        <f t="shared" si="29"/>
        <v>0</v>
      </c>
      <c r="O496" s="675">
        <f t="shared" si="30"/>
        <v>44.9414705882353</v>
      </c>
    </row>
    <row r="497" s="541" customFormat="1" ht="14.4" spans="1:15">
      <c r="A497" s="751">
        <v>45245</v>
      </c>
      <c r="B497" s="781">
        <v>1570.24</v>
      </c>
      <c r="C497" s="782">
        <v>96746</v>
      </c>
      <c r="D497" s="782">
        <v>1035</v>
      </c>
      <c r="E497" s="755">
        <v>0</v>
      </c>
      <c r="F497" s="756">
        <v>0</v>
      </c>
      <c r="G497" s="755">
        <v>22</v>
      </c>
      <c r="H497" s="755">
        <v>9</v>
      </c>
      <c r="I497" s="755">
        <v>4</v>
      </c>
      <c r="J497" s="757">
        <f t="shared" si="31"/>
        <v>0.0106981167180038</v>
      </c>
      <c r="K497" s="758">
        <f t="shared" si="32"/>
        <v>1.51714009661836</v>
      </c>
      <c r="L497" s="759">
        <f t="shared" si="33"/>
        <v>16.2305418311868</v>
      </c>
      <c r="M497" s="772">
        <f t="shared" si="34"/>
        <v>0</v>
      </c>
      <c r="N497" s="773">
        <f t="shared" si="29"/>
        <v>0</v>
      </c>
      <c r="O497" s="675">
        <f t="shared" si="30"/>
        <v>50.6529032258065</v>
      </c>
    </row>
    <row r="498" s="541" customFormat="1" spans="1:15">
      <c r="A498" s="751">
        <v>45246</v>
      </c>
      <c r="B498" s="783">
        <v>1269.92</v>
      </c>
      <c r="C498" s="784">
        <v>173831</v>
      </c>
      <c r="D498" s="784">
        <v>1083</v>
      </c>
      <c r="E498" s="720">
        <v>0</v>
      </c>
      <c r="F498" s="763">
        <v>0</v>
      </c>
      <c r="G498" s="720">
        <v>14</v>
      </c>
      <c r="H498" s="720">
        <v>4</v>
      </c>
      <c r="I498" s="720">
        <v>0</v>
      </c>
      <c r="J498" s="757">
        <f t="shared" si="31"/>
        <v>0.00623018909170401</v>
      </c>
      <c r="K498" s="758">
        <f t="shared" si="32"/>
        <v>1.172594644506</v>
      </c>
      <c r="L498" s="759">
        <f t="shared" si="33"/>
        <v>7.30548636319184</v>
      </c>
      <c r="M498" s="772">
        <f t="shared" si="34"/>
        <v>0</v>
      </c>
      <c r="N498" s="773">
        <f t="shared" si="29"/>
        <v>0</v>
      </c>
      <c r="O498" s="675">
        <f t="shared" si="30"/>
        <v>70.5511111111111</v>
      </c>
    </row>
    <row r="499" s="541" customFormat="1" spans="1:15">
      <c r="A499" s="751">
        <v>45247</v>
      </c>
      <c r="B499" s="785">
        <v>1296.19</v>
      </c>
      <c r="C499" s="782">
        <v>156221</v>
      </c>
      <c r="D499" s="782">
        <v>1085</v>
      </c>
      <c r="E499" s="786">
        <v>0</v>
      </c>
      <c r="F499" s="756">
        <v>0</v>
      </c>
      <c r="G499" s="755">
        <v>15</v>
      </c>
      <c r="H499" s="755">
        <v>6</v>
      </c>
      <c r="I499" s="755">
        <v>0</v>
      </c>
      <c r="J499" s="787">
        <f t="shared" si="31"/>
        <v>0.00694528904564687</v>
      </c>
      <c r="K499" s="758">
        <f t="shared" si="32"/>
        <v>1.19464516129032</v>
      </c>
      <c r="L499" s="759">
        <f t="shared" si="33"/>
        <v>8.29715595214472</v>
      </c>
      <c r="M499" s="772">
        <f t="shared" si="34"/>
        <v>0</v>
      </c>
      <c r="N499" s="773">
        <f t="shared" si="29"/>
        <v>0</v>
      </c>
      <c r="O499" s="675">
        <f t="shared" si="30"/>
        <v>61.7233333333333</v>
      </c>
    </row>
    <row r="500" s="541" customFormat="1" spans="1:15">
      <c r="A500" s="751">
        <v>45248</v>
      </c>
      <c r="B500" s="785">
        <v>1286.92</v>
      </c>
      <c r="C500" s="782">
        <v>123219</v>
      </c>
      <c r="D500" s="782">
        <v>1000</v>
      </c>
      <c r="E500" s="786">
        <v>0</v>
      </c>
      <c r="F500" s="756">
        <v>0</v>
      </c>
      <c r="G500" s="755">
        <v>8</v>
      </c>
      <c r="H500" s="755">
        <v>2</v>
      </c>
      <c r="I500" s="755">
        <v>0</v>
      </c>
      <c r="J500" s="787">
        <f t="shared" si="31"/>
        <v>0.00811563151786656</v>
      </c>
      <c r="K500" s="758">
        <f t="shared" si="32"/>
        <v>1.28692</v>
      </c>
      <c r="L500" s="759">
        <f t="shared" si="33"/>
        <v>10.4441685129728</v>
      </c>
      <c r="M500" s="772">
        <f t="shared" si="34"/>
        <v>0</v>
      </c>
      <c r="N500" s="773">
        <f t="shared" si="29"/>
        <v>0</v>
      </c>
      <c r="O500" s="675">
        <f t="shared" si="30"/>
        <v>128.692</v>
      </c>
    </row>
    <row r="501" s="541" customFormat="1" spans="1:15">
      <c r="A501" s="761">
        <v>45249</v>
      </c>
      <c r="B501" s="788">
        <v>1281.55</v>
      </c>
      <c r="C501" s="719">
        <v>114244</v>
      </c>
      <c r="D501" s="719">
        <v>1015</v>
      </c>
      <c r="E501" s="789">
        <v>0</v>
      </c>
      <c r="F501" s="763">
        <v>0</v>
      </c>
      <c r="G501" s="720">
        <v>10</v>
      </c>
      <c r="H501" s="720">
        <v>1</v>
      </c>
      <c r="I501" s="720">
        <v>0</v>
      </c>
      <c r="J501" s="790">
        <f t="shared" si="31"/>
        <v>0.00888449283988656</v>
      </c>
      <c r="K501" s="765">
        <f t="shared" si="32"/>
        <v>1.26261083743842</v>
      </c>
      <c r="L501" s="766">
        <f t="shared" si="33"/>
        <v>11.2176569447848</v>
      </c>
      <c r="M501" s="791">
        <f t="shared" si="34"/>
        <v>0</v>
      </c>
      <c r="N501" s="792">
        <f t="shared" si="29"/>
        <v>0</v>
      </c>
      <c r="O501" s="675">
        <f t="shared" si="30"/>
        <v>116.504545454545</v>
      </c>
    </row>
    <row r="502" s="541" customFormat="1" spans="1:15">
      <c r="A502" s="751">
        <v>45250</v>
      </c>
      <c r="B502" s="752">
        <v>1274.69</v>
      </c>
      <c r="C502" s="753">
        <v>80741</v>
      </c>
      <c r="D502" s="754">
        <v>1132</v>
      </c>
      <c r="E502" s="755">
        <v>0</v>
      </c>
      <c r="F502" s="756">
        <v>0</v>
      </c>
      <c r="G502" s="755">
        <v>9</v>
      </c>
      <c r="H502" s="755">
        <v>1</v>
      </c>
      <c r="I502" s="755">
        <v>1</v>
      </c>
      <c r="J502" s="757">
        <f t="shared" si="31"/>
        <v>0.0140201384674453</v>
      </c>
      <c r="K502" s="758">
        <f t="shared" si="32"/>
        <v>1.12605123674912</v>
      </c>
      <c r="L502" s="759">
        <f t="shared" si="33"/>
        <v>15.7873942606606</v>
      </c>
      <c r="M502" s="772">
        <f t="shared" si="34"/>
        <v>0</v>
      </c>
      <c r="N502" s="773">
        <f t="shared" si="29"/>
        <v>0</v>
      </c>
      <c r="O502" s="675">
        <f t="shared" si="30"/>
        <v>127.469</v>
      </c>
    </row>
    <row r="503" s="541" customFormat="1" spans="1:15">
      <c r="A503" s="751">
        <v>45251</v>
      </c>
      <c r="B503" s="793">
        <v>1274.59</v>
      </c>
      <c r="C503" s="794">
        <v>64413</v>
      </c>
      <c r="D503" s="795">
        <v>1105</v>
      </c>
      <c r="E503" s="779">
        <v>0</v>
      </c>
      <c r="F503" s="780">
        <v>0</v>
      </c>
      <c r="G503" s="779">
        <v>6</v>
      </c>
      <c r="H503" s="779">
        <v>0</v>
      </c>
      <c r="I503" s="796">
        <v>0</v>
      </c>
      <c r="J503" s="757">
        <f t="shared" si="31"/>
        <v>0.0171549221430457</v>
      </c>
      <c r="K503" s="758">
        <f t="shared" si="32"/>
        <v>1.15347511312217</v>
      </c>
      <c r="L503" s="759">
        <f t="shared" si="33"/>
        <v>19.7877757595516</v>
      </c>
      <c r="M503" s="772">
        <f t="shared" ref="M503:M512" si="35">F503/B503</f>
        <v>0</v>
      </c>
      <c r="N503" s="773">
        <f t="shared" si="29"/>
        <v>0</v>
      </c>
      <c r="O503" s="675">
        <f t="shared" si="30"/>
        <v>212.431666666667</v>
      </c>
    </row>
    <row r="504" s="541" customFormat="1" spans="1:15">
      <c r="A504" s="751">
        <v>45252</v>
      </c>
      <c r="B504" s="797">
        <v>1259.54</v>
      </c>
      <c r="C504" s="782">
        <v>43992</v>
      </c>
      <c r="D504" s="782">
        <v>1039</v>
      </c>
      <c r="E504" s="755">
        <v>1</v>
      </c>
      <c r="F504" s="756">
        <v>16269</v>
      </c>
      <c r="G504" s="755">
        <v>4</v>
      </c>
      <c r="H504" s="755">
        <v>0</v>
      </c>
      <c r="I504" s="755">
        <v>0</v>
      </c>
      <c r="J504" s="757">
        <f t="shared" si="31"/>
        <v>0.0236179305328241</v>
      </c>
      <c r="K504" s="758">
        <f t="shared" si="32"/>
        <v>1.21226179018287</v>
      </c>
      <c r="L504" s="759">
        <f t="shared" si="33"/>
        <v>28.631114748136</v>
      </c>
      <c r="M504" s="772">
        <f t="shared" si="35"/>
        <v>12.9166203534624</v>
      </c>
      <c r="N504" s="773">
        <f t="shared" si="29"/>
        <v>0.000962463907603465</v>
      </c>
      <c r="O504" s="675">
        <f t="shared" si="30"/>
        <v>314.885</v>
      </c>
    </row>
    <row r="505" s="541" customFormat="1" spans="1:15">
      <c r="A505" s="751">
        <v>45253</v>
      </c>
      <c r="B505" s="785">
        <v>1275.28</v>
      </c>
      <c r="C505" s="782">
        <v>48274</v>
      </c>
      <c r="D505" s="782">
        <v>1086</v>
      </c>
      <c r="E505" s="755">
        <v>0</v>
      </c>
      <c r="F505" s="756">
        <v>0</v>
      </c>
      <c r="G505" s="755">
        <v>4</v>
      </c>
      <c r="H505" s="755">
        <v>3</v>
      </c>
      <c r="I505" s="755">
        <v>0</v>
      </c>
      <c r="J505" s="757">
        <f t="shared" si="31"/>
        <v>0.0224965820110204</v>
      </c>
      <c r="K505" s="758">
        <f t="shared" si="32"/>
        <v>1.17429097605893</v>
      </c>
      <c r="L505" s="759">
        <f t="shared" si="33"/>
        <v>26.417533247711</v>
      </c>
      <c r="M505" s="772">
        <f t="shared" si="35"/>
        <v>0</v>
      </c>
      <c r="N505" s="773">
        <f t="shared" si="29"/>
        <v>0</v>
      </c>
      <c r="O505" s="675">
        <f t="shared" si="30"/>
        <v>182.182857142857</v>
      </c>
    </row>
    <row r="506" s="541" customFormat="1" spans="1:15">
      <c r="A506" s="751">
        <v>45254</v>
      </c>
      <c r="B506" s="798">
        <v>1287.33</v>
      </c>
      <c r="C506" s="799">
        <v>40651</v>
      </c>
      <c r="D506" s="799">
        <v>1199</v>
      </c>
      <c r="E506" s="779">
        <v>0</v>
      </c>
      <c r="F506" s="780">
        <v>0</v>
      </c>
      <c r="G506" s="779">
        <v>6</v>
      </c>
      <c r="H506" s="779">
        <v>4</v>
      </c>
      <c r="I506" s="779">
        <v>0</v>
      </c>
      <c r="J506" s="757">
        <f t="shared" si="31"/>
        <v>0.0294949693734471</v>
      </c>
      <c r="K506" s="758">
        <f t="shared" si="32"/>
        <v>1.07366972477064</v>
      </c>
      <c r="L506" s="759">
        <f t="shared" si="33"/>
        <v>31.6678556493075</v>
      </c>
      <c r="M506" s="772">
        <f t="shared" si="35"/>
        <v>0</v>
      </c>
      <c r="N506" s="773">
        <f t="shared" si="29"/>
        <v>0</v>
      </c>
      <c r="O506" s="675">
        <f t="shared" si="30"/>
        <v>128.733</v>
      </c>
    </row>
    <row r="507" s="541" customFormat="1" spans="1:15">
      <c r="A507" s="751">
        <v>45255</v>
      </c>
      <c r="B507" s="800">
        <v>1276.98</v>
      </c>
      <c r="C507" s="753">
        <v>47204</v>
      </c>
      <c r="D507" s="754">
        <v>1209</v>
      </c>
      <c r="E507" s="755">
        <v>0</v>
      </c>
      <c r="F507" s="756">
        <v>0</v>
      </c>
      <c r="G507" s="755">
        <v>15</v>
      </c>
      <c r="H507" s="755">
        <v>0</v>
      </c>
      <c r="I507" s="755">
        <v>0</v>
      </c>
      <c r="J507" s="757">
        <f t="shared" si="31"/>
        <v>0.0256122362511652</v>
      </c>
      <c r="K507" s="758">
        <f t="shared" si="32"/>
        <v>1.05622828784119</v>
      </c>
      <c r="L507" s="759">
        <f t="shared" si="33"/>
        <v>27.0523684433523</v>
      </c>
      <c r="M507" s="772">
        <f t="shared" si="35"/>
        <v>0</v>
      </c>
      <c r="N507" s="773">
        <f t="shared" si="29"/>
        <v>0</v>
      </c>
      <c r="O507" s="675">
        <f t="shared" si="30"/>
        <v>85.132</v>
      </c>
    </row>
    <row r="508" s="541" customFormat="1" spans="1:15">
      <c r="A508" s="751">
        <v>45256</v>
      </c>
      <c r="B508" s="800">
        <v>1280.68</v>
      </c>
      <c r="C508" s="753">
        <v>45527</v>
      </c>
      <c r="D508" s="754">
        <v>1220</v>
      </c>
      <c r="E508" s="755">
        <v>0</v>
      </c>
      <c r="F508" s="756">
        <v>0</v>
      </c>
      <c r="G508" s="755">
        <v>8</v>
      </c>
      <c r="H508" s="755">
        <v>2</v>
      </c>
      <c r="I508" s="755">
        <v>0</v>
      </c>
      <c r="J508" s="757">
        <f t="shared" si="31"/>
        <v>0.0267972851275068</v>
      </c>
      <c r="K508" s="758">
        <f t="shared" si="32"/>
        <v>1.04973770491803</v>
      </c>
      <c r="L508" s="759">
        <f t="shared" si="33"/>
        <v>28.1301205877831</v>
      </c>
      <c r="M508" s="772">
        <f t="shared" si="35"/>
        <v>0</v>
      </c>
      <c r="N508" s="773">
        <f t="shared" si="29"/>
        <v>0</v>
      </c>
      <c r="O508" s="675">
        <f t="shared" si="30"/>
        <v>128.068</v>
      </c>
    </row>
    <row r="509" s="541" customFormat="1" spans="1:15">
      <c r="A509" s="751">
        <v>45257</v>
      </c>
      <c r="B509" s="752">
        <v>1278.71</v>
      </c>
      <c r="C509" s="753">
        <v>55526</v>
      </c>
      <c r="D509" s="754">
        <v>1262</v>
      </c>
      <c r="E509" s="755">
        <v>0</v>
      </c>
      <c r="F509" s="756">
        <v>0</v>
      </c>
      <c r="G509" s="755">
        <v>6</v>
      </c>
      <c r="H509" s="755">
        <v>1</v>
      </c>
      <c r="I509" s="755">
        <v>1</v>
      </c>
      <c r="J509" s="757">
        <f t="shared" si="31"/>
        <v>0.0227280913445953</v>
      </c>
      <c r="K509" s="758">
        <f t="shared" si="32"/>
        <v>1.01324088748019</v>
      </c>
      <c r="L509" s="759">
        <f t="shared" si="33"/>
        <v>23.0290314447286</v>
      </c>
      <c r="M509" s="772">
        <f t="shared" si="35"/>
        <v>0</v>
      </c>
      <c r="N509" s="773">
        <f t="shared" si="29"/>
        <v>0</v>
      </c>
      <c r="O509" s="675">
        <f t="shared" si="30"/>
        <v>182.672857142857</v>
      </c>
    </row>
    <row r="510" s="541" customFormat="1" spans="1:15">
      <c r="A510" s="751">
        <v>45258</v>
      </c>
      <c r="B510" s="783">
        <v>1563.42</v>
      </c>
      <c r="C510" s="784">
        <v>66257</v>
      </c>
      <c r="D510" s="784">
        <v>1391</v>
      </c>
      <c r="E510" s="755">
        <v>0</v>
      </c>
      <c r="F510" s="756">
        <v>0</v>
      </c>
      <c r="G510" s="755">
        <v>13</v>
      </c>
      <c r="H510" s="755">
        <v>4</v>
      </c>
      <c r="I510" s="755">
        <v>2</v>
      </c>
      <c r="J510" s="757">
        <f t="shared" si="31"/>
        <v>0.0209940081802677</v>
      </c>
      <c r="K510" s="758">
        <f t="shared" si="32"/>
        <v>1.1239539899353</v>
      </c>
      <c r="L510" s="759">
        <f t="shared" si="33"/>
        <v>23.5962992589462</v>
      </c>
      <c r="M510" s="772">
        <f t="shared" si="35"/>
        <v>0</v>
      </c>
      <c r="N510" s="773">
        <f>E510/D510</f>
        <v>0</v>
      </c>
      <c r="O510" s="675">
        <f t="shared" si="30"/>
        <v>91.9658823529412</v>
      </c>
    </row>
    <row r="511" s="541" customFormat="1" spans="1:15">
      <c r="A511" s="751">
        <v>45259</v>
      </c>
      <c r="B511" s="752">
        <v>1561.9</v>
      </c>
      <c r="C511" s="753">
        <v>128965</v>
      </c>
      <c r="D511" s="755">
        <v>1759</v>
      </c>
      <c r="E511" s="755">
        <v>0</v>
      </c>
      <c r="F511" s="756">
        <v>0</v>
      </c>
      <c r="G511" s="755">
        <v>15</v>
      </c>
      <c r="H511" s="755">
        <v>15</v>
      </c>
      <c r="I511" s="755">
        <v>2</v>
      </c>
      <c r="J511" s="757">
        <f t="shared" si="31"/>
        <v>0.0136393595161478</v>
      </c>
      <c r="K511" s="758">
        <f t="shared" si="32"/>
        <v>0.887947697555429</v>
      </c>
      <c r="L511" s="759">
        <f t="shared" si="33"/>
        <v>12.1110378784942</v>
      </c>
      <c r="M511" s="772">
        <f t="shared" si="35"/>
        <v>0</v>
      </c>
      <c r="N511" s="773">
        <f>E511/D511</f>
        <v>0</v>
      </c>
      <c r="O511" s="675">
        <f t="shared" si="30"/>
        <v>52.0633333333333</v>
      </c>
    </row>
    <row r="512" s="541" customFormat="1" spans="1:15">
      <c r="A512" s="751">
        <v>45260</v>
      </c>
      <c r="B512" s="800">
        <v>1560.51</v>
      </c>
      <c r="C512" s="753">
        <v>121320</v>
      </c>
      <c r="D512" s="755">
        <v>1824</v>
      </c>
      <c r="E512" s="755">
        <v>0</v>
      </c>
      <c r="F512" s="756">
        <v>0</v>
      </c>
      <c r="G512" s="755">
        <v>15</v>
      </c>
      <c r="H512" s="755">
        <v>13</v>
      </c>
      <c r="I512" s="755">
        <v>2</v>
      </c>
      <c r="J512" s="757">
        <f t="shared" si="31"/>
        <v>0.0150346191889219</v>
      </c>
      <c r="K512" s="758">
        <f t="shared" si="32"/>
        <v>0.855542763157895</v>
      </c>
      <c r="L512" s="759">
        <f t="shared" si="33"/>
        <v>12.8627596439169</v>
      </c>
      <c r="M512" s="772">
        <f t="shared" si="35"/>
        <v>0</v>
      </c>
      <c r="N512" s="773">
        <f>E512/D512</f>
        <v>0</v>
      </c>
      <c r="O512" s="675">
        <f t="shared" si="30"/>
        <v>55.7325</v>
      </c>
    </row>
    <row r="513" spans="1:15">
      <c r="A513" s="801">
        <v>45261</v>
      </c>
      <c r="B513" s="802">
        <v>2142.51</v>
      </c>
      <c r="C513" s="803">
        <v>208159</v>
      </c>
      <c r="D513" s="804">
        <v>2431</v>
      </c>
      <c r="E513" s="804">
        <v>0</v>
      </c>
      <c r="F513" s="805">
        <v>0</v>
      </c>
      <c r="G513" s="804">
        <v>13</v>
      </c>
      <c r="H513" s="804">
        <v>25</v>
      </c>
      <c r="I513" s="806">
        <v>1</v>
      </c>
      <c r="J513" s="807">
        <f t="shared" ref="J513:J544" si="36">D513/C513</f>
        <v>0.0116785726295764</v>
      </c>
      <c r="K513" s="808">
        <f t="shared" ref="K513:K544" si="37">B513/D513</f>
        <v>0.881328671328671</v>
      </c>
      <c r="L513" s="809">
        <f t="shared" ref="L513:L544" si="38">B513/C513*1000</f>
        <v>10.29266089864</v>
      </c>
      <c r="M513" s="810">
        <f t="shared" ref="M513:M544" si="39">F513/B513</f>
        <v>0</v>
      </c>
      <c r="N513" s="811">
        <f t="shared" ref="N513:N544" si="40">E513/D513</f>
        <v>0</v>
      </c>
      <c r="O513" s="675">
        <f t="shared" si="30"/>
        <v>56.3818421052632</v>
      </c>
    </row>
    <row r="514" spans="1:15">
      <c r="A514" s="801">
        <v>45262</v>
      </c>
      <c r="B514" s="812">
        <v>3450.74</v>
      </c>
      <c r="C514" s="813">
        <v>286950</v>
      </c>
      <c r="D514" s="814">
        <v>4020</v>
      </c>
      <c r="E514" s="814">
        <v>0</v>
      </c>
      <c r="F514" s="815">
        <v>0</v>
      </c>
      <c r="G514" s="814">
        <v>28</v>
      </c>
      <c r="H514" s="814">
        <v>24</v>
      </c>
      <c r="I514" s="816">
        <v>7</v>
      </c>
      <c r="J514" s="807">
        <f t="shared" si="36"/>
        <v>0.0140094093047569</v>
      </c>
      <c r="K514" s="808">
        <f t="shared" si="37"/>
        <v>0.858393034825871</v>
      </c>
      <c r="L514" s="809">
        <f t="shared" si="38"/>
        <v>12.0255793692281</v>
      </c>
      <c r="M514" s="810">
        <f t="shared" si="39"/>
        <v>0</v>
      </c>
      <c r="N514" s="811">
        <f t="shared" si="40"/>
        <v>0</v>
      </c>
      <c r="O514" s="675">
        <f t="shared" si="30"/>
        <v>66.3603846153846</v>
      </c>
    </row>
    <row r="515" spans="1:15">
      <c r="A515" s="801">
        <v>45263</v>
      </c>
      <c r="B515" s="812">
        <v>4477.45</v>
      </c>
      <c r="C515" s="813">
        <v>476133</v>
      </c>
      <c r="D515" s="814">
        <v>5957</v>
      </c>
      <c r="E515" s="814">
        <v>0</v>
      </c>
      <c r="F515" s="815">
        <v>0</v>
      </c>
      <c r="G515" s="814">
        <v>23</v>
      </c>
      <c r="H515" s="814">
        <v>33</v>
      </c>
      <c r="I515" s="816">
        <v>4</v>
      </c>
      <c r="J515" s="807">
        <f t="shared" si="36"/>
        <v>0.0125112101030594</v>
      </c>
      <c r="K515" s="808">
        <f t="shared" si="37"/>
        <v>0.751628336410945</v>
      </c>
      <c r="L515" s="809">
        <f t="shared" si="38"/>
        <v>9.40378003625037</v>
      </c>
      <c r="M515" s="810">
        <f t="shared" si="39"/>
        <v>0</v>
      </c>
      <c r="N515" s="811">
        <f t="shared" si="40"/>
        <v>0</v>
      </c>
      <c r="O515" s="675">
        <f t="shared" si="30"/>
        <v>79.9544642857143</v>
      </c>
    </row>
    <row r="516" spans="1:15">
      <c r="A516" s="801">
        <v>45264</v>
      </c>
      <c r="B516" s="812">
        <v>2031.54</v>
      </c>
      <c r="C516" s="813">
        <v>242645</v>
      </c>
      <c r="D516" s="814">
        <v>2544</v>
      </c>
      <c r="E516" s="814">
        <v>0</v>
      </c>
      <c r="F516" s="815">
        <v>0</v>
      </c>
      <c r="G516" s="814">
        <v>14</v>
      </c>
      <c r="H516" s="814">
        <v>15</v>
      </c>
      <c r="I516" s="816">
        <v>2</v>
      </c>
      <c r="J516" s="807">
        <f t="shared" si="36"/>
        <v>0.0104844525953554</v>
      </c>
      <c r="K516" s="808">
        <f t="shared" si="37"/>
        <v>0.798561320754717</v>
      </c>
      <c r="L516" s="809">
        <f t="shared" si="38"/>
        <v>8.37247831193719</v>
      </c>
      <c r="M516" s="810">
        <f t="shared" si="39"/>
        <v>0</v>
      </c>
      <c r="N516" s="811">
        <f t="shared" si="40"/>
        <v>0</v>
      </c>
      <c r="O516" s="675">
        <f t="shared" si="30"/>
        <v>70.0531034482759</v>
      </c>
    </row>
    <row r="517" spans="1:15">
      <c r="A517" s="801">
        <v>45265</v>
      </c>
      <c r="B517" s="812">
        <v>1770.97</v>
      </c>
      <c r="C517" s="813">
        <v>195342</v>
      </c>
      <c r="D517" s="814">
        <v>2545</v>
      </c>
      <c r="E517" s="814">
        <v>0</v>
      </c>
      <c r="F517" s="815">
        <v>0</v>
      </c>
      <c r="G517" s="814">
        <v>13</v>
      </c>
      <c r="H517" s="814">
        <v>9</v>
      </c>
      <c r="I517" s="816">
        <v>3</v>
      </c>
      <c r="J517" s="807">
        <f t="shared" si="36"/>
        <v>0.0130284321856027</v>
      </c>
      <c r="K517" s="808">
        <f t="shared" si="37"/>
        <v>0.695862475442043</v>
      </c>
      <c r="L517" s="809">
        <f t="shared" si="38"/>
        <v>9.06599707180228</v>
      </c>
      <c r="M517" s="810">
        <f t="shared" si="39"/>
        <v>0</v>
      </c>
      <c r="N517" s="811">
        <f t="shared" si="40"/>
        <v>0</v>
      </c>
      <c r="O517" s="675">
        <f t="shared" si="30"/>
        <v>80.4986363636364</v>
      </c>
    </row>
    <row r="518" spans="1:15">
      <c r="A518" s="801">
        <v>45266</v>
      </c>
      <c r="B518" s="812">
        <v>1390.72</v>
      </c>
      <c r="C518" s="813">
        <v>189602</v>
      </c>
      <c r="D518" s="814">
        <v>1604</v>
      </c>
      <c r="E518" s="814">
        <v>0</v>
      </c>
      <c r="F518" s="815">
        <v>0</v>
      </c>
      <c r="G518" s="814">
        <v>12</v>
      </c>
      <c r="H518" s="814">
        <v>15</v>
      </c>
      <c r="I518" s="816">
        <v>4</v>
      </c>
      <c r="J518" s="807">
        <f t="shared" si="36"/>
        <v>0.00845982637313952</v>
      </c>
      <c r="K518" s="808">
        <f t="shared" si="37"/>
        <v>0.867032418952619</v>
      </c>
      <c r="L518" s="809">
        <f t="shared" si="38"/>
        <v>7.33494372422232</v>
      </c>
      <c r="M518" s="810">
        <f t="shared" si="39"/>
        <v>0</v>
      </c>
      <c r="N518" s="811">
        <f t="shared" si="40"/>
        <v>0</v>
      </c>
      <c r="O518" s="675">
        <f t="shared" ref="O518:O581" si="41">B518/(G518+H518)</f>
        <v>51.5081481481482</v>
      </c>
    </row>
    <row r="519" spans="1:15">
      <c r="A519" s="801">
        <v>45267</v>
      </c>
      <c r="B519" s="812">
        <v>1338.59</v>
      </c>
      <c r="C519" s="813">
        <v>171791</v>
      </c>
      <c r="D519" s="814">
        <v>1946</v>
      </c>
      <c r="E519" s="814">
        <v>4</v>
      </c>
      <c r="F519" s="815">
        <v>9400</v>
      </c>
      <c r="G519" s="814">
        <v>26</v>
      </c>
      <c r="H519" s="814">
        <v>8</v>
      </c>
      <c r="I519" s="816">
        <v>3</v>
      </c>
      <c r="J519" s="807">
        <f t="shared" si="36"/>
        <v>0.0113277179828978</v>
      </c>
      <c r="K519" s="808">
        <f t="shared" si="37"/>
        <v>0.687867420349435</v>
      </c>
      <c r="L519" s="809">
        <f t="shared" si="38"/>
        <v>7.79196814734183</v>
      </c>
      <c r="M519" s="810">
        <f t="shared" si="39"/>
        <v>7.02231452498525</v>
      </c>
      <c r="N519" s="811">
        <f t="shared" si="40"/>
        <v>0.00205549845837616</v>
      </c>
      <c r="O519" s="675">
        <f t="shared" si="41"/>
        <v>39.3702941176471</v>
      </c>
    </row>
    <row r="520" spans="1:15">
      <c r="A520" s="801">
        <v>45268</v>
      </c>
      <c r="B520" s="812">
        <v>2431.91</v>
      </c>
      <c r="C520" s="813">
        <v>237366</v>
      </c>
      <c r="D520" s="814">
        <v>1732</v>
      </c>
      <c r="E520" s="814">
        <v>2</v>
      </c>
      <c r="F520" s="815">
        <v>40486</v>
      </c>
      <c r="G520" s="814">
        <v>39</v>
      </c>
      <c r="H520" s="814">
        <v>25</v>
      </c>
      <c r="I520" s="816">
        <v>4</v>
      </c>
      <c r="J520" s="807">
        <f t="shared" si="36"/>
        <v>0.00729674848124837</v>
      </c>
      <c r="K520" s="808">
        <f t="shared" si="37"/>
        <v>1.40410508083141</v>
      </c>
      <c r="L520" s="809">
        <f t="shared" si="38"/>
        <v>10.2454016160697</v>
      </c>
      <c r="M520" s="810">
        <f t="shared" si="39"/>
        <v>16.6478200262345</v>
      </c>
      <c r="N520" s="811">
        <f t="shared" si="40"/>
        <v>0.00115473441108545</v>
      </c>
      <c r="O520" s="675">
        <f t="shared" si="41"/>
        <v>37.99859375</v>
      </c>
    </row>
    <row r="521" spans="1:15">
      <c r="A521" s="801">
        <v>45269</v>
      </c>
      <c r="B521" s="812">
        <v>3774.14</v>
      </c>
      <c r="C521" s="813">
        <v>257683</v>
      </c>
      <c r="D521" s="814">
        <v>3267</v>
      </c>
      <c r="E521" s="814">
        <v>0</v>
      </c>
      <c r="F521" s="815">
        <v>0</v>
      </c>
      <c r="G521" s="814">
        <v>9</v>
      </c>
      <c r="H521" s="814">
        <v>21</v>
      </c>
      <c r="I521" s="816">
        <v>2</v>
      </c>
      <c r="J521" s="807">
        <f t="shared" si="36"/>
        <v>0.012678368382858</v>
      </c>
      <c r="K521" s="808">
        <f t="shared" si="37"/>
        <v>1.15523109886746</v>
      </c>
      <c r="L521" s="809">
        <f t="shared" si="38"/>
        <v>14.6464454387755</v>
      </c>
      <c r="M521" s="810">
        <f t="shared" si="39"/>
        <v>0</v>
      </c>
      <c r="N521" s="811">
        <f t="shared" si="40"/>
        <v>0</v>
      </c>
      <c r="O521" s="675">
        <f t="shared" si="41"/>
        <v>125.804666666667</v>
      </c>
    </row>
    <row r="522" spans="1:15">
      <c r="A522" s="801">
        <v>45270</v>
      </c>
      <c r="B522" s="812">
        <v>4969.68</v>
      </c>
      <c r="C522" s="813">
        <v>203853</v>
      </c>
      <c r="D522" s="814">
        <v>3535</v>
      </c>
      <c r="E522" s="814">
        <v>0</v>
      </c>
      <c r="F522" s="815">
        <v>0</v>
      </c>
      <c r="G522" s="814">
        <v>28</v>
      </c>
      <c r="H522" s="814">
        <v>55</v>
      </c>
      <c r="I522" s="816">
        <v>6</v>
      </c>
      <c r="J522" s="807">
        <f t="shared" si="36"/>
        <v>0.0173409270405635</v>
      </c>
      <c r="K522" s="808">
        <f t="shared" si="37"/>
        <v>1.40585007072136</v>
      </c>
      <c r="L522" s="809">
        <f t="shared" si="38"/>
        <v>24.3787435063502</v>
      </c>
      <c r="M522" s="810">
        <f t="shared" si="39"/>
        <v>0</v>
      </c>
      <c r="N522" s="811">
        <f t="shared" si="40"/>
        <v>0</v>
      </c>
      <c r="O522" s="675">
        <f t="shared" si="41"/>
        <v>59.8756626506024</v>
      </c>
    </row>
    <row r="523" spans="1:15">
      <c r="A523" s="801">
        <v>45271</v>
      </c>
      <c r="B523" s="812">
        <v>5177.08</v>
      </c>
      <c r="C523" s="813">
        <v>193771</v>
      </c>
      <c r="D523" s="814">
        <v>5903</v>
      </c>
      <c r="E523" s="814">
        <v>0</v>
      </c>
      <c r="F523" s="815">
        <v>0</v>
      </c>
      <c r="G523" s="814">
        <v>19</v>
      </c>
      <c r="H523" s="814">
        <v>77</v>
      </c>
      <c r="I523" s="816">
        <v>4</v>
      </c>
      <c r="J523" s="807">
        <f t="shared" si="36"/>
        <v>0.0304637948919085</v>
      </c>
      <c r="K523" s="808">
        <f t="shared" si="37"/>
        <v>0.877025241402677</v>
      </c>
      <c r="L523" s="809">
        <f t="shared" si="38"/>
        <v>26.7175170691177</v>
      </c>
      <c r="M523" s="810">
        <f t="shared" si="39"/>
        <v>0</v>
      </c>
      <c r="N523" s="811">
        <f t="shared" si="40"/>
        <v>0</v>
      </c>
      <c r="O523" s="675">
        <f t="shared" si="41"/>
        <v>53.9279166666667</v>
      </c>
    </row>
    <row r="524" spans="1:15">
      <c r="A524" s="801">
        <v>45272</v>
      </c>
      <c r="B524" s="812">
        <v>8216.16</v>
      </c>
      <c r="C524" s="813">
        <v>370796</v>
      </c>
      <c r="D524" s="814">
        <v>7693</v>
      </c>
      <c r="E524" s="814">
        <v>0</v>
      </c>
      <c r="F524" s="815">
        <v>0</v>
      </c>
      <c r="G524" s="814">
        <v>29</v>
      </c>
      <c r="H524" s="814">
        <v>96</v>
      </c>
      <c r="I524" s="816">
        <v>7</v>
      </c>
      <c r="J524" s="807">
        <f t="shared" si="36"/>
        <v>0.020747257251966</v>
      </c>
      <c r="K524" s="808">
        <f t="shared" si="37"/>
        <v>1.06800467957884</v>
      </c>
      <c r="L524" s="809">
        <f t="shared" si="38"/>
        <v>22.1581678335257</v>
      </c>
      <c r="M524" s="810">
        <f t="shared" si="39"/>
        <v>0</v>
      </c>
      <c r="N524" s="811">
        <f t="shared" si="40"/>
        <v>0</v>
      </c>
      <c r="O524" s="675">
        <f t="shared" si="41"/>
        <v>65.72928</v>
      </c>
    </row>
    <row r="525" spans="1:15">
      <c r="A525" s="801">
        <v>45273</v>
      </c>
      <c r="B525" s="812">
        <v>8331.55</v>
      </c>
      <c r="C525" s="813">
        <v>480247</v>
      </c>
      <c r="D525" s="814">
        <v>10342</v>
      </c>
      <c r="E525" s="814">
        <v>0</v>
      </c>
      <c r="F525" s="815">
        <v>0</v>
      </c>
      <c r="G525" s="814">
        <v>30</v>
      </c>
      <c r="H525" s="814">
        <v>110</v>
      </c>
      <c r="I525" s="816">
        <v>6</v>
      </c>
      <c r="J525" s="807">
        <f t="shared" si="36"/>
        <v>0.0215347519089135</v>
      </c>
      <c r="K525" s="808">
        <f t="shared" si="37"/>
        <v>0.805603364919745</v>
      </c>
      <c r="L525" s="809">
        <f t="shared" si="38"/>
        <v>17.3484686005326</v>
      </c>
      <c r="M525" s="810">
        <f t="shared" si="39"/>
        <v>0</v>
      </c>
      <c r="N525" s="811">
        <f t="shared" si="40"/>
        <v>0</v>
      </c>
      <c r="O525" s="675">
        <f t="shared" si="41"/>
        <v>59.5110714285714</v>
      </c>
    </row>
    <row r="526" spans="1:15">
      <c r="A526" s="801">
        <v>45274</v>
      </c>
      <c r="B526" s="817">
        <v>5103.34</v>
      </c>
      <c r="C526" s="813">
        <v>214535</v>
      </c>
      <c r="D526" s="818">
        <v>8630</v>
      </c>
      <c r="E526" s="818">
        <v>0</v>
      </c>
      <c r="F526" s="819">
        <v>0</v>
      </c>
      <c r="G526" s="814">
        <v>0</v>
      </c>
      <c r="H526" s="814">
        <v>0</v>
      </c>
      <c r="I526" s="814">
        <v>0</v>
      </c>
      <c r="J526" s="807">
        <f t="shared" si="36"/>
        <v>0.0402265364625819</v>
      </c>
      <c r="K526" s="808">
        <f t="shared" si="37"/>
        <v>0.591348783314021</v>
      </c>
      <c r="L526" s="809">
        <f t="shared" si="38"/>
        <v>23.7879133940849</v>
      </c>
      <c r="M526" s="810">
        <f t="shared" si="39"/>
        <v>0</v>
      </c>
      <c r="N526" s="811">
        <f t="shared" si="40"/>
        <v>0</v>
      </c>
      <c r="O526" s="675" t="e">
        <f t="shared" si="41"/>
        <v>#DIV/0!</v>
      </c>
    </row>
    <row r="527" spans="1:15">
      <c r="A527" s="801">
        <v>45275</v>
      </c>
      <c r="B527" s="820">
        <v>5076.99</v>
      </c>
      <c r="C527" s="821">
        <v>300101</v>
      </c>
      <c r="D527" s="821">
        <v>9921</v>
      </c>
      <c r="E527" s="686">
        <v>0</v>
      </c>
      <c r="F527" s="687">
        <v>0</v>
      </c>
      <c r="G527" s="822">
        <v>13</v>
      </c>
      <c r="H527" s="804">
        <v>0</v>
      </c>
      <c r="I527" s="806">
        <v>0</v>
      </c>
      <c r="J527" s="807">
        <f t="shared" si="36"/>
        <v>0.0330588701803726</v>
      </c>
      <c r="K527" s="808">
        <f t="shared" si="37"/>
        <v>0.511741759903236</v>
      </c>
      <c r="L527" s="809">
        <f t="shared" si="38"/>
        <v>16.9176044065165</v>
      </c>
      <c r="M527" s="810">
        <f t="shared" si="39"/>
        <v>0</v>
      </c>
      <c r="N527" s="811">
        <f t="shared" si="40"/>
        <v>0</v>
      </c>
      <c r="O527" s="675">
        <f t="shared" si="41"/>
        <v>390.537692307692</v>
      </c>
    </row>
    <row r="528" spans="1:15">
      <c r="A528" s="801">
        <v>45276</v>
      </c>
      <c r="B528" s="823">
        <v>5083.69</v>
      </c>
      <c r="C528" s="824">
        <v>249751</v>
      </c>
      <c r="D528" s="821">
        <v>9131</v>
      </c>
      <c r="E528" s="686">
        <v>0</v>
      </c>
      <c r="F528" s="687">
        <v>0</v>
      </c>
      <c r="G528" s="825">
        <v>13</v>
      </c>
      <c r="H528" s="814">
        <v>3</v>
      </c>
      <c r="I528" s="816">
        <v>1</v>
      </c>
      <c r="J528" s="807">
        <f t="shared" si="36"/>
        <v>0.0365604141725158</v>
      </c>
      <c r="K528" s="808">
        <f t="shared" si="37"/>
        <v>0.556750629722922</v>
      </c>
      <c r="L528" s="809">
        <f t="shared" si="38"/>
        <v>20.355033613479</v>
      </c>
      <c r="M528" s="810">
        <f t="shared" si="39"/>
        <v>0</v>
      </c>
      <c r="N528" s="811">
        <f t="shared" si="40"/>
        <v>0</v>
      </c>
      <c r="O528" s="675">
        <f t="shared" si="41"/>
        <v>317.730625</v>
      </c>
    </row>
    <row r="529" spans="1:15">
      <c r="A529" s="801">
        <v>45277</v>
      </c>
      <c r="B529" s="823">
        <v>5090.01</v>
      </c>
      <c r="C529" s="824">
        <v>261839</v>
      </c>
      <c r="D529" s="824">
        <v>8093</v>
      </c>
      <c r="E529" s="826">
        <v>0</v>
      </c>
      <c r="F529" s="827">
        <v>0</v>
      </c>
      <c r="G529" s="828">
        <v>7</v>
      </c>
      <c r="H529" s="818">
        <v>2</v>
      </c>
      <c r="I529" s="829">
        <v>1</v>
      </c>
      <c r="J529" s="830">
        <f t="shared" si="36"/>
        <v>0.03090830624926</v>
      </c>
      <c r="K529" s="831">
        <f t="shared" si="37"/>
        <v>0.628939824539726</v>
      </c>
      <c r="L529" s="809">
        <f t="shared" si="38"/>
        <v>19.4394647092297</v>
      </c>
      <c r="M529" s="810">
        <f t="shared" si="39"/>
        <v>0</v>
      </c>
      <c r="N529" s="811">
        <f t="shared" si="40"/>
        <v>0</v>
      </c>
      <c r="O529" s="675">
        <f t="shared" si="41"/>
        <v>565.556666666667</v>
      </c>
    </row>
    <row r="530" spans="1:15">
      <c r="A530" s="801">
        <v>45278</v>
      </c>
      <c r="B530" s="812">
        <v>4040.3</v>
      </c>
      <c r="C530" s="813">
        <v>218062</v>
      </c>
      <c r="D530" s="832">
        <v>6800</v>
      </c>
      <c r="E530" s="814">
        <v>0</v>
      </c>
      <c r="F530" s="815">
        <v>0</v>
      </c>
      <c r="G530" s="814">
        <v>7</v>
      </c>
      <c r="H530" s="814">
        <v>1</v>
      </c>
      <c r="I530" s="814">
        <v>1</v>
      </c>
      <c r="J530" s="807">
        <f t="shared" si="36"/>
        <v>0.0311837917656446</v>
      </c>
      <c r="K530" s="808">
        <f t="shared" si="37"/>
        <v>0.594161764705882</v>
      </c>
      <c r="L530" s="809">
        <f t="shared" si="38"/>
        <v>18.5282167456962</v>
      </c>
      <c r="M530" s="810">
        <f t="shared" si="39"/>
        <v>0</v>
      </c>
      <c r="N530" s="811">
        <f t="shared" si="40"/>
        <v>0</v>
      </c>
      <c r="O530" s="675">
        <f t="shared" si="41"/>
        <v>505.0375</v>
      </c>
    </row>
    <row r="531" spans="1:15">
      <c r="A531" s="801">
        <v>45279</v>
      </c>
      <c r="B531" s="812">
        <v>4107.82</v>
      </c>
      <c r="C531" s="813">
        <v>220974</v>
      </c>
      <c r="D531" s="832">
        <v>6775</v>
      </c>
      <c r="E531" s="814">
        <v>0</v>
      </c>
      <c r="F531" s="815">
        <v>0</v>
      </c>
      <c r="G531" s="814">
        <v>19</v>
      </c>
      <c r="H531" s="814">
        <v>1</v>
      </c>
      <c r="I531" s="814">
        <v>0</v>
      </c>
      <c r="J531" s="807">
        <f t="shared" si="36"/>
        <v>0.0306597156226524</v>
      </c>
      <c r="K531" s="808">
        <f t="shared" si="37"/>
        <v>0.606320295202952</v>
      </c>
      <c r="L531" s="809">
        <f t="shared" si="38"/>
        <v>18.5896078271652</v>
      </c>
      <c r="M531" s="810">
        <f t="shared" si="39"/>
        <v>0</v>
      </c>
      <c r="N531" s="811">
        <f t="shared" si="40"/>
        <v>0</v>
      </c>
      <c r="O531" s="675">
        <f t="shared" si="41"/>
        <v>205.391</v>
      </c>
    </row>
    <row r="532" spans="1:15">
      <c r="A532" s="801">
        <v>45280</v>
      </c>
      <c r="B532" s="802">
        <v>1630.81</v>
      </c>
      <c r="C532" s="803">
        <v>56285</v>
      </c>
      <c r="D532" s="804">
        <v>1699</v>
      </c>
      <c r="E532" s="804">
        <v>0</v>
      </c>
      <c r="F532" s="805">
        <v>0</v>
      </c>
      <c r="G532" s="804">
        <v>6</v>
      </c>
      <c r="H532" s="804">
        <v>0</v>
      </c>
      <c r="I532" s="806">
        <v>0</v>
      </c>
      <c r="J532" s="807">
        <f t="shared" si="36"/>
        <v>0.0301856622545971</v>
      </c>
      <c r="K532" s="808">
        <f t="shared" si="37"/>
        <v>0.959864626250736</v>
      </c>
      <c r="L532" s="809">
        <f t="shared" si="38"/>
        <v>28.9741494181398</v>
      </c>
      <c r="M532" s="810">
        <f t="shared" si="39"/>
        <v>0</v>
      </c>
      <c r="N532" s="811">
        <f t="shared" si="40"/>
        <v>0</v>
      </c>
      <c r="O532" s="675">
        <f t="shared" si="41"/>
        <v>271.801666666667</v>
      </c>
    </row>
    <row r="533" spans="1:15">
      <c r="A533" s="801">
        <v>45281</v>
      </c>
      <c r="B533" s="812">
        <v>1163.46</v>
      </c>
      <c r="C533" s="813">
        <v>44456</v>
      </c>
      <c r="D533" s="814">
        <v>1022</v>
      </c>
      <c r="E533" s="814">
        <v>0</v>
      </c>
      <c r="F533" s="815">
        <v>0</v>
      </c>
      <c r="G533" s="814">
        <v>6</v>
      </c>
      <c r="H533" s="814">
        <v>0</v>
      </c>
      <c r="I533" s="814">
        <v>0</v>
      </c>
      <c r="J533" s="807">
        <f t="shared" si="36"/>
        <v>0.0229890228540579</v>
      </c>
      <c r="K533" s="808">
        <f t="shared" si="37"/>
        <v>1.13841487279843</v>
      </c>
      <c r="L533" s="809">
        <f t="shared" si="38"/>
        <v>26.1710455281627</v>
      </c>
      <c r="M533" s="810">
        <f t="shared" si="39"/>
        <v>0</v>
      </c>
      <c r="N533" s="811">
        <f t="shared" si="40"/>
        <v>0</v>
      </c>
      <c r="O533" s="675">
        <f t="shared" si="41"/>
        <v>193.91</v>
      </c>
    </row>
    <row r="534" spans="1:15">
      <c r="A534" s="801">
        <v>45282</v>
      </c>
      <c r="B534" s="802">
        <v>1179.8</v>
      </c>
      <c r="C534" s="803">
        <v>57610</v>
      </c>
      <c r="D534" s="804">
        <v>1641</v>
      </c>
      <c r="E534" s="804">
        <v>0</v>
      </c>
      <c r="F534" s="805">
        <v>0</v>
      </c>
      <c r="G534" s="804">
        <v>2</v>
      </c>
      <c r="H534" s="804">
        <v>2</v>
      </c>
      <c r="I534" s="806">
        <v>1</v>
      </c>
      <c r="J534" s="807">
        <f t="shared" si="36"/>
        <v>0.028484638083666</v>
      </c>
      <c r="K534" s="808">
        <f t="shared" si="37"/>
        <v>0.718951858622791</v>
      </c>
      <c r="L534" s="809">
        <f t="shared" si="38"/>
        <v>20.4790834924492</v>
      </c>
      <c r="M534" s="810">
        <f t="shared" si="39"/>
        <v>0</v>
      </c>
      <c r="N534" s="811">
        <f t="shared" si="40"/>
        <v>0</v>
      </c>
      <c r="O534" s="675">
        <f t="shared" si="41"/>
        <v>294.95</v>
      </c>
    </row>
    <row r="535" spans="1:15">
      <c r="A535" s="801">
        <v>45283</v>
      </c>
      <c r="B535" s="812">
        <v>1177.29</v>
      </c>
      <c r="C535" s="813">
        <v>53157</v>
      </c>
      <c r="D535" s="814">
        <v>1398</v>
      </c>
      <c r="E535" s="814">
        <v>0</v>
      </c>
      <c r="F535" s="815">
        <v>0</v>
      </c>
      <c r="G535" s="814">
        <v>8</v>
      </c>
      <c r="H535" s="814">
        <v>4</v>
      </c>
      <c r="I535" s="816">
        <v>0</v>
      </c>
      <c r="J535" s="807">
        <f t="shared" si="36"/>
        <v>0.0262994525650432</v>
      </c>
      <c r="K535" s="808">
        <f t="shared" si="37"/>
        <v>0.842124463519313</v>
      </c>
      <c r="L535" s="809">
        <f t="shared" si="38"/>
        <v>22.1474123821886</v>
      </c>
      <c r="M535" s="810">
        <f t="shared" si="39"/>
        <v>0</v>
      </c>
      <c r="N535" s="811">
        <f t="shared" si="40"/>
        <v>0</v>
      </c>
      <c r="O535" s="675">
        <f t="shared" si="41"/>
        <v>98.1075</v>
      </c>
    </row>
    <row r="536" spans="1:15">
      <c r="A536" s="801">
        <v>45284</v>
      </c>
      <c r="B536" s="812">
        <v>1186.03</v>
      </c>
      <c r="C536" s="813">
        <v>50425</v>
      </c>
      <c r="D536" s="814">
        <v>1481</v>
      </c>
      <c r="E536" s="814">
        <v>0</v>
      </c>
      <c r="F536" s="815">
        <v>0</v>
      </c>
      <c r="G536" s="814">
        <v>2</v>
      </c>
      <c r="H536" s="814">
        <v>2</v>
      </c>
      <c r="I536" s="816">
        <v>0</v>
      </c>
      <c r="J536" s="807">
        <f t="shared" si="36"/>
        <v>0.0293703520079326</v>
      </c>
      <c r="K536" s="808">
        <f t="shared" si="37"/>
        <v>0.800830519918974</v>
      </c>
      <c r="L536" s="809">
        <f t="shared" si="38"/>
        <v>23.5206742687159</v>
      </c>
      <c r="M536" s="810">
        <f t="shared" si="39"/>
        <v>0</v>
      </c>
      <c r="N536" s="811">
        <f t="shared" si="40"/>
        <v>0</v>
      </c>
      <c r="O536" s="675">
        <f t="shared" si="41"/>
        <v>296.5075</v>
      </c>
    </row>
    <row r="537" spans="1:15">
      <c r="A537" s="801">
        <v>45285</v>
      </c>
      <c r="B537" s="817">
        <v>1409.24</v>
      </c>
      <c r="C537" s="813">
        <v>55063</v>
      </c>
      <c r="D537" s="814">
        <v>1487</v>
      </c>
      <c r="E537" s="814">
        <v>0</v>
      </c>
      <c r="F537" s="815">
        <v>0</v>
      </c>
      <c r="G537" s="814">
        <v>3</v>
      </c>
      <c r="H537" s="814">
        <v>0</v>
      </c>
      <c r="I537" s="814">
        <v>0</v>
      </c>
      <c r="J537" s="807">
        <f t="shared" si="36"/>
        <v>0.0270054301436536</v>
      </c>
      <c r="K537" s="808">
        <f t="shared" si="37"/>
        <v>0.947706792199059</v>
      </c>
      <c r="L537" s="809">
        <f t="shared" si="38"/>
        <v>25.5932295733977</v>
      </c>
      <c r="M537" s="810">
        <f t="shared" si="39"/>
        <v>0</v>
      </c>
      <c r="N537" s="811">
        <f t="shared" si="40"/>
        <v>0</v>
      </c>
      <c r="O537" s="675">
        <f t="shared" si="41"/>
        <v>469.746666666667</v>
      </c>
    </row>
    <row r="538" spans="1:15">
      <c r="A538" s="801">
        <v>45286</v>
      </c>
      <c r="B538" s="802">
        <v>1358.5</v>
      </c>
      <c r="C538" s="803">
        <v>52715</v>
      </c>
      <c r="D538" s="804">
        <v>1045</v>
      </c>
      <c r="E538" s="804">
        <v>0</v>
      </c>
      <c r="F538" s="805">
        <v>0</v>
      </c>
      <c r="G538" s="804">
        <v>12</v>
      </c>
      <c r="H538" s="804">
        <v>9</v>
      </c>
      <c r="I538" s="806">
        <v>1</v>
      </c>
      <c r="J538" s="807">
        <f t="shared" si="36"/>
        <v>0.0198235796262923</v>
      </c>
      <c r="K538" s="808">
        <f t="shared" si="37"/>
        <v>1.3</v>
      </c>
      <c r="L538" s="809">
        <f t="shared" si="38"/>
        <v>25.77065351418</v>
      </c>
      <c r="M538" s="810">
        <f t="shared" si="39"/>
        <v>0</v>
      </c>
      <c r="N538" s="811">
        <f t="shared" si="40"/>
        <v>0</v>
      </c>
      <c r="O538" s="675">
        <f t="shared" si="41"/>
        <v>64.6904761904762</v>
      </c>
    </row>
    <row r="539" spans="1:15">
      <c r="A539" s="801">
        <v>45287</v>
      </c>
      <c r="B539" s="812">
        <v>1369.39</v>
      </c>
      <c r="C539" s="813">
        <v>93745</v>
      </c>
      <c r="D539" s="814">
        <v>1140</v>
      </c>
      <c r="E539" s="814">
        <v>0</v>
      </c>
      <c r="F539" s="815">
        <v>0</v>
      </c>
      <c r="G539" s="814">
        <v>13</v>
      </c>
      <c r="H539" s="814">
        <v>5</v>
      </c>
      <c r="I539" s="816">
        <v>5</v>
      </c>
      <c r="J539" s="807">
        <f t="shared" si="36"/>
        <v>0.0121606485679236</v>
      </c>
      <c r="K539" s="808">
        <f t="shared" si="37"/>
        <v>1.20121929824561</v>
      </c>
      <c r="L539" s="809">
        <f t="shared" si="38"/>
        <v>14.6076057389727</v>
      </c>
      <c r="M539" s="810">
        <f t="shared" si="39"/>
        <v>0</v>
      </c>
      <c r="N539" s="811">
        <f t="shared" si="40"/>
        <v>0</v>
      </c>
      <c r="O539" s="675">
        <f t="shared" si="41"/>
        <v>76.0772222222222</v>
      </c>
    </row>
    <row r="540" spans="1:15">
      <c r="A540" s="801">
        <v>45288</v>
      </c>
      <c r="B540" s="802">
        <v>1335.16</v>
      </c>
      <c r="C540" s="803">
        <v>70964</v>
      </c>
      <c r="D540" s="804">
        <v>1720</v>
      </c>
      <c r="E540" s="804">
        <v>0</v>
      </c>
      <c r="F540" s="805">
        <v>0</v>
      </c>
      <c r="G540" s="804">
        <v>9</v>
      </c>
      <c r="H540" s="804">
        <v>1</v>
      </c>
      <c r="I540" s="806">
        <v>1</v>
      </c>
      <c r="J540" s="807">
        <f t="shared" si="36"/>
        <v>0.0242376416211037</v>
      </c>
      <c r="K540" s="808">
        <f t="shared" si="37"/>
        <v>0.776255813953488</v>
      </c>
      <c r="L540" s="809">
        <f t="shared" si="38"/>
        <v>18.8146102249028</v>
      </c>
      <c r="M540" s="810">
        <f t="shared" si="39"/>
        <v>0</v>
      </c>
      <c r="N540" s="811">
        <f t="shared" si="40"/>
        <v>0</v>
      </c>
      <c r="O540" s="675">
        <f t="shared" si="41"/>
        <v>133.516</v>
      </c>
    </row>
    <row r="541" spans="1:15">
      <c r="A541" s="801">
        <v>45289</v>
      </c>
      <c r="B541" s="812">
        <v>1363.78</v>
      </c>
      <c r="C541" s="813">
        <v>82597</v>
      </c>
      <c r="D541" s="814">
        <v>1693</v>
      </c>
      <c r="E541" s="814">
        <v>0</v>
      </c>
      <c r="F541" s="815">
        <v>0</v>
      </c>
      <c r="G541" s="814">
        <v>5</v>
      </c>
      <c r="H541" s="814">
        <v>1</v>
      </c>
      <c r="I541" s="814">
        <v>1</v>
      </c>
      <c r="J541" s="807">
        <f t="shared" si="36"/>
        <v>0.0204971124859256</v>
      </c>
      <c r="K541" s="808">
        <f t="shared" si="37"/>
        <v>0.805540460720614</v>
      </c>
      <c r="L541" s="809">
        <f t="shared" si="38"/>
        <v>16.5112534353548</v>
      </c>
      <c r="M541" s="810">
        <f t="shared" si="39"/>
        <v>0</v>
      </c>
      <c r="N541" s="811">
        <f t="shared" si="40"/>
        <v>0</v>
      </c>
      <c r="O541" s="675">
        <f t="shared" si="41"/>
        <v>227.296666666667</v>
      </c>
    </row>
    <row r="542" spans="1:15">
      <c r="A542" s="801">
        <v>45290</v>
      </c>
      <c r="B542" s="812">
        <v>1370.65</v>
      </c>
      <c r="C542" s="813">
        <v>69354</v>
      </c>
      <c r="D542" s="814">
        <v>1934</v>
      </c>
      <c r="E542" s="814">
        <v>0</v>
      </c>
      <c r="F542" s="815">
        <v>0</v>
      </c>
      <c r="G542" s="814">
        <v>10</v>
      </c>
      <c r="H542" s="814">
        <v>0</v>
      </c>
      <c r="I542" s="814">
        <v>0</v>
      </c>
      <c r="J542" s="807">
        <f t="shared" si="36"/>
        <v>0.0278859186204112</v>
      </c>
      <c r="K542" s="808">
        <f t="shared" si="37"/>
        <v>0.708712512926577</v>
      </c>
      <c r="L542" s="809">
        <f t="shared" si="38"/>
        <v>19.7630994607377</v>
      </c>
      <c r="M542" s="810">
        <f t="shared" si="39"/>
        <v>0</v>
      </c>
      <c r="N542" s="811">
        <f t="shared" si="40"/>
        <v>0</v>
      </c>
      <c r="O542" s="675">
        <f t="shared" si="41"/>
        <v>137.065</v>
      </c>
    </row>
    <row r="543" spans="1:15">
      <c r="A543" s="801">
        <v>45291</v>
      </c>
      <c r="B543" s="812">
        <v>1374.65</v>
      </c>
      <c r="C543" s="813">
        <v>42995</v>
      </c>
      <c r="D543" s="814">
        <v>1415</v>
      </c>
      <c r="E543" s="814">
        <v>0</v>
      </c>
      <c r="F543" s="815">
        <v>0</v>
      </c>
      <c r="G543" s="814">
        <v>11</v>
      </c>
      <c r="H543" s="814">
        <v>2</v>
      </c>
      <c r="I543" s="814">
        <v>1</v>
      </c>
      <c r="J543" s="807">
        <f t="shared" si="36"/>
        <v>0.0329108035818118</v>
      </c>
      <c r="K543" s="808">
        <f t="shared" si="37"/>
        <v>0.971484098939929</v>
      </c>
      <c r="L543" s="809">
        <f t="shared" si="38"/>
        <v>31.9723223630655</v>
      </c>
      <c r="M543" s="810">
        <f t="shared" si="39"/>
        <v>0</v>
      </c>
      <c r="N543" s="811">
        <f t="shared" si="40"/>
        <v>0</v>
      </c>
      <c r="O543" s="675">
        <f t="shared" si="41"/>
        <v>105.742307692308</v>
      </c>
    </row>
    <row r="544" spans="1:15">
      <c r="A544" s="801">
        <v>45292</v>
      </c>
      <c r="B544" s="812">
        <v>1372.52</v>
      </c>
      <c r="C544" s="813">
        <v>43855</v>
      </c>
      <c r="D544" s="814">
        <v>1654</v>
      </c>
      <c r="E544" s="814">
        <v>0</v>
      </c>
      <c r="F544" s="815">
        <v>0</v>
      </c>
      <c r="G544" s="814">
        <v>7</v>
      </c>
      <c r="H544" s="814">
        <v>5</v>
      </c>
      <c r="I544" s="814">
        <v>1</v>
      </c>
      <c r="J544" s="807">
        <f t="shared" si="36"/>
        <v>0.037715197810968</v>
      </c>
      <c r="K544" s="808">
        <f t="shared" si="37"/>
        <v>0.829818621523579</v>
      </c>
      <c r="L544" s="809">
        <f t="shared" si="38"/>
        <v>31.2967734579865</v>
      </c>
      <c r="M544" s="810">
        <f t="shared" si="39"/>
        <v>0</v>
      </c>
      <c r="N544" s="811">
        <f t="shared" si="40"/>
        <v>0</v>
      </c>
      <c r="O544" s="675">
        <f t="shared" si="41"/>
        <v>114.376666666667</v>
      </c>
    </row>
    <row r="545" spans="1:15">
      <c r="A545" s="801">
        <v>45293</v>
      </c>
      <c r="B545" s="802">
        <v>1363.09</v>
      </c>
      <c r="C545" s="803">
        <v>77956</v>
      </c>
      <c r="D545" s="833">
        <v>1502</v>
      </c>
      <c r="E545" s="804">
        <v>0</v>
      </c>
      <c r="F545" s="805">
        <v>0</v>
      </c>
      <c r="G545" s="804">
        <v>9</v>
      </c>
      <c r="H545" s="804">
        <v>2</v>
      </c>
      <c r="I545" s="806">
        <v>3</v>
      </c>
      <c r="J545" s="807">
        <f t="shared" ref="J545:J571" si="42">D545/C545</f>
        <v>0.019267278977885</v>
      </c>
      <c r="K545" s="808">
        <f t="shared" ref="K545:K571" si="43">B545/D545</f>
        <v>0.907516644474035</v>
      </c>
      <c r="L545" s="809">
        <f>B545/C545*1000</f>
        <v>17.4853763661553</v>
      </c>
      <c r="M545" s="810">
        <f t="shared" ref="M545:M571" si="44">F545/B545</f>
        <v>0</v>
      </c>
      <c r="N545" s="811">
        <f t="shared" ref="N545:N571" si="45">E545/D545</f>
        <v>0</v>
      </c>
      <c r="O545" s="675">
        <f t="shared" si="41"/>
        <v>123.917272727273</v>
      </c>
    </row>
    <row r="546" spans="1:15">
      <c r="A546" s="801">
        <v>45294</v>
      </c>
      <c r="B546" s="812">
        <v>1360.46</v>
      </c>
      <c r="C546" s="813">
        <v>71435</v>
      </c>
      <c r="D546" s="832">
        <v>1740</v>
      </c>
      <c r="E546" s="814">
        <v>0</v>
      </c>
      <c r="F546" s="815">
        <v>0</v>
      </c>
      <c r="G546" s="814">
        <v>12</v>
      </c>
      <c r="H546" s="814">
        <v>2</v>
      </c>
      <c r="I546" s="814">
        <v>1</v>
      </c>
      <c r="J546" s="807">
        <f t="shared" si="42"/>
        <v>0.0243578077972982</v>
      </c>
      <c r="K546" s="808">
        <f t="shared" si="43"/>
        <v>0.781873563218391</v>
      </c>
      <c r="L546" s="809">
        <f t="shared" ref="L546:L609" si="46">B546/C546*1000</f>
        <v>19.0447259746623</v>
      </c>
      <c r="M546" s="810">
        <f t="shared" si="44"/>
        <v>0</v>
      </c>
      <c r="N546" s="811">
        <f t="shared" si="45"/>
        <v>0</v>
      </c>
      <c r="O546" s="675">
        <f t="shared" si="41"/>
        <v>97.1757142857143</v>
      </c>
    </row>
    <row r="547" spans="1:15">
      <c r="A547" s="801">
        <v>45295</v>
      </c>
      <c r="B547" s="802">
        <v>1362.6</v>
      </c>
      <c r="C547" s="803">
        <v>56741</v>
      </c>
      <c r="D547" s="833">
        <v>1718</v>
      </c>
      <c r="E547" s="804">
        <v>0</v>
      </c>
      <c r="F547" s="805">
        <v>0</v>
      </c>
      <c r="G547" s="804">
        <v>4</v>
      </c>
      <c r="H547" s="804">
        <v>2</v>
      </c>
      <c r="I547" s="806">
        <v>1</v>
      </c>
      <c r="J547" s="807">
        <f t="shared" si="42"/>
        <v>0.0302779295394864</v>
      </c>
      <c r="K547" s="808">
        <f t="shared" si="43"/>
        <v>0.793131548311991</v>
      </c>
      <c r="L547" s="809">
        <f t="shared" si="46"/>
        <v>24.0143811353342</v>
      </c>
      <c r="M547" s="810">
        <f t="shared" si="44"/>
        <v>0</v>
      </c>
      <c r="N547" s="811">
        <f t="shared" si="45"/>
        <v>0</v>
      </c>
      <c r="O547" s="675">
        <f t="shared" si="41"/>
        <v>227.1</v>
      </c>
    </row>
    <row r="548" spans="1:15">
      <c r="A548" s="801">
        <v>45296</v>
      </c>
      <c r="B548" s="812">
        <v>1273.91</v>
      </c>
      <c r="C548" s="813">
        <v>106653</v>
      </c>
      <c r="D548" s="832">
        <v>2624</v>
      </c>
      <c r="E548" s="814">
        <v>0</v>
      </c>
      <c r="F548" s="815">
        <v>0</v>
      </c>
      <c r="G548" s="814">
        <v>14</v>
      </c>
      <c r="H548" s="814">
        <v>2</v>
      </c>
      <c r="I548" s="814">
        <v>0</v>
      </c>
      <c r="J548" s="807">
        <f t="shared" si="42"/>
        <v>0.0246031522788857</v>
      </c>
      <c r="K548" s="808">
        <f t="shared" si="43"/>
        <v>0.485483993902439</v>
      </c>
      <c r="L548" s="809">
        <f t="shared" si="46"/>
        <v>11.9444366309433</v>
      </c>
      <c r="M548" s="810">
        <f t="shared" si="44"/>
        <v>0</v>
      </c>
      <c r="N548" s="811">
        <f t="shared" si="45"/>
        <v>0</v>
      </c>
      <c r="O548" s="675">
        <f t="shared" si="41"/>
        <v>79.619375</v>
      </c>
    </row>
    <row r="549" spans="1:15">
      <c r="A549" s="801">
        <v>45297</v>
      </c>
      <c r="B549" s="812">
        <v>1350.9</v>
      </c>
      <c r="C549" s="813">
        <v>701549</v>
      </c>
      <c r="D549" s="832">
        <v>6591</v>
      </c>
      <c r="E549" s="814">
        <v>0</v>
      </c>
      <c r="F549" s="815">
        <v>0</v>
      </c>
      <c r="G549" s="814">
        <v>21</v>
      </c>
      <c r="H549" s="814">
        <v>3</v>
      </c>
      <c r="I549" s="814">
        <v>0</v>
      </c>
      <c r="J549" s="807">
        <f t="shared" si="42"/>
        <v>0.00939492465957474</v>
      </c>
      <c r="K549" s="808">
        <f t="shared" si="43"/>
        <v>0.204961310878471</v>
      </c>
      <c r="L549" s="809">
        <f t="shared" si="46"/>
        <v>1.92559607383091</v>
      </c>
      <c r="M549" s="810">
        <f t="shared" si="44"/>
        <v>0</v>
      </c>
      <c r="N549" s="811">
        <f t="shared" si="45"/>
        <v>0</v>
      </c>
      <c r="O549" s="675">
        <f t="shared" si="41"/>
        <v>56.2875</v>
      </c>
    </row>
    <row r="550" spans="1:15">
      <c r="A550" s="801">
        <v>45298</v>
      </c>
      <c r="B550" s="812">
        <v>1303.64</v>
      </c>
      <c r="C550" s="813">
        <v>859177</v>
      </c>
      <c r="D550" s="832">
        <v>6289</v>
      </c>
      <c r="E550" s="814">
        <v>0</v>
      </c>
      <c r="F550" s="815">
        <v>0</v>
      </c>
      <c r="G550" s="814">
        <v>24</v>
      </c>
      <c r="H550" s="814">
        <v>4</v>
      </c>
      <c r="I550" s="814">
        <v>3</v>
      </c>
      <c r="J550" s="807">
        <f t="shared" si="42"/>
        <v>0.00731979557180884</v>
      </c>
      <c r="K550" s="808">
        <f t="shared" si="43"/>
        <v>0.207288917156941</v>
      </c>
      <c r="L550" s="809">
        <f t="shared" si="46"/>
        <v>1.51731249789042</v>
      </c>
      <c r="M550" s="810">
        <f t="shared" si="44"/>
        <v>0</v>
      </c>
      <c r="N550" s="811">
        <f t="shared" si="45"/>
        <v>0</v>
      </c>
      <c r="O550" s="675">
        <f t="shared" si="41"/>
        <v>46.5585714285714</v>
      </c>
    </row>
    <row r="551" spans="1:15">
      <c r="A551" s="801">
        <v>45299</v>
      </c>
      <c r="B551" s="817">
        <v>1281.12</v>
      </c>
      <c r="C551" s="813">
        <v>843784</v>
      </c>
      <c r="D551" s="832">
        <v>7945</v>
      </c>
      <c r="E551" s="814">
        <v>0</v>
      </c>
      <c r="F551" s="815">
        <v>0</v>
      </c>
      <c r="G551" s="814">
        <v>7</v>
      </c>
      <c r="H551" s="814">
        <v>5</v>
      </c>
      <c r="I551" s="814">
        <v>3</v>
      </c>
      <c r="J551" s="807">
        <f t="shared" si="42"/>
        <v>0.00941591686972021</v>
      </c>
      <c r="K551" s="808">
        <f t="shared" si="43"/>
        <v>0.161248584015104</v>
      </c>
      <c r="L551" s="809">
        <f t="shared" si="46"/>
        <v>1.51830326244631</v>
      </c>
      <c r="M551" s="810">
        <f t="shared" si="44"/>
        <v>0</v>
      </c>
      <c r="N551" s="811">
        <f t="shared" si="45"/>
        <v>0</v>
      </c>
      <c r="O551" s="675">
        <f t="shared" si="41"/>
        <v>106.76</v>
      </c>
    </row>
    <row r="552" spans="1:15">
      <c r="A552" s="801">
        <v>45300</v>
      </c>
      <c r="B552" s="812">
        <v>1314.95</v>
      </c>
      <c r="C552" s="813">
        <v>952080</v>
      </c>
      <c r="D552" s="832">
        <v>7264</v>
      </c>
      <c r="E552" s="814">
        <v>0</v>
      </c>
      <c r="F552" s="815">
        <v>0</v>
      </c>
      <c r="G552" s="814">
        <v>12</v>
      </c>
      <c r="H552" s="814">
        <v>2</v>
      </c>
      <c r="I552" s="814">
        <v>1</v>
      </c>
      <c r="J552" s="807">
        <f t="shared" si="42"/>
        <v>0.00762961095706243</v>
      </c>
      <c r="K552" s="808">
        <f t="shared" si="43"/>
        <v>0.181022852422907</v>
      </c>
      <c r="L552" s="809">
        <f t="shared" si="46"/>
        <v>1.38113393832451</v>
      </c>
      <c r="M552" s="810">
        <f t="shared" si="44"/>
        <v>0</v>
      </c>
      <c r="N552" s="811">
        <f t="shared" si="45"/>
        <v>0</v>
      </c>
      <c r="O552" s="675">
        <f t="shared" si="41"/>
        <v>93.925</v>
      </c>
    </row>
    <row r="553" spans="1:15">
      <c r="A553" s="801">
        <v>45301</v>
      </c>
      <c r="B553" s="812">
        <v>1311.68</v>
      </c>
      <c r="C553" s="813">
        <v>855370</v>
      </c>
      <c r="D553" s="832">
        <v>7408</v>
      </c>
      <c r="E553" s="814">
        <v>0</v>
      </c>
      <c r="F553" s="815">
        <v>0</v>
      </c>
      <c r="G553" s="814">
        <v>10</v>
      </c>
      <c r="H553" s="814">
        <v>1</v>
      </c>
      <c r="I553" s="814">
        <v>0</v>
      </c>
      <c r="J553" s="807">
        <f t="shared" si="42"/>
        <v>0.00866057963220595</v>
      </c>
      <c r="K553" s="808">
        <f t="shared" si="43"/>
        <v>0.177062634989201</v>
      </c>
      <c r="L553" s="809">
        <f t="shared" si="46"/>
        <v>1.53346505021219</v>
      </c>
      <c r="M553" s="810">
        <f t="shared" si="44"/>
        <v>0</v>
      </c>
      <c r="N553" s="811">
        <f t="shared" si="45"/>
        <v>0</v>
      </c>
      <c r="O553" s="675">
        <f t="shared" si="41"/>
        <v>119.243636363636</v>
      </c>
    </row>
    <row r="554" spans="1:15">
      <c r="A554" s="801">
        <v>45302</v>
      </c>
      <c r="B554" s="812">
        <v>1358.32</v>
      </c>
      <c r="C554" s="813">
        <v>767868</v>
      </c>
      <c r="D554" s="832">
        <v>6795</v>
      </c>
      <c r="E554" s="814">
        <v>0</v>
      </c>
      <c r="F554" s="815">
        <v>0</v>
      </c>
      <c r="G554" s="814">
        <v>13</v>
      </c>
      <c r="H554" s="814">
        <v>7</v>
      </c>
      <c r="I554" s="814">
        <v>0</v>
      </c>
      <c r="J554" s="807">
        <f t="shared" si="42"/>
        <v>0.00884917720233165</v>
      </c>
      <c r="K554" s="808">
        <f t="shared" si="43"/>
        <v>0.199899926416483</v>
      </c>
      <c r="L554" s="809">
        <f t="shared" si="46"/>
        <v>1.76894987159251</v>
      </c>
      <c r="M554" s="810">
        <f t="shared" si="44"/>
        <v>0</v>
      </c>
      <c r="N554" s="811">
        <f t="shared" si="45"/>
        <v>0</v>
      </c>
      <c r="O554" s="675">
        <f t="shared" si="41"/>
        <v>67.916</v>
      </c>
    </row>
    <row r="555" spans="1:15">
      <c r="A555" s="801">
        <v>45303</v>
      </c>
      <c r="B555" s="802">
        <v>1365.64</v>
      </c>
      <c r="C555" s="803">
        <v>1201257</v>
      </c>
      <c r="D555" s="833">
        <v>7974</v>
      </c>
      <c r="E555" s="804">
        <v>0</v>
      </c>
      <c r="F555" s="805">
        <v>0</v>
      </c>
      <c r="G555" s="804">
        <v>5</v>
      </c>
      <c r="H555" s="804">
        <v>3</v>
      </c>
      <c r="I555" s="806">
        <v>0</v>
      </c>
      <c r="J555" s="807">
        <f t="shared" si="42"/>
        <v>0.00663804664613817</v>
      </c>
      <c r="K555" s="808">
        <f t="shared" si="43"/>
        <v>0.171261600200652</v>
      </c>
      <c r="L555" s="809">
        <f t="shared" si="46"/>
        <v>1.13684249082419</v>
      </c>
      <c r="M555" s="810">
        <f t="shared" si="44"/>
        <v>0</v>
      </c>
      <c r="N555" s="811">
        <f t="shared" si="45"/>
        <v>0</v>
      </c>
      <c r="O555" s="675">
        <f t="shared" si="41"/>
        <v>170.705</v>
      </c>
    </row>
    <row r="556" spans="1:15">
      <c r="A556" s="801">
        <v>45304</v>
      </c>
      <c r="B556" s="812">
        <v>1377.47</v>
      </c>
      <c r="C556" s="813">
        <v>1668911</v>
      </c>
      <c r="D556" s="832">
        <v>9331</v>
      </c>
      <c r="E556" s="814">
        <v>0</v>
      </c>
      <c r="F556" s="815">
        <v>0</v>
      </c>
      <c r="G556" s="814">
        <v>7</v>
      </c>
      <c r="H556" s="814">
        <v>2</v>
      </c>
      <c r="I556" s="816">
        <v>1</v>
      </c>
      <c r="J556" s="807">
        <f t="shared" si="42"/>
        <v>0.00559107106370561</v>
      </c>
      <c r="K556" s="808">
        <f t="shared" si="43"/>
        <v>0.147622977172865</v>
      </c>
      <c r="L556" s="809">
        <f t="shared" si="46"/>
        <v>0.825370556009278</v>
      </c>
      <c r="M556" s="810">
        <f t="shared" si="44"/>
        <v>0</v>
      </c>
      <c r="N556" s="811">
        <f t="shared" si="45"/>
        <v>0</v>
      </c>
      <c r="O556" s="675">
        <f t="shared" si="41"/>
        <v>153.052222222222</v>
      </c>
    </row>
    <row r="557" spans="1:15">
      <c r="A557" s="801">
        <v>45305</v>
      </c>
      <c r="B557" s="812">
        <v>1363.39</v>
      </c>
      <c r="C557" s="813">
        <v>1421027</v>
      </c>
      <c r="D557" s="832">
        <v>8865</v>
      </c>
      <c r="E557" s="814">
        <v>0</v>
      </c>
      <c r="F557" s="815">
        <v>0</v>
      </c>
      <c r="G557" s="814">
        <v>9</v>
      </c>
      <c r="H557" s="814">
        <v>4</v>
      </c>
      <c r="I557" s="816">
        <v>1</v>
      </c>
      <c r="J557" s="807">
        <f t="shared" si="42"/>
        <v>0.0062384458564123</v>
      </c>
      <c r="K557" s="808">
        <f t="shared" si="43"/>
        <v>0.153794698251551</v>
      </c>
      <c r="L557" s="809">
        <f t="shared" si="46"/>
        <v>0.959439898045569</v>
      </c>
      <c r="M557" s="810">
        <f t="shared" si="44"/>
        <v>0</v>
      </c>
      <c r="N557" s="811">
        <f t="shared" si="45"/>
        <v>0</v>
      </c>
      <c r="O557" s="675">
        <f t="shared" si="41"/>
        <v>104.876153846154</v>
      </c>
    </row>
    <row r="558" spans="1:15">
      <c r="A558" s="801">
        <v>45306</v>
      </c>
      <c r="B558" s="812">
        <v>1368.59</v>
      </c>
      <c r="C558" s="813">
        <v>1255480</v>
      </c>
      <c r="D558" s="832">
        <v>8278</v>
      </c>
      <c r="E558" s="814">
        <v>0</v>
      </c>
      <c r="F558" s="815">
        <v>0</v>
      </c>
      <c r="G558" s="814">
        <v>2</v>
      </c>
      <c r="H558" s="814">
        <v>1</v>
      </c>
      <c r="I558" s="814">
        <v>2</v>
      </c>
      <c r="J558" s="807">
        <f t="shared" si="42"/>
        <v>0.00659349412177016</v>
      </c>
      <c r="K558" s="808">
        <f t="shared" si="43"/>
        <v>0.165328581783039</v>
      </c>
      <c r="L558" s="809">
        <f t="shared" si="46"/>
        <v>1.09009303214707</v>
      </c>
      <c r="M558" s="810">
        <f t="shared" si="44"/>
        <v>0</v>
      </c>
      <c r="N558" s="811">
        <f t="shared" si="45"/>
        <v>0</v>
      </c>
      <c r="O558" s="675">
        <f t="shared" si="41"/>
        <v>456.196666666667</v>
      </c>
    </row>
    <row r="559" spans="1:15">
      <c r="A559" s="801">
        <v>45307</v>
      </c>
      <c r="B559" s="802">
        <v>1372.73</v>
      </c>
      <c r="C559" s="803">
        <v>1577001</v>
      </c>
      <c r="D559" s="833">
        <v>8615</v>
      </c>
      <c r="E559" s="804">
        <v>0</v>
      </c>
      <c r="F559" s="805">
        <v>0</v>
      </c>
      <c r="G559" s="804">
        <v>5</v>
      </c>
      <c r="H559" s="804">
        <v>6</v>
      </c>
      <c r="I559" s="804">
        <v>3</v>
      </c>
      <c r="J559" s="807">
        <f t="shared" si="42"/>
        <v>0.00546290078446368</v>
      </c>
      <c r="K559" s="808">
        <f t="shared" si="43"/>
        <v>0.159341845618108</v>
      </c>
      <c r="L559" s="809">
        <f t="shared" si="46"/>
        <v>0.870468693425052</v>
      </c>
      <c r="M559" s="810">
        <f t="shared" si="44"/>
        <v>0</v>
      </c>
      <c r="N559" s="811">
        <f t="shared" si="45"/>
        <v>0</v>
      </c>
      <c r="O559" s="675">
        <f t="shared" si="41"/>
        <v>124.793636363636</v>
      </c>
    </row>
    <row r="560" spans="1:15">
      <c r="A560" s="801">
        <v>45308</v>
      </c>
      <c r="B560" s="812">
        <v>1350.5</v>
      </c>
      <c r="C560" s="813">
        <v>1106518</v>
      </c>
      <c r="D560" s="814">
        <v>6807</v>
      </c>
      <c r="E560" s="814">
        <v>0</v>
      </c>
      <c r="F560" s="815">
        <v>0</v>
      </c>
      <c r="G560" s="814">
        <v>5</v>
      </c>
      <c r="H560" s="814">
        <v>2</v>
      </c>
      <c r="I560" s="814">
        <v>0</v>
      </c>
      <c r="J560" s="807">
        <f t="shared" si="42"/>
        <v>0.00615173002156314</v>
      </c>
      <c r="K560" s="808">
        <f t="shared" si="43"/>
        <v>0.198398707213163</v>
      </c>
      <c r="L560" s="809">
        <f t="shared" si="46"/>
        <v>1.22049528340253</v>
      </c>
      <c r="M560" s="810">
        <f t="shared" si="44"/>
        <v>0</v>
      </c>
      <c r="N560" s="811">
        <f t="shared" si="45"/>
        <v>0</v>
      </c>
      <c r="O560" s="675">
        <f t="shared" si="41"/>
        <v>192.928571428571</v>
      </c>
    </row>
    <row r="561" spans="1:17">
      <c r="A561" s="801">
        <v>45309</v>
      </c>
      <c r="B561" s="812">
        <v>1378.55</v>
      </c>
      <c r="C561" s="813">
        <v>1383159</v>
      </c>
      <c r="D561" s="814">
        <v>7675</v>
      </c>
      <c r="E561" s="814">
        <v>0</v>
      </c>
      <c r="F561" s="815">
        <v>0</v>
      </c>
      <c r="G561" s="814">
        <v>5</v>
      </c>
      <c r="H561" s="814">
        <v>2</v>
      </c>
      <c r="I561" s="814">
        <v>1</v>
      </c>
      <c r="J561" s="807">
        <f t="shared" si="42"/>
        <v>0.00554889206519279</v>
      </c>
      <c r="K561" s="808">
        <f t="shared" si="43"/>
        <v>0.179615635179153</v>
      </c>
      <c r="L561" s="809">
        <f t="shared" si="46"/>
        <v>0.996667772830166</v>
      </c>
      <c r="M561" s="810">
        <f t="shared" si="44"/>
        <v>0</v>
      </c>
      <c r="N561" s="811">
        <f t="shared" si="45"/>
        <v>0</v>
      </c>
      <c r="O561" s="675">
        <f t="shared" si="41"/>
        <v>196.935714285714</v>
      </c>
    </row>
    <row r="562" spans="1:17">
      <c r="A562" s="801">
        <v>45310</v>
      </c>
      <c r="B562" s="802">
        <v>1371.95</v>
      </c>
      <c r="C562" s="803">
        <v>1339468</v>
      </c>
      <c r="D562" s="833">
        <v>7759</v>
      </c>
      <c r="E562" s="804">
        <v>0</v>
      </c>
      <c r="F562" s="805">
        <v>0</v>
      </c>
      <c r="G562" s="804">
        <v>2</v>
      </c>
      <c r="H562" s="804">
        <v>7</v>
      </c>
      <c r="I562" s="806">
        <v>2</v>
      </c>
      <c r="J562" s="807">
        <f t="shared" si="42"/>
        <v>0.00579259825542678</v>
      </c>
      <c r="K562" s="808">
        <f t="shared" si="43"/>
        <v>0.176820466554968</v>
      </c>
      <c r="L562" s="809">
        <f t="shared" si="46"/>
        <v>1.02424992609006</v>
      </c>
      <c r="M562" s="810">
        <f t="shared" si="44"/>
        <v>0</v>
      </c>
      <c r="N562" s="811">
        <f t="shared" si="45"/>
        <v>0</v>
      </c>
      <c r="O562" s="675">
        <f t="shared" si="41"/>
        <v>152.438888888889</v>
      </c>
    </row>
    <row r="563" spans="1:17">
      <c r="A563" s="801">
        <v>45311</v>
      </c>
      <c r="B563" s="812">
        <v>1373.96</v>
      </c>
      <c r="C563" s="813">
        <v>1433587</v>
      </c>
      <c r="D563" s="832">
        <v>8971</v>
      </c>
      <c r="E563" s="814">
        <v>0</v>
      </c>
      <c r="F563" s="815">
        <v>0</v>
      </c>
      <c r="G563" s="814">
        <v>17</v>
      </c>
      <c r="H563" s="814">
        <v>8</v>
      </c>
      <c r="I563" s="816">
        <v>0</v>
      </c>
      <c r="J563" s="807">
        <f t="shared" si="42"/>
        <v>0.00625772973666753</v>
      </c>
      <c r="K563" s="808">
        <f t="shared" si="43"/>
        <v>0.153155723999554</v>
      </c>
      <c r="L563" s="809">
        <f t="shared" si="46"/>
        <v>0.958407128412855</v>
      </c>
      <c r="M563" s="810">
        <f t="shared" si="44"/>
        <v>0</v>
      </c>
      <c r="N563" s="811">
        <f t="shared" si="45"/>
        <v>0</v>
      </c>
      <c r="O563" s="675">
        <f t="shared" si="41"/>
        <v>54.9584</v>
      </c>
    </row>
    <row r="564" spans="1:17">
      <c r="A564" s="801">
        <v>45312</v>
      </c>
      <c r="B564" s="812">
        <v>1369.93</v>
      </c>
      <c r="C564" s="813">
        <v>1622832</v>
      </c>
      <c r="D564" s="832">
        <v>9134</v>
      </c>
      <c r="E564" s="814">
        <v>0</v>
      </c>
      <c r="F564" s="815">
        <v>0</v>
      </c>
      <c r="G564" s="814">
        <v>5</v>
      </c>
      <c r="H564" s="814">
        <v>9</v>
      </c>
      <c r="I564" s="816">
        <v>2</v>
      </c>
      <c r="J564" s="807">
        <f t="shared" si="42"/>
        <v>0.0056284322714859</v>
      </c>
      <c r="K564" s="808">
        <f t="shared" si="43"/>
        <v>0.149981388219838</v>
      </c>
      <c r="L564" s="809">
        <f t="shared" si="46"/>
        <v>0.844160085578791</v>
      </c>
      <c r="M564" s="810">
        <f t="shared" si="44"/>
        <v>0</v>
      </c>
      <c r="N564" s="811">
        <f t="shared" si="45"/>
        <v>0</v>
      </c>
      <c r="O564" s="675">
        <f t="shared" si="41"/>
        <v>97.8521428571429</v>
      </c>
    </row>
    <row r="565" spans="1:17">
      <c r="A565" s="801">
        <v>45313</v>
      </c>
      <c r="B565" s="812">
        <v>1365.11</v>
      </c>
      <c r="C565" s="813">
        <v>1484159</v>
      </c>
      <c r="D565" s="832">
        <v>8276</v>
      </c>
      <c r="E565" s="814">
        <v>0</v>
      </c>
      <c r="F565" s="815">
        <v>0</v>
      </c>
      <c r="G565" s="814">
        <v>4</v>
      </c>
      <c r="H565" s="814">
        <v>9</v>
      </c>
      <c r="I565" s="814">
        <v>2</v>
      </c>
      <c r="J565" s="807">
        <f t="shared" si="42"/>
        <v>0.0055762219546558</v>
      </c>
      <c r="K565" s="808">
        <f t="shared" si="43"/>
        <v>0.164948042532624</v>
      </c>
      <c r="L565" s="809">
        <f t="shared" si="46"/>
        <v>0.919786896147919</v>
      </c>
      <c r="M565" s="810">
        <f t="shared" si="44"/>
        <v>0</v>
      </c>
      <c r="N565" s="811">
        <f t="shared" si="45"/>
        <v>0</v>
      </c>
      <c r="O565" s="675">
        <f t="shared" si="41"/>
        <v>105.008461538462</v>
      </c>
    </row>
    <row r="566" spans="1:17">
      <c r="A566" s="801">
        <v>45314</v>
      </c>
      <c r="B566" s="812">
        <v>1076.31</v>
      </c>
      <c r="C566" s="813">
        <v>1505934</v>
      </c>
      <c r="D566" s="832">
        <v>8570</v>
      </c>
      <c r="E566" s="814">
        <v>0</v>
      </c>
      <c r="F566" s="815">
        <v>0</v>
      </c>
      <c r="G566" s="814">
        <v>9</v>
      </c>
      <c r="H566" s="814">
        <v>4</v>
      </c>
      <c r="I566" s="814">
        <v>0</v>
      </c>
      <c r="J566" s="807">
        <f t="shared" si="42"/>
        <v>0.00569082044764246</v>
      </c>
      <c r="K566" s="808">
        <f t="shared" si="43"/>
        <v>0.125590431738623</v>
      </c>
      <c r="L566" s="809">
        <f t="shared" si="46"/>
        <v>0.714712596966401</v>
      </c>
      <c r="M566" s="810">
        <f t="shared" si="44"/>
        <v>0</v>
      </c>
      <c r="N566" s="811">
        <f t="shared" si="45"/>
        <v>0</v>
      </c>
      <c r="O566" s="675">
        <f t="shared" si="41"/>
        <v>82.7930769230769</v>
      </c>
    </row>
    <row r="567" spans="1:17">
      <c r="A567" s="801">
        <v>45315</v>
      </c>
      <c r="B567" s="802">
        <v>1008.92</v>
      </c>
      <c r="C567" s="803">
        <v>1479151</v>
      </c>
      <c r="D567" s="833">
        <v>7714</v>
      </c>
      <c r="E567" s="804">
        <v>0</v>
      </c>
      <c r="F567" s="805">
        <v>0</v>
      </c>
      <c r="G567" s="804">
        <v>5</v>
      </c>
      <c r="H567" s="804">
        <v>9</v>
      </c>
      <c r="I567" s="806">
        <v>0</v>
      </c>
      <c r="J567" s="807">
        <f t="shared" si="42"/>
        <v>0.00521515382810815</v>
      </c>
      <c r="K567" s="808">
        <f t="shared" si="43"/>
        <v>0.13079077002852</v>
      </c>
      <c r="L567" s="809">
        <f t="shared" si="46"/>
        <v>0.682093984995447</v>
      </c>
      <c r="M567" s="810">
        <f t="shared" si="44"/>
        <v>0</v>
      </c>
      <c r="N567" s="811">
        <f t="shared" si="45"/>
        <v>0</v>
      </c>
      <c r="O567" s="675">
        <f t="shared" si="41"/>
        <v>72.0657142857143</v>
      </c>
    </row>
    <row r="568" spans="1:17">
      <c r="A568" s="801">
        <v>45316</v>
      </c>
      <c r="B568" s="812">
        <v>952.7</v>
      </c>
      <c r="C568" s="813">
        <v>1205388</v>
      </c>
      <c r="D568" s="832">
        <v>4522</v>
      </c>
      <c r="E568" s="814">
        <v>0</v>
      </c>
      <c r="F568" s="815">
        <v>0</v>
      </c>
      <c r="G568" s="814">
        <v>8</v>
      </c>
      <c r="H568" s="814">
        <v>10</v>
      </c>
      <c r="I568" s="814">
        <v>2</v>
      </c>
      <c r="J568" s="807">
        <f t="shared" si="42"/>
        <v>0.00375148914706302</v>
      </c>
      <c r="K568" s="808">
        <f t="shared" si="43"/>
        <v>0.210681114551084</v>
      </c>
      <c r="L568" s="809">
        <f t="shared" si="46"/>
        <v>0.790367914729531</v>
      </c>
      <c r="M568" s="810">
        <f t="shared" si="44"/>
        <v>0</v>
      </c>
      <c r="N568" s="811">
        <f t="shared" si="45"/>
        <v>0</v>
      </c>
      <c r="O568" s="675">
        <f t="shared" si="41"/>
        <v>52.9277777777778</v>
      </c>
    </row>
    <row r="569" spans="1:17">
      <c r="A569" s="801">
        <v>45317</v>
      </c>
      <c r="B569" s="812">
        <v>940.46</v>
      </c>
      <c r="C569" s="813">
        <v>1209135</v>
      </c>
      <c r="D569" s="814">
        <v>4738</v>
      </c>
      <c r="E569" s="814">
        <v>0</v>
      </c>
      <c r="F569" s="815">
        <v>0</v>
      </c>
      <c r="G569" s="814">
        <v>14</v>
      </c>
      <c r="H569" s="814">
        <v>9</v>
      </c>
      <c r="I569" s="814">
        <v>3</v>
      </c>
      <c r="J569" s="807">
        <f t="shared" si="42"/>
        <v>0.00391850372373639</v>
      </c>
      <c r="K569" s="808">
        <f t="shared" si="43"/>
        <v>0.19849303503588</v>
      </c>
      <c r="L569" s="809">
        <f t="shared" si="46"/>
        <v>0.777795696923834</v>
      </c>
      <c r="M569" s="810">
        <f t="shared" si="44"/>
        <v>0</v>
      </c>
      <c r="N569" s="811">
        <f t="shared" si="45"/>
        <v>0</v>
      </c>
      <c r="O569" s="675">
        <f t="shared" si="41"/>
        <v>40.8895652173913</v>
      </c>
    </row>
    <row r="570" spans="1:17">
      <c r="A570" s="801">
        <v>45318</v>
      </c>
      <c r="B570" s="812">
        <v>977.11</v>
      </c>
      <c r="C570" s="813">
        <v>869364</v>
      </c>
      <c r="D570" s="814">
        <v>4605</v>
      </c>
      <c r="E570" s="814">
        <v>0</v>
      </c>
      <c r="F570" s="815">
        <v>0</v>
      </c>
      <c r="G570" s="814">
        <v>13</v>
      </c>
      <c r="H570" s="814">
        <v>7</v>
      </c>
      <c r="I570" s="814">
        <v>4</v>
      </c>
      <c r="J570" s="807">
        <f t="shared" si="42"/>
        <v>0.00529697572018165</v>
      </c>
      <c r="K570" s="808">
        <f t="shared" si="43"/>
        <v>0.212184581976113</v>
      </c>
      <c r="L570" s="809">
        <f t="shared" si="46"/>
        <v>1.12393657892436</v>
      </c>
      <c r="M570" s="810">
        <f t="shared" si="44"/>
        <v>0</v>
      </c>
      <c r="N570" s="811">
        <f t="shared" si="45"/>
        <v>0</v>
      </c>
      <c r="O570" s="675">
        <f t="shared" si="41"/>
        <v>48.8555</v>
      </c>
    </row>
    <row r="571" spans="1:17">
      <c r="A571" s="801">
        <v>45319</v>
      </c>
      <c r="B571" s="812">
        <v>943.42</v>
      </c>
      <c r="C571" s="813">
        <v>864139</v>
      </c>
      <c r="D571" s="814">
        <v>4510</v>
      </c>
      <c r="E571" s="814">
        <v>0</v>
      </c>
      <c r="F571" s="815">
        <v>0</v>
      </c>
      <c r="G571" s="814">
        <v>10</v>
      </c>
      <c r="H571" s="814">
        <v>22</v>
      </c>
      <c r="I571" s="814">
        <v>4</v>
      </c>
      <c r="J571" s="807">
        <f t="shared" si="42"/>
        <v>0.00521906776571825</v>
      </c>
      <c r="K571" s="808">
        <f t="shared" si="43"/>
        <v>0.209184035476718</v>
      </c>
      <c r="L571" s="809">
        <f t="shared" si="46"/>
        <v>1.0917456566594</v>
      </c>
      <c r="M571" s="810">
        <f t="shared" si="44"/>
        <v>0</v>
      </c>
      <c r="N571" s="811">
        <f t="shared" si="45"/>
        <v>0</v>
      </c>
      <c r="O571" s="675">
        <f t="shared" si="41"/>
        <v>29.481875</v>
      </c>
    </row>
    <row r="572" spans="1:17">
      <c r="A572" s="801">
        <v>45320</v>
      </c>
      <c r="B572" s="812">
        <v>884.68</v>
      </c>
      <c r="C572" s="813">
        <v>1072908</v>
      </c>
      <c r="D572" s="814">
        <v>3964</v>
      </c>
      <c r="E572" s="814">
        <v>0</v>
      </c>
      <c r="F572" s="815">
        <v>0</v>
      </c>
      <c r="G572" s="814">
        <v>5</v>
      </c>
      <c r="H572" s="814">
        <v>10</v>
      </c>
      <c r="I572" s="814">
        <v>1</v>
      </c>
      <c r="J572" s="807">
        <f t="shared" ref="J572:J581" si="47">D572/C572</f>
        <v>0.00369463178576355</v>
      </c>
      <c r="K572" s="808">
        <f t="shared" ref="K572:K581" si="48">B572/D572</f>
        <v>0.223178607467205</v>
      </c>
      <c r="L572" s="809">
        <f t="shared" si="46"/>
        <v>0.824562777050782</v>
      </c>
      <c r="M572" s="810">
        <f t="shared" ref="M572:M581" si="49">F572/B572</f>
        <v>0</v>
      </c>
      <c r="N572" s="811">
        <f t="shared" ref="N572:N581" si="50">E572/D572</f>
        <v>0</v>
      </c>
      <c r="O572" s="675">
        <f t="shared" si="41"/>
        <v>58.9786666666667</v>
      </c>
    </row>
    <row r="573" spans="1:17">
      <c r="A573" s="801">
        <v>45321</v>
      </c>
      <c r="B573" s="812">
        <v>497.62</v>
      </c>
      <c r="C573" s="813">
        <v>918710</v>
      </c>
      <c r="D573" s="832">
        <v>2731</v>
      </c>
      <c r="E573" s="814">
        <v>0</v>
      </c>
      <c r="F573" s="815">
        <v>0</v>
      </c>
      <c r="G573" s="814">
        <v>7</v>
      </c>
      <c r="H573" s="814">
        <v>3</v>
      </c>
      <c r="I573" s="814">
        <v>1</v>
      </c>
      <c r="J573" s="807">
        <f t="shared" si="47"/>
        <v>0.00297264642814381</v>
      </c>
      <c r="K573" s="808">
        <f t="shared" si="48"/>
        <v>0.182211644086415</v>
      </c>
      <c r="L573" s="809">
        <f t="shared" si="46"/>
        <v>0.541650792959694</v>
      </c>
      <c r="M573" s="810">
        <f t="shared" si="49"/>
        <v>0</v>
      </c>
      <c r="N573" s="811">
        <f t="shared" si="50"/>
        <v>0</v>
      </c>
      <c r="O573" s="675">
        <f t="shared" si="41"/>
        <v>49.762</v>
      </c>
    </row>
    <row r="574" spans="1:17">
      <c r="A574" s="801">
        <v>45322</v>
      </c>
      <c r="B574" s="802">
        <v>596.42</v>
      </c>
      <c r="C574" s="803">
        <v>1141239</v>
      </c>
      <c r="D574" s="833">
        <v>4108</v>
      </c>
      <c r="E574" s="804">
        <v>0</v>
      </c>
      <c r="F574" s="805">
        <v>0</v>
      </c>
      <c r="G574" s="804">
        <v>10</v>
      </c>
      <c r="H574" s="804">
        <v>7</v>
      </c>
      <c r="I574" s="806">
        <v>1</v>
      </c>
      <c r="J574" s="807">
        <f t="shared" si="47"/>
        <v>0.00359959657880602</v>
      </c>
      <c r="K574" s="808">
        <f t="shared" si="48"/>
        <v>0.145185004868549</v>
      </c>
      <c r="L574" s="809">
        <f t="shared" si="46"/>
        <v>0.522607446818764</v>
      </c>
      <c r="M574" s="810">
        <f t="shared" si="49"/>
        <v>0</v>
      </c>
      <c r="N574" s="811">
        <f t="shared" si="50"/>
        <v>0</v>
      </c>
      <c r="O574" s="675">
        <f t="shared" si="41"/>
        <v>35.0835294117647</v>
      </c>
    </row>
    <row r="575" spans="1:17">
      <c r="A575" s="801">
        <v>45323</v>
      </c>
      <c r="B575" s="812">
        <v>593.84</v>
      </c>
      <c r="C575" s="813">
        <v>1773292</v>
      </c>
      <c r="D575" s="832">
        <v>4666</v>
      </c>
      <c r="E575" s="814">
        <v>0</v>
      </c>
      <c r="F575" s="815">
        <v>0</v>
      </c>
      <c r="G575" s="814">
        <v>3</v>
      </c>
      <c r="H575" s="814">
        <v>3</v>
      </c>
      <c r="I575" s="814">
        <v>2</v>
      </c>
      <c r="J575" s="807">
        <f t="shared" si="47"/>
        <v>0.0026312643377402</v>
      </c>
      <c r="K575" s="808">
        <f t="shared" si="48"/>
        <v>0.127269609944278</v>
      </c>
      <c r="L575" s="809">
        <f t="shared" si="46"/>
        <v>0.334879985924484</v>
      </c>
      <c r="M575" s="810">
        <f t="shared" si="49"/>
        <v>0</v>
      </c>
      <c r="N575" s="811">
        <f t="shared" si="50"/>
        <v>0</v>
      </c>
      <c r="O575" s="675">
        <f t="shared" si="41"/>
        <v>98.9733333333333</v>
      </c>
      <c r="P575">
        <f>G575+H575</f>
        <v>6</v>
      </c>
      <c r="Q575" s="834">
        <f>P575/D575</f>
        <v>0.00128589798542649</v>
      </c>
    </row>
    <row r="576" spans="1:17">
      <c r="A576" s="801">
        <v>45324</v>
      </c>
      <c r="B576" s="670">
        <v>596.35</v>
      </c>
      <c r="C576" s="671">
        <v>1811719</v>
      </c>
      <c r="D576" s="38">
        <v>4930</v>
      </c>
      <c r="E576" s="835">
        <v>0</v>
      </c>
      <c r="F576" s="836">
        <v>0</v>
      </c>
      <c r="G576" s="835">
        <v>3</v>
      </c>
      <c r="H576" s="835">
        <v>2</v>
      </c>
      <c r="I576" s="37">
        <v>3</v>
      </c>
      <c r="J576" s="807">
        <f t="shared" si="47"/>
        <v>0.0027211725438658</v>
      </c>
      <c r="K576" s="808">
        <f t="shared" si="48"/>
        <v>0.120963488843813</v>
      </c>
      <c r="L576" s="809">
        <f t="shared" si="46"/>
        <v>0.329162524652002</v>
      </c>
      <c r="M576" s="810">
        <f t="shared" si="49"/>
        <v>0</v>
      </c>
      <c r="N576" s="811">
        <f t="shared" si="50"/>
        <v>0</v>
      </c>
      <c r="O576" s="675">
        <f t="shared" si="41"/>
        <v>119.27</v>
      </c>
      <c r="P576">
        <f t="shared" ref="P576:P607" si="51">G576+H576</f>
        <v>5</v>
      </c>
      <c r="Q576" s="834">
        <f t="shared" ref="Q576:Q607" si="52">P576/D576</f>
        <v>0.00101419878296146</v>
      </c>
    </row>
    <row r="577" spans="1:17">
      <c r="A577" s="801">
        <v>45325</v>
      </c>
      <c r="B577" s="812">
        <v>598.32</v>
      </c>
      <c r="C577" s="813">
        <v>1849135</v>
      </c>
      <c r="D577" s="832">
        <v>5366</v>
      </c>
      <c r="E577" s="814">
        <v>0</v>
      </c>
      <c r="F577" s="815">
        <v>0</v>
      </c>
      <c r="G577" s="814">
        <v>0</v>
      </c>
      <c r="H577" s="814">
        <v>4</v>
      </c>
      <c r="I577" s="814">
        <v>0</v>
      </c>
      <c r="J577" s="807">
        <f t="shared" si="47"/>
        <v>0.00290189737363686</v>
      </c>
      <c r="K577" s="808">
        <f t="shared" si="48"/>
        <v>0.111502049944092</v>
      </c>
      <c r="L577" s="809">
        <f t="shared" si="46"/>
        <v>0.323567505887888</v>
      </c>
      <c r="M577" s="810">
        <f t="shared" si="49"/>
        <v>0</v>
      </c>
      <c r="N577" s="811">
        <f t="shared" si="50"/>
        <v>0</v>
      </c>
      <c r="O577" s="675">
        <f t="shared" si="41"/>
        <v>149.58</v>
      </c>
      <c r="P577">
        <f t="shared" si="51"/>
        <v>4</v>
      </c>
      <c r="Q577" s="834">
        <f t="shared" si="52"/>
        <v>0.000745434215430488</v>
      </c>
    </row>
    <row r="578" spans="1:17">
      <c r="A578" s="801">
        <v>45326</v>
      </c>
      <c r="B578" s="802">
        <v>594.03</v>
      </c>
      <c r="C578" s="803">
        <v>2230514</v>
      </c>
      <c r="D578" s="804">
        <v>5638</v>
      </c>
      <c r="E578" s="804">
        <v>0</v>
      </c>
      <c r="F578" s="805">
        <v>0</v>
      </c>
      <c r="G578" s="804">
        <v>8</v>
      </c>
      <c r="H578" s="804">
        <v>3</v>
      </c>
      <c r="I578" s="806">
        <v>4</v>
      </c>
      <c r="J578" s="807">
        <f t="shared" si="47"/>
        <v>0.00252766851048682</v>
      </c>
      <c r="K578" s="808">
        <f t="shared" si="48"/>
        <v>0.105361830436325</v>
      </c>
      <c r="L578" s="809">
        <f t="shared" si="46"/>
        <v>0.26631978100115</v>
      </c>
      <c r="M578" s="810">
        <f t="shared" si="49"/>
        <v>0</v>
      </c>
      <c r="N578" s="811">
        <f t="shared" si="50"/>
        <v>0</v>
      </c>
      <c r="O578" s="675">
        <f t="shared" si="41"/>
        <v>54.0027272727273</v>
      </c>
      <c r="P578">
        <f t="shared" si="51"/>
        <v>11</v>
      </c>
      <c r="Q578" s="834">
        <f t="shared" si="52"/>
        <v>0.00195104647037957</v>
      </c>
    </row>
    <row r="579" spans="1:17">
      <c r="A579" s="801">
        <v>45327</v>
      </c>
      <c r="B579" s="812">
        <v>596.43</v>
      </c>
      <c r="C579" s="813">
        <v>2372045</v>
      </c>
      <c r="D579" s="814">
        <v>6075</v>
      </c>
      <c r="E579" s="814">
        <v>0</v>
      </c>
      <c r="F579" s="815">
        <v>0</v>
      </c>
      <c r="G579" s="814">
        <v>3</v>
      </c>
      <c r="H579" s="814">
        <v>3</v>
      </c>
      <c r="I579" s="816">
        <v>1</v>
      </c>
      <c r="J579" s="807">
        <f t="shared" si="47"/>
        <v>0.00256108126110592</v>
      </c>
      <c r="K579" s="808">
        <f t="shared" si="48"/>
        <v>0.0981777777777778</v>
      </c>
      <c r="L579" s="809">
        <f t="shared" si="46"/>
        <v>0.251441266923688</v>
      </c>
      <c r="M579" s="810">
        <f t="shared" si="49"/>
        <v>0</v>
      </c>
      <c r="N579" s="811">
        <f t="shared" si="50"/>
        <v>0</v>
      </c>
      <c r="O579" s="675">
        <f t="shared" si="41"/>
        <v>99.405</v>
      </c>
      <c r="P579">
        <f t="shared" si="51"/>
        <v>6</v>
      </c>
      <c r="Q579" s="834">
        <f t="shared" si="52"/>
        <v>0.000987654320987654</v>
      </c>
    </row>
    <row r="580" spans="1:17">
      <c r="A580" s="801">
        <v>45328</v>
      </c>
      <c r="B580" s="802">
        <v>597.01</v>
      </c>
      <c r="C580" s="803">
        <v>2280669</v>
      </c>
      <c r="D580" s="804">
        <v>6696</v>
      </c>
      <c r="E580" s="804">
        <v>0</v>
      </c>
      <c r="F580" s="805">
        <v>0</v>
      </c>
      <c r="G580" s="804">
        <v>3</v>
      </c>
      <c r="H580" s="804">
        <v>6</v>
      </c>
      <c r="I580" s="806">
        <v>0</v>
      </c>
      <c r="J580" s="807">
        <f t="shared" si="47"/>
        <v>0.00293598062673715</v>
      </c>
      <c r="K580" s="808">
        <f t="shared" si="48"/>
        <v>0.0891591995221027</v>
      </c>
      <c r="L580" s="809">
        <f t="shared" si="46"/>
        <v>0.261769682492286</v>
      </c>
      <c r="M580" s="810">
        <f t="shared" si="49"/>
        <v>0</v>
      </c>
      <c r="N580" s="811">
        <f t="shared" si="50"/>
        <v>0</v>
      </c>
      <c r="O580" s="675">
        <f t="shared" si="41"/>
        <v>66.3344444444444</v>
      </c>
      <c r="P580">
        <f t="shared" si="51"/>
        <v>9</v>
      </c>
      <c r="Q580" s="834">
        <f t="shared" si="52"/>
        <v>0.00134408602150538</v>
      </c>
    </row>
    <row r="581" spans="1:17">
      <c r="A581" s="801">
        <v>45329</v>
      </c>
      <c r="B581" s="812">
        <v>587.01</v>
      </c>
      <c r="C581" s="813">
        <v>2361709</v>
      </c>
      <c r="D581" s="814">
        <v>7247</v>
      </c>
      <c r="E581" s="814">
        <v>0</v>
      </c>
      <c r="F581" s="815">
        <v>0</v>
      </c>
      <c r="G581" s="814">
        <v>1</v>
      </c>
      <c r="H581" s="814">
        <v>4</v>
      </c>
      <c r="I581" s="814">
        <v>3</v>
      </c>
      <c r="J581" s="807">
        <f t="shared" si="47"/>
        <v>0.00306854062037279</v>
      </c>
      <c r="K581" s="808">
        <f t="shared" si="48"/>
        <v>0.0810004139643991</v>
      </c>
      <c r="L581" s="809">
        <f t="shared" si="46"/>
        <v>0.24855306051677</v>
      </c>
      <c r="M581" s="810">
        <f t="shared" si="49"/>
        <v>0</v>
      </c>
      <c r="N581" s="811">
        <f t="shared" si="50"/>
        <v>0</v>
      </c>
      <c r="O581" s="675">
        <f t="shared" si="41"/>
        <v>117.402</v>
      </c>
      <c r="P581">
        <f t="shared" si="51"/>
        <v>5</v>
      </c>
      <c r="Q581" s="834">
        <f t="shared" si="52"/>
        <v>0.000689940665102801</v>
      </c>
    </row>
    <row r="582" spans="1:17">
      <c r="A582" s="801">
        <v>45330</v>
      </c>
      <c r="B582" s="802">
        <v>591.39</v>
      </c>
      <c r="C582" s="803">
        <v>2070887</v>
      </c>
      <c r="D582" s="833">
        <v>5939</v>
      </c>
      <c r="E582" s="804">
        <v>0</v>
      </c>
      <c r="F582" s="805">
        <v>0</v>
      </c>
      <c r="G582" s="804">
        <v>2</v>
      </c>
      <c r="H582" s="804">
        <v>4</v>
      </c>
      <c r="I582" s="806">
        <v>2</v>
      </c>
      <c r="J582" s="807">
        <f t="shared" ref="J582:J635" si="53">D582/C582</f>
        <v>0.00286785324356182</v>
      </c>
      <c r="K582" s="808">
        <f t="shared" ref="K582:K635" si="54">B582/D582</f>
        <v>0.0995773699275972</v>
      </c>
      <c r="L582" s="809">
        <f t="shared" si="46"/>
        <v>0.285573283332215</v>
      </c>
      <c r="M582" s="810">
        <f t="shared" ref="M582:M635" si="55">F582/B582</f>
        <v>0</v>
      </c>
      <c r="N582" s="811">
        <f t="shared" ref="N582:N635" si="56">E582/D582</f>
        <v>0</v>
      </c>
      <c r="O582" s="675">
        <f t="shared" ref="O582:O645" si="57">B582/(G582+H582)</f>
        <v>98.565</v>
      </c>
      <c r="P582">
        <f t="shared" si="51"/>
        <v>6</v>
      </c>
      <c r="Q582" s="834">
        <f t="shared" si="52"/>
        <v>0.00101027108940899</v>
      </c>
    </row>
    <row r="583" spans="1:17">
      <c r="A583" s="801">
        <v>45331</v>
      </c>
      <c r="B583" s="812">
        <v>598.27</v>
      </c>
      <c r="C583" s="813">
        <v>2258133</v>
      </c>
      <c r="D583" s="832">
        <v>5669</v>
      </c>
      <c r="E583" s="814">
        <v>0</v>
      </c>
      <c r="F583" s="815">
        <v>0</v>
      </c>
      <c r="G583" s="814">
        <v>1</v>
      </c>
      <c r="H583" s="814">
        <v>2</v>
      </c>
      <c r="I583" s="816">
        <v>2</v>
      </c>
      <c r="J583" s="807">
        <f t="shared" si="53"/>
        <v>0.00251048100355471</v>
      </c>
      <c r="K583" s="808">
        <f t="shared" si="54"/>
        <v>0.105533603810196</v>
      </c>
      <c r="L583" s="809">
        <f t="shared" si="46"/>
        <v>0.264940107602165</v>
      </c>
      <c r="M583" s="810">
        <f t="shared" si="55"/>
        <v>0</v>
      </c>
      <c r="N583" s="811">
        <f t="shared" si="56"/>
        <v>0</v>
      </c>
      <c r="O583" s="675">
        <f t="shared" si="57"/>
        <v>199.423333333333</v>
      </c>
      <c r="P583">
        <f t="shared" si="51"/>
        <v>3</v>
      </c>
      <c r="Q583" s="834">
        <f t="shared" si="52"/>
        <v>0.000529193861351208</v>
      </c>
    </row>
    <row r="584" spans="1:17">
      <c r="A584" s="801">
        <v>45332</v>
      </c>
      <c r="B584" s="812">
        <v>598.01</v>
      </c>
      <c r="C584" s="813">
        <v>2355296</v>
      </c>
      <c r="D584" s="832">
        <v>5966</v>
      </c>
      <c r="E584" s="814">
        <v>0</v>
      </c>
      <c r="F584" s="815">
        <v>0</v>
      </c>
      <c r="G584" s="814">
        <v>2</v>
      </c>
      <c r="H584" s="814">
        <v>2</v>
      </c>
      <c r="I584" s="814">
        <v>1</v>
      </c>
      <c r="J584" s="807">
        <f t="shared" si="53"/>
        <v>0.0025330149586294</v>
      </c>
      <c r="K584" s="808">
        <f t="shared" si="54"/>
        <v>0.100236339255783</v>
      </c>
      <c r="L584" s="809">
        <f t="shared" si="46"/>
        <v>0.253900146733149</v>
      </c>
      <c r="M584" s="810">
        <f t="shared" si="55"/>
        <v>0</v>
      </c>
      <c r="N584" s="811">
        <f t="shared" si="56"/>
        <v>0</v>
      </c>
      <c r="O584" s="675">
        <f t="shared" si="57"/>
        <v>149.5025</v>
      </c>
      <c r="P584">
        <f t="shared" si="51"/>
        <v>4</v>
      </c>
      <c r="Q584" s="834">
        <f t="shared" si="52"/>
        <v>0.000670465973851827</v>
      </c>
    </row>
    <row r="585" spans="1:17">
      <c r="A585" s="801">
        <v>45333</v>
      </c>
      <c r="B585" s="812">
        <v>593.13</v>
      </c>
      <c r="C585" s="813">
        <v>2741222</v>
      </c>
      <c r="D585" s="832">
        <v>7101</v>
      </c>
      <c r="E585" s="814">
        <v>0</v>
      </c>
      <c r="F585" s="815">
        <v>0</v>
      </c>
      <c r="G585" s="814">
        <v>1</v>
      </c>
      <c r="H585" s="814">
        <v>3</v>
      </c>
      <c r="I585" s="814">
        <v>0</v>
      </c>
      <c r="J585" s="807">
        <f t="shared" si="53"/>
        <v>0.00259045053629367</v>
      </c>
      <c r="K585" s="808">
        <f t="shared" si="54"/>
        <v>0.0835276721588509</v>
      </c>
      <c r="L585" s="809">
        <f t="shared" si="46"/>
        <v>0.216374303139257</v>
      </c>
      <c r="M585" s="810">
        <f t="shared" si="55"/>
        <v>0</v>
      </c>
      <c r="N585" s="811">
        <f t="shared" si="56"/>
        <v>0</v>
      </c>
      <c r="O585" s="675">
        <f t="shared" si="57"/>
        <v>148.2825</v>
      </c>
      <c r="P585">
        <f t="shared" si="51"/>
        <v>4</v>
      </c>
      <c r="Q585" s="834">
        <f t="shared" si="52"/>
        <v>0.00056330094352908</v>
      </c>
    </row>
    <row r="586" spans="1:17">
      <c r="A586" s="801">
        <v>45334</v>
      </c>
      <c r="B586" s="812">
        <v>586.09</v>
      </c>
      <c r="C586" s="813">
        <v>2737381</v>
      </c>
      <c r="D586" s="814">
        <v>7090</v>
      </c>
      <c r="E586" s="814">
        <v>0</v>
      </c>
      <c r="F586" s="815">
        <v>0</v>
      </c>
      <c r="G586" s="814">
        <v>2</v>
      </c>
      <c r="H586" s="814">
        <v>3</v>
      </c>
      <c r="I586" s="814">
        <v>1</v>
      </c>
      <c r="J586" s="807">
        <f t="shared" si="53"/>
        <v>0.00259006692893682</v>
      </c>
      <c r="K586" s="808">
        <f t="shared" si="54"/>
        <v>0.0826643159379408</v>
      </c>
      <c r="L586" s="809">
        <f t="shared" si="46"/>
        <v>0.214106110914045</v>
      </c>
      <c r="M586" s="810">
        <f t="shared" si="55"/>
        <v>0</v>
      </c>
      <c r="N586" s="811">
        <f t="shared" si="56"/>
        <v>0</v>
      </c>
      <c r="O586" s="675">
        <f t="shared" si="57"/>
        <v>117.218</v>
      </c>
      <c r="P586">
        <f t="shared" si="51"/>
        <v>5</v>
      </c>
      <c r="Q586" s="834">
        <f t="shared" si="52"/>
        <v>0.000705218617771509</v>
      </c>
    </row>
    <row r="587" spans="1:17">
      <c r="A587" s="801">
        <v>45335</v>
      </c>
      <c r="B587" s="812">
        <v>596.27</v>
      </c>
      <c r="C587" s="813">
        <v>1864516</v>
      </c>
      <c r="D587" s="832">
        <v>6603</v>
      </c>
      <c r="E587" s="814">
        <v>0</v>
      </c>
      <c r="F587" s="815">
        <v>0</v>
      </c>
      <c r="G587" s="814">
        <v>3</v>
      </c>
      <c r="H587" s="814">
        <v>4</v>
      </c>
      <c r="I587" s="814">
        <v>0</v>
      </c>
      <c r="J587" s="807">
        <f t="shared" si="53"/>
        <v>0.00354140162916274</v>
      </c>
      <c r="K587" s="808">
        <f t="shared" si="54"/>
        <v>0.0903028926245646</v>
      </c>
      <c r="L587" s="809">
        <f t="shared" si="46"/>
        <v>0.319798811058741</v>
      </c>
      <c r="M587" s="810">
        <f t="shared" si="55"/>
        <v>0</v>
      </c>
      <c r="N587" s="811">
        <f t="shared" si="56"/>
        <v>0</v>
      </c>
      <c r="O587" s="675">
        <f t="shared" si="57"/>
        <v>85.1814285714286</v>
      </c>
      <c r="P587">
        <f t="shared" si="51"/>
        <v>7</v>
      </c>
      <c r="Q587" s="834">
        <f t="shared" si="52"/>
        <v>0.00106012418597607</v>
      </c>
    </row>
    <row r="588" spans="1:17">
      <c r="A588" s="801">
        <v>45336</v>
      </c>
      <c r="B588" s="812">
        <v>590.28</v>
      </c>
      <c r="C588" s="813">
        <v>1584612</v>
      </c>
      <c r="D588" s="832">
        <v>6720</v>
      </c>
      <c r="E588" s="814">
        <v>0</v>
      </c>
      <c r="F588" s="815">
        <v>0</v>
      </c>
      <c r="G588" s="814">
        <v>7</v>
      </c>
      <c r="H588" s="814">
        <v>1</v>
      </c>
      <c r="I588" s="814">
        <v>0</v>
      </c>
      <c r="J588" s="807">
        <f t="shared" si="53"/>
        <v>0.00424078575701812</v>
      </c>
      <c r="K588" s="808">
        <f t="shared" si="54"/>
        <v>0.0878392857142857</v>
      </c>
      <c r="L588" s="809">
        <f t="shared" si="46"/>
        <v>0.372507591763788</v>
      </c>
      <c r="M588" s="810">
        <f t="shared" si="55"/>
        <v>0</v>
      </c>
      <c r="N588" s="811">
        <f t="shared" si="56"/>
        <v>0</v>
      </c>
      <c r="O588" s="675">
        <f t="shared" si="57"/>
        <v>73.785</v>
      </c>
      <c r="P588">
        <f t="shared" si="51"/>
        <v>8</v>
      </c>
      <c r="Q588" s="834">
        <f t="shared" si="52"/>
        <v>0.00119047619047619</v>
      </c>
    </row>
    <row r="589" spans="1:17">
      <c r="A589" s="801">
        <v>45337</v>
      </c>
      <c r="B589" s="812">
        <v>591.73</v>
      </c>
      <c r="C589" s="813">
        <v>1521323</v>
      </c>
      <c r="D589" s="832">
        <v>6985</v>
      </c>
      <c r="E589" s="814">
        <v>0</v>
      </c>
      <c r="F589" s="815">
        <v>0</v>
      </c>
      <c r="G589" s="814">
        <v>5</v>
      </c>
      <c r="H589" s="814">
        <v>3</v>
      </c>
      <c r="I589" s="814">
        <v>0</v>
      </c>
      <c r="J589" s="807">
        <f t="shared" si="53"/>
        <v>0.00459139840783318</v>
      </c>
      <c r="K589" s="808">
        <f t="shared" si="54"/>
        <v>0.0847143879742305</v>
      </c>
      <c r="L589" s="809">
        <f t="shared" si="46"/>
        <v>0.388957506065444</v>
      </c>
      <c r="M589" s="810">
        <f t="shared" si="55"/>
        <v>0</v>
      </c>
      <c r="N589" s="811">
        <f t="shared" si="56"/>
        <v>0</v>
      </c>
      <c r="O589" s="675">
        <f t="shared" si="57"/>
        <v>73.96625</v>
      </c>
      <c r="P589">
        <f t="shared" si="51"/>
        <v>8</v>
      </c>
      <c r="Q589" s="834">
        <f t="shared" si="52"/>
        <v>0.00114531138153185</v>
      </c>
    </row>
    <row r="590" spans="1:17">
      <c r="A590" s="801">
        <v>45338</v>
      </c>
      <c r="B590" s="812">
        <v>598.65</v>
      </c>
      <c r="C590" s="813">
        <v>2544266</v>
      </c>
      <c r="D590" s="832">
        <v>7059</v>
      </c>
      <c r="E590" s="814">
        <v>0</v>
      </c>
      <c r="F590" s="815">
        <v>0</v>
      </c>
      <c r="G590" s="814">
        <v>7</v>
      </c>
      <c r="H590" s="814">
        <v>3</v>
      </c>
      <c r="I590" s="814">
        <v>0</v>
      </c>
      <c r="J590" s="807">
        <f t="shared" si="53"/>
        <v>0.00277447405263443</v>
      </c>
      <c r="K590" s="808">
        <f t="shared" si="54"/>
        <v>0.0848066298342541</v>
      </c>
      <c r="L590" s="809">
        <f t="shared" si="46"/>
        <v>0.235293793966511</v>
      </c>
      <c r="M590" s="810">
        <f t="shared" si="55"/>
        <v>0</v>
      </c>
      <c r="N590" s="811">
        <f t="shared" si="56"/>
        <v>0</v>
      </c>
      <c r="O590" s="675">
        <f t="shared" si="57"/>
        <v>59.865</v>
      </c>
      <c r="P590">
        <f t="shared" si="51"/>
        <v>10</v>
      </c>
      <c r="Q590" s="834">
        <f t="shared" si="52"/>
        <v>0.00141663125088539</v>
      </c>
    </row>
    <row r="591" spans="1:17">
      <c r="A591" s="801">
        <v>45339</v>
      </c>
      <c r="B591" s="812">
        <v>597.48</v>
      </c>
      <c r="C591" s="813">
        <v>2685122</v>
      </c>
      <c r="D591" s="832">
        <v>6709</v>
      </c>
      <c r="E591" s="814">
        <v>0</v>
      </c>
      <c r="F591" s="815">
        <v>0</v>
      </c>
      <c r="G591" s="814">
        <v>3</v>
      </c>
      <c r="H591" s="814">
        <v>11</v>
      </c>
      <c r="I591" s="814">
        <v>3</v>
      </c>
      <c r="J591" s="807">
        <f t="shared" si="53"/>
        <v>0.00249858293217217</v>
      </c>
      <c r="K591" s="808">
        <f t="shared" si="54"/>
        <v>0.0890564912803697</v>
      </c>
      <c r="L591" s="809">
        <f t="shared" si="46"/>
        <v>0.222515029112271</v>
      </c>
      <c r="M591" s="810">
        <f t="shared" si="55"/>
        <v>0</v>
      </c>
      <c r="N591" s="811">
        <f t="shared" si="56"/>
        <v>0</v>
      </c>
      <c r="O591" s="675">
        <f t="shared" si="57"/>
        <v>42.6771428571429</v>
      </c>
      <c r="P591">
        <f t="shared" si="51"/>
        <v>14</v>
      </c>
      <c r="Q591" s="834">
        <f t="shared" si="52"/>
        <v>0.00208674914294232</v>
      </c>
    </row>
    <row r="592" spans="1:17">
      <c r="A592" s="801">
        <v>45340</v>
      </c>
      <c r="B592" s="812">
        <v>597.66</v>
      </c>
      <c r="C592" s="813">
        <v>2739362</v>
      </c>
      <c r="D592" s="832">
        <v>6695</v>
      </c>
      <c r="E592" s="814">
        <v>0</v>
      </c>
      <c r="F592" s="815">
        <v>0</v>
      </c>
      <c r="G592" s="814">
        <v>4</v>
      </c>
      <c r="H592" s="814">
        <v>6</v>
      </c>
      <c r="I592" s="814">
        <v>5</v>
      </c>
      <c r="J592" s="807">
        <f t="shared" si="53"/>
        <v>0.00244399973424469</v>
      </c>
      <c r="K592" s="808">
        <f t="shared" si="54"/>
        <v>0.0892696041822255</v>
      </c>
      <c r="L592" s="809">
        <f t="shared" si="46"/>
        <v>0.218174888897488</v>
      </c>
      <c r="M592" s="810">
        <f t="shared" si="55"/>
        <v>0</v>
      </c>
      <c r="N592" s="811">
        <f t="shared" si="56"/>
        <v>0</v>
      </c>
      <c r="O592" s="675">
        <f t="shared" si="57"/>
        <v>59.766</v>
      </c>
      <c r="P592">
        <f t="shared" si="51"/>
        <v>10</v>
      </c>
      <c r="Q592" s="834">
        <f t="shared" si="52"/>
        <v>0.00149365197908887</v>
      </c>
    </row>
    <row r="593" spans="1:17">
      <c r="A593" s="801">
        <v>45341</v>
      </c>
      <c r="B593" s="812">
        <v>490.73</v>
      </c>
      <c r="C593" s="813">
        <v>2459258</v>
      </c>
      <c r="D593" s="832">
        <v>5488</v>
      </c>
      <c r="E593" s="814">
        <v>0</v>
      </c>
      <c r="F593" s="815">
        <v>0</v>
      </c>
      <c r="G593" s="814">
        <v>3</v>
      </c>
      <c r="H593" s="814">
        <v>3</v>
      </c>
      <c r="I593" s="814">
        <v>4</v>
      </c>
      <c r="J593" s="807">
        <f t="shared" si="53"/>
        <v>0.0022315674077303</v>
      </c>
      <c r="K593" s="808">
        <f t="shared" si="54"/>
        <v>0.0894187317784257</v>
      </c>
      <c r="L593" s="809">
        <f t="shared" si="46"/>
        <v>0.199543927477312</v>
      </c>
      <c r="M593" s="810">
        <f t="shared" si="55"/>
        <v>0</v>
      </c>
      <c r="N593" s="811">
        <f t="shared" si="56"/>
        <v>0</v>
      </c>
      <c r="O593" s="675">
        <f t="shared" si="57"/>
        <v>81.7883333333333</v>
      </c>
      <c r="P593">
        <f t="shared" si="51"/>
        <v>6</v>
      </c>
      <c r="Q593" s="834">
        <f t="shared" si="52"/>
        <v>0.0010932944606414</v>
      </c>
    </row>
    <row r="594" spans="1:17">
      <c r="A594" s="801">
        <v>45342</v>
      </c>
      <c r="B594" s="812">
        <v>399.16</v>
      </c>
      <c r="C594" s="813">
        <v>2176678</v>
      </c>
      <c r="D594" s="832">
        <v>4317</v>
      </c>
      <c r="E594" s="814">
        <v>0</v>
      </c>
      <c r="F594" s="815">
        <v>0</v>
      </c>
      <c r="G594" s="814">
        <v>5</v>
      </c>
      <c r="H594" s="814">
        <v>1</v>
      </c>
      <c r="I594" s="814">
        <v>2</v>
      </c>
      <c r="J594" s="807">
        <f t="shared" si="53"/>
        <v>0.00198329748359656</v>
      </c>
      <c r="K594" s="808">
        <f t="shared" si="54"/>
        <v>0.0924623581190642</v>
      </c>
      <c r="L594" s="809">
        <f t="shared" si="46"/>
        <v>0.183380362184944</v>
      </c>
      <c r="M594" s="810">
        <f t="shared" si="55"/>
        <v>0</v>
      </c>
      <c r="N594" s="811">
        <f t="shared" si="56"/>
        <v>0</v>
      </c>
      <c r="O594" s="675">
        <f t="shared" si="57"/>
        <v>66.5266666666667</v>
      </c>
      <c r="P594">
        <f t="shared" si="51"/>
        <v>6</v>
      </c>
      <c r="Q594" s="834">
        <f t="shared" si="52"/>
        <v>0.00138985406532314</v>
      </c>
    </row>
    <row r="595" spans="1:17">
      <c r="A595" s="801">
        <v>45343</v>
      </c>
      <c r="B595" s="812">
        <v>397.74</v>
      </c>
      <c r="C595" s="813">
        <v>761589</v>
      </c>
      <c r="D595" s="832">
        <v>3831</v>
      </c>
      <c r="E595" s="814">
        <v>0</v>
      </c>
      <c r="F595" s="815">
        <v>0</v>
      </c>
      <c r="G595" s="814">
        <v>4</v>
      </c>
      <c r="H595" s="814">
        <v>3</v>
      </c>
      <c r="I595" s="814">
        <v>0</v>
      </c>
      <c r="J595" s="807">
        <f t="shared" si="53"/>
        <v>0.00503027223344875</v>
      </c>
      <c r="K595" s="808">
        <f t="shared" si="54"/>
        <v>0.103821456538763</v>
      </c>
      <c r="L595" s="809">
        <f t="shared" si="46"/>
        <v>0.522250190063144</v>
      </c>
      <c r="M595" s="810">
        <f t="shared" si="55"/>
        <v>0</v>
      </c>
      <c r="N595" s="811">
        <f t="shared" si="56"/>
        <v>0</v>
      </c>
      <c r="O595" s="675">
        <f t="shared" si="57"/>
        <v>56.82</v>
      </c>
      <c r="P595">
        <f t="shared" si="51"/>
        <v>7</v>
      </c>
      <c r="Q595" s="834">
        <f t="shared" si="52"/>
        <v>0.00182719916470895</v>
      </c>
    </row>
    <row r="596" spans="1:17">
      <c r="A596" s="801">
        <v>45344</v>
      </c>
      <c r="B596" s="812">
        <v>398.09</v>
      </c>
      <c r="C596" s="813">
        <v>682057</v>
      </c>
      <c r="D596" s="832">
        <v>3394</v>
      </c>
      <c r="E596" s="814">
        <v>0</v>
      </c>
      <c r="F596" s="815">
        <v>0</v>
      </c>
      <c r="G596" s="814">
        <v>0</v>
      </c>
      <c r="H596" s="814">
        <v>1</v>
      </c>
      <c r="I596" s="814">
        <v>1</v>
      </c>
      <c r="J596" s="807">
        <f t="shared" si="53"/>
        <v>0.0049761236964066</v>
      </c>
      <c r="K596" s="808">
        <f t="shared" si="54"/>
        <v>0.117292280494991</v>
      </c>
      <c r="L596" s="809">
        <f t="shared" si="46"/>
        <v>0.583660896376696</v>
      </c>
      <c r="M596" s="810">
        <f t="shared" si="55"/>
        <v>0</v>
      </c>
      <c r="N596" s="811">
        <f t="shared" si="56"/>
        <v>0</v>
      </c>
      <c r="O596" s="675">
        <f t="shared" si="57"/>
        <v>398.09</v>
      </c>
      <c r="P596">
        <f t="shared" si="51"/>
        <v>1</v>
      </c>
      <c r="Q596" s="834">
        <f t="shared" si="52"/>
        <v>0.000294637595757219</v>
      </c>
    </row>
    <row r="597" spans="1:17">
      <c r="A597" s="801">
        <v>45345</v>
      </c>
      <c r="B597" s="812">
        <v>395.7</v>
      </c>
      <c r="C597" s="813">
        <v>651735</v>
      </c>
      <c r="D597" s="832">
        <v>3140</v>
      </c>
      <c r="E597" s="814">
        <v>0</v>
      </c>
      <c r="F597" s="815">
        <v>0</v>
      </c>
      <c r="G597" s="814">
        <v>2</v>
      </c>
      <c r="H597" s="814">
        <v>1</v>
      </c>
      <c r="I597" s="814">
        <v>1</v>
      </c>
      <c r="J597" s="807">
        <f t="shared" si="53"/>
        <v>0.00481790911950409</v>
      </c>
      <c r="K597" s="808">
        <f t="shared" si="54"/>
        <v>0.126019108280255</v>
      </c>
      <c r="L597" s="809">
        <f t="shared" si="46"/>
        <v>0.607148611015213</v>
      </c>
      <c r="M597" s="810">
        <f t="shared" si="55"/>
        <v>0</v>
      </c>
      <c r="N597" s="811">
        <f t="shared" si="56"/>
        <v>0</v>
      </c>
      <c r="O597" s="675">
        <f t="shared" si="57"/>
        <v>131.9</v>
      </c>
      <c r="P597">
        <f t="shared" si="51"/>
        <v>3</v>
      </c>
      <c r="Q597" s="834">
        <f t="shared" si="52"/>
        <v>0.000955414012738854</v>
      </c>
    </row>
    <row r="598" spans="1:17">
      <c r="A598" s="801">
        <v>45346</v>
      </c>
      <c r="B598" s="812">
        <v>397.42</v>
      </c>
      <c r="C598" s="813">
        <v>694378</v>
      </c>
      <c r="D598" s="832">
        <v>3388</v>
      </c>
      <c r="E598" s="814">
        <v>0</v>
      </c>
      <c r="F598" s="815">
        <v>0</v>
      </c>
      <c r="G598" s="814">
        <v>1</v>
      </c>
      <c r="H598" s="814">
        <v>2</v>
      </c>
      <c r="I598" s="814">
        <v>0</v>
      </c>
      <c r="J598" s="807">
        <f t="shared" si="53"/>
        <v>0.00487918684059691</v>
      </c>
      <c r="K598" s="808">
        <f t="shared" si="54"/>
        <v>0.117302243211334</v>
      </c>
      <c r="L598" s="809">
        <f t="shared" si="46"/>
        <v>0.572339561449239</v>
      </c>
      <c r="M598" s="810">
        <f t="shared" si="55"/>
        <v>0</v>
      </c>
      <c r="N598" s="811">
        <f t="shared" si="56"/>
        <v>0</v>
      </c>
      <c r="O598" s="675">
        <f t="shared" si="57"/>
        <v>132.473333333333</v>
      </c>
      <c r="P598">
        <f t="shared" si="51"/>
        <v>3</v>
      </c>
      <c r="Q598" s="834">
        <f t="shared" si="52"/>
        <v>0.000885478158205431</v>
      </c>
    </row>
    <row r="599" spans="1:17">
      <c r="A599" s="801">
        <v>45347</v>
      </c>
      <c r="B599" s="812">
        <v>398.16</v>
      </c>
      <c r="C599" s="813">
        <v>661919</v>
      </c>
      <c r="D599" s="832">
        <v>3338</v>
      </c>
      <c r="E599" s="814">
        <v>0</v>
      </c>
      <c r="F599" s="815">
        <v>0</v>
      </c>
      <c r="G599" s="814">
        <v>2</v>
      </c>
      <c r="H599" s="814">
        <v>0</v>
      </c>
      <c r="I599" s="814">
        <v>1</v>
      </c>
      <c r="J599" s="807">
        <f t="shared" si="53"/>
        <v>0.00504291310568212</v>
      </c>
      <c r="K599" s="808">
        <f t="shared" si="54"/>
        <v>0.119281006590773</v>
      </c>
      <c r="L599" s="809">
        <f t="shared" si="46"/>
        <v>0.601523751395564</v>
      </c>
      <c r="M599" s="810">
        <f t="shared" si="55"/>
        <v>0</v>
      </c>
      <c r="N599" s="811">
        <f t="shared" si="56"/>
        <v>0</v>
      </c>
      <c r="O599" s="675">
        <f t="shared" si="57"/>
        <v>199.08</v>
      </c>
      <c r="P599">
        <f t="shared" si="51"/>
        <v>2</v>
      </c>
      <c r="Q599" s="834">
        <f t="shared" si="52"/>
        <v>0.000599161174355902</v>
      </c>
    </row>
    <row r="600" spans="1:17">
      <c r="A600" s="801">
        <v>45348</v>
      </c>
      <c r="B600" s="812">
        <v>395.59</v>
      </c>
      <c r="C600" s="813">
        <v>778039</v>
      </c>
      <c r="D600" s="832">
        <v>3373</v>
      </c>
      <c r="E600" s="814">
        <v>0</v>
      </c>
      <c r="F600" s="815">
        <v>0</v>
      </c>
      <c r="G600" s="814">
        <v>4</v>
      </c>
      <c r="H600" s="814">
        <v>1</v>
      </c>
      <c r="I600" s="814">
        <v>0</v>
      </c>
      <c r="J600" s="807">
        <f t="shared" si="53"/>
        <v>0.00433525825826212</v>
      </c>
      <c r="K600" s="808">
        <f t="shared" si="54"/>
        <v>0.117281351912244</v>
      </c>
      <c r="L600" s="809">
        <f t="shared" si="46"/>
        <v>0.508444949417703</v>
      </c>
      <c r="M600" s="810">
        <f t="shared" si="55"/>
        <v>0</v>
      </c>
      <c r="N600" s="811">
        <f t="shared" si="56"/>
        <v>0</v>
      </c>
      <c r="O600" s="675">
        <f t="shared" si="57"/>
        <v>79.118</v>
      </c>
      <c r="P600">
        <f t="shared" si="51"/>
        <v>5</v>
      </c>
      <c r="Q600" s="834">
        <f t="shared" si="52"/>
        <v>0.00148235991698784</v>
      </c>
    </row>
    <row r="601" spans="1:17">
      <c r="A601" s="801">
        <v>45349</v>
      </c>
      <c r="B601" s="812">
        <v>147.21</v>
      </c>
      <c r="C601" s="813">
        <v>339751</v>
      </c>
      <c r="D601" s="832">
        <v>1353</v>
      </c>
      <c r="E601" s="814">
        <v>0</v>
      </c>
      <c r="F601" s="815">
        <v>0</v>
      </c>
      <c r="G601" s="814">
        <v>2</v>
      </c>
      <c r="H601" s="814">
        <v>0</v>
      </c>
      <c r="I601" s="814">
        <v>0</v>
      </c>
      <c r="J601" s="807">
        <f t="shared" si="53"/>
        <v>0.00398232823450115</v>
      </c>
      <c r="K601" s="808">
        <f t="shared" si="54"/>
        <v>0.10880266075388</v>
      </c>
      <c r="L601" s="809">
        <f t="shared" si="46"/>
        <v>0.433287907909027</v>
      </c>
      <c r="M601" s="810">
        <f t="shared" si="55"/>
        <v>0</v>
      </c>
      <c r="N601" s="811">
        <f t="shared" si="56"/>
        <v>0</v>
      </c>
      <c r="O601" s="675">
        <f t="shared" si="57"/>
        <v>73.605</v>
      </c>
      <c r="P601">
        <f t="shared" si="51"/>
        <v>2</v>
      </c>
      <c r="Q601" s="834">
        <f t="shared" si="52"/>
        <v>0.00147819660014782</v>
      </c>
    </row>
    <row r="602" spans="1:17">
      <c r="A602" s="801">
        <v>45350</v>
      </c>
      <c r="B602" s="812">
        <v>149.12</v>
      </c>
      <c r="C602" s="813">
        <v>402714</v>
      </c>
      <c r="D602" s="832">
        <v>1306</v>
      </c>
      <c r="E602" s="814">
        <v>0</v>
      </c>
      <c r="F602" s="815">
        <v>0</v>
      </c>
      <c r="G602" s="814">
        <v>0</v>
      </c>
      <c r="H602" s="814">
        <v>1</v>
      </c>
      <c r="I602" s="814">
        <v>0</v>
      </c>
      <c r="J602" s="807">
        <f t="shared" si="53"/>
        <v>0.00324299627030597</v>
      </c>
      <c r="K602" s="808">
        <f t="shared" si="54"/>
        <v>0.114180704441041</v>
      </c>
      <c r="L602" s="809">
        <f t="shared" si="46"/>
        <v>0.370287598643206</v>
      </c>
      <c r="M602" s="810">
        <f t="shared" si="55"/>
        <v>0</v>
      </c>
      <c r="N602" s="811">
        <f t="shared" si="56"/>
        <v>0</v>
      </c>
      <c r="O602" s="675">
        <f t="shared" si="57"/>
        <v>149.12</v>
      </c>
      <c r="P602">
        <f t="shared" si="51"/>
        <v>1</v>
      </c>
      <c r="Q602" s="834">
        <f t="shared" si="52"/>
        <v>0.000765696784073507</v>
      </c>
    </row>
    <row r="603" spans="1:17">
      <c r="A603" s="801">
        <v>45351</v>
      </c>
      <c r="B603" s="837">
        <v>148.74</v>
      </c>
      <c r="C603" s="838">
        <v>396018</v>
      </c>
      <c r="D603" s="818">
        <v>1247</v>
      </c>
      <c r="E603" s="818">
        <v>0</v>
      </c>
      <c r="F603" s="819">
        <v>0</v>
      </c>
      <c r="G603" s="818">
        <v>4</v>
      </c>
      <c r="H603" s="818">
        <v>2</v>
      </c>
      <c r="I603" s="818">
        <v>0</v>
      </c>
      <c r="J603" s="830">
        <f t="shared" si="53"/>
        <v>0.00314884676959128</v>
      </c>
      <c r="K603" s="831">
        <f t="shared" si="54"/>
        <v>0.119278267842823</v>
      </c>
      <c r="L603" s="809">
        <f t="shared" si="46"/>
        <v>0.375588988379316</v>
      </c>
      <c r="M603" s="839">
        <f t="shared" si="55"/>
        <v>0</v>
      </c>
      <c r="N603" s="840">
        <f t="shared" si="56"/>
        <v>0</v>
      </c>
      <c r="O603" s="675">
        <f t="shared" si="57"/>
        <v>24.79</v>
      </c>
      <c r="P603">
        <f t="shared" si="51"/>
        <v>6</v>
      </c>
      <c r="Q603" s="834">
        <f t="shared" si="52"/>
        <v>0.00481154771451484</v>
      </c>
    </row>
    <row r="604" spans="1:17">
      <c r="A604" s="801">
        <v>45352</v>
      </c>
      <c r="B604" s="589">
        <v>148.42</v>
      </c>
      <c r="C604" s="589">
        <v>337644</v>
      </c>
      <c r="D604" s="589">
        <v>1145</v>
      </c>
      <c r="E604" s="589">
        <v>0</v>
      </c>
      <c r="F604" s="589">
        <v>0</v>
      </c>
      <c r="G604" s="589">
        <v>1</v>
      </c>
      <c r="H604" s="589">
        <v>0</v>
      </c>
      <c r="I604" s="589">
        <v>2</v>
      </c>
      <c r="J604" s="830">
        <f t="shared" si="53"/>
        <v>0.00339114570375899</v>
      </c>
      <c r="K604" s="831">
        <f t="shared" si="54"/>
        <v>0.129624454148472</v>
      </c>
      <c r="L604" s="809">
        <f t="shared" si="46"/>
        <v>0.439575410787694</v>
      </c>
      <c r="M604" s="839">
        <f t="shared" si="55"/>
        <v>0</v>
      </c>
      <c r="N604" s="840">
        <f t="shared" si="56"/>
        <v>0</v>
      </c>
      <c r="O604" s="675">
        <f t="shared" si="57"/>
        <v>148.42</v>
      </c>
      <c r="P604">
        <f t="shared" si="51"/>
        <v>1</v>
      </c>
      <c r="Q604" s="834">
        <f t="shared" si="52"/>
        <v>0.000873362445414847</v>
      </c>
    </row>
    <row r="605" spans="1:17">
      <c r="A605" s="801">
        <v>45353</v>
      </c>
      <c r="B605" s="589">
        <v>990.99</v>
      </c>
      <c r="C605" s="589">
        <v>1043968</v>
      </c>
      <c r="D605" s="589">
        <v>6072</v>
      </c>
      <c r="E605" s="589">
        <v>0</v>
      </c>
      <c r="F605" s="589">
        <v>0</v>
      </c>
      <c r="G605" s="589">
        <v>7</v>
      </c>
      <c r="H605" s="589">
        <v>6</v>
      </c>
      <c r="I605" s="589">
        <v>1</v>
      </c>
      <c r="J605" s="830">
        <f t="shared" si="53"/>
        <v>0.00581627023050515</v>
      </c>
      <c r="K605" s="831">
        <f t="shared" si="54"/>
        <v>0.16320652173913</v>
      </c>
      <c r="L605" s="809">
        <f t="shared" si="46"/>
        <v>0.949253233815596</v>
      </c>
      <c r="M605" s="839">
        <f t="shared" si="55"/>
        <v>0</v>
      </c>
      <c r="N605" s="840">
        <f t="shared" si="56"/>
        <v>0</v>
      </c>
      <c r="O605" s="675">
        <f t="shared" si="57"/>
        <v>76.23</v>
      </c>
      <c r="P605">
        <f t="shared" si="51"/>
        <v>13</v>
      </c>
      <c r="Q605" s="834">
        <f t="shared" si="52"/>
        <v>0.00214097496706192</v>
      </c>
    </row>
    <row r="606" spans="1:17">
      <c r="A606" s="801">
        <v>45354</v>
      </c>
      <c r="B606" s="589">
        <v>991.35</v>
      </c>
      <c r="C606" s="589">
        <v>1517741</v>
      </c>
      <c r="D606" s="589">
        <v>7112</v>
      </c>
      <c r="E606" s="589">
        <v>1</v>
      </c>
      <c r="F606" s="589">
        <v>11710</v>
      </c>
      <c r="G606" s="589">
        <v>4</v>
      </c>
      <c r="H606" s="589">
        <v>9</v>
      </c>
      <c r="I606" s="589">
        <v>1</v>
      </c>
      <c r="J606" s="830">
        <f t="shared" si="53"/>
        <v>0.00468591149609848</v>
      </c>
      <c r="K606" s="831">
        <f t="shared" si="54"/>
        <v>0.139391169853768</v>
      </c>
      <c r="L606" s="809">
        <f t="shared" si="46"/>
        <v>0.653174685272388</v>
      </c>
      <c r="M606" s="839">
        <f t="shared" si="55"/>
        <v>11.8121753164876</v>
      </c>
      <c r="N606" s="840">
        <f t="shared" si="56"/>
        <v>0.000140607424071991</v>
      </c>
      <c r="O606" s="675">
        <f t="shared" si="57"/>
        <v>76.2576923076923</v>
      </c>
      <c r="P606">
        <f t="shared" si="51"/>
        <v>13</v>
      </c>
      <c r="Q606" s="834">
        <f t="shared" si="52"/>
        <v>0.00182789651293588</v>
      </c>
    </row>
    <row r="607" spans="1:17">
      <c r="A607" s="801">
        <v>45355</v>
      </c>
      <c r="B607" s="589">
        <v>989.52</v>
      </c>
      <c r="C607" s="589">
        <v>1586164</v>
      </c>
      <c r="D607" s="589">
        <v>6650</v>
      </c>
      <c r="E607" s="589">
        <v>0</v>
      </c>
      <c r="F607" s="589">
        <v>0</v>
      </c>
      <c r="G607" s="589">
        <v>4</v>
      </c>
      <c r="H607" s="589">
        <v>3</v>
      </c>
      <c r="I607" s="589">
        <v>0</v>
      </c>
      <c r="J607" s="830">
        <f t="shared" si="53"/>
        <v>0.00419250468425711</v>
      </c>
      <c r="K607" s="831">
        <f t="shared" si="54"/>
        <v>0.1488</v>
      </c>
      <c r="L607" s="809">
        <f t="shared" si="46"/>
        <v>0.623844697017458</v>
      </c>
      <c r="M607" s="839">
        <f t="shared" si="55"/>
        <v>0</v>
      </c>
      <c r="N607" s="840">
        <f t="shared" si="56"/>
        <v>0</v>
      </c>
      <c r="O607" s="675">
        <f t="shared" si="57"/>
        <v>141.36</v>
      </c>
      <c r="P607">
        <f t="shared" si="51"/>
        <v>7</v>
      </c>
      <c r="Q607" s="834">
        <f t="shared" si="52"/>
        <v>0.00105263157894737</v>
      </c>
    </row>
    <row r="608" spans="1:17">
      <c r="A608" s="801">
        <v>45356</v>
      </c>
      <c r="B608" s="589">
        <v>964.81</v>
      </c>
      <c r="C608" s="589">
        <v>1527961</v>
      </c>
      <c r="D608" s="589">
        <v>7292</v>
      </c>
      <c r="E608" s="589">
        <v>0</v>
      </c>
      <c r="F608" s="589">
        <v>0</v>
      </c>
      <c r="G608" s="589">
        <v>3</v>
      </c>
      <c r="H608" s="589">
        <v>6</v>
      </c>
      <c r="I608" s="589">
        <v>0</v>
      </c>
      <c r="J608" s="830">
        <f t="shared" si="53"/>
        <v>0.00477237311685311</v>
      </c>
      <c r="K608" s="831">
        <f t="shared" si="54"/>
        <v>0.132310751508502</v>
      </c>
      <c r="L608" s="809">
        <f t="shared" si="46"/>
        <v>0.63143627356981</v>
      </c>
      <c r="M608" s="839">
        <f t="shared" si="55"/>
        <v>0</v>
      </c>
      <c r="N608" s="840">
        <f t="shared" si="56"/>
        <v>0</v>
      </c>
      <c r="O608" s="675">
        <f t="shared" si="57"/>
        <v>107.201111111111</v>
      </c>
      <c r="P608">
        <f t="shared" ref="P608:P639" si="58">G608+H608</f>
        <v>9</v>
      </c>
      <c r="Q608" s="834">
        <f t="shared" ref="Q608:Q639" si="59">P608/D608</f>
        <v>0.00123422929237521</v>
      </c>
    </row>
    <row r="609" spans="1:17">
      <c r="A609" s="801">
        <v>45357</v>
      </c>
      <c r="B609" s="589">
        <v>1537.28</v>
      </c>
      <c r="C609" s="589">
        <v>2132609</v>
      </c>
      <c r="D609" s="589">
        <v>10741</v>
      </c>
      <c r="E609" s="589">
        <v>0</v>
      </c>
      <c r="F609" s="589">
        <v>0</v>
      </c>
      <c r="G609" s="589">
        <v>5</v>
      </c>
      <c r="H609" s="589">
        <v>7</v>
      </c>
      <c r="I609" s="589">
        <v>3</v>
      </c>
      <c r="J609" s="830">
        <f t="shared" si="53"/>
        <v>0.00503655381741332</v>
      </c>
      <c r="K609" s="831">
        <f t="shared" si="54"/>
        <v>0.143122614281724</v>
      </c>
      <c r="L609" s="809">
        <f t="shared" si="46"/>
        <v>0.720844749318792</v>
      </c>
      <c r="M609" s="839">
        <f t="shared" si="55"/>
        <v>0</v>
      </c>
      <c r="N609" s="840">
        <f t="shared" si="56"/>
        <v>0</v>
      </c>
      <c r="O609" s="675">
        <f t="shared" si="57"/>
        <v>128.106666666667</v>
      </c>
      <c r="P609">
        <f t="shared" si="58"/>
        <v>12</v>
      </c>
      <c r="Q609" s="834">
        <f t="shared" si="59"/>
        <v>0.00111721441206592</v>
      </c>
    </row>
    <row r="610" spans="1:17">
      <c r="A610" s="801">
        <v>45358</v>
      </c>
      <c r="B610" s="589">
        <v>1971.4</v>
      </c>
      <c r="C610" s="589">
        <v>2156228</v>
      </c>
      <c r="D610" s="589">
        <v>9966</v>
      </c>
      <c r="E610" s="589">
        <v>0</v>
      </c>
      <c r="F610" s="589">
        <v>0</v>
      </c>
      <c r="G610" s="589">
        <v>12</v>
      </c>
      <c r="H610" s="589">
        <v>7</v>
      </c>
      <c r="I610" s="589">
        <v>3</v>
      </c>
      <c r="J610" s="830">
        <f t="shared" si="53"/>
        <v>0.0046219602008693</v>
      </c>
      <c r="K610" s="831">
        <f t="shared" si="54"/>
        <v>0.197812562713225</v>
      </c>
      <c r="L610" s="809">
        <f t="shared" ref="L610:L673" si="60">B610/C610*1000</f>
        <v>0.914281792092487</v>
      </c>
      <c r="M610" s="839">
        <f t="shared" si="55"/>
        <v>0</v>
      </c>
      <c r="N610" s="840">
        <f t="shared" si="56"/>
        <v>0</v>
      </c>
      <c r="O610" s="675">
        <f t="shared" si="57"/>
        <v>103.757894736842</v>
      </c>
      <c r="P610">
        <f t="shared" si="58"/>
        <v>19</v>
      </c>
      <c r="Q610" s="834">
        <f t="shared" si="59"/>
        <v>0.00190648203893237</v>
      </c>
    </row>
    <row r="611" spans="1:17">
      <c r="A611" s="801">
        <v>45359</v>
      </c>
      <c r="B611" s="589">
        <v>1420.36</v>
      </c>
      <c r="C611" s="589">
        <v>1623433</v>
      </c>
      <c r="D611" s="589">
        <v>7668</v>
      </c>
      <c r="E611" s="589">
        <v>2</v>
      </c>
      <c r="F611" s="589">
        <v>30352</v>
      </c>
      <c r="G611" s="589">
        <v>8</v>
      </c>
      <c r="H611" s="589">
        <v>6</v>
      </c>
      <c r="I611" s="589">
        <v>5</v>
      </c>
      <c r="J611" s="830">
        <f t="shared" si="53"/>
        <v>0.00472332396840523</v>
      </c>
      <c r="K611" s="831">
        <f t="shared" si="54"/>
        <v>0.185232133541993</v>
      </c>
      <c r="L611" s="809">
        <f t="shared" si="60"/>
        <v>0.874911376077732</v>
      </c>
      <c r="M611" s="839">
        <f t="shared" si="55"/>
        <v>21.3692303359712</v>
      </c>
      <c r="N611" s="840">
        <f t="shared" si="56"/>
        <v>0.000260824204486176</v>
      </c>
      <c r="O611" s="675">
        <f t="shared" si="57"/>
        <v>101.454285714286</v>
      </c>
      <c r="P611">
        <f t="shared" si="58"/>
        <v>14</v>
      </c>
      <c r="Q611" s="834">
        <f t="shared" si="59"/>
        <v>0.00182576943140323</v>
      </c>
    </row>
    <row r="612" spans="1:17">
      <c r="A612" s="801">
        <v>45360</v>
      </c>
      <c r="B612" s="589">
        <v>1126.58</v>
      </c>
      <c r="C612" s="589">
        <v>1412306</v>
      </c>
      <c r="D612" s="589">
        <v>6961</v>
      </c>
      <c r="E612" s="589">
        <v>0</v>
      </c>
      <c r="F612" s="589">
        <v>0</v>
      </c>
      <c r="G612" s="589">
        <v>5</v>
      </c>
      <c r="H612" s="589">
        <v>8</v>
      </c>
      <c r="I612" s="589">
        <v>0</v>
      </c>
      <c r="J612" s="830">
        <f t="shared" si="53"/>
        <v>0.00492881854215729</v>
      </c>
      <c r="K612" s="831">
        <f t="shared" si="54"/>
        <v>0.161841689412441</v>
      </c>
      <c r="L612" s="809">
        <f t="shared" si="60"/>
        <v>0.7976883196701</v>
      </c>
      <c r="M612" s="839">
        <f t="shared" si="55"/>
        <v>0</v>
      </c>
      <c r="N612" s="840">
        <f t="shared" si="56"/>
        <v>0</v>
      </c>
      <c r="O612" s="675">
        <f t="shared" si="57"/>
        <v>86.66</v>
      </c>
      <c r="P612">
        <f t="shared" si="58"/>
        <v>13</v>
      </c>
      <c r="Q612" s="834">
        <f t="shared" si="59"/>
        <v>0.00186754776612556</v>
      </c>
    </row>
    <row r="613" spans="1:17">
      <c r="A613" s="801">
        <v>45361</v>
      </c>
      <c r="B613" s="589">
        <v>1295.44</v>
      </c>
      <c r="C613" s="589">
        <v>1633138</v>
      </c>
      <c r="D613" s="589">
        <v>7762</v>
      </c>
      <c r="E613" s="589">
        <v>0</v>
      </c>
      <c r="F613" s="589">
        <v>0</v>
      </c>
      <c r="G613" s="589">
        <v>5</v>
      </c>
      <c r="H613" s="589">
        <v>6</v>
      </c>
      <c r="I613" s="589">
        <v>1</v>
      </c>
      <c r="J613" s="830">
        <f t="shared" si="53"/>
        <v>0.00475281329563087</v>
      </c>
      <c r="K613" s="831">
        <f t="shared" si="54"/>
        <v>0.166895130121103</v>
      </c>
      <c r="L613" s="809">
        <f t="shared" si="60"/>
        <v>0.793221393415621</v>
      </c>
      <c r="M613" s="839">
        <f t="shared" si="55"/>
        <v>0</v>
      </c>
      <c r="N613" s="840">
        <f t="shared" si="56"/>
        <v>0</v>
      </c>
      <c r="O613" s="675">
        <f t="shared" si="57"/>
        <v>117.767272727273</v>
      </c>
      <c r="P613">
        <f t="shared" si="58"/>
        <v>11</v>
      </c>
      <c r="Q613" s="834">
        <f t="shared" si="59"/>
        <v>0.00141716052563772</v>
      </c>
    </row>
    <row r="614" spans="1:17">
      <c r="A614" s="801">
        <v>45362</v>
      </c>
      <c r="B614" s="589">
        <v>995.85</v>
      </c>
      <c r="C614" s="589">
        <v>1358790</v>
      </c>
      <c r="D614" s="589">
        <v>6560</v>
      </c>
      <c r="E614" s="589">
        <v>0</v>
      </c>
      <c r="F614" s="589">
        <v>0</v>
      </c>
      <c r="G614" s="589">
        <v>3</v>
      </c>
      <c r="H614" s="589">
        <v>3</v>
      </c>
      <c r="I614" s="589">
        <v>1</v>
      </c>
      <c r="J614" s="830">
        <f t="shared" si="53"/>
        <v>0.00482782475584895</v>
      </c>
      <c r="K614" s="831">
        <f t="shared" si="54"/>
        <v>0.151806402439024</v>
      </c>
      <c r="L614" s="809">
        <f t="shared" si="60"/>
        <v>0.732894707791491</v>
      </c>
      <c r="M614" s="839">
        <f t="shared" si="55"/>
        <v>0</v>
      </c>
      <c r="N614" s="840">
        <f t="shared" si="56"/>
        <v>0</v>
      </c>
      <c r="O614" s="675">
        <f t="shared" si="57"/>
        <v>165.975</v>
      </c>
      <c r="P614">
        <f t="shared" si="58"/>
        <v>6</v>
      </c>
      <c r="Q614" s="834">
        <f t="shared" si="59"/>
        <v>0.000914634146341463</v>
      </c>
    </row>
    <row r="615" spans="1:17">
      <c r="A615" s="801">
        <v>45363</v>
      </c>
      <c r="B615" s="589">
        <v>998.29</v>
      </c>
      <c r="C615" s="589">
        <v>1352183</v>
      </c>
      <c r="D615" s="589">
        <v>6745</v>
      </c>
      <c r="E615" s="589">
        <v>0</v>
      </c>
      <c r="F615" s="589">
        <v>0</v>
      </c>
      <c r="G615" s="589">
        <v>1</v>
      </c>
      <c r="H615" s="589">
        <v>11</v>
      </c>
      <c r="I615" s="589">
        <v>1</v>
      </c>
      <c r="J615" s="830">
        <f t="shared" si="53"/>
        <v>0.00498823014340515</v>
      </c>
      <c r="K615" s="831">
        <f t="shared" si="54"/>
        <v>0.148004447739066</v>
      </c>
      <c r="L615" s="809">
        <f t="shared" si="60"/>
        <v>0.73828024757004</v>
      </c>
      <c r="M615" s="839">
        <f t="shared" si="55"/>
        <v>0</v>
      </c>
      <c r="N615" s="840">
        <f t="shared" si="56"/>
        <v>0</v>
      </c>
      <c r="O615" s="675">
        <f t="shared" si="57"/>
        <v>83.1908333333333</v>
      </c>
      <c r="P615">
        <f t="shared" si="58"/>
        <v>12</v>
      </c>
      <c r="Q615" s="834">
        <f t="shared" si="59"/>
        <v>0.00177909562638992</v>
      </c>
    </row>
    <row r="616" spans="1:17">
      <c r="A616" s="801">
        <v>45364</v>
      </c>
      <c r="B616" s="589">
        <v>994.85</v>
      </c>
      <c r="C616" s="589">
        <v>1169133</v>
      </c>
      <c r="D616" s="589">
        <v>6619</v>
      </c>
      <c r="E616" s="589">
        <v>1</v>
      </c>
      <c r="F616" s="589">
        <v>31338</v>
      </c>
      <c r="G616" s="589">
        <v>3</v>
      </c>
      <c r="H616" s="589">
        <v>3</v>
      </c>
      <c r="I616" s="589">
        <v>1</v>
      </c>
      <c r="J616" s="830">
        <f t="shared" si="53"/>
        <v>0.00566146024447176</v>
      </c>
      <c r="K616" s="831">
        <f t="shared" si="54"/>
        <v>0.150302160447197</v>
      </c>
      <c r="L616" s="809">
        <f t="shared" si="60"/>
        <v>0.850929706030024</v>
      </c>
      <c r="M616" s="839">
        <f t="shared" si="55"/>
        <v>31.5002261647485</v>
      </c>
      <c r="N616" s="840">
        <f t="shared" si="56"/>
        <v>0.000151080223598731</v>
      </c>
      <c r="O616" s="675">
        <f t="shared" si="57"/>
        <v>165.808333333333</v>
      </c>
      <c r="P616">
        <f t="shared" si="58"/>
        <v>6</v>
      </c>
      <c r="Q616" s="834">
        <f t="shared" si="59"/>
        <v>0.000906481341592386</v>
      </c>
    </row>
    <row r="617" spans="1:17">
      <c r="A617" s="801">
        <v>45365</v>
      </c>
      <c r="B617" s="589">
        <v>999.4</v>
      </c>
      <c r="C617" s="589">
        <v>1864329</v>
      </c>
      <c r="D617" s="589">
        <v>8066</v>
      </c>
      <c r="E617" s="589">
        <v>0</v>
      </c>
      <c r="F617" s="589">
        <v>0</v>
      </c>
      <c r="G617" s="589">
        <v>8</v>
      </c>
      <c r="H617" s="589">
        <v>10</v>
      </c>
      <c r="I617" s="589">
        <v>1</v>
      </c>
      <c r="J617" s="830">
        <f t="shared" si="53"/>
        <v>0.0043264895841882</v>
      </c>
      <c r="K617" s="831">
        <f t="shared" si="54"/>
        <v>0.123902801884453</v>
      </c>
      <c r="L617" s="809">
        <f t="shared" si="60"/>
        <v>0.536064181804821</v>
      </c>
      <c r="M617" s="839">
        <f t="shared" si="55"/>
        <v>0</v>
      </c>
      <c r="N617" s="840">
        <f t="shared" si="56"/>
        <v>0</v>
      </c>
      <c r="O617" s="675">
        <f t="shared" si="57"/>
        <v>55.5222222222222</v>
      </c>
      <c r="P617">
        <f t="shared" si="58"/>
        <v>18</v>
      </c>
      <c r="Q617" s="834">
        <f t="shared" si="59"/>
        <v>0.00223158938755269</v>
      </c>
    </row>
    <row r="618" spans="1:17">
      <c r="A618" s="801">
        <v>45366</v>
      </c>
      <c r="B618" s="589">
        <v>996.34</v>
      </c>
      <c r="C618" s="589">
        <v>1530390</v>
      </c>
      <c r="D618" s="589">
        <v>7654</v>
      </c>
      <c r="E618" s="589">
        <v>0</v>
      </c>
      <c r="F618" s="589">
        <v>0</v>
      </c>
      <c r="G618" s="589">
        <v>9</v>
      </c>
      <c r="H618" s="589">
        <v>4</v>
      </c>
      <c r="I618" s="589">
        <v>0</v>
      </c>
      <c r="J618" s="830">
        <f t="shared" si="53"/>
        <v>0.00500133952783277</v>
      </c>
      <c r="K618" s="831">
        <f t="shared" si="54"/>
        <v>0.130172458845048</v>
      </c>
      <c r="L618" s="809">
        <f t="shared" si="60"/>
        <v>0.651036663856925</v>
      </c>
      <c r="M618" s="839">
        <f t="shared" si="55"/>
        <v>0</v>
      </c>
      <c r="N618" s="840">
        <f t="shared" si="56"/>
        <v>0</v>
      </c>
      <c r="O618" s="675">
        <f t="shared" si="57"/>
        <v>76.6415384615385</v>
      </c>
      <c r="P618">
        <f t="shared" si="58"/>
        <v>13</v>
      </c>
      <c r="Q618" s="834">
        <f t="shared" si="59"/>
        <v>0.00169845832244578</v>
      </c>
    </row>
    <row r="619" spans="1:17">
      <c r="A619" s="801">
        <v>45367</v>
      </c>
      <c r="B619" s="589">
        <v>2187.49</v>
      </c>
      <c r="C619" s="589">
        <v>2828293</v>
      </c>
      <c r="D619" s="589">
        <v>16062</v>
      </c>
      <c r="E619" s="589">
        <v>0</v>
      </c>
      <c r="F619" s="589">
        <v>0</v>
      </c>
      <c r="G619" s="589">
        <v>11</v>
      </c>
      <c r="H619" s="589">
        <v>15</v>
      </c>
      <c r="I619" s="589">
        <v>3</v>
      </c>
      <c r="J619" s="830">
        <f t="shared" si="53"/>
        <v>0.00567904386143868</v>
      </c>
      <c r="K619" s="831">
        <f t="shared" si="54"/>
        <v>0.136190387249409</v>
      </c>
      <c r="L619" s="809">
        <f t="shared" si="60"/>
        <v>0.773431182695711</v>
      </c>
      <c r="M619" s="839">
        <f t="shared" si="55"/>
        <v>0</v>
      </c>
      <c r="N619" s="840">
        <f t="shared" si="56"/>
        <v>0</v>
      </c>
      <c r="O619" s="675">
        <f t="shared" si="57"/>
        <v>84.1342307692308</v>
      </c>
      <c r="P619">
        <f t="shared" si="58"/>
        <v>26</v>
      </c>
      <c r="Q619" s="834">
        <f t="shared" si="59"/>
        <v>0.00161872743120408</v>
      </c>
    </row>
    <row r="620" spans="1:17">
      <c r="A620" s="801">
        <v>45368</v>
      </c>
      <c r="B620" s="589">
        <v>2193.43</v>
      </c>
      <c r="C620" s="589">
        <v>2920444</v>
      </c>
      <c r="D620" s="589">
        <v>15731</v>
      </c>
      <c r="E620" s="589">
        <v>0</v>
      </c>
      <c r="F620" s="589">
        <v>0</v>
      </c>
      <c r="G620" s="589">
        <v>20</v>
      </c>
      <c r="H620" s="589">
        <v>18</v>
      </c>
      <c r="I620" s="589">
        <v>4</v>
      </c>
      <c r="J620" s="830">
        <f t="shared" si="53"/>
        <v>0.00538650972249425</v>
      </c>
      <c r="K620" s="831">
        <f t="shared" si="54"/>
        <v>0.13943360244104</v>
      </c>
      <c r="L620" s="809">
        <f t="shared" si="60"/>
        <v>0.75106045519106</v>
      </c>
      <c r="M620" s="839">
        <f t="shared" si="55"/>
        <v>0</v>
      </c>
      <c r="N620" s="840">
        <f t="shared" si="56"/>
        <v>0</v>
      </c>
      <c r="O620" s="675">
        <f t="shared" si="57"/>
        <v>57.7218421052632</v>
      </c>
      <c r="P620">
        <f t="shared" si="58"/>
        <v>38</v>
      </c>
      <c r="Q620" s="834">
        <f t="shared" si="59"/>
        <v>0.00241561248490242</v>
      </c>
    </row>
    <row r="621" spans="1:17">
      <c r="A621" s="801">
        <v>45369</v>
      </c>
      <c r="B621" s="589">
        <v>2196.25</v>
      </c>
      <c r="C621" s="589">
        <v>2962665</v>
      </c>
      <c r="D621" s="589">
        <v>16137</v>
      </c>
      <c r="E621" s="589">
        <v>0</v>
      </c>
      <c r="F621" s="589">
        <v>0</v>
      </c>
      <c r="G621" s="589">
        <v>19</v>
      </c>
      <c r="H621" s="589">
        <v>17</v>
      </c>
      <c r="I621" s="589">
        <v>1</v>
      </c>
      <c r="J621" s="830">
        <f t="shared" si="53"/>
        <v>0.00544678524234093</v>
      </c>
      <c r="K621" s="831">
        <f t="shared" si="54"/>
        <v>0.136100266468365</v>
      </c>
      <c r="L621" s="809">
        <f t="shared" si="60"/>
        <v>0.741308922878557</v>
      </c>
      <c r="M621" s="839">
        <f t="shared" si="55"/>
        <v>0</v>
      </c>
      <c r="N621" s="840">
        <f t="shared" si="56"/>
        <v>0</v>
      </c>
      <c r="O621" s="675">
        <f t="shared" si="57"/>
        <v>61.0069444444444</v>
      </c>
      <c r="P621">
        <f t="shared" si="58"/>
        <v>36</v>
      </c>
      <c r="Q621" s="834">
        <f t="shared" si="59"/>
        <v>0.00223089793641941</v>
      </c>
    </row>
    <row r="622" spans="1:17">
      <c r="A622" s="801">
        <v>45370</v>
      </c>
      <c r="B622" s="589">
        <v>2183.14</v>
      </c>
      <c r="C622" s="589">
        <v>2697605</v>
      </c>
      <c r="D622" s="589">
        <v>15444</v>
      </c>
      <c r="E622" s="589">
        <v>0</v>
      </c>
      <c r="F622" s="589">
        <v>0</v>
      </c>
      <c r="G622" s="589">
        <v>11</v>
      </c>
      <c r="H622" s="589">
        <v>7</v>
      </c>
      <c r="I622" s="589">
        <v>2</v>
      </c>
      <c r="J622" s="830">
        <f t="shared" si="53"/>
        <v>0.00572507835654219</v>
      </c>
      <c r="K622" s="831">
        <f t="shared" si="54"/>
        <v>0.141358456358456</v>
      </c>
      <c r="L622" s="809">
        <f t="shared" si="60"/>
        <v>0.809288239012012</v>
      </c>
      <c r="M622" s="839">
        <f t="shared" si="55"/>
        <v>0</v>
      </c>
      <c r="N622" s="840">
        <f t="shared" si="56"/>
        <v>0</v>
      </c>
      <c r="O622" s="675">
        <f t="shared" si="57"/>
        <v>121.285555555556</v>
      </c>
      <c r="P622">
        <f t="shared" si="58"/>
        <v>18</v>
      </c>
      <c r="Q622" s="834">
        <f t="shared" si="59"/>
        <v>0.00116550116550117</v>
      </c>
    </row>
    <row r="623" spans="1:17">
      <c r="A623" s="801">
        <v>45371</v>
      </c>
      <c r="B623" s="589">
        <v>2191.05</v>
      </c>
      <c r="C623" s="589">
        <v>3131974</v>
      </c>
      <c r="D623" s="589">
        <v>15941</v>
      </c>
      <c r="E623" s="589">
        <v>0</v>
      </c>
      <c r="F623" s="589">
        <v>0</v>
      </c>
      <c r="G623" s="589">
        <v>17</v>
      </c>
      <c r="H623" s="589">
        <v>20</v>
      </c>
      <c r="I623" s="589">
        <v>4</v>
      </c>
      <c r="J623" s="830">
        <f t="shared" si="53"/>
        <v>0.00508976128154321</v>
      </c>
      <c r="K623" s="831">
        <f t="shared" si="54"/>
        <v>0.137447462518035</v>
      </c>
      <c r="L623" s="809">
        <f t="shared" si="60"/>
        <v>0.699574772970657</v>
      </c>
      <c r="M623" s="839">
        <f t="shared" si="55"/>
        <v>0</v>
      </c>
      <c r="N623" s="840">
        <f t="shared" si="56"/>
        <v>0</v>
      </c>
      <c r="O623" s="675">
        <f t="shared" si="57"/>
        <v>59.2175675675676</v>
      </c>
      <c r="P623">
        <f t="shared" si="58"/>
        <v>37</v>
      </c>
      <c r="Q623" s="834">
        <f t="shared" si="59"/>
        <v>0.00232105890471112</v>
      </c>
    </row>
    <row r="624" spans="1:17">
      <c r="A624" s="801">
        <v>45372</v>
      </c>
      <c r="B624" s="589">
        <v>2180.11</v>
      </c>
      <c r="C624" s="589">
        <v>3212548</v>
      </c>
      <c r="D624" s="589">
        <v>15660</v>
      </c>
      <c r="E624" s="589">
        <v>0</v>
      </c>
      <c r="F624" s="589">
        <v>0</v>
      </c>
      <c r="G624" s="589">
        <v>16</v>
      </c>
      <c r="H624" s="589">
        <v>19</v>
      </c>
      <c r="I624" s="589">
        <v>3</v>
      </c>
      <c r="J624" s="830">
        <f t="shared" si="53"/>
        <v>0.00487463533618797</v>
      </c>
      <c r="K624" s="831">
        <f t="shared" si="54"/>
        <v>0.139215197956577</v>
      </c>
      <c r="L624" s="809">
        <f t="shared" si="60"/>
        <v>0.678623323293535</v>
      </c>
      <c r="M624" s="839">
        <f t="shared" si="55"/>
        <v>0</v>
      </c>
      <c r="N624" s="840">
        <f t="shared" si="56"/>
        <v>0</v>
      </c>
      <c r="O624" s="675">
        <f t="shared" si="57"/>
        <v>62.2888571428571</v>
      </c>
      <c r="P624">
        <f t="shared" si="58"/>
        <v>35</v>
      </c>
      <c r="Q624" s="834">
        <f t="shared" si="59"/>
        <v>0.00223499361430396</v>
      </c>
    </row>
    <row r="625" spans="1:17">
      <c r="A625" s="801">
        <v>45373</v>
      </c>
      <c r="B625" s="589">
        <v>2173.24</v>
      </c>
      <c r="C625" s="589">
        <v>2619116</v>
      </c>
      <c r="D625" s="589">
        <v>14315</v>
      </c>
      <c r="E625" s="589">
        <v>0</v>
      </c>
      <c r="F625" s="589">
        <v>0</v>
      </c>
      <c r="G625" s="589">
        <v>4</v>
      </c>
      <c r="H625" s="589">
        <v>10</v>
      </c>
      <c r="I625" s="589">
        <v>1</v>
      </c>
      <c r="J625" s="830">
        <f t="shared" si="53"/>
        <v>0.00546558457128283</v>
      </c>
      <c r="K625" s="831">
        <f t="shared" si="54"/>
        <v>0.151815578064967</v>
      </c>
      <c r="L625" s="809">
        <f t="shared" si="60"/>
        <v>0.829760881152267</v>
      </c>
      <c r="M625" s="839">
        <f t="shared" si="55"/>
        <v>0</v>
      </c>
      <c r="N625" s="840">
        <f t="shared" si="56"/>
        <v>0</v>
      </c>
      <c r="O625" s="675">
        <f t="shared" si="57"/>
        <v>155.231428571429</v>
      </c>
      <c r="P625">
        <f t="shared" si="58"/>
        <v>14</v>
      </c>
      <c r="Q625" s="834">
        <f t="shared" si="59"/>
        <v>0.00097799511002445</v>
      </c>
    </row>
    <row r="626" spans="1:17">
      <c r="A626" s="801">
        <v>45374</v>
      </c>
      <c r="B626" s="589">
        <v>2180.57</v>
      </c>
      <c r="C626" s="589">
        <v>2996562</v>
      </c>
      <c r="D626" s="589">
        <v>15325</v>
      </c>
      <c r="E626" s="589">
        <v>0</v>
      </c>
      <c r="F626" s="589">
        <v>0</v>
      </c>
      <c r="G626" s="589">
        <v>11</v>
      </c>
      <c r="H626" s="589">
        <v>16</v>
      </c>
      <c r="I626" s="589">
        <v>3</v>
      </c>
      <c r="J626" s="830">
        <f t="shared" si="53"/>
        <v>0.0051141941998864</v>
      </c>
      <c r="K626" s="831">
        <f t="shared" si="54"/>
        <v>0.142288417618271</v>
      </c>
      <c r="L626" s="809">
        <f t="shared" si="60"/>
        <v>0.727690600094375</v>
      </c>
      <c r="M626" s="839">
        <f t="shared" si="55"/>
        <v>0</v>
      </c>
      <c r="N626" s="840">
        <f t="shared" si="56"/>
        <v>0</v>
      </c>
      <c r="O626" s="675">
        <f t="shared" si="57"/>
        <v>80.7618518518519</v>
      </c>
      <c r="P626">
        <f t="shared" si="58"/>
        <v>27</v>
      </c>
      <c r="Q626" s="834">
        <f t="shared" si="59"/>
        <v>0.00176182707993475</v>
      </c>
    </row>
    <row r="627" spans="1:17">
      <c r="A627" s="801">
        <v>45375</v>
      </c>
      <c r="B627" s="589">
        <v>2194.89</v>
      </c>
      <c r="C627" s="589">
        <v>2851341</v>
      </c>
      <c r="D627" s="589">
        <v>16052</v>
      </c>
      <c r="E627" s="589">
        <v>0</v>
      </c>
      <c r="F627" s="589">
        <v>0</v>
      </c>
      <c r="G627" s="589">
        <v>5</v>
      </c>
      <c r="H627" s="589">
        <v>23</v>
      </c>
      <c r="I627" s="589">
        <v>3</v>
      </c>
      <c r="J627" s="830">
        <f t="shared" si="53"/>
        <v>0.00562963181183871</v>
      </c>
      <c r="K627" s="831">
        <f t="shared" si="54"/>
        <v>0.136736232245203</v>
      </c>
      <c r="L627" s="809">
        <f t="shared" si="60"/>
        <v>0.769774642878561</v>
      </c>
      <c r="M627" s="839">
        <f t="shared" si="55"/>
        <v>0</v>
      </c>
      <c r="N627" s="840">
        <f t="shared" si="56"/>
        <v>0</v>
      </c>
      <c r="O627" s="675">
        <f t="shared" si="57"/>
        <v>78.3889285714286</v>
      </c>
      <c r="P627">
        <f t="shared" si="58"/>
        <v>28</v>
      </c>
      <c r="Q627" s="834">
        <f t="shared" si="59"/>
        <v>0.00174433092449539</v>
      </c>
    </row>
    <row r="628" spans="1:17">
      <c r="A628" s="801">
        <v>45376</v>
      </c>
      <c r="B628" s="589">
        <v>2195.77</v>
      </c>
      <c r="C628" s="589">
        <v>2924952</v>
      </c>
      <c r="D628" s="589">
        <v>15963</v>
      </c>
      <c r="E628" s="589">
        <v>0</v>
      </c>
      <c r="F628" s="589">
        <v>0</v>
      </c>
      <c r="G628" s="589">
        <v>9</v>
      </c>
      <c r="H628" s="589">
        <v>13</v>
      </c>
      <c r="I628" s="589">
        <v>3</v>
      </c>
      <c r="J628" s="830">
        <f t="shared" si="53"/>
        <v>0.00545752545682801</v>
      </c>
      <c r="K628" s="831">
        <f t="shared" si="54"/>
        <v>0.137553717972812</v>
      </c>
      <c r="L628" s="809">
        <f t="shared" si="60"/>
        <v>0.750702917517963</v>
      </c>
      <c r="M628" s="839">
        <f t="shared" si="55"/>
        <v>0</v>
      </c>
      <c r="N628" s="840">
        <f t="shared" si="56"/>
        <v>0</v>
      </c>
      <c r="O628" s="675">
        <f t="shared" si="57"/>
        <v>99.8077272727273</v>
      </c>
      <c r="P628">
        <f t="shared" si="58"/>
        <v>22</v>
      </c>
      <c r="Q628" s="834">
        <f t="shared" si="59"/>
        <v>0.00137818705757063</v>
      </c>
    </row>
    <row r="629" spans="1:17">
      <c r="A629" s="801">
        <v>45377</v>
      </c>
      <c r="B629" s="589">
        <v>2156.38</v>
      </c>
      <c r="C629" s="589">
        <v>3134310</v>
      </c>
      <c r="D629" s="589">
        <v>16162</v>
      </c>
      <c r="E629" s="589">
        <v>0</v>
      </c>
      <c r="F629" s="589">
        <v>0</v>
      </c>
      <c r="G629" s="589">
        <v>18</v>
      </c>
      <c r="H629" s="589">
        <v>17</v>
      </c>
      <c r="I629" s="589">
        <v>1</v>
      </c>
      <c r="J629" s="830">
        <f t="shared" si="53"/>
        <v>0.00515647782127486</v>
      </c>
      <c r="K629" s="831">
        <f t="shared" si="54"/>
        <v>0.133422843707462</v>
      </c>
      <c r="L629" s="809">
        <f t="shared" si="60"/>
        <v>0.687991934428949</v>
      </c>
      <c r="M629" s="839">
        <f t="shared" si="55"/>
        <v>0</v>
      </c>
      <c r="N629" s="840">
        <f t="shared" si="56"/>
        <v>0</v>
      </c>
      <c r="O629" s="675">
        <f t="shared" si="57"/>
        <v>61.6108571428571</v>
      </c>
      <c r="P629">
        <f t="shared" si="58"/>
        <v>35</v>
      </c>
      <c r="Q629" s="834">
        <f t="shared" si="59"/>
        <v>0.00216557356762777</v>
      </c>
    </row>
    <row r="630" spans="1:17">
      <c r="A630" s="801">
        <v>45378</v>
      </c>
      <c r="B630" s="589">
        <v>1685.48</v>
      </c>
      <c r="C630" s="589">
        <v>2558090</v>
      </c>
      <c r="D630" s="589">
        <v>13392</v>
      </c>
      <c r="E630" s="589">
        <v>0</v>
      </c>
      <c r="F630" s="589">
        <v>0</v>
      </c>
      <c r="G630" s="589">
        <v>8</v>
      </c>
      <c r="H630" s="589">
        <v>16</v>
      </c>
      <c r="I630" s="589">
        <v>0</v>
      </c>
      <c r="J630" s="830">
        <f t="shared" si="53"/>
        <v>0.00523515591711003</v>
      </c>
      <c r="K630" s="831">
        <f t="shared" si="54"/>
        <v>0.125857228195938</v>
      </c>
      <c r="L630" s="809">
        <f t="shared" si="60"/>
        <v>0.658882212901032</v>
      </c>
      <c r="M630" s="839">
        <f t="shared" si="55"/>
        <v>0</v>
      </c>
      <c r="N630" s="840">
        <f t="shared" si="56"/>
        <v>0</v>
      </c>
      <c r="O630" s="675">
        <f t="shared" si="57"/>
        <v>70.2283333333333</v>
      </c>
      <c r="P630">
        <f t="shared" si="58"/>
        <v>24</v>
      </c>
      <c r="Q630" s="834">
        <f t="shared" si="59"/>
        <v>0.0017921146953405</v>
      </c>
    </row>
    <row r="631" spans="1:17">
      <c r="A631" s="801">
        <v>45379</v>
      </c>
      <c r="B631" s="589">
        <v>1698.28</v>
      </c>
      <c r="C631" s="589">
        <v>2524055</v>
      </c>
      <c r="D631" s="589">
        <v>13284</v>
      </c>
      <c r="E631" s="589">
        <v>0</v>
      </c>
      <c r="F631" s="589">
        <v>0</v>
      </c>
      <c r="G631" s="589">
        <v>2</v>
      </c>
      <c r="H631" s="589">
        <v>13</v>
      </c>
      <c r="I631" s="589">
        <v>0</v>
      </c>
      <c r="J631" s="830">
        <f t="shared" si="53"/>
        <v>0.00526295980079673</v>
      </c>
      <c r="K631" s="831">
        <f t="shared" si="54"/>
        <v>0.127844022884673</v>
      </c>
      <c r="L631" s="809">
        <f t="shared" si="60"/>
        <v>0.672837953214173</v>
      </c>
      <c r="M631" s="839">
        <f t="shared" si="55"/>
        <v>0</v>
      </c>
      <c r="N631" s="840">
        <f t="shared" si="56"/>
        <v>0</v>
      </c>
      <c r="O631" s="675">
        <f t="shared" si="57"/>
        <v>113.218666666667</v>
      </c>
      <c r="P631">
        <f t="shared" si="58"/>
        <v>15</v>
      </c>
      <c r="Q631" s="834">
        <f t="shared" si="59"/>
        <v>0.00112917795844625</v>
      </c>
    </row>
    <row r="632" spans="1:17">
      <c r="A632" s="801">
        <v>45380</v>
      </c>
      <c r="B632" s="589">
        <v>1696.2</v>
      </c>
      <c r="C632" s="589">
        <v>3139010</v>
      </c>
      <c r="D632" s="589">
        <v>16574</v>
      </c>
      <c r="E632" s="589">
        <v>0</v>
      </c>
      <c r="F632" s="589">
        <v>0</v>
      </c>
      <c r="G632" s="589">
        <v>11</v>
      </c>
      <c r="H632" s="589">
        <v>16</v>
      </c>
      <c r="I632" s="589">
        <v>3</v>
      </c>
      <c r="J632" s="830">
        <f t="shared" si="53"/>
        <v>0.00528000866515239</v>
      </c>
      <c r="K632" s="831">
        <f t="shared" si="54"/>
        <v>0.102341016049234</v>
      </c>
      <c r="L632" s="809">
        <f t="shared" si="60"/>
        <v>0.540361451540454</v>
      </c>
      <c r="M632" s="839">
        <f t="shared" si="55"/>
        <v>0</v>
      </c>
      <c r="N632" s="840">
        <f t="shared" si="56"/>
        <v>0</v>
      </c>
      <c r="O632" s="675">
        <f t="shared" si="57"/>
        <v>62.8222222222222</v>
      </c>
      <c r="P632">
        <f t="shared" si="58"/>
        <v>27</v>
      </c>
      <c r="Q632" s="834">
        <f t="shared" si="59"/>
        <v>0.00162905756003379</v>
      </c>
    </row>
    <row r="633" spans="1:17">
      <c r="A633" s="801">
        <v>45381</v>
      </c>
      <c r="B633" s="589">
        <v>641.03</v>
      </c>
      <c r="C633" s="589">
        <v>2020412</v>
      </c>
      <c r="D633" s="589">
        <v>6391</v>
      </c>
      <c r="E633" s="589">
        <v>0</v>
      </c>
      <c r="F633" s="589">
        <v>0</v>
      </c>
      <c r="G633" s="589">
        <v>7</v>
      </c>
      <c r="H633" s="589">
        <v>8</v>
      </c>
      <c r="I633" s="589">
        <v>1</v>
      </c>
      <c r="J633" s="830">
        <f t="shared" si="53"/>
        <v>0.00316321621530658</v>
      </c>
      <c r="K633" s="831">
        <f t="shared" si="54"/>
        <v>0.100301987169457</v>
      </c>
      <c r="L633" s="809">
        <f t="shared" si="60"/>
        <v>0.317276872241899</v>
      </c>
      <c r="M633" s="839">
        <f t="shared" si="55"/>
        <v>0</v>
      </c>
      <c r="N633" s="840">
        <f t="shared" si="56"/>
        <v>0</v>
      </c>
      <c r="O633" s="675">
        <f t="shared" si="57"/>
        <v>42.7353333333333</v>
      </c>
      <c r="P633">
        <f t="shared" si="58"/>
        <v>15</v>
      </c>
      <c r="Q633" s="834">
        <f t="shared" si="59"/>
        <v>0.00234705053982162</v>
      </c>
    </row>
    <row r="634" spans="1:17">
      <c r="A634" s="801">
        <v>45382</v>
      </c>
      <c r="B634" s="589">
        <v>640.06</v>
      </c>
      <c r="C634" s="589">
        <v>1942008</v>
      </c>
      <c r="D634" s="589">
        <v>6389</v>
      </c>
      <c r="E634" s="589">
        <v>0</v>
      </c>
      <c r="F634" s="589">
        <v>0</v>
      </c>
      <c r="G634" s="589">
        <v>3</v>
      </c>
      <c r="H634" s="589">
        <v>3</v>
      </c>
      <c r="I634" s="589">
        <v>0</v>
      </c>
      <c r="J634" s="830">
        <f t="shared" si="53"/>
        <v>0.00328989375944898</v>
      </c>
      <c r="K634" s="831">
        <f t="shared" si="54"/>
        <v>0.10018156205979</v>
      </c>
      <c r="L634" s="809">
        <f t="shared" si="60"/>
        <v>0.329586695832355</v>
      </c>
      <c r="M634" s="839">
        <f t="shared" si="55"/>
        <v>0</v>
      </c>
      <c r="N634" s="840">
        <f t="shared" si="56"/>
        <v>0</v>
      </c>
      <c r="O634" s="675">
        <f t="shared" si="57"/>
        <v>106.676666666667</v>
      </c>
      <c r="P634">
        <f t="shared" si="58"/>
        <v>6</v>
      </c>
      <c r="Q634" s="834">
        <f t="shared" si="59"/>
        <v>0.000939114102363437</v>
      </c>
    </row>
    <row r="635" spans="1:17">
      <c r="A635" s="801">
        <v>45383</v>
      </c>
      <c r="B635" s="589">
        <v>777.41</v>
      </c>
      <c r="C635" s="589">
        <v>1416906</v>
      </c>
      <c r="D635" s="589">
        <v>4707</v>
      </c>
      <c r="E635" s="589">
        <v>0</v>
      </c>
      <c r="F635" s="589">
        <v>0</v>
      </c>
      <c r="G635" s="589">
        <v>3</v>
      </c>
      <c r="H635" s="589">
        <v>3</v>
      </c>
      <c r="I635" s="589">
        <v>0</v>
      </c>
      <c r="J635" s="830">
        <f t="shared" si="53"/>
        <v>0.00332202700814309</v>
      </c>
      <c r="K635" s="831">
        <f t="shared" si="54"/>
        <v>0.165160399405141</v>
      </c>
      <c r="L635" s="809">
        <f t="shared" si="60"/>
        <v>0.54866730749958</v>
      </c>
      <c r="M635" s="839">
        <f t="shared" si="55"/>
        <v>0</v>
      </c>
      <c r="N635" s="840">
        <f t="shared" si="56"/>
        <v>0</v>
      </c>
      <c r="O635" s="675">
        <f t="shared" si="57"/>
        <v>129.568333333333</v>
      </c>
      <c r="P635">
        <f t="shared" si="58"/>
        <v>6</v>
      </c>
      <c r="Q635" s="834">
        <f t="shared" si="59"/>
        <v>0.00127469725940089</v>
      </c>
    </row>
    <row r="636" spans="1:17">
      <c r="A636" s="801">
        <v>45384</v>
      </c>
      <c r="B636" s="589">
        <v>784.92</v>
      </c>
      <c r="C636" s="589">
        <v>1186983</v>
      </c>
      <c r="D636" s="589">
        <v>4522</v>
      </c>
      <c r="E636" s="589">
        <v>0</v>
      </c>
      <c r="F636" s="589">
        <v>0</v>
      </c>
      <c r="G636" s="589">
        <v>15</v>
      </c>
      <c r="H636" s="589">
        <v>1</v>
      </c>
      <c r="I636" s="589">
        <v>1</v>
      </c>
      <c r="J636" s="830">
        <f t="shared" ref="J636:J657" si="61">D636/C636</f>
        <v>0.00380965860505163</v>
      </c>
      <c r="K636" s="831">
        <f t="shared" ref="K636:K657" si="62">B636/D636</f>
        <v>0.173578062804069</v>
      </c>
      <c r="L636" s="809">
        <f t="shared" si="60"/>
        <v>0.661273160609714</v>
      </c>
      <c r="M636" s="839">
        <f t="shared" ref="M636:M657" si="63">F636/B636</f>
        <v>0</v>
      </c>
      <c r="N636" s="840">
        <f t="shared" ref="N636:N657" si="64">E636/D636</f>
        <v>0</v>
      </c>
      <c r="O636" s="675">
        <f t="shared" si="57"/>
        <v>49.0575</v>
      </c>
      <c r="P636">
        <f t="shared" si="58"/>
        <v>16</v>
      </c>
      <c r="Q636" s="834">
        <f t="shared" si="59"/>
        <v>0.00353825740822645</v>
      </c>
    </row>
    <row r="637" spans="1:17">
      <c r="A637" s="801">
        <v>45385</v>
      </c>
      <c r="B637" s="589">
        <v>792.44</v>
      </c>
      <c r="C637" s="589">
        <v>1314948</v>
      </c>
      <c r="D637" s="589">
        <v>4215</v>
      </c>
      <c r="E637" s="589">
        <v>1</v>
      </c>
      <c r="F637" s="589">
        <v>1799.68</v>
      </c>
      <c r="G637" s="589">
        <v>1</v>
      </c>
      <c r="H637" s="589">
        <v>1</v>
      </c>
      <c r="I637" s="589">
        <v>1</v>
      </c>
      <c r="J637" s="830">
        <f t="shared" si="61"/>
        <v>0.00320544994935161</v>
      </c>
      <c r="K637" s="831">
        <f t="shared" si="62"/>
        <v>0.188004744958482</v>
      </c>
      <c r="L637" s="809">
        <f t="shared" si="60"/>
        <v>0.602639800205027</v>
      </c>
      <c r="M637" s="839">
        <f t="shared" si="63"/>
        <v>2.27106153147241</v>
      </c>
      <c r="N637" s="840">
        <f t="shared" si="64"/>
        <v>0.000237247924080664</v>
      </c>
      <c r="O637" s="675">
        <f t="shared" si="57"/>
        <v>396.22</v>
      </c>
      <c r="P637">
        <f t="shared" si="58"/>
        <v>2</v>
      </c>
      <c r="Q637" s="834">
        <f t="shared" si="59"/>
        <v>0.000474495848161329</v>
      </c>
    </row>
    <row r="638" spans="1:17">
      <c r="A638" s="801">
        <v>45386</v>
      </c>
      <c r="B638" s="589">
        <v>798.74</v>
      </c>
      <c r="C638" s="589">
        <v>1145154</v>
      </c>
      <c r="D638" s="589">
        <v>4556</v>
      </c>
      <c r="E638" s="589">
        <v>1</v>
      </c>
      <c r="F638" s="589">
        <v>18594</v>
      </c>
      <c r="G638" s="589">
        <v>4</v>
      </c>
      <c r="H638" s="589">
        <v>7</v>
      </c>
      <c r="I638" s="589">
        <v>2</v>
      </c>
      <c r="J638" s="830">
        <f t="shared" si="61"/>
        <v>0.00397850420118168</v>
      </c>
      <c r="K638" s="831">
        <f t="shared" si="62"/>
        <v>0.175316066725198</v>
      </c>
      <c r="L638" s="809">
        <f t="shared" si="60"/>
        <v>0.697495708000845</v>
      </c>
      <c r="M638" s="839">
        <f t="shared" si="63"/>
        <v>23.2791646843779</v>
      </c>
      <c r="N638" s="840">
        <f t="shared" si="64"/>
        <v>0.000219490781387182</v>
      </c>
      <c r="O638" s="675">
        <f t="shared" si="57"/>
        <v>72.6127272727273</v>
      </c>
      <c r="P638">
        <f t="shared" si="58"/>
        <v>11</v>
      </c>
      <c r="Q638" s="834">
        <f t="shared" si="59"/>
        <v>0.002414398595259</v>
      </c>
    </row>
    <row r="639" spans="1:17">
      <c r="A639" s="801">
        <v>45387</v>
      </c>
      <c r="B639" s="589">
        <v>771.54</v>
      </c>
      <c r="C639" s="589">
        <v>1385580</v>
      </c>
      <c r="D639" s="589">
        <v>4708</v>
      </c>
      <c r="E639" s="589">
        <v>0</v>
      </c>
      <c r="F639" s="589">
        <v>0</v>
      </c>
      <c r="G639" s="589">
        <v>1</v>
      </c>
      <c r="H639" s="589">
        <v>3</v>
      </c>
      <c r="I639" s="589">
        <v>0</v>
      </c>
      <c r="J639" s="830">
        <f t="shared" si="61"/>
        <v>0.00339785504987081</v>
      </c>
      <c r="K639" s="831">
        <f t="shared" si="62"/>
        <v>0.163878504672897</v>
      </c>
      <c r="L639" s="809">
        <f t="shared" si="60"/>
        <v>0.556835404668081</v>
      </c>
      <c r="M639" s="839">
        <f t="shared" si="63"/>
        <v>0</v>
      </c>
      <c r="N639" s="840">
        <f t="shared" si="64"/>
        <v>0</v>
      </c>
      <c r="O639" s="675">
        <f t="shared" si="57"/>
        <v>192.885</v>
      </c>
      <c r="P639">
        <f t="shared" si="58"/>
        <v>4</v>
      </c>
      <c r="Q639" s="834">
        <f t="shared" si="59"/>
        <v>0.000849617672047579</v>
      </c>
    </row>
    <row r="640" spans="1:17">
      <c r="A640" s="801">
        <v>45388</v>
      </c>
      <c r="B640" s="589">
        <v>770.93</v>
      </c>
      <c r="C640" s="589">
        <v>1242661</v>
      </c>
      <c r="D640" s="589">
        <v>4693</v>
      </c>
      <c r="E640" s="589">
        <v>0</v>
      </c>
      <c r="F640" s="589">
        <v>0</v>
      </c>
      <c r="G640" s="589">
        <v>3</v>
      </c>
      <c r="H640" s="589">
        <v>4</v>
      </c>
      <c r="I640" s="589">
        <v>2</v>
      </c>
      <c r="J640" s="830">
        <f t="shared" si="61"/>
        <v>0.00377657301548854</v>
      </c>
      <c r="K640" s="831">
        <f t="shared" si="62"/>
        <v>0.164272320477307</v>
      </c>
      <c r="L640" s="809">
        <f t="shared" si="60"/>
        <v>0.620386412706281</v>
      </c>
      <c r="M640" s="839">
        <f t="shared" si="63"/>
        <v>0</v>
      </c>
      <c r="N640" s="840">
        <f t="shared" si="64"/>
        <v>0</v>
      </c>
      <c r="O640" s="675">
        <f t="shared" si="57"/>
        <v>110.132857142857</v>
      </c>
      <c r="P640">
        <f t="shared" ref="P640:P678" si="65">G640+H640</f>
        <v>7</v>
      </c>
      <c r="Q640" s="834">
        <f t="shared" ref="Q640:Q678" si="66">P640/D640</f>
        <v>0.00149158320903473</v>
      </c>
    </row>
    <row r="641" spans="1:17">
      <c r="A641" s="801">
        <v>45389</v>
      </c>
      <c r="B641" s="589">
        <v>787.53</v>
      </c>
      <c r="C641" s="589">
        <v>1397760</v>
      </c>
      <c r="D641" s="589">
        <v>5095</v>
      </c>
      <c r="E641" s="589">
        <v>0</v>
      </c>
      <c r="F641" s="589">
        <v>0</v>
      </c>
      <c r="G641" s="589">
        <v>0</v>
      </c>
      <c r="H641" s="589">
        <v>2</v>
      </c>
      <c r="I641" s="589">
        <v>0</v>
      </c>
      <c r="J641" s="830">
        <f t="shared" si="61"/>
        <v>0.0036451179029304</v>
      </c>
      <c r="K641" s="831">
        <f t="shared" si="62"/>
        <v>0.154569185475957</v>
      </c>
      <c r="L641" s="809">
        <f t="shared" si="60"/>
        <v>0.56342290521978</v>
      </c>
      <c r="M641" s="839">
        <f t="shared" si="63"/>
        <v>0</v>
      </c>
      <c r="N641" s="840">
        <f t="shared" si="64"/>
        <v>0</v>
      </c>
      <c r="O641" s="675">
        <f t="shared" si="57"/>
        <v>393.765</v>
      </c>
      <c r="P641">
        <f t="shared" si="65"/>
        <v>2</v>
      </c>
      <c r="Q641" s="834">
        <f t="shared" si="66"/>
        <v>0.000392541707556428</v>
      </c>
    </row>
    <row r="642" spans="1:17">
      <c r="A642" s="801">
        <v>45390</v>
      </c>
      <c r="B642" s="589">
        <v>799.52</v>
      </c>
      <c r="C642" s="589">
        <v>1273351</v>
      </c>
      <c r="D642" s="589">
        <v>5060</v>
      </c>
      <c r="E642" s="589">
        <v>0</v>
      </c>
      <c r="F642" s="589">
        <v>0</v>
      </c>
      <c r="G642" s="589">
        <v>7</v>
      </c>
      <c r="H642" s="589">
        <v>4</v>
      </c>
      <c r="I642" s="589">
        <v>1</v>
      </c>
      <c r="J642" s="830">
        <f t="shared" si="61"/>
        <v>0.0039737668561143</v>
      </c>
      <c r="K642" s="831">
        <f t="shared" si="62"/>
        <v>0.15800790513834</v>
      </c>
      <c r="L642" s="809">
        <f t="shared" si="60"/>
        <v>0.627886576442788</v>
      </c>
      <c r="M642" s="839">
        <f t="shared" si="63"/>
        <v>0</v>
      </c>
      <c r="N642" s="840">
        <f t="shared" si="64"/>
        <v>0</v>
      </c>
      <c r="O642" s="675">
        <f t="shared" si="57"/>
        <v>72.6836363636364</v>
      </c>
      <c r="P642">
        <f t="shared" si="65"/>
        <v>11</v>
      </c>
      <c r="Q642" s="834">
        <f t="shared" si="66"/>
        <v>0.00217391304347826</v>
      </c>
    </row>
    <row r="643" spans="1:17">
      <c r="A643" s="801">
        <v>45391</v>
      </c>
      <c r="B643" s="589">
        <v>781.65</v>
      </c>
      <c r="C643" s="589">
        <v>1452321</v>
      </c>
      <c r="D643" s="589">
        <v>5131</v>
      </c>
      <c r="E643" s="589">
        <v>0</v>
      </c>
      <c r="F643" s="589">
        <v>0</v>
      </c>
      <c r="G643" s="589">
        <v>0</v>
      </c>
      <c r="H643" s="589">
        <v>2</v>
      </c>
      <c r="I643" s="589">
        <v>0</v>
      </c>
      <c r="J643" s="830">
        <f t="shared" si="61"/>
        <v>0.00353296550831393</v>
      </c>
      <c r="K643" s="831">
        <f t="shared" si="62"/>
        <v>0.15233872539466</v>
      </c>
      <c r="L643" s="809">
        <f t="shared" si="60"/>
        <v>0.538207462399841</v>
      </c>
      <c r="M643" s="839">
        <f t="shared" si="63"/>
        <v>0</v>
      </c>
      <c r="N643" s="840">
        <f t="shared" si="64"/>
        <v>0</v>
      </c>
      <c r="O643" s="675">
        <f t="shared" si="57"/>
        <v>390.825</v>
      </c>
      <c r="P643">
        <f t="shared" si="65"/>
        <v>2</v>
      </c>
      <c r="Q643" s="834">
        <f t="shared" si="66"/>
        <v>0.000389787565776652</v>
      </c>
    </row>
    <row r="644" spans="1:17">
      <c r="A644" s="801">
        <v>45392</v>
      </c>
      <c r="B644" s="589">
        <v>1037.44</v>
      </c>
      <c r="C644" s="589">
        <v>1521783</v>
      </c>
      <c r="D644" s="589">
        <v>6120</v>
      </c>
      <c r="E644" s="589">
        <v>0</v>
      </c>
      <c r="F644" s="589">
        <v>0</v>
      </c>
      <c r="G644" s="589">
        <v>1</v>
      </c>
      <c r="H644" s="589">
        <v>5</v>
      </c>
      <c r="I644" s="589">
        <v>1</v>
      </c>
      <c r="J644" s="830">
        <f t="shared" si="61"/>
        <v>0.00402159834877903</v>
      </c>
      <c r="K644" s="831">
        <f t="shared" si="62"/>
        <v>0.169516339869281</v>
      </c>
      <c r="L644" s="809">
        <f t="shared" si="60"/>
        <v>0.681726632509366</v>
      </c>
      <c r="M644" s="839">
        <f t="shared" si="63"/>
        <v>0</v>
      </c>
      <c r="N644" s="840">
        <f t="shared" si="64"/>
        <v>0</v>
      </c>
      <c r="O644" s="675">
        <f t="shared" si="57"/>
        <v>172.906666666667</v>
      </c>
      <c r="P644">
        <f t="shared" si="65"/>
        <v>6</v>
      </c>
      <c r="Q644" s="834">
        <f t="shared" si="66"/>
        <v>0.000980392156862745</v>
      </c>
    </row>
    <row r="645" spans="1:17">
      <c r="A645" s="801">
        <v>45393</v>
      </c>
      <c r="B645" s="589">
        <v>1044.78</v>
      </c>
      <c r="C645" s="589">
        <v>1724688</v>
      </c>
      <c r="D645" s="589">
        <v>6135</v>
      </c>
      <c r="E645" s="589">
        <v>0</v>
      </c>
      <c r="F645" s="589">
        <v>0</v>
      </c>
      <c r="G645" s="589">
        <v>3</v>
      </c>
      <c r="H645" s="589">
        <v>3</v>
      </c>
      <c r="I645" s="589">
        <v>0</v>
      </c>
      <c r="J645" s="830">
        <f t="shared" si="61"/>
        <v>0.00355716512203946</v>
      </c>
      <c r="K645" s="831">
        <f t="shared" si="62"/>
        <v>0.170298288508557</v>
      </c>
      <c r="L645" s="809">
        <f t="shared" si="60"/>
        <v>0.605779132225655</v>
      </c>
      <c r="M645" s="839">
        <f t="shared" si="63"/>
        <v>0</v>
      </c>
      <c r="N645" s="840">
        <f t="shared" si="64"/>
        <v>0</v>
      </c>
      <c r="O645" s="675">
        <f t="shared" si="57"/>
        <v>174.13</v>
      </c>
      <c r="P645">
        <f t="shared" si="65"/>
        <v>6</v>
      </c>
      <c r="Q645" s="834">
        <f t="shared" si="66"/>
        <v>0.00097799511002445</v>
      </c>
    </row>
    <row r="646" spans="1:17">
      <c r="A646" s="801">
        <v>45394</v>
      </c>
      <c r="B646" s="589">
        <v>1042.11</v>
      </c>
      <c r="C646" s="589">
        <v>1746706</v>
      </c>
      <c r="D646" s="589">
        <v>6379</v>
      </c>
      <c r="E646" s="589">
        <v>0</v>
      </c>
      <c r="F646" s="589">
        <v>0</v>
      </c>
      <c r="G646" s="589">
        <v>3</v>
      </c>
      <c r="H646" s="589">
        <v>6</v>
      </c>
      <c r="I646" s="589">
        <v>1</v>
      </c>
      <c r="J646" s="830">
        <f t="shared" si="61"/>
        <v>0.00365201699656382</v>
      </c>
      <c r="K646" s="831">
        <f t="shared" si="62"/>
        <v>0.163365731305847</v>
      </c>
      <c r="L646" s="809">
        <f t="shared" si="60"/>
        <v>0.596614427385032</v>
      </c>
      <c r="M646" s="839">
        <f t="shared" si="63"/>
        <v>0</v>
      </c>
      <c r="N646" s="840">
        <f t="shared" si="64"/>
        <v>0</v>
      </c>
      <c r="O646" s="675">
        <f t="shared" ref="O646:O678" si="67">B646/(G646+H646)</f>
        <v>115.79</v>
      </c>
      <c r="P646">
        <f t="shared" si="65"/>
        <v>9</v>
      </c>
      <c r="Q646" s="834">
        <f t="shared" si="66"/>
        <v>0.00141087944818937</v>
      </c>
    </row>
    <row r="647" spans="1:17">
      <c r="A647" s="801">
        <v>45395</v>
      </c>
      <c r="B647" s="589">
        <v>1466.55</v>
      </c>
      <c r="C647" s="589">
        <v>1754751</v>
      </c>
      <c r="D647" s="589">
        <v>6508</v>
      </c>
      <c r="E647" s="589">
        <v>0</v>
      </c>
      <c r="F647" s="589">
        <v>0</v>
      </c>
      <c r="G647" s="589">
        <v>10</v>
      </c>
      <c r="H647" s="589">
        <v>45</v>
      </c>
      <c r="I647" s="589">
        <v>0</v>
      </c>
      <c r="J647" s="830">
        <f t="shared" si="61"/>
        <v>0.00370878831241584</v>
      </c>
      <c r="K647" s="831">
        <f t="shared" si="62"/>
        <v>0.225345728334358</v>
      </c>
      <c r="L647" s="809">
        <f t="shared" si="60"/>
        <v>0.8357596034993</v>
      </c>
      <c r="M647" s="839">
        <f t="shared" si="63"/>
        <v>0</v>
      </c>
      <c r="N647" s="840">
        <f t="shared" si="64"/>
        <v>0</v>
      </c>
      <c r="O647" s="675">
        <f t="shared" si="67"/>
        <v>26.6645454545455</v>
      </c>
      <c r="P647">
        <f t="shared" si="65"/>
        <v>55</v>
      </c>
      <c r="Q647" s="834">
        <f t="shared" si="66"/>
        <v>0.00845113706207744</v>
      </c>
    </row>
    <row r="648" spans="1:17">
      <c r="A648" s="801">
        <v>45396</v>
      </c>
      <c r="B648" s="589">
        <v>1630.15</v>
      </c>
      <c r="C648" s="589">
        <v>1813578</v>
      </c>
      <c r="D648" s="589">
        <v>6943</v>
      </c>
      <c r="E648" s="589">
        <v>0</v>
      </c>
      <c r="F648" s="589">
        <v>0</v>
      </c>
      <c r="G648" s="589">
        <v>19</v>
      </c>
      <c r="H648" s="589">
        <v>86</v>
      </c>
      <c r="I648" s="589">
        <v>5</v>
      </c>
      <c r="J648" s="830">
        <f t="shared" si="61"/>
        <v>0.00382834374920737</v>
      </c>
      <c r="K648" s="831">
        <f t="shared" si="62"/>
        <v>0.234790436410773</v>
      </c>
      <c r="L648" s="809">
        <f t="shared" si="60"/>
        <v>0.898858499606855</v>
      </c>
      <c r="M648" s="839">
        <f t="shared" si="63"/>
        <v>0</v>
      </c>
      <c r="N648" s="840">
        <f t="shared" si="64"/>
        <v>0</v>
      </c>
      <c r="O648" s="675">
        <f t="shared" si="67"/>
        <v>15.5252380952381</v>
      </c>
      <c r="P648">
        <f t="shared" si="65"/>
        <v>105</v>
      </c>
      <c r="Q648" s="834">
        <f t="shared" si="66"/>
        <v>0.0151231456142878</v>
      </c>
    </row>
    <row r="649" spans="1:17">
      <c r="A649" s="801">
        <v>45397</v>
      </c>
      <c r="B649" s="589">
        <v>1209.59</v>
      </c>
      <c r="C649" s="589">
        <v>1249004</v>
      </c>
      <c r="D649" s="589">
        <v>4353</v>
      </c>
      <c r="E649" s="589">
        <v>0</v>
      </c>
      <c r="F649" s="589">
        <v>0</v>
      </c>
      <c r="G649" s="589">
        <v>14</v>
      </c>
      <c r="H649" s="589">
        <v>58</v>
      </c>
      <c r="I649" s="589">
        <v>5</v>
      </c>
      <c r="J649" s="830">
        <f t="shared" si="61"/>
        <v>0.00348517698902486</v>
      </c>
      <c r="K649" s="831">
        <f t="shared" si="62"/>
        <v>0.277875028715828</v>
      </c>
      <c r="L649" s="809">
        <f t="shared" si="60"/>
        <v>0.968443655905025</v>
      </c>
      <c r="M649" s="839">
        <f t="shared" si="63"/>
        <v>0</v>
      </c>
      <c r="N649" s="840">
        <f t="shared" si="64"/>
        <v>0</v>
      </c>
      <c r="O649" s="675">
        <f t="shared" si="67"/>
        <v>16.7998611111111</v>
      </c>
      <c r="P649">
        <f t="shared" si="65"/>
        <v>72</v>
      </c>
      <c r="Q649" s="834">
        <f t="shared" si="66"/>
        <v>0.0165403170227429</v>
      </c>
    </row>
    <row r="650" spans="1:17">
      <c r="A650" s="801">
        <v>45398</v>
      </c>
      <c r="B650" s="589">
        <v>1551.37</v>
      </c>
      <c r="C650" s="589">
        <v>1443557</v>
      </c>
      <c r="D650" s="589">
        <v>6063</v>
      </c>
      <c r="E650" s="589">
        <v>0</v>
      </c>
      <c r="F650" s="589">
        <v>0</v>
      </c>
      <c r="G650" s="589">
        <v>16</v>
      </c>
      <c r="H650" s="589">
        <v>44</v>
      </c>
      <c r="I650" s="589">
        <v>4</v>
      </c>
      <c r="J650" s="830">
        <f t="shared" si="61"/>
        <v>0.0042000419796378</v>
      </c>
      <c r="K650" s="831">
        <f t="shared" si="62"/>
        <v>0.255874979383144</v>
      </c>
      <c r="L650" s="809">
        <f t="shared" si="60"/>
        <v>1.07468565494816</v>
      </c>
      <c r="M650" s="839">
        <f t="shared" si="63"/>
        <v>0</v>
      </c>
      <c r="N650" s="840">
        <f t="shared" si="64"/>
        <v>0</v>
      </c>
      <c r="O650" s="675">
        <f t="shared" si="67"/>
        <v>25.8561666666667</v>
      </c>
      <c r="P650">
        <f t="shared" si="65"/>
        <v>60</v>
      </c>
      <c r="Q650" s="834">
        <f t="shared" si="66"/>
        <v>0.0098960910440376</v>
      </c>
    </row>
    <row r="651" spans="1:17">
      <c r="A651" s="801">
        <v>45399</v>
      </c>
      <c r="B651" s="589">
        <v>1550.72</v>
      </c>
      <c r="C651" s="589">
        <v>1597134</v>
      </c>
      <c r="D651" s="589">
        <v>5873</v>
      </c>
      <c r="E651" s="589">
        <v>0</v>
      </c>
      <c r="F651" s="589">
        <v>0</v>
      </c>
      <c r="G651" s="589">
        <v>13</v>
      </c>
      <c r="H651" s="589">
        <v>49</v>
      </c>
      <c r="I651" s="589">
        <v>4</v>
      </c>
      <c r="J651" s="830">
        <f t="shared" si="61"/>
        <v>0.00367721180564686</v>
      </c>
      <c r="K651" s="831">
        <f t="shared" si="62"/>
        <v>0.264042227141154</v>
      </c>
      <c r="L651" s="809">
        <f t="shared" si="60"/>
        <v>0.970939194832744</v>
      </c>
      <c r="M651" s="839">
        <f t="shared" si="63"/>
        <v>0</v>
      </c>
      <c r="N651" s="840">
        <f t="shared" si="64"/>
        <v>0</v>
      </c>
      <c r="O651" s="675">
        <f t="shared" si="67"/>
        <v>25.0116129032258</v>
      </c>
      <c r="P651">
        <f t="shared" si="65"/>
        <v>62</v>
      </c>
      <c r="Q651" s="834">
        <f t="shared" si="66"/>
        <v>0.0105567852886089</v>
      </c>
    </row>
    <row r="652" spans="1:17">
      <c r="A652" s="801">
        <v>45400</v>
      </c>
      <c r="B652" s="589">
        <v>1574.4</v>
      </c>
      <c r="C652" s="589">
        <v>1709993</v>
      </c>
      <c r="D652" s="589">
        <v>5967</v>
      </c>
      <c r="E652" s="589">
        <v>0</v>
      </c>
      <c r="F652" s="589">
        <v>0</v>
      </c>
      <c r="G652" s="589">
        <v>13</v>
      </c>
      <c r="H652" s="589">
        <v>37</v>
      </c>
      <c r="I652" s="589">
        <v>0</v>
      </c>
      <c r="J652" s="830">
        <f t="shared" si="61"/>
        <v>0.0034894879686642</v>
      </c>
      <c r="K652" s="831">
        <f t="shared" si="62"/>
        <v>0.26385118149824</v>
      </c>
      <c r="L652" s="809">
        <f t="shared" si="60"/>
        <v>0.920705523355944</v>
      </c>
      <c r="M652" s="839">
        <f t="shared" si="63"/>
        <v>0</v>
      </c>
      <c r="N652" s="840">
        <f t="shared" si="64"/>
        <v>0</v>
      </c>
      <c r="O652" s="675">
        <f t="shared" si="67"/>
        <v>31.488</v>
      </c>
      <c r="P652">
        <f t="shared" si="65"/>
        <v>50</v>
      </c>
      <c r="Q652" s="834">
        <f t="shared" si="66"/>
        <v>0.00837942014412603</v>
      </c>
    </row>
    <row r="653" spans="1:17">
      <c r="A653" s="801">
        <v>45401</v>
      </c>
      <c r="B653" s="589">
        <v>1582.79</v>
      </c>
      <c r="C653" s="589">
        <v>1685687</v>
      </c>
      <c r="D653" s="589">
        <v>6500</v>
      </c>
      <c r="E653" s="589">
        <v>0</v>
      </c>
      <c r="F653" s="589">
        <v>0</v>
      </c>
      <c r="G653" s="589">
        <v>18</v>
      </c>
      <c r="H653" s="589">
        <v>39</v>
      </c>
      <c r="I653" s="589">
        <v>1</v>
      </c>
      <c r="J653" s="830">
        <f t="shared" si="61"/>
        <v>0.00385599461821797</v>
      </c>
      <c r="K653" s="831">
        <f t="shared" si="62"/>
        <v>0.243506153846154</v>
      </c>
      <c r="L653" s="809">
        <f t="shared" si="60"/>
        <v>0.938958418733727</v>
      </c>
      <c r="M653" s="839">
        <f t="shared" si="63"/>
        <v>0</v>
      </c>
      <c r="N653" s="840">
        <f t="shared" si="64"/>
        <v>0</v>
      </c>
      <c r="O653" s="675">
        <f t="shared" si="67"/>
        <v>27.7682456140351</v>
      </c>
      <c r="P653">
        <f t="shared" si="65"/>
        <v>57</v>
      </c>
      <c r="Q653" s="834">
        <f t="shared" si="66"/>
        <v>0.00876923076923077</v>
      </c>
    </row>
    <row r="654" spans="1:17">
      <c r="A654" s="801">
        <v>45402</v>
      </c>
      <c r="B654" s="589">
        <v>1574.43</v>
      </c>
      <c r="C654" s="589">
        <v>1617961</v>
      </c>
      <c r="D654" s="589">
        <v>6354</v>
      </c>
      <c r="E654" s="589">
        <v>0</v>
      </c>
      <c r="F654" s="589">
        <v>0</v>
      </c>
      <c r="G654" s="589">
        <v>10</v>
      </c>
      <c r="H654" s="589">
        <v>42</v>
      </c>
      <c r="I654" s="589">
        <v>3</v>
      </c>
      <c r="J654" s="830">
        <f t="shared" si="61"/>
        <v>0.00392716511708255</v>
      </c>
      <c r="K654" s="831">
        <f t="shared" si="62"/>
        <v>0.247785646836638</v>
      </c>
      <c r="L654" s="809">
        <f t="shared" si="60"/>
        <v>0.973095148770582</v>
      </c>
      <c r="M654" s="839">
        <f t="shared" si="63"/>
        <v>0</v>
      </c>
      <c r="N654" s="840">
        <f t="shared" si="64"/>
        <v>0</v>
      </c>
      <c r="O654" s="675">
        <f t="shared" si="67"/>
        <v>30.2775</v>
      </c>
      <c r="P654">
        <f t="shared" si="65"/>
        <v>52</v>
      </c>
      <c r="Q654" s="834">
        <f t="shared" si="66"/>
        <v>0.00818382121498269</v>
      </c>
    </row>
    <row r="655" spans="1:17">
      <c r="A655" s="801">
        <v>45403</v>
      </c>
      <c r="B655" s="589">
        <v>1567.82</v>
      </c>
      <c r="C655" s="589">
        <v>1486833</v>
      </c>
      <c r="D655" s="589">
        <v>6347</v>
      </c>
      <c r="E655" s="589">
        <v>0</v>
      </c>
      <c r="F655" s="589">
        <v>0</v>
      </c>
      <c r="G655" s="589">
        <v>7</v>
      </c>
      <c r="H655" s="589">
        <v>56</v>
      </c>
      <c r="I655" s="589">
        <v>2</v>
      </c>
      <c r="J655" s="830">
        <f t="shared" si="61"/>
        <v>0.00426880490276985</v>
      </c>
      <c r="K655" s="831">
        <f t="shared" si="62"/>
        <v>0.247017488577281</v>
      </c>
      <c r="L655" s="809">
        <f t="shared" si="60"/>
        <v>1.05446946630859</v>
      </c>
      <c r="M655" s="839">
        <f t="shared" si="63"/>
        <v>0</v>
      </c>
      <c r="N655" s="840">
        <f t="shared" si="64"/>
        <v>0</v>
      </c>
      <c r="O655" s="675">
        <f t="shared" si="67"/>
        <v>24.8860317460317</v>
      </c>
      <c r="P655">
        <f t="shared" si="65"/>
        <v>63</v>
      </c>
      <c r="Q655" s="834">
        <f t="shared" si="66"/>
        <v>0.00992594926737041</v>
      </c>
    </row>
    <row r="656" spans="1:17">
      <c r="A656" s="801">
        <v>45404</v>
      </c>
      <c r="B656" s="589">
        <v>1563.27</v>
      </c>
      <c r="C656" s="589">
        <v>1553936</v>
      </c>
      <c r="D656" s="589">
        <v>6320</v>
      </c>
      <c r="E656" s="589">
        <v>0</v>
      </c>
      <c r="F656" s="589">
        <v>0</v>
      </c>
      <c r="G656" s="589">
        <v>11</v>
      </c>
      <c r="H656" s="589">
        <v>42</v>
      </c>
      <c r="I656" s="589">
        <v>4</v>
      </c>
      <c r="J656" s="830">
        <f t="shared" si="61"/>
        <v>0.00406709156619063</v>
      </c>
      <c r="K656" s="831">
        <f t="shared" si="62"/>
        <v>0.247352848101266</v>
      </c>
      <c r="L656" s="809">
        <f t="shared" si="60"/>
        <v>1.00600668238589</v>
      </c>
      <c r="M656" s="839">
        <f t="shared" si="63"/>
        <v>0</v>
      </c>
      <c r="N656" s="840">
        <f t="shared" si="64"/>
        <v>0</v>
      </c>
      <c r="O656" s="675">
        <f t="shared" si="67"/>
        <v>29.4956603773585</v>
      </c>
      <c r="P656">
        <f t="shared" si="65"/>
        <v>53</v>
      </c>
      <c r="Q656" s="834">
        <f t="shared" si="66"/>
        <v>0.00838607594936709</v>
      </c>
    </row>
    <row r="657" spans="1:17">
      <c r="A657" s="801">
        <v>45405</v>
      </c>
      <c r="B657" s="589">
        <v>1622.38</v>
      </c>
      <c r="C657" s="589">
        <v>1608275</v>
      </c>
      <c r="D657" s="589">
        <v>6311</v>
      </c>
      <c r="E657" s="589">
        <v>0</v>
      </c>
      <c r="F657" s="589">
        <v>0</v>
      </c>
      <c r="G657" s="589">
        <v>5</v>
      </c>
      <c r="H657" s="589">
        <v>30</v>
      </c>
      <c r="I657" s="589">
        <v>3</v>
      </c>
      <c r="J657" s="830">
        <f t="shared" si="61"/>
        <v>0.00392408014798464</v>
      </c>
      <c r="K657" s="831">
        <f t="shared" si="62"/>
        <v>0.257071779432737</v>
      </c>
      <c r="L657" s="809">
        <f t="shared" si="60"/>
        <v>1.00877026627909</v>
      </c>
      <c r="M657" s="839">
        <f t="shared" si="63"/>
        <v>0</v>
      </c>
      <c r="N657" s="840">
        <f t="shared" si="64"/>
        <v>0</v>
      </c>
      <c r="O657" s="675">
        <f t="shared" si="67"/>
        <v>46.3537142857143</v>
      </c>
      <c r="P657">
        <f t="shared" si="65"/>
        <v>35</v>
      </c>
      <c r="Q657" s="834">
        <f t="shared" si="66"/>
        <v>0.00554587228648392</v>
      </c>
    </row>
    <row r="658" spans="1:17">
      <c r="A658" s="801">
        <v>45406</v>
      </c>
      <c r="B658" s="589">
        <v>1562.96</v>
      </c>
      <c r="C658" s="589">
        <v>1618871</v>
      </c>
      <c r="D658" s="589">
        <v>6173</v>
      </c>
      <c r="E658" s="589">
        <v>0</v>
      </c>
      <c r="F658" s="589">
        <v>0</v>
      </c>
      <c r="G658" s="589">
        <v>7</v>
      </c>
      <c r="H658" s="589">
        <v>33</v>
      </c>
      <c r="I658" s="589">
        <v>1</v>
      </c>
      <c r="J658" s="830">
        <f t="shared" ref="J658:J662" si="68">D658/C658</f>
        <v>0.00381315126405995</v>
      </c>
      <c r="K658" s="831">
        <f t="shared" ref="K658:K662" si="69">B658/D658</f>
        <v>0.253192936983638</v>
      </c>
      <c r="L658" s="809">
        <f t="shared" si="60"/>
        <v>0.965462967710213</v>
      </c>
      <c r="M658" s="839">
        <f t="shared" ref="M658:M662" si="70">F658/B658</f>
        <v>0</v>
      </c>
      <c r="N658" s="840">
        <f t="shared" ref="N658:N662" si="71">E658/D658</f>
        <v>0</v>
      </c>
      <c r="O658" s="675">
        <f t="shared" si="67"/>
        <v>39.074</v>
      </c>
      <c r="P658">
        <f t="shared" si="65"/>
        <v>40</v>
      </c>
      <c r="Q658" s="834">
        <f t="shared" si="66"/>
        <v>0.00647983152438037</v>
      </c>
    </row>
    <row r="659" spans="1:17">
      <c r="A659" s="801">
        <v>45407</v>
      </c>
      <c r="B659" s="589">
        <v>1595.82</v>
      </c>
      <c r="C659" s="589">
        <v>1020766</v>
      </c>
      <c r="D659" s="589">
        <v>4659</v>
      </c>
      <c r="E659" s="589">
        <v>0</v>
      </c>
      <c r="F659" s="589">
        <v>0</v>
      </c>
      <c r="G659" s="589">
        <v>12</v>
      </c>
      <c r="H659" s="589">
        <v>40</v>
      </c>
      <c r="I659" s="589">
        <v>1</v>
      </c>
      <c r="J659" s="830">
        <f t="shared" si="68"/>
        <v>0.00456421941953396</v>
      </c>
      <c r="K659" s="831">
        <f t="shared" si="69"/>
        <v>0.342524146812621</v>
      </c>
      <c r="L659" s="809">
        <f t="shared" si="60"/>
        <v>1.56335536254146</v>
      </c>
      <c r="M659" s="839">
        <f t="shared" si="70"/>
        <v>0</v>
      </c>
      <c r="N659" s="840">
        <f t="shared" si="71"/>
        <v>0</v>
      </c>
      <c r="O659" s="675">
        <f t="shared" si="67"/>
        <v>30.6888461538462</v>
      </c>
      <c r="P659">
        <f t="shared" ref="P659:P664" si="72">G659+H659</f>
        <v>52</v>
      </c>
      <c r="Q659" s="834">
        <f t="shared" ref="Q659:Q664" si="73">P659/D659</f>
        <v>0.0111611933891393</v>
      </c>
    </row>
    <row r="660" spans="1:17">
      <c r="A660" s="801">
        <v>45408</v>
      </c>
      <c r="B660" s="589">
        <v>1592.19</v>
      </c>
      <c r="C660" s="589">
        <v>1086383</v>
      </c>
      <c r="D660" s="589">
        <v>5182</v>
      </c>
      <c r="E660" s="589">
        <v>0</v>
      </c>
      <c r="F660" s="589">
        <v>0</v>
      </c>
      <c r="G660" s="589">
        <v>8</v>
      </c>
      <c r="H660" s="589">
        <v>46</v>
      </c>
      <c r="I660" s="589">
        <v>2</v>
      </c>
      <c r="J660" s="830">
        <f t="shared" si="68"/>
        <v>0.00476995682001651</v>
      </c>
      <c r="K660" s="831">
        <f t="shared" si="69"/>
        <v>0.307253956001544</v>
      </c>
      <c r="L660" s="809">
        <f t="shared" si="60"/>
        <v>1.46558810290662</v>
      </c>
      <c r="M660" s="839">
        <f t="shared" si="70"/>
        <v>0</v>
      </c>
      <c r="N660" s="840">
        <f t="shared" si="71"/>
        <v>0</v>
      </c>
      <c r="O660" s="675">
        <f t="shared" si="67"/>
        <v>29.485</v>
      </c>
      <c r="P660">
        <f t="shared" si="72"/>
        <v>54</v>
      </c>
      <c r="Q660" s="834">
        <f t="shared" si="73"/>
        <v>0.0104206869934388</v>
      </c>
    </row>
    <row r="661" spans="1:17">
      <c r="A661" s="801">
        <v>45409</v>
      </c>
      <c r="B661" s="589">
        <v>1429.26</v>
      </c>
      <c r="C661" s="589">
        <v>1034628</v>
      </c>
      <c r="D661" s="589">
        <v>5009</v>
      </c>
      <c r="E661" s="589">
        <v>0</v>
      </c>
      <c r="F661" s="589">
        <v>0</v>
      </c>
      <c r="G661" s="589">
        <v>12</v>
      </c>
      <c r="H661" s="589">
        <v>48</v>
      </c>
      <c r="I661" s="589">
        <v>1</v>
      </c>
      <c r="J661" s="830">
        <f t="shared" si="68"/>
        <v>0.00484135360728687</v>
      </c>
      <c r="K661" s="831">
        <f t="shared" si="69"/>
        <v>0.285338390896387</v>
      </c>
      <c r="L661" s="809">
        <f t="shared" si="60"/>
        <v>1.38142404806365</v>
      </c>
      <c r="M661" s="839">
        <f t="shared" si="70"/>
        <v>0</v>
      </c>
      <c r="N661" s="840">
        <f t="shared" si="71"/>
        <v>0</v>
      </c>
      <c r="O661" s="675">
        <f t="shared" si="67"/>
        <v>23.821</v>
      </c>
      <c r="P661">
        <f t="shared" si="72"/>
        <v>60</v>
      </c>
      <c r="Q661" s="834">
        <f t="shared" si="73"/>
        <v>0.0119784388101417</v>
      </c>
    </row>
    <row r="662" spans="1:17">
      <c r="A662" s="801">
        <v>45410</v>
      </c>
      <c r="B662" s="589">
        <v>1443.58</v>
      </c>
      <c r="C662" s="589">
        <v>1387060</v>
      </c>
      <c r="D662" s="589">
        <v>5655</v>
      </c>
      <c r="E662" s="589">
        <v>0</v>
      </c>
      <c r="F662" s="589">
        <v>0</v>
      </c>
      <c r="G662" s="589">
        <v>12</v>
      </c>
      <c r="H662" s="589">
        <v>58</v>
      </c>
      <c r="I662" s="589">
        <v>4</v>
      </c>
      <c r="J662" s="830">
        <f t="shared" si="68"/>
        <v>0.00407696855218952</v>
      </c>
      <c r="K662" s="831">
        <f t="shared" si="69"/>
        <v>0.255274977895668</v>
      </c>
      <c r="L662" s="809">
        <f t="shared" si="60"/>
        <v>1.04074805704151</v>
      </c>
      <c r="M662" s="839">
        <f t="shared" si="70"/>
        <v>0</v>
      </c>
      <c r="N662" s="840">
        <f t="shared" si="71"/>
        <v>0</v>
      </c>
      <c r="O662" s="675">
        <f t="shared" si="67"/>
        <v>20.6225714285714</v>
      </c>
      <c r="P662">
        <f t="shared" si="72"/>
        <v>70</v>
      </c>
      <c r="Q662" s="834">
        <f t="shared" si="73"/>
        <v>0.0123784261715296</v>
      </c>
    </row>
    <row r="663" spans="1:17">
      <c r="A663" s="801">
        <v>45411</v>
      </c>
      <c r="B663" s="589">
        <v>1363.96</v>
      </c>
      <c r="C663" s="589">
        <v>1308080</v>
      </c>
      <c r="D663" s="589">
        <v>5768</v>
      </c>
      <c r="E663" s="589">
        <v>0</v>
      </c>
      <c r="F663" s="589">
        <v>0</v>
      </c>
      <c r="G663" s="589">
        <v>10</v>
      </c>
      <c r="H663" s="589">
        <v>55</v>
      </c>
      <c r="I663" s="589">
        <v>0</v>
      </c>
      <c r="J663" s="830">
        <f t="shared" ref="J663:J672" si="74">D663/C663</f>
        <v>0.00440951623753899</v>
      </c>
      <c r="K663" s="831">
        <f t="shared" ref="K663:K672" si="75">B663/D663</f>
        <v>0.236470180305132</v>
      </c>
      <c r="L663" s="809">
        <f t="shared" si="60"/>
        <v>1.04271909974925</v>
      </c>
      <c r="M663" s="839">
        <f t="shared" ref="M663:M672" si="76">F663/B663</f>
        <v>0</v>
      </c>
      <c r="N663" s="840">
        <f t="shared" ref="N663:N672" si="77">E663/D663</f>
        <v>0</v>
      </c>
      <c r="O663" s="675">
        <f t="shared" si="67"/>
        <v>20.984</v>
      </c>
      <c r="P663">
        <f t="shared" si="72"/>
        <v>65</v>
      </c>
      <c r="Q663" s="834">
        <f t="shared" si="73"/>
        <v>0.0112690707350902</v>
      </c>
    </row>
    <row r="664" spans="1:17">
      <c r="A664" s="801">
        <v>45412</v>
      </c>
      <c r="B664" s="589">
        <v>1420.52</v>
      </c>
      <c r="C664" s="589">
        <v>1700812</v>
      </c>
      <c r="D664" s="589">
        <v>6665</v>
      </c>
      <c r="E664" s="589">
        <v>0</v>
      </c>
      <c r="F664" s="589">
        <v>0</v>
      </c>
      <c r="G664" s="589">
        <v>9</v>
      </c>
      <c r="H664" s="589">
        <v>50</v>
      </c>
      <c r="I664" s="589">
        <v>5</v>
      </c>
      <c r="J664" s="830">
        <f t="shared" si="74"/>
        <v>0.00391871647189695</v>
      </c>
      <c r="K664" s="831">
        <f t="shared" si="75"/>
        <v>0.213131282820705</v>
      </c>
      <c r="L664" s="809">
        <f t="shared" si="60"/>
        <v>0.835201068666025</v>
      </c>
      <c r="M664" s="839">
        <f t="shared" si="76"/>
        <v>0</v>
      </c>
      <c r="N664" s="840">
        <f t="shared" si="77"/>
        <v>0</v>
      </c>
      <c r="O664" s="675">
        <f t="shared" si="67"/>
        <v>24.0766101694915</v>
      </c>
      <c r="P664">
        <f t="shared" si="72"/>
        <v>59</v>
      </c>
      <c r="Q664" s="834">
        <f t="shared" si="73"/>
        <v>0.00885221305326332</v>
      </c>
    </row>
    <row r="665" spans="1:17">
      <c r="A665" s="801">
        <v>45413</v>
      </c>
      <c r="B665" s="589">
        <v>1446.97</v>
      </c>
      <c r="C665" s="589">
        <v>1756618</v>
      </c>
      <c r="D665" s="589">
        <v>6765</v>
      </c>
      <c r="E665" s="589">
        <v>0</v>
      </c>
      <c r="F665" s="589">
        <v>0</v>
      </c>
      <c r="G665" s="589">
        <v>18</v>
      </c>
      <c r="H665" s="589">
        <v>55</v>
      </c>
      <c r="I665" s="589">
        <v>2</v>
      </c>
      <c r="J665" s="830">
        <f t="shared" si="74"/>
        <v>0.00385115033547419</v>
      </c>
      <c r="K665" s="831">
        <f t="shared" si="75"/>
        <v>0.213890613451589</v>
      </c>
      <c r="L665" s="809">
        <f t="shared" si="60"/>
        <v>0.823724907748867</v>
      </c>
      <c r="M665" s="839">
        <f t="shared" si="76"/>
        <v>0</v>
      </c>
      <c r="N665" s="840">
        <f t="shared" si="77"/>
        <v>0</v>
      </c>
      <c r="O665" s="675">
        <f t="shared" si="67"/>
        <v>19.8215068493151</v>
      </c>
      <c r="P665">
        <f t="shared" si="65"/>
        <v>73</v>
      </c>
      <c r="Q665" s="834">
        <f t="shared" si="66"/>
        <v>0.0107908351810791</v>
      </c>
    </row>
    <row r="666" spans="1:17">
      <c r="A666" s="801">
        <v>45414</v>
      </c>
      <c r="B666" s="589">
        <v>1444.02</v>
      </c>
      <c r="C666" s="589">
        <v>1771626</v>
      </c>
      <c r="D666" s="589">
        <v>6837</v>
      </c>
      <c r="E666" s="589">
        <v>0</v>
      </c>
      <c r="F666" s="589">
        <v>0</v>
      </c>
      <c r="G666" s="589">
        <v>14</v>
      </c>
      <c r="H666" s="589">
        <v>35</v>
      </c>
      <c r="I666" s="589">
        <v>4</v>
      </c>
      <c r="J666" s="830">
        <f t="shared" si="74"/>
        <v>0.0038591666638444</v>
      </c>
      <c r="K666" s="831">
        <f t="shared" si="75"/>
        <v>0.211206669591926</v>
      </c>
      <c r="L666" s="809">
        <f t="shared" si="60"/>
        <v>0.815081738470761</v>
      </c>
      <c r="M666" s="839">
        <f t="shared" si="76"/>
        <v>0</v>
      </c>
      <c r="N666" s="840">
        <f t="shared" si="77"/>
        <v>0</v>
      </c>
      <c r="O666" s="675">
        <f t="shared" si="67"/>
        <v>29.4697959183673</v>
      </c>
      <c r="P666">
        <f t="shared" si="65"/>
        <v>49</v>
      </c>
      <c r="Q666" s="834">
        <f t="shared" si="66"/>
        <v>0.00716688606113793</v>
      </c>
    </row>
    <row r="667" spans="1:17">
      <c r="A667" s="801">
        <v>45415</v>
      </c>
      <c r="B667" s="589">
        <v>1446.51</v>
      </c>
      <c r="C667" s="589">
        <v>1748224</v>
      </c>
      <c r="D667" s="589">
        <v>7391</v>
      </c>
      <c r="E667" s="589">
        <v>0</v>
      </c>
      <c r="F667" s="589">
        <v>0</v>
      </c>
      <c r="G667" s="589">
        <v>16</v>
      </c>
      <c r="H667" s="589">
        <v>52</v>
      </c>
      <c r="I667" s="589">
        <v>2</v>
      </c>
      <c r="J667" s="830">
        <f t="shared" si="74"/>
        <v>0.00422771910235759</v>
      </c>
      <c r="K667" s="831">
        <f t="shared" si="75"/>
        <v>0.195712352861588</v>
      </c>
      <c r="L667" s="809">
        <f t="shared" si="60"/>
        <v>0.827416852760287</v>
      </c>
      <c r="M667" s="839">
        <f t="shared" si="76"/>
        <v>0</v>
      </c>
      <c r="N667" s="840">
        <f t="shared" si="77"/>
        <v>0</v>
      </c>
      <c r="O667" s="675">
        <f t="shared" si="67"/>
        <v>21.2722058823529</v>
      </c>
      <c r="P667">
        <f t="shared" si="65"/>
        <v>68</v>
      </c>
      <c r="Q667" s="834">
        <f t="shared" si="66"/>
        <v>0.00920037883912867</v>
      </c>
    </row>
    <row r="668" spans="1:17">
      <c r="A668" s="801">
        <v>45416</v>
      </c>
      <c r="B668" s="589">
        <v>1323.55</v>
      </c>
      <c r="C668" s="589">
        <v>1716085</v>
      </c>
      <c r="D668" s="589">
        <v>6754</v>
      </c>
      <c r="E668" s="589">
        <v>0</v>
      </c>
      <c r="F668" s="589">
        <v>0</v>
      </c>
      <c r="G668" s="589">
        <v>13</v>
      </c>
      <c r="H668" s="589">
        <v>47</v>
      </c>
      <c r="I668" s="589">
        <v>1</v>
      </c>
      <c r="J668" s="830">
        <f t="shared" si="74"/>
        <v>0.00393570248559949</v>
      </c>
      <c r="K668" s="831">
        <f t="shared" si="75"/>
        <v>0.195965353864377</v>
      </c>
      <c r="L668" s="809">
        <f t="shared" si="60"/>
        <v>0.771261330295411</v>
      </c>
      <c r="M668" s="839">
        <f t="shared" si="76"/>
        <v>0</v>
      </c>
      <c r="N668" s="840">
        <f t="shared" si="77"/>
        <v>0</v>
      </c>
      <c r="O668" s="675">
        <f t="shared" si="67"/>
        <v>22.0591666666667</v>
      </c>
      <c r="P668">
        <f t="shared" si="65"/>
        <v>60</v>
      </c>
      <c r="Q668" s="834">
        <f t="shared" si="66"/>
        <v>0.00888362451880367</v>
      </c>
    </row>
    <row r="669" spans="1:17">
      <c r="A669" s="801">
        <v>45417</v>
      </c>
      <c r="B669" s="589">
        <v>1426.07</v>
      </c>
      <c r="C669" s="589">
        <v>1690482</v>
      </c>
      <c r="D669" s="589">
        <v>6976</v>
      </c>
      <c r="E669" s="589">
        <v>0</v>
      </c>
      <c r="F669" s="589">
        <v>0</v>
      </c>
      <c r="G669" s="589">
        <v>14</v>
      </c>
      <c r="H669" s="589">
        <v>34</v>
      </c>
      <c r="I669" s="589">
        <v>2</v>
      </c>
      <c r="J669" s="830">
        <f t="shared" si="74"/>
        <v>0.00412663370565318</v>
      </c>
      <c r="K669" s="831">
        <f t="shared" si="75"/>
        <v>0.204425172018349</v>
      </c>
      <c r="L669" s="809">
        <f t="shared" si="60"/>
        <v>0.843587805134867</v>
      </c>
      <c r="M669" s="839">
        <f t="shared" si="76"/>
        <v>0</v>
      </c>
      <c r="N669" s="840">
        <f t="shared" si="77"/>
        <v>0</v>
      </c>
      <c r="O669" s="675">
        <f t="shared" si="67"/>
        <v>29.7097916666667</v>
      </c>
      <c r="P669">
        <f t="shared" si="65"/>
        <v>48</v>
      </c>
      <c r="Q669" s="834">
        <f t="shared" si="66"/>
        <v>0.00688073394495413</v>
      </c>
    </row>
    <row r="670" spans="1:17">
      <c r="A670" s="801">
        <v>45418</v>
      </c>
      <c r="B670" s="589">
        <v>1435.26</v>
      </c>
      <c r="C670" s="589">
        <v>1769464</v>
      </c>
      <c r="D670" s="589">
        <v>6980</v>
      </c>
      <c r="E670" s="589">
        <v>1</v>
      </c>
      <c r="F670" s="589">
        <v>20318</v>
      </c>
      <c r="G670" s="589">
        <v>16</v>
      </c>
      <c r="H670" s="589">
        <v>28</v>
      </c>
      <c r="I670" s="589">
        <v>2</v>
      </c>
      <c r="J670" s="830">
        <f t="shared" si="74"/>
        <v>0.00394469737728487</v>
      </c>
      <c r="K670" s="831">
        <f t="shared" si="75"/>
        <v>0.205624641833811</v>
      </c>
      <c r="L670" s="809">
        <f t="shared" si="60"/>
        <v>0.811126985346975</v>
      </c>
      <c r="M670" s="839">
        <f t="shared" si="76"/>
        <v>14.1563201092485</v>
      </c>
      <c r="N670" s="840">
        <f t="shared" si="77"/>
        <v>0.000143266475644699</v>
      </c>
      <c r="O670" s="675">
        <f t="shared" si="67"/>
        <v>32.6195454545455</v>
      </c>
      <c r="P670">
        <f t="shared" si="65"/>
        <v>44</v>
      </c>
      <c r="Q670" s="834">
        <f t="shared" si="66"/>
        <v>0.00630372492836676</v>
      </c>
    </row>
    <row r="671" spans="1:17">
      <c r="A671" s="801">
        <v>45419</v>
      </c>
      <c r="B671" s="589">
        <v>1023.73</v>
      </c>
      <c r="C671" s="589">
        <v>1302089</v>
      </c>
      <c r="D671" s="589">
        <v>4837</v>
      </c>
      <c r="E671" s="589">
        <v>0</v>
      </c>
      <c r="F671" s="589">
        <v>0</v>
      </c>
      <c r="G671" s="589">
        <v>15</v>
      </c>
      <c r="H671" s="589">
        <v>35</v>
      </c>
      <c r="I671" s="589">
        <v>2</v>
      </c>
      <c r="J671" s="830">
        <f t="shared" si="74"/>
        <v>0.00371479983319113</v>
      </c>
      <c r="K671" s="831">
        <f t="shared" si="75"/>
        <v>0.211645648129006</v>
      </c>
      <c r="L671" s="809">
        <f t="shared" si="60"/>
        <v>0.786221218365258</v>
      </c>
      <c r="M671" s="839">
        <f t="shared" si="76"/>
        <v>0</v>
      </c>
      <c r="N671" s="840">
        <f t="shared" si="77"/>
        <v>0</v>
      </c>
      <c r="O671" s="675">
        <f t="shared" si="67"/>
        <v>20.4746</v>
      </c>
      <c r="P671">
        <f t="shared" si="65"/>
        <v>50</v>
      </c>
      <c r="Q671" s="834">
        <f t="shared" si="66"/>
        <v>0.0103369857349597</v>
      </c>
    </row>
    <row r="672" spans="1:17">
      <c r="A672" s="801">
        <v>45420</v>
      </c>
      <c r="B672" s="589">
        <v>1015.87</v>
      </c>
      <c r="C672" s="589">
        <v>1306198</v>
      </c>
      <c r="D672" s="589">
        <v>4753</v>
      </c>
      <c r="E672" s="589">
        <v>0</v>
      </c>
      <c r="F672" s="589">
        <v>0</v>
      </c>
      <c r="G672" s="589">
        <v>19</v>
      </c>
      <c r="H672" s="589">
        <v>29</v>
      </c>
      <c r="I672" s="589">
        <v>1</v>
      </c>
      <c r="J672" s="830">
        <f t="shared" si="74"/>
        <v>0.00363880514286502</v>
      </c>
      <c r="K672" s="831">
        <f t="shared" si="75"/>
        <v>0.213732379549758</v>
      </c>
      <c r="L672" s="809">
        <f t="shared" si="60"/>
        <v>0.777730481902437</v>
      </c>
      <c r="M672" s="839">
        <f t="shared" si="76"/>
        <v>0</v>
      </c>
      <c r="N672" s="840">
        <f t="shared" si="77"/>
        <v>0</v>
      </c>
      <c r="O672" s="675">
        <f t="shared" si="67"/>
        <v>21.1639583333333</v>
      </c>
      <c r="P672">
        <f t="shared" si="65"/>
        <v>48</v>
      </c>
      <c r="Q672" s="834">
        <f t="shared" si="66"/>
        <v>0.0100988849147907</v>
      </c>
    </row>
    <row r="673" spans="1:17">
      <c r="A673" s="801">
        <v>45421</v>
      </c>
      <c r="B673" s="589">
        <v>1021.55</v>
      </c>
      <c r="C673" s="589">
        <v>1291351</v>
      </c>
      <c r="D673" s="589">
        <v>4439</v>
      </c>
      <c r="E673" s="589">
        <v>0</v>
      </c>
      <c r="F673" s="589">
        <v>0</v>
      </c>
      <c r="G673" s="589">
        <v>17</v>
      </c>
      <c r="H673" s="589">
        <v>28</v>
      </c>
      <c r="I673" s="589">
        <v>3</v>
      </c>
      <c r="J673" s="830">
        <f t="shared" ref="J673:J678" si="78">D673/C673</f>
        <v>0.00343748523832792</v>
      </c>
      <c r="K673" s="831">
        <f t="shared" ref="K673:K678" si="79">B673/D673</f>
        <v>0.230130660058572</v>
      </c>
      <c r="L673" s="809">
        <f t="shared" si="60"/>
        <v>0.791070746838001</v>
      </c>
      <c r="M673" s="839">
        <f t="shared" ref="M673:M678" si="80">F673/B673</f>
        <v>0</v>
      </c>
      <c r="N673" s="840">
        <f t="shared" ref="N673:N678" si="81">E673/D673</f>
        <v>0</v>
      </c>
      <c r="O673" s="675">
        <f t="shared" si="67"/>
        <v>22.7011111111111</v>
      </c>
      <c r="P673">
        <f t="shared" si="65"/>
        <v>45</v>
      </c>
      <c r="Q673" s="834">
        <f t="shared" si="66"/>
        <v>0.0101374183374634</v>
      </c>
    </row>
    <row r="674" spans="1:17">
      <c r="A674" s="801">
        <v>45422</v>
      </c>
      <c r="B674" s="589">
        <v>1026.58</v>
      </c>
      <c r="C674" s="589">
        <v>1178274</v>
      </c>
      <c r="D674" s="589">
        <v>4329</v>
      </c>
      <c r="E674" s="589">
        <v>2</v>
      </c>
      <c r="F674" s="589">
        <v>6000</v>
      </c>
      <c r="G674" s="589">
        <v>14</v>
      </c>
      <c r="H674" s="589">
        <v>26</v>
      </c>
      <c r="I674" s="589">
        <v>1</v>
      </c>
      <c r="J674" s="830">
        <f t="shared" si="78"/>
        <v>0.0036740180976581</v>
      </c>
      <c r="K674" s="831">
        <f t="shared" si="79"/>
        <v>0.237140217140217</v>
      </c>
      <c r="L674" s="809">
        <f t="shared" ref="L674:L737" si="82">B674/C674*1000</f>
        <v>0.871257449455729</v>
      </c>
      <c r="M674" s="839">
        <f t="shared" si="80"/>
        <v>5.84464922363576</v>
      </c>
      <c r="N674" s="840">
        <f t="shared" si="81"/>
        <v>0.000462000462000462</v>
      </c>
      <c r="O674" s="675">
        <f t="shared" si="67"/>
        <v>25.6645</v>
      </c>
      <c r="P674">
        <f t="shared" si="65"/>
        <v>40</v>
      </c>
      <c r="Q674" s="834">
        <f t="shared" si="66"/>
        <v>0.00924000924000924</v>
      </c>
    </row>
    <row r="675" spans="1:17">
      <c r="A675" s="801">
        <v>45423</v>
      </c>
      <c r="B675" s="589">
        <v>1018.05</v>
      </c>
      <c r="C675" s="589">
        <v>1210739</v>
      </c>
      <c r="D675" s="589">
        <v>4287</v>
      </c>
      <c r="E675" s="589">
        <v>0</v>
      </c>
      <c r="F675" s="589">
        <v>0</v>
      </c>
      <c r="G675" s="589">
        <v>13</v>
      </c>
      <c r="H675" s="589">
        <v>31</v>
      </c>
      <c r="I675" s="589">
        <v>1</v>
      </c>
      <c r="J675" s="830">
        <f t="shared" si="78"/>
        <v>0.00354081267721615</v>
      </c>
      <c r="K675" s="831">
        <f t="shared" si="79"/>
        <v>0.237473757872638</v>
      </c>
      <c r="L675" s="809">
        <f t="shared" si="82"/>
        <v>0.840850092381595</v>
      </c>
      <c r="M675" s="839">
        <f t="shared" si="80"/>
        <v>0</v>
      </c>
      <c r="N675" s="840">
        <f t="shared" si="81"/>
        <v>0</v>
      </c>
      <c r="O675" s="675">
        <f t="shared" si="67"/>
        <v>23.1375</v>
      </c>
      <c r="P675">
        <f t="shared" si="65"/>
        <v>44</v>
      </c>
      <c r="Q675" s="834">
        <f t="shared" si="66"/>
        <v>0.0102635875903895</v>
      </c>
    </row>
    <row r="676" spans="1:17">
      <c r="A676" s="801">
        <v>45424</v>
      </c>
      <c r="B676" s="589">
        <v>1023.49</v>
      </c>
      <c r="C676" s="589">
        <v>1220466</v>
      </c>
      <c r="D676" s="589">
        <v>4688</v>
      </c>
      <c r="E676" s="589">
        <v>0</v>
      </c>
      <c r="F676" s="589">
        <v>0</v>
      </c>
      <c r="G676" s="589">
        <v>11</v>
      </c>
      <c r="H676" s="589">
        <v>38</v>
      </c>
      <c r="I676" s="589">
        <v>3</v>
      </c>
      <c r="J676" s="830">
        <f t="shared" si="78"/>
        <v>0.0038411557552607</v>
      </c>
      <c r="K676" s="831">
        <f t="shared" si="79"/>
        <v>0.218321245733788</v>
      </c>
      <c r="L676" s="809">
        <f t="shared" si="82"/>
        <v>0.838605909546026</v>
      </c>
      <c r="M676" s="839">
        <f t="shared" si="80"/>
        <v>0</v>
      </c>
      <c r="N676" s="840">
        <f t="shared" si="81"/>
        <v>0</v>
      </c>
      <c r="O676" s="675">
        <f t="shared" si="67"/>
        <v>20.8875510204082</v>
      </c>
      <c r="P676">
        <f t="shared" si="65"/>
        <v>49</v>
      </c>
      <c r="Q676" s="834">
        <f t="shared" si="66"/>
        <v>0.0104522184300341</v>
      </c>
    </row>
    <row r="677" spans="1:17">
      <c r="A677" s="801">
        <v>45425</v>
      </c>
      <c r="B677" s="589">
        <v>1017.57</v>
      </c>
      <c r="C677" s="589">
        <v>1129852</v>
      </c>
      <c r="D677" s="589">
        <v>4414</v>
      </c>
      <c r="E677" s="589">
        <v>0</v>
      </c>
      <c r="F677" s="589">
        <v>0</v>
      </c>
      <c r="G677" s="589">
        <v>10</v>
      </c>
      <c r="H677" s="589">
        <v>33</v>
      </c>
      <c r="I677" s="589">
        <v>1</v>
      </c>
      <c r="J677" s="830">
        <f t="shared" si="78"/>
        <v>0.00390670636508144</v>
      </c>
      <c r="K677" s="831">
        <f t="shared" si="79"/>
        <v>0.230532396918894</v>
      </c>
      <c r="L677" s="809">
        <f t="shared" si="82"/>
        <v>0.900622382400527</v>
      </c>
      <c r="M677" s="839">
        <f t="shared" si="80"/>
        <v>0</v>
      </c>
      <c r="N677" s="840">
        <f t="shared" si="81"/>
        <v>0</v>
      </c>
      <c r="O677" s="675">
        <f t="shared" si="67"/>
        <v>23.6644186046512</v>
      </c>
      <c r="P677">
        <f t="shared" si="65"/>
        <v>43</v>
      </c>
      <c r="Q677" s="834">
        <f t="shared" si="66"/>
        <v>0.00974173085636611</v>
      </c>
    </row>
    <row r="678" spans="1:17">
      <c r="A678" s="801">
        <v>45426</v>
      </c>
      <c r="B678" s="589">
        <v>1012.52</v>
      </c>
      <c r="C678" s="589">
        <v>1152501</v>
      </c>
      <c r="D678" s="589">
        <v>4443</v>
      </c>
      <c r="E678" s="589">
        <v>0</v>
      </c>
      <c r="F678" s="589">
        <v>0</v>
      </c>
      <c r="G678" s="589">
        <v>24</v>
      </c>
      <c r="H678" s="589">
        <v>56</v>
      </c>
      <c r="I678" s="589">
        <v>3</v>
      </c>
      <c r="J678" s="830">
        <f t="shared" si="78"/>
        <v>0.00385509426889868</v>
      </c>
      <c r="K678" s="831">
        <f t="shared" si="79"/>
        <v>0.227891064595994</v>
      </c>
      <c r="L678" s="809">
        <f t="shared" si="82"/>
        <v>0.878541537057235</v>
      </c>
      <c r="M678" s="839">
        <f t="shared" si="80"/>
        <v>0</v>
      </c>
      <c r="N678" s="840">
        <f t="shared" si="81"/>
        <v>0</v>
      </c>
      <c r="O678" s="675">
        <f t="shared" si="67"/>
        <v>12.6565</v>
      </c>
      <c r="P678">
        <f t="shared" si="65"/>
        <v>80</v>
      </c>
      <c r="Q678" s="834">
        <f t="shared" si="66"/>
        <v>0.0180058519018681</v>
      </c>
    </row>
    <row r="679" spans="1:17">
      <c r="A679" s="801">
        <v>45427</v>
      </c>
      <c r="B679" s="589">
        <v>990.77</v>
      </c>
      <c r="C679" s="589">
        <v>1150797</v>
      </c>
      <c r="D679" s="589">
        <v>3951</v>
      </c>
      <c r="E679" s="589">
        <v>0</v>
      </c>
      <c r="F679" s="589">
        <v>0</v>
      </c>
      <c r="G679" s="589">
        <v>8</v>
      </c>
      <c r="H679" s="589">
        <v>73</v>
      </c>
      <c r="I679" s="589">
        <v>3</v>
      </c>
      <c r="J679" s="830">
        <f t="shared" ref="J679:J688" si="83">D679/C679</f>
        <v>0.00343327276661305</v>
      </c>
      <c r="K679" s="831">
        <f t="shared" ref="K679:K688" si="84">B679/D679</f>
        <v>0.250764363452291</v>
      </c>
      <c r="L679" s="809">
        <f t="shared" si="82"/>
        <v>0.860942459877806</v>
      </c>
      <c r="M679" s="839">
        <f t="shared" ref="M679:M688" si="85">F679/B679</f>
        <v>0</v>
      </c>
      <c r="N679" s="840">
        <f t="shared" ref="N679:N688" si="86">E679/D679</f>
        <v>0</v>
      </c>
      <c r="O679" s="675">
        <f t="shared" ref="O679:O688" si="87">B679/(G679+H679)</f>
        <v>12.2317283950617</v>
      </c>
      <c r="P679">
        <f t="shared" ref="P679:P688" si="88">G679+H679</f>
        <v>81</v>
      </c>
      <c r="Q679" s="834">
        <f t="shared" ref="Q679:Q688" si="89">P679/D679</f>
        <v>0.020501138952164</v>
      </c>
    </row>
    <row r="680" spans="1:17">
      <c r="A680" s="801">
        <v>45428</v>
      </c>
      <c r="B680" s="589">
        <v>757.55</v>
      </c>
      <c r="C680" s="589">
        <v>988431</v>
      </c>
      <c r="D680" s="589">
        <v>3353</v>
      </c>
      <c r="E680" s="589">
        <v>7</v>
      </c>
      <c r="F680" s="589">
        <v>79581</v>
      </c>
      <c r="G680" s="589">
        <v>20</v>
      </c>
      <c r="H680" s="589">
        <v>35</v>
      </c>
      <c r="I680" s="589">
        <v>2</v>
      </c>
      <c r="J680" s="830">
        <f t="shared" si="83"/>
        <v>0.00339224488102862</v>
      </c>
      <c r="K680" s="831">
        <f t="shared" si="84"/>
        <v>0.225932001192962</v>
      </c>
      <c r="L680" s="809">
        <f t="shared" si="82"/>
        <v>0.766416674507376</v>
      </c>
      <c r="M680" s="839">
        <f t="shared" si="85"/>
        <v>105.050491716718</v>
      </c>
      <c r="N680" s="840">
        <f t="shared" si="86"/>
        <v>0.00208768267223382</v>
      </c>
      <c r="O680" s="675">
        <f t="shared" si="87"/>
        <v>13.7736363636364</v>
      </c>
      <c r="P680">
        <f t="shared" si="88"/>
        <v>55</v>
      </c>
      <c r="Q680" s="834">
        <f t="shared" si="89"/>
        <v>0.0164032209961229</v>
      </c>
    </row>
    <row r="681" spans="1:17">
      <c r="A681" s="801">
        <v>45429</v>
      </c>
      <c r="B681" s="589">
        <v>769.59</v>
      </c>
      <c r="C681" s="589">
        <v>924162</v>
      </c>
      <c r="D681" s="589">
        <v>3006</v>
      </c>
      <c r="E681" s="589">
        <v>0</v>
      </c>
      <c r="F681" s="589">
        <v>0</v>
      </c>
      <c r="G681" s="589">
        <v>8</v>
      </c>
      <c r="H681" s="589">
        <v>37</v>
      </c>
      <c r="I681" s="589">
        <v>0</v>
      </c>
      <c r="J681" s="830">
        <f t="shared" si="83"/>
        <v>0.00325267647879917</v>
      </c>
      <c r="K681" s="831">
        <f t="shared" si="84"/>
        <v>0.256017964071856</v>
      </c>
      <c r="L681" s="809">
        <f t="shared" si="82"/>
        <v>0.832743609886578</v>
      </c>
      <c r="M681" s="839">
        <f t="shared" si="85"/>
        <v>0</v>
      </c>
      <c r="N681" s="840">
        <f t="shared" si="86"/>
        <v>0</v>
      </c>
      <c r="O681" s="675">
        <f t="shared" si="87"/>
        <v>17.102</v>
      </c>
      <c r="P681">
        <f t="shared" si="88"/>
        <v>45</v>
      </c>
      <c r="Q681" s="834">
        <f t="shared" si="89"/>
        <v>0.0149700598802395</v>
      </c>
    </row>
    <row r="682" spans="1:17">
      <c r="A682" s="801">
        <v>45430</v>
      </c>
      <c r="B682" s="589">
        <v>766.28</v>
      </c>
      <c r="C682" s="589">
        <v>933606</v>
      </c>
      <c r="D682" s="589">
        <v>3061</v>
      </c>
      <c r="E682" s="589">
        <v>1</v>
      </c>
      <c r="F682" s="589">
        <v>9798</v>
      </c>
      <c r="G682" s="589">
        <v>8</v>
      </c>
      <c r="H682" s="589">
        <v>52</v>
      </c>
      <c r="I682" s="589">
        <v>2</v>
      </c>
      <c r="J682" s="830">
        <f t="shared" si="83"/>
        <v>0.00327868501273557</v>
      </c>
      <c r="K682" s="831">
        <f t="shared" si="84"/>
        <v>0.250336491342698</v>
      </c>
      <c r="L682" s="809">
        <f t="shared" si="82"/>
        <v>0.820774502306112</v>
      </c>
      <c r="M682" s="839">
        <f t="shared" si="85"/>
        <v>12.7864488176646</v>
      </c>
      <c r="N682" s="840">
        <f t="shared" si="86"/>
        <v>0.000326690623979092</v>
      </c>
      <c r="O682" s="675">
        <f t="shared" si="87"/>
        <v>12.7713333333333</v>
      </c>
      <c r="P682">
        <f t="shared" si="88"/>
        <v>60</v>
      </c>
      <c r="Q682" s="834">
        <f t="shared" si="89"/>
        <v>0.0196014374387455</v>
      </c>
    </row>
    <row r="683" spans="1:17">
      <c r="A683" s="801">
        <v>45431</v>
      </c>
      <c r="B683" s="589">
        <v>761.01</v>
      </c>
      <c r="C683" s="589">
        <v>949583</v>
      </c>
      <c r="D683" s="589">
        <v>2984</v>
      </c>
      <c r="E683" s="589">
        <v>0</v>
      </c>
      <c r="F683" s="589">
        <v>0</v>
      </c>
      <c r="G683" s="589">
        <v>16</v>
      </c>
      <c r="H683" s="589">
        <v>36</v>
      </c>
      <c r="I683" s="589">
        <v>1</v>
      </c>
      <c r="J683" s="830">
        <f t="shared" si="83"/>
        <v>0.00314243199383308</v>
      </c>
      <c r="K683" s="831">
        <f t="shared" si="84"/>
        <v>0.255030160857909</v>
      </c>
      <c r="L683" s="809">
        <f t="shared" si="82"/>
        <v>0.80141493687229</v>
      </c>
      <c r="M683" s="839">
        <f t="shared" si="85"/>
        <v>0</v>
      </c>
      <c r="N683" s="840">
        <f t="shared" si="86"/>
        <v>0</v>
      </c>
      <c r="O683" s="675">
        <f t="shared" si="87"/>
        <v>14.6348076923077</v>
      </c>
      <c r="P683">
        <f t="shared" si="88"/>
        <v>52</v>
      </c>
      <c r="Q683" s="834">
        <f t="shared" si="89"/>
        <v>0.017426273458445</v>
      </c>
    </row>
    <row r="684" spans="1:17">
      <c r="A684" s="801">
        <v>45432</v>
      </c>
      <c r="B684" s="589">
        <v>756.32</v>
      </c>
      <c r="C684" s="589">
        <v>1071320</v>
      </c>
      <c r="D684" s="589">
        <v>2673</v>
      </c>
      <c r="E684" s="589">
        <v>0</v>
      </c>
      <c r="F684" s="589">
        <v>0</v>
      </c>
      <c r="G684" s="589">
        <v>11</v>
      </c>
      <c r="H684" s="589">
        <v>22</v>
      </c>
      <c r="I684" s="589">
        <v>3</v>
      </c>
      <c r="J684" s="830">
        <f t="shared" si="83"/>
        <v>0.00249505283202031</v>
      </c>
      <c r="K684" s="831">
        <f t="shared" si="84"/>
        <v>0.282947998503554</v>
      </c>
      <c r="L684" s="809">
        <f t="shared" si="82"/>
        <v>0.705970204980771</v>
      </c>
      <c r="M684" s="839">
        <f t="shared" si="85"/>
        <v>0</v>
      </c>
      <c r="N684" s="840">
        <f t="shared" si="86"/>
        <v>0</v>
      </c>
      <c r="O684" s="675">
        <f t="shared" si="87"/>
        <v>22.9187878787879</v>
      </c>
      <c r="P684">
        <f t="shared" si="88"/>
        <v>33</v>
      </c>
      <c r="Q684" s="834">
        <f t="shared" si="89"/>
        <v>0.0123456790123457</v>
      </c>
    </row>
    <row r="685" spans="1:17">
      <c r="A685" s="801">
        <v>45433</v>
      </c>
      <c r="B685" s="589">
        <v>770.75</v>
      </c>
      <c r="C685" s="589">
        <v>1086213</v>
      </c>
      <c r="D685" s="589">
        <v>3098</v>
      </c>
      <c r="E685" s="589">
        <v>0</v>
      </c>
      <c r="F685" s="589">
        <v>0</v>
      </c>
      <c r="G685" s="589">
        <v>18</v>
      </c>
      <c r="H685" s="589">
        <v>41</v>
      </c>
      <c r="I685" s="589">
        <v>3</v>
      </c>
      <c r="J685" s="830">
        <f t="shared" si="83"/>
        <v>0.0028521109579797</v>
      </c>
      <c r="K685" s="831">
        <f t="shared" si="84"/>
        <v>0.248789541639768</v>
      </c>
      <c r="L685" s="809">
        <f t="shared" si="82"/>
        <v>0.709575377941527</v>
      </c>
      <c r="M685" s="839">
        <f t="shared" si="85"/>
        <v>0</v>
      </c>
      <c r="N685" s="840">
        <f t="shared" si="86"/>
        <v>0</v>
      </c>
      <c r="O685" s="675">
        <f t="shared" si="87"/>
        <v>13.0635593220339</v>
      </c>
      <c r="P685">
        <f t="shared" si="88"/>
        <v>59</v>
      </c>
      <c r="Q685" s="834">
        <f t="shared" si="89"/>
        <v>0.0190445448676566</v>
      </c>
    </row>
    <row r="686" spans="1:17">
      <c r="A686" s="801">
        <v>45434</v>
      </c>
      <c r="B686" s="589">
        <v>602.89</v>
      </c>
      <c r="C686" s="589">
        <v>943762</v>
      </c>
      <c r="D686" s="589">
        <v>2635</v>
      </c>
      <c r="E686" s="589">
        <v>0</v>
      </c>
      <c r="F686" s="589">
        <v>0</v>
      </c>
      <c r="G686" s="589">
        <v>4</v>
      </c>
      <c r="H686" s="589">
        <v>23</v>
      </c>
      <c r="I686" s="589">
        <v>1</v>
      </c>
      <c r="J686" s="830">
        <f t="shared" si="83"/>
        <v>0.00279201747898305</v>
      </c>
      <c r="K686" s="831">
        <f t="shared" si="84"/>
        <v>0.228800759013283</v>
      </c>
      <c r="L686" s="809">
        <f t="shared" si="82"/>
        <v>0.638815718369674</v>
      </c>
      <c r="M686" s="839">
        <f t="shared" si="85"/>
        <v>0</v>
      </c>
      <c r="N686" s="840">
        <f t="shared" si="86"/>
        <v>0</v>
      </c>
      <c r="O686" s="675">
        <f t="shared" si="87"/>
        <v>22.3292592592593</v>
      </c>
      <c r="P686">
        <f t="shared" si="88"/>
        <v>27</v>
      </c>
      <c r="Q686" s="834">
        <f t="shared" si="89"/>
        <v>0.010246679316888</v>
      </c>
    </row>
    <row r="687" spans="1:17">
      <c r="A687" s="801">
        <v>45435</v>
      </c>
      <c r="B687" s="589">
        <v>468.02</v>
      </c>
      <c r="C687" s="589">
        <v>904757</v>
      </c>
      <c r="D687" s="589">
        <v>2780</v>
      </c>
      <c r="E687" s="589">
        <v>0</v>
      </c>
      <c r="F687" s="589">
        <v>0</v>
      </c>
      <c r="G687" s="589">
        <v>0</v>
      </c>
      <c r="H687" s="589">
        <v>1</v>
      </c>
      <c r="I687" s="589">
        <v>0</v>
      </c>
      <c r="J687" s="830">
        <f t="shared" si="83"/>
        <v>0.00307264823593517</v>
      </c>
      <c r="K687" s="831">
        <f t="shared" si="84"/>
        <v>0.168352517985612</v>
      </c>
      <c r="L687" s="809">
        <f t="shared" si="82"/>
        <v>0.517288067403734</v>
      </c>
      <c r="M687" s="839">
        <f t="shared" si="85"/>
        <v>0</v>
      </c>
      <c r="N687" s="840">
        <f t="shared" si="86"/>
        <v>0</v>
      </c>
      <c r="O687" s="675">
        <f t="shared" si="87"/>
        <v>468.02</v>
      </c>
      <c r="P687">
        <f t="shared" si="88"/>
        <v>1</v>
      </c>
      <c r="Q687" s="834">
        <f t="shared" si="89"/>
        <v>0.000359712230215827</v>
      </c>
    </row>
    <row r="688" spans="1:17">
      <c r="A688" s="801">
        <v>45436</v>
      </c>
      <c r="B688" s="589">
        <v>765.35</v>
      </c>
      <c r="C688" s="589">
        <v>592270</v>
      </c>
      <c r="D688" s="589">
        <v>2096</v>
      </c>
      <c r="E688" s="589">
        <v>0</v>
      </c>
      <c r="F688" s="589">
        <v>0</v>
      </c>
      <c r="G688" s="589">
        <v>2</v>
      </c>
      <c r="H688" s="589">
        <v>4</v>
      </c>
      <c r="I688" s="589">
        <v>1</v>
      </c>
      <c r="J688" s="830">
        <f t="shared" si="83"/>
        <v>0.00353892650311513</v>
      </c>
      <c r="K688" s="831">
        <f t="shared" si="84"/>
        <v>0.365147900763359</v>
      </c>
      <c r="L688" s="809">
        <f t="shared" si="82"/>
        <v>1.2922315835683</v>
      </c>
      <c r="M688" s="839">
        <f t="shared" si="85"/>
        <v>0</v>
      </c>
      <c r="N688" s="840">
        <f t="shared" si="86"/>
        <v>0</v>
      </c>
      <c r="O688" s="675">
        <f t="shared" si="87"/>
        <v>127.558333333333</v>
      </c>
      <c r="P688">
        <f t="shared" si="88"/>
        <v>6</v>
      </c>
      <c r="Q688" s="834">
        <f t="shared" si="89"/>
        <v>0.00286259541984733</v>
      </c>
    </row>
    <row r="689" spans="1:17">
      <c r="A689" s="801">
        <v>45437</v>
      </c>
      <c r="B689" s="589">
        <v>758.51</v>
      </c>
      <c r="C689" s="589">
        <v>973973</v>
      </c>
      <c r="D689" s="589">
        <v>3136</v>
      </c>
      <c r="E689" s="589">
        <v>1</v>
      </c>
      <c r="F689" s="589">
        <v>6798</v>
      </c>
      <c r="G689" s="589">
        <v>5</v>
      </c>
      <c r="H689" s="589">
        <v>27</v>
      </c>
      <c r="I689" s="589">
        <v>0</v>
      </c>
      <c r="J689" s="830">
        <f t="shared" ref="J689:J696" si="90">D689/C689</f>
        <v>0.00321980178095286</v>
      </c>
      <c r="K689" s="831">
        <f t="shared" ref="K689:K696" si="91">B689/D689</f>
        <v>0.24187181122449</v>
      </c>
      <c r="L689" s="809">
        <f t="shared" si="82"/>
        <v>0.778779288542906</v>
      </c>
      <c r="M689" s="839">
        <f t="shared" ref="M689:M696" si="92">F689/B689</f>
        <v>8.96230768216635</v>
      </c>
      <c r="N689" s="840">
        <f t="shared" ref="N689:N696" si="93">E689/D689</f>
        <v>0.000318877551020408</v>
      </c>
      <c r="O689" s="675">
        <f t="shared" ref="O689:O696" si="94">B689/(G689+H689)</f>
        <v>23.7034375</v>
      </c>
      <c r="P689">
        <f t="shared" ref="P689:P696" si="95">G689+H689</f>
        <v>32</v>
      </c>
      <c r="Q689" s="834">
        <f t="shared" ref="Q689:Q696" si="96">P689/D689</f>
        <v>0.0102040816326531</v>
      </c>
    </row>
    <row r="690" spans="1:17">
      <c r="A690" s="801">
        <v>45438</v>
      </c>
      <c r="B690" s="589">
        <v>631.18</v>
      </c>
      <c r="C690" s="589">
        <v>615451</v>
      </c>
      <c r="D690" s="589">
        <v>2109</v>
      </c>
      <c r="E690" s="589">
        <v>0</v>
      </c>
      <c r="F690" s="589">
        <v>0</v>
      </c>
      <c r="G690" s="589">
        <v>6</v>
      </c>
      <c r="H690" s="589">
        <v>70</v>
      </c>
      <c r="I690" s="589">
        <v>0</v>
      </c>
      <c r="J690" s="830">
        <f t="shared" si="90"/>
        <v>0.00342675533876783</v>
      </c>
      <c r="K690" s="831">
        <f t="shared" si="91"/>
        <v>0.299279279279279</v>
      </c>
      <c r="L690" s="809">
        <f t="shared" si="82"/>
        <v>1.02555686805286</v>
      </c>
      <c r="M690" s="839">
        <f t="shared" si="92"/>
        <v>0</v>
      </c>
      <c r="N690" s="840">
        <f t="shared" si="93"/>
        <v>0</v>
      </c>
      <c r="O690" s="675">
        <f t="shared" si="94"/>
        <v>8.305</v>
      </c>
      <c r="P690">
        <f t="shared" si="95"/>
        <v>76</v>
      </c>
      <c r="Q690" s="834">
        <f t="shared" si="96"/>
        <v>0.036036036036036</v>
      </c>
    </row>
    <row r="691" spans="1:17">
      <c r="A691" s="801">
        <v>45439</v>
      </c>
      <c r="B691" s="589">
        <v>1114.31</v>
      </c>
      <c r="C691" s="589">
        <v>188454</v>
      </c>
      <c r="D691" s="589">
        <v>1289</v>
      </c>
      <c r="E691" s="589">
        <v>2</v>
      </c>
      <c r="F691" s="589">
        <v>29404</v>
      </c>
      <c r="G691" s="589">
        <v>14</v>
      </c>
      <c r="H691" s="589">
        <v>72</v>
      </c>
      <c r="I691" s="589">
        <v>0</v>
      </c>
      <c r="J691" s="830">
        <f t="shared" si="90"/>
        <v>0.00683986543135195</v>
      </c>
      <c r="K691" s="831">
        <f t="shared" si="91"/>
        <v>0.864476338246703</v>
      </c>
      <c r="L691" s="809">
        <f t="shared" si="82"/>
        <v>5.91290182219534</v>
      </c>
      <c r="M691" s="839">
        <f t="shared" si="92"/>
        <v>26.387630013192</v>
      </c>
      <c r="N691" s="840">
        <f t="shared" si="93"/>
        <v>0.00155159038013964</v>
      </c>
      <c r="O691" s="675">
        <f t="shared" si="94"/>
        <v>12.9570930232558</v>
      </c>
      <c r="P691">
        <f t="shared" si="95"/>
        <v>86</v>
      </c>
      <c r="Q691" s="834">
        <f t="shared" si="96"/>
        <v>0.0667183863460047</v>
      </c>
    </row>
    <row r="692" spans="1:17">
      <c r="A692" s="801">
        <v>45440</v>
      </c>
      <c r="B692" s="589">
        <v>1175.32</v>
      </c>
      <c r="C692" s="589">
        <v>965903</v>
      </c>
      <c r="D692" s="589">
        <v>2978</v>
      </c>
      <c r="E692" s="589">
        <v>0</v>
      </c>
      <c r="F692" s="589">
        <v>0</v>
      </c>
      <c r="G692" s="589">
        <v>8</v>
      </c>
      <c r="H692" s="589">
        <v>90</v>
      </c>
      <c r="I692" s="589">
        <v>2</v>
      </c>
      <c r="J692" s="830">
        <f t="shared" si="90"/>
        <v>0.00308312532417851</v>
      </c>
      <c r="K692" s="831">
        <f t="shared" si="91"/>
        <v>0.39466756212223</v>
      </c>
      <c r="L692" s="809">
        <f t="shared" si="82"/>
        <v>1.21680955541084</v>
      </c>
      <c r="M692" s="839">
        <f t="shared" si="92"/>
        <v>0</v>
      </c>
      <c r="N692" s="840">
        <f t="shared" si="93"/>
        <v>0</v>
      </c>
      <c r="O692" s="675">
        <f t="shared" si="94"/>
        <v>11.9930612244898</v>
      </c>
      <c r="P692">
        <f t="shared" si="95"/>
        <v>98</v>
      </c>
      <c r="Q692" s="834">
        <f t="shared" si="96"/>
        <v>0.0329079919408999</v>
      </c>
    </row>
    <row r="693" spans="1:17">
      <c r="A693" s="801">
        <v>45441</v>
      </c>
      <c r="B693" s="589">
        <v>1178.02</v>
      </c>
      <c r="C693" s="589">
        <v>1239796</v>
      </c>
      <c r="D693" s="589">
        <v>3537</v>
      </c>
      <c r="E693" s="589">
        <v>0</v>
      </c>
      <c r="F693" s="589">
        <v>0</v>
      </c>
      <c r="G693" s="589">
        <v>8</v>
      </c>
      <c r="H693" s="589">
        <v>69</v>
      </c>
      <c r="I693" s="589">
        <v>0</v>
      </c>
      <c r="J693" s="830">
        <f t="shared" si="90"/>
        <v>0.00285288870104437</v>
      </c>
      <c r="K693" s="831">
        <f t="shared" si="91"/>
        <v>0.333056262369239</v>
      </c>
      <c r="L693" s="809">
        <f t="shared" si="82"/>
        <v>0.950172447725271</v>
      </c>
      <c r="M693" s="839">
        <f t="shared" si="92"/>
        <v>0</v>
      </c>
      <c r="N693" s="840">
        <f t="shared" si="93"/>
        <v>0</v>
      </c>
      <c r="O693" s="675">
        <f t="shared" si="94"/>
        <v>15.298961038961</v>
      </c>
      <c r="P693">
        <f t="shared" si="95"/>
        <v>77</v>
      </c>
      <c r="Q693" s="834">
        <f t="shared" si="96"/>
        <v>0.021769861464518</v>
      </c>
    </row>
    <row r="694" spans="1:17">
      <c r="A694" s="801">
        <v>45442</v>
      </c>
      <c r="B694" s="589">
        <v>1180.94</v>
      </c>
      <c r="C694" s="589">
        <v>838434</v>
      </c>
      <c r="D694" s="589">
        <v>2742</v>
      </c>
      <c r="E694" s="589">
        <v>0</v>
      </c>
      <c r="F694" s="589">
        <v>0</v>
      </c>
      <c r="G694" s="589">
        <v>3</v>
      </c>
      <c r="H694" s="589">
        <v>78</v>
      </c>
      <c r="I694" s="589">
        <v>0</v>
      </c>
      <c r="J694" s="830">
        <f t="shared" si="90"/>
        <v>0.0032703826419253</v>
      </c>
      <c r="K694" s="831">
        <f t="shared" si="91"/>
        <v>0.430685630926331</v>
      </c>
      <c r="L694" s="809">
        <f t="shared" si="82"/>
        <v>1.40850681150812</v>
      </c>
      <c r="M694" s="839">
        <f t="shared" si="92"/>
        <v>0</v>
      </c>
      <c r="N694" s="840">
        <f t="shared" si="93"/>
        <v>0</v>
      </c>
      <c r="O694" s="675">
        <f t="shared" si="94"/>
        <v>14.5795061728395</v>
      </c>
      <c r="P694">
        <f t="shared" si="95"/>
        <v>81</v>
      </c>
      <c r="Q694" s="834">
        <f t="shared" si="96"/>
        <v>0.0295404814004376</v>
      </c>
    </row>
    <row r="695" spans="1:17">
      <c r="A695" s="801">
        <v>45443</v>
      </c>
      <c r="B695" s="589">
        <v>1177.3</v>
      </c>
      <c r="C695" s="589">
        <v>987672</v>
      </c>
      <c r="D695" s="589">
        <v>2808</v>
      </c>
      <c r="E695" s="589">
        <v>0</v>
      </c>
      <c r="F695" s="589">
        <v>0</v>
      </c>
      <c r="G695" s="589">
        <v>5</v>
      </c>
      <c r="H695" s="589">
        <v>58</v>
      </c>
      <c r="I695" s="589">
        <v>0</v>
      </c>
      <c r="J695" s="830">
        <f t="shared" si="90"/>
        <v>0.00284304910942094</v>
      </c>
      <c r="K695" s="831">
        <f t="shared" si="91"/>
        <v>0.419266381766382</v>
      </c>
      <c r="L695" s="809">
        <f t="shared" si="82"/>
        <v>1.19199491329105</v>
      </c>
      <c r="M695" s="839">
        <f t="shared" si="92"/>
        <v>0</v>
      </c>
      <c r="N695" s="840">
        <f t="shared" si="93"/>
        <v>0</v>
      </c>
      <c r="O695" s="675">
        <f t="shared" si="94"/>
        <v>18.6873015873016</v>
      </c>
      <c r="P695">
        <f t="shared" si="95"/>
        <v>63</v>
      </c>
      <c r="Q695" s="834">
        <f t="shared" si="96"/>
        <v>0.0224358974358974</v>
      </c>
    </row>
    <row r="696" spans="1:17">
      <c r="A696" s="801">
        <v>45444</v>
      </c>
      <c r="B696" s="589">
        <v>1460.97</v>
      </c>
      <c r="C696" s="589">
        <v>1232754</v>
      </c>
      <c r="D696" s="589">
        <v>3522</v>
      </c>
      <c r="E696" s="589">
        <v>0</v>
      </c>
      <c r="F696" s="589">
        <v>0</v>
      </c>
      <c r="G696" s="589">
        <v>9</v>
      </c>
      <c r="H696" s="589">
        <v>163</v>
      </c>
      <c r="I696" s="589">
        <v>1</v>
      </c>
      <c r="J696" s="830">
        <f t="shared" si="90"/>
        <v>0.00285701770182859</v>
      </c>
      <c r="K696" s="831">
        <f t="shared" si="91"/>
        <v>0.414812606473595</v>
      </c>
      <c r="L696" s="809">
        <f t="shared" si="82"/>
        <v>1.18512695963672</v>
      </c>
      <c r="M696" s="839">
        <f t="shared" si="92"/>
        <v>0</v>
      </c>
      <c r="N696" s="840">
        <f t="shared" si="93"/>
        <v>0</v>
      </c>
      <c r="O696" s="675">
        <f t="shared" si="94"/>
        <v>8.49401162790698</v>
      </c>
      <c r="P696">
        <f t="shared" si="95"/>
        <v>172</v>
      </c>
      <c r="Q696" s="834">
        <f t="shared" si="96"/>
        <v>0.0488358886996025</v>
      </c>
    </row>
    <row r="697" spans="1:17">
      <c r="A697" s="801">
        <v>45445</v>
      </c>
      <c r="B697" s="589">
        <v>1475.13</v>
      </c>
      <c r="C697" s="589">
        <v>1055296</v>
      </c>
      <c r="D697" s="589">
        <v>3382</v>
      </c>
      <c r="E697" s="589">
        <v>0</v>
      </c>
      <c r="F697" s="589">
        <v>0</v>
      </c>
      <c r="G697" s="589">
        <v>10</v>
      </c>
      <c r="H697" s="589">
        <v>163</v>
      </c>
      <c r="I697" s="589">
        <v>3</v>
      </c>
      <c r="J697" s="830">
        <f t="shared" ref="J697:J726" si="97">D697/C697</f>
        <v>0.00320478804051186</v>
      </c>
      <c r="K697" s="831">
        <f t="shared" ref="K697:K726" si="98">B697/D697</f>
        <v>0.436170904790065</v>
      </c>
      <c r="L697" s="809">
        <f t="shared" si="82"/>
        <v>1.39783529929044</v>
      </c>
      <c r="M697" s="839">
        <f t="shared" ref="M697:M726" si="99">F697/B697</f>
        <v>0</v>
      </c>
      <c r="N697" s="840">
        <f t="shared" ref="N697:N726" si="100">E697/D697</f>
        <v>0</v>
      </c>
      <c r="O697" s="675">
        <f t="shared" ref="O697:O726" si="101">B697/(G697+H697)</f>
        <v>8.52676300578035</v>
      </c>
      <c r="P697">
        <f t="shared" ref="P697:P726" si="102">G697+H697</f>
        <v>173</v>
      </c>
      <c r="Q697" s="834">
        <f t="shared" ref="Q697:Q726" si="103">P697/D697</f>
        <v>0.0511531638083974</v>
      </c>
    </row>
    <row r="698" spans="1:17">
      <c r="A698" s="801">
        <v>45446</v>
      </c>
      <c r="B698" s="589">
        <v>1444.9</v>
      </c>
      <c r="C698" s="589">
        <v>1222089</v>
      </c>
      <c r="D698" s="589">
        <v>3579</v>
      </c>
      <c r="E698" s="589">
        <v>0</v>
      </c>
      <c r="F698" s="589">
        <v>0</v>
      </c>
      <c r="G698" s="589">
        <v>16</v>
      </c>
      <c r="H698" s="589">
        <v>99</v>
      </c>
      <c r="I698" s="589">
        <v>5</v>
      </c>
      <c r="J698" s="830">
        <f t="shared" si="97"/>
        <v>0.0029285919437946</v>
      </c>
      <c r="K698" s="831">
        <f t="shared" si="98"/>
        <v>0.403716121821738</v>
      </c>
      <c r="L698" s="809">
        <f t="shared" si="82"/>
        <v>1.18231978194714</v>
      </c>
      <c r="M698" s="839">
        <f t="shared" si="99"/>
        <v>0</v>
      </c>
      <c r="N698" s="840">
        <f t="shared" si="100"/>
        <v>0</v>
      </c>
      <c r="O698" s="675">
        <f t="shared" si="101"/>
        <v>12.564347826087</v>
      </c>
      <c r="P698">
        <f t="shared" si="102"/>
        <v>115</v>
      </c>
      <c r="Q698" s="834">
        <f t="shared" si="103"/>
        <v>0.0321318804135233</v>
      </c>
    </row>
    <row r="699" spans="1:17">
      <c r="A699" s="801">
        <v>45447</v>
      </c>
      <c r="B699" s="589">
        <v>1466.35</v>
      </c>
      <c r="C699" s="589">
        <v>1264945</v>
      </c>
      <c r="D699" s="589">
        <v>4115</v>
      </c>
      <c r="E699" s="589">
        <v>0</v>
      </c>
      <c r="F699" s="589">
        <v>0</v>
      </c>
      <c r="G699" s="589">
        <v>6</v>
      </c>
      <c r="H699" s="589">
        <v>118</v>
      </c>
      <c r="I699" s="589">
        <v>1</v>
      </c>
      <c r="J699" s="830">
        <f t="shared" si="97"/>
        <v>0.00325310586626296</v>
      </c>
      <c r="K699" s="831">
        <f t="shared" si="98"/>
        <v>0.356342648845687</v>
      </c>
      <c r="L699" s="809">
        <f t="shared" si="82"/>
        <v>1.15922036135958</v>
      </c>
      <c r="M699" s="839">
        <f t="shared" si="99"/>
        <v>0</v>
      </c>
      <c r="N699" s="840">
        <f t="shared" si="100"/>
        <v>0</v>
      </c>
      <c r="O699" s="675">
        <f t="shared" si="101"/>
        <v>11.8254032258065</v>
      </c>
      <c r="P699">
        <f t="shared" si="102"/>
        <v>124</v>
      </c>
      <c r="Q699" s="834">
        <f t="shared" si="103"/>
        <v>0.0301336573511543</v>
      </c>
    </row>
    <row r="700" spans="1:17">
      <c r="A700" s="801">
        <v>45448</v>
      </c>
      <c r="B700" s="589">
        <v>1001.37</v>
      </c>
      <c r="C700" s="589">
        <v>1199257</v>
      </c>
      <c r="D700" s="589">
        <v>3098</v>
      </c>
      <c r="E700" s="589">
        <v>0</v>
      </c>
      <c r="F700" s="589">
        <v>0</v>
      </c>
      <c r="G700" s="589">
        <v>3</v>
      </c>
      <c r="H700" s="589">
        <v>124</v>
      </c>
      <c r="I700" s="589">
        <v>1</v>
      </c>
      <c r="J700" s="830">
        <f t="shared" si="97"/>
        <v>0.00258326613895103</v>
      </c>
      <c r="K700" s="831">
        <f t="shared" si="98"/>
        <v>0.32323111684958</v>
      </c>
      <c r="L700" s="809">
        <f t="shared" si="82"/>
        <v>0.834991999212846</v>
      </c>
      <c r="M700" s="839">
        <f t="shared" si="99"/>
        <v>0</v>
      </c>
      <c r="N700" s="840">
        <f t="shared" si="100"/>
        <v>0</v>
      </c>
      <c r="O700" s="675">
        <f t="shared" si="101"/>
        <v>7.8848031496063</v>
      </c>
      <c r="P700">
        <f t="shared" si="102"/>
        <v>127</v>
      </c>
      <c r="Q700" s="834">
        <f t="shared" si="103"/>
        <v>0.0409941897998709</v>
      </c>
    </row>
    <row r="701" spans="1:17">
      <c r="A701" s="801">
        <v>45449</v>
      </c>
      <c r="B701" s="589">
        <v>1019.79</v>
      </c>
      <c r="C701" s="589">
        <v>1064460</v>
      </c>
      <c r="D701" s="589">
        <v>2997</v>
      </c>
      <c r="E701" s="589">
        <v>0</v>
      </c>
      <c r="F701" s="589">
        <v>0</v>
      </c>
      <c r="G701" s="589">
        <v>5</v>
      </c>
      <c r="H701" s="589">
        <v>104</v>
      </c>
      <c r="I701" s="589">
        <v>0</v>
      </c>
      <c r="J701" s="830">
        <f t="shared" si="97"/>
        <v>0.00281551209063751</v>
      </c>
      <c r="K701" s="831">
        <f t="shared" si="98"/>
        <v>0.34027027027027</v>
      </c>
      <c r="L701" s="809">
        <f t="shared" si="82"/>
        <v>0.958035060030438</v>
      </c>
      <c r="M701" s="839">
        <f t="shared" si="99"/>
        <v>0</v>
      </c>
      <c r="N701" s="840">
        <f t="shared" si="100"/>
        <v>0</v>
      </c>
      <c r="O701" s="675">
        <f t="shared" si="101"/>
        <v>9.35587155963303</v>
      </c>
      <c r="P701">
        <f t="shared" si="102"/>
        <v>109</v>
      </c>
      <c r="Q701" s="834">
        <f t="shared" si="103"/>
        <v>0.0363697030363697</v>
      </c>
    </row>
    <row r="702" spans="1:17">
      <c r="A702" s="801">
        <v>45450</v>
      </c>
      <c r="B702" s="589">
        <v>730.58</v>
      </c>
      <c r="C702" s="589">
        <v>611152</v>
      </c>
      <c r="D702" s="589">
        <v>1944</v>
      </c>
      <c r="E702" s="589">
        <v>0</v>
      </c>
      <c r="F702" s="589">
        <v>0</v>
      </c>
      <c r="G702" s="589">
        <v>2</v>
      </c>
      <c r="H702" s="589">
        <v>89</v>
      </c>
      <c r="I702" s="589">
        <v>1</v>
      </c>
      <c r="J702" s="830">
        <f t="shared" si="97"/>
        <v>0.00318087807943032</v>
      </c>
      <c r="K702" s="831">
        <f t="shared" si="98"/>
        <v>0.375812757201646</v>
      </c>
      <c r="L702" s="809">
        <f t="shared" si="82"/>
        <v>1.19541456135299</v>
      </c>
      <c r="M702" s="839">
        <f t="shared" si="99"/>
        <v>0</v>
      </c>
      <c r="N702" s="840">
        <f t="shared" si="100"/>
        <v>0</v>
      </c>
      <c r="O702" s="675">
        <f t="shared" si="101"/>
        <v>8.02835164835165</v>
      </c>
      <c r="P702">
        <f t="shared" si="102"/>
        <v>91</v>
      </c>
      <c r="Q702" s="834">
        <f t="shared" si="103"/>
        <v>0.0468106995884774</v>
      </c>
    </row>
    <row r="703" spans="1:17">
      <c r="A703" s="801">
        <v>45451</v>
      </c>
      <c r="B703" s="589">
        <v>732.74</v>
      </c>
      <c r="C703" s="589">
        <v>682825</v>
      </c>
      <c r="D703" s="589">
        <v>2071</v>
      </c>
      <c r="E703" s="589">
        <v>0</v>
      </c>
      <c r="F703" s="589">
        <v>0</v>
      </c>
      <c r="G703" s="589">
        <v>7</v>
      </c>
      <c r="H703" s="589">
        <v>113</v>
      </c>
      <c r="I703" s="589">
        <v>1</v>
      </c>
      <c r="J703" s="830">
        <f t="shared" si="97"/>
        <v>0.00303298795445392</v>
      </c>
      <c r="K703" s="831">
        <f t="shared" si="98"/>
        <v>0.353809753742154</v>
      </c>
      <c r="L703" s="809">
        <f t="shared" si="82"/>
        <v>1.07310072126826</v>
      </c>
      <c r="M703" s="839">
        <f t="shared" si="99"/>
        <v>0</v>
      </c>
      <c r="N703" s="840">
        <f t="shared" si="100"/>
        <v>0</v>
      </c>
      <c r="O703" s="675">
        <f t="shared" si="101"/>
        <v>6.10616666666667</v>
      </c>
      <c r="P703">
        <f t="shared" si="102"/>
        <v>120</v>
      </c>
      <c r="Q703" s="834">
        <f t="shared" si="103"/>
        <v>0.0579430226943506</v>
      </c>
    </row>
    <row r="704" spans="1:17">
      <c r="A704" s="801">
        <v>45452</v>
      </c>
      <c r="B704" s="589">
        <v>729.96</v>
      </c>
      <c r="C704" s="589">
        <v>691960</v>
      </c>
      <c r="D704" s="589">
        <v>2205</v>
      </c>
      <c r="E704" s="589">
        <v>0</v>
      </c>
      <c r="F704" s="589">
        <v>0</v>
      </c>
      <c r="G704" s="589">
        <v>4</v>
      </c>
      <c r="H704" s="589">
        <v>93</v>
      </c>
      <c r="I704" s="589">
        <v>0</v>
      </c>
      <c r="J704" s="830">
        <f t="shared" si="97"/>
        <v>0.00318660038152494</v>
      </c>
      <c r="K704" s="831">
        <f t="shared" si="98"/>
        <v>0.331047619047619</v>
      </c>
      <c r="L704" s="809">
        <f t="shared" si="82"/>
        <v>1.05491646916007</v>
      </c>
      <c r="M704" s="839">
        <f t="shared" si="99"/>
        <v>0</v>
      </c>
      <c r="N704" s="840">
        <f t="shared" si="100"/>
        <v>0</v>
      </c>
      <c r="O704" s="675">
        <f t="shared" si="101"/>
        <v>7.52536082474227</v>
      </c>
      <c r="P704">
        <f t="shared" si="102"/>
        <v>97</v>
      </c>
      <c r="Q704" s="834">
        <f t="shared" si="103"/>
        <v>0.0439909297052154</v>
      </c>
    </row>
    <row r="705" spans="1:17">
      <c r="A705" s="801">
        <v>45453</v>
      </c>
      <c r="B705" s="589">
        <v>741.08</v>
      </c>
      <c r="C705" s="589">
        <v>665496</v>
      </c>
      <c r="D705" s="589">
        <v>2316</v>
      </c>
      <c r="E705" s="589">
        <v>1</v>
      </c>
      <c r="F705" s="589">
        <v>12960</v>
      </c>
      <c r="G705" s="589">
        <v>7</v>
      </c>
      <c r="H705" s="589">
        <v>71</v>
      </c>
      <c r="I705" s="589">
        <v>4</v>
      </c>
      <c r="J705" s="830">
        <f t="shared" si="97"/>
        <v>0.00348011107504778</v>
      </c>
      <c r="K705" s="831">
        <f t="shared" si="98"/>
        <v>0.319982728842832</v>
      </c>
      <c r="L705" s="809">
        <f t="shared" si="82"/>
        <v>1.11357543846995</v>
      </c>
      <c r="M705" s="839">
        <f t="shared" si="99"/>
        <v>17.4879905003508</v>
      </c>
      <c r="N705" s="840">
        <f t="shared" si="100"/>
        <v>0.000431778929188256</v>
      </c>
      <c r="O705" s="675">
        <f t="shared" si="101"/>
        <v>9.50102564102564</v>
      </c>
      <c r="P705">
        <f t="shared" si="102"/>
        <v>78</v>
      </c>
      <c r="Q705" s="834">
        <f t="shared" si="103"/>
        <v>0.0336787564766839</v>
      </c>
    </row>
    <row r="706" spans="1:17">
      <c r="A706" s="801">
        <v>45454</v>
      </c>
      <c r="B706" s="589">
        <v>723.22</v>
      </c>
      <c r="C706" s="589">
        <v>684717</v>
      </c>
      <c r="D706" s="589">
        <v>2177</v>
      </c>
      <c r="E706" s="589">
        <v>0</v>
      </c>
      <c r="F706" s="589">
        <v>0</v>
      </c>
      <c r="G706" s="589">
        <v>6</v>
      </c>
      <c r="H706" s="589">
        <v>64</v>
      </c>
      <c r="I706" s="589">
        <v>1</v>
      </c>
      <c r="J706" s="830">
        <f t="shared" si="97"/>
        <v>0.00317941572941814</v>
      </c>
      <c r="K706" s="831">
        <f t="shared" si="98"/>
        <v>0.33220946256316</v>
      </c>
      <c r="L706" s="809">
        <f t="shared" si="82"/>
        <v>1.05623199073486</v>
      </c>
      <c r="M706" s="839">
        <f t="shared" si="99"/>
        <v>0</v>
      </c>
      <c r="N706" s="840">
        <f t="shared" si="100"/>
        <v>0</v>
      </c>
      <c r="O706" s="675">
        <f t="shared" si="101"/>
        <v>10.3317142857143</v>
      </c>
      <c r="P706">
        <f t="shared" si="102"/>
        <v>70</v>
      </c>
      <c r="Q706" s="834">
        <f t="shared" si="103"/>
        <v>0.0321543408360129</v>
      </c>
    </row>
    <row r="707" spans="1:17">
      <c r="A707" s="801">
        <v>45455</v>
      </c>
      <c r="B707" s="589">
        <v>722.78</v>
      </c>
      <c r="C707" s="589">
        <v>747866</v>
      </c>
      <c r="D707" s="589">
        <v>2400</v>
      </c>
      <c r="E707" s="589">
        <v>0</v>
      </c>
      <c r="F707" s="589">
        <v>0</v>
      </c>
      <c r="G707" s="589">
        <v>7</v>
      </c>
      <c r="H707" s="589">
        <v>56</v>
      </c>
      <c r="I707" s="589">
        <v>2</v>
      </c>
      <c r="J707" s="830">
        <f t="shared" si="97"/>
        <v>0.0032091310475406</v>
      </c>
      <c r="K707" s="831">
        <f t="shared" si="98"/>
        <v>0.301158333333333</v>
      </c>
      <c r="L707" s="809">
        <f t="shared" si="82"/>
        <v>0.966456557725582</v>
      </c>
      <c r="M707" s="839">
        <f t="shared" si="99"/>
        <v>0</v>
      </c>
      <c r="N707" s="840">
        <f t="shared" si="100"/>
        <v>0</v>
      </c>
      <c r="O707" s="675">
        <f t="shared" si="101"/>
        <v>11.4726984126984</v>
      </c>
      <c r="P707">
        <f t="shared" si="102"/>
        <v>63</v>
      </c>
      <c r="Q707" s="834">
        <f t="shared" si="103"/>
        <v>0.02625</v>
      </c>
    </row>
    <row r="708" spans="1:17">
      <c r="A708" s="801">
        <v>45456</v>
      </c>
      <c r="B708" s="589">
        <v>735.01</v>
      </c>
      <c r="C708" s="589">
        <v>708348</v>
      </c>
      <c r="D708" s="589">
        <v>2360</v>
      </c>
      <c r="E708" s="589">
        <v>0</v>
      </c>
      <c r="F708" s="589">
        <v>0</v>
      </c>
      <c r="G708" s="589">
        <v>7</v>
      </c>
      <c r="H708" s="589">
        <v>81</v>
      </c>
      <c r="I708" s="589">
        <v>1</v>
      </c>
      <c r="J708" s="830">
        <f t="shared" si="97"/>
        <v>0.00333169572018274</v>
      </c>
      <c r="K708" s="831">
        <f t="shared" si="98"/>
        <v>0.311444915254237</v>
      </c>
      <c r="L708" s="809">
        <f t="shared" si="82"/>
        <v>1.03763969122522</v>
      </c>
      <c r="M708" s="839">
        <f t="shared" si="99"/>
        <v>0</v>
      </c>
      <c r="N708" s="840">
        <f t="shared" si="100"/>
        <v>0</v>
      </c>
      <c r="O708" s="675">
        <f t="shared" si="101"/>
        <v>8.35238636363636</v>
      </c>
      <c r="P708">
        <f t="shared" si="102"/>
        <v>88</v>
      </c>
      <c r="Q708" s="834">
        <f t="shared" si="103"/>
        <v>0.0372881355932203</v>
      </c>
    </row>
    <row r="709" spans="1:17">
      <c r="A709" s="801">
        <v>45457</v>
      </c>
      <c r="B709" s="589">
        <v>721.6</v>
      </c>
      <c r="C709" s="589">
        <v>588404</v>
      </c>
      <c r="D709" s="589">
        <v>2298</v>
      </c>
      <c r="E709" s="589">
        <v>0</v>
      </c>
      <c r="F709" s="589">
        <v>0</v>
      </c>
      <c r="G709" s="589">
        <v>7</v>
      </c>
      <c r="H709" s="589">
        <v>74</v>
      </c>
      <c r="I709" s="589">
        <v>1</v>
      </c>
      <c r="J709" s="830">
        <f t="shared" si="97"/>
        <v>0.00390547990836228</v>
      </c>
      <c r="K709" s="831">
        <f t="shared" si="98"/>
        <v>0.314012184508268</v>
      </c>
      <c r="L709" s="809">
        <f t="shared" si="82"/>
        <v>1.22636827757799</v>
      </c>
      <c r="M709" s="839">
        <f t="shared" si="99"/>
        <v>0</v>
      </c>
      <c r="N709" s="840">
        <f t="shared" si="100"/>
        <v>0</v>
      </c>
      <c r="O709" s="675">
        <f t="shared" si="101"/>
        <v>8.90864197530864</v>
      </c>
      <c r="P709">
        <f t="shared" si="102"/>
        <v>81</v>
      </c>
      <c r="Q709" s="834">
        <f t="shared" si="103"/>
        <v>0.0352480417754569</v>
      </c>
    </row>
    <row r="710" spans="1:17">
      <c r="A710" s="801">
        <v>45458</v>
      </c>
      <c r="B710" s="589">
        <v>743.97</v>
      </c>
      <c r="C710" s="589">
        <v>547009</v>
      </c>
      <c r="D710" s="589">
        <v>2085</v>
      </c>
      <c r="E710" s="589">
        <v>0</v>
      </c>
      <c r="F710" s="589">
        <v>0</v>
      </c>
      <c r="G710" s="589">
        <v>4</v>
      </c>
      <c r="H710" s="589">
        <v>88</v>
      </c>
      <c r="I710" s="589">
        <v>2</v>
      </c>
      <c r="J710" s="830">
        <f t="shared" si="97"/>
        <v>0.00381163746848772</v>
      </c>
      <c r="K710" s="831">
        <f t="shared" si="98"/>
        <v>0.356820143884892</v>
      </c>
      <c r="L710" s="809">
        <f t="shared" si="82"/>
        <v>1.36006902994283</v>
      </c>
      <c r="M710" s="839">
        <f t="shared" si="99"/>
        <v>0</v>
      </c>
      <c r="N710" s="840">
        <f t="shared" si="100"/>
        <v>0</v>
      </c>
      <c r="O710" s="675">
        <f t="shared" si="101"/>
        <v>8.08663043478261</v>
      </c>
      <c r="P710">
        <f t="shared" si="102"/>
        <v>92</v>
      </c>
      <c r="Q710" s="834">
        <f t="shared" si="103"/>
        <v>0.0441247002398082</v>
      </c>
    </row>
    <row r="711" spans="1:17">
      <c r="A711" s="801">
        <v>45459</v>
      </c>
      <c r="B711" s="589">
        <v>714.16</v>
      </c>
      <c r="C711" s="589">
        <v>721234</v>
      </c>
      <c r="D711" s="589">
        <v>2514</v>
      </c>
      <c r="E711" s="589">
        <v>0</v>
      </c>
      <c r="F711" s="589">
        <v>0</v>
      </c>
      <c r="G711" s="589">
        <v>16</v>
      </c>
      <c r="H711" s="589">
        <v>88</v>
      </c>
      <c r="I711" s="589">
        <v>1</v>
      </c>
      <c r="J711" s="830">
        <f t="shared" si="97"/>
        <v>0.00348569257688905</v>
      </c>
      <c r="K711" s="831">
        <f t="shared" si="98"/>
        <v>0.284073190135243</v>
      </c>
      <c r="L711" s="809">
        <f t="shared" si="82"/>
        <v>0.990191810147608</v>
      </c>
      <c r="M711" s="839">
        <f t="shared" si="99"/>
        <v>0</v>
      </c>
      <c r="N711" s="840">
        <f t="shared" si="100"/>
        <v>0</v>
      </c>
      <c r="O711" s="675">
        <f t="shared" si="101"/>
        <v>6.86692307692308</v>
      </c>
      <c r="P711">
        <f t="shared" si="102"/>
        <v>104</v>
      </c>
      <c r="Q711" s="834">
        <f t="shared" si="103"/>
        <v>0.0413683373110581</v>
      </c>
    </row>
    <row r="712" spans="1:17">
      <c r="A712" s="801">
        <v>45460</v>
      </c>
      <c r="B712" s="589">
        <v>982.42</v>
      </c>
      <c r="C712" s="589">
        <v>748800</v>
      </c>
      <c r="D712" s="589">
        <v>2674</v>
      </c>
      <c r="E712" s="589">
        <v>0</v>
      </c>
      <c r="F712" s="589">
        <v>0</v>
      </c>
      <c r="G712" s="589">
        <v>17</v>
      </c>
      <c r="H712" s="589">
        <v>104</v>
      </c>
      <c r="I712" s="589">
        <v>1</v>
      </c>
      <c r="J712" s="830">
        <f t="shared" si="97"/>
        <v>0.00357104700854701</v>
      </c>
      <c r="K712" s="831">
        <f t="shared" si="98"/>
        <v>0.367397157816006</v>
      </c>
      <c r="L712" s="809">
        <f t="shared" si="82"/>
        <v>1.31199252136752</v>
      </c>
      <c r="M712" s="839">
        <f t="shared" si="99"/>
        <v>0</v>
      </c>
      <c r="N712" s="840">
        <f t="shared" si="100"/>
        <v>0</v>
      </c>
      <c r="O712" s="675">
        <f t="shared" si="101"/>
        <v>8.11917355371901</v>
      </c>
      <c r="P712">
        <f t="shared" si="102"/>
        <v>121</v>
      </c>
      <c r="Q712" s="834">
        <f t="shared" si="103"/>
        <v>0.0452505609573672</v>
      </c>
    </row>
    <row r="713" spans="1:17">
      <c r="A713" s="801">
        <v>45461</v>
      </c>
      <c r="B713" s="589">
        <v>777.49</v>
      </c>
      <c r="C713" s="589">
        <v>708388</v>
      </c>
      <c r="D713" s="589">
        <v>2340</v>
      </c>
      <c r="E713" s="589">
        <v>0</v>
      </c>
      <c r="F713" s="589">
        <v>0</v>
      </c>
      <c r="G713" s="589">
        <v>14</v>
      </c>
      <c r="H713" s="589">
        <v>44</v>
      </c>
      <c r="I713" s="589">
        <v>1</v>
      </c>
      <c r="J713" s="830">
        <f t="shared" si="97"/>
        <v>0.00330327447669921</v>
      </c>
      <c r="K713" s="831">
        <f t="shared" si="98"/>
        <v>0.332260683760684</v>
      </c>
      <c r="L713" s="809">
        <f t="shared" si="82"/>
        <v>1.09754823627729</v>
      </c>
      <c r="M713" s="839">
        <f t="shared" si="99"/>
        <v>0</v>
      </c>
      <c r="N713" s="840">
        <f t="shared" si="100"/>
        <v>0</v>
      </c>
      <c r="O713" s="675">
        <f t="shared" si="101"/>
        <v>13.405</v>
      </c>
      <c r="P713">
        <f t="shared" si="102"/>
        <v>58</v>
      </c>
      <c r="Q713" s="834">
        <f t="shared" si="103"/>
        <v>0.0247863247863248</v>
      </c>
    </row>
    <row r="714" spans="1:17">
      <c r="A714" s="801">
        <v>45462</v>
      </c>
      <c r="B714" s="589">
        <v>348.25</v>
      </c>
      <c r="C714" s="589">
        <v>402263</v>
      </c>
      <c r="D714" s="589">
        <v>1350</v>
      </c>
      <c r="E714" s="589">
        <v>0</v>
      </c>
      <c r="F714" s="589">
        <v>0</v>
      </c>
      <c r="G714" s="589">
        <v>1</v>
      </c>
      <c r="H714" s="589">
        <v>1</v>
      </c>
      <c r="I714" s="589">
        <v>1</v>
      </c>
      <c r="J714" s="830">
        <f t="shared" si="97"/>
        <v>0.00335601335444721</v>
      </c>
      <c r="K714" s="831">
        <f t="shared" si="98"/>
        <v>0.257962962962963</v>
      </c>
      <c r="L714" s="809">
        <f t="shared" si="82"/>
        <v>0.865727148656476</v>
      </c>
      <c r="M714" s="839">
        <f t="shared" si="99"/>
        <v>0</v>
      </c>
      <c r="N714" s="840">
        <f t="shared" si="100"/>
        <v>0</v>
      </c>
      <c r="O714" s="675">
        <f t="shared" si="101"/>
        <v>174.125</v>
      </c>
      <c r="P714">
        <f t="shared" si="102"/>
        <v>2</v>
      </c>
      <c r="Q714" s="834">
        <f t="shared" si="103"/>
        <v>0.00148148148148148</v>
      </c>
    </row>
    <row r="715" spans="1:17">
      <c r="A715" s="801">
        <v>45463</v>
      </c>
      <c r="B715" s="589">
        <v>346.33</v>
      </c>
      <c r="C715" s="589">
        <v>475672</v>
      </c>
      <c r="D715" s="589">
        <v>1719</v>
      </c>
      <c r="E715" s="589">
        <v>0</v>
      </c>
      <c r="F715" s="589">
        <v>0</v>
      </c>
      <c r="G715" s="589">
        <v>0</v>
      </c>
      <c r="H715" s="589">
        <v>0</v>
      </c>
      <c r="I715" s="589">
        <v>0</v>
      </c>
      <c r="J715" s="830">
        <f t="shared" si="97"/>
        <v>0.00361383474326847</v>
      </c>
      <c r="K715" s="831">
        <f t="shared" si="98"/>
        <v>0.201471785922048</v>
      </c>
      <c r="L715" s="809">
        <f t="shared" si="82"/>
        <v>0.728085739753444</v>
      </c>
      <c r="M715" s="839">
        <f t="shared" si="99"/>
        <v>0</v>
      </c>
      <c r="N715" s="840">
        <f t="shared" si="100"/>
        <v>0</v>
      </c>
      <c r="O715" s="675">
        <v>0</v>
      </c>
      <c r="P715">
        <f t="shared" si="102"/>
        <v>0</v>
      </c>
      <c r="Q715" s="834">
        <f t="shared" si="103"/>
        <v>0</v>
      </c>
    </row>
    <row r="716" spans="1:17">
      <c r="A716" s="801">
        <v>45464</v>
      </c>
      <c r="B716" s="589">
        <v>673.3</v>
      </c>
      <c r="C716" s="589">
        <v>639457</v>
      </c>
      <c r="D716" s="589">
        <v>2535</v>
      </c>
      <c r="E716" s="589">
        <v>0</v>
      </c>
      <c r="F716" s="589">
        <v>0</v>
      </c>
      <c r="G716" s="589">
        <v>14</v>
      </c>
      <c r="H716" s="589">
        <v>47</v>
      </c>
      <c r="I716" s="589">
        <v>1</v>
      </c>
      <c r="J716" s="830">
        <f t="shared" si="97"/>
        <v>0.00396430096159711</v>
      </c>
      <c r="K716" s="831">
        <f t="shared" si="98"/>
        <v>0.26560157790927</v>
      </c>
      <c r="L716" s="809">
        <f t="shared" si="82"/>
        <v>1.05292459070743</v>
      </c>
      <c r="M716" s="839">
        <f t="shared" si="99"/>
        <v>0</v>
      </c>
      <c r="N716" s="840">
        <f t="shared" si="100"/>
        <v>0</v>
      </c>
      <c r="O716" s="675">
        <f t="shared" si="101"/>
        <v>11.0377049180328</v>
      </c>
      <c r="P716">
        <f t="shared" si="102"/>
        <v>61</v>
      </c>
      <c r="Q716" s="834">
        <f t="shared" si="103"/>
        <v>0.0240631163708087</v>
      </c>
    </row>
    <row r="717" spans="1:17">
      <c r="A717" s="801">
        <v>45465</v>
      </c>
      <c r="B717" s="589">
        <v>629.23</v>
      </c>
      <c r="C717" s="589">
        <v>636938</v>
      </c>
      <c r="D717" s="589">
        <v>2300</v>
      </c>
      <c r="E717" s="589">
        <v>0</v>
      </c>
      <c r="F717" s="589">
        <v>0</v>
      </c>
      <c r="G717" s="589">
        <v>8</v>
      </c>
      <c r="H717" s="589">
        <v>72</v>
      </c>
      <c r="I717" s="589">
        <v>1</v>
      </c>
      <c r="J717" s="830">
        <f t="shared" si="97"/>
        <v>0.00361102650493455</v>
      </c>
      <c r="K717" s="831">
        <f t="shared" si="98"/>
        <v>0.273578260869565</v>
      </c>
      <c r="L717" s="809">
        <f t="shared" si="82"/>
        <v>0.987898351173898</v>
      </c>
      <c r="M717" s="839">
        <f t="shared" si="99"/>
        <v>0</v>
      </c>
      <c r="N717" s="840">
        <f t="shared" si="100"/>
        <v>0</v>
      </c>
      <c r="O717" s="675">
        <f t="shared" si="101"/>
        <v>7.865375</v>
      </c>
      <c r="P717">
        <f t="shared" si="102"/>
        <v>80</v>
      </c>
      <c r="Q717" s="834">
        <f t="shared" si="103"/>
        <v>0.0347826086956522</v>
      </c>
    </row>
    <row r="718" spans="1:17">
      <c r="A718" s="801">
        <v>45466</v>
      </c>
      <c r="B718" s="589">
        <v>680.33</v>
      </c>
      <c r="C718" s="589">
        <v>596120</v>
      </c>
      <c r="D718" s="589">
        <v>2477</v>
      </c>
      <c r="E718" s="589">
        <v>0</v>
      </c>
      <c r="F718" s="589">
        <v>0</v>
      </c>
      <c r="G718" s="589">
        <v>15</v>
      </c>
      <c r="H718" s="589">
        <v>87</v>
      </c>
      <c r="I718" s="589">
        <v>0</v>
      </c>
      <c r="J718" s="830">
        <f t="shared" si="97"/>
        <v>0.00415520365027176</v>
      </c>
      <c r="K718" s="831">
        <f t="shared" si="98"/>
        <v>0.27465886152604</v>
      </c>
      <c r="L718" s="809">
        <f t="shared" si="82"/>
        <v>1.14126350399248</v>
      </c>
      <c r="M718" s="839">
        <f t="shared" si="99"/>
        <v>0</v>
      </c>
      <c r="N718" s="840">
        <f t="shared" si="100"/>
        <v>0</v>
      </c>
      <c r="O718" s="675">
        <f t="shared" si="101"/>
        <v>6.66990196078431</v>
      </c>
      <c r="P718">
        <f t="shared" si="102"/>
        <v>102</v>
      </c>
      <c r="Q718" s="834">
        <f t="shared" si="103"/>
        <v>0.0411788453774727</v>
      </c>
    </row>
    <row r="719" spans="1:17">
      <c r="A719" s="801">
        <v>45467</v>
      </c>
      <c r="B719" s="589">
        <v>965.35</v>
      </c>
      <c r="C719" s="589">
        <v>732673</v>
      </c>
      <c r="D719" s="589">
        <v>3264</v>
      </c>
      <c r="E719" s="589">
        <v>0</v>
      </c>
      <c r="F719" s="589">
        <v>0</v>
      </c>
      <c r="G719" s="589">
        <v>9</v>
      </c>
      <c r="H719" s="589">
        <v>88</v>
      </c>
      <c r="I719" s="589">
        <v>2</v>
      </c>
      <c r="J719" s="830">
        <f t="shared" si="97"/>
        <v>0.0044549205443629</v>
      </c>
      <c r="K719" s="831">
        <f t="shared" si="98"/>
        <v>0.295756740196078</v>
      </c>
      <c r="L719" s="809">
        <f t="shared" si="82"/>
        <v>1.31757277803331</v>
      </c>
      <c r="M719" s="839">
        <f t="shared" si="99"/>
        <v>0</v>
      </c>
      <c r="N719" s="840">
        <f t="shared" si="100"/>
        <v>0</v>
      </c>
      <c r="O719" s="675">
        <f t="shared" si="101"/>
        <v>9.9520618556701</v>
      </c>
      <c r="P719">
        <f t="shared" si="102"/>
        <v>97</v>
      </c>
      <c r="Q719" s="834">
        <f t="shared" si="103"/>
        <v>0.029718137254902</v>
      </c>
    </row>
    <row r="720" spans="1:17">
      <c r="A720" s="801">
        <v>45468</v>
      </c>
      <c r="B720" s="841">
        <v>959.14</v>
      </c>
      <c r="C720" s="841">
        <v>891984</v>
      </c>
      <c r="D720" s="841">
        <v>3495</v>
      </c>
      <c r="E720" s="841">
        <v>0</v>
      </c>
      <c r="F720" s="841">
        <v>0</v>
      </c>
      <c r="G720" s="841">
        <v>9</v>
      </c>
      <c r="H720" s="841">
        <v>94</v>
      </c>
      <c r="I720" s="841">
        <v>0</v>
      </c>
      <c r="J720" s="830">
        <f t="shared" si="97"/>
        <v>0.00391823171716085</v>
      </c>
      <c r="K720" s="831">
        <f t="shared" si="98"/>
        <v>0.274432045779685</v>
      </c>
      <c r="L720" s="809">
        <f t="shared" si="82"/>
        <v>1.0752883459793</v>
      </c>
      <c r="M720" s="839">
        <f t="shared" si="99"/>
        <v>0</v>
      </c>
      <c r="N720" s="840">
        <f t="shared" si="100"/>
        <v>0</v>
      </c>
      <c r="O720" s="675">
        <f t="shared" si="101"/>
        <v>9.31203883495146</v>
      </c>
      <c r="P720">
        <f t="shared" si="102"/>
        <v>103</v>
      </c>
      <c r="Q720" s="834">
        <f t="shared" si="103"/>
        <v>0.0294706723891273</v>
      </c>
    </row>
    <row r="721" spans="1:17">
      <c r="A721" s="801">
        <v>45469</v>
      </c>
      <c r="B721" s="841">
        <v>986.89</v>
      </c>
      <c r="C721" s="841">
        <v>917324</v>
      </c>
      <c r="D721" s="841">
        <v>3727</v>
      </c>
      <c r="E721" s="841">
        <v>0</v>
      </c>
      <c r="F721" s="841">
        <v>0</v>
      </c>
      <c r="G721" s="841">
        <v>18</v>
      </c>
      <c r="H721" s="841">
        <v>87</v>
      </c>
      <c r="I721" s="841">
        <v>3</v>
      </c>
      <c r="J721" s="830">
        <f t="shared" si="97"/>
        <v>0.00406290470978629</v>
      </c>
      <c r="K721" s="831">
        <f t="shared" si="98"/>
        <v>0.264794741078616</v>
      </c>
      <c r="L721" s="809">
        <f t="shared" si="82"/>
        <v>1.07583580065495</v>
      </c>
      <c r="M721" s="839">
        <f t="shared" si="99"/>
        <v>0</v>
      </c>
      <c r="N721" s="840">
        <f t="shared" si="100"/>
        <v>0</v>
      </c>
      <c r="O721" s="675">
        <f t="shared" si="101"/>
        <v>9.39895238095238</v>
      </c>
      <c r="P721">
        <f t="shared" si="102"/>
        <v>105</v>
      </c>
      <c r="Q721" s="834">
        <f t="shared" si="103"/>
        <v>0.0281727931312047</v>
      </c>
    </row>
    <row r="722" spans="1:17">
      <c r="A722" s="801">
        <v>45470</v>
      </c>
      <c r="B722" s="841">
        <v>977.12</v>
      </c>
      <c r="C722" s="841">
        <v>847663</v>
      </c>
      <c r="D722" s="841">
        <v>3588</v>
      </c>
      <c r="E722" s="841">
        <v>0</v>
      </c>
      <c r="F722" s="841">
        <v>0</v>
      </c>
      <c r="G722" s="841">
        <v>12</v>
      </c>
      <c r="H722" s="841">
        <v>104</v>
      </c>
      <c r="I722" s="841">
        <v>0</v>
      </c>
      <c r="J722" s="830">
        <f t="shared" si="97"/>
        <v>0.00423281421980197</v>
      </c>
      <c r="K722" s="831">
        <f t="shared" si="98"/>
        <v>0.272329988851728</v>
      </c>
      <c r="L722" s="809">
        <f t="shared" si="82"/>
        <v>1.15272224929011</v>
      </c>
      <c r="M722" s="839">
        <f t="shared" si="99"/>
        <v>0</v>
      </c>
      <c r="N722" s="840">
        <f t="shared" si="100"/>
        <v>0</v>
      </c>
      <c r="O722" s="675">
        <f t="shared" si="101"/>
        <v>8.42344827586207</v>
      </c>
      <c r="P722">
        <f t="shared" si="102"/>
        <v>116</v>
      </c>
      <c r="Q722" s="834">
        <f t="shared" si="103"/>
        <v>0.032329988851728</v>
      </c>
    </row>
    <row r="723" spans="1:17">
      <c r="A723" s="801">
        <v>45471</v>
      </c>
      <c r="B723" s="841">
        <v>986.52</v>
      </c>
      <c r="C723" s="841">
        <v>871188</v>
      </c>
      <c r="D723" s="841">
        <v>3930</v>
      </c>
      <c r="E723" s="841">
        <v>0</v>
      </c>
      <c r="F723" s="841">
        <v>0</v>
      </c>
      <c r="G723" s="841">
        <v>17</v>
      </c>
      <c r="H723" s="841">
        <v>119</v>
      </c>
      <c r="I723" s="841">
        <v>3</v>
      </c>
      <c r="J723" s="830">
        <f t="shared" si="97"/>
        <v>0.00451108141985427</v>
      </c>
      <c r="K723" s="831">
        <f t="shared" si="98"/>
        <v>0.251022900763359</v>
      </c>
      <c r="L723" s="809">
        <f t="shared" si="82"/>
        <v>1.13238474359151</v>
      </c>
      <c r="M723" s="839">
        <f t="shared" si="99"/>
        <v>0</v>
      </c>
      <c r="N723" s="840">
        <f t="shared" si="100"/>
        <v>0</v>
      </c>
      <c r="O723" s="675">
        <f t="shared" si="101"/>
        <v>7.25382352941176</v>
      </c>
      <c r="P723">
        <f t="shared" si="102"/>
        <v>136</v>
      </c>
      <c r="Q723" s="834">
        <f t="shared" si="103"/>
        <v>0.0346055979643766</v>
      </c>
    </row>
    <row r="724" spans="1:17">
      <c r="A724" s="801">
        <v>45472</v>
      </c>
      <c r="B724" s="841">
        <v>991.88</v>
      </c>
      <c r="C724" s="841">
        <v>1078555</v>
      </c>
      <c r="D724" s="841">
        <v>3790</v>
      </c>
      <c r="E724" s="841">
        <v>0</v>
      </c>
      <c r="F724" s="841">
        <v>0</v>
      </c>
      <c r="G724" s="841">
        <v>24</v>
      </c>
      <c r="H724" s="841">
        <v>101</v>
      </c>
      <c r="I724" s="841">
        <v>1</v>
      </c>
      <c r="J724" s="830">
        <f t="shared" si="97"/>
        <v>0.00351396080867457</v>
      </c>
      <c r="K724" s="831">
        <f t="shared" si="98"/>
        <v>0.261709762532982</v>
      </c>
      <c r="L724" s="809">
        <f t="shared" si="82"/>
        <v>0.919637848788425</v>
      </c>
      <c r="M724" s="839">
        <f t="shared" si="99"/>
        <v>0</v>
      </c>
      <c r="N724" s="840">
        <f t="shared" si="100"/>
        <v>0</v>
      </c>
      <c r="O724" s="675">
        <f t="shared" si="101"/>
        <v>7.93504</v>
      </c>
      <c r="P724">
        <f t="shared" si="102"/>
        <v>125</v>
      </c>
      <c r="Q724" s="834">
        <f t="shared" si="103"/>
        <v>0.0329815303430079</v>
      </c>
    </row>
    <row r="725" spans="1:17">
      <c r="A725" s="801">
        <v>45473</v>
      </c>
      <c r="B725" s="841">
        <v>987.98</v>
      </c>
      <c r="C725" s="841">
        <v>1110496</v>
      </c>
      <c r="D725" s="841">
        <v>4180</v>
      </c>
      <c r="E725" s="841">
        <v>0</v>
      </c>
      <c r="F725" s="841">
        <v>0</v>
      </c>
      <c r="G725" s="841">
        <v>17</v>
      </c>
      <c r="H725" s="841">
        <v>111</v>
      </c>
      <c r="I725" s="841">
        <v>2</v>
      </c>
      <c r="J725" s="830">
        <f t="shared" si="97"/>
        <v>0.0037640837967899</v>
      </c>
      <c r="K725" s="831">
        <f t="shared" si="98"/>
        <v>0.236358851674641</v>
      </c>
      <c r="L725" s="809">
        <f t="shared" si="82"/>
        <v>0.889674523816385</v>
      </c>
      <c r="M725" s="839">
        <f t="shared" si="99"/>
        <v>0</v>
      </c>
      <c r="N725" s="840">
        <f t="shared" si="100"/>
        <v>0</v>
      </c>
      <c r="O725" s="675">
        <f t="shared" si="101"/>
        <v>7.71859375</v>
      </c>
      <c r="P725">
        <f t="shared" si="102"/>
        <v>128</v>
      </c>
      <c r="Q725" s="834">
        <f t="shared" si="103"/>
        <v>0.030622009569378</v>
      </c>
    </row>
    <row r="726" spans="1:17">
      <c r="A726" s="801">
        <v>45474</v>
      </c>
      <c r="B726" s="841">
        <v>779.71</v>
      </c>
      <c r="C726" s="841">
        <v>789172</v>
      </c>
      <c r="D726" s="841">
        <v>3141</v>
      </c>
      <c r="E726" s="841">
        <v>0</v>
      </c>
      <c r="F726" s="841">
        <v>0</v>
      </c>
      <c r="G726" s="841">
        <v>18</v>
      </c>
      <c r="H726" s="841">
        <v>63</v>
      </c>
      <c r="I726" s="841">
        <v>2</v>
      </c>
      <c r="J726" s="830">
        <f t="shared" si="97"/>
        <v>0.00398012093688068</v>
      </c>
      <c r="K726" s="831">
        <f t="shared" si="98"/>
        <v>0.248236230499841</v>
      </c>
      <c r="L726" s="809">
        <f t="shared" si="82"/>
        <v>0.988010218304755</v>
      </c>
      <c r="M726" s="839">
        <f t="shared" si="99"/>
        <v>0</v>
      </c>
      <c r="N726" s="840">
        <f t="shared" si="100"/>
        <v>0</v>
      </c>
      <c r="O726" s="675">
        <f t="shared" si="101"/>
        <v>9.62604938271605</v>
      </c>
      <c r="P726">
        <f t="shared" si="102"/>
        <v>81</v>
      </c>
      <c r="Q726" s="834">
        <f t="shared" si="103"/>
        <v>0.0257879656160458</v>
      </c>
    </row>
    <row r="727" spans="1:17">
      <c r="A727" s="801">
        <v>45475</v>
      </c>
      <c r="B727" s="841">
        <v>778.4</v>
      </c>
      <c r="C727" s="841">
        <v>862572</v>
      </c>
      <c r="D727" s="841">
        <v>3181</v>
      </c>
      <c r="E727" s="841">
        <v>0</v>
      </c>
      <c r="F727" s="841">
        <v>0</v>
      </c>
      <c r="G727" s="841">
        <v>18</v>
      </c>
      <c r="H727" s="841">
        <v>71</v>
      </c>
      <c r="I727" s="841">
        <v>1</v>
      </c>
      <c r="J727" s="830">
        <f t="shared" ref="J727:J759" si="104">D727/C727</f>
        <v>0.00368780809022319</v>
      </c>
      <c r="K727" s="831">
        <f t="shared" ref="K727:K759" si="105">B727/D727</f>
        <v>0.244702923608928</v>
      </c>
      <c r="L727" s="809">
        <f t="shared" si="82"/>
        <v>0.902417421386273</v>
      </c>
      <c r="M727" s="839">
        <f t="shared" ref="M727:M759" si="106">F727/B727</f>
        <v>0</v>
      </c>
      <c r="N727" s="840">
        <f t="shared" ref="N727:N759" si="107">E727/D727</f>
        <v>0</v>
      </c>
      <c r="O727" s="675">
        <f t="shared" ref="O727:O759" si="108">B727/(G727+H727)</f>
        <v>8.74606741573034</v>
      </c>
      <c r="P727">
        <f t="shared" ref="P727:P759" si="109">G727+H727</f>
        <v>89</v>
      </c>
      <c r="Q727" s="834">
        <f t="shared" ref="Q727:Q759" si="110">P727/D727</f>
        <v>0.0279786230745049</v>
      </c>
    </row>
    <row r="728" spans="1:17">
      <c r="A728" s="801">
        <v>45476</v>
      </c>
      <c r="B728" s="841">
        <v>772.59</v>
      </c>
      <c r="C728" s="841">
        <v>789566</v>
      </c>
      <c r="D728" s="841">
        <v>3025</v>
      </c>
      <c r="E728" s="841">
        <v>0</v>
      </c>
      <c r="F728" s="841">
        <v>0</v>
      </c>
      <c r="G728" s="841">
        <v>14</v>
      </c>
      <c r="H728" s="841">
        <v>63</v>
      </c>
      <c r="I728" s="841">
        <v>3</v>
      </c>
      <c r="J728" s="830">
        <f t="shared" si="104"/>
        <v>0.00383121866949691</v>
      </c>
      <c r="K728" s="831">
        <f t="shared" si="105"/>
        <v>0.255401652892562</v>
      </c>
      <c r="L728" s="809">
        <f t="shared" si="82"/>
        <v>0.978499580782354</v>
      </c>
      <c r="M728" s="839">
        <f t="shared" si="106"/>
        <v>0</v>
      </c>
      <c r="N728" s="840">
        <f t="shared" si="107"/>
        <v>0</v>
      </c>
      <c r="O728" s="675">
        <f t="shared" si="108"/>
        <v>10.0336363636364</v>
      </c>
      <c r="P728">
        <f t="shared" si="109"/>
        <v>77</v>
      </c>
      <c r="Q728" s="834">
        <f t="shared" si="110"/>
        <v>0.0254545454545455</v>
      </c>
    </row>
    <row r="729" spans="1:17">
      <c r="A729" s="801">
        <v>45477</v>
      </c>
      <c r="B729" s="841">
        <v>495.28</v>
      </c>
      <c r="C729" s="841">
        <v>494415</v>
      </c>
      <c r="D729" s="841">
        <v>1994</v>
      </c>
      <c r="E729" s="841">
        <v>0</v>
      </c>
      <c r="F729" s="841">
        <v>0</v>
      </c>
      <c r="G729" s="841">
        <v>16</v>
      </c>
      <c r="H729" s="841">
        <v>53</v>
      </c>
      <c r="I729" s="841">
        <v>1</v>
      </c>
      <c r="J729" s="830">
        <f t="shared" si="104"/>
        <v>0.00403304915910723</v>
      </c>
      <c r="K729" s="831">
        <f t="shared" si="105"/>
        <v>0.248385155466399</v>
      </c>
      <c r="L729" s="809">
        <f t="shared" si="82"/>
        <v>1.00174954238848</v>
      </c>
      <c r="M729" s="839">
        <f t="shared" si="106"/>
        <v>0</v>
      </c>
      <c r="N729" s="840">
        <f t="shared" si="107"/>
        <v>0</v>
      </c>
      <c r="O729" s="675">
        <f t="shared" si="108"/>
        <v>7.17797101449275</v>
      </c>
      <c r="P729">
        <f t="shared" si="109"/>
        <v>69</v>
      </c>
      <c r="Q729" s="834">
        <f t="shared" si="110"/>
        <v>0.0346038114343029</v>
      </c>
    </row>
    <row r="730" spans="1:17">
      <c r="A730" s="801">
        <v>45478</v>
      </c>
      <c r="B730" s="841">
        <v>493.52</v>
      </c>
      <c r="C730" s="841">
        <v>417333</v>
      </c>
      <c r="D730" s="841">
        <v>1852</v>
      </c>
      <c r="E730" s="841">
        <v>0</v>
      </c>
      <c r="F730" s="841">
        <v>0</v>
      </c>
      <c r="G730" s="841">
        <v>18</v>
      </c>
      <c r="H730" s="841">
        <v>68</v>
      </c>
      <c r="I730" s="841">
        <v>1</v>
      </c>
      <c r="J730" s="830">
        <f t="shared" si="104"/>
        <v>0.00443770322500258</v>
      </c>
      <c r="K730" s="831">
        <f t="shared" si="105"/>
        <v>0.266479481641469</v>
      </c>
      <c r="L730" s="809">
        <f t="shared" si="82"/>
        <v>1.18255685507736</v>
      </c>
      <c r="M730" s="839">
        <f t="shared" si="106"/>
        <v>0</v>
      </c>
      <c r="N730" s="840">
        <f t="shared" si="107"/>
        <v>0</v>
      </c>
      <c r="O730" s="675">
        <f t="shared" si="108"/>
        <v>5.73860465116279</v>
      </c>
      <c r="P730">
        <f t="shared" si="109"/>
        <v>86</v>
      </c>
      <c r="Q730" s="834">
        <f t="shared" si="110"/>
        <v>0.0464362850971922</v>
      </c>
    </row>
    <row r="731" spans="1:17">
      <c r="A731" s="801">
        <v>45479</v>
      </c>
      <c r="B731" s="841">
        <v>492.14</v>
      </c>
      <c r="C731" s="841">
        <v>509843</v>
      </c>
      <c r="D731" s="841">
        <v>2047</v>
      </c>
      <c r="E731" s="841">
        <v>0</v>
      </c>
      <c r="F731" s="841">
        <v>0</v>
      </c>
      <c r="G731" s="841">
        <v>13</v>
      </c>
      <c r="H731" s="841">
        <v>86</v>
      </c>
      <c r="I731" s="841">
        <v>1</v>
      </c>
      <c r="J731" s="830">
        <f t="shared" si="104"/>
        <v>0.00401496146853051</v>
      </c>
      <c r="K731" s="831">
        <f t="shared" si="105"/>
        <v>0.240420127015144</v>
      </c>
      <c r="L731" s="809">
        <f t="shared" si="82"/>
        <v>0.965277546225014</v>
      </c>
      <c r="M731" s="839">
        <f t="shared" si="106"/>
        <v>0</v>
      </c>
      <c r="N731" s="840">
        <f t="shared" si="107"/>
        <v>0</v>
      </c>
      <c r="O731" s="675">
        <f t="shared" si="108"/>
        <v>4.97111111111111</v>
      </c>
      <c r="P731">
        <f t="shared" si="109"/>
        <v>99</v>
      </c>
      <c r="Q731" s="834">
        <f t="shared" si="110"/>
        <v>0.0483634587200782</v>
      </c>
    </row>
    <row r="732" spans="1:17">
      <c r="A732" s="801">
        <v>45480</v>
      </c>
      <c r="B732" s="841">
        <v>495.15</v>
      </c>
      <c r="C732" s="841">
        <v>424341</v>
      </c>
      <c r="D732" s="841">
        <v>2096</v>
      </c>
      <c r="E732" s="841">
        <v>0</v>
      </c>
      <c r="F732" s="841">
        <v>0</v>
      </c>
      <c r="G732" s="841">
        <v>8</v>
      </c>
      <c r="H732" s="841">
        <v>78</v>
      </c>
      <c r="I732" s="841">
        <v>1</v>
      </c>
      <c r="J732" s="830">
        <f t="shared" si="104"/>
        <v>0.00493942371818891</v>
      </c>
      <c r="K732" s="831">
        <f t="shared" si="105"/>
        <v>0.236235687022901</v>
      </c>
      <c r="L732" s="809">
        <f t="shared" si="82"/>
        <v>1.16686815556357</v>
      </c>
      <c r="M732" s="839">
        <f t="shared" si="106"/>
        <v>0</v>
      </c>
      <c r="N732" s="840">
        <f t="shared" si="107"/>
        <v>0</v>
      </c>
      <c r="O732" s="675">
        <f t="shared" si="108"/>
        <v>5.75755813953488</v>
      </c>
      <c r="P732">
        <f t="shared" si="109"/>
        <v>86</v>
      </c>
      <c r="Q732" s="834">
        <f t="shared" si="110"/>
        <v>0.041030534351145</v>
      </c>
    </row>
    <row r="733" spans="1:17">
      <c r="A733" s="801">
        <v>45481</v>
      </c>
      <c r="B733" s="841">
        <v>482.86</v>
      </c>
      <c r="C733" s="841">
        <v>445396</v>
      </c>
      <c r="D733" s="841">
        <v>1949</v>
      </c>
      <c r="E733" s="841">
        <v>0</v>
      </c>
      <c r="F733" s="841">
        <v>0</v>
      </c>
      <c r="G733" s="841">
        <v>8</v>
      </c>
      <c r="H733" s="841">
        <v>68</v>
      </c>
      <c r="I733" s="841">
        <v>0</v>
      </c>
      <c r="J733" s="830">
        <f t="shared" si="104"/>
        <v>0.00437588123826887</v>
      </c>
      <c r="K733" s="831">
        <f t="shared" si="105"/>
        <v>0.247747562852745</v>
      </c>
      <c r="L733" s="809">
        <f t="shared" si="82"/>
        <v>1.08411391211416</v>
      </c>
      <c r="M733" s="839">
        <f t="shared" si="106"/>
        <v>0</v>
      </c>
      <c r="N733" s="840">
        <f t="shared" si="107"/>
        <v>0</v>
      </c>
      <c r="O733" s="675">
        <f t="shared" si="108"/>
        <v>6.35342105263158</v>
      </c>
      <c r="P733">
        <f t="shared" si="109"/>
        <v>76</v>
      </c>
      <c r="Q733" s="834">
        <f t="shared" si="110"/>
        <v>0.038994356080041</v>
      </c>
    </row>
    <row r="734" spans="1:17">
      <c r="A734" s="801">
        <v>45482</v>
      </c>
      <c r="B734" s="841">
        <v>507.11</v>
      </c>
      <c r="C734" s="841">
        <v>398424</v>
      </c>
      <c r="D734" s="841">
        <v>1821</v>
      </c>
      <c r="E734" s="841">
        <v>0</v>
      </c>
      <c r="F734" s="841">
        <v>0</v>
      </c>
      <c r="G734" s="841">
        <v>8</v>
      </c>
      <c r="H734" s="841">
        <v>74</v>
      </c>
      <c r="I734" s="841">
        <v>0</v>
      </c>
      <c r="J734" s="830">
        <f t="shared" si="104"/>
        <v>0.0045705078007349</v>
      </c>
      <c r="K734" s="831">
        <f t="shared" si="105"/>
        <v>0.278478857770456</v>
      </c>
      <c r="L734" s="809">
        <f t="shared" si="82"/>
        <v>1.27278979177961</v>
      </c>
      <c r="M734" s="839">
        <f t="shared" si="106"/>
        <v>0</v>
      </c>
      <c r="N734" s="840">
        <f t="shared" si="107"/>
        <v>0</v>
      </c>
      <c r="O734" s="675">
        <f t="shared" si="108"/>
        <v>6.18426829268293</v>
      </c>
      <c r="P734">
        <f t="shared" si="109"/>
        <v>82</v>
      </c>
      <c r="Q734" s="834">
        <f t="shared" si="110"/>
        <v>0.0450302031850632</v>
      </c>
    </row>
    <row r="735" spans="1:17">
      <c r="A735" s="801">
        <v>45483</v>
      </c>
      <c r="B735" s="841">
        <v>526.64</v>
      </c>
      <c r="C735" s="841">
        <v>372011</v>
      </c>
      <c r="D735" s="841">
        <v>1797</v>
      </c>
      <c r="E735" s="841">
        <v>1</v>
      </c>
      <c r="F735" s="841">
        <v>10442</v>
      </c>
      <c r="G735" s="841">
        <v>17</v>
      </c>
      <c r="H735" s="841">
        <v>49</v>
      </c>
      <c r="I735" s="841">
        <v>5</v>
      </c>
      <c r="J735" s="830">
        <f t="shared" si="104"/>
        <v>0.00483050232385602</v>
      </c>
      <c r="K735" s="831">
        <f t="shared" si="105"/>
        <v>0.293066221480245</v>
      </c>
      <c r="L735" s="809">
        <f t="shared" si="82"/>
        <v>1.41565706390402</v>
      </c>
      <c r="M735" s="839">
        <f t="shared" si="106"/>
        <v>19.8275862068966</v>
      </c>
      <c r="N735" s="840">
        <f t="shared" si="107"/>
        <v>0.000556483027267668</v>
      </c>
      <c r="O735" s="675">
        <f t="shared" si="108"/>
        <v>7.97939393939394</v>
      </c>
      <c r="P735">
        <f t="shared" si="109"/>
        <v>66</v>
      </c>
      <c r="Q735" s="834">
        <f t="shared" si="110"/>
        <v>0.0367278797996661</v>
      </c>
    </row>
    <row r="736" spans="1:17">
      <c r="A736" s="801">
        <v>45484</v>
      </c>
      <c r="B736" s="841">
        <v>490.23</v>
      </c>
      <c r="C736" s="841">
        <v>424938</v>
      </c>
      <c r="D736" s="841">
        <v>1893</v>
      </c>
      <c r="E736" s="841">
        <v>0</v>
      </c>
      <c r="F736" s="841">
        <v>0</v>
      </c>
      <c r="G736" s="841">
        <v>15</v>
      </c>
      <c r="H736" s="841">
        <v>55</v>
      </c>
      <c r="I736" s="841">
        <v>0</v>
      </c>
      <c r="J736" s="830">
        <f t="shared" si="104"/>
        <v>0.0044547675190263</v>
      </c>
      <c r="K736" s="831">
        <f t="shared" si="105"/>
        <v>0.258969889064976</v>
      </c>
      <c r="L736" s="809">
        <f t="shared" si="82"/>
        <v>1.1536506502125</v>
      </c>
      <c r="M736" s="839">
        <f t="shared" si="106"/>
        <v>0</v>
      </c>
      <c r="N736" s="840">
        <f t="shared" si="107"/>
        <v>0</v>
      </c>
      <c r="O736" s="675">
        <f t="shared" si="108"/>
        <v>7.00328571428571</v>
      </c>
      <c r="P736">
        <f t="shared" si="109"/>
        <v>70</v>
      </c>
      <c r="Q736" s="834">
        <f t="shared" si="110"/>
        <v>0.0369783412572636</v>
      </c>
    </row>
    <row r="737" spans="1:17">
      <c r="A737" s="801">
        <v>45485</v>
      </c>
      <c r="B737" s="841">
        <v>494.32</v>
      </c>
      <c r="C737" s="841">
        <v>628255</v>
      </c>
      <c r="D737" s="841">
        <v>2108</v>
      </c>
      <c r="E737" s="841">
        <v>0</v>
      </c>
      <c r="F737" s="841">
        <v>0</v>
      </c>
      <c r="G737" s="841">
        <v>18</v>
      </c>
      <c r="H737" s="841">
        <v>61</v>
      </c>
      <c r="I737" s="841">
        <v>2</v>
      </c>
      <c r="J737" s="830">
        <f t="shared" si="104"/>
        <v>0.00335532546497839</v>
      </c>
      <c r="K737" s="831">
        <f t="shared" si="105"/>
        <v>0.23449715370019</v>
      </c>
      <c r="L737" s="809">
        <f t="shared" si="82"/>
        <v>0.786814271275199</v>
      </c>
      <c r="M737" s="839">
        <f t="shared" si="106"/>
        <v>0</v>
      </c>
      <c r="N737" s="840">
        <f t="shared" si="107"/>
        <v>0</v>
      </c>
      <c r="O737" s="675">
        <f t="shared" si="108"/>
        <v>6.25721518987342</v>
      </c>
      <c r="P737">
        <f t="shared" si="109"/>
        <v>79</v>
      </c>
      <c r="Q737" s="834">
        <f t="shared" si="110"/>
        <v>0.0374762808349146</v>
      </c>
    </row>
    <row r="738" spans="1:17">
      <c r="A738" s="801">
        <v>45486</v>
      </c>
      <c r="B738" s="841">
        <v>495.71</v>
      </c>
      <c r="C738" s="841">
        <v>496591</v>
      </c>
      <c r="D738" s="841">
        <v>2007</v>
      </c>
      <c r="E738" s="841">
        <v>0</v>
      </c>
      <c r="F738" s="841">
        <v>0</v>
      </c>
      <c r="G738" s="841">
        <v>19</v>
      </c>
      <c r="H738" s="841">
        <v>64</v>
      </c>
      <c r="I738" s="841">
        <v>2</v>
      </c>
      <c r="J738" s="830">
        <f t="shared" si="104"/>
        <v>0.0040415553242004</v>
      </c>
      <c r="K738" s="831">
        <f t="shared" si="105"/>
        <v>0.246990533134031</v>
      </c>
      <c r="L738" s="809">
        <f t="shared" ref="L738:L801" si="111">B738/C738*1000</f>
        <v>0.998225904214938</v>
      </c>
      <c r="M738" s="839">
        <f t="shared" si="106"/>
        <v>0</v>
      </c>
      <c r="N738" s="840">
        <f t="shared" si="107"/>
        <v>0</v>
      </c>
      <c r="O738" s="675">
        <f t="shared" si="108"/>
        <v>5.97240963855422</v>
      </c>
      <c r="P738">
        <f t="shared" si="109"/>
        <v>83</v>
      </c>
      <c r="Q738" s="834">
        <f t="shared" si="110"/>
        <v>0.0413552566018934</v>
      </c>
    </row>
    <row r="739" spans="1:17">
      <c r="A739" s="801">
        <v>45487</v>
      </c>
      <c r="B739" s="841">
        <v>498.17</v>
      </c>
      <c r="C739" s="841">
        <v>625415</v>
      </c>
      <c r="D739" s="841">
        <v>2037</v>
      </c>
      <c r="E739" s="841">
        <v>0</v>
      </c>
      <c r="F739" s="841">
        <v>0</v>
      </c>
      <c r="G739" s="841">
        <v>10</v>
      </c>
      <c r="H739" s="841">
        <v>71</v>
      </c>
      <c r="I739" s="841">
        <v>1</v>
      </c>
      <c r="J739" s="830">
        <f t="shared" si="104"/>
        <v>0.00325703732721473</v>
      </c>
      <c r="K739" s="831">
        <f t="shared" si="105"/>
        <v>0.244560628375061</v>
      </c>
      <c r="L739" s="809">
        <f t="shared" si="111"/>
        <v>0.796543095384665</v>
      </c>
      <c r="M739" s="839">
        <f t="shared" si="106"/>
        <v>0</v>
      </c>
      <c r="N739" s="840">
        <f t="shared" si="107"/>
        <v>0</v>
      </c>
      <c r="O739" s="675">
        <f t="shared" si="108"/>
        <v>6.15024691358025</v>
      </c>
      <c r="P739">
        <f t="shared" si="109"/>
        <v>81</v>
      </c>
      <c r="Q739" s="834">
        <f t="shared" si="110"/>
        <v>0.0397643593519882</v>
      </c>
    </row>
    <row r="740" spans="1:17">
      <c r="A740" s="801">
        <v>45488</v>
      </c>
      <c r="B740" s="841">
        <v>423.26</v>
      </c>
      <c r="C740" s="841">
        <v>461904</v>
      </c>
      <c r="D740" s="841">
        <v>1712</v>
      </c>
      <c r="E740" s="841">
        <v>0</v>
      </c>
      <c r="F740" s="841">
        <v>0</v>
      </c>
      <c r="G740" s="841">
        <v>18</v>
      </c>
      <c r="H740" s="841">
        <v>50</v>
      </c>
      <c r="I740" s="841">
        <v>1</v>
      </c>
      <c r="J740" s="830">
        <f t="shared" si="104"/>
        <v>0.00370639786622328</v>
      </c>
      <c r="K740" s="831">
        <f t="shared" si="105"/>
        <v>0.247231308411215</v>
      </c>
      <c r="L740" s="809">
        <f t="shared" si="111"/>
        <v>0.916337593958918</v>
      </c>
      <c r="M740" s="839">
        <f t="shared" si="106"/>
        <v>0</v>
      </c>
      <c r="N740" s="840">
        <f t="shared" si="107"/>
        <v>0</v>
      </c>
      <c r="O740" s="675">
        <f t="shared" si="108"/>
        <v>6.22441176470588</v>
      </c>
      <c r="P740">
        <f t="shared" si="109"/>
        <v>68</v>
      </c>
      <c r="Q740" s="834">
        <f t="shared" si="110"/>
        <v>0.0397196261682243</v>
      </c>
    </row>
    <row r="741" spans="1:17">
      <c r="A741" s="801">
        <v>45489</v>
      </c>
      <c r="B741" s="841">
        <v>424.77</v>
      </c>
      <c r="C741" s="841">
        <v>571384</v>
      </c>
      <c r="D741" s="841">
        <v>1768</v>
      </c>
      <c r="E741" s="841">
        <v>0</v>
      </c>
      <c r="F741" s="841">
        <v>0</v>
      </c>
      <c r="G741" s="841">
        <v>15</v>
      </c>
      <c r="H741" s="841">
        <v>46</v>
      </c>
      <c r="I741" s="841">
        <v>2</v>
      </c>
      <c r="J741" s="830">
        <f t="shared" si="104"/>
        <v>0.00309424135082536</v>
      </c>
      <c r="K741" s="831">
        <f t="shared" si="105"/>
        <v>0.240254524886878</v>
      </c>
      <c r="L741" s="809">
        <f t="shared" si="111"/>
        <v>0.743405485627879</v>
      </c>
      <c r="M741" s="839">
        <f t="shared" si="106"/>
        <v>0</v>
      </c>
      <c r="N741" s="840">
        <f t="shared" si="107"/>
        <v>0</v>
      </c>
      <c r="O741" s="675">
        <f t="shared" si="108"/>
        <v>6.96344262295082</v>
      </c>
      <c r="P741">
        <f t="shared" si="109"/>
        <v>61</v>
      </c>
      <c r="Q741" s="834">
        <f t="shared" si="110"/>
        <v>0.0345022624434389</v>
      </c>
    </row>
    <row r="742" spans="1:17">
      <c r="A742" s="801">
        <v>45490</v>
      </c>
      <c r="B742" s="841">
        <v>423.14</v>
      </c>
      <c r="C742" s="841">
        <v>502021</v>
      </c>
      <c r="D742" s="841">
        <v>1836</v>
      </c>
      <c r="E742" s="841">
        <v>0</v>
      </c>
      <c r="F742" s="841">
        <v>0</v>
      </c>
      <c r="G742" s="841">
        <v>10</v>
      </c>
      <c r="H742" s="841">
        <v>45</v>
      </c>
      <c r="I742" s="841">
        <v>1</v>
      </c>
      <c r="J742" s="830">
        <f t="shared" si="104"/>
        <v>0.00365721752675685</v>
      </c>
      <c r="K742" s="831">
        <f t="shared" si="105"/>
        <v>0.230468409586057</v>
      </c>
      <c r="L742" s="809">
        <f t="shared" si="111"/>
        <v>0.842873106901902</v>
      </c>
      <c r="M742" s="839">
        <f t="shared" si="106"/>
        <v>0</v>
      </c>
      <c r="N742" s="840">
        <f t="shared" si="107"/>
        <v>0</v>
      </c>
      <c r="O742" s="675">
        <f t="shared" si="108"/>
        <v>7.69345454545455</v>
      </c>
      <c r="P742">
        <f t="shared" si="109"/>
        <v>55</v>
      </c>
      <c r="Q742" s="834">
        <f t="shared" si="110"/>
        <v>0.0299564270152505</v>
      </c>
    </row>
    <row r="743" spans="1:17">
      <c r="A743" s="801">
        <v>45491</v>
      </c>
      <c r="B743" s="841">
        <v>415.6</v>
      </c>
      <c r="C743" s="841">
        <v>381674</v>
      </c>
      <c r="D743" s="841">
        <v>1519</v>
      </c>
      <c r="E743" s="841">
        <v>0</v>
      </c>
      <c r="F743" s="841">
        <v>0</v>
      </c>
      <c r="G743" s="841">
        <v>12</v>
      </c>
      <c r="H743" s="841">
        <v>45</v>
      </c>
      <c r="I743" s="841">
        <v>3</v>
      </c>
      <c r="J743" s="830">
        <f t="shared" si="104"/>
        <v>0.00397983619528708</v>
      </c>
      <c r="K743" s="831">
        <f t="shared" si="105"/>
        <v>0.273601053324556</v>
      </c>
      <c r="L743" s="809">
        <f t="shared" si="111"/>
        <v>1.08888737508974</v>
      </c>
      <c r="M743" s="839">
        <f t="shared" si="106"/>
        <v>0</v>
      </c>
      <c r="N743" s="840">
        <f t="shared" si="107"/>
        <v>0</v>
      </c>
      <c r="O743" s="675">
        <f t="shared" si="108"/>
        <v>7.29122807017544</v>
      </c>
      <c r="P743">
        <f t="shared" si="109"/>
        <v>57</v>
      </c>
      <c r="Q743" s="834">
        <f t="shared" si="110"/>
        <v>0.0375246872942725</v>
      </c>
    </row>
    <row r="744" spans="1:17">
      <c r="A744" s="801">
        <v>45492</v>
      </c>
      <c r="B744" s="841">
        <v>422.7</v>
      </c>
      <c r="C744" s="841">
        <v>452990</v>
      </c>
      <c r="D744" s="841">
        <v>1758</v>
      </c>
      <c r="E744" s="841">
        <v>0</v>
      </c>
      <c r="F744" s="841">
        <v>0</v>
      </c>
      <c r="G744" s="841">
        <v>9</v>
      </c>
      <c r="H744" s="841">
        <v>48</v>
      </c>
      <c r="I744" s="841">
        <v>4</v>
      </c>
      <c r="J744" s="830">
        <f t="shared" si="104"/>
        <v>0.00388088037263516</v>
      </c>
      <c r="K744" s="831">
        <f t="shared" si="105"/>
        <v>0.240443686006826</v>
      </c>
      <c r="L744" s="809">
        <f t="shared" si="111"/>
        <v>0.933133181747941</v>
      </c>
      <c r="M744" s="839">
        <f t="shared" si="106"/>
        <v>0</v>
      </c>
      <c r="N744" s="840">
        <f t="shared" si="107"/>
        <v>0</v>
      </c>
      <c r="O744" s="675">
        <f t="shared" si="108"/>
        <v>7.41578947368421</v>
      </c>
      <c r="P744">
        <f t="shared" si="109"/>
        <v>57</v>
      </c>
      <c r="Q744" s="834">
        <f t="shared" si="110"/>
        <v>0.0324232081911263</v>
      </c>
    </row>
    <row r="745" spans="1:17">
      <c r="A745" s="801">
        <v>45493</v>
      </c>
      <c r="B745" s="841">
        <v>417.37</v>
      </c>
      <c r="C745" s="841">
        <v>522324</v>
      </c>
      <c r="D745" s="841">
        <v>1852</v>
      </c>
      <c r="E745" s="841">
        <v>0</v>
      </c>
      <c r="F745" s="841">
        <v>0</v>
      </c>
      <c r="G745" s="841">
        <v>11</v>
      </c>
      <c r="H745" s="841">
        <v>52</v>
      </c>
      <c r="I745" s="841">
        <v>1</v>
      </c>
      <c r="J745" s="830">
        <f t="shared" si="104"/>
        <v>0.00354569194599521</v>
      </c>
      <c r="K745" s="831">
        <f t="shared" si="105"/>
        <v>0.225361771058315</v>
      </c>
      <c r="L745" s="809">
        <f t="shared" si="111"/>
        <v>0.799063416576684</v>
      </c>
      <c r="M745" s="839">
        <f t="shared" si="106"/>
        <v>0</v>
      </c>
      <c r="N745" s="840">
        <f t="shared" si="107"/>
        <v>0</v>
      </c>
      <c r="O745" s="675">
        <f t="shared" si="108"/>
        <v>6.62492063492063</v>
      </c>
      <c r="P745">
        <f t="shared" si="109"/>
        <v>63</v>
      </c>
      <c r="Q745" s="834">
        <f t="shared" si="110"/>
        <v>0.0340172786177106</v>
      </c>
    </row>
    <row r="746" spans="1:17">
      <c r="A746" s="801">
        <v>45494</v>
      </c>
      <c r="B746" s="841">
        <v>419.2</v>
      </c>
      <c r="C746" s="841">
        <v>528409</v>
      </c>
      <c r="D746" s="841">
        <v>1877</v>
      </c>
      <c r="E746" s="841">
        <v>0</v>
      </c>
      <c r="F746" s="841">
        <v>0</v>
      </c>
      <c r="G746" s="841">
        <v>16</v>
      </c>
      <c r="H746" s="841">
        <v>48</v>
      </c>
      <c r="I746" s="841">
        <v>2</v>
      </c>
      <c r="J746" s="830">
        <f t="shared" si="104"/>
        <v>0.00355217265413723</v>
      </c>
      <c r="K746" s="831">
        <f t="shared" si="105"/>
        <v>0.223335109216835</v>
      </c>
      <c r="L746" s="809">
        <f t="shared" si="111"/>
        <v>0.793324867668794</v>
      </c>
      <c r="M746" s="839">
        <f t="shared" si="106"/>
        <v>0</v>
      </c>
      <c r="N746" s="840">
        <f t="shared" si="107"/>
        <v>0</v>
      </c>
      <c r="O746" s="675">
        <f t="shared" si="108"/>
        <v>6.55</v>
      </c>
      <c r="P746">
        <f t="shared" si="109"/>
        <v>64</v>
      </c>
      <c r="Q746" s="834">
        <f t="shared" si="110"/>
        <v>0.0340969632392115</v>
      </c>
    </row>
    <row r="747" spans="1:17">
      <c r="A747" s="801">
        <v>45495</v>
      </c>
      <c r="B747" s="841">
        <v>411.65</v>
      </c>
      <c r="C747" s="841">
        <v>457942</v>
      </c>
      <c r="D747" s="841">
        <v>1708</v>
      </c>
      <c r="E747" s="841">
        <v>0</v>
      </c>
      <c r="F747" s="841">
        <v>0</v>
      </c>
      <c r="G747" s="841">
        <v>14</v>
      </c>
      <c r="H747" s="841">
        <v>47</v>
      </c>
      <c r="I747" s="841">
        <v>2</v>
      </c>
      <c r="J747" s="830">
        <f t="shared" si="104"/>
        <v>0.00372972996580353</v>
      </c>
      <c r="K747" s="831">
        <f t="shared" si="105"/>
        <v>0.241012880562061</v>
      </c>
      <c r="L747" s="809">
        <f t="shared" si="111"/>
        <v>0.898912962776946</v>
      </c>
      <c r="M747" s="839">
        <f t="shared" si="106"/>
        <v>0</v>
      </c>
      <c r="N747" s="840">
        <f t="shared" si="107"/>
        <v>0</v>
      </c>
      <c r="O747" s="675">
        <f t="shared" si="108"/>
        <v>6.7483606557377</v>
      </c>
      <c r="P747">
        <f t="shared" si="109"/>
        <v>61</v>
      </c>
      <c r="Q747" s="834">
        <f t="shared" si="110"/>
        <v>0.0357142857142857</v>
      </c>
    </row>
    <row r="748" spans="1:17">
      <c r="A748" s="801">
        <v>45496</v>
      </c>
      <c r="B748" s="841">
        <v>422.14</v>
      </c>
      <c r="C748" s="841">
        <v>462924</v>
      </c>
      <c r="D748" s="841">
        <v>1701</v>
      </c>
      <c r="E748" s="841">
        <v>0</v>
      </c>
      <c r="F748" s="841">
        <v>0</v>
      </c>
      <c r="G748" s="841">
        <v>10</v>
      </c>
      <c r="H748" s="841">
        <v>34</v>
      </c>
      <c r="I748" s="841">
        <v>3</v>
      </c>
      <c r="J748" s="830">
        <f t="shared" si="104"/>
        <v>0.00367446924333152</v>
      </c>
      <c r="K748" s="831">
        <f t="shared" si="105"/>
        <v>0.248171663727219</v>
      </c>
      <c r="L748" s="809">
        <f t="shared" si="111"/>
        <v>0.91189914543208</v>
      </c>
      <c r="M748" s="839">
        <f t="shared" si="106"/>
        <v>0</v>
      </c>
      <c r="N748" s="840">
        <f t="shared" si="107"/>
        <v>0</v>
      </c>
      <c r="O748" s="675">
        <f t="shared" si="108"/>
        <v>9.59409090909091</v>
      </c>
      <c r="P748">
        <f t="shared" si="109"/>
        <v>44</v>
      </c>
      <c r="Q748" s="834">
        <f t="shared" si="110"/>
        <v>0.0258671369782481</v>
      </c>
    </row>
    <row r="749" spans="1:17">
      <c r="A749" s="801">
        <v>45497</v>
      </c>
      <c r="B749" s="841">
        <v>421.01</v>
      </c>
      <c r="C749" s="841">
        <v>493432</v>
      </c>
      <c r="D749" s="841">
        <v>1788</v>
      </c>
      <c r="E749" s="841">
        <v>0</v>
      </c>
      <c r="F749" s="841">
        <v>0</v>
      </c>
      <c r="G749" s="841">
        <v>18</v>
      </c>
      <c r="H749" s="841">
        <v>50</v>
      </c>
      <c r="I749" s="841">
        <v>0</v>
      </c>
      <c r="J749" s="830">
        <f t="shared" si="104"/>
        <v>0.00362359960440344</v>
      </c>
      <c r="K749" s="831">
        <f t="shared" si="105"/>
        <v>0.235464205816555</v>
      </c>
      <c r="L749" s="809">
        <f t="shared" si="111"/>
        <v>0.853228003048039</v>
      </c>
      <c r="M749" s="839">
        <f t="shared" si="106"/>
        <v>0</v>
      </c>
      <c r="N749" s="840">
        <f t="shared" si="107"/>
        <v>0</v>
      </c>
      <c r="O749" s="675">
        <f t="shared" si="108"/>
        <v>6.19132352941176</v>
      </c>
      <c r="P749">
        <f t="shared" si="109"/>
        <v>68</v>
      </c>
      <c r="Q749" s="834">
        <f t="shared" si="110"/>
        <v>0.0380313199105145</v>
      </c>
    </row>
    <row r="750" spans="1:17">
      <c r="A750" s="801">
        <v>45498</v>
      </c>
      <c r="B750" s="841">
        <v>418.64</v>
      </c>
      <c r="C750" s="841">
        <v>497349</v>
      </c>
      <c r="D750" s="841">
        <v>1778</v>
      </c>
      <c r="E750" s="841">
        <v>0</v>
      </c>
      <c r="F750" s="841">
        <v>0</v>
      </c>
      <c r="G750" s="841">
        <v>8</v>
      </c>
      <c r="H750" s="841">
        <v>46</v>
      </c>
      <c r="I750" s="841">
        <v>1</v>
      </c>
      <c r="J750" s="830">
        <f t="shared" si="104"/>
        <v>0.00357495440827266</v>
      </c>
      <c r="K750" s="831">
        <f t="shared" si="105"/>
        <v>0.235455568053993</v>
      </c>
      <c r="L750" s="809">
        <f t="shared" si="111"/>
        <v>0.841742920966967</v>
      </c>
      <c r="M750" s="839">
        <f t="shared" si="106"/>
        <v>0</v>
      </c>
      <c r="N750" s="840">
        <f t="shared" si="107"/>
        <v>0</v>
      </c>
      <c r="O750" s="675">
        <f t="shared" si="108"/>
        <v>7.75259259259259</v>
      </c>
      <c r="P750">
        <f t="shared" si="109"/>
        <v>54</v>
      </c>
      <c r="Q750" s="834">
        <f t="shared" si="110"/>
        <v>0.0303712035995501</v>
      </c>
    </row>
    <row r="751" spans="1:17">
      <c r="A751" s="801">
        <v>45499</v>
      </c>
      <c r="B751" s="841">
        <v>417.04</v>
      </c>
      <c r="C751" s="841">
        <v>563103</v>
      </c>
      <c r="D751" s="841">
        <v>1789</v>
      </c>
      <c r="E751" s="841">
        <v>0</v>
      </c>
      <c r="F751" s="841">
        <v>0</v>
      </c>
      <c r="G751" s="841">
        <v>12</v>
      </c>
      <c r="H751" s="841">
        <v>47</v>
      </c>
      <c r="I751" s="841">
        <v>0</v>
      </c>
      <c r="J751" s="830">
        <f t="shared" si="104"/>
        <v>0.00317703865900199</v>
      </c>
      <c r="K751" s="831">
        <f t="shared" si="105"/>
        <v>0.233113471212968</v>
      </c>
      <c r="L751" s="809">
        <f t="shared" si="111"/>
        <v>0.740610509977748</v>
      </c>
      <c r="M751" s="839">
        <f t="shared" si="106"/>
        <v>0</v>
      </c>
      <c r="N751" s="840">
        <f t="shared" si="107"/>
        <v>0</v>
      </c>
      <c r="O751" s="675">
        <f t="shared" si="108"/>
        <v>7.06847457627119</v>
      </c>
      <c r="P751">
        <f t="shared" si="109"/>
        <v>59</v>
      </c>
      <c r="Q751" s="834">
        <f t="shared" si="110"/>
        <v>0.0329793180547792</v>
      </c>
    </row>
    <row r="752" spans="1:17">
      <c r="A752" s="801">
        <v>45500</v>
      </c>
      <c r="B752" s="841">
        <v>417.79</v>
      </c>
      <c r="C752" s="841">
        <v>402567</v>
      </c>
      <c r="D752" s="841">
        <v>1685</v>
      </c>
      <c r="E752" s="841">
        <v>0</v>
      </c>
      <c r="F752" s="841">
        <v>0</v>
      </c>
      <c r="G752" s="841">
        <v>8</v>
      </c>
      <c r="H752" s="841">
        <v>41</v>
      </c>
      <c r="I752" s="841">
        <v>2</v>
      </c>
      <c r="J752" s="830">
        <f t="shared" si="104"/>
        <v>0.00418563866387458</v>
      </c>
      <c r="K752" s="831">
        <f t="shared" si="105"/>
        <v>0.247946587537092</v>
      </c>
      <c r="L752" s="809">
        <f t="shared" si="111"/>
        <v>1.03781482337102</v>
      </c>
      <c r="M752" s="839">
        <f t="shared" si="106"/>
        <v>0</v>
      </c>
      <c r="N752" s="840">
        <f t="shared" si="107"/>
        <v>0</v>
      </c>
      <c r="O752" s="675">
        <f t="shared" si="108"/>
        <v>8.52632653061224</v>
      </c>
      <c r="P752">
        <f t="shared" si="109"/>
        <v>49</v>
      </c>
      <c r="Q752" s="834">
        <f t="shared" si="110"/>
        <v>0.029080118694362</v>
      </c>
    </row>
    <row r="753" spans="1:17">
      <c r="A753" s="801">
        <v>45501</v>
      </c>
      <c r="B753" s="841">
        <v>418.4</v>
      </c>
      <c r="C753" s="841">
        <v>400844</v>
      </c>
      <c r="D753" s="841">
        <v>1711</v>
      </c>
      <c r="E753" s="841">
        <v>0</v>
      </c>
      <c r="F753" s="841">
        <v>0</v>
      </c>
      <c r="G753" s="841">
        <v>16</v>
      </c>
      <c r="H753" s="841">
        <v>49</v>
      </c>
      <c r="I753" s="841">
        <v>1</v>
      </c>
      <c r="J753" s="830">
        <f t="shared" si="104"/>
        <v>0.00426849347875982</v>
      </c>
      <c r="K753" s="831">
        <f t="shared" si="105"/>
        <v>0.244535359438925</v>
      </c>
      <c r="L753" s="809">
        <f t="shared" si="111"/>
        <v>1.04379758709124</v>
      </c>
      <c r="M753" s="839">
        <f t="shared" si="106"/>
        <v>0</v>
      </c>
      <c r="N753" s="840">
        <f t="shared" si="107"/>
        <v>0</v>
      </c>
      <c r="O753" s="675">
        <f t="shared" si="108"/>
        <v>6.43692307692308</v>
      </c>
      <c r="P753">
        <f t="shared" si="109"/>
        <v>65</v>
      </c>
      <c r="Q753" s="834">
        <f t="shared" si="110"/>
        <v>0.037989479836353</v>
      </c>
    </row>
    <row r="754" spans="1:17">
      <c r="A754" s="801">
        <v>45502</v>
      </c>
      <c r="B754" s="841">
        <v>413.76</v>
      </c>
      <c r="C754" s="841">
        <v>457389</v>
      </c>
      <c r="D754" s="841">
        <v>1925</v>
      </c>
      <c r="E754" s="841">
        <v>0</v>
      </c>
      <c r="F754" s="841">
        <v>0</v>
      </c>
      <c r="G754" s="841">
        <v>19</v>
      </c>
      <c r="H754" s="841">
        <v>56</v>
      </c>
      <c r="I754" s="841">
        <v>6</v>
      </c>
      <c r="J754" s="830">
        <f t="shared" si="104"/>
        <v>0.00420867139349656</v>
      </c>
      <c r="K754" s="831">
        <f t="shared" si="105"/>
        <v>0.21494025974026</v>
      </c>
      <c r="L754" s="809">
        <f t="shared" si="111"/>
        <v>0.904612922479552</v>
      </c>
      <c r="M754" s="839">
        <f t="shared" si="106"/>
        <v>0</v>
      </c>
      <c r="N754" s="840">
        <f t="shared" si="107"/>
        <v>0</v>
      </c>
      <c r="O754" s="675">
        <f t="shared" si="108"/>
        <v>5.5168</v>
      </c>
      <c r="P754">
        <f t="shared" si="109"/>
        <v>75</v>
      </c>
      <c r="Q754" s="834">
        <f t="shared" si="110"/>
        <v>0.038961038961039</v>
      </c>
    </row>
    <row r="755" spans="1:17">
      <c r="A755" s="801">
        <v>45503</v>
      </c>
      <c r="B755" s="841">
        <v>238.33</v>
      </c>
      <c r="C755" s="841">
        <v>286816</v>
      </c>
      <c r="D755" s="841">
        <v>1245</v>
      </c>
      <c r="E755" s="841">
        <v>0</v>
      </c>
      <c r="F755" s="841">
        <v>0</v>
      </c>
      <c r="G755" s="841">
        <v>11</v>
      </c>
      <c r="H755" s="841">
        <v>42</v>
      </c>
      <c r="I755" s="841">
        <v>1</v>
      </c>
      <c r="J755" s="830">
        <f t="shared" si="104"/>
        <v>0.00434076202164454</v>
      </c>
      <c r="K755" s="831">
        <f t="shared" si="105"/>
        <v>0.191429718875502</v>
      </c>
      <c r="L755" s="809">
        <f t="shared" si="111"/>
        <v>0.83095085350887</v>
      </c>
      <c r="M755" s="839">
        <f>H755/B755</f>
        <v>0.176226240926447</v>
      </c>
      <c r="N755" s="840">
        <f>G755/D755</f>
        <v>0.00883534136546185</v>
      </c>
      <c r="O755" s="675" t="e">
        <f>B755/(I755+#REF!)</f>
        <v>#REF!</v>
      </c>
      <c r="P755" t="e">
        <f>I755+#REF!</f>
        <v>#REF!</v>
      </c>
      <c r="Q755" s="834" t="e">
        <f t="shared" si="110"/>
        <v>#REF!</v>
      </c>
    </row>
    <row r="756" spans="1:17">
      <c r="A756" s="801">
        <v>45504</v>
      </c>
      <c r="B756" s="841">
        <v>229</v>
      </c>
      <c r="C756" s="841">
        <v>318487</v>
      </c>
      <c r="D756" s="841">
        <v>1281</v>
      </c>
      <c r="E756" s="841">
        <v>0</v>
      </c>
      <c r="F756" s="841">
        <v>0</v>
      </c>
      <c r="G756" s="841">
        <v>10</v>
      </c>
      <c r="H756" s="841">
        <v>27</v>
      </c>
      <c r="I756" s="841">
        <v>3</v>
      </c>
      <c r="J756" s="830">
        <f t="shared" si="104"/>
        <v>0.00402214219104704</v>
      </c>
      <c r="K756" s="831">
        <f t="shared" si="105"/>
        <v>0.178766588602654</v>
      </c>
      <c r="L756" s="809">
        <f t="shared" si="111"/>
        <v>0.719024638368285</v>
      </c>
      <c r="M756" s="839">
        <f t="shared" si="106"/>
        <v>0</v>
      </c>
      <c r="N756" s="840">
        <f t="shared" si="107"/>
        <v>0</v>
      </c>
      <c r="O756" s="675">
        <f t="shared" si="108"/>
        <v>6.18918918918919</v>
      </c>
      <c r="P756">
        <f t="shared" si="109"/>
        <v>37</v>
      </c>
      <c r="Q756" s="834">
        <f t="shared" si="110"/>
        <v>0.0288836846213895</v>
      </c>
    </row>
    <row r="757" spans="1:17">
      <c r="A757" s="801">
        <v>45505</v>
      </c>
      <c r="B757" s="841">
        <v>328.46</v>
      </c>
      <c r="C757" s="841">
        <v>274541</v>
      </c>
      <c r="D757" s="841">
        <v>1542</v>
      </c>
      <c r="E757" s="841">
        <v>0</v>
      </c>
      <c r="F757" s="841">
        <v>0</v>
      </c>
      <c r="G757" s="841">
        <v>8</v>
      </c>
      <c r="H757" s="841">
        <v>50</v>
      </c>
      <c r="I757" s="841">
        <v>1</v>
      </c>
      <c r="J757" s="830">
        <f t="shared" si="104"/>
        <v>0.00561664742242507</v>
      </c>
      <c r="K757" s="831">
        <f t="shared" si="105"/>
        <v>0.213009079118029</v>
      </c>
      <c r="L757" s="809">
        <f t="shared" si="111"/>
        <v>1.19639689518141</v>
      </c>
      <c r="M757" s="839">
        <f t="shared" si="106"/>
        <v>0</v>
      </c>
      <c r="N757" s="840">
        <f t="shared" si="107"/>
        <v>0</v>
      </c>
      <c r="O757" s="675">
        <f t="shared" si="108"/>
        <v>5.66310344827586</v>
      </c>
      <c r="P757">
        <f t="shared" si="109"/>
        <v>58</v>
      </c>
      <c r="Q757" s="834">
        <f t="shared" si="110"/>
        <v>0.0376134889753567</v>
      </c>
    </row>
    <row r="758" spans="1:17">
      <c r="A758" s="801">
        <v>45506</v>
      </c>
      <c r="B758" s="841">
        <v>345.81</v>
      </c>
      <c r="C758" s="841">
        <v>208471</v>
      </c>
      <c r="D758" s="841">
        <v>1436</v>
      </c>
      <c r="E758" s="841">
        <v>0</v>
      </c>
      <c r="F758" s="841">
        <v>0</v>
      </c>
      <c r="G758" s="841">
        <v>11</v>
      </c>
      <c r="H758" s="841">
        <v>40</v>
      </c>
      <c r="I758" s="841">
        <v>1</v>
      </c>
      <c r="J758" s="830">
        <f t="shared" si="104"/>
        <v>0.00688824824555933</v>
      </c>
      <c r="K758" s="831">
        <f t="shared" si="105"/>
        <v>0.240814763231198</v>
      </c>
      <c r="L758" s="809">
        <f t="shared" si="111"/>
        <v>1.65879187033208</v>
      </c>
      <c r="M758" s="839">
        <f t="shared" si="106"/>
        <v>0</v>
      </c>
      <c r="N758" s="840">
        <f t="shared" si="107"/>
        <v>0</v>
      </c>
      <c r="O758" s="675">
        <f t="shared" si="108"/>
        <v>6.78058823529412</v>
      </c>
      <c r="P758">
        <f t="shared" si="109"/>
        <v>51</v>
      </c>
      <c r="Q758" s="834">
        <f t="shared" si="110"/>
        <v>0.0355153203342618</v>
      </c>
    </row>
    <row r="759" spans="1:17">
      <c r="A759" s="801">
        <v>45507</v>
      </c>
      <c r="B759" s="841">
        <v>341.43</v>
      </c>
      <c r="C759" s="841">
        <v>318852</v>
      </c>
      <c r="D759" s="841">
        <v>1596</v>
      </c>
      <c r="E759" s="841">
        <v>0</v>
      </c>
      <c r="F759" s="841">
        <v>0</v>
      </c>
      <c r="G759" s="841">
        <v>11</v>
      </c>
      <c r="H759" s="841">
        <v>44</v>
      </c>
      <c r="I759" s="841">
        <v>0</v>
      </c>
      <c r="J759" s="830">
        <f t="shared" si="104"/>
        <v>0.00500545707726469</v>
      </c>
      <c r="K759" s="831">
        <f t="shared" si="105"/>
        <v>0.213928571428571</v>
      </c>
      <c r="L759" s="809">
        <f t="shared" si="111"/>
        <v>1.07081028188627</v>
      </c>
      <c r="M759" s="839">
        <f t="shared" si="106"/>
        <v>0</v>
      </c>
      <c r="N759" s="840">
        <f t="shared" si="107"/>
        <v>0</v>
      </c>
      <c r="O759" s="675">
        <f t="shared" si="108"/>
        <v>6.20781818181818</v>
      </c>
      <c r="P759">
        <f t="shared" si="109"/>
        <v>55</v>
      </c>
      <c r="Q759" s="834">
        <f t="shared" si="110"/>
        <v>0.0344611528822055</v>
      </c>
    </row>
    <row r="760" spans="1:17">
      <c r="A760" s="801">
        <v>45508</v>
      </c>
      <c r="B760" s="841">
        <v>340.75</v>
      </c>
      <c r="C760" s="841">
        <v>403412</v>
      </c>
      <c r="D760" s="841">
        <v>1845</v>
      </c>
      <c r="E760" s="841">
        <v>0</v>
      </c>
      <c r="F760" s="841">
        <v>0</v>
      </c>
      <c r="G760" s="841">
        <v>7</v>
      </c>
      <c r="H760" s="841">
        <v>45</v>
      </c>
      <c r="I760" s="841">
        <v>3</v>
      </c>
      <c r="J760" s="830">
        <f t="shared" ref="J760:J789" si="112">D760/C760</f>
        <v>0.00457348814611365</v>
      </c>
      <c r="K760" s="831">
        <f t="shared" ref="K760:K789" si="113">B760/D760</f>
        <v>0.184688346883469</v>
      </c>
      <c r="L760" s="809">
        <f t="shared" si="111"/>
        <v>0.844669965196871</v>
      </c>
      <c r="M760" s="839">
        <f t="shared" ref="M760:M789" si="114">F760/B760</f>
        <v>0</v>
      </c>
      <c r="N760" s="840">
        <f t="shared" ref="N760:N789" si="115">E760/D760</f>
        <v>0</v>
      </c>
      <c r="O760" s="675">
        <f t="shared" ref="O760:O789" si="116">B760/(G760+H760)</f>
        <v>6.55288461538461</v>
      </c>
      <c r="P760">
        <f t="shared" ref="P760:P789" si="117">G760+H760</f>
        <v>52</v>
      </c>
      <c r="Q760" s="834">
        <f t="shared" ref="Q760:Q789" si="118">P760/D760</f>
        <v>0.0281842818428184</v>
      </c>
    </row>
    <row r="761" spans="1:17">
      <c r="A761" s="801">
        <v>45509</v>
      </c>
      <c r="B761" s="841">
        <v>329.67</v>
      </c>
      <c r="C761" s="841">
        <v>309669</v>
      </c>
      <c r="D761" s="841">
        <v>1481</v>
      </c>
      <c r="E761" s="841">
        <v>0</v>
      </c>
      <c r="F761" s="841">
        <v>0</v>
      </c>
      <c r="G761" s="841">
        <v>9</v>
      </c>
      <c r="H761" s="841">
        <v>26</v>
      </c>
      <c r="I761" s="841">
        <v>3</v>
      </c>
      <c r="J761" s="830">
        <f t="shared" si="112"/>
        <v>0.0047825258582551</v>
      </c>
      <c r="K761" s="831">
        <f t="shared" si="113"/>
        <v>0.222599594868332</v>
      </c>
      <c r="L761" s="809">
        <f t="shared" si="111"/>
        <v>1.06458831849491</v>
      </c>
      <c r="M761" s="839">
        <f t="shared" si="114"/>
        <v>0</v>
      </c>
      <c r="N761" s="840">
        <f t="shared" si="115"/>
        <v>0</v>
      </c>
      <c r="O761" s="675">
        <f t="shared" si="116"/>
        <v>9.41914285714286</v>
      </c>
      <c r="P761">
        <f t="shared" si="117"/>
        <v>35</v>
      </c>
      <c r="Q761" s="834">
        <f t="shared" si="118"/>
        <v>0.0236326806212019</v>
      </c>
    </row>
    <row r="762" spans="1:17">
      <c r="A762" s="801">
        <v>45510</v>
      </c>
      <c r="B762" s="841">
        <v>343.64</v>
      </c>
      <c r="C762" s="841">
        <v>286518</v>
      </c>
      <c r="D762" s="841">
        <v>1462</v>
      </c>
      <c r="E762" s="841">
        <v>0</v>
      </c>
      <c r="F762" s="841">
        <v>0</v>
      </c>
      <c r="G762" s="841">
        <v>7</v>
      </c>
      <c r="H762" s="841">
        <v>48</v>
      </c>
      <c r="I762" s="841">
        <v>0</v>
      </c>
      <c r="J762" s="830">
        <f t="shared" si="112"/>
        <v>0.00510264625608164</v>
      </c>
      <c r="K762" s="831">
        <f t="shared" si="113"/>
        <v>0.235047879616963</v>
      </c>
      <c r="L762" s="809">
        <f t="shared" si="111"/>
        <v>1.19936618292743</v>
      </c>
      <c r="M762" s="839">
        <f t="shared" si="114"/>
        <v>0</v>
      </c>
      <c r="N762" s="840">
        <f t="shared" si="115"/>
        <v>0</v>
      </c>
      <c r="O762" s="675">
        <f t="shared" si="116"/>
        <v>6.248</v>
      </c>
      <c r="P762">
        <f t="shared" si="117"/>
        <v>55</v>
      </c>
      <c r="Q762" s="834">
        <f t="shared" si="118"/>
        <v>0.0376196990424077</v>
      </c>
    </row>
    <row r="763" spans="1:17">
      <c r="A763" s="801">
        <v>45511</v>
      </c>
      <c r="B763" s="841">
        <v>350.35</v>
      </c>
      <c r="C763" s="841">
        <v>339522</v>
      </c>
      <c r="D763" s="841">
        <v>1368</v>
      </c>
      <c r="E763" s="841">
        <v>0</v>
      </c>
      <c r="F763" s="841">
        <v>0</v>
      </c>
      <c r="G763" s="841">
        <v>13</v>
      </c>
      <c r="H763" s="841">
        <v>35</v>
      </c>
      <c r="I763" s="841">
        <v>2</v>
      </c>
      <c r="J763" s="830">
        <f t="shared" si="112"/>
        <v>0.00402919398448407</v>
      </c>
      <c r="K763" s="831">
        <f t="shared" si="113"/>
        <v>0.256103801169591</v>
      </c>
      <c r="L763" s="809">
        <f t="shared" si="111"/>
        <v>1.03189189507602</v>
      </c>
      <c r="M763" s="839">
        <f t="shared" si="114"/>
        <v>0</v>
      </c>
      <c r="N763" s="840">
        <f t="shared" si="115"/>
        <v>0</v>
      </c>
      <c r="O763" s="675">
        <f t="shared" si="116"/>
        <v>7.29895833333333</v>
      </c>
      <c r="P763">
        <f t="shared" si="117"/>
        <v>48</v>
      </c>
      <c r="Q763" s="834">
        <f t="shared" si="118"/>
        <v>0.0350877192982456</v>
      </c>
    </row>
    <row r="764" spans="1:17">
      <c r="A764" s="801">
        <v>45512</v>
      </c>
      <c r="B764" s="841">
        <v>345.72</v>
      </c>
      <c r="C764" s="841">
        <v>318180</v>
      </c>
      <c r="D764" s="841">
        <v>1360</v>
      </c>
      <c r="E764" s="841">
        <v>0</v>
      </c>
      <c r="F764" s="841">
        <v>0</v>
      </c>
      <c r="G764" s="841">
        <v>15</v>
      </c>
      <c r="H764" s="841">
        <v>34</v>
      </c>
      <c r="I764" s="841">
        <v>1</v>
      </c>
      <c r="J764" s="830">
        <f t="shared" si="112"/>
        <v>0.00427431013891508</v>
      </c>
      <c r="K764" s="831">
        <f t="shared" si="113"/>
        <v>0.254205882352941</v>
      </c>
      <c r="L764" s="809">
        <f t="shared" si="111"/>
        <v>1.08655478031303</v>
      </c>
      <c r="M764" s="839">
        <f t="shared" si="114"/>
        <v>0</v>
      </c>
      <c r="N764" s="840">
        <f t="shared" si="115"/>
        <v>0</v>
      </c>
      <c r="O764" s="675">
        <f t="shared" si="116"/>
        <v>7.05551020408163</v>
      </c>
      <c r="P764">
        <f t="shared" si="117"/>
        <v>49</v>
      </c>
      <c r="Q764" s="834">
        <f t="shared" si="118"/>
        <v>0.0360294117647059</v>
      </c>
    </row>
    <row r="765" spans="1:17">
      <c r="A765" s="801">
        <v>45513</v>
      </c>
      <c r="B765" s="841">
        <v>347.43</v>
      </c>
      <c r="C765" s="841">
        <v>307117</v>
      </c>
      <c r="D765" s="841">
        <v>1268</v>
      </c>
      <c r="E765" s="841">
        <v>1</v>
      </c>
      <c r="F765" s="841">
        <v>14487</v>
      </c>
      <c r="G765" s="841">
        <v>7</v>
      </c>
      <c r="H765" s="841">
        <v>52</v>
      </c>
      <c r="I765" s="841">
        <v>0</v>
      </c>
      <c r="J765" s="830">
        <f t="shared" si="112"/>
        <v>0.00412871967360973</v>
      </c>
      <c r="K765" s="831">
        <f t="shared" si="113"/>
        <v>0.273998422712934</v>
      </c>
      <c r="L765" s="809">
        <f t="shared" si="111"/>
        <v>1.13126267839293</v>
      </c>
      <c r="M765" s="839">
        <f t="shared" si="114"/>
        <v>41.6976081512823</v>
      </c>
      <c r="N765" s="840">
        <f t="shared" si="115"/>
        <v>0.000788643533123028</v>
      </c>
      <c r="O765" s="675">
        <f t="shared" si="116"/>
        <v>5.88864406779661</v>
      </c>
      <c r="P765">
        <f t="shared" si="117"/>
        <v>59</v>
      </c>
      <c r="Q765" s="834">
        <f t="shared" si="118"/>
        <v>0.0465299684542587</v>
      </c>
    </row>
    <row r="766" spans="1:17">
      <c r="A766" s="801">
        <v>45514</v>
      </c>
      <c r="B766" s="841">
        <v>346.81</v>
      </c>
      <c r="C766" s="841">
        <v>323565</v>
      </c>
      <c r="D766" s="841">
        <v>1492</v>
      </c>
      <c r="E766" s="841">
        <v>0</v>
      </c>
      <c r="F766" s="841">
        <v>0</v>
      </c>
      <c r="G766" s="841">
        <v>12</v>
      </c>
      <c r="H766" s="841">
        <v>40</v>
      </c>
      <c r="I766" s="841">
        <v>1</v>
      </c>
      <c r="J766" s="830">
        <f t="shared" si="112"/>
        <v>0.00461112913943103</v>
      </c>
      <c r="K766" s="831">
        <f t="shared" si="113"/>
        <v>0.232446380697051</v>
      </c>
      <c r="L766" s="809">
        <f t="shared" si="111"/>
        <v>1.07184027938745</v>
      </c>
      <c r="M766" s="839">
        <f t="shared" si="114"/>
        <v>0</v>
      </c>
      <c r="N766" s="840">
        <f t="shared" si="115"/>
        <v>0</v>
      </c>
      <c r="O766" s="675">
        <f t="shared" si="116"/>
        <v>6.66942307692308</v>
      </c>
      <c r="P766">
        <f t="shared" si="117"/>
        <v>52</v>
      </c>
      <c r="Q766" s="834">
        <f t="shared" si="118"/>
        <v>0.0348525469168901</v>
      </c>
    </row>
    <row r="767" spans="1:17">
      <c r="A767" s="801">
        <v>45515</v>
      </c>
      <c r="B767" s="841">
        <v>349.06</v>
      </c>
      <c r="C767" s="841">
        <v>395398</v>
      </c>
      <c r="D767" s="841">
        <v>1677</v>
      </c>
      <c r="E767" s="841">
        <v>0</v>
      </c>
      <c r="F767" s="841">
        <v>0</v>
      </c>
      <c r="G767" s="841">
        <v>16</v>
      </c>
      <c r="H767" s="841">
        <v>35</v>
      </c>
      <c r="I767" s="841">
        <v>2</v>
      </c>
      <c r="J767" s="830">
        <f t="shared" si="112"/>
        <v>0.00424129611176587</v>
      </c>
      <c r="K767" s="831">
        <f t="shared" si="113"/>
        <v>0.20814549791294</v>
      </c>
      <c r="L767" s="809">
        <f t="shared" si="111"/>
        <v>0.882806690979722</v>
      </c>
      <c r="M767" s="839">
        <f t="shared" si="114"/>
        <v>0</v>
      </c>
      <c r="N767" s="840">
        <f t="shared" si="115"/>
        <v>0</v>
      </c>
      <c r="O767" s="675">
        <f t="shared" si="116"/>
        <v>6.8443137254902</v>
      </c>
      <c r="P767">
        <f t="shared" si="117"/>
        <v>51</v>
      </c>
      <c r="Q767" s="834">
        <f t="shared" si="118"/>
        <v>0.0304114490161002</v>
      </c>
    </row>
    <row r="768" spans="1:17">
      <c r="A768" s="801">
        <v>45516</v>
      </c>
      <c r="B768" s="841">
        <v>346.4</v>
      </c>
      <c r="C768" s="841">
        <v>390153</v>
      </c>
      <c r="D768" s="841">
        <v>1653</v>
      </c>
      <c r="E768" s="841">
        <v>0</v>
      </c>
      <c r="F768" s="841">
        <v>0</v>
      </c>
      <c r="G768" s="841">
        <v>19</v>
      </c>
      <c r="H768" s="841">
        <v>42</v>
      </c>
      <c r="I768" s="841">
        <v>1</v>
      </c>
      <c r="J768" s="830">
        <f t="shared" si="112"/>
        <v>0.00423679940946244</v>
      </c>
      <c r="K768" s="831">
        <f t="shared" si="113"/>
        <v>0.209558378705384</v>
      </c>
      <c r="L768" s="809">
        <f t="shared" si="111"/>
        <v>0.887856815146878</v>
      </c>
      <c r="M768" s="839">
        <f t="shared" si="114"/>
        <v>0</v>
      </c>
      <c r="N768" s="840">
        <f t="shared" si="115"/>
        <v>0</v>
      </c>
      <c r="O768" s="675">
        <f t="shared" si="116"/>
        <v>5.67868852459016</v>
      </c>
      <c r="P768">
        <f t="shared" si="117"/>
        <v>61</v>
      </c>
      <c r="Q768" s="834">
        <f t="shared" si="118"/>
        <v>0.0369026013309135</v>
      </c>
    </row>
    <row r="769" spans="1:17">
      <c r="A769" s="801">
        <v>45517</v>
      </c>
      <c r="B769" s="841">
        <v>486.46</v>
      </c>
      <c r="C769" s="841">
        <v>530417</v>
      </c>
      <c r="D769" s="841">
        <v>2251</v>
      </c>
      <c r="E769" s="841">
        <v>0</v>
      </c>
      <c r="F769" s="841">
        <v>0</v>
      </c>
      <c r="G769" s="841">
        <v>20</v>
      </c>
      <c r="H769" s="841">
        <v>61</v>
      </c>
      <c r="I769" s="841">
        <v>2</v>
      </c>
      <c r="J769" s="830">
        <f t="shared" si="112"/>
        <v>0.00424383079727837</v>
      </c>
      <c r="K769" s="831">
        <f t="shared" si="113"/>
        <v>0.216108396268325</v>
      </c>
      <c r="L769" s="809">
        <f t="shared" si="111"/>
        <v>0.917127467633956</v>
      </c>
      <c r="M769" s="839">
        <f t="shared" si="114"/>
        <v>0</v>
      </c>
      <c r="N769" s="840">
        <f t="shared" si="115"/>
        <v>0</v>
      </c>
      <c r="O769" s="675">
        <f t="shared" si="116"/>
        <v>6.00567901234568</v>
      </c>
      <c r="P769">
        <f t="shared" si="117"/>
        <v>81</v>
      </c>
      <c r="Q769" s="834">
        <f t="shared" si="118"/>
        <v>0.035984007107952</v>
      </c>
    </row>
    <row r="770" spans="1:17">
      <c r="A770" s="801">
        <v>45518</v>
      </c>
      <c r="B770" s="841">
        <v>489.71</v>
      </c>
      <c r="C770" s="841">
        <v>540628</v>
      </c>
      <c r="D770" s="841">
        <v>2275</v>
      </c>
      <c r="E770" s="841">
        <v>0</v>
      </c>
      <c r="F770" s="841">
        <v>0</v>
      </c>
      <c r="G770" s="841">
        <v>12</v>
      </c>
      <c r="H770" s="841">
        <v>61</v>
      </c>
      <c r="I770" s="841">
        <v>1</v>
      </c>
      <c r="J770" s="830">
        <f t="shared" si="112"/>
        <v>0.00420806913441405</v>
      </c>
      <c r="K770" s="831">
        <f t="shared" si="113"/>
        <v>0.215257142857143</v>
      </c>
      <c r="L770" s="809">
        <f t="shared" si="111"/>
        <v>0.905816938819299</v>
      </c>
      <c r="M770" s="839">
        <f t="shared" si="114"/>
        <v>0</v>
      </c>
      <c r="N770" s="840">
        <f t="shared" si="115"/>
        <v>0</v>
      </c>
      <c r="O770" s="675">
        <f t="shared" si="116"/>
        <v>6.70835616438356</v>
      </c>
      <c r="P770">
        <f t="shared" si="117"/>
        <v>73</v>
      </c>
      <c r="Q770" s="834">
        <f t="shared" si="118"/>
        <v>0.0320879120879121</v>
      </c>
    </row>
    <row r="771" spans="1:17">
      <c r="A771" s="801">
        <v>45519</v>
      </c>
      <c r="B771" s="841">
        <v>484.99</v>
      </c>
      <c r="C771" s="841">
        <v>560098</v>
      </c>
      <c r="D771" s="841">
        <v>2196</v>
      </c>
      <c r="E771" s="841">
        <v>0</v>
      </c>
      <c r="F771" s="841">
        <v>0</v>
      </c>
      <c r="G771" s="841">
        <v>11</v>
      </c>
      <c r="H771" s="841">
        <v>64</v>
      </c>
      <c r="I771" s="841">
        <v>0</v>
      </c>
      <c r="J771" s="830">
        <f t="shared" si="112"/>
        <v>0.00392074244150131</v>
      </c>
      <c r="K771" s="831">
        <f t="shared" si="113"/>
        <v>0.220851548269581</v>
      </c>
      <c r="L771" s="809">
        <f t="shared" si="111"/>
        <v>0.865902038571821</v>
      </c>
      <c r="M771" s="839">
        <f t="shared" si="114"/>
        <v>0</v>
      </c>
      <c r="N771" s="840">
        <f t="shared" si="115"/>
        <v>0</v>
      </c>
      <c r="O771" s="675">
        <f t="shared" si="116"/>
        <v>6.46653333333333</v>
      </c>
      <c r="P771">
        <f t="shared" si="117"/>
        <v>75</v>
      </c>
      <c r="Q771" s="834">
        <f t="shared" si="118"/>
        <v>0.0341530054644809</v>
      </c>
    </row>
    <row r="772" spans="1:17">
      <c r="A772" s="801">
        <v>45520</v>
      </c>
      <c r="B772" s="841">
        <v>486.66</v>
      </c>
      <c r="C772" s="841">
        <v>568195</v>
      </c>
      <c r="D772" s="841">
        <v>2197</v>
      </c>
      <c r="E772" s="841">
        <v>0</v>
      </c>
      <c r="F772" s="841">
        <v>0</v>
      </c>
      <c r="G772" s="841">
        <v>24</v>
      </c>
      <c r="H772" s="841">
        <v>68</v>
      </c>
      <c r="I772" s="841">
        <v>0</v>
      </c>
      <c r="J772" s="830">
        <f t="shared" si="112"/>
        <v>0.00386663029417718</v>
      </c>
      <c r="K772" s="831">
        <f t="shared" si="113"/>
        <v>0.221511151570323</v>
      </c>
      <c r="L772" s="809">
        <f t="shared" si="111"/>
        <v>0.856501729159884</v>
      </c>
      <c r="M772" s="839">
        <f t="shared" si="114"/>
        <v>0</v>
      </c>
      <c r="N772" s="840">
        <f t="shared" si="115"/>
        <v>0</v>
      </c>
      <c r="O772" s="675">
        <f t="shared" si="116"/>
        <v>5.28978260869565</v>
      </c>
      <c r="P772">
        <f t="shared" si="117"/>
        <v>92</v>
      </c>
      <c r="Q772" s="834">
        <f t="shared" si="118"/>
        <v>0.0418752844788348</v>
      </c>
    </row>
    <row r="773" spans="1:17">
      <c r="A773" s="801">
        <v>45521</v>
      </c>
      <c r="B773" s="841">
        <v>497.2</v>
      </c>
      <c r="C773" s="841">
        <v>633535</v>
      </c>
      <c r="D773" s="841">
        <v>2554</v>
      </c>
      <c r="E773" s="841">
        <v>0</v>
      </c>
      <c r="F773" s="841">
        <v>0</v>
      </c>
      <c r="G773" s="841">
        <v>18</v>
      </c>
      <c r="H773" s="841">
        <v>59</v>
      </c>
      <c r="I773" s="841">
        <v>3</v>
      </c>
      <c r="J773" s="830">
        <f t="shared" si="112"/>
        <v>0.00403134791290142</v>
      </c>
      <c r="K773" s="831">
        <f t="shared" si="113"/>
        <v>0.194675019577134</v>
      </c>
      <c r="L773" s="809">
        <f t="shared" si="111"/>
        <v>0.784802733866321</v>
      </c>
      <c r="M773" s="839">
        <f t="shared" si="114"/>
        <v>0</v>
      </c>
      <c r="N773" s="840">
        <f t="shared" si="115"/>
        <v>0</v>
      </c>
      <c r="O773" s="675">
        <f t="shared" si="116"/>
        <v>6.45714285714286</v>
      </c>
      <c r="P773">
        <f t="shared" si="117"/>
        <v>77</v>
      </c>
      <c r="Q773" s="834">
        <f t="shared" si="118"/>
        <v>0.0301487862176977</v>
      </c>
    </row>
    <row r="774" spans="1:17">
      <c r="A774" s="801">
        <v>45522</v>
      </c>
      <c r="B774" s="841">
        <v>473.61</v>
      </c>
      <c r="C774" s="841">
        <v>621670</v>
      </c>
      <c r="D774" s="841">
        <v>2444</v>
      </c>
      <c r="E774" s="841">
        <v>0</v>
      </c>
      <c r="F774" s="841">
        <v>0</v>
      </c>
      <c r="G774" s="841">
        <v>23</v>
      </c>
      <c r="H774" s="841">
        <v>51</v>
      </c>
      <c r="I774" s="841">
        <v>0</v>
      </c>
      <c r="J774" s="830">
        <f t="shared" si="112"/>
        <v>0.00393134621262084</v>
      </c>
      <c r="K774" s="831">
        <f t="shared" si="113"/>
        <v>0.193784779050737</v>
      </c>
      <c r="L774" s="809">
        <f t="shared" si="111"/>
        <v>0.76183505718468</v>
      </c>
      <c r="M774" s="839">
        <f t="shared" si="114"/>
        <v>0</v>
      </c>
      <c r="N774" s="840">
        <f t="shared" si="115"/>
        <v>0</v>
      </c>
      <c r="O774" s="675">
        <f t="shared" si="116"/>
        <v>6.40013513513514</v>
      </c>
      <c r="P774">
        <f t="shared" si="117"/>
        <v>74</v>
      </c>
      <c r="Q774" s="834">
        <f t="shared" si="118"/>
        <v>0.030278232405892</v>
      </c>
    </row>
    <row r="775" spans="1:17">
      <c r="A775" s="801">
        <v>45523</v>
      </c>
      <c r="B775" s="841">
        <v>481.72</v>
      </c>
      <c r="C775" s="841">
        <v>593363</v>
      </c>
      <c r="D775" s="841">
        <v>2181</v>
      </c>
      <c r="E775" s="841">
        <v>0</v>
      </c>
      <c r="F775" s="841">
        <v>0</v>
      </c>
      <c r="G775" s="841">
        <v>25</v>
      </c>
      <c r="H775" s="841">
        <v>43</v>
      </c>
      <c r="I775" s="841">
        <v>1</v>
      </c>
      <c r="J775" s="830">
        <f t="shared" si="112"/>
        <v>0.00367565891368353</v>
      </c>
      <c r="K775" s="831">
        <f t="shared" si="113"/>
        <v>0.22087116001834</v>
      </c>
      <c r="L775" s="809">
        <f t="shared" si="111"/>
        <v>0.811847048097033</v>
      </c>
      <c r="M775" s="839">
        <f t="shared" si="114"/>
        <v>0</v>
      </c>
      <c r="N775" s="840">
        <f t="shared" si="115"/>
        <v>0</v>
      </c>
      <c r="O775" s="675">
        <f t="shared" si="116"/>
        <v>7.08411764705882</v>
      </c>
      <c r="P775">
        <f t="shared" si="117"/>
        <v>68</v>
      </c>
      <c r="Q775" s="834">
        <f t="shared" si="118"/>
        <v>0.0311783585511233</v>
      </c>
    </row>
    <row r="776" spans="1:17">
      <c r="A776" s="801">
        <v>45524</v>
      </c>
      <c r="B776" s="841">
        <v>495.97</v>
      </c>
      <c r="C776" s="841">
        <v>501543</v>
      </c>
      <c r="D776" s="841">
        <v>2154</v>
      </c>
      <c r="E776" s="841">
        <v>0</v>
      </c>
      <c r="F776" s="841">
        <v>0</v>
      </c>
      <c r="G776" s="841">
        <v>18</v>
      </c>
      <c r="H776" s="841">
        <v>51</v>
      </c>
      <c r="I776" s="841">
        <v>0</v>
      </c>
      <c r="J776" s="830">
        <f t="shared" si="112"/>
        <v>0.00429474641257081</v>
      </c>
      <c r="K776" s="831">
        <f t="shared" si="113"/>
        <v>0.230255338904364</v>
      </c>
      <c r="L776" s="809">
        <f t="shared" si="111"/>
        <v>0.988888290734792</v>
      </c>
      <c r="M776" s="839">
        <f t="shared" si="114"/>
        <v>0</v>
      </c>
      <c r="N776" s="840">
        <f t="shared" si="115"/>
        <v>0</v>
      </c>
      <c r="O776" s="675">
        <f t="shared" si="116"/>
        <v>7.18797101449275</v>
      </c>
      <c r="P776">
        <f t="shared" si="117"/>
        <v>69</v>
      </c>
      <c r="Q776" s="834">
        <f t="shared" si="118"/>
        <v>0.032033426183844</v>
      </c>
    </row>
    <row r="777" spans="1:17">
      <c r="A777" s="801">
        <v>45525</v>
      </c>
      <c r="B777" s="841">
        <v>490.68</v>
      </c>
      <c r="C777" s="841">
        <v>592508</v>
      </c>
      <c r="D777" s="841">
        <v>2464</v>
      </c>
      <c r="E777" s="841">
        <v>0</v>
      </c>
      <c r="F777" s="841">
        <v>0</v>
      </c>
      <c r="G777" s="841">
        <v>14</v>
      </c>
      <c r="H777" s="841">
        <v>41</v>
      </c>
      <c r="I777" s="841">
        <v>2</v>
      </c>
      <c r="J777" s="830">
        <f t="shared" si="112"/>
        <v>0.004158593639242</v>
      </c>
      <c r="K777" s="831">
        <f t="shared" si="113"/>
        <v>0.19913961038961</v>
      </c>
      <c r="L777" s="809">
        <f t="shared" si="111"/>
        <v>0.828140717087364</v>
      </c>
      <c r="M777" s="839">
        <f t="shared" si="114"/>
        <v>0</v>
      </c>
      <c r="N777" s="840">
        <f t="shared" si="115"/>
        <v>0</v>
      </c>
      <c r="O777" s="675">
        <f t="shared" si="116"/>
        <v>8.92145454545455</v>
      </c>
      <c r="P777">
        <f t="shared" si="117"/>
        <v>55</v>
      </c>
      <c r="Q777" s="834">
        <f t="shared" si="118"/>
        <v>0.0223214285714286</v>
      </c>
    </row>
    <row r="778" spans="1:17">
      <c r="A778" s="801">
        <v>45526</v>
      </c>
      <c r="B778" s="841">
        <v>482.62</v>
      </c>
      <c r="C778" s="841">
        <v>641474</v>
      </c>
      <c r="D778" s="841">
        <v>2414</v>
      </c>
      <c r="E778" s="841">
        <v>0</v>
      </c>
      <c r="F778" s="841">
        <v>0</v>
      </c>
      <c r="G778" s="841">
        <v>18</v>
      </c>
      <c r="H778" s="841">
        <v>49</v>
      </c>
      <c r="I778" s="841">
        <v>1</v>
      </c>
      <c r="J778" s="830">
        <f t="shared" si="112"/>
        <v>0.00376320786189308</v>
      </c>
      <c r="K778" s="831">
        <f t="shared" si="113"/>
        <v>0.199925434962717</v>
      </c>
      <c r="L778" s="809">
        <f t="shared" si="111"/>
        <v>0.752360968644092</v>
      </c>
      <c r="M778" s="839">
        <f t="shared" si="114"/>
        <v>0</v>
      </c>
      <c r="N778" s="840">
        <f t="shared" si="115"/>
        <v>0</v>
      </c>
      <c r="O778" s="675">
        <f t="shared" si="116"/>
        <v>7.20328358208955</v>
      </c>
      <c r="P778">
        <f t="shared" si="117"/>
        <v>67</v>
      </c>
      <c r="Q778" s="834">
        <f t="shared" si="118"/>
        <v>0.0277547638773819</v>
      </c>
    </row>
    <row r="779" spans="1:17">
      <c r="A779" s="801">
        <v>45527</v>
      </c>
      <c r="B779" s="841">
        <v>488.69</v>
      </c>
      <c r="C779" s="841">
        <v>689065</v>
      </c>
      <c r="D779" s="841">
        <v>2394</v>
      </c>
      <c r="E779" s="841">
        <v>0</v>
      </c>
      <c r="F779" s="841">
        <v>0</v>
      </c>
      <c r="G779" s="841">
        <v>10</v>
      </c>
      <c r="H779" s="841">
        <v>50</v>
      </c>
      <c r="I779" s="841">
        <v>1</v>
      </c>
      <c r="J779" s="830">
        <f t="shared" si="112"/>
        <v>0.00347427310921321</v>
      </c>
      <c r="K779" s="831">
        <f t="shared" si="113"/>
        <v>0.204131161236424</v>
      </c>
      <c r="L779" s="809">
        <f t="shared" si="111"/>
        <v>0.709207404236175</v>
      </c>
      <c r="M779" s="839">
        <f t="shared" si="114"/>
        <v>0</v>
      </c>
      <c r="N779" s="840">
        <f t="shared" si="115"/>
        <v>0</v>
      </c>
      <c r="O779" s="675">
        <f t="shared" si="116"/>
        <v>8.14483333333333</v>
      </c>
      <c r="P779">
        <f t="shared" si="117"/>
        <v>60</v>
      </c>
      <c r="Q779" s="834">
        <f t="shared" si="118"/>
        <v>0.025062656641604</v>
      </c>
    </row>
    <row r="780" spans="1:17">
      <c r="A780" s="801">
        <v>45528</v>
      </c>
      <c r="B780" s="841">
        <v>486.63</v>
      </c>
      <c r="C780" s="841">
        <v>831799</v>
      </c>
      <c r="D780" s="841">
        <v>2780</v>
      </c>
      <c r="E780" s="841">
        <v>0</v>
      </c>
      <c r="F780" s="841">
        <v>0</v>
      </c>
      <c r="G780" s="841">
        <v>19</v>
      </c>
      <c r="H780" s="841">
        <v>32</v>
      </c>
      <c r="I780" s="841">
        <v>0</v>
      </c>
      <c r="J780" s="830">
        <f t="shared" si="112"/>
        <v>0.0033421535731589</v>
      </c>
      <c r="K780" s="831">
        <f t="shared" si="113"/>
        <v>0.175046762589928</v>
      </c>
      <c r="L780" s="809">
        <f t="shared" si="111"/>
        <v>0.585033163059826</v>
      </c>
      <c r="M780" s="839">
        <f t="shared" si="114"/>
        <v>0</v>
      </c>
      <c r="N780" s="840">
        <f t="shared" si="115"/>
        <v>0</v>
      </c>
      <c r="O780" s="675">
        <f t="shared" si="116"/>
        <v>9.54176470588235</v>
      </c>
      <c r="P780">
        <f t="shared" si="117"/>
        <v>51</v>
      </c>
      <c r="Q780" s="834">
        <f t="shared" si="118"/>
        <v>0.0183453237410072</v>
      </c>
    </row>
    <row r="781" spans="1:17">
      <c r="A781" s="801">
        <v>45529</v>
      </c>
      <c r="B781" s="841">
        <v>493.82</v>
      </c>
      <c r="C781" s="841">
        <v>831678</v>
      </c>
      <c r="D781" s="841">
        <v>2671</v>
      </c>
      <c r="E781" s="841">
        <v>0</v>
      </c>
      <c r="F781" s="841">
        <v>0</v>
      </c>
      <c r="G781" s="841">
        <v>18</v>
      </c>
      <c r="H781" s="841">
        <v>39</v>
      </c>
      <c r="I781" s="841">
        <v>2</v>
      </c>
      <c r="J781" s="830">
        <f t="shared" si="112"/>
        <v>0.00321157948148202</v>
      </c>
      <c r="K781" s="831">
        <f t="shared" si="113"/>
        <v>0.184882066641707</v>
      </c>
      <c r="L781" s="809">
        <f t="shared" si="111"/>
        <v>0.593763451720498</v>
      </c>
      <c r="M781" s="839">
        <f t="shared" si="114"/>
        <v>0</v>
      </c>
      <c r="N781" s="840">
        <f t="shared" si="115"/>
        <v>0</v>
      </c>
      <c r="O781" s="675">
        <f t="shared" si="116"/>
        <v>8.66350877192983</v>
      </c>
      <c r="P781">
        <f t="shared" si="117"/>
        <v>57</v>
      </c>
      <c r="Q781" s="834">
        <f t="shared" si="118"/>
        <v>0.0213403219767877</v>
      </c>
    </row>
    <row r="782" spans="1:17">
      <c r="A782" s="801">
        <v>45530</v>
      </c>
      <c r="B782" s="841">
        <v>659.55</v>
      </c>
      <c r="C782" s="841">
        <v>1049311</v>
      </c>
      <c r="D782" s="841">
        <v>3160</v>
      </c>
      <c r="E782" s="841">
        <v>0</v>
      </c>
      <c r="F782" s="841">
        <v>0</v>
      </c>
      <c r="G782" s="841">
        <v>19</v>
      </c>
      <c r="H782" s="841">
        <v>56</v>
      </c>
      <c r="I782" s="841">
        <v>1</v>
      </c>
      <c r="J782" s="830">
        <f t="shared" si="112"/>
        <v>0.00301149992709502</v>
      </c>
      <c r="K782" s="831">
        <f t="shared" si="113"/>
        <v>0.20871835443038</v>
      </c>
      <c r="L782" s="809">
        <f t="shared" si="111"/>
        <v>0.628555309150481</v>
      </c>
      <c r="M782" s="839">
        <f t="shared" si="114"/>
        <v>0</v>
      </c>
      <c r="N782" s="840">
        <f t="shared" si="115"/>
        <v>0</v>
      </c>
      <c r="O782" s="675">
        <f t="shared" si="116"/>
        <v>8.794</v>
      </c>
      <c r="P782">
        <f t="shared" si="117"/>
        <v>75</v>
      </c>
      <c r="Q782" s="834">
        <f t="shared" si="118"/>
        <v>0.0237341772151899</v>
      </c>
    </row>
    <row r="783" spans="1:17">
      <c r="A783" s="801">
        <v>45531</v>
      </c>
      <c r="B783" s="841">
        <v>674.63</v>
      </c>
      <c r="C783" s="841">
        <v>925718</v>
      </c>
      <c r="D783" s="841">
        <v>3027</v>
      </c>
      <c r="E783" s="841">
        <v>0</v>
      </c>
      <c r="F783" s="841">
        <v>0</v>
      </c>
      <c r="G783" s="841">
        <v>18</v>
      </c>
      <c r="H783" s="841">
        <v>63</v>
      </c>
      <c r="I783" s="841">
        <v>2</v>
      </c>
      <c r="J783" s="830">
        <f t="shared" si="112"/>
        <v>0.00326989428746119</v>
      </c>
      <c r="K783" s="831">
        <f t="shared" si="113"/>
        <v>0.222870829203832</v>
      </c>
      <c r="L783" s="809">
        <f t="shared" si="111"/>
        <v>0.72876405125535</v>
      </c>
      <c r="M783" s="839">
        <f t="shared" si="114"/>
        <v>0</v>
      </c>
      <c r="N783" s="840">
        <f t="shared" si="115"/>
        <v>0</v>
      </c>
      <c r="O783" s="675">
        <f t="shared" si="116"/>
        <v>8.32876543209876</v>
      </c>
      <c r="P783">
        <f t="shared" si="117"/>
        <v>81</v>
      </c>
      <c r="Q783" s="834">
        <f t="shared" si="118"/>
        <v>0.0267591674925669</v>
      </c>
    </row>
    <row r="784" spans="1:17">
      <c r="A784" s="801">
        <v>45532</v>
      </c>
      <c r="B784" s="841">
        <v>678.15</v>
      </c>
      <c r="C784" s="841">
        <v>1084323</v>
      </c>
      <c r="D784" s="841">
        <v>3389</v>
      </c>
      <c r="E784" s="841">
        <v>0</v>
      </c>
      <c r="F784" s="841">
        <v>0</v>
      </c>
      <c r="G784" s="841">
        <v>21</v>
      </c>
      <c r="H784" s="841">
        <v>42</v>
      </c>
      <c r="I784" s="841">
        <v>1</v>
      </c>
      <c r="J784" s="830">
        <f t="shared" si="112"/>
        <v>0.00312545247126548</v>
      </c>
      <c r="K784" s="831">
        <f t="shared" si="113"/>
        <v>0.200103275302449</v>
      </c>
      <c r="L784" s="809">
        <f t="shared" si="111"/>
        <v>0.625413276302356</v>
      </c>
      <c r="M784" s="839">
        <f t="shared" si="114"/>
        <v>0</v>
      </c>
      <c r="N784" s="840">
        <f t="shared" si="115"/>
        <v>0</v>
      </c>
      <c r="O784" s="675">
        <f t="shared" si="116"/>
        <v>10.7642857142857</v>
      </c>
      <c r="P784">
        <f t="shared" si="117"/>
        <v>63</v>
      </c>
      <c r="Q784" s="834">
        <f t="shared" si="118"/>
        <v>0.018589554440838</v>
      </c>
    </row>
    <row r="785" spans="1:17">
      <c r="A785" s="801">
        <v>45533</v>
      </c>
      <c r="B785" s="841">
        <v>675.21</v>
      </c>
      <c r="C785" s="841">
        <v>1091744</v>
      </c>
      <c r="D785" s="841">
        <v>3460</v>
      </c>
      <c r="E785" s="841">
        <v>0</v>
      </c>
      <c r="F785" s="841">
        <v>0</v>
      </c>
      <c r="G785" s="841">
        <v>31</v>
      </c>
      <c r="H785" s="841">
        <v>47</v>
      </c>
      <c r="I785" s="841">
        <v>4</v>
      </c>
      <c r="J785" s="830">
        <f t="shared" si="112"/>
        <v>0.00316924114078026</v>
      </c>
      <c r="K785" s="831">
        <f t="shared" si="113"/>
        <v>0.195147398843931</v>
      </c>
      <c r="L785" s="809">
        <f t="shared" si="111"/>
        <v>0.618469164932438</v>
      </c>
      <c r="M785" s="839">
        <f t="shared" si="114"/>
        <v>0</v>
      </c>
      <c r="N785" s="840">
        <f t="shared" si="115"/>
        <v>0</v>
      </c>
      <c r="O785" s="675">
        <f t="shared" si="116"/>
        <v>8.65653846153846</v>
      </c>
      <c r="P785">
        <f t="shared" si="117"/>
        <v>78</v>
      </c>
      <c r="Q785" s="834">
        <f t="shared" si="118"/>
        <v>0.0225433526011561</v>
      </c>
    </row>
    <row r="786" spans="1:17">
      <c r="A786" s="801">
        <v>45534</v>
      </c>
      <c r="B786" s="841">
        <v>664.85</v>
      </c>
      <c r="C786" s="841">
        <v>1083367</v>
      </c>
      <c r="D786" s="841">
        <v>3298</v>
      </c>
      <c r="E786" s="841">
        <v>0</v>
      </c>
      <c r="F786" s="841">
        <v>0</v>
      </c>
      <c r="G786" s="841">
        <v>27</v>
      </c>
      <c r="H786" s="841">
        <v>58</v>
      </c>
      <c r="I786" s="841">
        <v>3</v>
      </c>
      <c r="J786" s="830">
        <f t="shared" si="112"/>
        <v>0.00304421308753174</v>
      </c>
      <c r="K786" s="831">
        <f t="shared" si="113"/>
        <v>0.201591873862947</v>
      </c>
      <c r="L786" s="809">
        <f t="shared" si="111"/>
        <v>0.613688620753632</v>
      </c>
      <c r="M786" s="839">
        <f t="shared" si="114"/>
        <v>0</v>
      </c>
      <c r="N786" s="840">
        <f t="shared" si="115"/>
        <v>0</v>
      </c>
      <c r="O786" s="675">
        <f t="shared" si="116"/>
        <v>7.82176470588235</v>
      </c>
      <c r="P786">
        <f t="shared" si="117"/>
        <v>85</v>
      </c>
      <c r="Q786" s="834">
        <f t="shared" si="118"/>
        <v>0.0257731958762887</v>
      </c>
    </row>
    <row r="787" spans="1:17">
      <c r="A787" s="801">
        <v>45535</v>
      </c>
      <c r="B787" s="841">
        <v>676.34</v>
      </c>
      <c r="C787" s="841">
        <v>775328</v>
      </c>
      <c r="D787" s="841">
        <v>3032</v>
      </c>
      <c r="E787" s="841">
        <v>0</v>
      </c>
      <c r="F787" s="841">
        <v>0</v>
      </c>
      <c r="G787" s="841">
        <v>18</v>
      </c>
      <c r="H787" s="841">
        <v>62</v>
      </c>
      <c r="I787" s="841">
        <v>3</v>
      </c>
      <c r="J787" s="830">
        <f t="shared" si="112"/>
        <v>0.00391060299640926</v>
      </c>
      <c r="K787" s="831">
        <f t="shared" si="113"/>
        <v>0.2230672823219</v>
      </c>
      <c r="L787" s="809">
        <f t="shared" si="111"/>
        <v>0.872327582648892</v>
      </c>
      <c r="M787" s="839">
        <f t="shared" si="114"/>
        <v>0</v>
      </c>
      <c r="N787" s="840">
        <f t="shared" si="115"/>
        <v>0</v>
      </c>
      <c r="O787" s="675">
        <f t="shared" si="116"/>
        <v>8.45425</v>
      </c>
      <c r="P787">
        <f t="shared" si="117"/>
        <v>80</v>
      </c>
      <c r="Q787" s="834">
        <f t="shared" si="118"/>
        <v>0.0263852242744063</v>
      </c>
    </row>
    <row r="788" spans="1:17">
      <c r="A788" s="801">
        <v>45536</v>
      </c>
      <c r="B788" s="841">
        <v>667.84</v>
      </c>
      <c r="C788" s="841">
        <v>795080</v>
      </c>
      <c r="D788" s="841">
        <v>3061</v>
      </c>
      <c r="E788" s="841">
        <v>0</v>
      </c>
      <c r="F788" s="841">
        <v>0</v>
      </c>
      <c r="G788" s="841">
        <v>18</v>
      </c>
      <c r="H788" s="841">
        <v>57</v>
      </c>
      <c r="I788" s="841">
        <v>4</v>
      </c>
      <c r="J788" s="830">
        <f t="shared" si="112"/>
        <v>0.0038499270513659</v>
      </c>
      <c r="K788" s="831">
        <f t="shared" si="113"/>
        <v>0.218177066318197</v>
      </c>
      <c r="L788" s="809">
        <f t="shared" si="111"/>
        <v>0.839965789606077</v>
      </c>
      <c r="M788" s="839">
        <f t="shared" si="114"/>
        <v>0</v>
      </c>
      <c r="N788" s="840">
        <f t="shared" si="115"/>
        <v>0</v>
      </c>
      <c r="O788" s="675">
        <f t="shared" si="116"/>
        <v>8.90453333333333</v>
      </c>
      <c r="P788">
        <f t="shared" si="117"/>
        <v>75</v>
      </c>
      <c r="Q788" s="834">
        <f t="shared" si="118"/>
        <v>0.0245017967984319</v>
      </c>
    </row>
    <row r="789" spans="1:17">
      <c r="A789" s="801">
        <v>45537</v>
      </c>
      <c r="B789" s="841">
        <v>674.75</v>
      </c>
      <c r="C789" s="841">
        <v>797852</v>
      </c>
      <c r="D789" s="841">
        <v>2997</v>
      </c>
      <c r="E789" s="841">
        <v>0</v>
      </c>
      <c r="F789" s="841">
        <v>0</v>
      </c>
      <c r="G789" s="841">
        <v>17</v>
      </c>
      <c r="H789" s="841">
        <v>46</v>
      </c>
      <c r="I789" s="841">
        <v>3</v>
      </c>
      <c r="J789" s="830">
        <f t="shared" si="112"/>
        <v>0.00375633576151968</v>
      </c>
      <c r="K789" s="831">
        <f t="shared" si="113"/>
        <v>0.225141808475142</v>
      </c>
      <c r="L789" s="809">
        <f t="shared" si="111"/>
        <v>0.84570822658839</v>
      </c>
      <c r="M789" s="839">
        <f t="shared" si="114"/>
        <v>0</v>
      </c>
      <c r="N789" s="840">
        <f t="shared" si="115"/>
        <v>0</v>
      </c>
      <c r="O789" s="675">
        <f t="shared" si="116"/>
        <v>10.7103174603175</v>
      </c>
      <c r="P789">
        <f t="shared" si="117"/>
        <v>63</v>
      </c>
      <c r="Q789" s="834">
        <f t="shared" si="118"/>
        <v>0.021021021021021</v>
      </c>
    </row>
    <row r="790" spans="1:17">
      <c r="A790" s="801">
        <v>45538</v>
      </c>
      <c r="B790" s="841">
        <v>675.55</v>
      </c>
      <c r="C790" s="841">
        <v>888962</v>
      </c>
      <c r="D790" s="841">
        <v>3029</v>
      </c>
      <c r="E790" s="841">
        <v>0</v>
      </c>
      <c r="F790" s="841">
        <v>0</v>
      </c>
      <c r="G790" s="841">
        <v>13</v>
      </c>
      <c r="H790" s="841">
        <v>36</v>
      </c>
      <c r="I790" s="841">
        <v>4</v>
      </c>
      <c r="J790" s="830">
        <f t="shared" ref="J790:J819" si="119">D790/C790</f>
        <v>0.00340734474589465</v>
      </c>
      <c r="K790" s="831">
        <f t="shared" ref="K790:K819" si="120">B790/D790</f>
        <v>0.223027401782767</v>
      </c>
      <c r="L790" s="809">
        <f t="shared" si="111"/>
        <v>0.759931245655045</v>
      </c>
      <c r="M790" s="839">
        <f t="shared" ref="M790:M819" si="121">F790/B790</f>
        <v>0</v>
      </c>
      <c r="N790" s="840">
        <f t="shared" ref="N790:N819" si="122">E790/D790</f>
        <v>0</v>
      </c>
      <c r="O790" s="675">
        <f t="shared" ref="O790:O819" si="123">B790/(G790+H790)</f>
        <v>13.7867346938776</v>
      </c>
      <c r="P790">
        <f t="shared" ref="P790:P819" si="124">G790+H790</f>
        <v>49</v>
      </c>
      <c r="Q790" s="834">
        <f t="shared" ref="Q790:Q819" si="125">P790/D790</f>
        <v>0.0161769560911192</v>
      </c>
    </row>
    <row r="791" spans="1:17">
      <c r="A791" s="801">
        <v>45539</v>
      </c>
      <c r="B791" s="841">
        <v>675.53</v>
      </c>
      <c r="C791" s="841">
        <v>896644</v>
      </c>
      <c r="D791" s="841">
        <v>3034</v>
      </c>
      <c r="E791" s="841">
        <v>0</v>
      </c>
      <c r="F791" s="841">
        <v>0</v>
      </c>
      <c r="G791" s="841">
        <v>11</v>
      </c>
      <c r="H791" s="841">
        <v>46</v>
      </c>
      <c r="I791" s="841">
        <v>3</v>
      </c>
      <c r="J791" s="830">
        <f t="shared" si="119"/>
        <v>0.00338372865931183</v>
      </c>
      <c r="K791" s="831">
        <f t="shared" si="120"/>
        <v>0.222653263019117</v>
      </c>
      <c r="L791" s="809">
        <f t="shared" si="111"/>
        <v>0.753398227167081</v>
      </c>
      <c r="M791" s="839">
        <f t="shared" si="121"/>
        <v>0</v>
      </c>
      <c r="N791" s="840">
        <f t="shared" si="122"/>
        <v>0</v>
      </c>
      <c r="O791" s="675">
        <f t="shared" si="123"/>
        <v>11.8514035087719</v>
      </c>
      <c r="P791">
        <f t="shared" si="124"/>
        <v>57</v>
      </c>
      <c r="Q791" s="834">
        <f t="shared" si="125"/>
        <v>0.0187870797626895</v>
      </c>
    </row>
    <row r="792" spans="1:17">
      <c r="A792" s="801">
        <v>45540</v>
      </c>
      <c r="B792" s="841">
        <v>666.66</v>
      </c>
      <c r="C792" s="841">
        <v>771718</v>
      </c>
      <c r="D792" s="841">
        <v>2783</v>
      </c>
      <c r="E792" s="841">
        <v>3</v>
      </c>
      <c r="F792" s="841">
        <v>16983.9</v>
      </c>
      <c r="G792" s="841">
        <v>20</v>
      </c>
      <c r="H792" s="841">
        <v>60</v>
      </c>
      <c r="I792" s="841">
        <v>1</v>
      </c>
      <c r="J792" s="830">
        <f t="shared" si="119"/>
        <v>0.0036062395849261</v>
      </c>
      <c r="K792" s="831">
        <f t="shared" si="120"/>
        <v>0.239547251167805</v>
      </c>
      <c r="L792" s="809">
        <f t="shared" si="111"/>
        <v>0.863864779621572</v>
      </c>
      <c r="M792" s="839">
        <f t="shared" si="121"/>
        <v>25.4761047610476</v>
      </c>
      <c r="N792" s="840">
        <f t="shared" si="122"/>
        <v>0.00107797340998922</v>
      </c>
      <c r="O792" s="675">
        <f t="shared" si="123"/>
        <v>8.33325</v>
      </c>
      <c r="P792">
        <f t="shared" si="124"/>
        <v>80</v>
      </c>
      <c r="Q792" s="834">
        <f t="shared" si="125"/>
        <v>0.0287459575997125</v>
      </c>
    </row>
    <row r="793" spans="1:17">
      <c r="A793" s="801">
        <v>45541</v>
      </c>
      <c r="B793" s="841">
        <v>667.2</v>
      </c>
      <c r="C793" s="841">
        <v>880307</v>
      </c>
      <c r="D793" s="841">
        <v>2818</v>
      </c>
      <c r="E793" s="841">
        <v>0</v>
      </c>
      <c r="F793" s="841">
        <v>0</v>
      </c>
      <c r="G793" s="841">
        <v>21</v>
      </c>
      <c r="H793" s="841">
        <v>58</v>
      </c>
      <c r="I793" s="841">
        <v>3</v>
      </c>
      <c r="J793" s="830">
        <f t="shared" si="119"/>
        <v>0.00320115596036383</v>
      </c>
      <c r="K793" s="831">
        <f t="shared" si="120"/>
        <v>0.236763662171753</v>
      </c>
      <c r="L793" s="809">
        <f t="shared" si="111"/>
        <v>0.757917408358675</v>
      </c>
      <c r="M793" s="839">
        <f t="shared" si="121"/>
        <v>0</v>
      </c>
      <c r="N793" s="840">
        <f t="shared" si="122"/>
        <v>0</v>
      </c>
      <c r="O793" s="675">
        <f t="shared" si="123"/>
        <v>8.44556962025317</v>
      </c>
      <c r="P793">
        <f t="shared" si="124"/>
        <v>79</v>
      </c>
      <c r="Q793" s="834">
        <f t="shared" si="125"/>
        <v>0.0280340667139815</v>
      </c>
    </row>
    <row r="794" spans="1:17">
      <c r="A794" s="801">
        <v>45542</v>
      </c>
      <c r="B794" s="841">
        <v>676.66</v>
      </c>
      <c r="C794" s="841">
        <v>759980</v>
      </c>
      <c r="D794" s="841">
        <v>3195</v>
      </c>
      <c r="E794" s="841">
        <v>0</v>
      </c>
      <c r="F794" s="841">
        <v>0</v>
      </c>
      <c r="G794" s="841">
        <v>21</v>
      </c>
      <c r="H794" s="841">
        <v>61</v>
      </c>
      <c r="I794" s="841">
        <v>1</v>
      </c>
      <c r="J794" s="830">
        <f t="shared" si="119"/>
        <v>0.00420405800152636</v>
      </c>
      <c r="K794" s="831">
        <f t="shared" si="120"/>
        <v>0.211787167449139</v>
      </c>
      <c r="L794" s="809">
        <f t="shared" si="111"/>
        <v>0.890365535935156</v>
      </c>
      <c r="M794" s="839">
        <f t="shared" si="121"/>
        <v>0</v>
      </c>
      <c r="N794" s="840">
        <f t="shared" si="122"/>
        <v>0</v>
      </c>
      <c r="O794" s="675">
        <f t="shared" si="123"/>
        <v>8.2519512195122</v>
      </c>
      <c r="P794">
        <f t="shared" si="124"/>
        <v>82</v>
      </c>
      <c r="Q794" s="834">
        <f t="shared" si="125"/>
        <v>0.0256651017214398</v>
      </c>
    </row>
    <row r="795" spans="1:17">
      <c r="A795" s="801">
        <v>45543</v>
      </c>
      <c r="B795" s="841">
        <v>365.8</v>
      </c>
      <c r="C795" s="841">
        <v>336359</v>
      </c>
      <c r="D795" s="841">
        <v>1488</v>
      </c>
      <c r="E795" s="841">
        <v>0</v>
      </c>
      <c r="F795" s="841">
        <v>0</v>
      </c>
      <c r="G795" s="841">
        <v>8</v>
      </c>
      <c r="H795" s="841">
        <v>31</v>
      </c>
      <c r="I795" s="841">
        <v>3</v>
      </c>
      <c r="J795" s="830">
        <f t="shared" si="119"/>
        <v>0.00442384476110346</v>
      </c>
      <c r="K795" s="831">
        <f t="shared" si="120"/>
        <v>0.245833333333333</v>
      </c>
      <c r="L795" s="809">
        <f t="shared" si="111"/>
        <v>1.08752850377127</v>
      </c>
      <c r="M795" s="839">
        <f t="shared" si="121"/>
        <v>0</v>
      </c>
      <c r="N795" s="840">
        <f t="shared" si="122"/>
        <v>0</v>
      </c>
      <c r="O795" s="675">
        <f t="shared" si="123"/>
        <v>9.37948717948718</v>
      </c>
      <c r="P795">
        <f t="shared" si="124"/>
        <v>39</v>
      </c>
      <c r="Q795" s="834">
        <f t="shared" si="125"/>
        <v>0.0262096774193548</v>
      </c>
    </row>
    <row r="796" spans="1:17">
      <c r="A796" s="801">
        <v>45544</v>
      </c>
      <c r="B796" s="841">
        <v>658.53</v>
      </c>
      <c r="C796" s="841">
        <v>540809</v>
      </c>
      <c r="D796" s="841">
        <v>2140</v>
      </c>
      <c r="E796" s="841">
        <v>0</v>
      </c>
      <c r="F796" s="841">
        <v>0</v>
      </c>
      <c r="G796" s="841">
        <v>13</v>
      </c>
      <c r="H796" s="841">
        <v>31</v>
      </c>
      <c r="I796" s="841">
        <v>0</v>
      </c>
      <c r="J796" s="830">
        <f t="shared" si="119"/>
        <v>0.00395703473869703</v>
      </c>
      <c r="K796" s="831">
        <f t="shared" si="120"/>
        <v>0.307724299065421</v>
      </c>
      <c r="L796" s="809">
        <f t="shared" si="111"/>
        <v>1.21767574134306</v>
      </c>
      <c r="M796" s="839">
        <f t="shared" si="121"/>
        <v>0</v>
      </c>
      <c r="N796" s="840">
        <f t="shared" si="122"/>
        <v>0</v>
      </c>
      <c r="O796" s="675">
        <f t="shared" si="123"/>
        <v>14.9665909090909</v>
      </c>
      <c r="P796">
        <f t="shared" si="124"/>
        <v>44</v>
      </c>
      <c r="Q796" s="834">
        <f t="shared" si="125"/>
        <v>0.0205607476635514</v>
      </c>
    </row>
    <row r="797" spans="1:17">
      <c r="A797" s="801">
        <v>45545</v>
      </c>
      <c r="B797" s="841">
        <v>668.19</v>
      </c>
      <c r="C797" s="841">
        <v>836164</v>
      </c>
      <c r="D797" s="841">
        <v>2743</v>
      </c>
      <c r="E797" s="841">
        <v>1</v>
      </c>
      <c r="F797" s="841">
        <v>10953</v>
      </c>
      <c r="G797" s="841">
        <v>28</v>
      </c>
      <c r="H797" s="841">
        <v>49</v>
      </c>
      <c r="I797" s="841">
        <v>5</v>
      </c>
      <c r="J797" s="830">
        <f t="shared" si="119"/>
        <v>0.00328045694385312</v>
      </c>
      <c r="K797" s="831">
        <f t="shared" si="120"/>
        <v>0.243598250091141</v>
      </c>
      <c r="L797" s="809">
        <f t="shared" si="111"/>
        <v>0.799113571021953</v>
      </c>
      <c r="M797" s="839">
        <f t="shared" si="121"/>
        <v>16.3920441790509</v>
      </c>
      <c r="N797" s="840">
        <f t="shared" si="122"/>
        <v>0.000364564345607</v>
      </c>
      <c r="O797" s="675">
        <f t="shared" si="123"/>
        <v>8.67779220779221</v>
      </c>
      <c r="P797">
        <f t="shared" si="124"/>
        <v>77</v>
      </c>
      <c r="Q797" s="834">
        <f t="shared" si="125"/>
        <v>0.028071454611739</v>
      </c>
    </row>
    <row r="798" spans="1:17">
      <c r="A798" s="801">
        <v>45546</v>
      </c>
      <c r="B798" s="841">
        <v>669.38</v>
      </c>
      <c r="C798" s="841">
        <v>864635</v>
      </c>
      <c r="D798" s="841">
        <v>2772</v>
      </c>
      <c r="E798" s="841">
        <v>0</v>
      </c>
      <c r="F798" s="841">
        <v>0</v>
      </c>
      <c r="G798" s="841">
        <v>20</v>
      </c>
      <c r="H798" s="841">
        <v>43</v>
      </c>
      <c r="I798" s="841">
        <v>1</v>
      </c>
      <c r="J798" s="830">
        <f t="shared" si="119"/>
        <v>0.00320597708859808</v>
      </c>
      <c r="K798" s="831">
        <f t="shared" si="120"/>
        <v>0.241479076479076</v>
      </c>
      <c r="L798" s="809">
        <f t="shared" si="111"/>
        <v>0.774176386567742</v>
      </c>
      <c r="M798" s="839">
        <f t="shared" si="121"/>
        <v>0</v>
      </c>
      <c r="N798" s="840">
        <f t="shared" si="122"/>
        <v>0</v>
      </c>
      <c r="O798" s="675">
        <f t="shared" si="123"/>
        <v>10.6250793650794</v>
      </c>
      <c r="P798">
        <f t="shared" si="124"/>
        <v>63</v>
      </c>
      <c r="Q798" s="834">
        <f t="shared" si="125"/>
        <v>0.0227272727272727</v>
      </c>
    </row>
    <row r="799" spans="1:17">
      <c r="A799" s="801">
        <v>45547</v>
      </c>
      <c r="B799" s="841">
        <v>657.35</v>
      </c>
      <c r="C799" s="841">
        <v>840816</v>
      </c>
      <c r="D799" s="841">
        <v>3102</v>
      </c>
      <c r="E799" s="841">
        <v>0</v>
      </c>
      <c r="F799" s="841">
        <v>0</v>
      </c>
      <c r="G799" s="841">
        <v>19</v>
      </c>
      <c r="H799" s="841">
        <v>46</v>
      </c>
      <c r="I799" s="841">
        <v>4</v>
      </c>
      <c r="J799" s="830">
        <f t="shared" si="119"/>
        <v>0.00368927327738768</v>
      </c>
      <c r="K799" s="831">
        <f t="shared" si="120"/>
        <v>0.211911669890393</v>
      </c>
      <c r="L799" s="809">
        <f t="shared" si="111"/>
        <v>0.781800060893228</v>
      </c>
      <c r="M799" s="839">
        <f t="shared" si="121"/>
        <v>0</v>
      </c>
      <c r="N799" s="840">
        <f t="shared" si="122"/>
        <v>0</v>
      </c>
      <c r="O799" s="675">
        <f t="shared" si="123"/>
        <v>10.1130769230769</v>
      </c>
      <c r="P799">
        <f t="shared" si="124"/>
        <v>65</v>
      </c>
      <c r="Q799" s="834">
        <f t="shared" si="125"/>
        <v>0.0209542230818827</v>
      </c>
    </row>
    <row r="800" spans="1:17">
      <c r="A800" s="801">
        <v>45548</v>
      </c>
      <c r="B800" s="841">
        <v>656.13</v>
      </c>
      <c r="C800" s="841">
        <v>755290</v>
      </c>
      <c r="D800" s="841">
        <v>2859</v>
      </c>
      <c r="E800" s="841">
        <v>0</v>
      </c>
      <c r="F800" s="841">
        <v>0</v>
      </c>
      <c r="G800" s="841">
        <v>25</v>
      </c>
      <c r="H800" s="841">
        <v>50</v>
      </c>
      <c r="I800" s="841">
        <v>2</v>
      </c>
      <c r="J800" s="830">
        <f t="shared" si="119"/>
        <v>0.003785301010208</v>
      </c>
      <c r="K800" s="831">
        <f t="shared" si="120"/>
        <v>0.229496327387198</v>
      </c>
      <c r="L800" s="809">
        <f t="shared" si="111"/>
        <v>0.868712679897788</v>
      </c>
      <c r="M800" s="839">
        <f t="shared" si="121"/>
        <v>0</v>
      </c>
      <c r="N800" s="840">
        <f t="shared" si="122"/>
        <v>0</v>
      </c>
      <c r="O800" s="675">
        <f t="shared" si="123"/>
        <v>8.7484</v>
      </c>
      <c r="P800">
        <f t="shared" si="124"/>
        <v>75</v>
      </c>
      <c r="Q800" s="834">
        <f t="shared" si="125"/>
        <v>0.0262329485834208</v>
      </c>
    </row>
    <row r="801" spans="1:17">
      <c r="A801" s="801">
        <v>45549</v>
      </c>
      <c r="B801" s="841">
        <v>668.08</v>
      </c>
      <c r="C801" s="841">
        <v>734073</v>
      </c>
      <c r="D801" s="841">
        <v>2778</v>
      </c>
      <c r="E801" s="841">
        <v>0</v>
      </c>
      <c r="F801" s="841">
        <v>0</v>
      </c>
      <c r="G801" s="841">
        <v>15</v>
      </c>
      <c r="H801" s="841">
        <v>64</v>
      </c>
      <c r="I801" s="841">
        <v>2</v>
      </c>
      <c r="J801" s="830">
        <f t="shared" si="119"/>
        <v>0.00378436477026127</v>
      </c>
      <c r="K801" s="831">
        <f t="shared" si="120"/>
        <v>0.240489560835133</v>
      </c>
      <c r="L801" s="809">
        <f t="shared" si="111"/>
        <v>0.910100221640082</v>
      </c>
      <c r="M801" s="839">
        <f t="shared" si="121"/>
        <v>0</v>
      </c>
      <c r="N801" s="840">
        <f t="shared" si="122"/>
        <v>0</v>
      </c>
      <c r="O801" s="675">
        <f t="shared" si="123"/>
        <v>8.45670886075949</v>
      </c>
      <c r="P801">
        <f t="shared" si="124"/>
        <v>79</v>
      </c>
      <c r="Q801" s="834">
        <f t="shared" si="125"/>
        <v>0.0284377249820014</v>
      </c>
    </row>
    <row r="802" spans="1:17">
      <c r="A802" s="801">
        <v>45550</v>
      </c>
      <c r="B802" s="841">
        <v>670.78</v>
      </c>
      <c r="C802" s="841">
        <v>806009</v>
      </c>
      <c r="D802" s="841">
        <v>3070</v>
      </c>
      <c r="E802" s="841">
        <v>0</v>
      </c>
      <c r="F802" s="841">
        <v>0</v>
      </c>
      <c r="G802" s="841">
        <v>11</v>
      </c>
      <c r="H802" s="841">
        <v>78</v>
      </c>
      <c r="I802" s="841">
        <v>1</v>
      </c>
      <c r="J802" s="830">
        <f t="shared" si="119"/>
        <v>0.00380889047144635</v>
      </c>
      <c r="K802" s="831">
        <f t="shared" si="120"/>
        <v>0.218495114006515</v>
      </c>
      <c r="L802" s="809">
        <f t="shared" ref="L802:L865" si="126">B802/C802*1000</f>
        <v>0.832223957796997</v>
      </c>
      <c r="M802" s="839">
        <f t="shared" si="121"/>
        <v>0</v>
      </c>
      <c r="N802" s="840">
        <f t="shared" si="122"/>
        <v>0</v>
      </c>
      <c r="O802" s="675">
        <f t="shared" si="123"/>
        <v>7.53685393258427</v>
      </c>
      <c r="P802">
        <f t="shared" si="124"/>
        <v>89</v>
      </c>
      <c r="Q802" s="834">
        <f t="shared" si="125"/>
        <v>0.0289902280130293</v>
      </c>
    </row>
    <row r="803" spans="1:17">
      <c r="A803" s="801">
        <v>45551</v>
      </c>
      <c r="B803" s="841">
        <v>678.63</v>
      </c>
      <c r="C803" s="841">
        <v>904572</v>
      </c>
      <c r="D803" s="841">
        <v>3333</v>
      </c>
      <c r="E803" s="841">
        <v>0</v>
      </c>
      <c r="F803" s="841">
        <v>0</v>
      </c>
      <c r="G803" s="841">
        <v>20</v>
      </c>
      <c r="H803" s="841">
        <v>65</v>
      </c>
      <c r="I803" s="841">
        <v>2</v>
      </c>
      <c r="J803" s="830">
        <f t="shared" si="119"/>
        <v>0.0036846154866611</v>
      </c>
      <c r="K803" s="831">
        <f t="shared" si="120"/>
        <v>0.203609360936094</v>
      </c>
      <c r="L803" s="809">
        <f t="shared" si="126"/>
        <v>0.750222204534299</v>
      </c>
      <c r="M803" s="839">
        <f t="shared" si="121"/>
        <v>0</v>
      </c>
      <c r="N803" s="840">
        <f t="shared" si="122"/>
        <v>0</v>
      </c>
      <c r="O803" s="675">
        <f t="shared" si="123"/>
        <v>7.98388235294118</v>
      </c>
      <c r="P803">
        <f t="shared" si="124"/>
        <v>85</v>
      </c>
      <c r="Q803" s="834">
        <f t="shared" si="125"/>
        <v>0.0255025502550255</v>
      </c>
    </row>
    <row r="804" spans="1:17">
      <c r="A804" s="801">
        <v>45552</v>
      </c>
      <c r="B804" s="841">
        <v>669.26</v>
      </c>
      <c r="C804" s="841">
        <v>831861</v>
      </c>
      <c r="D804" s="841">
        <v>3088</v>
      </c>
      <c r="E804" s="841">
        <v>0</v>
      </c>
      <c r="F804" s="841">
        <v>0</v>
      </c>
      <c r="G804" s="841">
        <v>23</v>
      </c>
      <c r="H804" s="841">
        <v>66</v>
      </c>
      <c r="I804" s="841">
        <v>2</v>
      </c>
      <c r="J804" s="830">
        <f t="shared" si="119"/>
        <v>0.00371215864188849</v>
      </c>
      <c r="K804" s="831">
        <f t="shared" si="120"/>
        <v>0.216729274611399</v>
      </c>
      <c r="L804" s="809">
        <f t="shared" si="126"/>
        <v>0.804533449698928</v>
      </c>
      <c r="M804" s="839">
        <f t="shared" si="121"/>
        <v>0</v>
      </c>
      <c r="N804" s="840">
        <f t="shared" si="122"/>
        <v>0</v>
      </c>
      <c r="O804" s="675">
        <f t="shared" si="123"/>
        <v>7.51977528089888</v>
      </c>
      <c r="P804">
        <f t="shared" si="124"/>
        <v>89</v>
      </c>
      <c r="Q804" s="834">
        <f t="shared" si="125"/>
        <v>0.0288212435233161</v>
      </c>
    </row>
    <row r="805" spans="1:17">
      <c r="A805" s="801">
        <v>45553</v>
      </c>
      <c r="B805" s="841">
        <v>670.14</v>
      </c>
      <c r="C805" s="841">
        <v>1006276</v>
      </c>
      <c r="D805" s="841">
        <v>3323</v>
      </c>
      <c r="E805" s="841">
        <v>0</v>
      </c>
      <c r="F805" s="841">
        <v>0</v>
      </c>
      <c r="G805" s="841">
        <v>27</v>
      </c>
      <c r="H805" s="841">
        <v>55</v>
      </c>
      <c r="I805" s="841">
        <v>3</v>
      </c>
      <c r="J805" s="830">
        <f t="shared" si="119"/>
        <v>0.00330227492258585</v>
      </c>
      <c r="K805" s="831">
        <f t="shared" si="120"/>
        <v>0.201667168221487</v>
      </c>
      <c r="L805" s="809">
        <f t="shared" si="126"/>
        <v>0.665960432326718</v>
      </c>
      <c r="M805" s="839">
        <f t="shared" si="121"/>
        <v>0</v>
      </c>
      <c r="N805" s="840">
        <f t="shared" si="122"/>
        <v>0</v>
      </c>
      <c r="O805" s="675">
        <f t="shared" si="123"/>
        <v>8.17243902439024</v>
      </c>
      <c r="P805">
        <f t="shared" si="124"/>
        <v>82</v>
      </c>
      <c r="Q805" s="834">
        <f t="shared" si="125"/>
        <v>0.0246764971411375</v>
      </c>
    </row>
    <row r="806" spans="1:17">
      <c r="A806" s="801">
        <v>45554</v>
      </c>
      <c r="B806" s="841">
        <v>669.26</v>
      </c>
      <c r="C806" s="841">
        <v>1044533</v>
      </c>
      <c r="D806" s="841">
        <v>2980</v>
      </c>
      <c r="E806" s="841">
        <v>0</v>
      </c>
      <c r="F806" s="841">
        <v>0</v>
      </c>
      <c r="G806" s="841">
        <v>15</v>
      </c>
      <c r="H806" s="841">
        <v>51</v>
      </c>
      <c r="I806" s="841">
        <v>2</v>
      </c>
      <c r="J806" s="830">
        <f t="shared" si="119"/>
        <v>0.00285294959565662</v>
      </c>
      <c r="K806" s="831">
        <f t="shared" si="120"/>
        <v>0.22458389261745</v>
      </c>
      <c r="L806" s="809">
        <f t="shared" si="126"/>
        <v>0.640726525633944</v>
      </c>
      <c r="M806" s="839">
        <f t="shared" si="121"/>
        <v>0</v>
      </c>
      <c r="N806" s="840">
        <f t="shared" si="122"/>
        <v>0</v>
      </c>
      <c r="O806" s="675">
        <f t="shared" si="123"/>
        <v>10.140303030303</v>
      </c>
      <c r="P806">
        <f t="shared" si="124"/>
        <v>66</v>
      </c>
      <c r="Q806" s="834">
        <f t="shared" si="125"/>
        <v>0.0221476510067114</v>
      </c>
    </row>
    <row r="807" spans="1:17">
      <c r="A807" s="801">
        <v>45555</v>
      </c>
      <c r="B807" s="841">
        <v>668.17</v>
      </c>
      <c r="C807" s="841">
        <v>961216</v>
      </c>
      <c r="D807" s="841">
        <v>2856</v>
      </c>
      <c r="E807" s="841">
        <v>0</v>
      </c>
      <c r="F807" s="841">
        <v>0</v>
      </c>
      <c r="G807" s="841">
        <v>18</v>
      </c>
      <c r="H807" s="841">
        <v>51</v>
      </c>
      <c r="I807" s="841">
        <v>4</v>
      </c>
      <c r="J807" s="830">
        <f t="shared" si="119"/>
        <v>0.00297123643385046</v>
      </c>
      <c r="K807" s="831">
        <f t="shared" si="120"/>
        <v>0.233953081232493</v>
      </c>
      <c r="L807" s="809">
        <f t="shared" si="126"/>
        <v>0.695129918769559</v>
      </c>
      <c r="M807" s="839">
        <f t="shared" si="121"/>
        <v>0</v>
      </c>
      <c r="N807" s="840">
        <f t="shared" si="122"/>
        <v>0</v>
      </c>
      <c r="O807" s="675">
        <f t="shared" si="123"/>
        <v>9.6836231884058</v>
      </c>
      <c r="P807">
        <f t="shared" si="124"/>
        <v>69</v>
      </c>
      <c r="Q807" s="834">
        <f t="shared" si="125"/>
        <v>0.0241596638655462</v>
      </c>
    </row>
    <row r="808" spans="1:17">
      <c r="A808" s="801">
        <v>45556</v>
      </c>
      <c r="B808" s="841">
        <v>658.39</v>
      </c>
      <c r="C808" s="841">
        <v>892651</v>
      </c>
      <c r="D808" s="841">
        <v>3441</v>
      </c>
      <c r="E808" s="841">
        <v>0</v>
      </c>
      <c r="F808" s="841">
        <v>0</v>
      </c>
      <c r="G808" s="841">
        <v>25</v>
      </c>
      <c r="H808" s="841">
        <v>59</v>
      </c>
      <c r="I808" s="841">
        <v>1</v>
      </c>
      <c r="J808" s="830">
        <f t="shared" si="119"/>
        <v>0.00385480999853246</v>
      </c>
      <c r="K808" s="831">
        <f t="shared" si="120"/>
        <v>0.191336820691659</v>
      </c>
      <c r="L808" s="809">
        <f t="shared" si="126"/>
        <v>0.737567089489621</v>
      </c>
      <c r="M808" s="839">
        <f t="shared" si="121"/>
        <v>0</v>
      </c>
      <c r="N808" s="840">
        <f t="shared" si="122"/>
        <v>0</v>
      </c>
      <c r="O808" s="675">
        <f t="shared" si="123"/>
        <v>7.83797619047619</v>
      </c>
      <c r="P808">
        <f t="shared" si="124"/>
        <v>84</v>
      </c>
      <c r="Q808" s="834">
        <f t="shared" si="125"/>
        <v>0.024411508282476</v>
      </c>
    </row>
    <row r="809" spans="1:17">
      <c r="A809" s="801">
        <v>45557</v>
      </c>
      <c r="B809" s="841">
        <v>282.6</v>
      </c>
      <c r="C809" s="841">
        <v>517695</v>
      </c>
      <c r="D809" s="841">
        <v>1392</v>
      </c>
      <c r="E809" s="841">
        <v>1</v>
      </c>
      <c r="F809" s="841">
        <v>9134</v>
      </c>
      <c r="G809" s="841">
        <v>30</v>
      </c>
      <c r="H809" s="841">
        <v>39</v>
      </c>
      <c r="I809" s="841">
        <v>4</v>
      </c>
      <c r="J809" s="830">
        <f t="shared" si="119"/>
        <v>0.00268884188566627</v>
      </c>
      <c r="K809" s="831">
        <f t="shared" si="120"/>
        <v>0.20301724137931</v>
      </c>
      <c r="L809" s="809">
        <f t="shared" si="126"/>
        <v>0.545881262133109</v>
      </c>
      <c r="M809" s="839">
        <f t="shared" si="121"/>
        <v>32.3213021939137</v>
      </c>
      <c r="N809" s="840">
        <f t="shared" si="122"/>
        <v>0.000718390804597701</v>
      </c>
      <c r="O809" s="675">
        <f t="shared" si="123"/>
        <v>4.09565217391304</v>
      </c>
      <c r="P809">
        <f t="shared" si="124"/>
        <v>69</v>
      </c>
      <c r="Q809" s="834">
        <f t="shared" si="125"/>
        <v>0.0495689655172414</v>
      </c>
    </row>
    <row r="810" spans="1:17">
      <c r="A810" s="801">
        <v>45558</v>
      </c>
      <c r="B810" s="841">
        <v>282.16</v>
      </c>
      <c r="C810" s="841">
        <v>511168</v>
      </c>
      <c r="D810" s="841">
        <v>1306</v>
      </c>
      <c r="E810" s="841">
        <v>0</v>
      </c>
      <c r="F810" s="841">
        <v>0</v>
      </c>
      <c r="G810" s="841">
        <v>14</v>
      </c>
      <c r="H810" s="841">
        <v>28</v>
      </c>
      <c r="I810" s="841">
        <v>1</v>
      </c>
      <c r="J810" s="830">
        <f t="shared" si="119"/>
        <v>0.00255493301615125</v>
      </c>
      <c r="K810" s="831">
        <f t="shared" si="120"/>
        <v>0.216049004594181</v>
      </c>
      <c r="L810" s="809">
        <f t="shared" si="126"/>
        <v>0.551990734944285</v>
      </c>
      <c r="M810" s="839">
        <f t="shared" si="121"/>
        <v>0</v>
      </c>
      <c r="N810" s="840">
        <f t="shared" si="122"/>
        <v>0</v>
      </c>
      <c r="O810" s="675">
        <f t="shared" si="123"/>
        <v>6.71809523809524</v>
      </c>
      <c r="P810">
        <f t="shared" si="124"/>
        <v>42</v>
      </c>
      <c r="Q810" s="834">
        <f t="shared" si="125"/>
        <v>0.0321592649310873</v>
      </c>
    </row>
    <row r="811" spans="1:17">
      <c r="A811" s="801">
        <v>45559</v>
      </c>
      <c r="B811" s="841">
        <v>270.71</v>
      </c>
      <c r="C811" s="841">
        <v>486699</v>
      </c>
      <c r="D811" s="841">
        <v>1170</v>
      </c>
      <c r="E811" s="841">
        <v>0</v>
      </c>
      <c r="F811" s="841">
        <v>0</v>
      </c>
      <c r="G811" s="841">
        <v>10</v>
      </c>
      <c r="H811" s="841">
        <v>26</v>
      </c>
      <c r="I811" s="841">
        <v>2</v>
      </c>
      <c r="J811" s="830">
        <f t="shared" si="119"/>
        <v>0.00240394987456313</v>
      </c>
      <c r="K811" s="831">
        <f t="shared" si="120"/>
        <v>0.231376068376068</v>
      </c>
      <c r="L811" s="809">
        <f t="shared" si="126"/>
        <v>0.556216470549559</v>
      </c>
      <c r="M811" s="839">
        <f t="shared" si="121"/>
        <v>0</v>
      </c>
      <c r="N811" s="840">
        <f t="shared" si="122"/>
        <v>0</v>
      </c>
      <c r="O811" s="675">
        <f t="shared" si="123"/>
        <v>7.51972222222222</v>
      </c>
      <c r="P811">
        <f t="shared" si="124"/>
        <v>36</v>
      </c>
      <c r="Q811" s="834">
        <f t="shared" si="125"/>
        <v>0.0307692307692308</v>
      </c>
    </row>
    <row r="812" spans="1:17">
      <c r="A812" s="801">
        <v>45560</v>
      </c>
      <c r="B812" s="841">
        <v>277.92</v>
      </c>
      <c r="C812" s="841">
        <v>398237</v>
      </c>
      <c r="D812" s="841">
        <v>1175</v>
      </c>
      <c r="E812" s="841">
        <v>0</v>
      </c>
      <c r="F812" s="841">
        <v>0</v>
      </c>
      <c r="G812" s="841">
        <v>11</v>
      </c>
      <c r="H812" s="841">
        <v>17</v>
      </c>
      <c r="I812" s="841">
        <v>4</v>
      </c>
      <c r="J812" s="830">
        <f t="shared" si="119"/>
        <v>0.00295050434791343</v>
      </c>
      <c r="K812" s="831">
        <f t="shared" si="120"/>
        <v>0.236527659574468</v>
      </c>
      <c r="L812" s="809">
        <f t="shared" si="126"/>
        <v>0.697875887976255</v>
      </c>
      <c r="M812" s="839">
        <f t="shared" si="121"/>
        <v>0</v>
      </c>
      <c r="N812" s="840">
        <f t="shared" si="122"/>
        <v>0</v>
      </c>
      <c r="O812" s="675">
        <f t="shared" si="123"/>
        <v>9.92571428571429</v>
      </c>
      <c r="P812">
        <f t="shared" si="124"/>
        <v>28</v>
      </c>
      <c r="Q812" s="834">
        <f t="shared" si="125"/>
        <v>0.0238297872340426</v>
      </c>
    </row>
    <row r="813" spans="1:17">
      <c r="A813" s="801">
        <v>45561</v>
      </c>
      <c r="B813" s="841">
        <v>281.57</v>
      </c>
      <c r="C813" s="841">
        <v>433378</v>
      </c>
      <c r="D813" s="841">
        <v>1182</v>
      </c>
      <c r="E813" s="841">
        <v>0</v>
      </c>
      <c r="F813" s="841">
        <v>0</v>
      </c>
      <c r="G813" s="841">
        <v>14</v>
      </c>
      <c r="H813" s="841">
        <v>27</v>
      </c>
      <c r="I813" s="841">
        <v>2</v>
      </c>
      <c r="J813" s="830">
        <f t="shared" si="119"/>
        <v>0.00272741117454047</v>
      </c>
      <c r="K813" s="831">
        <f t="shared" si="120"/>
        <v>0.23821489001692</v>
      </c>
      <c r="L813" s="809">
        <f t="shared" si="126"/>
        <v>0.649709952974078</v>
      </c>
      <c r="M813" s="839">
        <f t="shared" si="121"/>
        <v>0</v>
      </c>
      <c r="N813" s="840">
        <f t="shared" si="122"/>
        <v>0</v>
      </c>
      <c r="O813" s="675">
        <f t="shared" si="123"/>
        <v>6.86756097560976</v>
      </c>
      <c r="P813">
        <f t="shared" si="124"/>
        <v>41</v>
      </c>
      <c r="Q813" s="834">
        <f t="shared" si="125"/>
        <v>0.0346869712351946</v>
      </c>
    </row>
    <row r="814" spans="1:17">
      <c r="A814" s="801">
        <v>45562</v>
      </c>
      <c r="B814" s="841">
        <v>282.15</v>
      </c>
      <c r="C814" s="841">
        <v>428855</v>
      </c>
      <c r="D814" s="841">
        <v>1103</v>
      </c>
      <c r="E814" s="841">
        <v>0</v>
      </c>
      <c r="F814" s="841">
        <v>0</v>
      </c>
      <c r="G814" s="841">
        <v>12</v>
      </c>
      <c r="H814" s="841">
        <v>32</v>
      </c>
      <c r="I814" s="841">
        <v>3</v>
      </c>
      <c r="J814" s="830">
        <f>D815/C815</f>
        <v>0.00296131133833853</v>
      </c>
      <c r="K814" s="831">
        <f>B815/D815</f>
        <v>0.231957983193277</v>
      </c>
      <c r="L814" s="809">
        <f t="shared" si="126"/>
        <v>0.657914679786874</v>
      </c>
      <c r="M814" s="839">
        <f>F815/B815</f>
        <v>0</v>
      </c>
      <c r="N814" s="840">
        <f>E815/D815</f>
        <v>0</v>
      </c>
      <c r="O814" s="675">
        <f>B815/(G815+H815)</f>
        <v>5.5206</v>
      </c>
      <c r="P814">
        <f>G815+H815</f>
        <v>50</v>
      </c>
      <c r="Q814" s="834">
        <f>P814/D815</f>
        <v>0.0420168067226891</v>
      </c>
    </row>
    <row r="815" spans="1:17">
      <c r="A815" s="801">
        <v>45563</v>
      </c>
      <c r="B815" s="841">
        <v>276.03</v>
      </c>
      <c r="C815" s="841">
        <v>401849</v>
      </c>
      <c r="D815" s="841">
        <v>1190</v>
      </c>
      <c r="E815" s="841">
        <v>0</v>
      </c>
      <c r="F815" s="841">
        <v>0</v>
      </c>
      <c r="G815" s="841">
        <v>16</v>
      </c>
      <c r="H815" s="841">
        <v>34</v>
      </c>
      <c r="I815" s="841">
        <v>1</v>
      </c>
      <c r="J815" s="830">
        <f>D816/C816</f>
        <v>0.00336589248245424</v>
      </c>
      <c r="K815" s="831">
        <f>B816/D816</f>
        <v>0.238194325021496</v>
      </c>
      <c r="L815" s="809">
        <f t="shared" si="126"/>
        <v>0.68689980564839</v>
      </c>
      <c r="M815" s="839">
        <f>F816/B816</f>
        <v>0</v>
      </c>
      <c r="N815" s="840">
        <f>E816/D816</f>
        <v>0</v>
      </c>
      <c r="O815" s="675">
        <f>B816/(G816+H816)</f>
        <v>6.59571428571429</v>
      </c>
      <c r="P815">
        <f>G816+H816</f>
        <v>42</v>
      </c>
      <c r="Q815" s="834">
        <f>P815/D816</f>
        <v>0.0361134995700774</v>
      </c>
    </row>
    <row r="816" spans="1:17">
      <c r="A816" s="801">
        <v>45564</v>
      </c>
      <c r="B816" s="841">
        <v>277.02</v>
      </c>
      <c r="C816" s="841">
        <v>345525</v>
      </c>
      <c r="D816" s="841">
        <v>1163</v>
      </c>
      <c r="E816" s="841">
        <v>0</v>
      </c>
      <c r="F816" s="841">
        <v>0</v>
      </c>
      <c r="G816" s="841">
        <v>12</v>
      </c>
      <c r="H816" s="841">
        <v>30</v>
      </c>
      <c r="I816" s="841">
        <v>1</v>
      </c>
      <c r="J816" s="830">
        <f t="shared" si="119"/>
        <v>0.00336589248245424</v>
      </c>
      <c r="K816" s="831">
        <f t="shared" si="120"/>
        <v>0.238194325021496</v>
      </c>
      <c r="L816" s="809">
        <f t="shared" si="126"/>
        <v>0.801736487953115</v>
      </c>
      <c r="M816" s="839">
        <f t="shared" si="121"/>
        <v>0</v>
      </c>
      <c r="N816" s="840">
        <f t="shared" si="122"/>
        <v>0</v>
      </c>
      <c r="O816" s="675">
        <f t="shared" si="123"/>
        <v>6.59571428571429</v>
      </c>
      <c r="P816">
        <f t="shared" si="124"/>
        <v>42</v>
      </c>
      <c r="Q816" s="834">
        <f t="shared" si="125"/>
        <v>0.0361134995700774</v>
      </c>
    </row>
    <row r="817" spans="1:17">
      <c r="A817" s="801">
        <v>45565</v>
      </c>
      <c r="B817" s="841">
        <v>279.04</v>
      </c>
      <c r="C817" s="841">
        <v>411864</v>
      </c>
      <c r="D817" s="841">
        <v>1098</v>
      </c>
      <c r="E817" s="841">
        <v>0</v>
      </c>
      <c r="F817" s="841">
        <v>0</v>
      </c>
      <c r="G817" s="841">
        <v>19</v>
      </c>
      <c r="H817" s="841">
        <v>21</v>
      </c>
      <c r="I817" s="841">
        <v>1</v>
      </c>
      <c r="J817" s="830">
        <f t="shared" si="119"/>
        <v>0.00266592855894179</v>
      </c>
      <c r="K817" s="831">
        <f t="shared" si="120"/>
        <v>0.254134790528233</v>
      </c>
      <c r="L817" s="809">
        <f t="shared" si="126"/>
        <v>0.677505195889905</v>
      </c>
      <c r="M817" s="839">
        <f t="shared" si="121"/>
        <v>0</v>
      </c>
      <c r="N817" s="840">
        <f t="shared" si="122"/>
        <v>0</v>
      </c>
      <c r="O817" s="675">
        <f t="shared" si="123"/>
        <v>6.976</v>
      </c>
      <c r="P817">
        <f t="shared" si="124"/>
        <v>40</v>
      </c>
      <c r="Q817" s="834">
        <f t="shared" si="125"/>
        <v>0.0364298724954463</v>
      </c>
    </row>
    <row r="818" spans="1:17">
      <c r="A818" s="801">
        <v>45566</v>
      </c>
      <c r="B818" s="841">
        <v>280.17</v>
      </c>
      <c r="C818" s="841">
        <v>418880</v>
      </c>
      <c r="D818" s="841">
        <v>1203</v>
      </c>
      <c r="E818" s="841">
        <v>0</v>
      </c>
      <c r="F818" s="841">
        <v>0</v>
      </c>
      <c r="G818" s="841">
        <v>13</v>
      </c>
      <c r="H818" s="841">
        <v>28</v>
      </c>
      <c r="I818" s="841">
        <v>1</v>
      </c>
      <c r="J818" s="830">
        <f t="shared" si="119"/>
        <v>0.00287194423223835</v>
      </c>
      <c r="K818" s="831">
        <f t="shared" si="120"/>
        <v>0.2328927680798</v>
      </c>
      <c r="L818" s="809">
        <f t="shared" si="126"/>
        <v>0.668855042016807</v>
      </c>
      <c r="M818" s="839">
        <f t="shared" si="121"/>
        <v>0</v>
      </c>
      <c r="N818" s="840">
        <f t="shared" si="122"/>
        <v>0</v>
      </c>
      <c r="O818" s="675">
        <f t="shared" si="123"/>
        <v>6.83341463414634</v>
      </c>
      <c r="P818">
        <f t="shared" si="124"/>
        <v>41</v>
      </c>
      <c r="Q818" s="834">
        <f t="shared" si="125"/>
        <v>0.0340814630091438</v>
      </c>
    </row>
    <row r="819" spans="1:17">
      <c r="A819" s="801">
        <v>45567</v>
      </c>
      <c r="B819" s="841">
        <v>281.61</v>
      </c>
      <c r="C819" s="841">
        <v>467059</v>
      </c>
      <c r="D819" s="841">
        <v>1285</v>
      </c>
      <c r="E819" s="841">
        <v>0</v>
      </c>
      <c r="F819" s="841">
        <v>0</v>
      </c>
      <c r="G819" s="841">
        <v>17</v>
      </c>
      <c r="H819" s="841">
        <v>20</v>
      </c>
      <c r="I819" s="841">
        <v>1</v>
      </c>
      <c r="J819" s="830">
        <f t="shared" si="119"/>
        <v>0.00275125840632554</v>
      </c>
      <c r="K819" s="831">
        <f t="shared" si="120"/>
        <v>0.219151750972763</v>
      </c>
      <c r="L819" s="809">
        <f t="shared" si="126"/>
        <v>0.602943097124774</v>
      </c>
      <c r="M819" s="839">
        <f t="shared" si="121"/>
        <v>0</v>
      </c>
      <c r="N819" s="840">
        <f t="shared" si="122"/>
        <v>0</v>
      </c>
      <c r="O819" s="675">
        <f t="shared" si="123"/>
        <v>7.61108108108108</v>
      </c>
      <c r="P819">
        <f t="shared" si="124"/>
        <v>37</v>
      </c>
      <c r="Q819" s="834">
        <f t="shared" si="125"/>
        <v>0.0287937743190661</v>
      </c>
    </row>
    <row r="820" spans="1:17">
      <c r="A820" s="801">
        <v>45568</v>
      </c>
      <c r="B820" s="841">
        <v>281.73</v>
      </c>
      <c r="C820" s="841">
        <v>486299</v>
      </c>
      <c r="D820" s="841">
        <v>1230</v>
      </c>
      <c r="E820" s="841">
        <v>0</v>
      </c>
      <c r="F820" s="841">
        <v>0</v>
      </c>
      <c r="G820" s="841">
        <v>47</v>
      </c>
      <c r="H820" s="841">
        <v>29</v>
      </c>
      <c r="I820" s="841">
        <v>1</v>
      </c>
      <c r="J820" s="830">
        <f t="shared" ref="J820:J866" si="127">D820/C820</f>
        <v>0.00252930810057187</v>
      </c>
      <c r="K820" s="831">
        <f t="shared" ref="K820:K866" si="128">B820/D820</f>
        <v>0.229048780487805</v>
      </c>
      <c r="L820" s="809">
        <f t="shared" si="126"/>
        <v>0.579334935913913</v>
      </c>
      <c r="M820" s="839">
        <f t="shared" ref="M820:M866" si="129">F820/B820</f>
        <v>0</v>
      </c>
      <c r="N820" s="840">
        <f t="shared" ref="N820:N866" si="130">E820/D820</f>
        <v>0</v>
      </c>
      <c r="O820" s="675">
        <f t="shared" ref="O820:O866" si="131">B820/(G820+H820)</f>
        <v>3.70697368421053</v>
      </c>
      <c r="P820">
        <f t="shared" ref="P820:P866" si="132">G820+H820</f>
        <v>76</v>
      </c>
      <c r="Q820" s="834">
        <f t="shared" ref="Q820:Q866" si="133">P820/D820</f>
        <v>0.0617886178861789</v>
      </c>
    </row>
    <row r="821" spans="1:17">
      <c r="A821" s="801">
        <v>45569</v>
      </c>
      <c r="B821" s="841">
        <v>279.92</v>
      </c>
      <c r="C821" s="841">
        <v>488790</v>
      </c>
      <c r="D821" s="841">
        <v>1268</v>
      </c>
      <c r="E821" s="841">
        <v>0</v>
      </c>
      <c r="F821" s="841">
        <v>0</v>
      </c>
      <c r="G821" s="841">
        <v>31</v>
      </c>
      <c r="H821" s="841">
        <v>40</v>
      </c>
      <c r="I821" s="841">
        <v>1</v>
      </c>
      <c r="J821" s="830">
        <f t="shared" si="127"/>
        <v>0.00259416109167536</v>
      </c>
      <c r="K821" s="831">
        <f t="shared" si="128"/>
        <v>0.220757097791798</v>
      </c>
      <c r="L821" s="809">
        <f t="shared" si="126"/>
        <v>0.572679473802656</v>
      </c>
      <c r="M821" s="839">
        <f t="shared" si="129"/>
        <v>0</v>
      </c>
      <c r="N821" s="840">
        <f t="shared" si="130"/>
        <v>0</v>
      </c>
      <c r="O821" s="675">
        <f t="shared" si="131"/>
        <v>3.94253521126761</v>
      </c>
      <c r="P821">
        <f t="shared" si="132"/>
        <v>71</v>
      </c>
      <c r="Q821" s="834">
        <f t="shared" si="133"/>
        <v>0.055993690851735</v>
      </c>
    </row>
    <row r="822" spans="1:17">
      <c r="A822" s="801">
        <v>45570</v>
      </c>
      <c r="B822" s="841">
        <v>283.86</v>
      </c>
      <c r="C822" s="841">
        <v>541615</v>
      </c>
      <c r="D822" s="841">
        <v>1292</v>
      </c>
      <c r="E822" s="841">
        <v>0</v>
      </c>
      <c r="F822" s="841">
        <v>0</v>
      </c>
      <c r="G822" s="841">
        <v>27</v>
      </c>
      <c r="H822" s="841">
        <v>29</v>
      </c>
      <c r="I822" s="841">
        <v>1</v>
      </c>
      <c r="J822" s="830">
        <f t="shared" si="127"/>
        <v>0.00238545830525373</v>
      </c>
      <c r="K822" s="831">
        <f t="shared" si="128"/>
        <v>0.219705882352941</v>
      </c>
      <c r="L822" s="809">
        <f t="shared" si="126"/>
        <v>0.524099221771923</v>
      </c>
      <c r="M822" s="839">
        <f t="shared" si="129"/>
        <v>0</v>
      </c>
      <c r="N822" s="840">
        <f t="shared" si="130"/>
        <v>0</v>
      </c>
      <c r="O822" s="675">
        <f t="shared" si="131"/>
        <v>5.06892857142857</v>
      </c>
      <c r="P822">
        <f t="shared" si="132"/>
        <v>56</v>
      </c>
      <c r="Q822" s="834">
        <f t="shared" si="133"/>
        <v>0.043343653250774</v>
      </c>
    </row>
    <row r="823" spans="1:17">
      <c r="A823" s="801">
        <v>45571</v>
      </c>
      <c r="B823" s="841">
        <v>275.97</v>
      </c>
      <c r="C823" s="841">
        <v>412517</v>
      </c>
      <c r="D823" s="841">
        <v>1288</v>
      </c>
      <c r="E823" s="841">
        <v>0</v>
      </c>
      <c r="F823" s="841">
        <v>0</v>
      </c>
      <c r="G823" s="841">
        <v>27</v>
      </c>
      <c r="H823" s="841">
        <v>28</v>
      </c>
      <c r="I823" s="841">
        <v>1</v>
      </c>
      <c r="J823" s="830">
        <f t="shared" si="127"/>
        <v>0.00312229556600092</v>
      </c>
      <c r="K823" s="831">
        <f t="shared" si="128"/>
        <v>0.214262422360248</v>
      </c>
      <c r="L823" s="809">
        <f t="shared" si="126"/>
        <v>0.668990611296019</v>
      </c>
      <c r="M823" s="839">
        <f t="shared" si="129"/>
        <v>0</v>
      </c>
      <c r="N823" s="840">
        <f t="shared" si="130"/>
        <v>0</v>
      </c>
      <c r="O823" s="675">
        <f t="shared" si="131"/>
        <v>5.01763636363636</v>
      </c>
      <c r="P823">
        <f t="shared" si="132"/>
        <v>55</v>
      </c>
      <c r="Q823" s="834">
        <f t="shared" si="133"/>
        <v>0.0427018633540373</v>
      </c>
    </row>
    <row r="824" spans="1:17">
      <c r="A824" s="801">
        <v>45572</v>
      </c>
      <c r="B824" s="841">
        <v>279.51</v>
      </c>
      <c r="C824" s="841">
        <v>624978</v>
      </c>
      <c r="D824" s="841">
        <v>1371</v>
      </c>
      <c r="E824" s="841">
        <v>1</v>
      </c>
      <c r="F824" s="841">
        <v>9198</v>
      </c>
      <c r="G824" s="841">
        <v>17</v>
      </c>
      <c r="H824" s="841">
        <v>47</v>
      </c>
      <c r="I824" s="841">
        <v>1</v>
      </c>
      <c r="J824" s="830">
        <f t="shared" si="127"/>
        <v>0.00219367721743805</v>
      </c>
      <c r="K824" s="831">
        <f t="shared" si="128"/>
        <v>0.203873085339168</v>
      </c>
      <c r="L824" s="809">
        <f t="shared" si="126"/>
        <v>0.447231742557338</v>
      </c>
      <c r="M824" s="839">
        <f t="shared" si="129"/>
        <v>32.9075882794891</v>
      </c>
      <c r="N824" s="840">
        <f t="shared" si="130"/>
        <v>0.000729394602479942</v>
      </c>
      <c r="O824" s="675">
        <f t="shared" si="131"/>
        <v>4.36734375</v>
      </c>
      <c r="P824">
        <f t="shared" si="132"/>
        <v>64</v>
      </c>
      <c r="Q824" s="834">
        <f t="shared" si="133"/>
        <v>0.0466812545587163</v>
      </c>
    </row>
    <row r="825" spans="1:17">
      <c r="A825" s="801">
        <v>45573</v>
      </c>
      <c r="B825" s="841">
        <v>273.22</v>
      </c>
      <c r="C825" s="841">
        <v>554513</v>
      </c>
      <c r="D825" s="841">
        <v>1245</v>
      </c>
      <c r="E825" s="841">
        <v>1</v>
      </c>
      <c r="F825" s="841">
        <v>11097</v>
      </c>
      <c r="G825" s="841">
        <v>12</v>
      </c>
      <c r="H825" s="841">
        <v>21</v>
      </c>
      <c r="I825" s="841">
        <v>2</v>
      </c>
      <c r="J825" s="830">
        <f t="shared" si="127"/>
        <v>0.00224521336740527</v>
      </c>
      <c r="K825" s="831">
        <f t="shared" si="128"/>
        <v>0.219453815261044</v>
      </c>
      <c r="L825" s="809">
        <f t="shared" si="126"/>
        <v>0.492720639552184</v>
      </c>
      <c r="M825" s="839">
        <f t="shared" si="129"/>
        <v>40.6156211111924</v>
      </c>
      <c r="N825" s="840">
        <f t="shared" si="130"/>
        <v>0.000803212851405623</v>
      </c>
      <c r="O825" s="675">
        <f t="shared" si="131"/>
        <v>8.27939393939394</v>
      </c>
      <c r="P825">
        <f t="shared" si="132"/>
        <v>33</v>
      </c>
      <c r="Q825" s="834">
        <f t="shared" si="133"/>
        <v>0.0265060240963855</v>
      </c>
    </row>
    <row r="826" spans="1:17">
      <c r="A826" s="801">
        <v>45574</v>
      </c>
      <c r="B826" s="841">
        <v>276.1</v>
      </c>
      <c r="C826" s="841">
        <v>551523</v>
      </c>
      <c r="D826" s="841">
        <v>1208</v>
      </c>
      <c r="E826" s="841">
        <v>0</v>
      </c>
      <c r="F826" s="841">
        <v>0</v>
      </c>
      <c r="G826" s="841">
        <v>23</v>
      </c>
      <c r="H826" s="841">
        <v>30</v>
      </c>
      <c r="I826" s="841">
        <v>0</v>
      </c>
      <c r="J826" s="830">
        <f t="shared" si="127"/>
        <v>0.00219029850069716</v>
      </c>
      <c r="K826" s="831">
        <f t="shared" si="128"/>
        <v>0.228559602649007</v>
      </c>
      <c r="L826" s="809">
        <f t="shared" si="126"/>
        <v>0.500613755002058</v>
      </c>
      <c r="M826" s="839">
        <f t="shared" si="129"/>
        <v>0</v>
      </c>
      <c r="N826" s="840">
        <f t="shared" si="130"/>
        <v>0</v>
      </c>
      <c r="O826" s="675">
        <f t="shared" si="131"/>
        <v>5.20943396226415</v>
      </c>
      <c r="P826">
        <f t="shared" si="132"/>
        <v>53</v>
      </c>
      <c r="Q826" s="834">
        <f t="shared" si="133"/>
        <v>0.0438741721854305</v>
      </c>
    </row>
    <row r="827" spans="1:17">
      <c r="A827" s="801">
        <v>45575</v>
      </c>
      <c r="B827" s="841">
        <v>273.86</v>
      </c>
      <c r="C827" s="841">
        <v>409971</v>
      </c>
      <c r="D827" s="841">
        <v>1157</v>
      </c>
      <c r="E827" s="841">
        <v>2</v>
      </c>
      <c r="F827" s="841">
        <v>18396</v>
      </c>
      <c r="G827" s="841">
        <v>30</v>
      </c>
      <c r="H827" s="841">
        <v>21</v>
      </c>
      <c r="I827" s="841">
        <v>2</v>
      </c>
      <c r="J827" s="830">
        <f t="shared" si="127"/>
        <v>0.00282215083505907</v>
      </c>
      <c r="K827" s="831">
        <f t="shared" si="128"/>
        <v>0.236698357821953</v>
      </c>
      <c r="L827" s="809">
        <f t="shared" si="126"/>
        <v>0.667998468184335</v>
      </c>
      <c r="M827" s="839">
        <f t="shared" si="129"/>
        <v>67.1730081063317</v>
      </c>
      <c r="N827" s="840">
        <f t="shared" si="130"/>
        <v>0.0017286084701815</v>
      </c>
      <c r="O827" s="675">
        <f t="shared" si="131"/>
        <v>5.36980392156863</v>
      </c>
      <c r="P827">
        <f t="shared" si="132"/>
        <v>51</v>
      </c>
      <c r="Q827" s="834">
        <f t="shared" si="133"/>
        <v>0.0440795159896284</v>
      </c>
    </row>
    <row r="828" spans="1:17">
      <c r="A828" s="801">
        <v>45576</v>
      </c>
      <c r="B828" s="841">
        <v>276.75</v>
      </c>
      <c r="C828" s="841">
        <v>623679</v>
      </c>
      <c r="D828" s="841">
        <v>1295</v>
      </c>
      <c r="E828" s="841">
        <v>0</v>
      </c>
      <c r="F828" s="841">
        <v>0</v>
      </c>
      <c r="G828" s="841">
        <v>14</v>
      </c>
      <c r="H828" s="841">
        <v>32</v>
      </c>
      <c r="I828" s="841">
        <v>3</v>
      </c>
      <c r="J828" s="830">
        <f t="shared" si="127"/>
        <v>0.00207638865506134</v>
      </c>
      <c r="K828" s="831">
        <f t="shared" si="128"/>
        <v>0.213706563706564</v>
      </c>
      <c r="L828" s="809">
        <f t="shared" si="126"/>
        <v>0.443737884392452</v>
      </c>
      <c r="M828" s="839">
        <f t="shared" si="129"/>
        <v>0</v>
      </c>
      <c r="N828" s="840">
        <f t="shared" si="130"/>
        <v>0</v>
      </c>
      <c r="O828" s="675">
        <f t="shared" si="131"/>
        <v>6.01630434782609</v>
      </c>
      <c r="P828">
        <f t="shared" si="132"/>
        <v>46</v>
      </c>
      <c r="Q828" s="834">
        <f t="shared" si="133"/>
        <v>0.0355212355212355</v>
      </c>
    </row>
    <row r="829" spans="1:17">
      <c r="A829" s="801">
        <v>45577</v>
      </c>
      <c r="B829" s="841">
        <v>276.17</v>
      </c>
      <c r="C829" s="841">
        <v>657814</v>
      </c>
      <c r="D829" s="841">
        <v>1279</v>
      </c>
      <c r="E829" s="841">
        <v>0</v>
      </c>
      <c r="F829" s="841">
        <v>0</v>
      </c>
      <c r="G829" s="841">
        <v>13</v>
      </c>
      <c r="H829" s="841">
        <v>29</v>
      </c>
      <c r="I829" s="841">
        <v>2</v>
      </c>
      <c r="J829" s="830">
        <f t="shared" si="127"/>
        <v>0.00194431860677942</v>
      </c>
      <c r="K829" s="831">
        <f t="shared" si="128"/>
        <v>0.215926505082095</v>
      </c>
      <c r="L829" s="809">
        <f t="shared" si="126"/>
        <v>0.41982992152797</v>
      </c>
      <c r="M829" s="839">
        <f t="shared" si="129"/>
        <v>0</v>
      </c>
      <c r="N829" s="840">
        <f t="shared" si="130"/>
        <v>0</v>
      </c>
      <c r="O829" s="675">
        <f t="shared" si="131"/>
        <v>6.57547619047619</v>
      </c>
      <c r="P829">
        <f t="shared" si="132"/>
        <v>42</v>
      </c>
      <c r="Q829" s="834">
        <f t="shared" si="133"/>
        <v>0.0328381548084441</v>
      </c>
    </row>
    <row r="830" spans="1:17">
      <c r="A830" s="801">
        <v>45578</v>
      </c>
      <c r="B830" s="841">
        <v>271.06</v>
      </c>
      <c r="C830" s="841">
        <v>652870</v>
      </c>
      <c r="D830" s="841">
        <v>1333</v>
      </c>
      <c r="E830" s="841">
        <v>1</v>
      </c>
      <c r="F830" s="841">
        <v>3000</v>
      </c>
      <c r="G830" s="841">
        <v>13</v>
      </c>
      <c r="H830" s="841">
        <v>41</v>
      </c>
      <c r="I830" s="841">
        <v>1</v>
      </c>
      <c r="J830" s="830">
        <f t="shared" si="127"/>
        <v>0.00204175410112273</v>
      </c>
      <c r="K830" s="831">
        <f t="shared" si="128"/>
        <v>0.203345836459115</v>
      </c>
      <c r="L830" s="809">
        <f t="shared" si="126"/>
        <v>0.415182195536631</v>
      </c>
      <c r="M830" s="839">
        <f t="shared" si="129"/>
        <v>11.0676602966133</v>
      </c>
      <c r="N830" s="840">
        <f t="shared" si="130"/>
        <v>0.000750187546886722</v>
      </c>
      <c r="O830" s="675">
        <f t="shared" si="131"/>
        <v>5.01962962962963</v>
      </c>
      <c r="P830">
        <f t="shared" si="132"/>
        <v>54</v>
      </c>
      <c r="Q830" s="834">
        <f t="shared" si="133"/>
        <v>0.040510127531883</v>
      </c>
    </row>
    <row r="831" spans="1:17">
      <c r="A831" s="801">
        <v>45579</v>
      </c>
      <c r="B831" s="841">
        <v>1138.14</v>
      </c>
      <c r="C831" s="841">
        <v>847963</v>
      </c>
      <c r="D831" s="841">
        <v>2428</v>
      </c>
      <c r="E831" s="841">
        <v>17</v>
      </c>
      <c r="F831" s="841">
        <v>155259</v>
      </c>
      <c r="G831" s="841">
        <v>57</v>
      </c>
      <c r="H831" s="841">
        <v>52</v>
      </c>
      <c r="I831" s="841">
        <v>11</v>
      </c>
      <c r="J831" s="830">
        <f t="shared" si="127"/>
        <v>0.00286333248030869</v>
      </c>
      <c r="K831" s="831">
        <f t="shared" si="128"/>
        <v>0.468756177924217</v>
      </c>
      <c r="L831" s="809">
        <f t="shared" si="126"/>
        <v>1.34220478959577</v>
      </c>
      <c r="M831" s="839">
        <f t="shared" si="129"/>
        <v>136.414676577574</v>
      </c>
      <c r="N831" s="840">
        <f t="shared" si="130"/>
        <v>0.00700164744645799</v>
      </c>
      <c r="O831" s="675">
        <f t="shared" si="131"/>
        <v>10.4416513761468</v>
      </c>
      <c r="P831">
        <f t="shared" si="132"/>
        <v>109</v>
      </c>
      <c r="Q831" s="834">
        <f t="shared" si="133"/>
        <v>0.0448929159802306</v>
      </c>
    </row>
    <row r="832" spans="1:17">
      <c r="A832" s="801">
        <v>45580</v>
      </c>
      <c r="B832" s="841">
        <v>1144.3</v>
      </c>
      <c r="C832" s="841">
        <v>1029722</v>
      </c>
      <c r="D832" s="841">
        <v>4075</v>
      </c>
      <c r="E832" s="841">
        <v>20</v>
      </c>
      <c r="F832" s="841">
        <v>190555</v>
      </c>
      <c r="G832" s="841">
        <v>53</v>
      </c>
      <c r="H832" s="841">
        <v>60</v>
      </c>
      <c r="I832" s="841">
        <v>6</v>
      </c>
      <c r="J832" s="830">
        <f t="shared" si="127"/>
        <v>0.00395737878767279</v>
      </c>
      <c r="K832" s="831">
        <f t="shared" si="128"/>
        <v>0.28080981595092</v>
      </c>
      <c r="L832" s="809">
        <f t="shared" si="126"/>
        <v>1.11127080901447</v>
      </c>
      <c r="M832" s="839">
        <f t="shared" si="129"/>
        <v>166.525386699292</v>
      </c>
      <c r="N832" s="840">
        <f t="shared" si="130"/>
        <v>0.0049079754601227</v>
      </c>
      <c r="O832" s="675">
        <f t="shared" si="131"/>
        <v>10.1265486725664</v>
      </c>
      <c r="P832">
        <f t="shared" si="132"/>
        <v>113</v>
      </c>
      <c r="Q832" s="834">
        <f t="shared" si="133"/>
        <v>0.0277300613496933</v>
      </c>
    </row>
    <row r="833" spans="1:17">
      <c r="A833" s="801">
        <v>45581</v>
      </c>
      <c r="B833" s="841">
        <v>643.36</v>
      </c>
      <c r="C833" s="841">
        <v>945721</v>
      </c>
      <c r="D833" s="841">
        <v>2969</v>
      </c>
      <c r="E833" s="841">
        <v>1</v>
      </c>
      <c r="F833" s="841">
        <v>6798</v>
      </c>
      <c r="G833" s="841">
        <v>42</v>
      </c>
      <c r="H833" s="841">
        <v>50</v>
      </c>
      <c r="I833" s="841">
        <v>7</v>
      </c>
      <c r="J833" s="830">
        <f t="shared" si="127"/>
        <v>0.00313940369305535</v>
      </c>
      <c r="K833" s="831">
        <f t="shared" si="128"/>
        <v>0.216692489053553</v>
      </c>
      <c r="L833" s="809">
        <f t="shared" si="126"/>
        <v>0.680285200392082</v>
      </c>
      <c r="M833" s="839">
        <f t="shared" si="129"/>
        <v>10.5664013926884</v>
      </c>
      <c r="N833" s="840">
        <f t="shared" si="130"/>
        <v>0.000336813742000674</v>
      </c>
      <c r="O833" s="675">
        <f t="shared" si="131"/>
        <v>6.99304347826087</v>
      </c>
      <c r="P833">
        <f t="shared" si="132"/>
        <v>92</v>
      </c>
      <c r="Q833" s="834">
        <f t="shared" si="133"/>
        <v>0.030986864264062</v>
      </c>
    </row>
    <row r="834" spans="1:17">
      <c r="A834" s="801">
        <v>45582</v>
      </c>
      <c r="B834" s="841">
        <v>621.21</v>
      </c>
      <c r="C834" s="841">
        <v>926389</v>
      </c>
      <c r="D834" s="841">
        <v>2229</v>
      </c>
      <c r="E834" s="841">
        <v>0</v>
      </c>
      <c r="F834" s="841">
        <v>0</v>
      </c>
      <c r="G834" s="841">
        <v>21</v>
      </c>
      <c r="H834" s="841">
        <v>29</v>
      </c>
      <c r="I834" s="841">
        <v>3</v>
      </c>
      <c r="J834" s="830">
        <f t="shared" si="127"/>
        <v>0.00240611665293953</v>
      </c>
      <c r="K834" s="831">
        <f t="shared" si="128"/>
        <v>0.278694481830417</v>
      </c>
      <c r="L834" s="809">
        <f t="shared" si="126"/>
        <v>0.670571433814521</v>
      </c>
      <c r="M834" s="839">
        <f t="shared" si="129"/>
        <v>0</v>
      </c>
      <c r="N834" s="840">
        <f t="shared" si="130"/>
        <v>0</v>
      </c>
      <c r="O834" s="675">
        <f t="shared" si="131"/>
        <v>12.4242</v>
      </c>
      <c r="P834">
        <f t="shared" si="132"/>
        <v>50</v>
      </c>
      <c r="Q834" s="834">
        <f t="shared" si="133"/>
        <v>0.0224315836698071</v>
      </c>
    </row>
    <row r="835" spans="1:17">
      <c r="A835" s="801">
        <v>45583</v>
      </c>
      <c r="B835" s="841">
        <v>636.87</v>
      </c>
      <c r="C835" s="841">
        <v>853691</v>
      </c>
      <c r="D835" s="841">
        <v>1973</v>
      </c>
      <c r="E835" s="841">
        <v>1</v>
      </c>
      <c r="F835" s="841">
        <v>200</v>
      </c>
      <c r="G835" s="841">
        <v>39</v>
      </c>
      <c r="H835" s="841">
        <v>28</v>
      </c>
      <c r="I835" s="841">
        <v>2</v>
      </c>
      <c r="J835" s="830">
        <f t="shared" si="127"/>
        <v>0.00231114068205006</v>
      </c>
      <c r="K835" s="831">
        <f t="shared" si="128"/>
        <v>0.322792701469843</v>
      </c>
      <c r="L835" s="809">
        <f t="shared" si="126"/>
        <v>0.746019344235795</v>
      </c>
      <c r="M835" s="839">
        <f t="shared" si="129"/>
        <v>0.314035831488373</v>
      </c>
      <c r="N835" s="840">
        <f t="shared" si="130"/>
        <v>0.000506842372022301</v>
      </c>
      <c r="O835" s="675">
        <f t="shared" si="131"/>
        <v>9.5055223880597</v>
      </c>
      <c r="P835">
        <f t="shared" si="132"/>
        <v>67</v>
      </c>
      <c r="Q835" s="834">
        <f t="shared" si="133"/>
        <v>0.0339584389254942</v>
      </c>
    </row>
    <row r="836" spans="1:17">
      <c r="A836" s="801">
        <v>45584</v>
      </c>
      <c r="B836" s="841">
        <v>624.88</v>
      </c>
      <c r="C836" s="841">
        <v>597021</v>
      </c>
      <c r="D836" s="841">
        <v>1955</v>
      </c>
      <c r="E836" s="841">
        <v>2</v>
      </c>
      <c r="F836" s="841">
        <v>20295</v>
      </c>
      <c r="G836" s="841">
        <v>44</v>
      </c>
      <c r="H836" s="841">
        <v>60</v>
      </c>
      <c r="I836" s="841">
        <v>2</v>
      </c>
      <c r="J836" s="830">
        <f t="shared" si="127"/>
        <v>0.00327459168102965</v>
      </c>
      <c r="K836" s="831">
        <f t="shared" si="128"/>
        <v>0.319631713554987</v>
      </c>
      <c r="L836" s="809">
        <f t="shared" si="126"/>
        <v>1.04666335020041</v>
      </c>
      <c r="M836" s="839">
        <f t="shared" si="129"/>
        <v>32.4782358212777</v>
      </c>
      <c r="N836" s="840">
        <f t="shared" si="130"/>
        <v>0.0010230179028133</v>
      </c>
      <c r="O836" s="675">
        <f t="shared" si="131"/>
        <v>6.00846153846154</v>
      </c>
      <c r="P836">
        <f t="shared" si="132"/>
        <v>104</v>
      </c>
      <c r="Q836" s="834">
        <f t="shared" si="133"/>
        <v>0.0531969309462916</v>
      </c>
    </row>
    <row r="837" spans="1:17">
      <c r="A837" s="801">
        <v>45585</v>
      </c>
      <c r="B837" s="841">
        <v>597.79</v>
      </c>
      <c r="C837" s="841">
        <v>640854</v>
      </c>
      <c r="D837" s="841">
        <v>1768</v>
      </c>
      <c r="E837" s="841">
        <v>4</v>
      </c>
      <c r="F837" s="841">
        <v>38289</v>
      </c>
      <c r="G837" s="841">
        <v>34</v>
      </c>
      <c r="H837" s="841">
        <v>54</v>
      </c>
      <c r="I837" s="841">
        <v>6</v>
      </c>
      <c r="J837" s="830">
        <f t="shared" si="127"/>
        <v>0.00275881870129546</v>
      </c>
      <c r="K837" s="831">
        <f t="shared" si="128"/>
        <v>0.338116515837104</v>
      </c>
      <c r="L837" s="809">
        <f t="shared" si="126"/>
        <v>0.932802167108265</v>
      </c>
      <c r="M837" s="839">
        <f t="shared" si="129"/>
        <v>64.050920891952</v>
      </c>
      <c r="N837" s="840">
        <f t="shared" si="130"/>
        <v>0.00226244343891403</v>
      </c>
      <c r="O837" s="675">
        <f t="shared" si="131"/>
        <v>6.79306818181818</v>
      </c>
      <c r="P837">
        <f t="shared" si="132"/>
        <v>88</v>
      </c>
      <c r="Q837" s="834">
        <f t="shared" si="133"/>
        <v>0.0497737556561086</v>
      </c>
    </row>
    <row r="838" spans="1:17">
      <c r="A838" s="801">
        <v>45586</v>
      </c>
      <c r="B838" s="841">
        <v>1859.14</v>
      </c>
      <c r="C838" s="841">
        <v>979577</v>
      </c>
      <c r="D838" s="841">
        <v>3615</v>
      </c>
      <c r="E838" s="841">
        <v>6</v>
      </c>
      <c r="F838" s="841">
        <v>70083</v>
      </c>
      <c r="G838" s="841">
        <v>71</v>
      </c>
      <c r="H838" s="841">
        <v>37</v>
      </c>
      <c r="I838" s="841">
        <v>8</v>
      </c>
      <c r="J838" s="830">
        <f t="shared" si="127"/>
        <v>0.00369036839370463</v>
      </c>
      <c r="K838" s="831">
        <f t="shared" si="128"/>
        <v>0.514284923928077</v>
      </c>
      <c r="L838" s="809">
        <f t="shared" si="126"/>
        <v>1.89790082862297</v>
      </c>
      <c r="M838" s="839">
        <f t="shared" si="129"/>
        <v>37.6964618049206</v>
      </c>
      <c r="N838" s="840">
        <f t="shared" si="130"/>
        <v>0.0016597510373444</v>
      </c>
      <c r="O838" s="675">
        <f t="shared" si="131"/>
        <v>17.2142592592593</v>
      </c>
      <c r="P838">
        <f t="shared" si="132"/>
        <v>108</v>
      </c>
      <c r="Q838" s="834">
        <f t="shared" si="133"/>
        <v>0.0298755186721992</v>
      </c>
    </row>
    <row r="839" spans="1:17">
      <c r="A839" s="801">
        <v>45587</v>
      </c>
      <c r="B839" s="841">
        <v>1841.96</v>
      </c>
      <c r="C839" s="841">
        <v>1436163</v>
      </c>
      <c r="D839" s="841">
        <v>5150</v>
      </c>
      <c r="E839" s="841">
        <v>4</v>
      </c>
      <c r="F839" s="841">
        <v>38190</v>
      </c>
      <c r="G839" s="841">
        <v>75</v>
      </c>
      <c r="H839" s="841">
        <v>66</v>
      </c>
      <c r="I839" s="841">
        <v>8</v>
      </c>
      <c r="J839" s="830">
        <f t="shared" si="127"/>
        <v>0.00358594393533325</v>
      </c>
      <c r="K839" s="831">
        <f t="shared" si="128"/>
        <v>0.35766213592233</v>
      </c>
      <c r="L839" s="809">
        <f t="shared" si="126"/>
        <v>1.28255636720901</v>
      </c>
      <c r="M839" s="839">
        <f t="shared" si="129"/>
        <v>20.7333492583987</v>
      </c>
      <c r="N839" s="840">
        <f t="shared" si="130"/>
        <v>0.000776699029126214</v>
      </c>
      <c r="O839" s="675">
        <f t="shared" si="131"/>
        <v>13.0635460992908</v>
      </c>
      <c r="P839">
        <f t="shared" si="132"/>
        <v>141</v>
      </c>
      <c r="Q839" s="834">
        <f t="shared" si="133"/>
        <v>0.027378640776699</v>
      </c>
    </row>
    <row r="840" spans="1:17">
      <c r="A840" s="801">
        <v>45588</v>
      </c>
      <c r="B840" s="841">
        <v>1825.44</v>
      </c>
      <c r="C840" s="841">
        <v>1852378</v>
      </c>
      <c r="D840" s="841">
        <v>6807</v>
      </c>
      <c r="E840" s="841">
        <v>1</v>
      </c>
      <c r="F840" s="841">
        <v>11097</v>
      </c>
      <c r="G840" s="841">
        <v>51</v>
      </c>
      <c r="H840" s="841">
        <v>65</v>
      </c>
      <c r="I840" s="841">
        <v>6</v>
      </c>
      <c r="J840" s="830">
        <f t="shared" si="127"/>
        <v>0.00367473593402642</v>
      </c>
      <c r="K840" s="831">
        <f t="shared" si="128"/>
        <v>0.268171000440723</v>
      </c>
      <c r="L840" s="809">
        <f t="shared" si="126"/>
        <v>0.98545761178334</v>
      </c>
      <c r="M840" s="839">
        <f t="shared" si="129"/>
        <v>6.07908230344465</v>
      </c>
      <c r="N840" s="840">
        <f t="shared" si="130"/>
        <v>0.000146907595122668</v>
      </c>
      <c r="O840" s="675">
        <f t="shared" si="131"/>
        <v>15.7365517241379</v>
      </c>
      <c r="P840">
        <f t="shared" si="132"/>
        <v>116</v>
      </c>
      <c r="Q840" s="834">
        <f t="shared" si="133"/>
        <v>0.0170412810342295</v>
      </c>
    </row>
    <row r="841" spans="1:17">
      <c r="A841" s="801">
        <v>45589</v>
      </c>
      <c r="B841" s="841">
        <v>1861.97</v>
      </c>
      <c r="C841" s="841">
        <v>2697713</v>
      </c>
      <c r="D841" s="841">
        <v>8167</v>
      </c>
      <c r="E841" s="841">
        <v>0</v>
      </c>
      <c r="F841" s="841">
        <v>0</v>
      </c>
      <c r="G841" s="841">
        <v>70</v>
      </c>
      <c r="H841" s="841">
        <v>75</v>
      </c>
      <c r="I841" s="841">
        <v>5</v>
      </c>
      <c r="J841" s="830">
        <f t="shared" si="127"/>
        <v>0.00302737911705211</v>
      </c>
      <c r="K841" s="831">
        <f t="shared" si="128"/>
        <v>0.227987020937921</v>
      </c>
      <c r="L841" s="809">
        <f t="shared" si="126"/>
        <v>0.690203146146384</v>
      </c>
      <c r="M841" s="839">
        <f t="shared" si="129"/>
        <v>0</v>
      </c>
      <c r="N841" s="840">
        <f t="shared" si="130"/>
        <v>0</v>
      </c>
      <c r="O841" s="675">
        <f t="shared" si="131"/>
        <v>12.8411724137931</v>
      </c>
      <c r="P841">
        <f t="shared" si="132"/>
        <v>145</v>
      </c>
      <c r="Q841" s="834">
        <f t="shared" si="133"/>
        <v>0.0177543773723521</v>
      </c>
    </row>
    <row r="842" spans="1:17">
      <c r="A842" s="801">
        <v>45590</v>
      </c>
      <c r="B842" s="841">
        <v>1839.03</v>
      </c>
      <c r="C842" s="841">
        <v>1591503</v>
      </c>
      <c r="D842" s="841">
        <v>8152</v>
      </c>
      <c r="E842" s="841">
        <v>0</v>
      </c>
      <c r="F842" s="841">
        <v>0</v>
      </c>
      <c r="G842" s="841">
        <v>65</v>
      </c>
      <c r="H842" s="841">
        <v>86</v>
      </c>
      <c r="I842" s="841">
        <v>2</v>
      </c>
      <c r="J842" s="830">
        <f t="shared" si="127"/>
        <v>0.00512220209449809</v>
      </c>
      <c r="K842" s="831">
        <f t="shared" si="128"/>
        <v>0.225592492639843</v>
      </c>
      <c r="L842" s="809">
        <f t="shared" si="126"/>
        <v>1.15553033830285</v>
      </c>
      <c r="M842" s="839">
        <f t="shared" si="129"/>
        <v>0</v>
      </c>
      <c r="N842" s="840">
        <f t="shared" si="130"/>
        <v>0</v>
      </c>
      <c r="O842" s="675">
        <f t="shared" si="131"/>
        <v>12.1790066225166</v>
      </c>
      <c r="P842">
        <f t="shared" si="132"/>
        <v>151</v>
      </c>
      <c r="Q842" s="834">
        <f t="shared" si="133"/>
        <v>0.0185230618253189</v>
      </c>
    </row>
    <row r="843" spans="1:17">
      <c r="A843" s="801">
        <v>45591</v>
      </c>
      <c r="B843" s="841">
        <v>1770.35</v>
      </c>
      <c r="C843" s="841">
        <v>1337232</v>
      </c>
      <c r="D843" s="841">
        <v>7643</v>
      </c>
      <c r="E843" s="841">
        <v>1</v>
      </c>
      <c r="F843" s="841">
        <v>11097</v>
      </c>
      <c r="G843" s="841">
        <v>71</v>
      </c>
      <c r="H843" s="841">
        <v>96</v>
      </c>
      <c r="I843" s="841">
        <v>4</v>
      </c>
      <c r="J843" s="830">
        <f t="shared" si="127"/>
        <v>0.00571553776756763</v>
      </c>
      <c r="K843" s="831">
        <f t="shared" si="128"/>
        <v>0.231630249901871</v>
      </c>
      <c r="L843" s="809">
        <f t="shared" si="126"/>
        <v>1.32389144142527</v>
      </c>
      <c r="M843" s="839">
        <f t="shared" si="129"/>
        <v>6.26825204055695</v>
      </c>
      <c r="N843" s="840">
        <f t="shared" si="130"/>
        <v>0.0001308386759126</v>
      </c>
      <c r="O843" s="675">
        <f t="shared" si="131"/>
        <v>10.6008982035928</v>
      </c>
      <c r="P843">
        <f t="shared" si="132"/>
        <v>167</v>
      </c>
      <c r="Q843" s="834">
        <f t="shared" si="133"/>
        <v>0.0218500588774042</v>
      </c>
    </row>
    <row r="844" spans="1:17">
      <c r="A844" s="801">
        <v>45592</v>
      </c>
      <c r="B844" s="841">
        <v>1839.41</v>
      </c>
      <c r="C844" s="841">
        <v>1792351</v>
      </c>
      <c r="D844" s="841">
        <v>8569</v>
      </c>
      <c r="E844" s="841">
        <v>0</v>
      </c>
      <c r="F844" s="841">
        <v>0</v>
      </c>
      <c r="G844" s="841">
        <v>95</v>
      </c>
      <c r="H844" s="841">
        <v>104</v>
      </c>
      <c r="I844" s="841">
        <v>1</v>
      </c>
      <c r="J844" s="830">
        <f t="shared" si="127"/>
        <v>0.00478087160383206</v>
      </c>
      <c r="K844" s="831">
        <f t="shared" si="128"/>
        <v>0.214658653285097</v>
      </c>
      <c r="L844" s="809">
        <f t="shared" si="126"/>
        <v>1.02625546000755</v>
      </c>
      <c r="M844" s="839">
        <f t="shared" si="129"/>
        <v>0</v>
      </c>
      <c r="N844" s="840">
        <f t="shared" si="130"/>
        <v>0</v>
      </c>
      <c r="O844" s="675">
        <f t="shared" si="131"/>
        <v>9.24326633165829</v>
      </c>
      <c r="P844">
        <f t="shared" si="132"/>
        <v>199</v>
      </c>
      <c r="Q844" s="834">
        <f t="shared" si="133"/>
        <v>0.0232232465865328</v>
      </c>
    </row>
    <row r="845" spans="1:17">
      <c r="A845" s="801">
        <v>45593</v>
      </c>
      <c r="B845" s="841">
        <v>1863.01</v>
      </c>
      <c r="C845" s="841">
        <v>1300645</v>
      </c>
      <c r="D845" s="841">
        <v>8262</v>
      </c>
      <c r="E845" s="841">
        <v>0</v>
      </c>
      <c r="F845" s="841">
        <v>0</v>
      </c>
      <c r="G845" s="841">
        <v>61</v>
      </c>
      <c r="H845" s="841">
        <v>75</v>
      </c>
      <c r="I845" s="841">
        <v>2</v>
      </c>
      <c r="J845" s="830">
        <f t="shared" si="127"/>
        <v>0.00635223293058444</v>
      </c>
      <c r="K845" s="831">
        <f t="shared" si="128"/>
        <v>0.225491406439119</v>
      </c>
      <c r="L845" s="809">
        <f t="shared" si="126"/>
        <v>1.43237393754637</v>
      </c>
      <c r="M845" s="839">
        <f t="shared" si="129"/>
        <v>0</v>
      </c>
      <c r="N845" s="840">
        <f t="shared" si="130"/>
        <v>0</v>
      </c>
      <c r="O845" s="675">
        <f t="shared" si="131"/>
        <v>13.6986029411765</v>
      </c>
      <c r="P845">
        <f t="shared" si="132"/>
        <v>136</v>
      </c>
      <c r="Q845" s="834">
        <f t="shared" si="133"/>
        <v>0.0164609053497942</v>
      </c>
    </row>
    <row r="846" spans="1:17">
      <c r="A846" s="801">
        <v>45594</v>
      </c>
      <c r="B846" s="841">
        <v>1075.49</v>
      </c>
      <c r="C846" s="841">
        <v>1181990</v>
      </c>
      <c r="D846" s="841">
        <v>4209</v>
      </c>
      <c r="E846" s="841">
        <v>0</v>
      </c>
      <c r="F846" s="841">
        <v>0</v>
      </c>
      <c r="G846" s="841">
        <v>45</v>
      </c>
      <c r="H846" s="841">
        <v>57</v>
      </c>
      <c r="I846" s="841">
        <v>2</v>
      </c>
      <c r="J846" s="830">
        <f t="shared" si="127"/>
        <v>0.00356094383201212</v>
      </c>
      <c r="K846" s="831">
        <f t="shared" si="128"/>
        <v>0.25552150154431</v>
      </c>
      <c r="L846" s="809">
        <f t="shared" si="126"/>
        <v>0.909897714870684</v>
      </c>
      <c r="M846" s="839">
        <f t="shared" si="129"/>
        <v>0</v>
      </c>
      <c r="N846" s="840">
        <f t="shared" si="130"/>
        <v>0</v>
      </c>
      <c r="O846" s="675">
        <f t="shared" si="131"/>
        <v>10.5440196078431</v>
      </c>
      <c r="P846">
        <f t="shared" si="132"/>
        <v>102</v>
      </c>
      <c r="Q846" s="834">
        <f t="shared" si="133"/>
        <v>0.0242337847469708</v>
      </c>
    </row>
    <row r="847" spans="1:17">
      <c r="A847" s="801">
        <v>45595</v>
      </c>
      <c r="B847" s="841">
        <v>628.54</v>
      </c>
      <c r="C847" s="841">
        <v>765636</v>
      </c>
      <c r="D847" s="841">
        <v>3128</v>
      </c>
      <c r="E847" s="841">
        <v>0</v>
      </c>
      <c r="F847" s="841">
        <v>0</v>
      </c>
      <c r="G847" s="841">
        <v>34</v>
      </c>
      <c r="H847" s="841">
        <v>30</v>
      </c>
      <c r="I847" s="841">
        <v>2</v>
      </c>
      <c r="J847" s="830">
        <f t="shared" si="127"/>
        <v>0.00408549232272255</v>
      </c>
      <c r="K847" s="831">
        <f t="shared" si="128"/>
        <v>0.20093989769821</v>
      </c>
      <c r="L847" s="809">
        <f t="shared" si="126"/>
        <v>0.82093840937469</v>
      </c>
      <c r="M847" s="839">
        <f t="shared" si="129"/>
        <v>0</v>
      </c>
      <c r="N847" s="840">
        <f t="shared" si="130"/>
        <v>0</v>
      </c>
      <c r="O847" s="675">
        <f t="shared" si="131"/>
        <v>9.8209375</v>
      </c>
      <c r="P847">
        <f t="shared" si="132"/>
        <v>64</v>
      </c>
      <c r="Q847" s="834">
        <f t="shared" si="133"/>
        <v>0.020460358056266</v>
      </c>
    </row>
    <row r="848" spans="1:17">
      <c r="A848" s="801">
        <v>45596</v>
      </c>
      <c r="B848" s="841">
        <v>631.54</v>
      </c>
      <c r="C848" s="841">
        <v>825689</v>
      </c>
      <c r="D848" s="841">
        <v>2228</v>
      </c>
      <c r="E848" s="841">
        <v>0</v>
      </c>
      <c r="F848" s="841">
        <v>0</v>
      </c>
      <c r="G848" s="841">
        <v>33</v>
      </c>
      <c r="H848" s="841">
        <v>28</v>
      </c>
      <c r="I848" s="841">
        <v>1</v>
      </c>
      <c r="J848" s="830">
        <f t="shared" si="127"/>
        <v>0.00269835252740439</v>
      </c>
      <c r="K848" s="831">
        <f t="shared" si="128"/>
        <v>0.283456014362657</v>
      </c>
      <c r="L848" s="809">
        <f t="shared" si="126"/>
        <v>0.76486425276345</v>
      </c>
      <c r="M848" s="839">
        <f t="shared" si="129"/>
        <v>0</v>
      </c>
      <c r="N848" s="840">
        <f t="shared" si="130"/>
        <v>0</v>
      </c>
      <c r="O848" s="675">
        <f t="shared" si="131"/>
        <v>10.3531147540984</v>
      </c>
      <c r="P848">
        <f t="shared" si="132"/>
        <v>61</v>
      </c>
      <c r="Q848" s="834">
        <f t="shared" si="133"/>
        <v>0.0273788150807899</v>
      </c>
    </row>
    <row r="849" spans="1:17">
      <c r="A849" s="801">
        <v>45597</v>
      </c>
      <c r="B849" s="841">
        <v>1108.27</v>
      </c>
      <c r="C849" s="841">
        <v>1161499</v>
      </c>
      <c r="D849" s="841">
        <v>4869</v>
      </c>
      <c r="E849" s="841">
        <v>2</v>
      </c>
      <c r="F849" s="841">
        <v>27192</v>
      </c>
      <c r="G849" s="841">
        <v>61</v>
      </c>
      <c r="H849" s="841">
        <v>67</v>
      </c>
      <c r="I849" s="841">
        <v>1</v>
      </c>
      <c r="J849" s="830">
        <f t="shared" si="127"/>
        <v>0.00419199672147802</v>
      </c>
      <c r="K849" s="831">
        <f t="shared" si="128"/>
        <v>0.227617580612035</v>
      </c>
      <c r="L849" s="809">
        <f t="shared" si="126"/>
        <v>0.954172151676411</v>
      </c>
      <c r="M849" s="839">
        <f t="shared" si="129"/>
        <v>24.5355373690527</v>
      </c>
      <c r="N849" s="840">
        <f t="shared" si="130"/>
        <v>0.000410761963442185</v>
      </c>
      <c r="O849" s="675">
        <f t="shared" si="131"/>
        <v>8.658359375</v>
      </c>
      <c r="P849">
        <f t="shared" si="132"/>
        <v>128</v>
      </c>
      <c r="Q849" s="834">
        <f t="shared" si="133"/>
        <v>0.0262887656602999</v>
      </c>
    </row>
    <row r="850" spans="1:17">
      <c r="A850" s="801">
        <v>45598</v>
      </c>
      <c r="B850" s="841">
        <v>1134.18</v>
      </c>
      <c r="C850" s="841">
        <v>898627</v>
      </c>
      <c r="D850" s="841">
        <v>5573</v>
      </c>
      <c r="E850" s="841">
        <v>0</v>
      </c>
      <c r="F850" s="841">
        <v>0</v>
      </c>
      <c r="G850" s="841">
        <v>72</v>
      </c>
      <c r="H850" s="841">
        <v>90</v>
      </c>
      <c r="I850" s="841">
        <v>7</v>
      </c>
      <c r="J850" s="830">
        <f t="shared" si="127"/>
        <v>0.00620168323453446</v>
      </c>
      <c r="K850" s="831">
        <f t="shared" si="128"/>
        <v>0.203513368024403</v>
      </c>
      <c r="L850" s="809">
        <f t="shared" si="126"/>
        <v>1.26212544248058</v>
      </c>
      <c r="M850" s="839">
        <f t="shared" si="129"/>
        <v>0</v>
      </c>
      <c r="N850" s="840">
        <f t="shared" si="130"/>
        <v>0</v>
      </c>
      <c r="O850" s="675">
        <f t="shared" si="131"/>
        <v>7.00111111111111</v>
      </c>
      <c r="P850">
        <f t="shared" si="132"/>
        <v>162</v>
      </c>
      <c r="Q850" s="834">
        <f t="shared" si="133"/>
        <v>0.0290687242059932</v>
      </c>
    </row>
    <row r="851" spans="1:17">
      <c r="A851" s="801">
        <v>45599</v>
      </c>
      <c r="B851" s="841">
        <v>1144.23</v>
      </c>
      <c r="C851" s="841">
        <v>1403627</v>
      </c>
      <c r="D851" s="841">
        <v>7049</v>
      </c>
      <c r="E851" s="841">
        <v>0</v>
      </c>
      <c r="F851" s="841">
        <v>0</v>
      </c>
      <c r="G851" s="841">
        <v>79</v>
      </c>
      <c r="H851" s="841">
        <v>90</v>
      </c>
      <c r="I851" s="841">
        <v>5</v>
      </c>
      <c r="J851" s="830">
        <f t="shared" si="127"/>
        <v>0.00502198946016285</v>
      </c>
      <c r="K851" s="831">
        <f t="shared" si="128"/>
        <v>0.162325152503901</v>
      </c>
      <c r="L851" s="809">
        <f t="shared" si="126"/>
        <v>0.815195204993919</v>
      </c>
      <c r="M851" s="839">
        <f t="shared" si="129"/>
        <v>0</v>
      </c>
      <c r="N851" s="840">
        <f t="shared" si="130"/>
        <v>0</v>
      </c>
      <c r="O851" s="675">
        <f t="shared" si="131"/>
        <v>6.77059171597633</v>
      </c>
      <c r="P851">
        <f t="shared" si="132"/>
        <v>169</v>
      </c>
      <c r="Q851" s="834">
        <f t="shared" si="133"/>
        <v>0.0239750319194212</v>
      </c>
    </row>
    <row r="852" spans="1:17">
      <c r="A852" s="801">
        <v>45600</v>
      </c>
      <c r="B852" s="841">
        <v>1149.33</v>
      </c>
      <c r="C852" s="841">
        <v>1357629</v>
      </c>
      <c r="D852" s="841">
        <v>6918</v>
      </c>
      <c r="E852" s="841">
        <v>0</v>
      </c>
      <c r="F852" s="841">
        <v>0</v>
      </c>
      <c r="G852" s="841">
        <v>73</v>
      </c>
      <c r="H852" s="841">
        <v>57</v>
      </c>
      <c r="I852" s="841">
        <v>4</v>
      </c>
      <c r="J852" s="830">
        <f t="shared" si="127"/>
        <v>0.00509564836932623</v>
      </c>
      <c r="K852" s="831">
        <f t="shared" si="128"/>
        <v>0.166136166522116</v>
      </c>
      <c r="L852" s="809">
        <f t="shared" si="126"/>
        <v>0.846571486024532</v>
      </c>
      <c r="M852" s="839">
        <f t="shared" si="129"/>
        <v>0</v>
      </c>
      <c r="N852" s="840">
        <f t="shared" si="130"/>
        <v>0</v>
      </c>
      <c r="O852" s="675">
        <f t="shared" si="131"/>
        <v>8.841</v>
      </c>
      <c r="P852">
        <f t="shared" si="132"/>
        <v>130</v>
      </c>
      <c r="Q852" s="834">
        <f t="shared" si="133"/>
        <v>0.0187915582538306</v>
      </c>
    </row>
    <row r="853" spans="1:17">
      <c r="A853" s="801">
        <v>45601</v>
      </c>
      <c r="B853" s="841">
        <v>1125.73</v>
      </c>
      <c r="C853" s="841">
        <v>1079772</v>
      </c>
      <c r="D853" s="841">
        <v>6393</v>
      </c>
      <c r="E853" s="841">
        <v>0</v>
      </c>
      <c r="F853" s="841">
        <v>0</v>
      </c>
      <c r="G853" s="841">
        <v>70</v>
      </c>
      <c r="H853" s="841">
        <v>76</v>
      </c>
      <c r="I853" s="841">
        <v>3</v>
      </c>
      <c r="J853" s="830">
        <f t="shared" si="127"/>
        <v>0.00592069436881119</v>
      </c>
      <c r="K853" s="831">
        <f t="shared" si="128"/>
        <v>0.176087908650086</v>
      </c>
      <c r="L853" s="809">
        <f t="shared" si="126"/>
        <v>1.0425626891603</v>
      </c>
      <c r="M853" s="839">
        <f t="shared" si="129"/>
        <v>0</v>
      </c>
      <c r="N853" s="840">
        <f t="shared" si="130"/>
        <v>0</v>
      </c>
      <c r="O853" s="675">
        <f t="shared" si="131"/>
        <v>7.71047945205479</v>
      </c>
      <c r="P853">
        <f t="shared" si="132"/>
        <v>146</v>
      </c>
      <c r="Q853" s="834">
        <f t="shared" si="133"/>
        <v>0.0228374784921007</v>
      </c>
    </row>
    <row r="854" spans="1:17">
      <c r="A854" s="801">
        <v>45602</v>
      </c>
      <c r="B854" s="841">
        <v>1126.74</v>
      </c>
      <c r="C854" s="841">
        <v>1185598</v>
      </c>
      <c r="D854" s="841">
        <v>6380</v>
      </c>
      <c r="E854" s="841">
        <v>0</v>
      </c>
      <c r="F854" s="841">
        <v>0</v>
      </c>
      <c r="G854" s="841">
        <v>55</v>
      </c>
      <c r="H854" s="841">
        <v>74</v>
      </c>
      <c r="I854" s="841">
        <v>9</v>
      </c>
      <c r="J854" s="830">
        <f t="shared" si="127"/>
        <v>0.00538125064313536</v>
      </c>
      <c r="K854" s="831">
        <f t="shared" si="128"/>
        <v>0.176605015673981</v>
      </c>
      <c r="L854" s="809">
        <f t="shared" si="126"/>
        <v>0.950355854176542</v>
      </c>
      <c r="M854" s="839">
        <f t="shared" si="129"/>
        <v>0</v>
      </c>
      <c r="N854" s="840">
        <f t="shared" si="130"/>
        <v>0</v>
      </c>
      <c r="O854" s="675">
        <f t="shared" si="131"/>
        <v>8.73441860465116</v>
      </c>
      <c r="P854">
        <f t="shared" si="132"/>
        <v>129</v>
      </c>
      <c r="Q854" s="834">
        <f t="shared" si="133"/>
        <v>0.0202194357366771</v>
      </c>
    </row>
    <row r="855" spans="1:17">
      <c r="A855" s="801">
        <v>45603</v>
      </c>
      <c r="B855" s="841">
        <v>1137.87</v>
      </c>
      <c r="C855" s="841">
        <v>1322806</v>
      </c>
      <c r="D855" s="841">
        <v>6216</v>
      </c>
      <c r="E855" s="841">
        <v>0</v>
      </c>
      <c r="F855" s="841">
        <v>0</v>
      </c>
      <c r="G855" s="841">
        <v>52</v>
      </c>
      <c r="H855" s="841">
        <v>82</v>
      </c>
      <c r="I855" s="841">
        <v>4</v>
      </c>
      <c r="J855" s="830">
        <f t="shared" si="127"/>
        <v>0.00469910175792973</v>
      </c>
      <c r="K855" s="831">
        <f t="shared" si="128"/>
        <v>0.183055019305019</v>
      </c>
      <c r="L855" s="809">
        <f t="shared" si="126"/>
        <v>0.860194163014078</v>
      </c>
      <c r="M855" s="839">
        <f t="shared" si="129"/>
        <v>0</v>
      </c>
      <c r="N855" s="840">
        <f t="shared" si="130"/>
        <v>0</v>
      </c>
      <c r="O855" s="675">
        <f t="shared" si="131"/>
        <v>8.4915671641791</v>
      </c>
      <c r="P855">
        <f t="shared" si="132"/>
        <v>134</v>
      </c>
      <c r="Q855" s="834">
        <f t="shared" si="133"/>
        <v>0.0215572715572716</v>
      </c>
    </row>
    <row r="856" spans="1:17">
      <c r="A856" s="801">
        <v>45604</v>
      </c>
      <c r="B856" s="841">
        <v>1769.41</v>
      </c>
      <c r="C856" s="841">
        <v>1333531</v>
      </c>
      <c r="D856" s="841">
        <v>8059</v>
      </c>
      <c r="E856" s="841">
        <v>0</v>
      </c>
      <c r="F856" s="841">
        <v>0</v>
      </c>
      <c r="G856" s="841">
        <v>58</v>
      </c>
      <c r="H856" s="841">
        <v>112</v>
      </c>
      <c r="I856" s="841">
        <v>3</v>
      </c>
      <c r="J856" s="830">
        <f t="shared" si="127"/>
        <v>0.00604335407275871</v>
      </c>
      <c r="K856" s="831">
        <f t="shared" si="128"/>
        <v>0.219557016999628</v>
      </c>
      <c r="L856" s="809">
        <f t="shared" si="126"/>
        <v>1.32686079288745</v>
      </c>
      <c r="M856" s="839">
        <f t="shared" si="129"/>
        <v>0</v>
      </c>
      <c r="N856" s="840">
        <f t="shared" si="130"/>
        <v>0</v>
      </c>
      <c r="O856" s="675">
        <f t="shared" si="131"/>
        <v>10.4082941176471</v>
      </c>
      <c r="P856">
        <f t="shared" si="132"/>
        <v>170</v>
      </c>
      <c r="Q856" s="834">
        <f t="shared" si="133"/>
        <v>0.021094428589155</v>
      </c>
    </row>
    <row r="857" spans="1:17">
      <c r="A857" s="801">
        <v>45605</v>
      </c>
      <c r="B857" s="841">
        <v>1804.06</v>
      </c>
      <c r="C857" s="841">
        <v>1503515</v>
      </c>
      <c r="D857" s="841">
        <v>7490</v>
      </c>
      <c r="E857" s="841">
        <v>0</v>
      </c>
      <c r="F857" s="841">
        <v>0</v>
      </c>
      <c r="G857" s="841">
        <v>78</v>
      </c>
      <c r="H857" s="841">
        <v>149</v>
      </c>
      <c r="I857" s="841">
        <v>8</v>
      </c>
      <c r="J857" s="830">
        <f t="shared" si="127"/>
        <v>0.00498165964423368</v>
      </c>
      <c r="K857" s="831">
        <f t="shared" si="128"/>
        <v>0.240862483311081</v>
      </c>
      <c r="L857" s="809">
        <f t="shared" si="126"/>
        <v>1.19989491292072</v>
      </c>
      <c r="M857" s="839">
        <f t="shared" si="129"/>
        <v>0</v>
      </c>
      <c r="N857" s="840">
        <f t="shared" si="130"/>
        <v>0</v>
      </c>
      <c r="O857" s="675">
        <f t="shared" si="131"/>
        <v>7.94740088105727</v>
      </c>
      <c r="P857">
        <f t="shared" si="132"/>
        <v>227</v>
      </c>
      <c r="Q857" s="834">
        <f t="shared" si="133"/>
        <v>0.0303070761014686</v>
      </c>
    </row>
    <row r="858" spans="1:17">
      <c r="A858" s="801">
        <v>45606</v>
      </c>
      <c r="B858" s="841">
        <v>1834.39</v>
      </c>
      <c r="C858" s="841">
        <v>1331054</v>
      </c>
      <c r="D858" s="841">
        <v>6955</v>
      </c>
      <c r="E858" s="841">
        <v>0</v>
      </c>
      <c r="F858" s="841">
        <v>0</v>
      </c>
      <c r="G858" s="841">
        <v>67</v>
      </c>
      <c r="H858" s="841">
        <v>123</v>
      </c>
      <c r="I858" s="841">
        <v>6</v>
      </c>
      <c r="J858" s="830">
        <f t="shared" si="127"/>
        <v>0.00522518244939724</v>
      </c>
      <c r="K858" s="831">
        <f t="shared" si="128"/>
        <v>0.263751258087707</v>
      </c>
      <c r="L858" s="809">
        <f t="shared" si="126"/>
        <v>1.37814844476633</v>
      </c>
      <c r="M858" s="839">
        <f t="shared" si="129"/>
        <v>0</v>
      </c>
      <c r="N858" s="840">
        <f t="shared" si="130"/>
        <v>0</v>
      </c>
      <c r="O858" s="675">
        <f t="shared" si="131"/>
        <v>9.65468421052632</v>
      </c>
      <c r="P858">
        <f t="shared" si="132"/>
        <v>190</v>
      </c>
      <c r="Q858" s="834">
        <f t="shared" si="133"/>
        <v>0.0273184759166068</v>
      </c>
    </row>
    <row r="859" spans="1:17">
      <c r="A859" s="801">
        <v>45607</v>
      </c>
      <c r="B859" s="841">
        <v>1765.49</v>
      </c>
      <c r="C859" s="841">
        <v>1485081</v>
      </c>
      <c r="D859" s="841">
        <v>6369</v>
      </c>
      <c r="E859" s="841">
        <v>0</v>
      </c>
      <c r="F859" s="841">
        <v>0</v>
      </c>
      <c r="G859" s="841">
        <v>54</v>
      </c>
      <c r="H859" s="841">
        <v>86</v>
      </c>
      <c r="I859" s="841">
        <v>8</v>
      </c>
      <c r="J859" s="830">
        <f t="shared" si="127"/>
        <v>0.00428865496225458</v>
      </c>
      <c r="K859" s="831">
        <f t="shared" si="128"/>
        <v>0.277200502433663</v>
      </c>
      <c r="L859" s="809">
        <f t="shared" si="126"/>
        <v>1.18881731030159</v>
      </c>
      <c r="M859" s="839">
        <f t="shared" si="129"/>
        <v>0</v>
      </c>
      <c r="N859" s="840">
        <f t="shared" si="130"/>
        <v>0</v>
      </c>
      <c r="O859" s="675">
        <f t="shared" si="131"/>
        <v>12.6106428571429</v>
      </c>
      <c r="P859">
        <f t="shared" si="132"/>
        <v>140</v>
      </c>
      <c r="Q859" s="834">
        <f t="shared" si="133"/>
        <v>0.0219814727586748</v>
      </c>
    </row>
    <row r="860" spans="1:17">
      <c r="A860" s="801">
        <v>45608</v>
      </c>
      <c r="B860" s="841">
        <v>455.18</v>
      </c>
      <c r="C860" s="841">
        <v>572468</v>
      </c>
      <c r="D860" s="841">
        <v>3150</v>
      </c>
      <c r="E860" s="841">
        <v>0</v>
      </c>
      <c r="F860" s="841">
        <v>0</v>
      </c>
      <c r="G860" s="841">
        <v>18</v>
      </c>
      <c r="H860" s="841">
        <v>41</v>
      </c>
      <c r="I860" s="841">
        <v>3</v>
      </c>
      <c r="J860" s="830">
        <f t="shared" si="127"/>
        <v>0.00550249096892752</v>
      </c>
      <c r="K860" s="831">
        <f t="shared" si="128"/>
        <v>0.144501587301587</v>
      </c>
      <c r="L860" s="809">
        <f t="shared" si="126"/>
        <v>0.795118679122676</v>
      </c>
      <c r="M860" s="839">
        <f t="shared" si="129"/>
        <v>0</v>
      </c>
      <c r="N860" s="840">
        <f t="shared" si="130"/>
        <v>0</v>
      </c>
      <c r="O860" s="675">
        <f t="shared" si="131"/>
        <v>7.71491525423729</v>
      </c>
      <c r="P860">
        <f t="shared" si="132"/>
        <v>59</v>
      </c>
      <c r="Q860" s="834">
        <f t="shared" si="133"/>
        <v>0.0187301587301587</v>
      </c>
    </row>
    <row r="861" spans="1:17">
      <c r="A861" s="801">
        <v>45609</v>
      </c>
      <c r="B861" s="841">
        <v>466.17</v>
      </c>
      <c r="C861" s="841">
        <v>573878</v>
      </c>
      <c r="D861" s="841">
        <v>3065</v>
      </c>
      <c r="E861" s="841">
        <v>0</v>
      </c>
      <c r="F861" s="841">
        <v>0</v>
      </c>
      <c r="G861" s="841">
        <v>27</v>
      </c>
      <c r="H861" s="841">
        <v>50</v>
      </c>
      <c r="I861" s="841">
        <v>3</v>
      </c>
      <c r="J861" s="830">
        <f t="shared" si="127"/>
        <v>0.00534085641896013</v>
      </c>
      <c r="K861" s="831">
        <f t="shared" si="128"/>
        <v>0.152094616639478</v>
      </c>
      <c r="L861" s="809">
        <f t="shared" si="126"/>
        <v>0.812315509568236</v>
      </c>
      <c r="M861" s="839">
        <f t="shared" si="129"/>
        <v>0</v>
      </c>
      <c r="N861" s="840">
        <f t="shared" si="130"/>
        <v>0</v>
      </c>
      <c r="O861" s="675">
        <f t="shared" si="131"/>
        <v>6.05415584415584</v>
      </c>
      <c r="P861">
        <f t="shared" si="132"/>
        <v>77</v>
      </c>
      <c r="Q861" s="834">
        <f t="shared" si="133"/>
        <v>0.0251223491027732</v>
      </c>
    </row>
    <row r="862" spans="1:17">
      <c r="A862" s="801">
        <v>45610</v>
      </c>
      <c r="B862" s="841">
        <v>254.75</v>
      </c>
      <c r="C862" s="841">
        <v>492265</v>
      </c>
      <c r="D862" s="841">
        <v>2082</v>
      </c>
      <c r="E862" s="841">
        <v>0</v>
      </c>
      <c r="F862" s="841">
        <v>0</v>
      </c>
      <c r="G862" s="841">
        <v>11</v>
      </c>
      <c r="H862" s="841">
        <v>24</v>
      </c>
      <c r="I862" s="841">
        <v>0</v>
      </c>
      <c r="J862" s="830">
        <f t="shared" si="127"/>
        <v>0.00422942927081958</v>
      </c>
      <c r="K862" s="831">
        <f t="shared" si="128"/>
        <v>0.122358309317964</v>
      </c>
      <c r="L862" s="809">
        <f t="shared" si="126"/>
        <v>0.517505814957391</v>
      </c>
      <c r="M862" s="839">
        <f t="shared" si="129"/>
        <v>0</v>
      </c>
      <c r="N862" s="840">
        <f t="shared" si="130"/>
        <v>0</v>
      </c>
      <c r="O862" s="675">
        <f t="shared" si="131"/>
        <v>7.27857142857143</v>
      </c>
      <c r="P862">
        <f t="shared" si="132"/>
        <v>35</v>
      </c>
      <c r="Q862" s="834">
        <f t="shared" si="133"/>
        <v>0.0168107588856868</v>
      </c>
    </row>
    <row r="863" spans="1:17">
      <c r="A863" s="801">
        <v>45611</v>
      </c>
      <c r="B863" s="841">
        <v>242.85</v>
      </c>
      <c r="C863" s="841">
        <v>375450</v>
      </c>
      <c r="D863" s="841">
        <v>2206</v>
      </c>
      <c r="E863" s="841">
        <v>0</v>
      </c>
      <c r="F863" s="841">
        <v>0</v>
      </c>
      <c r="G863" s="841">
        <v>9</v>
      </c>
      <c r="H863" s="841">
        <v>21</v>
      </c>
      <c r="I863" s="841">
        <v>1</v>
      </c>
      <c r="J863" s="830">
        <f t="shared" si="127"/>
        <v>0.0058756159275536</v>
      </c>
      <c r="K863" s="831">
        <f t="shared" si="128"/>
        <v>0.110086128739801</v>
      </c>
      <c r="L863" s="809">
        <f t="shared" si="126"/>
        <v>0.646823811426288</v>
      </c>
      <c r="M863" s="839">
        <f t="shared" si="129"/>
        <v>0</v>
      </c>
      <c r="N863" s="840">
        <f t="shared" si="130"/>
        <v>0</v>
      </c>
      <c r="O863" s="675">
        <f t="shared" si="131"/>
        <v>8.095</v>
      </c>
      <c r="P863">
        <f t="shared" si="132"/>
        <v>30</v>
      </c>
      <c r="Q863" s="834">
        <f t="shared" si="133"/>
        <v>0.013599274705349</v>
      </c>
    </row>
    <row r="864" spans="1:17">
      <c r="A864" s="801">
        <v>45612</v>
      </c>
      <c r="B864" s="841">
        <v>243.04</v>
      </c>
      <c r="C864" s="841">
        <v>385299</v>
      </c>
      <c r="D864" s="841">
        <v>2176</v>
      </c>
      <c r="E864" s="841">
        <v>0</v>
      </c>
      <c r="F864" s="841">
        <v>0</v>
      </c>
      <c r="G864" s="841">
        <v>18</v>
      </c>
      <c r="H864" s="841">
        <v>32</v>
      </c>
      <c r="I864" s="841">
        <v>0</v>
      </c>
      <c r="J864" s="830">
        <f t="shared" si="127"/>
        <v>0.00564756202325986</v>
      </c>
      <c r="K864" s="831">
        <f t="shared" si="128"/>
        <v>0.111691176470588</v>
      </c>
      <c r="L864" s="809">
        <f t="shared" si="126"/>
        <v>0.630782846568509</v>
      </c>
      <c r="M864" s="839">
        <f t="shared" si="129"/>
        <v>0</v>
      </c>
      <c r="N864" s="840">
        <f t="shared" si="130"/>
        <v>0</v>
      </c>
      <c r="O864" s="675">
        <f t="shared" si="131"/>
        <v>4.8608</v>
      </c>
      <c r="P864">
        <f t="shared" si="132"/>
        <v>50</v>
      </c>
      <c r="Q864" s="834">
        <f t="shared" si="133"/>
        <v>0.0229779411764706</v>
      </c>
    </row>
    <row r="865" spans="1:17">
      <c r="A865" s="801">
        <v>45613</v>
      </c>
      <c r="B865" s="841">
        <v>232.26</v>
      </c>
      <c r="C865" s="841">
        <v>368171</v>
      </c>
      <c r="D865" s="841">
        <v>2339</v>
      </c>
      <c r="E865" s="841">
        <v>0</v>
      </c>
      <c r="F865" s="841">
        <v>0</v>
      </c>
      <c r="G865" s="841">
        <v>10</v>
      </c>
      <c r="H865" s="841">
        <v>28</v>
      </c>
      <c r="I865" s="841">
        <v>1</v>
      </c>
      <c r="J865" s="830">
        <f t="shared" si="127"/>
        <v>0.006353026175337</v>
      </c>
      <c r="K865" s="831">
        <f t="shared" si="128"/>
        <v>0.0992988456605387</v>
      </c>
      <c r="L865" s="809">
        <f t="shared" si="126"/>
        <v>0.630848165662152</v>
      </c>
      <c r="M865" s="839">
        <f t="shared" si="129"/>
        <v>0</v>
      </c>
      <c r="N865" s="840">
        <f t="shared" si="130"/>
        <v>0</v>
      </c>
      <c r="O865" s="675">
        <f t="shared" si="131"/>
        <v>6.11210526315789</v>
      </c>
      <c r="P865">
        <f t="shared" si="132"/>
        <v>38</v>
      </c>
      <c r="Q865" s="834">
        <f t="shared" si="133"/>
        <v>0.0162462590850791</v>
      </c>
    </row>
    <row r="866" spans="1:17">
      <c r="A866" s="801">
        <v>45614</v>
      </c>
      <c r="B866" s="841">
        <v>241.84</v>
      </c>
      <c r="C866" s="841">
        <v>435232</v>
      </c>
      <c r="D866" s="841">
        <v>2167</v>
      </c>
      <c r="E866" s="841">
        <v>0</v>
      </c>
      <c r="F866" s="841">
        <v>0</v>
      </c>
      <c r="G866" s="841">
        <v>15</v>
      </c>
      <c r="H866" s="841">
        <v>32</v>
      </c>
      <c r="I866" s="841">
        <v>0</v>
      </c>
      <c r="J866" s="830">
        <f t="shared" si="127"/>
        <v>0.00497895375340049</v>
      </c>
      <c r="K866" s="831">
        <f t="shared" si="128"/>
        <v>0.111601292108906</v>
      </c>
      <c r="L866" s="809">
        <f t="shared" ref="L866:L929" si="134">B866/C866*1000</f>
        <v>0.555657672229983</v>
      </c>
      <c r="M866" s="839">
        <f t="shared" si="129"/>
        <v>0</v>
      </c>
      <c r="N866" s="840">
        <f t="shared" si="130"/>
        <v>0</v>
      </c>
      <c r="O866" s="675">
        <f t="shared" si="131"/>
        <v>5.14553191489362</v>
      </c>
      <c r="P866">
        <f t="shared" si="132"/>
        <v>47</v>
      </c>
      <c r="Q866" s="834">
        <f t="shared" si="133"/>
        <v>0.0216889709275496</v>
      </c>
    </row>
    <row r="867" spans="1:17">
      <c r="A867" s="801">
        <v>45615</v>
      </c>
      <c r="B867" s="841">
        <v>249.6</v>
      </c>
      <c r="C867" s="841">
        <v>279095</v>
      </c>
      <c r="D867" s="841">
        <v>1945</v>
      </c>
      <c r="E867" s="841">
        <v>1</v>
      </c>
      <c r="F867" s="841">
        <v>22368</v>
      </c>
      <c r="G867" s="841">
        <v>15</v>
      </c>
      <c r="H867" s="841">
        <v>18</v>
      </c>
      <c r="I867" s="841">
        <v>0</v>
      </c>
      <c r="J867" s="830">
        <f t="shared" ref="J867:J907" si="135">D867/C867</f>
        <v>0.00696895322381268</v>
      </c>
      <c r="K867" s="831">
        <f t="shared" ref="K867:K907" si="136">B867/D867</f>
        <v>0.128329048843188</v>
      </c>
      <c r="L867" s="809">
        <f t="shared" si="134"/>
        <v>0.894319138644547</v>
      </c>
      <c r="M867" s="839">
        <f t="shared" ref="M867:M890" si="137">F867/B867</f>
        <v>89.6153846153846</v>
      </c>
      <c r="N867" s="840">
        <f t="shared" ref="N867:N910" si="138">E867/D867</f>
        <v>0.00051413881748072</v>
      </c>
      <c r="O867" s="675">
        <f t="shared" ref="O867:O907" si="139">B867/(G867+H867)</f>
        <v>7.56363636363636</v>
      </c>
      <c r="P867">
        <f t="shared" ref="P867:P907" si="140">G867+H867</f>
        <v>33</v>
      </c>
      <c r="Q867" s="834">
        <f t="shared" ref="Q867:Q907" si="141">P867/D867</f>
        <v>0.0169665809768638</v>
      </c>
    </row>
    <row r="868" spans="1:17">
      <c r="A868" s="801">
        <v>45616</v>
      </c>
      <c r="B868" s="841">
        <v>238.89</v>
      </c>
      <c r="C868" s="841">
        <v>324647</v>
      </c>
      <c r="D868" s="841">
        <v>1922</v>
      </c>
      <c r="E868" s="841">
        <v>0</v>
      </c>
      <c r="F868" s="841">
        <v>0</v>
      </c>
      <c r="G868" s="841">
        <v>18</v>
      </c>
      <c r="H868" s="841">
        <v>22</v>
      </c>
      <c r="I868" s="841">
        <v>1</v>
      </c>
      <c r="J868" s="830">
        <f t="shared" si="135"/>
        <v>0.00592027648492054</v>
      </c>
      <c r="K868" s="831">
        <f t="shared" si="136"/>
        <v>0.124292403746098</v>
      </c>
      <c r="L868" s="809">
        <f t="shared" si="134"/>
        <v>0.735845395152273</v>
      </c>
      <c r="M868" s="839">
        <f t="shared" si="137"/>
        <v>0</v>
      </c>
      <c r="N868" s="840">
        <f t="shared" si="138"/>
        <v>0</v>
      </c>
      <c r="O868" s="675">
        <f t="shared" si="139"/>
        <v>5.97225</v>
      </c>
      <c r="P868">
        <f t="shared" si="140"/>
        <v>40</v>
      </c>
      <c r="Q868" s="834">
        <f t="shared" si="141"/>
        <v>0.0208116545265349</v>
      </c>
    </row>
    <row r="869" spans="1:17">
      <c r="A869" s="801">
        <v>45617</v>
      </c>
      <c r="B869" s="841">
        <v>236.06</v>
      </c>
      <c r="C869" s="841">
        <v>261067</v>
      </c>
      <c r="D869" s="841">
        <v>2156</v>
      </c>
      <c r="E869" s="841">
        <v>0</v>
      </c>
      <c r="F869" s="841">
        <v>0</v>
      </c>
      <c r="G869" s="841">
        <v>13</v>
      </c>
      <c r="H869" s="841">
        <v>27</v>
      </c>
      <c r="I869" s="841">
        <v>0</v>
      </c>
      <c r="J869" s="830">
        <f t="shared" si="135"/>
        <v>0.00825841642183807</v>
      </c>
      <c r="K869" s="831">
        <f t="shared" si="136"/>
        <v>0.109489795918367</v>
      </c>
      <c r="L869" s="809">
        <f t="shared" si="134"/>
        <v>0.904212328635944</v>
      </c>
      <c r="M869" s="839">
        <f t="shared" si="137"/>
        <v>0</v>
      </c>
      <c r="N869" s="840">
        <f t="shared" si="138"/>
        <v>0</v>
      </c>
      <c r="O869" s="675">
        <f t="shared" si="139"/>
        <v>5.9015</v>
      </c>
      <c r="P869">
        <f t="shared" si="140"/>
        <v>40</v>
      </c>
      <c r="Q869" s="834">
        <f t="shared" si="141"/>
        <v>0.0185528756957328</v>
      </c>
    </row>
    <row r="870" spans="1:17">
      <c r="A870" s="801">
        <v>45618</v>
      </c>
      <c r="B870" s="841">
        <v>237.25</v>
      </c>
      <c r="C870" s="841">
        <v>282154</v>
      </c>
      <c r="D870" s="841">
        <v>2127</v>
      </c>
      <c r="E870" s="841">
        <v>0</v>
      </c>
      <c r="F870" s="841">
        <v>0</v>
      </c>
      <c r="G870" s="841">
        <v>12</v>
      </c>
      <c r="H870" s="841">
        <v>31</v>
      </c>
      <c r="I870" s="841">
        <v>1</v>
      </c>
      <c r="J870" s="830">
        <f t="shared" si="135"/>
        <v>0.00753843645668677</v>
      </c>
      <c r="K870" s="831">
        <f t="shared" si="136"/>
        <v>0.111542078044194</v>
      </c>
      <c r="L870" s="809">
        <f t="shared" si="134"/>
        <v>0.840852867582951</v>
      </c>
      <c r="M870" s="839">
        <f t="shared" si="137"/>
        <v>0</v>
      </c>
      <c r="N870" s="840">
        <f t="shared" si="138"/>
        <v>0</v>
      </c>
      <c r="O870" s="675">
        <f t="shared" si="139"/>
        <v>5.51744186046512</v>
      </c>
      <c r="P870">
        <f t="shared" si="140"/>
        <v>43</v>
      </c>
      <c r="Q870" s="834">
        <f t="shared" si="141"/>
        <v>0.0202162670427833</v>
      </c>
    </row>
    <row r="871" spans="1:17">
      <c r="A871" s="801">
        <v>45619</v>
      </c>
      <c r="B871" s="841">
        <v>236.61</v>
      </c>
      <c r="C871" s="841">
        <v>270039</v>
      </c>
      <c r="D871" s="841">
        <v>2047</v>
      </c>
      <c r="E871" s="841">
        <v>0</v>
      </c>
      <c r="F871" s="841">
        <v>0</v>
      </c>
      <c r="G871" s="841">
        <v>22</v>
      </c>
      <c r="H871" s="841">
        <v>34</v>
      </c>
      <c r="I871" s="841">
        <v>0</v>
      </c>
      <c r="J871" s="830">
        <f t="shared" si="135"/>
        <v>0.00758038653675951</v>
      </c>
      <c r="K871" s="831">
        <f t="shared" si="136"/>
        <v>0.115588666340987</v>
      </c>
      <c r="L871" s="809">
        <f t="shared" si="134"/>
        <v>0.876206770133203</v>
      </c>
      <c r="M871" s="839">
        <f t="shared" si="137"/>
        <v>0</v>
      </c>
      <c r="N871" s="840">
        <f t="shared" si="138"/>
        <v>0</v>
      </c>
      <c r="O871" s="675">
        <f t="shared" si="139"/>
        <v>4.22517857142857</v>
      </c>
      <c r="P871">
        <f t="shared" si="140"/>
        <v>56</v>
      </c>
      <c r="Q871" s="834">
        <f t="shared" si="141"/>
        <v>0.0273571079628725</v>
      </c>
    </row>
    <row r="872" spans="1:17">
      <c r="A872" s="801">
        <v>45620</v>
      </c>
      <c r="B872" s="841">
        <v>239.06</v>
      </c>
      <c r="C872" s="841">
        <v>339900</v>
      </c>
      <c r="D872" s="841">
        <v>2282</v>
      </c>
      <c r="E872" s="841">
        <v>0</v>
      </c>
      <c r="F872" s="841">
        <v>0</v>
      </c>
      <c r="G872" s="841">
        <v>5</v>
      </c>
      <c r="H872" s="841">
        <v>38</v>
      </c>
      <c r="I872" s="841">
        <v>0</v>
      </c>
      <c r="J872" s="830">
        <f t="shared" si="135"/>
        <v>0.00671373933509856</v>
      </c>
      <c r="K872" s="831">
        <f t="shared" si="136"/>
        <v>0.10475898334794</v>
      </c>
      <c r="L872" s="809">
        <f t="shared" si="134"/>
        <v>0.703324507208002</v>
      </c>
      <c r="M872" s="839">
        <f t="shared" si="137"/>
        <v>0</v>
      </c>
      <c r="N872" s="840">
        <f t="shared" si="138"/>
        <v>0</v>
      </c>
      <c r="O872" s="675">
        <f t="shared" si="139"/>
        <v>5.55953488372093</v>
      </c>
      <c r="P872">
        <f t="shared" si="140"/>
        <v>43</v>
      </c>
      <c r="Q872" s="834">
        <f t="shared" si="141"/>
        <v>0.0188431200701139</v>
      </c>
    </row>
    <row r="873" spans="1:17">
      <c r="A873" s="801">
        <v>45621</v>
      </c>
      <c r="B873" s="841">
        <v>242.35</v>
      </c>
      <c r="C873" s="841">
        <v>311791</v>
      </c>
      <c r="D873" s="841">
        <v>1977</v>
      </c>
      <c r="E873" s="841">
        <v>0</v>
      </c>
      <c r="F873" s="841">
        <v>0</v>
      </c>
      <c r="G873" s="841">
        <v>9</v>
      </c>
      <c r="H873" s="841">
        <v>32</v>
      </c>
      <c r="I873" s="841">
        <v>1</v>
      </c>
      <c r="J873" s="830">
        <f t="shared" si="135"/>
        <v>0.00634078597522058</v>
      </c>
      <c r="K873" s="831">
        <f t="shared" si="136"/>
        <v>0.122584724329793</v>
      </c>
      <c r="L873" s="809">
        <f t="shared" si="134"/>
        <v>0.77728350080663</v>
      </c>
      <c r="M873" s="839">
        <f t="shared" si="137"/>
        <v>0</v>
      </c>
      <c r="N873" s="840">
        <f t="shared" si="138"/>
        <v>0</v>
      </c>
      <c r="O873" s="675">
        <f t="shared" si="139"/>
        <v>5.9109756097561</v>
      </c>
      <c r="P873">
        <f t="shared" si="140"/>
        <v>41</v>
      </c>
      <c r="Q873" s="834">
        <f t="shared" si="141"/>
        <v>0.020738492665655</v>
      </c>
    </row>
    <row r="874" spans="1:17">
      <c r="A874" s="801">
        <v>45622</v>
      </c>
      <c r="B874" s="841">
        <v>237.68</v>
      </c>
      <c r="C874" s="841">
        <v>528800</v>
      </c>
      <c r="D874" s="841">
        <v>2067</v>
      </c>
      <c r="E874" s="841">
        <v>0</v>
      </c>
      <c r="F874" s="841">
        <v>0</v>
      </c>
      <c r="G874" s="841">
        <v>11</v>
      </c>
      <c r="H874" s="841">
        <v>33</v>
      </c>
      <c r="I874" s="841">
        <v>2</v>
      </c>
      <c r="J874" s="830">
        <f t="shared" si="135"/>
        <v>0.0039088502269289</v>
      </c>
      <c r="K874" s="831">
        <f t="shared" si="136"/>
        <v>0.114987905176584</v>
      </c>
      <c r="L874" s="809">
        <f t="shared" si="134"/>
        <v>0.44947049924357</v>
      </c>
      <c r="M874" s="839">
        <f t="shared" si="137"/>
        <v>0</v>
      </c>
      <c r="N874" s="840">
        <f t="shared" si="138"/>
        <v>0</v>
      </c>
      <c r="O874" s="675">
        <f t="shared" si="139"/>
        <v>5.40181818181818</v>
      </c>
      <c r="P874">
        <f t="shared" si="140"/>
        <v>44</v>
      </c>
      <c r="Q874" s="834">
        <f t="shared" si="141"/>
        <v>0.0212868892114175</v>
      </c>
    </row>
    <row r="875" spans="1:17">
      <c r="A875" s="801">
        <v>45623</v>
      </c>
      <c r="B875" s="841">
        <v>243.45</v>
      </c>
      <c r="C875" s="841">
        <v>430316</v>
      </c>
      <c r="D875" s="841">
        <v>1867</v>
      </c>
      <c r="E875" s="841">
        <v>0</v>
      </c>
      <c r="F875" s="841">
        <v>0</v>
      </c>
      <c r="G875" s="841">
        <v>8</v>
      </c>
      <c r="H875" s="841">
        <v>28</v>
      </c>
      <c r="I875" s="841">
        <v>3</v>
      </c>
      <c r="J875" s="830">
        <f t="shared" si="135"/>
        <v>0.00433867204565947</v>
      </c>
      <c r="K875" s="831">
        <f t="shared" si="136"/>
        <v>0.130396357793251</v>
      </c>
      <c r="L875" s="809">
        <f t="shared" si="134"/>
        <v>0.565747032413389</v>
      </c>
      <c r="M875" s="839">
        <f t="shared" si="137"/>
        <v>0</v>
      </c>
      <c r="N875" s="840">
        <f t="shared" si="138"/>
        <v>0</v>
      </c>
      <c r="O875" s="675">
        <f t="shared" si="139"/>
        <v>6.7625</v>
      </c>
      <c r="P875">
        <f t="shared" si="140"/>
        <v>36</v>
      </c>
      <c r="Q875" s="834">
        <f t="shared" si="141"/>
        <v>0.0192822710230316</v>
      </c>
    </row>
    <row r="876" spans="1:17">
      <c r="A876" s="801">
        <v>45624</v>
      </c>
      <c r="B876" s="841">
        <v>241.6</v>
      </c>
      <c r="C876" s="841">
        <v>431774</v>
      </c>
      <c r="D876" s="841">
        <v>1840</v>
      </c>
      <c r="E876" s="841">
        <v>0</v>
      </c>
      <c r="F876" s="841">
        <v>0</v>
      </c>
      <c r="G876" s="841">
        <v>8</v>
      </c>
      <c r="H876" s="841">
        <v>37</v>
      </c>
      <c r="I876" s="841">
        <v>3</v>
      </c>
      <c r="J876" s="830">
        <f t="shared" si="135"/>
        <v>0.00426148864915442</v>
      </c>
      <c r="K876" s="831">
        <f t="shared" si="136"/>
        <v>0.131304347826087</v>
      </c>
      <c r="L876" s="809">
        <f t="shared" si="134"/>
        <v>0.559551987845493</v>
      </c>
      <c r="M876" s="839">
        <f t="shared" si="137"/>
        <v>0</v>
      </c>
      <c r="N876" s="840">
        <f t="shared" si="138"/>
        <v>0</v>
      </c>
      <c r="O876" s="675">
        <f t="shared" si="139"/>
        <v>5.36888888888889</v>
      </c>
      <c r="P876">
        <f t="shared" si="140"/>
        <v>45</v>
      </c>
      <c r="Q876" s="834">
        <f t="shared" si="141"/>
        <v>0.0244565217391304</v>
      </c>
    </row>
    <row r="877" spans="1:17">
      <c r="A877" s="801">
        <v>45625</v>
      </c>
      <c r="B877" s="841">
        <v>242.43</v>
      </c>
      <c r="C877" s="841">
        <v>354527</v>
      </c>
      <c r="D877" s="841">
        <v>1718</v>
      </c>
      <c r="E877" s="841">
        <v>0</v>
      </c>
      <c r="F877" s="841">
        <v>0</v>
      </c>
      <c r="G877" s="841">
        <v>9</v>
      </c>
      <c r="H877" s="841">
        <v>35</v>
      </c>
      <c r="I877" s="841">
        <v>1</v>
      </c>
      <c r="J877" s="830">
        <f t="shared" si="135"/>
        <v>0.00484589326059792</v>
      </c>
      <c r="K877" s="831">
        <f t="shared" si="136"/>
        <v>0.141111757857974</v>
      </c>
      <c r="L877" s="809">
        <f t="shared" si="134"/>
        <v>0.683812516395084</v>
      </c>
      <c r="M877" s="839">
        <f t="shared" si="137"/>
        <v>0</v>
      </c>
      <c r="N877" s="840">
        <f t="shared" si="138"/>
        <v>0</v>
      </c>
      <c r="O877" s="675">
        <f t="shared" si="139"/>
        <v>5.50977272727273</v>
      </c>
      <c r="P877">
        <f t="shared" si="140"/>
        <v>44</v>
      </c>
      <c r="Q877" s="834">
        <f t="shared" si="141"/>
        <v>0.0256111757857974</v>
      </c>
    </row>
    <row r="878" spans="1:17">
      <c r="A878" s="801">
        <v>45626</v>
      </c>
      <c r="B878" s="841">
        <v>237.12</v>
      </c>
      <c r="C878" s="841">
        <v>349053</v>
      </c>
      <c r="D878" s="841">
        <v>2013</v>
      </c>
      <c r="E878" s="841">
        <v>0</v>
      </c>
      <c r="F878" s="841">
        <v>0</v>
      </c>
      <c r="G878" s="841">
        <v>7</v>
      </c>
      <c r="H878" s="841">
        <v>26</v>
      </c>
      <c r="I878" s="841">
        <v>1</v>
      </c>
      <c r="J878" s="830">
        <f t="shared" si="135"/>
        <v>0.00576703251368703</v>
      </c>
      <c r="K878" s="831">
        <f t="shared" si="136"/>
        <v>0.11779433681073</v>
      </c>
      <c r="L878" s="809">
        <f t="shared" si="134"/>
        <v>0.679323770315683</v>
      </c>
      <c r="M878" s="839">
        <f t="shared" si="137"/>
        <v>0</v>
      </c>
      <c r="N878" s="840">
        <f t="shared" si="138"/>
        <v>0</v>
      </c>
      <c r="O878" s="675">
        <f t="shared" si="139"/>
        <v>7.18545454545455</v>
      </c>
      <c r="P878">
        <f t="shared" si="140"/>
        <v>33</v>
      </c>
      <c r="Q878" s="834">
        <f t="shared" si="141"/>
        <v>0.0163934426229508</v>
      </c>
    </row>
    <row r="879" spans="1:17">
      <c r="A879" s="801">
        <v>45627</v>
      </c>
      <c r="B879" s="841">
        <v>238.06</v>
      </c>
      <c r="C879" s="841">
        <v>347131</v>
      </c>
      <c r="D879" s="841">
        <v>2023</v>
      </c>
      <c r="E879" s="841">
        <v>0</v>
      </c>
      <c r="F879" s="841">
        <v>0</v>
      </c>
      <c r="G879" s="841">
        <v>10</v>
      </c>
      <c r="H879" s="841">
        <v>32</v>
      </c>
      <c r="I879" s="841">
        <v>4</v>
      </c>
      <c r="J879" s="830">
        <f t="shared" si="135"/>
        <v>0.00582777107201604</v>
      </c>
      <c r="K879" s="831">
        <f t="shared" si="136"/>
        <v>0.117676717745922</v>
      </c>
      <c r="L879" s="809">
        <f t="shared" si="134"/>
        <v>0.68579297152948</v>
      </c>
      <c r="M879" s="839">
        <f t="shared" si="137"/>
        <v>0</v>
      </c>
      <c r="N879" s="840">
        <f t="shared" si="138"/>
        <v>0</v>
      </c>
      <c r="O879" s="675">
        <f t="shared" si="139"/>
        <v>5.66809523809524</v>
      </c>
      <c r="P879">
        <f t="shared" si="140"/>
        <v>42</v>
      </c>
      <c r="Q879" s="834">
        <f t="shared" si="141"/>
        <v>0.0207612456747405</v>
      </c>
    </row>
    <row r="880" spans="1:17">
      <c r="A880" s="801">
        <v>45628</v>
      </c>
      <c r="B880" s="670">
        <v>242.05</v>
      </c>
      <c r="C880" s="671">
        <v>356033</v>
      </c>
      <c r="D880" s="37">
        <v>1748</v>
      </c>
      <c r="E880" s="37">
        <v>0</v>
      </c>
      <c r="F880" s="841">
        <v>0</v>
      </c>
      <c r="G880" s="37">
        <v>11</v>
      </c>
      <c r="H880" s="37">
        <v>31</v>
      </c>
      <c r="I880" s="37">
        <v>2</v>
      </c>
      <c r="J880" s="830">
        <f t="shared" si="135"/>
        <v>0.00490965725087281</v>
      </c>
      <c r="K880" s="831">
        <f t="shared" si="136"/>
        <v>0.138472540045767</v>
      </c>
      <c r="L880" s="809">
        <f t="shared" si="134"/>
        <v>0.679852710282474</v>
      </c>
      <c r="M880" s="839">
        <f t="shared" si="137"/>
        <v>0</v>
      </c>
      <c r="N880" s="840">
        <f t="shared" si="138"/>
        <v>0</v>
      </c>
      <c r="O880" s="675">
        <f t="shared" si="139"/>
        <v>5.76309523809524</v>
      </c>
      <c r="P880">
        <f t="shared" si="140"/>
        <v>42</v>
      </c>
      <c r="Q880" s="834">
        <f t="shared" si="141"/>
        <v>0.0240274599542334</v>
      </c>
    </row>
    <row r="881" spans="1:17">
      <c r="A881" s="801">
        <v>45629</v>
      </c>
      <c r="B881" s="670">
        <v>243.45</v>
      </c>
      <c r="C881" s="671">
        <v>337586</v>
      </c>
      <c r="D881" s="37">
        <v>1909</v>
      </c>
      <c r="E881" s="37">
        <v>0</v>
      </c>
      <c r="F881" s="841">
        <v>0</v>
      </c>
      <c r="G881" s="37">
        <v>10</v>
      </c>
      <c r="H881" s="37">
        <v>26</v>
      </c>
      <c r="I881" s="37">
        <v>2</v>
      </c>
      <c r="J881" s="830">
        <f t="shared" si="135"/>
        <v>0.00565485535537611</v>
      </c>
      <c r="K881" s="831">
        <f t="shared" si="136"/>
        <v>0.127527501309586</v>
      </c>
      <c r="L881" s="809">
        <f t="shared" si="134"/>
        <v>0.721149573738247</v>
      </c>
      <c r="M881" s="839">
        <f t="shared" si="137"/>
        <v>0</v>
      </c>
      <c r="N881" s="840">
        <f t="shared" si="138"/>
        <v>0</v>
      </c>
      <c r="O881" s="675">
        <f t="shared" si="139"/>
        <v>6.7625</v>
      </c>
      <c r="P881">
        <f t="shared" si="140"/>
        <v>36</v>
      </c>
      <c r="Q881" s="834">
        <f t="shared" si="141"/>
        <v>0.0188580408590885</v>
      </c>
    </row>
    <row r="882" spans="1:17">
      <c r="A882" s="801">
        <v>45630</v>
      </c>
      <c r="B882" s="670">
        <v>235.83</v>
      </c>
      <c r="C882" s="671">
        <v>281686</v>
      </c>
      <c r="D882" s="37">
        <v>1633</v>
      </c>
      <c r="E882" s="37">
        <v>0</v>
      </c>
      <c r="F882" s="841">
        <v>0</v>
      </c>
      <c r="G882" s="37">
        <v>6</v>
      </c>
      <c r="H882" s="37">
        <v>22</v>
      </c>
      <c r="I882" s="37">
        <v>0</v>
      </c>
      <c r="J882" s="830">
        <f t="shared" si="135"/>
        <v>0.00579723521935772</v>
      </c>
      <c r="K882" s="831">
        <f t="shared" si="136"/>
        <v>0.144415186772811</v>
      </c>
      <c r="L882" s="809">
        <f t="shared" si="134"/>
        <v>0.837208806969463</v>
      </c>
      <c r="M882" s="839">
        <f t="shared" si="137"/>
        <v>0</v>
      </c>
      <c r="N882" s="840">
        <f t="shared" si="138"/>
        <v>0</v>
      </c>
      <c r="O882" s="675">
        <f t="shared" si="139"/>
        <v>8.4225</v>
      </c>
      <c r="P882">
        <f t="shared" si="140"/>
        <v>28</v>
      </c>
      <c r="Q882" s="834">
        <f t="shared" si="141"/>
        <v>0.0171463563992652</v>
      </c>
    </row>
    <row r="883" spans="1:17">
      <c r="A883" s="801">
        <v>45631</v>
      </c>
      <c r="B883" s="670">
        <v>194.61</v>
      </c>
      <c r="C883" s="671">
        <v>30181</v>
      </c>
      <c r="D883" s="37">
        <v>307</v>
      </c>
      <c r="E883" s="37">
        <v>0</v>
      </c>
      <c r="F883" s="841">
        <v>0</v>
      </c>
      <c r="G883" s="37">
        <v>11</v>
      </c>
      <c r="H883" s="37">
        <v>24</v>
      </c>
      <c r="I883" s="37">
        <v>1</v>
      </c>
      <c r="J883" s="830">
        <f t="shared" si="135"/>
        <v>0.0101719624929591</v>
      </c>
      <c r="K883" s="831">
        <f t="shared" si="136"/>
        <v>0.633908794788274</v>
      </c>
      <c r="L883" s="809">
        <f t="shared" si="134"/>
        <v>6.44809648454326</v>
      </c>
      <c r="M883" s="839">
        <f t="shared" si="137"/>
        <v>0</v>
      </c>
      <c r="N883" s="840">
        <f t="shared" si="138"/>
        <v>0</v>
      </c>
      <c r="O883" s="675">
        <f t="shared" si="139"/>
        <v>5.56028571428571</v>
      </c>
      <c r="P883">
        <f t="shared" si="140"/>
        <v>35</v>
      </c>
      <c r="Q883" s="834">
        <f t="shared" si="141"/>
        <v>0.11400651465798</v>
      </c>
    </row>
    <row r="884" spans="1:17">
      <c r="A884" s="801">
        <v>45632</v>
      </c>
      <c r="B884" s="670">
        <v>191.06</v>
      </c>
      <c r="C884" s="671">
        <v>31585</v>
      </c>
      <c r="D884" s="37">
        <v>310</v>
      </c>
      <c r="E884" s="37">
        <v>0</v>
      </c>
      <c r="F884" s="841">
        <v>0</v>
      </c>
      <c r="G884" s="37">
        <v>13</v>
      </c>
      <c r="H884" s="37">
        <v>24</v>
      </c>
      <c r="I884" s="37">
        <v>1</v>
      </c>
      <c r="J884" s="830">
        <f t="shared" si="135"/>
        <v>0.00981478549944594</v>
      </c>
      <c r="K884" s="831">
        <f t="shared" si="136"/>
        <v>0.616322580645161</v>
      </c>
      <c r="L884" s="809">
        <f t="shared" si="134"/>
        <v>6.04907392749723</v>
      </c>
      <c r="M884" s="839">
        <f t="shared" si="137"/>
        <v>0</v>
      </c>
      <c r="N884" s="840">
        <f t="shared" si="138"/>
        <v>0</v>
      </c>
      <c r="O884" s="675">
        <f t="shared" si="139"/>
        <v>5.16378378378378</v>
      </c>
      <c r="P884">
        <f t="shared" si="140"/>
        <v>37</v>
      </c>
      <c r="Q884" s="834">
        <f t="shared" si="141"/>
        <v>0.119354838709677</v>
      </c>
    </row>
    <row r="885" spans="1:17">
      <c r="A885" s="801">
        <v>45633</v>
      </c>
      <c r="B885" s="670">
        <v>188.41</v>
      </c>
      <c r="C885" s="671">
        <v>24178</v>
      </c>
      <c r="D885" s="37">
        <v>439</v>
      </c>
      <c r="E885" s="37">
        <v>0</v>
      </c>
      <c r="F885" s="841">
        <v>0</v>
      </c>
      <c r="G885" s="37">
        <v>17</v>
      </c>
      <c r="H885" s="37">
        <v>37</v>
      </c>
      <c r="I885" s="37">
        <v>2</v>
      </c>
      <c r="J885" s="830">
        <f t="shared" si="135"/>
        <v>0.0181570022334354</v>
      </c>
      <c r="K885" s="831">
        <f t="shared" si="136"/>
        <v>0.429179954441913</v>
      </c>
      <c r="L885" s="809">
        <f t="shared" si="134"/>
        <v>7.79262139134751</v>
      </c>
      <c r="M885" s="839">
        <f t="shared" si="137"/>
        <v>0</v>
      </c>
      <c r="N885" s="840">
        <f t="shared" si="138"/>
        <v>0</v>
      </c>
      <c r="O885" s="675">
        <f t="shared" si="139"/>
        <v>3.48907407407407</v>
      </c>
      <c r="P885">
        <f t="shared" si="140"/>
        <v>54</v>
      </c>
      <c r="Q885" s="834">
        <f t="shared" si="141"/>
        <v>0.123006833712984</v>
      </c>
    </row>
    <row r="886" spans="1:17">
      <c r="A886" s="801">
        <v>45634</v>
      </c>
      <c r="B886" s="670">
        <v>189.76</v>
      </c>
      <c r="C886" s="671">
        <v>50349</v>
      </c>
      <c r="D886" s="37">
        <v>438</v>
      </c>
      <c r="E886" s="37">
        <v>0</v>
      </c>
      <c r="F886" s="841">
        <v>0</v>
      </c>
      <c r="G886" s="37">
        <v>16</v>
      </c>
      <c r="H886" s="37">
        <v>22</v>
      </c>
      <c r="I886" s="37">
        <v>1</v>
      </c>
      <c r="J886" s="830">
        <f t="shared" si="135"/>
        <v>0.00869927903235417</v>
      </c>
      <c r="K886" s="831">
        <f t="shared" si="136"/>
        <v>0.43324200913242</v>
      </c>
      <c r="L886" s="809">
        <f t="shared" si="134"/>
        <v>3.76889312598065</v>
      </c>
      <c r="M886" s="839">
        <f t="shared" si="137"/>
        <v>0</v>
      </c>
      <c r="N886" s="840">
        <f t="shared" si="138"/>
        <v>0</v>
      </c>
      <c r="O886" s="675">
        <f t="shared" si="139"/>
        <v>4.99368421052632</v>
      </c>
      <c r="P886">
        <f t="shared" si="140"/>
        <v>38</v>
      </c>
      <c r="Q886" s="834">
        <f t="shared" si="141"/>
        <v>0.0867579908675799</v>
      </c>
    </row>
    <row r="887" spans="1:17">
      <c r="A887" s="801">
        <v>45635</v>
      </c>
      <c r="B887" s="670">
        <v>658.07</v>
      </c>
      <c r="C887" s="671">
        <v>47693</v>
      </c>
      <c r="D887" s="37">
        <v>509</v>
      </c>
      <c r="E887" s="37">
        <v>1</v>
      </c>
      <c r="F887" s="41">
        <v>9198</v>
      </c>
      <c r="G887" s="37">
        <v>21</v>
      </c>
      <c r="H887" s="37">
        <v>27</v>
      </c>
      <c r="I887" s="37">
        <v>4</v>
      </c>
      <c r="J887" s="830">
        <f t="shared" si="135"/>
        <v>0.0106724257228524</v>
      </c>
      <c r="K887" s="831">
        <f t="shared" si="136"/>
        <v>1.29286836935167</v>
      </c>
      <c r="L887" s="809">
        <f t="shared" si="134"/>
        <v>13.798041641331</v>
      </c>
      <c r="M887" s="839">
        <f t="shared" si="137"/>
        <v>13.9772364642059</v>
      </c>
      <c r="N887" s="840">
        <f t="shared" si="138"/>
        <v>0.00196463654223969</v>
      </c>
      <c r="O887" s="675">
        <f t="shared" si="139"/>
        <v>13.7097916666667</v>
      </c>
      <c r="P887">
        <f t="shared" si="140"/>
        <v>48</v>
      </c>
      <c r="Q887" s="834">
        <f t="shared" si="141"/>
        <v>0.0943025540275049</v>
      </c>
    </row>
    <row r="888" spans="1:17">
      <c r="A888" s="801">
        <v>45636</v>
      </c>
      <c r="B888" s="670">
        <v>678.01</v>
      </c>
      <c r="C888" s="671">
        <v>57687</v>
      </c>
      <c r="D888" s="37">
        <v>633</v>
      </c>
      <c r="E888" s="37">
        <v>0</v>
      </c>
      <c r="F888" s="841">
        <v>0</v>
      </c>
      <c r="G888" s="37">
        <v>17</v>
      </c>
      <c r="H888" s="37">
        <v>44</v>
      </c>
      <c r="I888" s="37">
        <v>1</v>
      </c>
      <c r="J888" s="830">
        <f t="shared" si="135"/>
        <v>0.0109730095168756</v>
      </c>
      <c r="K888" s="831">
        <f t="shared" si="136"/>
        <v>1.07110584518167</v>
      </c>
      <c r="L888" s="809">
        <f t="shared" si="134"/>
        <v>11.7532546327595</v>
      </c>
      <c r="M888" s="839">
        <f t="shared" si="137"/>
        <v>0</v>
      </c>
      <c r="N888" s="840">
        <f t="shared" si="138"/>
        <v>0</v>
      </c>
      <c r="O888" s="675">
        <f t="shared" si="139"/>
        <v>11.1149180327869</v>
      </c>
      <c r="P888">
        <f t="shared" si="140"/>
        <v>61</v>
      </c>
      <c r="Q888" s="834">
        <f t="shared" si="141"/>
        <v>0.0963665086887836</v>
      </c>
    </row>
    <row r="889" spans="1:17">
      <c r="A889" s="801">
        <v>45637</v>
      </c>
      <c r="B889" s="670">
        <v>687.11</v>
      </c>
      <c r="C889" s="671">
        <v>54451</v>
      </c>
      <c r="D889" s="37">
        <v>575</v>
      </c>
      <c r="E889" s="37">
        <v>0</v>
      </c>
      <c r="F889" s="841">
        <v>0</v>
      </c>
      <c r="G889" s="37">
        <v>30</v>
      </c>
      <c r="H889" s="37">
        <v>49</v>
      </c>
      <c r="I889" s="37">
        <v>0</v>
      </c>
      <c r="J889" s="830">
        <f t="shared" si="135"/>
        <v>0.0105599529852528</v>
      </c>
      <c r="K889" s="831">
        <f t="shared" si="136"/>
        <v>1.19497391304348</v>
      </c>
      <c r="L889" s="809">
        <f t="shared" si="134"/>
        <v>12.6188683403427</v>
      </c>
      <c r="M889" s="839">
        <f t="shared" si="137"/>
        <v>0</v>
      </c>
      <c r="N889" s="840">
        <f t="shared" si="138"/>
        <v>0</v>
      </c>
      <c r="O889" s="675">
        <f t="shared" si="139"/>
        <v>8.69759493670886</v>
      </c>
      <c r="P889">
        <f t="shared" si="140"/>
        <v>79</v>
      </c>
      <c r="Q889" s="834">
        <f t="shared" si="141"/>
        <v>0.137391304347826</v>
      </c>
    </row>
    <row r="890" spans="1:17">
      <c r="A890" s="801">
        <v>45638</v>
      </c>
      <c r="B890" s="670">
        <v>673.25</v>
      </c>
      <c r="C890" s="671">
        <v>26096</v>
      </c>
      <c r="D890" s="37">
        <v>593</v>
      </c>
      <c r="E890" s="37">
        <v>3</v>
      </c>
      <c r="F890" s="41">
        <v>23295</v>
      </c>
      <c r="G890" s="37">
        <v>23</v>
      </c>
      <c r="H890" s="37">
        <v>26</v>
      </c>
      <c r="I890" s="37">
        <v>0</v>
      </c>
      <c r="J890" s="830">
        <f t="shared" si="135"/>
        <v>0.02272378908645</v>
      </c>
      <c r="K890" s="831">
        <f t="shared" si="136"/>
        <v>1.13532883642496</v>
      </c>
      <c r="L890" s="809">
        <f t="shared" si="134"/>
        <v>25.7989730226855</v>
      </c>
      <c r="M890" s="839">
        <f t="shared" si="137"/>
        <v>34.6008169327887</v>
      </c>
      <c r="N890" s="840">
        <f t="shared" si="138"/>
        <v>0.00505902192242833</v>
      </c>
      <c r="O890" s="675">
        <f t="shared" si="139"/>
        <v>13.7397959183673</v>
      </c>
      <c r="P890">
        <f t="shared" si="140"/>
        <v>49</v>
      </c>
      <c r="Q890" s="834">
        <f t="shared" si="141"/>
        <v>0.0826306913996627</v>
      </c>
    </row>
    <row r="891" spans="1:17">
      <c r="A891" s="801">
        <v>45639</v>
      </c>
      <c r="B891" s="670">
        <v>145.81</v>
      </c>
      <c r="C891" s="671">
        <v>8331</v>
      </c>
      <c r="D891" s="37">
        <v>159</v>
      </c>
      <c r="E891" s="37">
        <v>0</v>
      </c>
      <c r="F891" s="841">
        <v>0</v>
      </c>
      <c r="G891" s="37">
        <v>4</v>
      </c>
      <c r="H891" s="37">
        <v>8</v>
      </c>
      <c r="I891" s="37">
        <v>0</v>
      </c>
      <c r="J891" s="830">
        <f t="shared" si="135"/>
        <v>0.019085343896291</v>
      </c>
      <c r="K891" s="831">
        <f t="shared" si="136"/>
        <v>0.917044025157233</v>
      </c>
      <c r="L891" s="809">
        <f t="shared" si="134"/>
        <v>17.5021005881647</v>
      </c>
      <c r="M891" s="839">
        <f t="shared" ref="M891:M930" si="142">F891/B891</f>
        <v>0</v>
      </c>
      <c r="N891" s="840">
        <f t="shared" si="138"/>
        <v>0</v>
      </c>
      <c r="O891" s="675">
        <f t="shared" si="139"/>
        <v>12.1508333333333</v>
      </c>
      <c r="P891">
        <f t="shared" si="140"/>
        <v>12</v>
      </c>
      <c r="Q891" s="834">
        <f t="shared" si="141"/>
        <v>0.0754716981132075</v>
      </c>
    </row>
    <row r="892" spans="1:17">
      <c r="A892" s="801">
        <v>45640</v>
      </c>
      <c r="B892" s="670">
        <v>50</v>
      </c>
      <c r="C892" s="671">
        <v>1222</v>
      </c>
      <c r="D892" s="37">
        <v>30</v>
      </c>
      <c r="E892" s="37">
        <v>0</v>
      </c>
      <c r="F892" s="841">
        <v>0</v>
      </c>
      <c r="G892" s="37">
        <v>1</v>
      </c>
      <c r="H892" s="37">
        <v>0</v>
      </c>
      <c r="I892" s="37">
        <v>0</v>
      </c>
      <c r="J892" s="830">
        <f t="shared" si="135"/>
        <v>0.0245499181669394</v>
      </c>
      <c r="K892" s="831">
        <f t="shared" si="136"/>
        <v>1.66666666666667</v>
      </c>
      <c r="L892" s="809">
        <f t="shared" si="134"/>
        <v>40.9165302782324</v>
      </c>
      <c r="M892" s="839">
        <f t="shared" si="142"/>
        <v>0</v>
      </c>
      <c r="N892" s="840">
        <f t="shared" si="138"/>
        <v>0</v>
      </c>
      <c r="O892" s="675">
        <f t="shared" si="139"/>
        <v>50</v>
      </c>
      <c r="P892">
        <f t="shared" si="140"/>
        <v>1</v>
      </c>
      <c r="Q892" s="834">
        <f t="shared" si="141"/>
        <v>0.0333333333333333</v>
      </c>
    </row>
    <row r="893" spans="1:17">
      <c r="A893" s="801">
        <v>45641</v>
      </c>
      <c r="B893" s="670">
        <v>50</v>
      </c>
      <c r="C893" s="671">
        <v>1809</v>
      </c>
      <c r="D893" s="37">
        <v>36</v>
      </c>
      <c r="E893" s="37">
        <v>0</v>
      </c>
      <c r="F893" s="841">
        <v>0</v>
      </c>
      <c r="G893" s="37">
        <v>0</v>
      </c>
      <c r="H893" s="37">
        <v>0</v>
      </c>
      <c r="I893" s="37">
        <v>0</v>
      </c>
      <c r="J893" s="830">
        <f t="shared" si="135"/>
        <v>0.0199004975124378</v>
      </c>
      <c r="K893" s="831">
        <f t="shared" si="136"/>
        <v>1.38888888888889</v>
      </c>
      <c r="L893" s="809">
        <f t="shared" si="134"/>
        <v>27.6395798783858</v>
      </c>
      <c r="M893" s="839">
        <f t="shared" si="142"/>
        <v>0</v>
      </c>
      <c r="N893" s="840">
        <f t="shared" si="138"/>
        <v>0</v>
      </c>
      <c r="O893" s="675" t="e">
        <f t="shared" si="139"/>
        <v>#DIV/0!</v>
      </c>
      <c r="P893">
        <f t="shared" si="140"/>
        <v>0</v>
      </c>
      <c r="Q893" s="834">
        <f t="shared" si="141"/>
        <v>0</v>
      </c>
    </row>
    <row r="894" spans="1:17">
      <c r="A894" s="801">
        <v>45642</v>
      </c>
      <c r="B894" s="670">
        <v>50</v>
      </c>
      <c r="C894" s="671">
        <v>1884</v>
      </c>
      <c r="D894" s="37">
        <v>30</v>
      </c>
      <c r="E894" s="37">
        <v>0</v>
      </c>
      <c r="F894" s="841">
        <v>0</v>
      </c>
      <c r="G894" s="37">
        <v>3</v>
      </c>
      <c r="H894" s="37">
        <v>1</v>
      </c>
      <c r="I894" s="37">
        <v>0</v>
      </c>
      <c r="J894" s="830">
        <f t="shared" si="135"/>
        <v>0.0159235668789809</v>
      </c>
      <c r="K894" s="831">
        <f t="shared" si="136"/>
        <v>1.66666666666667</v>
      </c>
      <c r="L894" s="809">
        <f t="shared" si="134"/>
        <v>26.5392781316348</v>
      </c>
      <c r="M894" s="839">
        <f t="shared" si="142"/>
        <v>0</v>
      </c>
      <c r="N894" s="840">
        <f t="shared" si="138"/>
        <v>0</v>
      </c>
      <c r="O894" s="675">
        <f t="shared" si="139"/>
        <v>12.5</v>
      </c>
      <c r="P894">
        <f t="shared" si="140"/>
        <v>4</v>
      </c>
      <c r="Q894" s="834">
        <f t="shared" si="141"/>
        <v>0.133333333333333</v>
      </c>
    </row>
    <row r="895" spans="1:17">
      <c r="A895" s="801">
        <v>45643</v>
      </c>
      <c r="B895" s="670">
        <v>22.61</v>
      </c>
      <c r="C895" s="671">
        <v>3692</v>
      </c>
      <c r="D895" s="37">
        <v>47</v>
      </c>
      <c r="E895" s="37">
        <v>0</v>
      </c>
      <c r="F895" s="841">
        <v>0</v>
      </c>
      <c r="G895" s="37">
        <v>0</v>
      </c>
      <c r="H895" s="37">
        <v>0</v>
      </c>
      <c r="I895" s="37">
        <v>0</v>
      </c>
      <c r="J895" s="830">
        <f t="shared" si="135"/>
        <v>0.0127302275189599</v>
      </c>
      <c r="K895" s="831">
        <f t="shared" si="136"/>
        <v>0.481063829787234</v>
      </c>
      <c r="L895" s="809">
        <f t="shared" si="134"/>
        <v>6.12405200433369</v>
      </c>
      <c r="M895" s="839">
        <f t="shared" si="142"/>
        <v>0</v>
      </c>
      <c r="N895" s="840">
        <f t="shared" si="138"/>
        <v>0</v>
      </c>
      <c r="O895" s="675" t="e">
        <f t="shared" si="139"/>
        <v>#DIV/0!</v>
      </c>
      <c r="P895">
        <f t="shared" si="140"/>
        <v>0</v>
      </c>
      <c r="Q895" s="834">
        <f t="shared" si="141"/>
        <v>0</v>
      </c>
    </row>
    <row r="896" spans="1:17">
      <c r="A896" s="801">
        <v>45644</v>
      </c>
      <c r="B896" s="670">
        <v>0</v>
      </c>
      <c r="C896" s="671">
        <v>0</v>
      </c>
      <c r="D896" s="37">
        <v>0</v>
      </c>
      <c r="E896" s="37">
        <v>0</v>
      </c>
      <c r="F896" s="841">
        <v>0</v>
      </c>
      <c r="G896" s="37">
        <v>0</v>
      </c>
      <c r="H896" s="37">
        <v>0</v>
      </c>
      <c r="I896" s="37">
        <v>0</v>
      </c>
      <c r="J896" s="830" t="e">
        <f t="shared" si="135"/>
        <v>#DIV/0!</v>
      </c>
      <c r="K896" s="831" t="e">
        <f t="shared" si="136"/>
        <v>#DIV/0!</v>
      </c>
      <c r="L896" s="809" t="e">
        <f t="shared" si="134"/>
        <v>#DIV/0!</v>
      </c>
      <c r="M896" s="839" t="e">
        <f t="shared" si="142"/>
        <v>#DIV/0!</v>
      </c>
      <c r="N896" s="840" t="e">
        <f t="shared" si="138"/>
        <v>#DIV/0!</v>
      </c>
      <c r="O896" s="675" t="e">
        <f t="shared" si="139"/>
        <v>#DIV/0!</v>
      </c>
      <c r="P896">
        <f t="shared" si="140"/>
        <v>0</v>
      </c>
      <c r="Q896" s="834" t="e">
        <f t="shared" si="141"/>
        <v>#DIV/0!</v>
      </c>
    </row>
    <row r="897" spans="1:17">
      <c r="A897" s="801">
        <v>45645</v>
      </c>
      <c r="B897" s="670">
        <v>0</v>
      </c>
      <c r="C897" s="671">
        <v>0</v>
      </c>
      <c r="D897" s="37">
        <v>0</v>
      </c>
      <c r="E897" s="37">
        <v>0</v>
      </c>
      <c r="F897" s="841">
        <v>0</v>
      </c>
      <c r="G897" s="37">
        <v>0</v>
      </c>
      <c r="H897" s="37">
        <v>0</v>
      </c>
      <c r="I897" s="37">
        <v>0</v>
      </c>
      <c r="J897" s="672" t="e">
        <f t="shared" si="135"/>
        <v>#DIV/0!</v>
      </c>
      <c r="K897" s="673" t="e">
        <f t="shared" si="136"/>
        <v>#DIV/0!</v>
      </c>
      <c r="L897" s="809" t="e">
        <f t="shared" si="134"/>
        <v>#DIV/0!</v>
      </c>
      <c r="M897" s="839" t="e">
        <f t="shared" si="142"/>
        <v>#DIV/0!</v>
      </c>
      <c r="N897" s="39" t="e">
        <f t="shared" si="138"/>
        <v>#DIV/0!</v>
      </c>
      <c r="O897" s="675" t="e">
        <f t="shared" si="139"/>
        <v>#DIV/0!</v>
      </c>
      <c r="P897">
        <f t="shared" si="140"/>
        <v>0</v>
      </c>
      <c r="Q897" s="842" t="e">
        <f t="shared" si="141"/>
        <v>#DIV/0!</v>
      </c>
    </row>
    <row r="898" spans="1:17">
      <c r="A898" s="801">
        <v>45646</v>
      </c>
      <c r="B898" s="670">
        <v>0</v>
      </c>
      <c r="C898" s="671">
        <v>0</v>
      </c>
      <c r="D898" s="37">
        <v>0</v>
      </c>
      <c r="E898" s="37">
        <v>0</v>
      </c>
      <c r="F898" s="841">
        <v>0</v>
      </c>
      <c r="G898" s="37">
        <v>0</v>
      </c>
      <c r="H898" s="37">
        <v>0</v>
      </c>
      <c r="I898" s="37">
        <v>0</v>
      </c>
      <c r="J898" s="672" t="e">
        <f t="shared" si="135"/>
        <v>#DIV/0!</v>
      </c>
      <c r="K898" s="673" t="e">
        <f t="shared" si="136"/>
        <v>#DIV/0!</v>
      </c>
      <c r="L898" s="809" t="e">
        <f t="shared" si="134"/>
        <v>#DIV/0!</v>
      </c>
      <c r="M898" s="839" t="e">
        <f t="shared" si="142"/>
        <v>#DIV/0!</v>
      </c>
      <c r="N898" s="39" t="e">
        <f t="shared" si="138"/>
        <v>#DIV/0!</v>
      </c>
      <c r="O898" s="675" t="e">
        <f t="shared" si="139"/>
        <v>#DIV/0!</v>
      </c>
      <c r="P898">
        <f t="shared" si="140"/>
        <v>0</v>
      </c>
      <c r="Q898" s="842" t="e">
        <f t="shared" si="141"/>
        <v>#DIV/0!</v>
      </c>
    </row>
    <row r="899" spans="1:17">
      <c r="A899" s="801">
        <v>45647</v>
      </c>
      <c r="B899" s="670">
        <v>300.66</v>
      </c>
      <c r="C899" s="671">
        <v>6022</v>
      </c>
      <c r="D899" s="37">
        <v>200</v>
      </c>
      <c r="E899" s="37">
        <v>0</v>
      </c>
      <c r="F899" s="841">
        <v>0</v>
      </c>
      <c r="G899" s="37">
        <v>3</v>
      </c>
      <c r="H899" s="37">
        <v>5</v>
      </c>
      <c r="I899" s="37">
        <v>0</v>
      </c>
      <c r="J899" s="672">
        <f t="shared" si="135"/>
        <v>0.0332115576220525</v>
      </c>
      <c r="K899" s="673">
        <f t="shared" si="136"/>
        <v>1.5033</v>
      </c>
      <c r="L899" s="809">
        <f t="shared" si="134"/>
        <v>49.9269345732315</v>
      </c>
      <c r="M899" s="839">
        <f t="shared" si="142"/>
        <v>0</v>
      </c>
      <c r="N899" s="39">
        <f t="shared" si="138"/>
        <v>0</v>
      </c>
      <c r="O899" s="675">
        <f t="shared" si="139"/>
        <v>37.5825</v>
      </c>
      <c r="P899">
        <f t="shared" si="140"/>
        <v>8</v>
      </c>
      <c r="Q899" s="842">
        <f t="shared" si="141"/>
        <v>0.04</v>
      </c>
    </row>
    <row r="900" spans="1:17">
      <c r="A900" s="801">
        <v>45648</v>
      </c>
      <c r="B900" s="670">
        <v>394.03</v>
      </c>
      <c r="C900" s="671">
        <v>281102</v>
      </c>
      <c r="D900" s="37">
        <v>2415</v>
      </c>
      <c r="E900" s="37">
        <v>0</v>
      </c>
      <c r="F900" s="841">
        <v>0</v>
      </c>
      <c r="G900" s="37">
        <v>11</v>
      </c>
      <c r="H900" s="37">
        <v>26</v>
      </c>
      <c r="I900" s="37">
        <v>3</v>
      </c>
      <c r="J900" s="672">
        <f t="shared" si="135"/>
        <v>0.00859118754046574</v>
      </c>
      <c r="K900" s="673">
        <f t="shared" si="136"/>
        <v>0.163159420289855</v>
      </c>
      <c r="L900" s="809">
        <f t="shared" si="134"/>
        <v>1.40173317870382</v>
      </c>
      <c r="M900" s="839">
        <f t="shared" si="142"/>
        <v>0</v>
      </c>
      <c r="N900" s="39">
        <f t="shared" si="138"/>
        <v>0</v>
      </c>
      <c r="O900" s="675">
        <f t="shared" si="139"/>
        <v>10.6494594594595</v>
      </c>
      <c r="P900">
        <f t="shared" si="140"/>
        <v>37</v>
      </c>
      <c r="Q900" s="842">
        <f t="shared" si="141"/>
        <v>0.0153209109730849</v>
      </c>
    </row>
    <row r="901" spans="1:17">
      <c r="A901" s="801">
        <v>45649</v>
      </c>
      <c r="B901" s="670">
        <v>197.06</v>
      </c>
      <c r="C901" s="671">
        <v>358544</v>
      </c>
      <c r="D901" s="37">
        <v>1970</v>
      </c>
      <c r="E901" s="37">
        <v>0</v>
      </c>
      <c r="F901" s="841">
        <v>0</v>
      </c>
      <c r="G901" s="37">
        <v>11</v>
      </c>
      <c r="H901" s="37">
        <v>11</v>
      </c>
      <c r="I901" s="37">
        <v>1</v>
      </c>
      <c r="J901" s="672">
        <f t="shared" si="135"/>
        <v>0.00549444419652818</v>
      </c>
      <c r="K901" s="673">
        <f t="shared" si="136"/>
        <v>0.100030456852792</v>
      </c>
      <c r="L901" s="809">
        <f t="shared" si="134"/>
        <v>0.549611763130885</v>
      </c>
      <c r="M901" s="839">
        <f t="shared" si="142"/>
        <v>0</v>
      </c>
      <c r="N901" s="39">
        <f t="shared" si="138"/>
        <v>0</v>
      </c>
      <c r="O901" s="675">
        <f t="shared" si="139"/>
        <v>8.95727272727273</v>
      </c>
      <c r="P901">
        <f t="shared" si="140"/>
        <v>22</v>
      </c>
      <c r="Q901" s="842">
        <f t="shared" si="141"/>
        <v>0.0111675126903553</v>
      </c>
    </row>
    <row r="902" spans="1:17">
      <c r="A902" s="801">
        <v>45650</v>
      </c>
      <c r="B902" s="670">
        <v>196.14</v>
      </c>
      <c r="C902" s="671">
        <v>10947</v>
      </c>
      <c r="D902" s="37">
        <v>790</v>
      </c>
      <c r="E902" s="37">
        <v>0</v>
      </c>
      <c r="F902" s="841">
        <v>0</v>
      </c>
      <c r="G902" s="37">
        <v>14</v>
      </c>
      <c r="H902" s="37">
        <v>11</v>
      </c>
      <c r="I902" s="37">
        <v>1</v>
      </c>
      <c r="J902" s="672">
        <f t="shared" si="135"/>
        <v>0.0721658901982278</v>
      </c>
      <c r="K902" s="673">
        <f t="shared" si="136"/>
        <v>0.248278481012658</v>
      </c>
      <c r="L902" s="809">
        <f t="shared" si="134"/>
        <v>17.9172375993423</v>
      </c>
      <c r="M902" s="839">
        <f t="shared" si="142"/>
        <v>0</v>
      </c>
      <c r="N902" s="39">
        <f t="shared" si="138"/>
        <v>0</v>
      </c>
      <c r="O902" s="675">
        <f t="shared" si="139"/>
        <v>7.8456</v>
      </c>
      <c r="P902">
        <f t="shared" si="140"/>
        <v>25</v>
      </c>
      <c r="Q902" s="842">
        <f t="shared" si="141"/>
        <v>0.0316455696202532</v>
      </c>
    </row>
    <row r="903" spans="1:17">
      <c r="A903" s="801">
        <v>45651</v>
      </c>
      <c r="B903" s="670">
        <v>199.21</v>
      </c>
      <c r="C903" s="671">
        <v>729618</v>
      </c>
      <c r="D903" s="37">
        <v>2734</v>
      </c>
      <c r="E903" s="37">
        <v>0</v>
      </c>
      <c r="F903" s="841">
        <v>0</v>
      </c>
      <c r="G903" s="37">
        <v>21</v>
      </c>
      <c r="H903" s="37">
        <v>21</v>
      </c>
      <c r="I903" s="37">
        <v>1</v>
      </c>
      <c r="J903" s="672">
        <f t="shared" si="135"/>
        <v>0.00374716632539219</v>
      </c>
      <c r="K903" s="673">
        <f t="shared" si="136"/>
        <v>0.0728639356254572</v>
      </c>
      <c r="L903" s="809">
        <f t="shared" si="134"/>
        <v>0.273033285911258</v>
      </c>
      <c r="M903" s="839">
        <f t="shared" si="142"/>
        <v>0</v>
      </c>
      <c r="N903" s="39">
        <f t="shared" si="138"/>
        <v>0</v>
      </c>
      <c r="O903" s="675">
        <f t="shared" si="139"/>
        <v>4.74309523809524</v>
      </c>
      <c r="P903">
        <f t="shared" si="140"/>
        <v>42</v>
      </c>
      <c r="Q903" s="842">
        <f t="shared" si="141"/>
        <v>0.0153621068032187</v>
      </c>
    </row>
    <row r="904" spans="1:17">
      <c r="A904" s="801">
        <v>45652</v>
      </c>
      <c r="B904" s="670">
        <v>198.28</v>
      </c>
      <c r="C904" s="671">
        <v>626639</v>
      </c>
      <c r="D904" s="37">
        <v>2662</v>
      </c>
      <c r="E904" s="37">
        <v>0</v>
      </c>
      <c r="F904" s="841">
        <v>0</v>
      </c>
      <c r="G904" s="37">
        <v>6</v>
      </c>
      <c r="H904" s="37">
        <v>9</v>
      </c>
      <c r="I904" s="37">
        <v>0</v>
      </c>
      <c r="J904" s="672">
        <f t="shared" si="135"/>
        <v>0.00424805988775036</v>
      </c>
      <c r="K904" s="673">
        <f t="shared" si="136"/>
        <v>0.0744853493613824</v>
      </c>
      <c r="L904" s="809">
        <f t="shared" si="134"/>
        <v>0.316418224847161</v>
      </c>
      <c r="M904" s="839">
        <f t="shared" si="142"/>
        <v>0</v>
      </c>
      <c r="N904" s="39">
        <f t="shared" si="138"/>
        <v>0</v>
      </c>
      <c r="O904" s="675">
        <f t="shared" si="139"/>
        <v>13.2186666666667</v>
      </c>
      <c r="P904">
        <f t="shared" si="140"/>
        <v>15</v>
      </c>
      <c r="Q904" s="842">
        <f t="shared" si="141"/>
        <v>0.00563486100676183</v>
      </c>
    </row>
    <row r="905" spans="1:17">
      <c r="A905" s="801">
        <v>45653</v>
      </c>
      <c r="B905" s="670">
        <v>197.69</v>
      </c>
      <c r="C905" s="671">
        <v>758835</v>
      </c>
      <c r="D905" s="37">
        <v>3041</v>
      </c>
      <c r="E905" s="37">
        <v>0</v>
      </c>
      <c r="F905" s="841">
        <v>0</v>
      </c>
      <c r="G905" s="37">
        <v>9</v>
      </c>
      <c r="H905" s="37">
        <v>13</v>
      </c>
      <c r="I905" s="37">
        <v>0</v>
      </c>
      <c r="J905" s="672">
        <f t="shared" si="135"/>
        <v>0.00400745880197935</v>
      </c>
      <c r="K905" s="673">
        <f t="shared" si="136"/>
        <v>0.0650082209799408</v>
      </c>
      <c r="L905" s="809">
        <f t="shared" si="134"/>
        <v>0.260517767367082</v>
      </c>
      <c r="M905" s="839">
        <f t="shared" si="142"/>
        <v>0</v>
      </c>
      <c r="N905" s="39">
        <f t="shared" si="138"/>
        <v>0</v>
      </c>
      <c r="O905" s="675">
        <f t="shared" si="139"/>
        <v>8.98590909090909</v>
      </c>
      <c r="P905">
        <f t="shared" si="140"/>
        <v>22</v>
      </c>
      <c r="Q905" s="842">
        <f t="shared" si="141"/>
        <v>0.00723446234791187</v>
      </c>
    </row>
    <row r="906" spans="1:17">
      <c r="A906" s="801">
        <v>45654</v>
      </c>
      <c r="B906" s="670">
        <v>194.87</v>
      </c>
      <c r="C906" s="671">
        <v>696728</v>
      </c>
      <c r="D906" s="37">
        <v>2872</v>
      </c>
      <c r="E906" s="37">
        <v>0</v>
      </c>
      <c r="F906" s="841">
        <v>0</v>
      </c>
      <c r="G906" s="37">
        <v>15</v>
      </c>
      <c r="H906" s="37">
        <v>11</v>
      </c>
      <c r="I906" s="37">
        <v>0</v>
      </c>
      <c r="J906" s="672">
        <f t="shared" si="135"/>
        <v>0.00412212513348107</v>
      </c>
      <c r="K906" s="673">
        <f t="shared" si="136"/>
        <v>0.0678516713091922</v>
      </c>
      <c r="L906" s="809">
        <f t="shared" si="134"/>
        <v>0.279693079652318</v>
      </c>
      <c r="M906" s="839">
        <f t="shared" si="142"/>
        <v>0</v>
      </c>
      <c r="N906" s="39">
        <f t="shared" si="138"/>
        <v>0</v>
      </c>
      <c r="O906" s="675">
        <f t="shared" si="139"/>
        <v>7.495</v>
      </c>
      <c r="P906">
        <f t="shared" si="140"/>
        <v>26</v>
      </c>
      <c r="Q906" s="842">
        <f t="shared" si="141"/>
        <v>0.00905292479108635</v>
      </c>
    </row>
    <row r="907" spans="1:17">
      <c r="A907" s="801">
        <v>45655</v>
      </c>
      <c r="B907" s="670">
        <v>193.98</v>
      </c>
      <c r="C907" s="671">
        <v>1114157</v>
      </c>
      <c r="D907" s="37">
        <v>3225</v>
      </c>
      <c r="E907" s="37">
        <v>0</v>
      </c>
      <c r="F907" s="841">
        <v>0</v>
      </c>
      <c r="G907" s="37">
        <v>5</v>
      </c>
      <c r="H907" s="37">
        <v>12</v>
      </c>
      <c r="I907" s="37">
        <v>0</v>
      </c>
      <c r="J907" s="672">
        <f t="shared" si="135"/>
        <v>0.00289456512861293</v>
      </c>
      <c r="K907" s="673">
        <f t="shared" si="136"/>
        <v>0.0601488372093023</v>
      </c>
      <c r="L907" s="809">
        <f t="shared" si="134"/>
        <v>0.174104726712663</v>
      </c>
      <c r="M907" s="839">
        <f t="shared" si="142"/>
        <v>0</v>
      </c>
      <c r="N907" s="39">
        <f t="shared" si="138"/>
        <v>0</v>
      </c>
      <c r="O907" s="675">
        <f t="shared" si="139"/>
        <v>11.4105882352941</v>
      </c>
      <c r="P907">
        <f t="shared" si="140"/>
        <v>17</v>
      </c>
      <c r="Q907" s="842">
        <f t="shared" si="141"/>
        <v>0.00527131782945736</v>
      </c>
    </row>
    <row r="908" spans="1:17">
      <c r="A908" s="801">
        <v>45656</v>
      </c>
      <c r="B908" s="670">
        <v>298.29</v>
      </c>
      <c r="C908" s="671">
        <v>675633</v>
      </c>
      <c r="D908" s="37">
        <v>2730</v>
      </c>
      <c r="E908" s="37">
        <v>0</v>
      </c>
      <c r="F908" s="841">
        <v>0</v>
      </c>
      <c r="G908" s="37">
        <v>9</v>
      </c>
      <c r="H908" s="37">
        <v>13</v>
      </c>
      <c r="I908" s="37">
        <v>0</v>
      </c>
      <c r="J908" s="672">
        <f t="shared" ref="J908:J971" si="143">D908/C908</f>
        <v>0.00404065520778292</v>
      </c>
      <c r="K908" s="673">
        <f t="shared" ref="K908:K971" si="144">B908/D908</f>
        <v>0.109263736263736</v>
      </c>
      <c r="L908" s="809">
        <f t="shared" si="134"/>
        <v>0.441497084955886</v>
      </c>
      <c r="M908" s="839">
        <f t="shared" si="142"/>
        <v>0</v>
      </c>
      <c r="N908" s="39">
        <f t="shared" si="138"/>
        <v>0</v>
      </c>
      <c r="O908" s="675">
        <f t="shared" ref="O908:O971" si="145">B908/(G908+H908)</f>
        <v>13.5586363636364</v>
      </c>
      <c r="P908">
        <f t="shared" ref="P908:P971" si="146">G908+H908</f>
        <v>22</v>
      </c>
      <c r="Q908" s="842">
        <f t="shared" ref="Q908:Q971" si="147">P908/D908</f>
        <v>0.00805860805860806</v>
      </c>
    </row>
    <row r="909" spans="1:17">
      <c r="A909" s="801">
        <v>45657</v>
      </c>
      <c r="B909" s="670">
        <v>398.1</v>
      </c>
      <c r="C909" s="671">
        <v>1048144</v>
      </c>
      <c r="D909" s="37">
        <v>3392</v>
      </c>
      <c r="E909" s="37">
        <v>0</v>
      </c>
      <c r="F909" s="841">
        <v>0</v>
      </c>
      <c r="G909" s="37">
        <v>9</v>
      </c>
      <c r="H909" s="37">
        <v>11</v>
      </c>
      <c r="I909" s="37">
        <v>1</v>
      </c>
      <c r="J909" s="672">
        <f t="shared" si="143"/>
        <v>0.00323619655314537</v>
      </c>
      <c r="K909" s="673">
        <f t="shared" si="144"/>
        <v>0.117364386792453</v>
      </c>
      <c r="L909" s="809">
        <f t="shared" si="134"/>
        <v>0.379814223999756</v>
      </c>
      <c r="M909" s="839">
        <f t="shared" si="142"/>
        <v>0</v>
      </c>
      <c r="N909" s="39">
        <f t="shared" si="138"/>
        <v>0</v>
      </c>
      <c r="O909" s="675">
        <f t="shared" si="145"/>
        <v>19.905</v>
      </c>
      <c r="P909">
        <f t="shared" si="146"/>
        <v>20</v>
      </c>
      <c r="Q909" s="842">
        <f t="shared" si="147"/>
        <v>0.00589622641509434</v>
      </c>
    </row>
    <row r="910" spans="1:17">
      <c r="A910" s="801">
        <v>45658</v>
      </c>
      <c r="B910" s="670">
        <v>391.21</v>
      </c>
      <c r="C910" s="671">
        <v>92778</v>
      </c>
      <c r="D910" s="37">
        <v>778</v>
      </c>
      <c r="E910" s="37">
        <v>0</v>
      </c>
      <c r="F910" s="841">
        <v>0</v>
      </c>
      <c r="G910" s="37">
        <v>13</v>
      </c>
      <c r="H910" s="37">
        <v>9</v>
      </c>
      <c r="I910" s="37">
        <v>0</v>
      </c>
      <c r="J910" s="672">
        <f t="shared" si="143"/>
        <v>0.00838560865722477</v>
      </c>
      <c r="K910" s="673">
        <f t="shared" si="144"/>
        <v>0.502840616966581</v>
      </c>
      <c r="L910" s="809">
        <f t="shared" si="134"/>
        <v>4.21662463083921</v>
      </c>
      <c r="M910" s="839">
        <f t="shared" si="142"/>
        <v>0</v>
      </c>
      <c r="N910" s="39">
        <f t="shared" si="138"/>
        <v>0</v>
      </c>
      <c r="O910" s="675">
        <f t="shared" si="145"/>
        <v>17.7822727272727</v>
      </c>
      <c r="P910">
        <f t="shared" si="146"/>
        <v>22</v>
      </c>
      <c r="Q910" s="842">
        <f t="shared" si="147"/>
        <v>0.0282776349614396</v>
      </c>
    </row>
    <row r="911" spans="1:17">
      <c r="A911" s="801">
        <v>45659</v>
      </c>
      <c r="B911" s="670">
        <v>396.01</v>
      </c>
      <c r="C911" s="671">
        <v>219688</v>
      </c>
      <c r="D911" s="37">
        <v>1244</v>
      </c>
      <c r="E911" s="37">
        <v>0</v>
      </c>
      <c r="F911" s="841">
        <v>0</v>
      </c>
      <c r="G911" s="37">
        <v>20</v>
      </c>
      <c r="H911" s="37">
        <v>7</v>
      </c>
      <c r="I911" s="37">
        <v>5</v>
      </c>
      <c r="J911" s="672">
        <f t="shared" si="143"/>
        <v>0.00566257601689669</v>
      </c>
      <c r="K911" s="673">
        <f t="shared" si="144"/>
        <v>0.318336012861736</v>
      </c>
      <c r="L911" s="809">
        <f t="shared" si="134"/>
        <v>1.80260187174538</v>
      </c>
      <c r="M911" s="839">
        <f t="shared" si="142"/>
        <v>0</v>
      </c>
      <c r="N911" s="39">
        <f t="shared" ref="N911:N974" si="148">E911/D911</f>
        <v>0</v>
      </c>
      <c r="O911" s="675">
        <f t="shared" si="145"/>
        <v>14.667037037037</v>
      </c>
      <c r="P911">
        <f t="shared" si="146"/>
        <v>27</v>
      </c>
      <c r="Q911" s="842">
        <f t="shared" si="147"/>
        <v>0.0217041800643087</v>
      </c>
    </row>
    <row r="912" spans="1:17">
      <c r="A912" s="801">
        <v>45660</v>
      </c>
      <c r="B912" s="670">
        <v>397.88</v>
      </c>
      <c r="C912" s="671">
        <v>113936</v>
      </c>
      <c r="D912" s="37">
        <v>1122</v>
      </c>
      <c r="E912" s="37">
        <v>0</v>
      </c>
      <c r="F912" s="841">
        <v>0</v>
      </c>
      <c r="G912" s="37">
        <v>14</v>
      </c>
      <c r="H912" s="37">
        <v>7</v>
      </c>
      <c r="I912" s="37">
        <v>1</v>
      </c>
      <c r="J912" s="672">
        <f t="shared" si="143"/>
        <v>0.00984763375930347</v>
      </c>
      <c r="K912" s="673">
        <f t="shared" si="144"/>
        <v>0.354616755793226</v>
      </c>
      <c r="L912" s="809">
        <f t="shared" si="134"/>
        <v>3.49213593596405</v>
      </c>
      <c r="M912" s="839">
        <f t="shared" si="142"/>
        <v>0</v>
      </c>
      <c r="N912" s="39">
        <f t="shared" si="148"/>
        <v>0</v>
      </c>
      <c r="O912" s="675">
        <f t="shared" si="145"/>
        <v>18.9466666666667</v>
      </c>
      <c r="P912">
        <f t="shared" si="146"/>
        <v>21</v>
      </c>
      <c r="Q912" s="842">
        <f t="shared" si="147"/>
        <v>0.018716577540107</v>
      </c>
    </row>
    <row r="913" spans="1:17">
      <c r="A913" s="801">
        <v>45661</v>
      </c>
      <c r="B913" s="670">
        <v>394.72</v>
      </c>
      <c r="C913" s="671">
        <v>92378</v>
      </c>
      <c r="D913" s="37">
        <v>617</v>
      </c>
      <c r="E913" s="37">
        <v>0</v>
      </c>
      <c r="F913" s="841">
        <v>0</v>
      </c>
      <c r="G913" s="37">
        <v>17</v>
      </c>
      <c r="H913" s="37">
        <v>9</v>
      </c>
      <c r="I913" s="37">
        <v>1</v>
      </c>
      <c r="J913" s="672">
        <f t="shared" si="143"/>
        <v>0.00667907943449739</v>
      </c>
      <c r="K913" s="673">
        <f t="shared" si="144"/>
        <v>0.639740680713128</v>
      </c>
      <c r="L913" s="809">
        <f t="shared" si="134"/>
        <v>4.27287882396242</v>
      </c>
      <c r="M913" s="839">
        <f t="shared" si="142"/>
        <v>0</v>
      </c>
      <c r="N913" s="39">
        <f t="shared" si="148"/>
        <v>0</v>
      </c>
      <c r="O913" s="675">
        <f t="shared" si="145"/>
        <v>15.1815384615385</v>
      </c>
      <c r="P913">
        <f t="shared" si="146"/>
        <v>26</v>
      </c>
      <c r="Q913" s="842">
        <f t="shared" si="147"/>
        <v>0.0421393841166937</v>
      </c>
    </row>
    <row r="914" spans="1:17">
      <c r="A914" s="801">
        <v>45662</v>
      </c>
      <c r="B914" s="670">
        <v>395.39</v>
      </c>
      <c r="C914" s="671">
        <v>50684</v>
      </c>
      <c r="D914" s="37">
        <v>514</v>
      </c>
      <c r="E914" s="37">
        <v>0</v>
      </c>
      <c r="F914" s="841">
        <v>0</v>
      </c>
      <c r="G914" s="37">
        <v>14</v>
      </c>
      <c r="H914" s="37">
        <v>8</v>
      </c>
      <c r="I914" s="37">
        <v>0</v>
      </c>
      <c r="J914" s="672">
        <f t="shared" si="143"/>
        <v>0.0101412674611317</v>
      </c>
      <c r="K914" s="673">
        <f t="shared" si="144"/>
        <v>0.769241245136187</v>
      </c>
      <c r="L914" s="809">
        <f t="shared" si="134"/>
        <v>7.80108120906006</v>
      </c>
      <c r="M914" s="839">
        <f t="shared" si="142"/>
        <v>0</v>
      </c>
      <c r="N914" s="39">
        <f t="shared" si="148"/>
        <v>0</v>
      </c>
      <c r="O914" s="675">
        <f t="shared" si="145"/>
        <v>17.9722727272727</v>
      </c>
      <c r="P914">
        <f t="shared" si="146"/>
        <v>22</v>
      </c>
      <c r="Q914" s="842">
        <f t="shared" si="147"/>
        <v>0.0428015564202335</v>
      </c>
    </row>
    <row r="915" spans="1:17">
      <c r="A915" s="801">
        <v>45663</v>
      </c>
      <c r="B915" s="670">
        <v>394.54</v>
      </c>
      <c r="C915" s="671">
        <v>61649</v>
      </c>
      <c r="D915" s="37">
        <v>564</v>
      </c>
      <c r="E915" s="37">
        <v>0</v>
      </c>
      <c r="F915" s="841">
        <v>0</v>
      </c>
      <c r="G915" s="37">
        <v>22</v>
      </c>
      <c r="H915" s="37">
        <v>10</v>
      </c>
      <c r="I915" s="37">
        <v>3</v>
      </c>
      <c r="J915" s="672">
        <f t="shared" si="143"/>
        <v>0.00914856688672971</v>
      </c>
      <c r="K915" s="673">
        <f t="shared" si="144"/>
        <v>0.699539007092199</v>
      </c>
      <c r="L915" s="809">
        <f t="shared" si="134"/>
        <v>6.39977939625947</v>
      </c>
      <c r="M915" s="839">
        <f t="shared" si="142"/>
        <v>0</v>
      </c>
      <c r="N915" s="39">
        <f t="shared" si="148"/>
        <v>0</v>
      </c>
      <c r="O915" s="675">
        <f t="shared" si="145"/>
        <v>12.329375</v>
      </c>
      <c r="P915">
        <f t="shared" si="146"/>
        <v>32</v>
      </c>
      <c r="Q915" s="842">
        <f t="shared" si="147"/>
        <v>0.0567375886524823</v>
      </c>
    </row>
    <row r="916" spans="1:17">
      <c r="A916" s="801">
        <v>45664</v>
      </c>
      <c r="B916" s="670">
        <v>390.98</v>
      </c>
      <c r="C916" s="671">
        <v>33832</v>
      </c>
      <c r="D916" s="37">
        <v>466</v>
      </c>
      <c r="E916" s="37">
        <v>0</v>
      </c>
      <c r="F916" s="841">
        <v>0</v>
      </c>
      <c r="G916" s="37">
        <v>17</v>
      </c>
      <c r="H916" s="37">
        <v>9</v>
      </c>
      <c r="I916" s="37">
        <v>0</v>
      </c>
      <c r="J916" s="672">
        <f t="shared" si="143"/>
        <v>0.0137739418302199</v>
      </c>
      <c r="K916" s="673">
        <f t="shared" si="144"/>
        <v>0.839012875536481</v>
      </c>
      <c r="L916" s="809">
        <f t="shared" si="134"/>
        <v>11.556514542445</v>
      </c>
      <c r="M916" s="839">
        <f t="shared" si="142"/>
        <v>0</v>
      </c>
      <c r="N916" s="39">
        <f t="shared" si="148"/>
        <v>0</v>
      </c>
      <c r="O916" s="675">
        <f t="shared" si="145"/>
        <v>15.0376923076923</v>
      </c>
      <c r="P916">
        <f t="shared" si="146"/>
        <v>26</v>
      </c>
      <c r="Q916" s="842">
        <f t="shared" si="147"/>
        <v>0.055793991416309</v>
      </c>
    </row>
    <row r="917" spans="1:17">
      <c r="A917" s="801">
        <v>45665</v>
      </c>
      <c r="B917" s="670">
        <v>422.62</v>
      </c>
      <c r="C917" s="671">
        <v>41235</v>
      </c>
      <c r="D917" s="37">
        <v>484</v>
      </c>
      <c r="E917" s="37">
        <v>1</v>
      </c>
      <c r="F917" s="41">
        <v>5384</v>
      </c>
      <c r="G917" s="37">
        <v>24</v>
      </c>
      <c r="H917" s="37">
        <v>10</v>
      </c>
      <c r="I917" s="37">
        <v>2</v>
      </c>
      <c r="J917" s="672">
        <f t="shared" si="143"/>
        <v>0.0117376015520795</v>
      </c>
      <c r="K917" s="673">
        <f t="shared" si="144"/>
        <v>0.873181818181818</v>
      </c>
      <c r="L917" s="809">
        <f t="shared" si="134"/>
        <v>10.2490602643385</v>
      </c>
      <c r="M917" s="839">
        <f t="shared" si="142"/>
        <v>12.7395769248971</v>
      </c>
      <c r="N917" s="39">
        <f t="shared" si="148"/>
        <v>0.00206611570247934</v>
      </c>
      <c r="O917" s="675">
        <f t="shared" si="145"/>
        <v>12.43</v>
      </c>
      <c r="P917">
        <f t="shared" si="146"/>
        <v>34</v>
      </c>
      <c r="Q917" s="842">
        <f t="shared" si="147"/>
        <v>0.0702479338842975</v>
      </c>
    </row>
    <row r="918" spans="1:17">
      <c r="A918" s="801">
        <v>45666</v>
      </c>
      <c r="B918" s="670">
        <v>248.89</v>
      </c>
      <c r="C918" s="671">
        <v>27565</v>
      </c>
      <c r="D918" s="37">
        <v>308</v>
      </c>
      <c r="E918" s="37">
        <v>0</v>
      </c>
      <c r="F918" s="841">
        <v>0</v>
      </c>
      <c r="G918" s="37">
        <v>6</v>
      </c>
      <c r="H918" s="37">
        <v>15</v>
      </c>
      <c r="I918" s="37">
        <v>1</v>
      </c>
      <c r="J918" s="672">
        <f t="shared" si="143"/>
        <v>0.0111735896970796</v>
      </c>
      <c r="K918" s="673">
        <f t="shared" si="144"/>
        <v>0.808084415584416</v>
      </c>
      <c r="L918" s="809">
        <f t="shared" si="134"/>
        <v>9.02920370034464</v>
      </c>
      <c r="M918" s="839">
        <f t="shared" si="142"/>
        <v>0</v>
      </c>
      <c r="N918" s="39">
        <f t="shared" si="148"/>
        <v>0</v>
      </c>
      <c r="O918" s="675">
        <f t="shared" si="145"/>
        <v>11.8519047619048</v>
      </c>
      <c r="P918">
        <f t="shared" si="146"/>
        <v>21</v>
      </c>
      <c r="Q918" s="842">
        <f t="shared" si="147"/>
        <v>0.0681818181818182</v>
      </c>
    </row>
    <row r="919" spans="1:17">
      <c r="A919" s="801">
        <v>45667</v>
      </c>
      <c r="B919" s="670">
        <v>342.81</v>
      </c>
      <c r="C919" s="671">
        <v>35797</v>
      </c>
      <c r="D919" s="37">
        <v>427</v>
      </c>
      <c r="E919" s="37">
        <v>0</v>
      </c>
      <c r="F919" s="841">
        <v>0</v>
      </c>
      <c r="G919" s="37">
        <v>13</v>
      </c>
      <c r="H919" s="37">
        <v>16</v>
      </c>
      <c r="I919" s="37">
        <v>1</v>
      </c>
      <c r="J919" s="672">
        <f t="shared" si="143"/>
        <v>0.0119283738860798</v>
      </c>
      <c r="K919" s="673">
        <f t="shared" si="144"/>
        <v>0.802833723653396</v>
      </c>
      <c r="L919" s="809">
        <f t="shared" si="134"/>
        <v>9.5765008240914</v>
      </c>
      <c r="M919" s="839">
        <f t="shared" si="142"/>
        <v>0</v>
      </c>
      <c r="N919" s="39">
        <f t="shared" si="148"/>
        <v>0</v>
      </c>
      <c r="O919" s="675">
        <f t="shared" si="145"/>
        <v>11.8210344827586</v>
      </c>
      <c r="P919">
        <f t="shared" si="146"/>
        <v>29</v>
      </c>
      <c r="Q919" s="842">
        <f t="shared" si="147"/>
        <v>0.0679156908665105</v>
      </c>
    </row>
    <row r="920" spans="1:17">
      <c r="A920" s="801">
        <v>45668</v>
      </c>
      <c r="B920" s="670">
        <v>340.58</v>
      </c>
      <c r="C920" s="671">
        <v>289205</v>
      </c>
      <c r="D920" s="37">
        <v>1329</v>
      </c>
      <c r="E920" s="37">
        <v>0</v>
      </c>
      <c r="F920" s="841">
        <v>0</v>
      </c>
      <c r="G920" s="37">
        <v>15</v>
      </c>
      <c r="H920" s="37">
        <v>16</v>
      </c>
      <c r="I920" s="37">
        <v>3</v>
      </c>
      <c r="J920" s="672">
        <f t="shared" si="143"/>
        <v>0.00459535623519649</v>
      </c>
      <c r="K920" s="673">
        <f t="shared" si="144"/>
        <v>0.256267870579383</v>
      </c>
      <c r="L920" s="809">
        <f t="shared" si="134"/>
        <v>1.17764215694749</v>
      </c>
      <c r="M920" s="839">
        <f t="shared" si="142"/>
        <v>0</v>
      </c>
      <c r="N920" s="39">
        <f t="shared" si="148"/>
        <v>0</v>
      </c>
      <c r="O920" s="675">
        <f t="shared" si="145"/>
        <v>10.9864516129032</v>
      </c>
      <c r="P920">
        <f t="shared" si="146"/>
        <v>31</v>
      </c>
      <c r="Q920" s="842">
        <f t="shared" si="147"/>
        <v>0.0233258088788563</v>
      </c>
    </row>
    <row r="921" spans="1:17">
      <c r="A921" s="801">
        <v>45669</v>
      </c>
      <c r="B921" s="670">
        <v>342.44</v>
      </c>
      <c r="C921" s="671">
        <v>525890</v>
      </c>
      <c r="D921" s="37">
        <v>1540</v>
      </c>
      <c r="E921" s="37">
        <v>0</v>
      </c>
      <c r="F921" s="841">
        <v>0</v>
      </c>
      <c r="G921" s="37">
        <v>11</v>
      </c>
      <c r="H921" s="37">
        <v>16</v>
      </c>
      <c r="I921" s="37">
        <v>1</v>
      </c>
      <c r="J921" s="672">
        <f t="shared" si="143"/>
        <v>0.0029283690505619</v>
      </c>
      <c r="K921" s="673">
        <f t="shared" si="144"/>
        <v>0.222363636363636</v>
      </c>
      <c r="L921" s="809">
        <f t="shared" si="134"/>
        <v>0.651162790697674</v>
      </c>
      <c r="M921" s="839">
        <f t="shared" si="142"/>
        <v>0</v>
      </c>
      <c r="N921" s="39">
        <f t="shared" si="148"/>
        <v>0</v>
      </c>
      <c r="O921" s="675">
        <f t="shared" si="145"/>
        <v>12.682962962963</v>
      </c>
      <c r="P921">
        <f t="shared" si="146"/>
        <v>27</v>
      </c>
      <c r="Q921" s="842">
        <f t="shared" si="147"/>
        <v>0.0175324675324675</v>
      </c>
    </row>
    <row r="922" spans="1:17">
      <c r="A922" s="801">
        <v>45670</v>
      </c>
      <c r="B922" s="670">
        <v>727.91</v>
      </c>
      <c r="C922" s="671">
        <v>422324</v>
      </c>
      <c r="D922" s="37">
        <v>1911</v>
      </c>
      <c r="E922" s="37">
        <v>1</v>
      </c>
      <c r="F922" s="41">
        <v>10197</v>
      </c>
      <c r="G922" s="37">
        <v>15</v>
      </c>
      <c r="H922" s="37">
        <v>25</v>
      </c>
      <c r="I922" s="37">
        <v>2</v>
      </c>
      <c r="J922" s="672">
        <f t="shared" si="143"/>
        <v>0.00452496187761055</v>
      </c>
      <c r="K922" s="673">
        <f t="shared" si="144"/>
        <v>0.380905285190999</v>
      </c>
      <c r="L922" s="809">
        <f t="shared" si="134"/>
        <v>1.72358189446965</v>
      </c>
      <c r="M922" s="839">
        <f t="shared" si="142"/>
        <v>14.0085999642813</v>
      </c>
      <c r="N922" s="39">
        <f t="shared" si="148"/>
        <v>0.000523286237571952</v>
      </c>
      <c r="O922" s="675">
        <f t="shared" si="145"/>
        <v>18.19775</v>
      </c>
      <c r="P922">
        <f t="shared" si="146"/>
        <v>40</v>
      </c>
      <c r="Q922" s="842">
        <f t="shared" si="147"/>
        <v>0.0209314495028781</v>
      </c>
    </row>
    <row r="923" spans="1:17">
      <c r="A923" s="801">
        <v>45671</v>
      </c>
      <c r="B923" s="670">
        <v>667.45</v>
      </c>
      <c r="C923" s="671">
        <v>566126</v>
      </c>
      <c r="D923" s="37">
        <v>1840</v>
      </c>
      <c r="E923" s="37">
        <v>0</v>
      </c>
      <c r="F923" s="841">
        <v>0</v>
      </c>
      <c r="G923" s="37">
        <v>41</v>
      </c>
      <c r="H923" s="37">
        <v>23</v>
      </c>
      <c r="I923" s="37">
        <v>0</v>
      </c>
      <c r="J923" s="672">
        <f t="shared" si="143"/>
        <v>0.00325015985840608</v>
      </c>
      <c r="K923" s="673">
        <f t="shared" si="144"/>
        <v>0.362744565217391</v>
      </c>
      <c r="L923" s="809">
        <f t="shared" si="134"/>
        <v>1.17897782472453</v>
      </c>
      <c r="M923" s="839">
        <f t="shared" si="142"/>
        <v>0</v>
      </c>
      <c r="N923" s="39">
        <f t="shared" si="148"/>
        <v>0</v>
      </c>
      <c r="O923" s="675">
        <f t="shared" si="145"/>
        <v>10.42890625</v>
      </c>
      <c r="P923">
        <f t="shared" si="146"/>
        <v>64</v>
      </c>
      <c r="Q923" s="842">
        <f t="shared" si="147"/>
        <v>0.0347826086956522</v>
      </c>
    </row>
    <row r="924" spans="1:17">
      <c r="A924" s="801">
        <v>45672</v>
      </c>
      <c r="B924" s="670">
        <v>674.48</v>
      </c>
      <c r="C924" s="671">
        <v>501208</v>
      </c>
      <c r="D924" s="37">
        <v>1909</v>
      </c>
      <c r="E924" s="37">
        <v>0</v>
      </c>
      <c r="F924" s="841">
        <v>0</v>
      </c>
      <c r="G924" s="37">
        <v>16</v>
      </c>
      <c r="H924" s="37">
        <v>20</v>
      </c>
      <c r="I924" s="37">
        <v>1</v>
      </c>
      <c r="J924" s="672">
        <f t="shared" si="143"/>
        <v>0.00380879794416689</v>
      </c>
      <c r="K924" s="673">
        <f t="shared" si="144"/>
        <v>0.35331587218439</v>
      </c>
      <c r="L924" s="809">
        <f t="shared" si="134"/>
        <v>1.34570876761744</v>
      </c>
      <c r="M924" s="839">
        <f t="shared" si="142"/>
        <v>0</v>
      </c>
      <c r="N924" s="39">
        <f t="shared" si="148"/>
        <v>0</v>
      </c>
      <c r="O924" s="675">
        <f t="shared" si="145"/>
        <v>18.7355555555556</v>
      </c>
      <c r="P924">
        <f t="shared" si="146"/>
        <v>36</v>
      </c>
      <c r="Q924" s="842">
        <f t="shared" si="147"/>
        <v>0.0188580408590885</v>
      </c>
    </row>
    <row r="925" spans="1:17">
      <c r="A925" s="801">
        <v>45673</v>
      </c>
      <c r="B925" s="670">
        <v>693.76</v>
      </c>
      <c r="C925" s="671">
        <v>547005</v>
      </c>
      <c r="D925" s="37">
        <v>2508</v>
      </c>
      <c r="E925" s="37">
        <v>0</v>
      </c>
      <c r="F925" s="841">
        <v>0</v>
      </c>
      <c r="G925" s="37">
        <v>36</v>
      </c>
      <c r="H925" s="37">
        <v>21</v>
      </c>
      <c r="I925" s="37">
        <v>2</v>
      </c>
      <c r="J925" s="672">
        <f t="shared" si="143"/>
        <v>0.00458496723064689</v>
      </c>
      <c r="K925" s="673">
        <f t="shared" si="144"/>
        <v>0.276618819776714</v>
      </c>
      <c r="L925" s="809">
        <f t="shared" si="134"/>
        <v>1.26828822405645</v>
      </c>
      <c r="M925" s="839">
        <f t="shared" si="142"/>
        <v>0</v>
      </c>
      <c r="N925" s="39">
        <f t="shared" si="148"/>
        <v>0</v>
      </c>
      <c r="O925" s="675">
        <f t="shared" si="145"/>
        <v>12.1712280701754</v>
      </c>
      <c r="P925">
        <f t="shared" si="146"/>
        <v>57</v>
      </c>
      <c r="Q925" s="842">
        <f t="shared" si="147"/>
        <v>0.0227272727272727</v>
      </c>
    </row>
    <row r="926" spans="1:17">
      <c r="A926" s="801">
        <v>45674</v>
      </c>
      <c r="B926" s="670">
        <v>689.71</v>
      </c>
      <c r="C926" s="671">
        <v>632798</v>
      </c>
      <c r="D926" s="37">
        <v>2694</v>
      </c>
      <c r="E926" s="37">
        <v>2</v>
      </c>
      <c r="F926" s="41">
        <v>25424</v>
      </c>
      <c r="G926" s="37">
        <v>44</v>
      </c>
      <c r="H926" s="37">
        <v>25</v>
      </c>
      <c r="I926" s="37">
        <v>4</v>
      </c>
      <c r="J926" s="672">
        <f t="shared" si="143"/>
        <v>0.00425728273477476</v>
      </c>
      <c r="K926" s="673">
        <f t="shared" si="144"/>
        <v>0.25601707498144</v>
      </c>
      <c r="L926" s="809">
        <f t="shared" si="134"/>
        <v>1.08993707312602</v>
      </c>
      <c r="M926" s="839">
        <f t="shared" si="142"/>
        <v>36.8618694813762</v>
      </c>
      <c r="N926" s="39">
        <f t="shared" si="148"/>
        <v>0.000742390497401633</v>
      </c>
      <c r="O926" s="675">
        <f t="shared" si="145"/>
        <v>9.99579710144928</v>
      </c>
      <c r="P926">
        <f t="shared" si="146"/>
        <v>69</v>
      </c>
      <c r="Q926" s="842">
        <f t="shared" si="147"/>
        <v>0.0256124721603563</v>
      </c>
    </row>
    <row r="927" spans="1:17">
      <c r="A927" s="801">
        <v>45675</v>
      </c>
      <c r="B927" s="670">
        <v>685.91</v>
      </c>
      <c r="C927" s="671">
        <v>509367</v>
      </c>
      <c r="D927" s="37">
        <v>2707</v>
      </c>
      <c r="E927" s="37">
        <v>0</v>
      </c>
      <c r="F927" s="841">
        <v>0</v>
      </c>
      <c r="G927" s="37">
        <v>24</v>
      </c>
      <c r="H927" s="37">
        <v>18</v>
      </c>
      <c r="I927" s="37">
        <v>5</v>
      </c>
      <c r="J927" s="672">
        <f t="shared" si="143"/>
        <v>0.00531443929426131</v>
      </c>
      <c r="K927" s="673">
        <f t="shared" si="144"/>
        <v>0.253383819726635</v>
      </c>
      <c r="L927" s="809">
        <f t="shared" si="134"/>
        <v>1.34659292808525</v>
      </c>
      <c r="M927" s="839">
        <f t="shared" si="142"/>
        <v>0</v>
      </c>
      <c r="N927" s="39">
        <f t="shared" si="148"/>
        <v>0</v>
      </c>
      <c r="O927" s="675">
        <f t="shared" si="145"/>
        <v>16.3311904761905</v>
      </c>
      <c r="P927">
        <f t="shared" si="146"/>
        <v>42</v>
      </c>
      <c r="Q927" s="842">
        <f t="shared" si="147"/>
        <v>0.0155153306243074</v>
      </c>
    </row>
    <row r="928" spans="1:17">
      <c r="A928" s="801">
        <v>45676</v>
      </c>
      <c r="B928" s="670">
        <v>689.2</v>
      </c>
      <c r="C928" s="671">
        <v>297146</v>
      </c>
      <c r="D928" s="37">
        <v>2362</v>
      </c>
      <c r="E928" s="37">
        <v>1</v>
      </c>
      <c r="F928" s="41">
        <v>7016.8</v>
      </c>
      <c r="G928" s="37">
        <v>35</v>
      </c>
      <c r="H928" s="37">
        <v>19</v>
      </c>
      <c r="I928" s="37">
        <v>2</v>
      </c>
      <c r="J928" s="672">
        <f t="shared" si="143"/>
        <v>0.00794895438605938</v>
      </c>
      <c r="K928" s="673">
        <f t="shared" si="144"/>
        <v>0.291786621507197</v>
      </c>
      <c r="L928" s="809">
        <f t="shared" si="134"/>
        <v>2.31939854482308</v>
      </c>
      <c r="M928" s="839">
        <f t="shared" si="142"/>
        <v>10.1810795124782</v>
      </c>
      <c r="N928" s="39">
        <f t="shared" si="148"/>
        <v>0.000423370025402202</v>
      </c>
      <c r="O928" s="675">
        <f t="shared" si="145"/>
        <v>12.762962962963</v>
      </c>
      <c r="P928">
        <f t="shared" si="146"/>
        <v>54</v>
      </c>
      <c r="Q928" s="842">
        <f t="shared" si="147"/>
        <v>0.0228619813717189</v>
      </c>
    </row>
    <row r="929" spans="1:17">
      <c r="A929" s="801">
        <v>45677</v>
      </c>
      <c r="B929" s="670">
        <v>690.86</v>
      </c>
      <c r="C929" s="671">
        <v>409830</v>
      </c>
      <c r="D929" s="37">
        <v>2970</v>
      </c>
      <c r="E929" s="37">
        <v>1</v>
      </c>
      <c r="F929" s="41">
        <v>10197</v>
      </c>
      <c r="G929" s="37">
        <v>31</v>
      </c>
      <c r="H929" s="37">
        <v>17</v>
      </c>
      <c r="I929" s="37">
        <v>1</v>
      </c>
      <c r="J929" s="672">
        <f t="shared" si="143"/>
        <v>0.00724690725422736</v>
      </c>
      <c r="K929" s="673">
        <f t="shared" si="144"/>
        <v>0.232612794612795</v>
      </c>
      <c r="L929" s="809">
        <f t="shared" si="134"/>
        <v>1.68572334870556</v>
      </c>
      <c r="M929" s="839">
        <f t="shared" si="142"/>
        <v>14.7598645166893</v>
      </c>
      <c r="N929" s="39">
        <f t="shared" si="148"/>
        <v>0.000336700336700337</v>
      </c>
      <c r="O929" s="675">
        <f t="shared" si="145"/>
        <v>14.3929166666667</v>
      </c>
      <c r="P929">
        <f t="shared" si="146"/>
        <v>48</v>
      </c>
      <c r="Q929" s="842">
        <f t="shared" si="147"/>
        <v>0.0161616161616162</v>
      </c>
    </row>
    <row r="930" spans="1:17">
      <c r="A930" s="801">
        <v>45678</v>
      </c>
      <c r="B930" s="670">
        <v>687.07</v>
      </c>
      <c r="C930" s="671">
        <v>534193</v>
      </c>
      <c r="D930" s="37">
        <v>3516</v>
      </c>
      <c r="E930" s="37">
        <v>1</v>
      </c>
      <c r="F930" s="41">
        <v>8054</v>
      </c>
      <c r="G930" s="37">
        <v>26</v>
      </c>
      <c r="H930" s="37">
        <v>18</v>
      </c>
      <c r="I930" s="37">
        <v>1</v>
      </c>
      <c r="J930" s="672">
        <f t="shared" si="143"/>
        <v>0.00658189081474299</v>
      </c>
      <c r="K930" s="673">
        <f t="shared" si="144"/>
        <v>0.195412400455063</v>
      </c>
      <c r="L930" s="809">
        <f t="shared" ref="L930:L993" si="149">B930/C930*1000</f>
        <v>1.28618308364205</v>
      </c>
      <c r="M930" s="839">
        <f t="shared" si="142"/>
        <v>11.7222408197127</v>
      </c>
      <c r="N930" s="39">
        <f t="shared" si="148"/>
        <v>0.000284414106939704</v>
      </c>
      <c r="O930" s="675">
        <f t="shared" si="145"/>
        <v>15.6152272727273</v>
      </c>
      <c r="P930">
        <f t="shared" si="146"/>
        <v>44</v>
      </c>
      <c r="Q930" s="842">
        <f t="shared" si="147"/>
        <v>0.012514220705347</v>
      </c>
    </row>
    <row r="931" spans="1:17">
      <c r="A931" s="801">
        <v>45679</v>
      </c>
      <c r="B931" s="670">
        <v>696.66</v>
      </c>
      <c r="C931" s="671">
        <v>616662</v>
      </c>
      <c r="D931" s="37">
        <v>3535</v>
      </c>
      <c r="E931" s="37">
        <v>0</v>
      </c>
      <c r="F931" s="841">
        <v>0</v>
      </c>
      <c r="G931" s="37">
        <v>29</v>
      </c>
      <c r="H931" s="37">
        <v>17</v>
      </c>
      <c r="I931" s="37">
        <v>2</v>
      </c>
      <c r="J931" s="672">
        <f t="shared" si="143"/>
        <v>0.00573247581333048</v>
      </c>
      <c r="K931" s="673">
        <f t="shared" si="144"/>
        <v>0.197074964639321</v>
      </c>
      <c r="L931" s="809">
        <f t="shared" si="149"/>
        <v>1.12972746820787</v>
      </c>
      <c r="M931" s="839">
        <f t="shared" ref="M931:M967" si="150">F931/B931</f>
        <v>0</v>
      </c>
      <c r="N931" s="39">
        <f t="shared" si="148"/>
        <v>0</v>
      </c>
      <c r="O931" s="675">
        <f t="shared" si="145"/>
        <v>15.1447826086957</v>
      </c>
      <c r="P931">
        <f t="shared" si="146"/>
        <v>46</v>
      </c>
      <c r="Q931" s="842">
        <f t="shared" si="147"/>
        <v>0.013012729844413</v>
      </c>
    </row>
    <row r="932" spans="1:17">
      <c r="A932" s="801">
        <v>45680</v>
      </c>
      <c r="B932" s="670">
        <v>672.58</v>
      </c>
      <c r="C932" s="671">
        <v>328053</v>
      </c>
      <c r="D932" s="37">
        <v>3379</v>
      </c>
      <c r="E932" s="37">
        <v>0</v>
      </c>
      <c r="F932" s="841">
        <v>0</v>
      </c>
      <c r="G932" s="37">
        <v>29</v>
      </c>
      <c r="H932" s="37">
        <v>19</v>
      </c>
      <c r="I932" s="37">
        <v>2</v>
      </c>
      <c r="J932" s="672">
        <f t="shared" si="143"/>
        <v>0.010300164912377</v>
      </c>
      <c r="K932" s="673">
        <f t="shared" si="144"/>
        <v>0.199047055341817</v>
      </c>
      <c r="L932" s="809">
        <f t="shared" si="149"/>
        <v>2.05021749534374</v>
      </c>
      <c r="M932" s="839">
        <f t="shared" si="150"/>
        <v>0</v>
      </c>
      <c r="N932" s="39">
        <f t="shared" si="148"/>
        <v>0</v>
      </c>
      <c r="O932" s="675">
        <f t="shared" si="145"/>
        <v>14.0120833333333</v>
      </c>
      <c r="P932">
        <f t="shared" si="146"/>
        <v>48</v>
      </c>
      <c r="Q932" s="842">
        <f t="shared" si="147"/>
        <v>0.0142053862089376</v>
      </c>
    </row>
    <row r="933" spans="1:17">
      <c r="A933" s="801">
        <v>45681</v>
      </c>
      <c r="B933" s="670">
        <v>642.82</v>
      </c>
      <c r="C933" s="671">
        <v>224457</v>
      </c>
      <c r="D933" s="37">
        <v>2101</v>
      </c>
      <c r="E933" s="37">
        <v>0</v>
      </c>
      <c r="F933" s="841">
        <v>0</v>
      </c>
      <c r="G933" s="37">
        <v>34</v>
      </c>
      <c r="H933" s="37">
        <v>26</v>
      </c>
      <c r="I933" s="37">
        <v>1</v>
      </c>
      <c r="J933" s="672">
        <f t="shared" si="143"/>
        <v>0.00936036746459233</v>
      </c>
      <c r="K933" s="673">
        <f t="shared" si="144"/>
        <v>0.3059590671109</v>
      </c>
      <c r="L933" s="809">
        <f t="shared" si="149"/>
        <v>2.86388929728188</v>
      </c>
      <c r="M933" s="839">
        <f t="shared" si="150"/>
        <v>0</v>
      </c>
      <c r="N933" s="39">
        <f t="shared" si="148"/>
        <v>0</v>
      </c>
      <c r="O933" s="675">
        <f t="shared" si="145"/>
        <v>10.7136666666667</v>
      </c>
      <c r="P933">
        <f t="shared" si="146"/>
        <v>60</v>
      </c>
      <c r="Q933" s="842">
        <f t="shared" si="147"/>
        <v>0.02855782960495</v>
      </c>
    </row>
    <row r="934" spans="1:17">
      <c r="A934" s="801">
        <v>45682</v>
      </c>
      <c r="B934" s="670">
        <v>638.97</v>
      </c>
      <c r="C934" s="671">
        <v>184413</v>
      </c>
      <c r="D934" s="37">
        <v>1540</v>
      </c>
      <c r="E934" s="37">
        <v>0</v>
      </c>
      <c r="F934" s="841">
        <v>0</v>
      </c>
      <c r="G934" s="37">
        <v>39</v>
      </c>
      <c r="H934" s="37">
        <v>32</v>
      </c>
      <c r="I934" s="37">
        <v>1</v>
      </c>
      <c r="J934" s="672">
        <f t="shared" si="143"/>
        <v>0.00835082125446688</v>
      </c>
      <c r="K934" s="673">
        <f t="shared" si="144"/>
        <v>0.414915584415584</v>
      </c>
      <c r="L934" s="809">
        <f t="shared" si="149"/>
        <v>3.46488588114721</v>
      </c>
      <c r="M934" s="839">
        <f t="shared" si="150"/>
        <v>0</v>
      </c>
      <c r="N934" s="39">
        <f t="shared" si="148"/>
        <v>0</v>
      </c>
      <c r="O934" s="675">
        <f t="shared" si="145"/>
        <v>8.99957746478873</v>
      </c>
      <c r="P934">
        <f t="shared" si="146"/>
        <v>71</v>
      </c>
      <c r="Q934" s="842">
        <f t="shared" si="147"/>
        <v>0.0461038961038961</v>
      </c>
    </row>
    <row r="935" spans="1:17">
      <c r="A935" s="801">
        <v>45683</v>
      </c>
      <c r="B935" s="670">
        <v>642.28</v>
      </c>
      <c r="C935" s="671">
        <v>405909</v>
      </c>
      <c r="D935" s="37">
        <v>1785</v>
      </c>
      <c r="E935" s="37">
        <v>0</v>
      </c>
      <c r="F935" s="841">
        <v>0</v>
      </c>
      <c r="G935" s="37">
        <v>52</v>
      </c>
      <c r="H935" s="37">
        <v>26</v>
      </c>
      <c r="I935" s="37">
        <v>4</v>
      </c>
      <c r="J935" s="672">
        <f t="shared" si="143"/>
        <v>0.00439753737906772</v>
      </c>
      <c r="K935" s="673">
        <f t="shared" si="144"/>
        <v>0.359820728291317</v>
      </c>
      <c r="L935" s="809">
        <f t="shared" si="149"/>
        <v>1.58232510242443</v>
      </c>
      <c r="M935" s="839">
        <f t="shared" si="150"/>
        <v>0</v>
      </c>
      <c r="N935" s="39">
        <f t="shared" si="148"/>
        <v>0</v>
      </c>
      <c r="O935" s="675">
        <f t="shared" si="145"/>
        <v>8.23435897435897</v>
      </c>
      <c r="P935">
        <f t="shared" si="146"/>
        <v>78</v>
      </c>
      <c r="Q935" s="842">
        <f t="shared" si="147"/>
        <v>0.0436974789915966</v>
      </c>
    </row>
    <row r="936" spans="1:17">
      <c r="A936" s="801">
        <v>45684</v>
      </c>
      <c r="B936" s="670">
        <v>634.19</v>
      </c>
      <c r="C936" s="671">
        <v>441560</v>
      </c>
      <c r="D936" s="37">
        <v>2105</v>
      </c>
      <c r="E936" s="37">
        <v>1</v>
      </c>
      <c r="F936" s="41">
        <v>3677</v>
      </c>
      <c r="G936" s="37">
        <v>48</v>
      </c>
      <c r="H936" s="37">
        <v>33</v>
      </c>
      <c r="I936" s="37">
        <v>5</v>
      </c>
      <c r="J936" s="672">
        <f t="shared" si="143"/>
        <v>0.0047671890569798</v>
      </c>
      <c r="K936" s="673">
        <f t="shared" si="144"/>
        <v>0.301277909738717</v>
      </c>
      <c r="L936" s="809">
        <f t="shared" si="149"/>
        <v>1.43624875441616</v>
      </c>
      <c r="M936" s="839">
        <f t="shared" si="150"/>
        <v>5.79794698749586</v>
      </c>
      <c r="N936" s="39">
        <f t="shared" si="148"/>
        <v>0.000475059382422803</v>
      </c>
      <c r="O936" s="675">
        <f t="shared" si="145"/>
        <v>7.82950617283951</v>
      </c>
      <c r="P936">
        <f t="shared" si="146"/>
        <v>81</v>
      </c>
      <c r="Q936" s="842">
        <f t="shared" si="147"/>
        <v>0.038479809976247</v>
      </c>
    </row>
    <row r="937" spans="1:17">
      <c r="A937" s="801">
        <v>45685</v>
      </c>
      <c r="B937" s="670">
        <v>643.7</v>
      </c>
      <c r="C937" s="671">
        <v>862467</v>
      </c>
      <c r="D937" s="37">
        <v>2891</v>
      </c>
      <c r="E937" s="37">
        <v>0</v>
      </c>
      <c r="F937" s="841">
        <v>0</v>
      </c>
      <c r="G937" s="37">
        <v>29</v>
      </c>
      <c r="H937" s="37">
        <v>26</v>
      </c>
      <c r="I937" s="37">
        <v>2</v>
      </c>
      <c r="J937" s="672">
        <f t="shared" si="143"/>
        <v>0.00335201230887675</v>
      </c>
      <c r="K937" s="673">
        <f t="shared" si="144"/>
        <v>0.222656520235213</v>
      </c>
      <c r="L937" s="809">
        <f t="shared" si="149"/>
        <v>0.746347396480097</v>
      </c>
      <c r="M937" s="839">
        <f t="shared" si="150"/>
        <v>0</v>
      </c>
      <c r="N937" s="39">
        <f t="shared" si="148"/>
        <v>0</v>
      </c>
      <c r="O937" s="675">
        <f t="shared" si="145"/>
        <v>11.7036363636364</v>
      </c>
      <c r="P937">
        <f t="shared" si="146"/>
        <v>55</v>
      </c>
      <c r="Q937" s="842">
        <f t="shared" si="147"/>
        <v>0.0190245589761328</v>
      </c>
    </row>
    <row r="938" spans="1:17">
      <c r="A938" s="801">
        <v>45686</v>
      </c>
      <c r="B938" s="670">
        <v>638.37</v>
      </c>
      <c r="C938" s="671">
        <v>1265107</v>
      </c>
      <c r="D938" s="37">
        <v>3795</v>
      </c>
      <c r="E938" s="37">
        <v>0</v>
      </c>
      <c r="F938" s="841">
        <v>0</v>
      </c>
      <c r="G938" s="37">
        <v>38</v>
      </c>
      <c r="H938" s="37">
        <v>24</v>
      </c>
      <c r="I938" s="37">
        <v>1</v>
      </c>
      <c r="J938" s="672">
        <f t="shared" si="143"/>
        <v>0.00299974626652133</v>
      </c>
      <c r="K938" s="673">
        <f t="shared" si="144"/>
        <v>0.168213438735178</v>
      </c>
      <c r="L938" s="809">
        <f t="shared" si="149"/>
        <v>0.504597634824564</v>
      </c>
      <c r="M938" s="839">
        <f t="shared" si="150"/>
        <v>0</v>
      </c>
      <c r="N938" s="39">
        <f t="shared" si="148"/>
        <v>0</v>
      </c>
      <c r="O938" s="675">
        <f t="shared" si="145"/>
        <v>10.2962903225806</v>
      </c>
      <c r="P938">
        <f t="shared" si="146"/>
        <v>62</v>
      </c>
      <c r="Q938" s="842">
        <f t="shared" si="147"/>
        <v>0.0163372859025033</v>
      </c>
    </row>
    <row r="939" spans="1:17">
      <c r="A939" s="801">
        <v>45687</v>
      </c>
      <c r="B939" s="670">
        <v>643.69</v>
      </c>
      <c r="C939" s="671">
        <v>926003</v>
      </c>
      <c r="D939" s="37">
        <v>4275</v>
      </c>
      <c r="E939" s="37">
        <v>0</v>
      </c>
      <c r="F939" s="841">
        <v>0</v>
      </c>
      <c r="G939" s="37">
        <v>46</v>
      </c>
      <c r="H939" s="37">
        <v>24</v>
      </c>
      <c r="I939" s="37">
        <v>2</v>
      </c>
      <c r="J939" s="672">
        <f t="shared" si="143"/>
        <v>0.00461661571290806</v>
      </c>
      <c r="K939" s="673">
        <f t="shared" si="144"/>
        <v>0.150570760233918</v>
      </c>
      <c r="L939" s="809">
        <f t="shared" si="149"/>
        <v>0.695127337600418</v>
      </c>
      <c r="M939" s="839">
        <f t="shared" si="150"/>
        <v>0</v>
      </c>
      <c r="N939" s="39">
        <f t="shared" si="148"/>
        <v>0</v>
      </c>
      <c r="O939" s="675">
        <f t="shared" si="145"/>
        <v>9.19557142857143</v>
      </c>
      <c r="P939">
        <f t="shared" si="146"/>
        <v>70</v>
      </c>
      <c r="Q939" s="842">
        <f t="shared" si="147"/>
        <v>0.016374269005848</v>
      </c>
    </row>
    <row r="940" spans="1:17">
      <c r="A940" s="801">
        <v>45688</v>
      </c>
      <c r="B940" s="670">
        <v>645.82</v>
      </c>
      <c r="C940" s="671">
        <v>642747</v>
      </c>
      <c r="D940" s="37">
        <v>3314</v>
      </c>
      <c r="E940" s="37">
        <v>0</v>
      </c>
      <c r="F940" s="841">
        <v>0</v>
      </c>
      <c r="G940" s="37">
        <v>45</v>
      </c>
      <c r="H940" s="37">
        <v>31</v>
      </c>
      <c r="I940" s="37">
        <v>3</v>
      </c>
      <c r="J940" s="672">
        <f t="shared" si="143"/>
        <v>0.00515599450483627</v>
      </c>
      <c r="K940" s="673">
        <f t="shared" si="144"/>
        <v>0.194876282438141</v>
      </c>
      <c r="L940" s="809">
        <f t="shared" si="149"/>
        <v>1.00478104137398</v>
      </c>
      <c r="M940" s="839">
        <f t="shared" si="150"/>
        <v>0</v>
      </c>
      <c r="N940" s="39">
        <f t="shared" si="148"/>
        <v>0</v>
      </c>
      <c r="O940" s="675">
        <f t="shared" si="145"/>
        <v>8.49763157894737</v>
      </c>
      <c r="P940">
        <f t="shared" si="146"/>
        <v>76</v>
      </c>
      <c r="Q940" s="842">
        <f t="shared" si="147"/>
        <v>0.0229330114665057</v>
      </c>
    </row>
    <row r="941" spans="1:17">
      <c r="A941" s="801">
        <v>45689</v>
      </c>
      <c r="B941" s="670">
        <v>645.35</v>
      </c>
      <c r="C941" s="671">
        <v>493124</v>
      </c>
      <c r="D941" s="37">
        <v>2976</v>
      </c>
      <c r="E941" s="37">
        <v>0</v>
      </c>
      <c r="F941" s="841">
        <v>0</v>
      </c>
      <c r="G941" s="37">
        <v>56</v>
      </c>
      <c r="H941" s="37">
        <v>23</v>
      </c>
      <c r="I941" s="37">
        <v>3</v>
      </c>
      <c r="J941" s="672">
        <f t="shared" si="143"/>
        <v>0.00603499322685572</v>
      </c>
      <c r="K941" s="673">
        <f t="shared" si="144"/>
        <v>0.216851478494624</v>
      </c>
      <c r="L941" s="809">
        <f t="shared" si="149"/>
        <v>1.3086972039487</v>
      </c>
      <c r="M941" s="839">
        <f t="shared" si="150"/>
        <v>0</v>
      </c>
      <c r="N941" s="39">
        <f t="shared" si="148"/>
        <v>0</v>
      </c>
      <c r="O941" s="675">
        <f t="shared" si="145"/>
        <v>8.16898734177215</v>
      </c>
      <c r="P941">
        <f t="shared" si="146"/>
        <v>79</v>
      </c>
      <c r="Q941" s="842">
        <f t="shared" si="147"/>
        <v>0.0265456989247312</v>
      </c>
    </row>
    <row r="942" spans="1:17">
      <c r="A942" s="801">
        <v>45690</v>
      </c>
      <c r="B942" s="670">
        <v>641.49</v>
      </c>
      <c r="C942" s="671">
        <v>895017</v>
      </c>
      <c r="D942" s="37">
        <v>3559</v>
      </c>
      <c r="E942" s="37">
        <v>0</v>
      </c>
      <c r="F942" s="841">
        <v>0</v>
      </c>
      <c r="G942" s="37">
        <v>43</v>
      </c>
      <c r="H942" s="37">
        <v>27</v>
      </c>
      <c r="I942" s="37">
        <v>7</v>
      </c>
      <c r="J942" s="672">
        <f t="shared" si="143"/>
        <v>0.00397646078230916</v>
      </c>
      <c r="K942" s="673">
        <f t="shared" si="144"/>
        <v>0.180244450688396</v>
      </c>
      <c r="L942" s="809">
        <f t="shared" si="149"/>
        <v>0.716734989391263</v>
      </c>
      <c r="M942" s="839">
        <f t="shared" si="150"/>
        <v>0</v>
      </c>
      <c r="N942" s="39">
        <f t="shared" si="148"/>
        <v>0</v>
      </c>
      <c r="O942" s="675">
        <f t="shared" si="145"/>
        <v>9.16414285714286</v>
      </c>
      <c r="P942">
        <f t="shared" si="146"/>
        <v>70</v>
      </c>
      <c r="Q942" s="842">
        <f t="shared" si="147"/>
        <v>0.0196684461927508</v>
      </c>
    </row>
    <row r="943" spans="1:17">
      <c r="A943" s="801">
        <v>45691</v>
      </c>
      <c r="B943" s="670">
        <v>736.85</v>
      </c>
      <c r="C943" s="671">
        <v>365979</v>
      </c>
      <c r="D943" s="37">
        <v>2233</v>
      </c>
      <c r="E943" s="37">
        <v>0</v>
      </c>
      <c r="F943" s="841">
        <v>0</v>
      </c>
      <c r="G943" s="37">
        <v>43</v>
      </c>
      <c r="H943" s="37">
        <v>17</v>
      </c>
      <c r="I943" s="37">
        <v>4</v>
      </c>
      <c r="J943" s="672">
        <f t="shared" si="143"/>
        <v>0.00610144297896874</v>
      </c>
      <c r="K943" s="673">
        <f t="shared" si="144"/>
        <v>0.329982086878639</v>
      </c>
      <c r="L943" s="809">
        <f t="shared" si="149"/>
        <v>2.01336688717112</v>
      </c>
      <c r="M943" s="839">
        <f t="shared" si="150"/>
        <v>0</v>
      </c>
      <c r="N943" s="39">
        <f t="shared" si="148"/>
        <v>0</v>
      </c>
      <c r="O943" s="675">
        <f t="shared" si="145"/>
        <v>12.2808333333333</v>
      </c>
      <c r="P943">
        <f t="shared" si="146"/>
        <v>60</v>
      </c>
      <c r="Q943" s="842">
        <f t="shared" si="147"/>
        <v>0.0268696820420958</v>
      </c>
    </row>
    <row r="944" spans="1:17">
      <c r="A944" s="801">
        <v>45692</v>
      </c>
      <c r="B944" s="670">
        <v>642.6</v>
      </c>
      <c r="C944" s="671">
        <v>291624</v>
      </c>
      <c r="D944" s="37">
        <v>1664</v>
      </c>
      <c r="E944" s="37">
        <v>0</v>
      </c>
      <c r="F944" s="841">
        <v>0</v>
      </c>
      <c r="G944" s="37">
        <v>23</v>
      </c>
      <c r="H944" s="37">
        <v>11</v>
      </c>
      <c r="I944" s="37">
        <v>3</v>
      </c>
      <c r="J944" s="672">
        <f t="shared" si="143"/>
        <v>0.00570597756014594</v>
      </c>
      <c r="K944" s="673">
        <f t="shared" si="144"/>
        <v>0.386177884615385</v>
      </c>
      <c r="L944" s="809">
        <f t="shared" si="149"/>
        <v>2.20352234384001</v>
      </c>
      <c r="M944" s="839">
        <f t="shared" si="150"/>
        <v>0</v>
      </c>
      <c r="N944" s="39">
        <f t="shared" si="148"/>
        <v>0</v>
      </c>
      <c r="O944" s="675">
        <f t="shared" si="145"/>
        <v>18.9</v>
      </c>
      <c r="P944">
        <f t="shared" si="146"/>
        <v>34</v>
      </c>
      <c r="Q944" s="842">
        <f t="shared" si="147"/>
        <v>0.0204326923076923</v>
      </c>
    </row>
    <row r="945" spans="1:17">
      <c r="A945" s="801">
        <v>45693</v>
      </c>
      <c r="B945" s="670">
        <v>576.21</v>
      </c>
      <c r="C945" s="671">
        <v>163868</v>
      </c>
      <c r="D945" s="37">
        <v>1092</v>
      </c>
      <c r="E945" s="37">
        <v>1</v>
      </c>
      <c r="F945" s="41">
        <v>10813.32</v>
      </c>
      <c r="G945" s="37">
        <v>28</v>
      </c>
      <c r="H945" s="37">
        <v>8</v>
      </c>
      <c r="I945" s="37">
        <v>1</v>
      </c>
      <c r="J945" s="672">
        <f t="shared" si="143"/>
        <v>0.00666390021236605</v>
      </c>
      <c r="K945" s="673">
        <f t="shared" si="144"/>
        <v>0.527664835164835</v>
      </c>
      <c r="L945" s="809">
        <f t="shared" si="149"/>
        <v>3.51630580711304</v>
      </c>
      <c r="M945" s="839">
        <f t="shared" si="150"/>
        <v>18.7662831259437</v>
      </c>
      <c r="N945" s="39">
        <f t="shared" si="148"/>
        <v>0.000915750915750916</v>
      </c>
      <c r="O945" s="675">
        <f t="shared" si="145"/>
        <v>16.0058333333333</v>
      </c>
      <c r="P945">
        <f t="shared" si="146"/>
        <v>36</v>
      </c>
      <c r="Q945" s="842">
        <f t="shared" si="147"/>
        <v>0.032967032967033</v>
      </c>
    </row>
    <row r="946" spans="1:17">
      <c r="A946" s="801">
        <v>45694</v>
      </c>
      <c r="B946" s="670">
        <v>393.58</v>
      </c>
      <c r="C946" s="671">
        <v>97288</v>
      </c>
      <c r="D946" s="37">
        <v>621</v>
      </c>
      <c r="E946" s="37">
        <v>0</v>
      </c>
      <c r="F946" s="841">
        <v>0</v>
      </c>
      <c r="G946" s="37">
        <v>26</v>
      </c>
      <c r="H946" s="37">
        <v>5</v>
      </c>
      <c r="I946" s="37">
        <v>1</v>
      </c>
      <c r="J946" s="672">
        <f t="shared" si="143"/>
        <v>0.00638310994161664</v>
      </c>
      <c r="K946" s="673">
        <f t="shared" si="144"/>
        <v>0.63378421900161</v>
      </c>
      <c r="L946" s="809">
        <f t="shared" si="149"/>
        <v>4.04551434914892</v>
      </c>
      <c r="M946" s="839">
        <f t="shared" si="150"/>
        <v>0</v>
      </c>
      <c r="N946" s="39">
        <f t="shared" si="148"/>
        <v>0</v>
      </c>
      <c r="O946" s="675">
        <f t="shared" si="145"/>
        <v>12.6961290322581</v>
      </c>
      <c r="P946">
        <f t="shared" si="146"/>
        <v>31</v>
      </c>
      <c r="Q946" s="842">
        <f t="shared" si="147"/>
        <v>0.0499194847020934</v>
      </c>
    </row>
    <row r="947" spans="1:17">
      <c r="A947" s="801">
        <v>45695</v>
      </c>
      <c r="B947" s="670">
        <v>443.6</v>
      </c>
      <c r="C947" s="671">
        <v>109896</v>
      </c>
      <c r="D947" s="37">
        <v>737</v>
      </c>
      <c r="E947" s="37">
        <v>1</v>
      </c>
      <c r="F947" s="41">
        <v>11172</v>
      </c>
      <c r="G947" s="37">
        <v>27</v>
      </c>
      <c r="H947" s="37">
        <v>3</v>
      </c>
      <c r="I947" s="37">
        <v>1</v>
      </c>
      <c r="J947" s="672">
        <f t="shared" si="143"/>
        <v>0.00670634054014705</v>
      </c>
      <c r="K947" s="673">
        <f t="shared" si="144"/>
        <v>0.601899592944369</v>
      </c>
      <c r="L947" s="809">
        <f t="shared" si="149"/>
        <v>4.03654364126083</v>
      </c>
      <c r="M947" s="839">
        <f t="shared" si="150"/>
        <v>25.1848512173129</v>
      </c>
      <c r="N947" s="39">
        <f t="shared" si="148"/>
        <v>0.00135685210312076</v>
      </c>
      <c r="O947" s="675">
        <f t="shared" si="145"/>
        <v>14.7866666666667</v>
      </c>
      <c r="P947">
        <f t="shared" si="146"/>
        <v>30</v>
      </c>
      <c r="Q947" s="842">
        <f t="shared" si="147"/>
        <v>0.0407055630936228</v>
      </c>
    </row>
    <row r="948" spans="1:17">
      <c r="A948" s="801">
        <v>45696</v>
      </c>
      <c r="B948" s="670">
        <v>448.08</v>
      </c>
      <c r="C948" s="671">
        <v>28722</v>
      </c>
      <c r="D948" s="37">
        <v>424</v>
      </c>
      <c r="E948" s="37">
        <v>0</v>
      </c>
      <c r="F948" s="841">
        <v>0</v>
      </c>
      <c r="G948" s="37">
        <v>42</v>
      </c>
      <c r="H948" s="37">
        <v>3</v>
      </c>
      <c r="I948" s="37">
        <v>2</v>
      </c>
      <c r="J948" s="672">
        <f t="shared" si="143"/>
        <v>0.014762203189193</v>
      </c>
      <c r="K948" s="673">
        <f t="shared" si="144"/>
        <v>1.05679245283019</v>
      </c>
      <c r="L948" s="809">
        <f t="shared" si="149"/>
        <v>15.6005849174849</v>
      </c>
      <c r="M948" s="839">
        <f t="shared" si="150"/>
        <v>0</v>
      </c>
      <c r="N948" s="39">
        <f t="shared" si="148"/>
        <v>0</v>
      </c>
      <c r="O948" s="675">
        <f t="shared" si="145"/>
        <v>9.95733333333333</v>
      </c>
      <c r="P948">
        <f t="shared" si="146"/>
        <v>45</v>
      </c>
      <c r="Q948" s="842">
        <f t="shared" si="147"/>
        <v>0.106132075471698</v>
      </c>
    </row>
    <row r="949" spans="1:17">
      <c r="A949" s="801">
        <v>45697</v>
      </c>
      <c r="B949" s="670">
        <v>460.28</v>
      </c>
      <c r="C949" s="671">
        <v>30989</v>
      </c>
      <c r="D949" s="37">
        <v>500</v>
      </c>
      <c r="E949" s="37">
        <v>2</v>
      </c>
      <c r="F949" s="841">
        <v>20232</v>
      </c>
      <c r="G949" s="37">
        <v>21</v>
      </c>
      <c r="H949" s="37">
        <v>6</v>
      </c>
      <c r="I949" s="37">
        <v>3</v>
      </c>
      <c r="J949" s="672">
        <f t="shared" si="143"/>
        <v>0.0161347574945949</v>
      </c>
      <c r="K949" s="673">
        <f t="shared" si="144"/>
        <v>0.92056</v>
      </c>
      <c r="L949" s="809">
        <f t="shared" si="149"/>
        <v>14.8530123592242</v>
      </c>
      <c r="M949" s="839">
        <f t="shared" si="150"/>
        <v>43.9558529590684</v>
      </c>
      <c r="N949" s="39">
        <f t="shared" si="148"/>
        <v>0.004</v>
      </c>
      <c r="O949" s="675">
        <f t="shared" si="145"/>
        <v>17.0474074074074</v>
      </c>
      <c r="P949">
        <f t="shared" si="146"/>
        <v>27</v>
      </c>
      <c r="Q949" s="842">
        <f t="shared" si="147"/>
        <v>0.054</v>
      </c>
    </row>
    <row r="950" spans="1:17">
      <c r="A950" s="801">
        <v>45698</v>
      </c>
      <c r="B950" s="670">
        <v>440.89</v>
      </c>
      <c r="C950" s="671">
        <v>36866</v>
      </c>
      <c r="D950" s="37">
        <v>545</v>
      </c>
      <c r="E950" s="37">
        <v>1</v>
      </c>
      <c r="F950" s="841">
        <v>11712.96</v>
      </c>
      <c r="G950" s="37">
        <v>38</v>
      </c>
      <c r="H950" s="37">
        <v>5</v>
      </c>
      <c r="I950" s="37">
        <v>1</v>
      </c>
      <c r="J950" s="672">
        <f t="shared" si="143"/>
        <v>0.0147832691368741</v>
      </c>
      <c r="K950" s="673">
        <f t="shared" si="144"/>
        <v>0.80897247706422</v>
      </c>
      <c r="L950" s="809">
        <f t="shared" si="149"/>
        <v>11.9592578527641</v>
      </c>
      <c r="M950" s="839">
        <f t="shared" si="150"/>
        <v>26.5666265962031</v>
      </c>
      <c r="N950" s="39">
        <f t="shared" si="148"/>
        <v>0.0018348623853211</v>
      </c>
      <c r="O950" s="675">
        <f t="shared" si="145"/>
        <v>10.2532558139535</v>
      </c>
      <c r="P950">
        <f t="shared" si="146"/>
        <v>43</v>
      </c>
      <c r="Q950" s="842">
        <f t="shared" si="147"/>
        <v>0.0788990825688073</v>
      </c>
    </row>
    <row r="951" spans="1:17">
      <c r="A951" s="801">
        <v>45699</v>
      </c>
      <c r="B951" s="670">
        <v>445.83</v>
      </c>
      <c r="C951" s="671">
        <v>23968</v>
      </c>
      <c r="D951" s="37">
        <v>441</v>
      </c>
      <c r="E951" s="37">
        <v>1</v>
      </c>
      <c r="F951" s="843">
        <v>13731.76</v>
      </c>
      <c r="G951" s="37">
        <v>35</v>
      </c>
      <c r="H951" s="37">
        <v>1</v>
      </c>
      <c r="I951" s="37">
        <v>0</v>
      </c>
      <c r="J951" s="672">
        <f t="shared" si="143"/>
        <v>0.0183995327102804</v>
      </c>
      <c r="K951" s="673">
        <f t="shared" si="144"/>
        <v>1.01095238095238</v>
      </c>
      <c r="L951" s="809">
        <f t="shared" si="149"/>
        <v>18.6010514018692</v>
      </c>
      <c r="M951" s="839">
        <f t="shared" si="150"/>
        <v>30.8004396294552</v>
      </c>
      <c r="N951" s="39">
        <f t="shared" si="148"/>
        <v>0.00226757369614512</v>
      </c>
      <c r="O951" s="675">
        <f t="shared" si="145"/>
        <v>12.3841666666667</v>
      </c>
      <c r="P951">
        <f t="shared" si="146"/>
        <v>36</v>
      </c>
      <c r="Q951" s="842">
        <f t="shared" si="147"/>
        <v>0.0816326530612245</v>
      </c>
    </row>
    <row r="952" spans="1:17">
      <c r="A952" s="801">
        <v>45700</v>
      </c>
      <c r="B952" s="670">
        <v>442.46</v>
      </c>
      <c r="C952" s="671">
        <v>47169</v>
      </c>
      <c r="D952" s="37">
        <v>543</v>
      </c>
      <c r="E952" s="37">
        <v>0</v>
      </c>
      <c r="F952" s="841">
        <v>0</v>
      </c>
      <c r="G952" s="37">
        <v>27</v>
      </c>
      <c r="H952" s="37">
        <v>5</v>
      </c>
      <c r="I952" s="37">
        <v>1</v>
      </c>
      <c r="J952" s="672">
        <f t="shared" si="143"/>
        <v>0.0115117980029256</v>
      </c>
      <c r="K952" s="673">
        <f t="shared" si="144"/>
        <v>0.814843462246777</v>
      </c>
      <c r="L952" s="809">
        <f t="shared" si="149"/>
        <v>9.38031334138947</v>
      </c>
      <c r="M952" s="839">
        <f t="shared" si="150"/>
        <v>0</v>
      </c>
      <c r="N952" s="39">
        <f t="shared" si="148"/>
        <v>0</v>
      </c>
      <c r="O952" s="675">
        <f t="shared" si="145"/>
        <v>13.826875</v>
      </c>
      <c r="P952">
        <f t="shared" si="146"/>
        <v>32</v>
      </c>
      <c r="Q952" s="842">
        <f t="shared" si="147"/>
        <v>0.0589318600368324</v>
      </c>
    </row>
    <row r="953" spans="1:17">
      <c r="A953" s="801">
        <v>45701</v>
      </c>
      <c r="B953" s="670">
        <v>446.47</v>
      </c>
      <c r="C953" s="671">
        <v>114293</v>
      </c>
      <c r="D953" s="37">
        <v>681</v>
      </c>
      <c r="E953" s="37">
        <v>0</v>
      </c>
      <c r="F953" s="841">
        <v>0</v>
      </c>
      <c r="G953" s="37">
        <v>25</v>
      </c>
      <c r="H953" s="37">
        <v>2</v>
      </c>
      <c r="I953" s="37">
        <v>0</v>
      </c>
      <c r="J953" s="672">
        <f t="shared" si="143"/>
        <v>0.00595837015390269</v>
      </c>
      <c r="K953" s="673">
        <f t="shared" si="144"/>
        <v>0.6556093979442</v>
      </c>
      <c r="L953" s="809">
        <f t="shared" si="149"/>
        <v>3.90636346932883</v>
      </c>
      <c r="M953" s="839">
        <f t="shared" si="150"/>
        <v>0</v>
      </c>
      <c r="N953" s="39">
        <f t="shared" si="148"/>
        <v>0</v>
      </c>
      <c r="O953" s="675">
        <f t="shared" si="145"/>
        <v>16.5359259259259</v>
      </c>
      <c r="P953">
        <f t="shared" si="146"/>
        <v>27</v>
      </c>
      <c r="Q953" s="842">
        <f t="shared" si="147"/>
        <v>0.039647577092511</v>
      </c>
    </row>
    <row r="954" spans="1:17">
      <c r="A954" s="801">
        <v>45702</v>
      </c>
      <c r="B954" s="670">
        <v>440.91</v>
      </c>
      <c r="C954" s="671">
        <v>104103</v>
      </c>
      <c r="D954" s="37">
        <v>635</v>
      </c>
      <c r="E954" s="37">
        <v>0</v>
      </c>
      <c r="F954" s="841">
        <v>0</v>
      </c>
      <c r="G954" s="37">
        <v>19</v>
      </c>
      <c r="H954" s="37">
        <v>4</v>
      </c>
      <c r="I954" s="37">
        <v>1</v>
      </c>
      <c r="J954" s="672">
        <f t="shared" si="143"/>
        <v>0.00609972815384763</v>
      </c>
      <c r="K954" s="673">
        <f t="shared" si="144"/>
        <v>0.694346456692913</v>
      </c>
      <c r="L954" s="809">
        <f t="shared" si="149"/>
        <v>4.23532463041411</v>
      </c>
      <c r="M954" s="839">
        <f t="shared" si="150"/>
        <v>0</v>
      </c>
      <c r="N954" s="39">
        <f t="shared" si="148"/>
        <v>0</v>
      </c>
      <c r="O954" s="675">
        <f t="shared" si="145"/>
        <v>19.17</v>
      </c>
      <c r="P954">
        <f t="shared" si="146"/>
        <v>23</v>
      </c>
      <c r="Q954" s="842">
        <f t="shared" si="147"/>
        <v>0.0362204724409449</v>
      </c>
    </row>
    <row r="955" spans="1:17">
      <c r="A955" s="801">
        <v>45703</v>
      </c>
      <c r="B955" s="670">
        <v>446.43</v>
      </c>
      <c r="C955" s="671">
        <v>86410</v>
      </c>
      <c r="D955" s="37">
        <v>576</v>
      </c>
      <c r="E955" s="37">
        <v>2</v>
      </c>
      <c r="F955" s="41">
        <v>32021</v>
      </c>
      <c r="G955" s="37">
        <v>16</v>
      </c>
      <c r="H955" s="37">
        <v>2</v>
      </c>
      <c r="I955" s="37">
        <v>0</v>
      </c>
      <c r="J955" s="672">
        <f t="shared" si="143"/>
        <v>0.00666589515102419</v>
      </c>
      <c r="K955" s="673">
        <f t="shared" si="144"/>
        <v>0.775052083333333</v>
      </c>
      <c r="L955" s="809">
        <f t="shared" si="149"/>
        <v>5.16641592408286</v>
      </c>
      <c r="M955" s="839">
        <f t="shared" si="150"/>
        <v>71.7268104742065</v>
      </c>
      <c r="N955" s="39">
        <f t="shared" si="148"/>
        <v>0.00347222222222222</v>
      </c>
      <c r="O955" s="675">
        <f t="shared" si="145"/>
        <v>24.8016666666667</v>
      </c>
      <c r="P955">
        <f t="shared" si="146"/>
        <v>18</v>
      </c>
      <c r="Q955" s="842">
        <f t="shared" si="147"/>
        <v>0.03125</v>
      </c>
    </row>
    <row r="956" spans="1:17">
      <c r="A956" s="801">
        <v>45704</v>
      </c>
      <c r="B956" s="670">
        <v>469.86</v>
      </c>
      <c r="C956" s="671">
        <v>79262</v>
      </c>
      <c r="D956" s="37">
        <v>597</v>
      </c>
      <c r="E956" s="37">
        <v>0</v>
      </c>
      <c r="F956" s="841">
        <v>0</v>
      </c>
      <c r="G956" s="37">
        <v>20</v>
      </c>
      <c r="H956" s="37">
        <v>1</v>
      </c>
      <c r="I956" s="37">
        <v>0</v>
      </c>
      <c r="J956" s="672">
        <f t="shared" si="143"/>
        <v>0.00753198253892155</v>
      </c>
      <c r="K956" s="673">
        <f t="shared" si="144"/>
        <v>0.787035175879397</v>
      </c>
      <c r="L956" s="809">
        <f t="shared" si="149"/>
        <v>5.92793520224067</v>
      </c>
      <c r="M956" s="839">
        <f t="shared" si="150"/>
        <v>0</v>
      </c>
      <c r="N956" s="39">
        <f t="shared" si="148"/>
        <v>0</v>
      </c>
      <c r="O956" s="675">
        <f t="shared" si="145"/>
        <v>22.3742857142857</v>
      </c>
      <c r="P956">
        <f t="shared" si="146"/>
        <v>21</v>
      </c>
      <c r="Q956" s="842">
        <f t="shared" si="147"/>
        <v>0.0351758793969849</v>
      </c>
    </row>
    <row r="957" spans="1:17">
      <c r="A957" s="801">
        <v>45705</v>
      </c>
      <c r="B957" s="670">
        <v>465.52</v>
      </c>
      <c r="C957" s="671">
        <v>84866</v>
      </c>
      <c r="D957" s="37">
        <v>588</v>
      </c>
      <c r="E957" s="37">
        <v>2</v>
      </c>
      <c r="F957" s="41">
        <v>30395.08</v>
      </c>
      <c r="G957" s="37">
        <v>27</v>
      </c>
      <c r="H957" s="37">
        <v>7</v>
      </c>
      <c r="I957" s="37">
        <v>0</v>
      </c>
      <c r="J957" s="672">
        <f t="shared" si="143"/>
        <v>0.00692856974524545</v>
      </c>
      <c r="K957" s="673">
        <f t="shared" si="144"/>
        <v>0.791700680272109</v>
      </c>
      <c r="L957" s="809">
        <f t="shared" si="149"/>
        <v>5.48535338062357</v>
      </c>
      <c r="M957" s="839">
        <f t="shared" si="150"/>
        <v>65.2927478948273</v>
      </c>
      <c r="N957" s="39">
        <f t="shared" si="148"/>
        <v>0.00340136054421769</v>
      </c>
      <c r="O957" s="675">
        <f t="shared" si="145"/>
        <v>13.6917647058824</v>
      </c>
      <c r="P957">
        <f t="shared" si="146"/>
        <v>34</v>
      </c>
      <c r="Q957" s="842">
        <f t="shared" si="147"/>
        <v>0.0578231292517007</v>
      </c>
    </row>
    <row r="958" spans="1:17">
      <c r="A958" s="801">
        <v>45706</v>
      </c>
      <c r="B958" s="670">
        <v>538.12</v>
      </c>
      <c r="C958" s="671">
        <v>134350</v>
      </c>
      <c r="D958" s="37">
        <v>843</v>
      </c>
      <c r="E958" s="37">
        <v>3</v>
      </c>
      <c r="F958" s="41">
        <v>47006.24</v>
      </c>
      <c r="G958" s="37">
        <v>23</v>
      </c>
      <c r="H958" s="37">
        <v>3</v>
      </c>
      <c r="I958" s="37">
        <v>4</v>
      </c>
      <c r="J958" s="672">
        <f t="shared" si="143"/>
        <v>0.00627465574990696</v>
      </c>
      <c r="K958" s="673">
        <f t="shared" si="144"/>
        <v>0.638339264531435</v>
      </c>
      <c r="L958" s="809">
        <f t="shared" si="149"/>
        <v>4.00535913658355</v>
      </c>
      <c r="M958" s="839">
        <f t="shared" si="150"/>
        <v>87.3527094328403</v>
      </c>
      <c r="N958" s="39">
        <f t="shared" si="148"/>
        <v>0.00355871886120996</v>
      </c>
      <c r="O958" s="675">
        <f t="shared" si="145"/>
        <v>20.6969230769231</v>
      </c>
      <c r="P958">
        <f t="shared" si="146"/>
        <v>26</v>
      </c>
      <c r="Q958" s="842">
        <f t="shared" si="147"/>
        <v>0.0308422301304864</v>
      </c>
    </row>
    <row r="959" spans="1:17">
      <c r="A959" s="801">
        <v>45707</v>
      </c>
      <c r="B959" s="670">
        <v>540.68</v>
      </c>
      <c r="C959" s="671">
        <v>82507</v>
      </c>
      <c r="D959" s="37">
        <v>815</v>
      </c>
      <c r="E959" s="37">
        <v>1</v>
      </c>
      <c r="F959" s="841">
        <v>11583.6</v>
      </c>
      <c r="G959" s="37">
        <v>38</v>
      </c>
      <c r="H959" s="37">
        <v>7</v>
      </c>
      <c r="I959" s="37">
        <v>1</v>
      </c>
      <c r="J959" s="672">
        <f t="shared" si="143"/>
        <v>0.00987794974971821</v>
      </c>
      <c r="K959" s="673">
        <f t="shared" si="144"/>
        <v>0.663411042944785</v>
      </c>
      <c r="L959" s="809">
        <f t="shared" si="149"/>
        <v>6.55314094561674</v>
      </c>
      <c r="M959" s="839">
        <f t="shared" si="150"/>
        <v>21.424132573796</v>
      </c>
      <c r="N959" s="39">
        <f t="shared" si="148"/>
        <v>0.00122699386503067</v>
      </c>
      <c r="O959" s="675">
        <f t="shared" si="145"/>
        <v>12.0151111111111</v>
      </c>
      <c r="P959">
        <f t="shared" si="146"/>
        <v>45</v>
      </c>
      <c r="Q959" s="842">
        <f t="shared" si="147"/>
        <v>0.0552147239263804</v>
      </c>
    </row>
    <row r="960" spans="1:17">
      <c r="A960" s="801">
        <v>45708</v>
      </c>
      <c r="B960" s="670">
        <v>542.24</v>
      </c>
      <c r="C960" s="671">
        <v>82453</v>
      </c>
      <c r="D960" s="37">
        <v>814</v>
      </c>
      <c r="E960" s="37">
        <v>2</v>
      </c>
      <c r="F960" s="41">
        <v>24346.04</v>
      </c>
      <c r="G960" s="37">
        <v>29</v>
      </c>
      <c r="H960" s="37">
        <v>4</v>
      </c>
      <c r="I960" s="37">
        <v>2</v>
      </c>
      <c r="J960" s="672">
        <f t="shared" si="143"/>
        <v>0.00987229088086546</v>
      </c>
      <c r="K960" s="673">
        <f t="shared" si="144"/>
        <v>0.666142506142506</v>
      </c>
      <c r="L960" s="809">
        <f t="shared" si="149"/>
        <v>6.57635258874753</v>
      </c>
      <c r="M960" s="839">
        <f t="shared" si="150"/>
        <v>44.8990115078194</v>
      </c>
      <c r="N960" s="39">
        <f t="shared" si="148"/>
        <v>0.00245700245700246</v>
      </c>
      <c r="O960" s="675">
        <f t="shared" si="145"/>
        <v>16.4315151515152</v>
      </c>
      <c r="P960">
        <f t="shared" si="146"/>
        <v>33</v>
      </c>
      <c r="Q960" s="842">
        <f t="shared" si="147"/>
        <v>0.0405405405405405</v>
      </c>
    </row>
    <row r="961" spans="1:17">
      <c r="A961" s="801">
        <v>45709</v>
      </c>
      <c r="B961" s="670">
        <v>631.88</v>
      </c>
      <c r="C961" s="671">
        <v>94519</v>
      </c>
      <c r="D961" s="37">
        <v>810</v>
      </c>
      <c r="E961" s="37">
        <v>0</v>
      </c>
      <c r="F961" s="841">
        <v>0</v>
      </c>
      <c r="G961" s="37">
        <v>37</v>
      </c>
      <c r="H961" s="37">
        <v>6</v>
      </c>
      <c r="I961" s="37">
        <v>1</v>
      </c>
      <c r="J961" s="672">
        <f t="shared" si="143"/>
        <v>0.00856970556184471</v>
      </c>
      <c r="K961" s="673">
        <f t="shared" si="144"/>
        <v>0.780098765432099</v>
      </c>
      <c r="L961" s="809">
        <f t="shared" si="149"/>
        <v>6.68521672891165</v>
      </c>
      <c r="M961" s="839">
        <f t="shared" si="150"/>
        <v>0</v>
      </c>
      <c r="N961" s="39">
        <f t="shared" si="148"/>
        <v>0</v>
      </c>
      <c r="O961" s="675">
        <f t="shared" si="145"/>
        <v>14.6948837209302</v>
      </c>
      <c r="P961">
        <f t="shared" si="146"/>
        <v>43</v>
      </c>
      <c r="Q961" s="842">
        <f t="shared" si="147"/>
        <v>0.0530864197530864</v>
      </c>
    </row>
    <row r="962" spans="1:17">
      <c r="A962" s="801">
        <v>45710</v>
      </c>
      <c r="B962" s="670">
        <v>445.56</v>
      </c>
      <c r="C962" s="671">
        <v>26354</v>
      </c>
      <c r="D962" s="37">
        <v>453</v>
      </c>
      <c r="E962" s="37">
        <v>2</v>
      </c>
      <c r="F962" s="844">
        <v>19957.7</v>
      </c>
      <c r="G962" s="37">
        <v>32</v>
      </c>
      <c r="H962" s="37">
        <v>8</v>
      </c>
      <c r="I962" s="37">
        <v>0</v>
      </c>
      <c r="J962" s="672">
        <f t="shared" si="143"/>
        <v>0.017189041511725</v>
      </c>
      <c r="K962" s="673">
        <f t="shared" si="144"/>
        <v>0.983576158940397</v>
      </c>
      <c r="L962" s="809">
        <f t="shared" si="149"/>
        <v>16.9067314259695</v>
      </c>
      <c r="M962" s="839">
        <f t="shared" si="150"/>
        <v>44.7923960858246</v>
      </c>
      <c r="N962" s="39">
        <f t="shared" si="148"/>
        <v>0.00441501103752759</v>
      </c>
      <c r="O962" s="675">
        <f t="shared" si="145"/>
        <v>11.139</v>
      </c>
      <c r="P962">
        <f t="shared" si="146"/>
        <v>40</v>
      </c>
      <c r="Q962" s="842">
        <f t="shared" si="147"/>
        <v>0.0883002207505519</v>
      </c>
    </row>
    <row r="963" spans="1:17">
      <c r="A963" s="801">
        <v>45711</v>
      </c>
      <c r="B963" s="670">
        <v>440.73</v>
      </c>
      <c r="C963" s="671">
        <v>27051</v>
      </c>
      <c r="D963" s="37">
        <v>530</v>
      </c>
      <c r="E963" s="37">
        <v>4</v>
      </c>
      <c r="F963" s="841">
        <v>38419</v>
      </c>
      <c r="G963" s="37">
        <v>34</v>
      </c>
      <c r="H963" s="37">
        <v>3</v>
      </c>
      <c r="I963" s="37">
        <v>0</v>
      </c>
      <c r="J963" s="672">
        <f t="shared" si="143"/>
        <v>0.0195926213448671</v>
      </c>
      <c r="K963" s="673">
        <f t="shared" si="144"/>
        <v>0.831566037735849</v>
      </c>
      <c r="L963" s="809">
        <f t="shared" si="149"/>
        <v>16.29255850061</v>
      </c>
      <c r="M963" s="839">
        <f t="shared" si="150"/>
        <v>87.1712840060808</v>
      </c>
      <c r="N963" s="39">
        <f t="shared" si="148"/>
        <v>0.00754716981132075</v>
      </c>
      <c r="O963" s="675">
        <f t="shared" si="145"/>
        <v>11.9116216216216</v>
      </c>
      <c r="P963">
        <f t="shared" si="146"/>
        <v>37</v>
      </c>
      <c r="Q963" s="842">
        <f t="shared" si="147"/>
        <v>0.069811320754717</v>
      </c>
    </row>
    <row r="964" spans="1:17">
      <c r="A964" s="801">
        <v>45712</v>
      </c>
      <c r="B964" s="670">
        <v>538.33</v>
      </c>
      <c r="C964" s="671">
        <v>40522</v>
      </c>
      <c r="D964" s="37">
        <v>612</v>
      </c>
      <c r="E964" s="37">
        <v>0</v>
      </c>
      <c r="F964" s="841">
        <v>0</v>
      </c>
      <c r="G964" s="37">
        <v>47</v>
      </c>
      <c r="H964" s="37">
        <v>10</v>
      </c>
      <c r="I964" s="37">
        <v>3</v>
      </c>
      <c r="J964" s="672">
        <f t="shared" si="143"/>
        <v>0.0151029070628301</v>
      </c>
      <c r="K964" s="673">
        <f t="shared" si="144"/>
        <v>0.879624183006536</v>
      </c>
      <c r="L964" s="809">
        <f t="shared" si="149"/>
        <v>13.2848822861655</v>
      </c>
      <c r="M964" s="839">
        <f t="shared" si="150"/>
        <v>0</v>
      </c>
      <c r="N964" s="39">
        <f t="shared" si="148"/>
        <v>0</v>
      </c>
      <c r="O964" s="675">
        <f t="shared" si="145"/>
        <v>9.44438596491228</v>
      </c>
      <c r="P964">
        <f t="shared" si="146"/>
        <v>57</v>
      </c>
      <c r="Q964" s="842">
        <f t="shared" si="147"/>
        <v>0.0931372549019608</v>
      </c>
    </row>
    <row r="965" spans="1:17">
      <c r="A965" s="801">
        <v>45713</v>
      </c>
      <c r="B965" s="670">
        <v>543.37</v>
      </c>
      <c r="C965" s="671">
        <v>37002</v>
      </c>
      <c r="D965" s="37">
        <v>603</v>
      </c>
      <c r="E965" s="37">
        <v>0</v>
      </c>
      <c r="F965" s="841">
        <v>0</v>
      </c>
      <c r="G965" s="37">
        <v>46</v>
      </c>
      <c r="H965" s="37">
        <v>5</v>
      </c>
      <c r="I965" s="37">
        <v>0</v>
      </c>
      <c r="J965" s="672">
        <f t="shared" si="143"/>
        <v>0.0162964164099238</v>
      </c>
      <c r="K965" s="673">
        <f t="shared" si="144"/>
        <v>0.901111111111111</v>
      </c>
      <c r="L965" s="809">
        <f t="shared" si="149"/>
        <v>14.6848818982758</v>
      </c>
      <c r="M965" s="839">
        <f t="shared" si="150"/>
        <v>0</v>
      </c>
      <c r="N965" s="39">
        <f t="shared" si="148"/>
        <v>0</v>
      </c>
      <c r="O965" s="675">
        <f t="shared" si="145"/>
        <v>10.6543137254902</v>
      </c>
      <c r="P965">
        <f t="shared" si="146"/>
        <v>51</v>
      </c>
      <c r="Q965" s="842">
        <f t="shared" si="147"/>
        <v>0.0845771144278607</v>
      </c>
    </row>
    <row r="966" spans="1:17">
      <c r="A966" s="801">
        <v>45714</v>
      </c>
      <c r="B966" s="670">
        <v>733.93</v>
      </c>
      <c r="C966" s="671">
        <v>53556</v>
      </c>
      <c r="D966" s="37">
        <v>724</v>
      </c>
      <c r="E966" s="37">
        <v>3</v>
      </c>
      <c r="F966" s="841">
        <v>19571</v>
      </c>
      <c r="G966" s="37">
        <v>46</v>
      </c>
      <c r="H966" s="37">
        <v>3</v>
      </c>
      <c r="I966" s="37">
        <v>4</v>
      </c>
      <c r="J966" s="672">
        <f t="shared" si="143"/>
        <v>0.0135185600119501</v>
      </c>
      <c r="K966" s="673">
        <f t="shared" si="144"/>
        <v>1.01371546961326</v>
      </c>
      <c r="L966" s="809">
        <f t="shared" si="149"/>
        <v>13.703973411009</v>
      </c>
      <c r="M966" s="839">
        <f t="shared" si="150"/>
        <v>26.666030820378</v>
      </c>
      <c r="N966" s="39">
        <f t="shared" si="148"/>
        <v>0.00414364640883978</v>
      </c>
      <c r="O966" s="675">
        <f t="shared" si="145"/>
        <v>14.9781632653061</v>
      </c>
      <c r="P966">
        <f t="shared" si="146"/>
        <v>49</v>
      </c>
      <c r="Q966" s="842">
        <f t="shared" si="147"/>
        <v>0.0676795580110497</v>
      </c>
    </row>
    <row r="967" spans="1:17">
      <c r="A967" s="801">
        <v>45715</v>
      </c>
      <c r="B967" s="670">
        <v>743.03</v>
      </c>
      <c r="C967" s="671">
        <v>45599</v>
      </c>
      <c r="D967" s="37">
        <v>604</v>
      </c>
      <c r="E967" s="37">
        <v>7</v>
      </c>
      <c r="F967" s="841">
        <v>59481</v>
      </c>
      <c r="G967" s="37">
        <v>24</v>
      </c>
      <c r="H967" s="37">
        <v>6</v>
      </c>
      <c r="I967" s="37">
        <v>3</v>
      </c>
      <c r="J967" s="672">
        <f t="shared" si="143"/>
        <v>0.0132459045154499</v>
      </c>
      <c r="K967" s="673">
        <f t="shared" si="144"/>
        <v>1.2301821192053</v>
      </c>
      <c r="L967" s="809">
        <f t="shared" si="149"/>
        <v>16.2948748876072</v>
      </c>
      <c r="M967" s="839">
        <f t="shared" si="150"/>
        <v>80.0519494502241</v>
      </c>
      <c r="N967" s="39">
        <f t="shared" si="148"/>
        <v>0.0115894039735099</v>
      </c>
      <c r="O967" s="675">
        <f t="shared" si="145"/>
        <v>24.7676666666667</v>
      </c>
      <c r="P967">
        <f t="shared" si="146"/>
        <v>30</v>
      </c>
      <c r="Q967" s="842">
        <f t="shared" si="147"/>
        <v>0.0496688741721854</v>
      </c>
    </row>
    <row r="968" spans="1:17">
      <c r="A968" s="801">
        <v>45716</v>
      </c>
      <c r="B968" s="670">
        <v>737.08</v>
      </c>
      <c r="C968" s="671">
        <v>54722</v>
      </c>
      <c r="D968" s="37">
        <v>575</v>
      </c>
      <c r="E968" s="37">
        <v>1</v>
      </c>
      <c r="F968" s="841">
        <v>4798</v>
      </c>
      <c r="G968" s="37">
        <v>26</v>
      </c>
      <c r="H968" s="37">
        <v>7</v>
      </c>
      <c r="I968" s="37">
        <v>2</v>
      </c>
      <c r="J968" s="672">
        <f t="shared" si="143"/>
        <v>0.0105076568838858</v>
      </c>
      <c r="K968" s="673">
        <f t="shared" si="144"/>
        <v>1.28187826086957</v>
      </c>
      <c r="L968" s="809">
        <f t="shared" si="149"/>
        <v>13.4695369321297</v>
      </c>
      <c r="M968" s="839">
        <f t="shared" ref="M968:M1031" si="151">F968/B968</f>
        <v>6.50946979975037</v>
      </c>
      <c r="N968" s="39">
        <f t="shared" si="148"/>
        <v>0.00173913043478261</v>
      </c>
      <c r="O968" s="675">
        <f t="shared" si="145"/>
        <v>22.3357575757576</v>
      </c>
      <c r="P968">
        <f t="shared" si="146"/>
        <v>33</v>
      </c>
      <c r="Q968" s="842">
        <f t="shared" si="147"/>
        <v>0.0573913043478261</v>
      </c>
    </row>
    <row r="969" spans="1:17">
      <c r="A969" s="801">
        <v>45717</v>
      </c>
      <c r="B969" s="670">
        <v>744.97</v>
      </c>
      <c r="C969" s="671">
        <v>50330</v>
      </c>
      <c r="D969" s="37">
        <v>564</v>
      </c>
      <c r="E969" s="37">
        <v>2</v>
      </c>
      <c r="F969" s="41">
        <v>18594</v>
      </c>
      <c r="G969" s="37">
        <v>14</v>
      </c>
      <c r="H969" s="37">
        <v>3</v>
      </c>
      <c r="I969" s="37">
        <v>0</v>
      </c>
      <c r="J969" s="672">
        <f t="shared" si="143"/>
        <v>0.0112060401351083</v>
      </c>
      <c r="K969" s="673">
        <f t="shared" si="144"/>
        <v>1.32086879432624</v>
      </c>
      <c r="L969" s="809">
        <f t="shared" si="149"/>
        <v>14.801708722432</v>
      </c>
      <c r="M969" s="839">
        <f t="shared" si="151"/>
        <v>24.959394338027</v>
      </c>
      <c r="N969" s="39">
        <f t="shared" si="148"/>
        <v>0.00354609929078014</v>
      </c>
      <c r="O969" s="675">
        <f t="shared" si="145"/>
        <v>43.8217647058824</v>
      </c>
      <c r="P969">
        <f t="shared" si="146"/>
        <v>17</v>
      </c>
      <c r="Q969" s="842">
        <f t="shared" si="147"/>
        <v>0.0301418439716312</v>
      </c>
    </row>
    <row r="970" spans="1:17">
      <c r="A970" s="801">
        <v>45718</v>
      </c>
      <c r="B970" s="670">
        <v>746.74</v>
      </c>
      <c r="C970" s="671">
        <v>53955</v>
      </c>
      <c r="D970" s="37">
        <v>625</v>
      </c>
      <c r="E970" s="37">
        <v>0</v>
      </c>
      <c r="F970" s="841">
        <v>0</v>
      </c>
      <c r="G970" s="37">
        <v>40</v>
      </c>
      <c r="H970" s="37">
        <v>5</v>
      </c>
      <c r="I970" s="37">
        <v>0</v>
      </c>
      <c r="J970" s="672">
        <f t="shared" si="143"/>
        <v>0.0115837271800575</v>
      </c>
      <c r="K970" s="673">
        <f t="shared" si="144"/>
        <v>1.194784</v>
      </c>
      <c r="L970" s="809">
        <f t="shared" si="149"/>
        <v>13.8400518950978</v>
      </c>
      <c r="M970" s="839">
        <f t="shared" si="151"/>
        <v>0</v>
      </c>
      <c r="N970" s="39">
        <f t="shared" si="148"/>
        <v>0</v>
      </c>
      <c r="O970" s="675">
        <f t="shared" si="145"/>
        <v>16.5942222222222</v>
      </c>
      <c r="P970">
        <f t="shared" si="146"/>
        <v>45</v>
      </c>
      <c r="Q970" s="842">
        <f t="shared" si="147"/>
        <v>0.072</v>
      </c>
    </row>
    <row r="971" spans="1:17">
      <c r="A971" s="801">
        <v>45719</v>
      </c>
      <c r="B971" s="670">
        <v>745.88</v>
      </c>
      <c r="C971" s="671">
        <v>55335</v>
      </c>
      <c r="D971" s="37">
        <v>594</v>
      </c>
      <c r="E971" s="37">
        <v>3</v>
      </c>
      <c r="F971" s="41">
        <v>29916</v>
      </c>
      <c r="G971" s="37">
        <v>27</v>
      </c>
      <c r="H971" s="37">
        <v>6</v>
      </c>
      <c r="I971" s="37">
        <v>3</v>
      </c>
      <c r="J971" s="672">
        <f t="shared" si="143"/>
        <v>0.010734616427216</v>
      </c>
      <c r="K971" s="673">
        <f t="shared" si="144"/>
        <v>1.25569023569024</v>
      </c>
      <c r="L971" s="809">
        <f t="shared" si="149"/>
        <v>13.4793530315352</v>
      </c>
      <c r="M971" s="839">
        <f t="shared" si="151"/>
        <v>40.1083284174398</v>
      </c>
      <c r="N971" s="39">
        <f t="shared" si="148"/>
        <v>0.00505050505050505</v>
      </c>
      <c r="O971" s="675">
        <f t="shared" si="145"/>
        <v>22.6024242424242</v>
      </c>
      <c r="P971">
        <f t="shared" si="146"/>
        <v>33</v>
      </c>
      <c r="Q971" s="842">
        <f t="shared" si="147"/>
        <v>0.0555555555555556</v>
      </c>
    </row>
    <row r="972" spans="1:17">
      <c r="A972" s="801">
        <v>45720</v>
      </c>
      <c r="B972" s="670">
        <v>744.48</v>
      </c>
      <c r="C972" s="671">
        <v>48044</v>
      </c>
      <c r="D972" s="37">
        <v>591</v>
      </c>
      <c r="E972" s="37">
        <v>1</v>
      </c>
      <c r="F972" s="841">
        <v>8198</v>
      </c>
      <c r="G972" s="37">
        <v>21</v>
      </c>
      <c r="H972" s="37">
        <v>5</v>
      </c>
      <c r="I972" s="37">
        <v>1</v>
      </c>
      <c r="J972" s="672">
        <f t="shared" ref="J972:J1035" si="152">D972/C972</f>
        <v>0.0123012238781117</v>
      </c>
      <c r="K972" s="673">
        <f t="shared" ref="K972:K1035" si="153">B972/D972</f>
        <v>1.25969543147208</v>
      </c>
      <c r="L972" s="809">
        <f t="shared" si="149"/>
        <v>15.4957955207726</v>
      </c>
      <c r="M972" s="839">
        <f t="shared" si="151"/>
        <v>11.011712873415</v>
      </c>
      <c r="N972" s="39">
        <f t="shared" si="148"/>
        <v>0.00169204737732657</v>
      </c>
      <c r="O972" s="675">
        <f t="shared" ref="O972:O1035" si="154">B972/(G972+H972)</f>
        <v>28.6338461538462</v>
      </c>
      <c r="P972">
        <f t="shared" ref="P972:P1035" si="155">G972+H972</f>
        <v>26</v>
      </c>
      <c r="Q972" s="842">
        <f t="shared" ref="Q972:Q1035" si="156">P972/D972</f>
        <v>0.0439932318104907</v>
      </c>
    </row>
    <row r="973" spans="1:17">
      <c r="A973" s="801">
        <v>45721</v>
      </c>
      <c r="B973" s="670">
        <v>741.04</v>
      </c>
      <c r="C973" s="671">
        <v>33719</v>
      </c>
      <c r="D973" s="37">
        <v>476</v>
      </c>
      <c r="E973" s="37">
        <v>7</v>
      </c>
      <c r="F973" s="41">
        <v>40230.01</v>
      </c>
      <c r="G973" s="37">
        <v>23</v>
      </c>
      <c r="H973" s="37">
        <v>2</v>
      </c>
      <c r="I973" s="37">
        <v>1</v>
      </c>
      <c r="J973" s="672">
        <f t="shared" si="152"/>
        <v>0.0141166701266348</v>
      </c>
      <c r="K973" s="673">
        <f t="shared" si="153"/>
        <v>1.55680672268908</v>
      </c>
      <c r="L973" s="809">
        <f t="shared" si="149"/>
        <v>21.9769269551292</v>
      </c>
      <c r="M973" s="839">
        <f t="shared" si="151"/>
        <v>54.288580913311</v>
      </c>
      <c r="N973" s="39">
        <f t="shared" si="148"/>
        <v>0.0147058823529412</v>
      </c>
      <c r="O973" s="675">
        <f t="shared" si="154"/>
        <v>29.6416</v>
      </c>
      <c r="P973">
        <f t="shared" si="155"/>
        <v>25</v>
      </c>
      <c r="Q973" s="842">
        <f t="shared" si="156"/>
        <v>0.0525210084033613</v>
      </c>
    </row>
    <row r="974" spans="1:17">
      <c r="A974" s="801">
        <v>45722</v>
      </c>
      <c r="B974" s="670">
        <v>736.91</v>
      </c>
      <c r="C974" s="671">
        <v>40296</v>
      </c>
      <c r="D974" s="37">
        <v>482</v>
      </c>
      <c r="E974" s="37">
        <v>3</v>
      </c>
      <c r="F974" s="841">
        <v>23686</v>
      </c>
      <c r="G974" s="37">
        <v>17</v>
      </c>
      <c r="H974" s="37">
        <v>2</v>
      </c>
      <c r="I974" s="37">
        <v>1</v>
      </c>
      <c r="J974" s="672">
        <f t="shared" si="152"/>
        <v>0.0119614850109192</v>
      </c>
      <c r="K974" s="673">
        <f t="shared" si="153"/>
        <v>1.52885892116183</v>
      </c>
      <c r="L974" s="809">
        <f t="shared" si="149"/>
        <v>18.2874230692873</v>
      </c>
      <c r="M974" s="839">
        <f t="shared" si="151"/>
        <v>32.1423240287145</v>
      </c>
      <c r="N974" s="39">
        <f t="shared" si="148"/>
        <v>0.00622406639004149</v>
      </c>
      <c r="O974" s="675">
        <f t="shared" si="154"/>
        <v>38.7847368421053</v>
      </c>
      <c r="P974">
        <f t="shared" si="155"/>
        <v>19</v>
      </c>
      <c r="Q974" s="842">
        <f t="shared" si="156"/>
        <v>0.0394190871369295</v>
      </c>
    </row>
    <row r="975" spans="1:17">
      <c r="A975" s="801">
        <v>45723</v>
      </c>
      <c r="B975" s="670">
        <v>745.62</v>
      </c>
      <c r="C975" s="671">
        <v>39905</v>
      </c>
      <c r="D975" s="37">
        <v>446</v>
      </c>
      <c r="E975" s="37">
        <v>1</v>
      </c>
      <c r="F975" s="41">
        <v>4798</v>
      </c>
      <c r="G975" s="37">
        <v>26</v>
      </c>
      <c r="H975" s="37">
        <v>1</v>
      </c>
      <c r="I975" s="37">
        <v>3</v>
      </c>
      <c r="J975" s="672">
        <f t="shared" si="152"/>
        <v>0.0111765442926952</v>
      </c>
      <c r="K975" s="673">
        <f t="shared" si="153"/>
        <v>1.67179372197309</v>
      </c>
      <c r="L975" s="809">
        <f t="shared" si="149"/>
        <v>18.684876581882</v>
      </c>
      <c r="M975" s="839">
        <f t="shared" si="151"/>
        <v>6.43491322657654</v>
      </c>
      <c r="N975" s="39">
        <f t="shared" ref="N975:N1038" si="157">E975/D975</f>
        <v>0.00224215246636771</v>
      </c>
      <c r="O975" s="675">
        <f t="shared" si="154"/>
        <v>27.6155555555556</v>
      </c>
      <c r="P975">
        <f t="shared" si="155"/>
        <v>27</v>
      </c>
      <c r="Q975" s="842">
        <f t="shared" si="156"/>
        <v>0.0605381165919283</v>
      </c>
    </row>
    <row r="976" spans="1:17">
      <c r="A976" s="801">
        <v>45724</v>
      </c>
      <c r="B976" s="670">
        <v>743.05</v>
      </c>
      <c r="C976" s="671">
        <v>30762</v>
      </c>
      <c r="D976" s="37">
        <v>378</v>
      </c>
      <c r="E976" s="37">
        <v>1</v>
      </c>
      <c r="F976" s="841">
        <v>5264</v>
      </c>
      <c r="G976" s="37">
        <v>27</v>
      </c>
      <c r="H976" s="37">
        <v>6</v>
      </c>
      <c r="I976" s="37">
        <v>3</v>
      </c>
      <c r="J976" s="672">
        <f t="shared" si="152"/>
        <v>0.0122878876535986</v>
      </c>
      <c r="K976" s="673">
        <f t="shared" si="153"/>
        <v>1.96574074074074</v>
      </c>
      <c r="L976" s="809">
        <f t="shared" si="149"/>
        <v>24.1548013783239</v>
      </c>
      <c r="M976" s="839">
        <f t="shared" si="151"/>
        <v>7.08431464908149</v>
      </c>
      <c r="N976" s="39">
        <f t="shared" si="157"/>
        <v>0.00264550264550265</v>
      </c>
      <c r="O976" s="675">
        <f t="shared" si="154"/>
        <v>22.5166666666667</v>
      </c>
      <c r="P976">
        <f t="shared" si="155"/>
        <v>33</v>
      </c>
      <c r="Q976" s="842">
        <f t="shared" si="156"/>
        <v>0.0873015873015873</v>
      </c>
    </row>
    <row r="977" spans="1:17">
      <c r="A977" s="801">
        <v>45725</v>
      </c>
      <c r="B977" s="670">
        <v>732.33</v>
      </c>
      <c r="C977" s="671">
        <v>63020</v>
      </c>
      <c r="D977" s="37">
        <v>623</v>
      </c>
      <c r="E977" s="37">
        <v>4</v>
      </c>
      <c r="F977" s="41">
        <v>52221</v>
      </c>
      <c r="G977" s="37">
        <v>18</v>
      </c>
      <c r="H977" s="37">
        <v>4</v>
      </c>
      <c r="I977" s="37">
        <v>3</v>
      </c>
      <c r="J977" s="672">
        <f t="shared" si="152"/>
        <v>0.00988575055537924</v>
      </c>
      <c r="K977" s="673">
        <f t="shared" si="153"/>
        <v>1.17548956661316</v>
      </c>
      <c r="L977" s="809">
        <f t="shared" si="149"/>
        <v>11.6205966359886</v>
      </c>
      <c r="M977" s="839">
        <f t="shared" si="151"/>
        <v>71.3080168776371</v>
      </c>
      <c r="N977" s="39">
        <f t="shared" si="157"/>
        <v>0.00642054574638844</v>
      </c>
      <c r="O977" s="675">
        <f t="shared" si="154"/>
        <v>33.2877272727273</v>
      </c>
      <c r="P977">
        <f t="shared" si="155"/>
        <v>22</v>
      </c>
      <c r="Q977" s="842">
        <f t="shared" si="156"/>
        <v>0.0353130016051364</v>
      </c>
    </row>
    <row r="978" spans="1:17">
      <c r="A978" s="801">
        <v>45726</v>
      </c>
      <c r="B978" s="670">
        <v>736.66</v>
      </c>
      <c r="C978" s="671">
        <v>74815</v>
      </c>
      <c r="D978" s="37">
        <v>619</v>
      </c>
      <c r="E978" s="37">
        <v>3</v>
      </c>
      <c r="F978" s="41">
        <v>23392</v>
      </c>
      <c r="G978" s="37">
        <v>23</v>
      </c>
      <c r="H978" s="37">
        <v>2</v>
      </c>
      <c r="I978" s="37">
        <v>0</v>
      </c>
      <c r="J978" s="672">
        <f t="shared" si="152"/>
        <v>0.00827374189667847</v>
      </c>
      <c r="K978" s="673">
        <f t="shared" si="153"/>
        <v>1.19008077544426</v>
      </c>
      <c r="L978" s="809">
        <f t="shared" si="149"/>
        <v>9.84642117222482</v>
      </c>
      <c r="M978" s="839">
        <f t="shared" si="151"/>
        <v>31.7541335215703</v>
      </c>
      <c r="N978" s="39">
        <f t="shared" si="157"/>
        <v>0.00484652665589661</v>
      </c>
      <c r="O978" s="675">
        <f t="shared" si="154"/>
        <v>29.4664</v>
      </c>
      <c r="P978">
        <f t="shared" si="155"/>
        <v>25</v>
      </c>
      <c r="Q978" s="842">
        <f t="shared" si="156"/>
        <v>0.0403877221324717</v>
      </c>
    </row>
    <row r="979" spans="1:17">
      <c r="A979" s="801">
        <v>45727</v>
      </c>
      <c r="B979" s="670">
        <v>745.73</v>
      </c>
      <c r="C979" s="671">
        <v>53144</v>
      </c>
      <c r="D979" s="37">
        <v>616</v>
      </c>
      <c r="E979" s="37">
        <v>2</v>
      </c>
      <c r="F979" s="841">
        <v>14598</v>
      </c>
      <c r="G979" s="37">
        <v>14</v>
      </c>
      <c r="H979" s="37">
        <v>2</v>
      </c>
      <c r="I979" s="37">
        <v>3</v>
      </c>
      <c r="J979" s="672">
        <f t="shared" si="152"/>
        <v>0.0115911485774499</v>
      </c>
      <c r="K979" s="673">
        <f t="shared" si="153"/>
        <v>1.21060064935065</v>
      </c>
      <c r="L979" s="809">
        <f t="shared" si="149"/>
        <v>14.0322519945808</v>
      </c>
      <c r="M979" s="839">
        <f t="shared" si="151"/>
        <v>19.575449559492</v>
      </c>
      <c r="N979" s="39">
        <f t="shared" si="157"/>
        <v>0.00324675324675325</v>
      </c>
      <c r="O979" s="675">
        <f t="shared" si="154"/>
        <v>46.608125</v>
      </c>
      <c r="P979">
        <f t="shared" si="155"/>
        <v>16</v>
      </c>
      <c r="Q979" s="842">
        <f t="shared" si="156"/>
        <v>0.025974025974026</v>
      </c>
    </row>
    <row r="980" spans="1:17">
      <c r="A980" s="801">
        <v>45728</v>
      </c>
      <c r="B980" s="670">
        <v>736.34</v>
      </c>
      <c r="C980" s="671">
        <v>60282</v>
      </c>
      <c r="D980" s="37">
        <v>670</v>
      </c>
      <c r="E980" s="37">
        <v>1</v>
      </c>
      <c r="F980" s="841">
        <v>6130</v>
      </c>
      <c r="G980" s="37">
        <v>34</v>
      </c>
      <c r="H980" s="37">
        <v>2</v>
      </c>
      <c r="I980" s="37">
        <v>2</v>
      </c>
      <c r="J980" s="672">
        <f t="shared" si="152"/>
        <v>0.0111144288510667</v>
      </c>
      <c r="K980" s="673">
        <f t="shared" si="153"/>
        <v>1.09901492537313</v>
      </c>
      <c r="L980" s="809">
        <f t="shared" si="149"/>
        <v>12.21492319432</v>
      </c>
      <c r="M980" s="839">
        <f t="shared" si="151"/>
        <v>8.32495857891735</v>
      </c>
      <c r="N980" s="39">
        <f t="shared" si="157"/>
        <v>0.00149253731343284</v>
      </c>
      <c r="O980" s="675">
        <f t="shared" si="154"/>
        <v>20.4538888888889</v>
      </c>
      <c r="P980">
        <f t="shared" si="155"/>
        <v>36</v>
      </c>
      <c r="Q980" s="842">
        <f t="shared" si="156"/>
        <v>0.0537313432835821</v>
      </c>
    </row>
    <row r="981" spans="1:17">
      <c r="A981" s="801">
        <v>45729</v>
      </c>
      <c r="B981" s="670">
        <v>734.43</v>
      </c>
      <c r="C981" s="671">
        <v>80274</v>
      </c>
      <c r="D981" s="37">
        <v>798</v>
      </c>
      <c r="E981" s="37">
        <v>1</v>
      </c>
      <c r="F981" s="41">
        <v>10972</v>
      </c>
      <c r="G981" s="37">
        <v>38</v>
      </c>
      <c r="H981" s="37">
        <v>6</v>
      </c>
      <c r="I981" s="37">
        <v>0</v>
      </c>
      <c r="J981" s="672">
        <f t="shared" si="152"/>
        <v>0.00994095223858285</v>
      </c>
      <c r="K981" s="673">
        <f t="shared" si="153"/>
        <v>0.920338345864662</v>
      </c>
      <c r="L981" s="809">
        <f t="shared" si="149"/>
        <v>9.14903953957695</v>
      </c>
      <c r="M981" s="839">
        <f t="shared" si="151"/>
        <v>14.9394768732214</v>
      </c>
      <c r="N981" s="39">
        <f t="shared" si="157"/>
        <v>0.0012531328320802</v>
      </c>
      <c r="O981" s="675">
        <f t="shared" si="154"/>
        <v>16.6915909090909</v>
      </c>
      <c r="P981">
        <f t="shared" si="155"/>
        <v>44</v>
      </c>
      <c r="Q981" s="842">
        <f t="shared" si="156"/>
        <v>0.0551378446115288</v>
      </c>
    </row>
    <row r="982" spans="1:17">
      <c r="A982" s="801">
        <v>45730</v>
      </c>
      <c r="B982" s="670">
        <v>741.65</v>
      </c>
      <c r="C982" s="671">
        <v>69582</v>
      </c>
      <c r="D982" s="37">
        <v>713</v>
      </c>
      <c r="E982" s="37">
        <v>1</v>
      </c>
      <c r="F982" s="841">
        <v>8814</v>
      </c>
      <c r="G982" s="37">
        <v>33</v>
      </c>
      <c r="H982" s="37">
        <v>10</v>
      </c>
      <c r="I982" s="37">
        <v>1</v>
      </c>
      <c r="J982" s="672">
        <f t="shared" si="152"/>
        <v>0.010246902934667</v>
      </c>
      <c r="K982" s="673">
        <f t="shared" si="153"/>
        <v>1.04018232819074</v>
      </c>
      <c r="L982" s="809">
        <f t="shared" si="149"/>
        <v>10.6586473513265</v>
      </c>
      <c r="M982" s="839">
        <f t="shared" si="151"/>
        <v>11.8843120070114</v>
      </c>
      <c r="N982" s="39">
        <f t="shared" si="157"/>
        <v>0.00140252454417952</v>
      </c>
      <c r="O982" s="675">
        <f t="shared" si="154"/>
        <v>17.2476744186046</v>
      </c>
      <c r="P982">
        <f t="shared" si="155"/>
        <v>43</v>
      </c>
      <c r="Q982" s="842">
        <f t="shared" si="156"/>
        <v>0.0603085553997195</v>
      </c>
    </row>
    <row r="983" spans="1:17">
      <c r="A983" s="801">
        <v>45731</v>
      </c>
      <c r="B983" s="670">
        <v>741.43</v>
      </c>
      <c r="C983" s="671">
        <v>54541</v>
      </c>
      <c r="D983" s="37">
        <v>629</v>
      </c>
      <c r="E983" s="37">
        <v>1</v>
      </c>
      <c r="F983" s="841">
        <v>11622</v>
      </c>
      <c r="G983" s="37">
        <v>22</v>
      </c>
      <c r="H983" s="37">
        <v>3</v>
      </c>
      <c r="I983" s="37">
        <v>2</v>
      </c>
      <c r="J983" s="672">
        <f t="shared" si="152"/>
        <v>0.0115326084963605</v>
      </c>
      <c r="K983" s="673">
        <f t="shared" si="153"/>
        <v>1.1787440381558</v>
      </c>
      <c r="L983" s="809">
        <f t="shared" si="149"/>
        <v>13.5939935094699</v>
      </c>
      <c r="M983" s="839">
        <f t="shared" si="151"/>
        <v>15.6751143061381</v>
      </c>
      <c r="N983" s="39">
        <f t="shared" si="157"/>
        <v>0.00158982511923688</v>
      </c>
      <c r="O983" s="675">
        <f t="shared" si="154"/>
        <v>29.6572</v>
      </c>
      <c r="P983">
        <f t="shared" si="155"/>
        <v>25</v>
      </c>
      <c r="Q983" s="842">
        <f t="shared" si="156"/>
        <v>0.0397456279809221</v>
      </c>
    </row>
    <row r="984" spans="1:17">
      <c r="A984" s="801">
        <v>45732</v>
      </c>
      <c r="B984" s="670">
        <v>743.83</v>
      </c>
      <c r="C984" s="671">
        <v>77428</v>
      </c>
      <c r="D984" s="37">
        <v>823</v>
      </c>
      <c r="E984" s="37">
        <v>2</v>
      </c>
      <c r="F984" s="41">
        <v>16403</v>
      </c>
      <c r="G984" s="37">
        <v>26</v>
      </c>
      <c r="H984" s="37">
        <v>7</v>
      </c>
      <c r="I984" s="37">
        <v>3</v>
      </c>
      <c r="J984" s="672">
        <f t="shared" si="152"/>
        <v>0.0106292297360128</v>
      </c>
      <c r="K984" s="673">
        <f t="shared" si="153"/>
        <v>0.903803159173755</v>
      </c>
      <c r="L984" s="809">
        <f t="shared" si="149"/>
        <v>9.60673141499199</v>
      </c>
      <c r="M984" s="839">
        <f t="shared" si="151"/>
        <v>22.0520817928828</v>
      </c>
      <c r="N984" s="39">
        <f t="shared" si="157"/>
        <v>0.00243013365735115</v>
      </c>
      <c r="O984" s="675">
        <f t="shared" si="154"/>
        <v>22.540303030303</v>
      </c>
      <c r="P984">
        <f t="shared" si="155"/>
        <v>33</v>
      </c>
      <c r="Q984" s="842">
        <f t="shared" si="156"/>
        <v>0.040097205346294</v>
      </c>
    </row>
    <row r="985" spans="1:17">
      <c r="A985" s="801">
        <v>45733</v>
      </c>
      <c r="B985" s="670">
        <v>836.9</v>
      </c>
      <c r="C985" s="671">
        <v>80400</v>
      </c>
      <c r="D985" s="37">
        <v>677</v>
      </c>
      <c r="E985" s="37">
        <v>1</v>
      </c>
      <c r="F985" s="841">
        <v>13012</v>
      </c>
      <c r="G985" s="37">
        <v>16</v>
      </c>
      <c r="H985" s="37">
        <v>5</v>
      </c>
      <c r="I985" s="37">
        <v>1</v>
      </c>
      <c r="J985" s="672">
        <f t="shared" si="152"/>
        <v>0.00842039800995025</v>
      </c>
      <c r="K985" s="673">
        <f t="shared" si="153"/>
        <v>1.23618906942393</v>
      </c>
      <c r="L985" s="809">
        <f t="shared" si="149"/>
        <v>10.4092039800995</v>
      </c>
      <c r="M985" s="839">
        <f t="shared" si="151"/>
        <v>15.5478551798303</v>
      </c>
      <c r="N985" s="39">
        <f t="shared" si="157"/>
        <v>0.00147710487444609</v>
      </c>
      <c r="O985" s="675">
        <f t="shared" si="154"/>
        <v>39.852380952381</v>
      </c>
      <c r="P985">
        <f t="shared" si="155"/>
        <v>21</v>
      </c>
      <c r="Q985" s="842">
        <f t="shared" si="156"/>
        <v>0.0310192023633678</v>
      </c>
    </row>
    <row r="986" spans="1:17">
      <c r="A986" s="801">
        <v>45734</v>
      </c>
      <c r="B986" s="670">
        <v>876.25</v>
      </c>
      <c r="C986" s="671">
        <v>59366</v>
      </c>
      <c r="D986" s="37">
        <v>623</v>
      </c>
      <c r="E986" s="37">
        <v>2</v>
      </c>
      <c r="F986" s="41">
        <v>38999</v>
      </c>
      <c r="G986" s="37">
        <v>21</v>
      </c>
      <c r="H986" s="37">
        <v>4</v>
      </c>
      <c r="I986" s="37">
        <v>1</v>
      </c>
      <c r="J986" s="672">
        <f t="shared" si="152"/>
        <v>0.0104942222821143</v>
      </c>
      <c r="K986" s="673">
        <f t="shared" si="153"/>
        <v>1.40650080256822</v>
      </c>
      <c r="L986" s="809">
        <f t="shared" si="149"/>
        <v>14.7601320621231</v>
      </c>
      <c r="M986" s="839">
        <f t="shared" si="151"/>
        <v>44.5067047075606</v>
      </c>
      <c r="N986" s="39">
        <f t="shared" si="157"/>
        <v>0.00321027287319422</v>
      </c>
      <c r="O986" s="675">
        <f t="shared" si="154"/>
        <v>35.05</v>
      </c>
      <c r="P986">
        <f t="shared" si="155"/>
        <v>25</v>
      </c>
      <c r="Q986" s="842">
        <f t="shared" si="156"/>
        <v>0.0401284109149278</v>
      </c>
    </row>
    <row r="987" spans="1:17">
      <c r="A987" s="801">
        <v>45735</v>
      </c>
      <c r="B987" s="670">
        <v>890.02</v>
      </c>
      <c r="C987" s="671">
        <v>63947</v>
      </c>
      <c r="D987" s="37">
        <v>794</v>
      </c>
      <c r="E987" s="37">
        <v>0</v>
      </c>
      <c r="F987" s="841">
        <v>0</v>
      </c>
      <c r="G987" s="37">
        <v>38</v>
      </c>
      <c r="H987" s="37">
        <v>5</v>
      </c>
      <c r="I987" s="37">
        <v>2</v>
      </c>
      <c r="J987" s="672">
        <f t="shared" si="152"/>
        <v>0.0124165324409276</v>
      </c>
      <c r="K987" s="673">
        <f t="shared" si="153"/>
        <v>1.12093198992443</v>
      </c>
      <c r="L987" s="809">
        <f t="shared" si="149"/>
        <v>13.9180884169703</v>
      </c>
      <c r="M987" s="839">
        <f t="shared" si="151"/>
        <v>0</v>
      </c>
      <c r="N987" s="39">
        <f t="shared" si="157"/>
        <v>0</v>
      </c>
      <c r="O987" s="675">
        <f t="shared" si="154"/>
        <v>20.6981395348837</v>
      </c>
      <c r="P987">
        <f t="shared" si="155"/>
        <v>43</v>
      </c>
      <c r="Q987" s="842">
        <f t="shared" si="156"/>
        <v>0.0541561712846348</v>
      </c>
    </row>
    <row r="988" spans="1:17">
      <c r="A988" s="801">
        <v>45736</v>
      </c>
      <c r="B988" s="670">
        <v>887.66</v>
      </c>
      <c r="C988" s="671">
        <v>44936</v>
      </c>
      <c r="D988" s="37">
        <v>579</v>
      </c>
      <c r="E988" s="37">
        <v>0</v>
      </c>
      <c r="F988" s="841">
        <v>0</v>
      </c>
      <c r="G988" s="37">
        <v>24</v>
      </c>
      <c r="H988" s="37">
        <v>6</v>
      </c>
      <c r="I988" s="37">
        <v>1</v>
      </c>
      <c r="J988" s="672">
        <f t="shared" si="152"/>
        <v>0.012884991988606</v>
      </c>
      <c r="K988" s="673">
        <f t="shared" si="153"/>
        <v>1.53309153713299</v>
      </c>
      <c r="L988" s="809">
        <f t="shared" si="149"/>
        <v>19.7538721737582</v>
      </c>
      <c r="M988" s="839">
        <f t="shared" si="151"/>
        <v>0</v>
      </c>
      <c r="N988" s="39">
        <f t="shared" si="157"/>
        <v>0</v>
      </c>
      <c r="O988" s="675">
        <f t="shared" si="154"/>
        <v>29.5886666666667</v>
      </c>
      <c r="P988">
        <f t="shared" si="155"/>
        <v>30</v>
      </c>
      <c r="Q988" s="842">
        <f t="shared" si="156"/>
        <v>0.0518134715025907</v>
      </c>
    </row>
    <row r="989" spans="1:17">
      <c r="A989" s="801">
        <v>45737</v>
      </c>
      <c r="B989" s="670">
        <v>890.57</v>
      </c>
      <c r="C989" s="671">
        <v>64739</v>
      </c>
      <c r="D989" s="37">
        <v>685</v>
      </c>
      <c r="E989" s="37">
        <v>5</v>
      </c>
      <c r="F989" s="41">
        <v>80334</v>
      </c>
      <c r="G989" s="37">
        <v>21</v>
      </c>
      <c r="H989" s="37">
        <v>2</v>
      </c>
      <c r="I989" s="37">
        <v>3</v>
      </c>
      <c r="J989" s="672">
        <f t="shared" si="152"/>
        <v>0.0105809481147376</v>
      </c>
      <c r="K989" s="673">
        <f t="shared" si="153"/>
        <v>1.30010218978102</v>
      </c>
      <c r="L989" s="809">
        <f t="shared" si="149"/>
        <v>13.7563138139298</v>
      </c>
      <c r="M989" s="839">
        <f t="shared" si="151"/>
        <v>90.2051495109873</v>
      </c>
      <c r="N989" s="39">
        <f t="shared" si="157"/>
        <v>0.0072992700729927</v>
      </c>
      <c r="O989" s="675">
        <f t="shared" si="154"/>
        <v>38.7204347826087</v>
      </c>
      <c r="P989">
        <f t="shared" si="155"/>
        <v>23</v>
      </c>
      <c r="Q989" s="842">
        <f t="shared" si="156"/>
        <v>0.0335766423357664</v>
      </c>
    </row>
    <row r="990" spans="1:17">
      <c r="A990" s="801">
        <v>45738</v>
      </c>
      <c r="B990" s="670">
        <v>887.84</v>
      </c>
      <c r="C990" s="671">
        <v>60363</v>
      </c>
      <c r="D990" s="37">
        <v>684</v>
      </c>
      <c r="E990" s="37">
        <v>0</v>
      </c>
      <c r="F990" s="841">
        <v>0</v>
      </c>
      <c r="G990" s="37">
        <v>27</v>
      </c>
      <c r="H990" s="37">
        <v>5</v>
      </c>
      <c r="I990" s="37">
        <v>2</v>
      </c>
      <c r="J990" s="672">
        <f t="shared" si="152"/>
        <v>0.0113314447592068</v>
      </c>
      <c r="K990" s="673">
        <f t="shared" si="153"/>
        <v>1.29801169590643</v>
      </c>
      <c r="L990" s="809">
        <f t="shared" si="149"/>
        <v>14.7083478289681</v>
      </c>
      <c r="M990" s="839">
        <f t="shared" si="151"/>
        <v>0</v>
      </c>
      <c r="N990" s="39">
        <f t="shared" si="157"/>
        <v>0</v>
      </c>
      <c r="O990" s="675">
        <f t="shared" si="154"/>
        <v>27.745</v>
      </c>
      <c r="P990">
        <f t="shared" si="155"/>
        <v>32</v>
      </c>
      <c r="Q990" s="842">
        <f t="shared" si="156"/>
        <v>0.0467836257309941</v>
      </c>
    </row>
    <row r="991" spans="1:17">
      <c r="A991" s="801">
        <v>45739</v>
      </c>
      <c r="B991" s="670">
        <v>887.46</v>
      </c>
      <c r="C991" s="671">
        <v>49368</v>
      </c>
      <c r="D991" s="37">
        <v>658</v>
      </c>
      <c r="E991" s="37">
        <v>1</v>
      </c>
      <c r="F991" s="41">
        <v>6254</v>
      </c>
      <c r="G991" s="37">
        <v>16</v>
      </c>
      <c r="H991" s="37">
        <v>5</v>
      </c>
      <c r="I991" s="37">
        <v>4</v>
      </c>
      <c r="J991" s="672">
        <f t="shared" si="152"/>
        <v>0.0133284718846216</v>
      </c>
      <c r="K991" s="673">
        <f t="shared" si="153"/>
        <v>1.34872340425532</v>
      </c>
      <c r="L991" s="809">
        <f t="shared" si="149"/>
        <v>17.9764219737482</v>
      </c>
      <c r="M991" s="839">
        <f t="shared" si="151"/>
        <v>7.04707817817141</v>
      </c>
      <c r="N991" s="39">
        <f t="shared" si="157"/>
        <v>0.00151975683890578</v>
      </c>
      <c r="O991" s="675">
        <f t="shared" si="154"/>
        <v>42.26</v>
      </c>
      <c r="P991">
        <f t="shared" si="155"/>
        <v>21</v>
      </c>
      <c r="Q991" s="842">
        <f t="shared" si="156"/>
        <v>0.0319148936170213</v>
      </c>
    </row>
    <row r="992" spans="1:17">
      <c r="A992" s="801">
        <v>45740</v>
      </c>
      <c r="B992" s="670">
        <v>871.6</v>
      </c>
      <c r="C992" s="671">
        <v>58274</v>
      </c>
      <c r="D992" s="37">
        <v>667</v>
      </c>
      <c r="E992" s="37">
        <v>3</v>
      </c>
      <c r="F992" s="41">
        <v>35368</v>
      </c>
      <c r="G992" s="37">
        <v>23</v>
      </c>
      <c r="H992" s="37">
        <v>4</v>
      </c>
      <c r="I992" s="37">
        <v>4</v>
      </c>
      <c r="J992" s="672">
        <f t="shared" si="152"/>
        <v>0.0114459278580499</v>
      </c>
      <c r="K992" s="673">
        <f t="shared" si="153"/>
        <v>1.30674662668666</v>
      </c>
      <c r="L992" s="809">
        <f t="shared" si="149"/>
        <v>14.9569276178055</v>
      </c>
      <c r="M992" s="839">
        <f t="shared" si="151"/>
        <v>40.5782469022487</v>
      </c>
      <c r="N992" s="39">
        <f t="shared" si="157"/>
        <v>0.00449775112443778</v>
      </c>
      <c r="O992" s="675">
        <f t="shared" si="154"/>
        <v>32.2814814814815</v>
      </c>
      <c r="P992">
        <f t="shared" si="155"/>
        <v>27</v>
      </c>
      <c r="Q992" s="842">
        <f t="shared" si="156"/>
        <v>0.04047976011994</v>
      </c>
    </row>
    <row r="993" spans="1:17">
      <c r="A993" s="801">
        <v>45741</v>
      </c>
      <c r="B993" s="670">
        <v>1516.48</v>
      </c>
      <c r="C993" s="671">
        <v>154184</v>
      </c>
      <c r="D993" s="37">
        <v>1306</v>
      </c>
      <c r="E993" s="37">
        <v>1</v>
      </c>
      <c r="F993" s="841">
        <v>13652</v>
      </c>
      <c r="G993" s="37">
        <v>37</v>
      </c>
      <c r="H993" s="37">
        <v>15</v>
      </c>
      <c r="I993" s="37">
        <v>2</v>
      </c>
      <c r="J993" s="672">
        <f t="shared" si="152"/>
        <v>0.00847039900378768</v>
      </c>
      <c r="K993" s="673">
        <f t="shared" si="153"/>
        <v>1.16116385911179</v>
      </c>
      <c r="L993" s="809">
        <f t="shared" si="149"/>
        <v>9.83552119545478</v>
      </c>
      <c r="M993" s="839">
        <f t="shared" si="151"/>
        <v>9.00242667229373</v>
      </c>
      <c r="N993" s="39">
        <f t="shared" si="157"/>
        <v>0.000765696784073507</v>
      </c>
      <c r="O993" s="675">
        <f t="shared" si="154"/>
        <v>29.1630769230769</v>
      </c>
      <c r="P993">
        <f t="shared" si="155"/>
        <v>52</v>
      </c>
      <c r="Q993" s="842">
        <f t="shared" si="156"/>
        <v>0.0398162327718224</v>
      </c>
    </row>
    <row r="994" spans="1:17">
      <c r="A994" s="801">
        <v>45742</v>
      </c>
      <c r="B994" s="670">
        <v>1578.3</v>
      </c>
      <c r="C994" s="671">
        <v>294186</v>
      </c>
      <c r="D994" s="37">
        <v>1726</v>
      </c>
      <c r="E994" s="37">
        <v>0</v>
      </c>
      <c r="F994" s="841">
        <v>0</v>
      </c>
      <c r="G994" s="37">
        <v>32</v>
      </c>
      <c r="H994" s="37">
        <v>10</v>
      </c>
      <c r="I994" s="37">
        <v>2</v>
      </c>
      <c r="J994" s="672">
        <f t="shared" si="152"/>
        <v>0.00586703650071723</v>
      </c>
      <c r="K994" s="673">
        <f t="shared" si="153"/>
        <v>0.914426419466976</v>
      </c>
      <c r="L994" s="809">
        <f t="shared" ref="L994:L1057" si="158">B994/C994*1000</f>
        <v>5.36497318023291</v>
      </c>
      <c r="M994" s="839">
        <f t="shared" si="151"/>
        <v>0</v>
      </c>
      <c r="N994" s="39">
        <f t="shared" si="157"/>
        <v>0</v>
      </c>
      <c r="O994" s="675">
        <f t="shared" si="154"/>
        <v>37.5785714285714</v>
      </c>
      <c r="P994">
        <f t="shared" si="155"/>
        <v>42</v>
      </c>
      <c r="Q994" s="842">
        <f t="shared" si="156"/>
        <v>0.0243337195828505</v>
      </c>
    </row>
    <row r="995" spans="1:17">
      <c r="A995" s="801">
        <v>45743</v>
      </c>
      <c r="B995" s="670">
        <v>1582.71</v>
      </c>
      <c r="C995" s="671">
        <v>207778</v>
      </c>
      <c r="D995" s="37">
        <v>1571</v>
      </c>
      <c r="E995" s="37">
        <v>3</v>
      </c>
      <c r="F995" s="41">
        <v>29656</v>
      </c>
      <c r="G995" s="37">
        <v>51</v>
      </c>
      <c r="H995" s="37">
        <v>9</v>
      </c>
      <c r="I995" s="37">
        <v>4</v>
      </c>
      <c r="J995" s="672">
        <f t="shared" si="152"/>
        <v>0.00756095448026259</v>
      </c>
      <c r="K995" s="673">
        <f t="shared" si="153"/>
        <v>1.00745385105029</v>
      </c>
      <c r="L995" s="809">
        <f t="shared" si="158"/>
        <v>7.61731270875646</v>
      </c>
      <c r="M995" s="839">
        <f t="shared" si="151"/>
        <v>18.7374819139324</v>
      </c>
      <c r="N995" s="39">
        <f t="shared" si="157"/>
        <v>0.00190961171228517</v>
      </c>
      <c r="O995" s="675">
        <f t="shared" si="154"/>
        <v>26.3785</v>
      </c>
      <c r="P995">
        <f t="shared" si="155"/>
        <v>60</v>
      </c>
      <c r="Q995" s="842">
        <f t="shared" si="156"/>
        <v>0.0381922342457034</v>
      </c>
    </row>
    <row r="996" spans="1:17">
      <c r="A996" s="801">
        <v>45744</v>
      </c>
      <c r="B996" s="670">
        <v>1538.16</v>
      </c>
      <c r="C996" s="671">
        <v>150079</v>
      </c>
      <c r="D996" s="37">
        <v>1387</v>
      </c>
      <c r="E996" s="37">
        <v>5</v>
      </c>
      <c r="F996" s="841">
        <v>29027</v>
      </c>
      <c r="G996" s="37">
        <v>41</v>
      </c>
      <c r="H996" s="37">
        <v>13</v>
      </c>
      <c r="I996" s="37">
        <v>1</v>
      </c>
      <c r="J996" s="672">
        <f t="shared" si="152"/>
        <v>0.00924179931902531</v>
      </c>
      <c r="K996" s="673">
        <f t="shared" si="153"/>
        <v>1.10898341744773</v>
      </c>
      <c r="L996" s="809">
        <f t="shared" si="158"/>
        <v>10.2490021921788</v>
      </c>
      <c r="M996" s="839">
        <f t="shared" si="151"/>
        <v>18.8712487647579</v>
      </c>
      <c r="N996" s="39">
        <f t="shared" si="157"/>
        <v>0.00360490266762797</v>
      </c>
      <c r="O996" s="675">
        <f t="shared" si="154"/>
        <v>28.4844444444444</v>
      </c>
      <c r="P996">
        <f t="shared" si="155"/>
        <v>54</v>
      </c>
      <c r="Q996" s="842">
        <f t="shared" si="156"/>
        <v>0.0389329488103821</v>
      </c>
    </row>
    <row r="997" spans="1:17">
      <c r="A997" s="801">
        <v>45745</v>
      </c>
      <c r="B997" s="670">
        <v>1586.44</v>
      </c>
      <c r="C997" s="671">
        <v>188690</v>
      </c>
      <c r="D997" s="37">
        <v>1416</v>
      </c>
      <c r="E997" s="37">
        <v>3</v>
      </c>
      <c r="F997" s="41">
        <v>26578</v>
      </c>
      <c r="G997" s="37">
        <v>31</v>
      </c>
      <c r="H997" s="37">
        <v>12</v>
      </c>
      <c r="I997" s="37">
        <v>1</v>
      </c>
      <c r="J997" s="672">
        <f t="shared" si="152"/>
        <v>0.00750437225078171</v>
      </c>
      <c r="K997" s="673">
        <f t="shared" si="153"/>
        <v>1.12036723163842</v>
      </c>
      <c r="L997" s="809">
        <f t="shared" si="158"/>
        <v>8.40765276379246</v>
      </c>
      <c r="M997" s="839">
        <f t="shared" si="151"/>
        <v>16.7532336552281</v>
      </c>
      <c r="N997" s="39">
        <f t="shared" si="157"/>
        <v>0.00211864406779661</v>
      </c>
      <c r="O997" s="675">
        <f t="shared" si="154"/>
        <v>36.8939534883721</v>
      </c>
      <c r="P997">
        <f t="shared" si="155"/>
        <v>43</v>
      </c>
      <c r="Q997" s="842">
        <f t="shared" si="156"/>
        <v>0.0303672316384181</v>
      </c>
    </row>
    <row r="998" spans="1:17">
      <c r="A998" s="801">
        <v>45746</v>
      </c>
      <c r="B998" s="670">
        <v>1583.2</v>
      </c>
      <c r="C998" s="671">
        <v>223296</v>
      </c>
      <c r="D998" s="37">
        <v>1409</v>
      </c>
      <c r="E998" s="37">
        <v>0</v>
      </c>
      <c r="F998" s="841">
        <v>0</v>
      </c>
      <c r="G998" s="37">
        <v>37</v>
      </c>
      <c r="H998" s="37">
        <v>7</v>
      </c>
      <c r="I998" s="37">
        <v>1</v>
      </c>
      <c r="J998" s="672">
        <f t="shared" si="152"/>
        <v>0.00631001003152766</v>
      </c>
      <c r="K998" s="673">
        <f t="shared" si="153"/>
        <v>1.1236337828247</v>
      </c>
      <c r="L998" s="809">
        <f t="shared" si="158"/>
        <v>7.09014044138722</v>
      </c>
      <c r="M998" s="839">
        <f t="shared" si="151"/>
        <v>0</v>
      </c>
      <c r="N998" s="39">
        <f t="shared" si="157"/>
        <v>0</v>
      </c>
      <c r="O998" s="675">
        <f t="shared" si="154"/>
        <v>35.9818181818182</v>
      </c>
      <c r="P998">
        <f t="shared" si="155"/>
        <v>44</v>
      </c>
      <c r="Q998" s="842">
        <f t="shared" si="156"/>
        <v>0.0312278211497516</v>
      </c>
    </row>
    <row r="999" spans="1:17">
      <c r="A999" s="801">
        <v>45747</v>
      </c>
      <c r="B999" s="670">
        <v>3129.48</v>
      </c>
      <c r="C999" s="671">
        <v>437100</v>
      </c>
      <c r="D999" s="37">
        <v>2722</v>
      </c>
      <c r="E999" s="37">
        <v>0</v>
      </c>
      <c r="F999" s="841">
        <v>0</v>
      </c>
      <c r="G999" s="37">
        <v>42</v>
      </c>
      <c r="H999" s="37">
        <v>13</v>
      </c>
      <c r="I999" s="37">
        <v>4</v>
      </c>
      <c r="J999" s="672">
        <f t="shared" si="152"/>
        <v>0.00622740791580874</v>
      </c>
      <c r="K999" s="673">
        <f t="shared" si="153"/>
        <v>1.14969875091844</v>
      </c>
      <c r="L999" s="809">
        <f t="shared" si="158"/>
        <v>7.15964310226493</v>
      </c>
      <c r="M999" s="839">
        <f t="shared" si="151"/>
        <v>0</v>
      </c>
      <c r="N999" s="39">
        <f t="shared" si="157"/>
        <v>0</v>
      </c>
      <c r="O999" s="675">
        <f t="shared" si="154"/>
        <v>56.8996363636364</v>
      </c>
      <c r="P999">
        <f t="shared" si="155"/>
        <v>55</v>
      </c>
      <c r="Q999" s="842">
        <f t="shared" si="156"/>
        <v>0.0202057310800882</v>
      </c>
    </row>
    <row r="1000" spans="1:17">
      <c r="A1000" s="801">
        <v>45748</v>
      </c>
      <c r="B1000" s="670">
        <v>909.27</v>
      </c>
      <c r="C1000" s="671">
        <v>110369</v>
      </c>
      <c r="D1000" s="37">
        <v>860</v>
      </c>
      <c r="E1000" s="37">
        <v>2</v>
      </c>
      <c r="F1000" s="41">
        <v>16802</v>
      </c>
      <c r="G1000" s="37">
        <v>23</v>
      </c>
      <c r="H1000" s="37">
        <v>3</v>
      </c>
      <c r="I1000" s="37">
        <v>2</v>
      </c>
      <c r="J1000" s="672">
        <f t="shared" si="152"/>
        <v>0.00779204305556814</v>
      </c>
      <c r="K1000" s="673">
        <f t="shared" si="153"/>
        <v>1.05729069767442</v>
      </c>
      <c r="L1000" s="809">
        <f t="shared" si="158"/>
        <v>8.23845463853075</v>
      </c>
      <c r="M1000" s="839">
        <f t="shared" si="151"/>
        <v>18.4785597237344</v>
      </c>
      <c r="N1000" s="39">
        <f t="shared" si="157"/>
        <v>0.00232558139534884</v>
      </c>
      <c r="O1000" s="675">
        <f t="shared" si="154"/>
        <v>34.9719230769231</v>
      </c>
      <c r="P1000">
        <f t="shared" si="155"/>
        <v>26</v>
      </c>
      <c r="Q1000" s="842">
        <f t="shared" si="156"/>
        <v>0.0302325581395349</v>
      </c>
    </row>
    <row r="1001" spans="1:17">
      <c r="A1001" s="801">
        <v>45749</v>
      </c>
      <c r="B1001" s="670">
        <v>994.74</v>
      </c>
      <c r="C1001" s="671">
        <v>176205</v>
      </c>
      <c r="D1001" s="37">
        <v>1073</v>
      </c>
      <c r="E1001" s="37">
        <v>2</v>
      </c>
      <c r="F1001" s="41">
        <v>21870</v>
      </c>
      <c r="G1001" s="37">
        <v>33</v>
      </c>
      <c r="H1001" s="37">
        <v>1</v>
      </c>
      <c r="I1001" s="37">
        <v>0</v>
      </c>
      <c r="J1001" s="672">
        <f t="shared" si="152"/>
        <v>0.00608949802786527</v>
      </c>
      <c r="K1001" s="673">
        <f t="shared" si="153"/>
        <v>0.927064305684995</v>
      </c>
      <c r="L1001" s="809">
        <f t="shared" si="158"/>
        <v>5.64535626117307</v>
      </c>
      <c r="M1001" s="839">
        <f t="shared" si="151"/>
        <v>21.9856444900175</v>
      </c>
      <c r="N1001" s="39">
        <f t="shared" si="157"/>
        <v>0.00186393289841566</v>
      </c>
      <c r="O1001" s="675">
        <f t="shared" si="154"/>
        <v>29.2570588235294</v>
      </c>
      <c r="P1001">
        <f t="shared" si="155"/>
        <v>34</v>
      </c>
      <c r="Q1001" s="842">
        <f t="shared" si="156"/>
        <v>0.0316868592730662</v>
      </c>
    </row>
    <row r="1002" spans="1:17">
      <c r="A1002" s="801">
        <v>45750</v>
      </c>
      <c r="B1002" s="670">
        <v>982.42</v>
      </c>
      <c r="C1002" s="671">
        <v>121414</v>
      </c>
      <c r="D1002" s="37">
        <v>884</v>
      </c>
      <c r="E1002" s="37">
        <v>3</v>
      </c>
      <c r="F1002" s="41">
        <v>52254</v>
      </c>
      <c r="G1002" s="37">
        <v>29</v>
      </c>
      <c r="H1002" s="37">
        <v>4</v>
      </c>
      <c r="I1002" s="37">
        <v>1</v>
      </c>
      <c r="J1002" s="672">
        <f t="shared" si="152"/>
        <v>0.00728087370484458</v>
      </c>
      <c r="K1002" s="673">
        <f t="shared" si="153"/>
        <v>1.11133484162896</v>
      </c>
      <c r="L1002" s="809">
        <f t="shared" si="158"/>
        <v>8.09148862569391</v>
      </c>
      <c r="M1002" s="839">
        <f t="shared" si="151"/>
        <v>53.189063740559</v>
      </c>
      <c r="N1002" s="39">
        <f t="shared" si="157"/>
        <v>0.00339366515837104</v>
      </c>
      <c r="O1002" s="675">
        <f t="shared" si="154"/>
        <v>29.770303030303</v>
      </c>
      <c r="P1002">
        <f t="shared" si="155"/>
        <v>33</v>
      </c>
      <c r="Q1002" s="842">
        <f t="shared" si="156"/>
        <v>0.0373303167420814</v>
      </c>
    </row>
    <row r="1003" spans="1:17">
      <c r="A1003" s="801">
        <v>45751</v>
      </c>
      <c r="B1003" s="670">
        <v>991.04</v>
      </c>
      <c r="C1003" s="671">
        <v>87512</v>
      </c>
      <c r="D1003" s="37">
        <v>899</v>
      </c>
      <c r="E1003" s="37">
        <v>3</v>
      </c>
      <c r="F1003" s="41">
        <v>30701</v>
      </c>
      <c r="G1003" s="37">
        <v>38</v>
      </c>
      <c r="H1003" s="37">
        <v>14</v>
      </c>
      <c r="I1003" s="37">
        <v>2</v>
      </c>
      <c r="J1003" s="672">
        <f t="shared" si="152"/>
        <v>0.0102728768626017</v>
      </c>
      <c r="K1003" s="673">
        <f t="shared" si="153"/>
        <v>1.10238042269188</v>
      </c>
      <c r="L1003" s="809">
        <f t="shared" si="158"/>
        <v>11.3246183380565</v>
      </c>
      <c r="M1003" s="839">
        <f t="shared" si="151"/>
        <v>30.9785679690023</v>
      </c>
      <c r="N1003" s="39">
        <f t="shared" si="157"/>
        <v>0.00333704115684093</v>
      </c>
      <c r="O1003" s="675">
        <f t="shared" si="154"/>
        <v>19.0584615384615</v>
      </c>
      <c r="P1003">
        <f t="shared" si="155"/>
        <v>52</v>
      </c>
      <c r="Q1003" s="842">
        <f t="shared" si="156"/>
        <v>0.0578420467185762</v>
      </c>
    </row>
    <row r="1004" spans="1:17">
      <c r="A1004" s="801">
        <v>45752</v>
      </c>
      <c r="B1004" s="670">
        <v>986.92</v>
      </c>
      <c r="C1004" s="671">
        <v>120031</v>
      </c>
      <c r="D1004" s="37">
        <v>958</v>
      </c>
      <c r="E1004" s="37">
        <v>1</v>
      </c>
      <c r="F1004" s="41">
        <v>14180</v>
      </c>
      <c r="G1004" s="37">
        <v>36</v>
      </c>
      <c r="H1004" s="37">
        <v>8</v>
      </c>
      <c r="I1004" s="37">
        <v>3</v>
      </c>
      <c r="J1004" s="672">
        <f t="shared" si="152"/>
        <v>0.00798127150486124</v>
      </c>
      <c r="K1004" s="673">
        <f t="shared" si="153"/>
        <v>1.0301878914405</v>
      </c>
      <c r="L1004" s="809">
        <f t="shared" si="158"/>
        <v>8.22220926260716</v>
      </c>
      <c r="M1004" s="839">
        <f t="shared" si="151"/>
        <v>14.3679325578568</v>
      </c>
      <c r="N1004" s="39">
        <f t="shared" si="157"/>
        <v>0.00104384133611691</v>
      </c>
      <c r="O1004" s="675">
        <f t="shared" si="154"/>
        <v>22.43</v>
      </c>
      <c r="P1004">
        <f t="shared" si="155"/>
        <v>44</v>
      </c>
      <c r="Q1004" s="842">
        <f t="shared" si="156"/>
        <v>0.0459290187891441</v>
      </c>
    </row>
    <row r="1005" spans="1:17">
      <c r="A1005" s="801">
        <v>45753</v>
      </c>
      <c r="B1005" s="670">
        <v>976.3</v>
      </c>
      <c r="C1005" s="671">
        <v>61269</v>
      </c>
      <c r="D1005" s="37">
        <v>821</v>
      </c>
      <c r="E1005" s="37">
        <v>1</v>
      </c>
      <c r="F1005" s="841">
        <v>14261.01</v>
      </c>
      <c r="G1005" s="37">
        <v>32</v>
      </c>
      <c r="H1005" s="37">
        <v>3</v>
      </c>
      <c r="I1005" s="37">
        <v>2</v>
      </c>
      <c r="J1005" s="672">
        <f t="shared" si="152"/>
        <v>0.0133999249212489</v>
      </c>
      <c r="K1005" s="673">
        <f t="shared" si="153"/>
        <v>1.18915956151035</v>
      </c>
      <c r="L1005" s="809">
        <f t="shared" si="158"/>
        <v>15.934648843624</v>
      </c>
      <c r="M1005" s="839">
        <f t="shared" si="151"/>
        <v>14.6072006555362</v>
      </c>
      <c r="N1005" s="39">
        <f t="shared" si="157"/>
        <v>0.00121802679658952</v>
      </c>
      <c r="O1005" s="675">
        <f t="shared" si="154"/>
        <v>27.8942857142857</v>
      </c>
      <c r="P1005">
        <f t="shared" si="155"/>
        <v>35</v>
      </c>
      <c r="Q1005" s="842">
        <f t="shared" si="156"/>
        <v>0.0426309378806334</v>
      </c>
    </row>
    <row r="1006" spans="1:17">
      <c r="A1006" s="801">
        <v>45754</v>
      </c>
      <c r="B1006" s="670">
        <v>1328.06</v>
      </c>
      <c r="C1006" s="671">
        <v>74852</v>
      </c>
      <c r="D1006" s="37">
        <v>943</v>
      </c>
      <c r="E1006" s="37">
        <v>0</v>
      </c>
      <c r="F1006" s="841">
        <v>0</v>
      </c>
      <c r="G1006" s="37">
        <v>51</v>
      </c>
      <c r="H1006" s="37">
        <v>8</v>
      </c>
      <c r="I1006" s="37">
        <v>1</v>
      </c>
      <c r="J1006" s="672">
        <f t="shared" si="152"/>
        <v>0.0125981937690376</v>
      </c>
      <c r="K1006" s="673">
        <f t="shared" si="153"/>
        <v>1.40833510074231</v>
      </c>
      <c r="L1006" s="809">
        <f t="shared" si="158"/>
        <v>17.7424784908887</v>
      </c>
      <c r="M1006" s="839">
        <f t="shared" si="151"/>
        <v>0</v>
      </c>
      <c r="N1006" s="39">
        <f t="shared" si="157"/>
        <v>0</v>
      </c>
      <c r="O1006" s="675">
        <f t="shared" si="154"/>
        <v>22.5094915254237</v>
      </c>
      <c r="P1006">
        <f t="shared" si="155"/>
        <v>59</v>
      </c>
      <c r="Q1006" s="842">
        <f t="shared" si="156"/>
        <v>0.0625662778366914</v>
      </c>
    </row>
    <row r="1007" spans="1:17">
      <c r="A1007" s="801">
        <v>45755</v>
      </c>
      <c r="B1007" s="670">
        <v>1178.76</v>
      </c>
      <c r="C1007" s="671">
        <v>55028</v>
      </c>
      <c r="D1007" s="37">
        <v>813</v>
      </c>
      <c r="E1007" s="37">
        <v>0</v>
      </c>
      <c r="F1007" s="841">
        <v>0</v>
      </c>
      <c r="G1007" s="37">
        <v>29</v>
      </c>
      <c r="H1007" s="37">
        <v>5</v>
      </c>
      <c r="I1007" s="37">
        <v>4</v>
      </c>
      <c r="J1007" s="672">
        <f t="shared" si="152"/>
        <v>0.014774296721669</v>
      </c>
      <c r="K1007" s="673">
        <f t="shared" si="153"/>
        <v>1.44988929889299</v>
      </c>
      <c r="L1007" s="809">
        <f t="shared" si="158"/>
        <v>21.4210947154176</v>
      </c>
      <c r="M1007" s="839">
        <f t="shared" si="151"/>
        <v>0</v>
      </c>
      <c r="N1007" s="39">
        <f t="shared" si="157"/>
        <v>0</v>
      </c>
      <c r="O1007" s="675">
        <f t="shared" si="154"/>
        <v>34.6694117647059</v>
      </c>
      <c r="P1007">
        <f t="shared" si="155"/>
        <v>34</v>
      </c>
      <c r="Q1007" s="842">
        <f t="shared" si="156"/>
        <v>0.041820418204182</v>
      </c>
    </row>
    <row r="1008" spans="1:17">
      <c r="A1008" s="801">
        <v>45756</v>
      </c>
      <c r="B1008" s="670">
        <v>1185.66</v>
      </c>
      <c r="C1008" s="671">
        <v>83449</v>
      </c>
      <c r="D1008" s="37">
        <v>996</v>
      </c>
      <c r="E1008" s="37">
        <v>2</v>
      </c>
      <c r="F1008" s="841">
        <v>24227.01</v>
      </c>
      <c r="G1008" s="37">
        <v>34</v>
      </c>
      <c r="H1008" s="37">
        <v>10</v>
      </c>
      <c r="I1008" s="37">
        <v>1</v>
      </c>
      <c r="J1008" s="672">
        <f t="shared" si="152"/>
        <v>0.011935433618138</v>
      </c>
      <c r="K1008" s="673">
        <f t="shared" si="153"/>
        <v>1.19042168674699</v>
      </c>
      <c r="L1008" s="809">
        <f t="shared" si="158"/>
        <v>14.2081990197606</v>
      </c>
      <c r="M1008" s="839">
        <f t="shared" si="151"/>
        <v>20.4333535752239</v>
      </c>
      <c r="N1008" s="39">
        <f t="shared" si="157"/>
        <v>0.00200803212851406</v>
      </c>
      <c r="O1008" s="675">
        <f t="shared" si="154"/>
        <v>26.9468181818182</v>
      </c>
      <c r="P1008">
        <f t="shared" si="155"/>
        <v>44</v>
      </c>
      <c r="Q1008" s="842">
        <f t="shared" si="156"/>
        <v>0.0441767068273092</v>
      </c>
    </row>
    <row r="1009" spans="1:17">
      <c r="A1009" s="801">
        <v>45757</v>
      </c>
      <c r="B1009" s="670">
        <v>1187.6</v>
      </c>
      <c r="C1009" s="671">
        <v>95259</v>
      </c>
      <c r="D1009" s="37">
        <v>1123</v>
      </c>
      <c r="E1009" s="37">
        <v>3</v>
      </c>
      <c r="F1009" s="841">
        <v>34322</v>
      </c>
      <c r="G1009" s="37">
        <v>54</v>
      </c>
      <c r="H1009" s="37">
        <v>10</v>
      </c>
      <c r="I1009" s="37">
        <v>3</v>
      </c>
      <c r="J1009" s="672">
        <f t="shared" si="152"/>
        <v>0.0117889123337427</v>
      </c>
      <c r="K1009" s="673">
        <f t="shared" si="153"/>
        <v>1.05752448797863</v>
      </c>
      <c r="L1009" s="809">
        <f t="shared" si="158"/>
        <v>12.4670634795662</v>
      </c>
      <c r="M1009" s="839">
        <f t="shared" si="151"/>
        <v>28.9003031323678</v>
      </c>
      <c r="N1009" s="39">
        <f t="shared" si="157"/>
        <v>0.00267141585040071</v>
      </c>
      <c r="O1009" s="675">
        <f t="shared" si="154"/>
        <v>18.55625</v>
      </c>
      <c r="P1009">
        <f t="shared" si="155"/>
        <v>64</v>
      </c>
      <c r="Q1009" s="842">
        <f t="shared" si="156"/>
        <v>0.0569902048085485</v>
      </c>
    </row>
    <row r="1010" spans="1:17">
      <c r="A1010" s="801">
        <v>45758</v>
      </c>
      <c r="B1010" s="670">
        <v>1196.2</v>
      </c>
      <c r="C1010" s="671">
        <v>184918</v>
      </c>
      <c r="D1010" s="37">
        <v>1366</v>
      </c>
      <c r="E1010" s="37">
        <v>0</v>
      </c>
      <c r="F1010" s="841">
        <v>0</v>
      </c>
      <c r="G1010" s="37">
        <v>45</v>
      </c>
      <c r="H1010" s="37">
        <v>7</v>
      </c>
      <c r="I1010" s="37">
        <v>5</v>
      </c>
      <c r="J1010" s="672">
        <f t="shared" si="152"/>
        <v>0.00738705804735072</v>
      </c>
      <c r="K1010" s="673">
        <f t="shared" si="153"/>
        <v>0.875695461200586</v>
      </c>
      <c r="L1010" s="809">
        <f t="shared" si="158"/>
        <v>6.46881320369029</v>
      </c>
      <c r="M1010" s="839">
        <f t="shared" si="151"/>
        <v>0</v>
      </c>
      <c r="N1010" s="39">
        <f t="shared" si="157"/>
        <v>0</v>
      </c>
      <c r="O1010" s="675">
        <f t="shared" si="154"/>
        <v>23.0038461538462</v>
      </c>
      <c r="P1010">
        <f t="shared" si="155"/>
        <v>52</v>
      </c>
      <c r="Q1010" s="842">
        <f t="shared" si="156"/>
        <v>0.0380673499267936</v>
      </c>
    </row>
    <row r="1011" spans="1:17">
      <c r="A1011" s="801">
        <v>45759</v>
      </c>
      <c r="B1011" s="670">
        <v>1175.72</v>
      </c>
      <c r="C1011" s="671">
        <v>184182</v>
      </c>
      <c r="D1011" s="37">
        <v>1328</v>
      </c>
      <c r="E1011" s="37">
        <v>1</v>
      </c>
      <c r="F1011" s="841">
        <v>33068</v>
      </c>
      <c r="G1011" s="37">
        <v>55</v>
      </c>
      <c r="H1011" s="37">
        <v>10</v>
      </c>
      <c r="I1011" s="37">
        <v>3</v>
      </c>
      <c r="J1011" s="672">
        <f t="shared" si="152"/>
        <v>0.00721025941731548</v>
      </c>
      <c r="K1011" s="673">
        <f t="shared" si="153"/>
        <v>0.885331325301205</v>
      </c>
      <c r="L1011" s="809">
        <f t="shared" si="158"/>
        <v>6.38346852569741</v>
      </c>
      <c r="M1011" s="839">
        <f t="shared" si="151"/>
        <v>28.1257442248154</v>
      </c>
      <c r="N1011" s="39">
        <f t="shared" si="157"/>
        <v>0.000753012048192771</v>
      </c>
      <c r="O1011" s="675">
        <f t="shared" si="154"/>
        <v>18.088</v>
      </c>
      <c r="P1011">
        <f t="shared" si="155"/>
        <v>65</v>
      </c>
      <c r="Q1011" s="842">
        <f t="shared" si="156"/>
        <v>0.0489457831325301</v>
      </c>
    </row>
    <row r="1012" spans="1:17">
      <c r="A1012" s="801">
        <v>45760</v>
      </c>
      <c r="B1012" s="670">
        <v>1196.98</v>
      </c>
      <c r="C1012" s="671">
        <v>202712</v>
      </c>
      <c r="D1012" s="37">
        <v>1247</v>
      </c>
      <c r="E1012" s="37">
        <v>3</v>
      </c>
      <c r="F1012" s="41">
        <v>46408</v>
      </c>
      <c r="G1012" s="37">
        <v>47</v>
      </c>
      <c r="H1012" s="37">
        <v>20</v>
      </c>
      <c r="I1012" s="37">
        <v>5</v>
      </c>
      <c r="J1012" s="672">
        <f t="shared" si="152"/>
        <v>0.00615158451399029</v>
      </c>
      <c r="K1012" s="673">
        <f t="shared" si="153"/>
        <v>0.959887730553328</v>
      </c>
      <c r="L1012" s="809">
        <f t="shared" si="158"/>
        <v>5.90483049844114</v>
      </c>
      <c r="M1012" s="839">
        <f t="shared" si="151"/>
        <v>38.7709067820682</v>
      </c>
      <c r="N1012" s="39">
        <f t="shared" si="157"/>
        <v>0.00240577385725742</v>
      </c>
      <c r="O1012" s="675">
        <f t="shared" si="154"/>
        <v>17.8653731343284</v>
      </c>
      <c r="P1012">
        <f t="shared" si="155"/>
        <v>67</v>
      </c>
      <c r="Q1012" s="842">
        <f t="shared" si="156"/>
        <v>0.053728949478749</v>
      </c>
    </row>
    <row r="1013" spans="1:17">
      <c r="A1013" s="801">
        <v>45761</v>
      </c>
      <c r="B1013" s="670">
        <v>1169.72</v>
      </c>
      <c r="C1013" s="671">
        <v>172229</v>
      </c>
      <c r="D1013" s="37">
        <v>976</v>
      </c>
      <c r="E1013" s="37">
        <v>4</v>
      </c>
      <c r="F1013" s="841">
        <v>44648</v>
      </c>
      <c r="G1013" s="37">
        <v>31</v>
      </c>
      <c r="H1013" s="37">
        <v>3</v>
      </c>
      <c r="I1013" s="37">
        <v>1</v>
      </c>
      <c r="J1013" s="672">
        <f t="shared" si="152"/>
        <v>0.00566687375529092</v>
      </c>
      <c r="K1013" s="673">
        <f t="shared" si="153"/>
        <v>1.19848360655738</v>
      </c>
      <c r="L1013" s="809">
        <f t="shared" si="158"/>
        <v>6.79165529614641</v>
      </c>
      <c r="M1013" s="839">
        <f t="shared" si="151"/>
        <v>38.169818418083</v>
      </c>
      <c r="N1013" s="39">
        <f t="shared" si="157"/>
        <v>0.00409836065573771</v>
      </c>
      <c r="O1013" s="675">
        <f t="shared" si="154"/>
        <v>34.4035294117647</v>
      </c>
      <c r="P1013">
        <f t="shared" si="155"/>
        <v>34</v>
      </c>
      <c r="Q1013" s="842">
        <f t="shared" si="156"/>
        <v>0.0348360655737705</v>
      </c>
    </row>
    <row r="1014" spans="1:17">
      <c r="A1014" s="801">
        <v>45762</v>
      </c>
      <c r="B1014" s="670">
        <v>1192.14</v>
      </c>
      <c r="C1014" s="671">
        <v>197807</v>
      </c>
      <c r="D1014" s="37">
        <v>1150</v>
      </c>
      <c r="E1014" s="37">
        <v>0</v>
      </c>
      <c r="F1014" s="841">
        <v>0</v>
      </c>
      <c r="G1014" s="37">
        <v>30</v>
      </c>
      <c r="H1014" s="37">
        <v>5</v>
      </c>
      <c r="I1014" s="37">
        <v>1</v>
      </c>
      <c r="J1014" s="672">
        <f t="shared" si="152"/>
        <v>0.0058137477440131</v>
      </c>
      <c r="K1014" s="673">
        <f t="shared" si="153"/>
        <v>1.03664347826087</v>
      </c>
      <c r="L1014" s="809">
        <f t="shared" si="158"/>
        <v>6.02678368308503</v>
      </c>
      <c r="M1014" s="839">
        <f t="shared" si="151"/>
        <v>0</v>
      </c>
      <c r="N1014" s="39">
        <f t="shared" si="157"/>
        <v>0</v>
      </c>
      <c r="O1014" s="675">
        <f t="shared" si="154"/>
        <v>34.0611428571429</v>
      </c>
      <c r="P1014">
        <f t="shared" si="155"/>
        <v>35</v>
      </c>
      <c r="Q1014" s="842">
        <f t="shared" si="156"/>
        <v>0.0304347826086957</v>
      </c>
    </row>
    <row r="1015" spans="1:17">
      <c r="A1015" s="801">
        <v>45763</v>
      </c>
      <c r="B1015" s="670">
        <v>1586.39</v>
      </c>
      <c r="C1015" s="671">
        <v>257722</v>
      </c>
      <c r="D1015" s="37">
        <v>1477</v>
      </c>
      <c r="E1015" s="37">
        <v>5</v>
      </c>
      <c r="F1015" s="41">
        <v>25508.98</v>
      </c>
      <c r="G1015" s="37">
        <v>58</v>
      </c>
      <c r="H1015" s="37">
        <v>7</v>
      </c>
      <c r="I1015" s="37">
        <v>1</v>
      </c>
      <c r="J1015" s="672">
        <f t="shared" si="152"/>
        <v>0.00573098144512304</v>
      </c>
      <c r="K1015" s="673">
        <f t="shared" si="153"/>
        <v>1.07406228842248</v>
      </c>
      <c r="L1015" s="809">
        <f t="shared" si="158"/>
        <v>6.15543104585561</v>
      </c>
      <c r="M1015" s="839">
        <f t="shared" si="151"/>
        <v>16.0798920820227</v>
      </c>
      <c r="N1015" s="39">
        <f t="shared" si="157"/>
        <v>0.003385240352065</v>
      </c>
      <c r="O1015" s="675">
        <f t="shared" si="154"/>
        <v>24.406</v>
      </c>
      <c r="P1015">
        <f t="shared" si="155"/>
        <v>65</v>
      </c>
      <c r="Q1015" s="842">
        <f t="shared" si="156"/>
        <v>0.044008124576845</v>
      </c>
    </row>
    <row r="1016" spans="1:17">
      <c r="A1016" s="801">
        <v>45764</v>
      </c>
      <c r="B1016" s="670">
        <v>1786.9</v>
      </c>
      <c r="C1016" s="671">
        <v>252907</v>
      </c>
      <c r="D1016" s="37">
        <v>1420</v>
      </c>
      <c r="E1016" s="37">
        <v>0</v>
      </c>
      <c r="F1016" s="841">
        <v>0</v>
      </c>
      <c r="G1016" s="37">
        <v>38</v>
      </c>
      <c r="H1016" s="37">
        <v>8</v>
      </c>
      <c r="I1016" s="37">
        <v>2</v>
      </c>
      <c r="J1016" s="672">
        <f t="shared" si="152"/>
        <v>0.00561471212738279</v>
      </c>
      <c r="K1016" s="673">
        <f t="shared" si="153"/>
        <v>1.25838028169014</v>
      </c>
      <c r="L1016" s="809">
        <f t="shared" si="158"/>
        <v>7.06544302846501</v>
      </c>
      <c r="M1016" s="839">
        <f t="shared" si="151"/>
        <v>0</v>
      </c>
      <c r="N1016" s="39">
        <f t="shared" si="157"/>
        <v>0</v>
      </c>
      <c r="O1016" s="675">
        <f t="shared" si="154"/>
        <v>38.845652173913</v>
      </c>
      <c r="P1016">
        <f t="shared" si="155"/>
        <v>46</v>
      </c>
      <c r="Q1016" s="842">
        <f t="shared" si="156"/>
        <v>0.0323943661971831</v>
      </c>
    </row>
    <row r="1017" spans="1:17">
      <c r="A1017" s="801">
        <v>45765</v>
      </c>
      <c r="B1017" s="670">
        <v>1773.52</v>
      </c>
      <c r="C1017" s="671">
        <v>101740</v>
      </c>
      <c r="D1017" s="37">
        <v>961</v>
      </c>
      <c r="E1017" s="37">
        <v>5</v>
      </c>
      <c r="F1017" s="41">
        <v>85902</v>
      </c>
      <c r="G1017" s="37">
        <v>45</v>
      </c>
      <c r="H1017" s="37">
        <v>5</v>
      </c>
      <c r="I1017" s="37">
        <v>4</v>
      </c>
      <c r="J1017" s="672">
        <f t="shared" si="152"/>
        <v>0.00944564576371142</v>
      </c>
      <c r="K1017" s="673">
        <f t="shared" si="153"/>
        <v>1.84549427679501</v>
      </c>
      <c r="L1017" s="809">
        <f t="shared" si="158"/>
        <v>17.4318851975624</v>
      </c>
      <c r="M1017" s="839">
        <f t="shared" si="151"/>
        <v>48.4358789300374</v>
      </c>
      <c r="N1017" s="39">
        <f t="shared" si="157"/>
        <v>0.00520291363163371</v>
      </c>
      <c r="O1017" s="675">
        <f t="shared" si="154"/>
        <v>35.4704</v>
      </c>
      <c r="P1017">
        <f t="shared" si="155"/>
        <v>50</v>
      </c>
      <c r="Q1017" s="842">
        <f t="shared" si="156"/>
        <v>0.0520291363163371</v>
      </c>
    </row>
    <row r="1018" spans="1:17">
      <c r="A1018" s="801">
        <v>45766</v>
      </c>
      <c r="B1018" s="670">
        <v>1333.26</v>
      </c>
      <c r="C1018" s="671">
        <v>90403</v>
      </c>
      <c r="D1018" s="37">
        <v>830</v>
      </c>
      <c r="E1018" s="37">
        <v>2</v>
      </c>
      <c r="F1018" s="41">
        <v>13372</v>
      </c>
      <c r="G1018" s="37">
        <v>12</v>
      </c>
      <c r="H1018" s="37">
        <v>10</v>
      </c>
      <c r="I1018" s="37">
        <v>2</v>
      </c>
      <c r="J1018" s="672">
        <f t="shared" si="152"/>
        <v>0.0091811112463082</v>
      </c>
      <c r="K1018" s="673">
        <f t="shared" si="153"/>
        <v>1.60633734939759</v>
      </c>
      <c r="L1018" s="809">
        <f t="shared" si="158"/>
        <v>14.7479619039191</v>
      </c>
      <c r="M1018" s="839">
        <f t="shared" si="151"/>
        <v>10.0295516253394</v>
      </c>
      <c r="N1018" s="39">
        <f t="shared" si="157"/>
        <v>0.00240963855421687</v>
      </c>
      <c r="O1018" s="675">
        <f t="shared" si="154"/>
        <v>60.6027272727273</v>
      </c>
      <c r="P1018">
        <f t="shared" si="155"/>
        <v>22</v>
      </c>
      <c r="Q1018" s="842">
        <f t="shared" si="156"/>
        <v>0.0265060240963855</v>
      </c>
    </row>
    <row r="1019" spans="1:17">
      <c r="A1019" s="801">
        <v>45767</v>
      </c>
      <c r="B1019" s="670">
        <v>792.53</v>
      </c>
      <c r="C1019" s="671">
        <v>63723</v>
      </c>
      <c r="D1019" s="37">
        <v>631</v>
      </c>
      <c r="E1019" s="37">
        <v>4</v>
      </c>
      <c r="F1019" s="41">
        <v>37739</v>
      </c>
      <c r="G1019" s="37">
        <v>9</v>
      </c>
      <c r="H1019" s="37">
        <v>6</v>
      </c>
      <c r="I1019" s="37">
        <v>1</v>
      </c>
      <c r="J1019" s="672">
        <f t="shared" si="152"/>
        <v>0.0099022331026474</v>
      </c>
      <c r="K1019" s="673">
        <f t="shared" si="153"/>
        <v>1.25599049128368</v>
      </c>
      <c r="L1019" s="809">
        <f t="shared" si="158"/>
        <v>12.4371106193996</v>
      </c>
      <c r="M1019" s="839">
        <f t="shared" si="151"/>
        <v>47.6183866856775</v>
      </c>
      <c r="N1019" s="39">
        <f t="shared" si="157"/>
        <v>0.0063391442155309</v>
      </c>
      <c r="O1019" s="675">
        <f t="shared" si="154"/>
        <v>52.8353333333333</v>
      </c>
      <c r="P1019">
        <f t="shared" si="155"/>
        <v>15</v>
      </c>
      <c r="Q1019" s="842">
        <f t="shared" si="156"/>
        <v>0.0237717908082409</v>
      </c>
    </row>
    <row r="1020" spans="1:17">
      <c r="A1020" s="801">
        <v>45768</v>
      </c>
      <c r="B1020" s="670">
        <v>797.13</v>
      </c>
      <c r="C1020" s="671">
        <v>136850</v>
      </c>
      <c r="D1020" s="37">
        <v>1070</v>
      </c>
      <c r="E1020" s="37">
        <v>2</v>
      </c>
      <c r="F1020" s="41">
        <v>13762</v>
      </c>
      <c r="G1020" s="37">
        <v>26</v>
      </c>
      <c r="H1020" s="37">
        <v>6</v>
      </c>
      <c r="I1020" s="37">
        <v>4</v>
      </c>
      <c r="J1020" s="672">
        <f t="shared" si="152"/>
        <v>0.00781877968578736</v>
      </c>
      <c r="K1020" s="673">
        <f t="shared" si="153"/>
        <v>0.744981308411215</v>
      </c>
      <c r="L1020" s="809">
        <f t="shared" si="158"/>
        <v>5.82484472049689</v>
      </c>
      <c r="M1020" s="839">
        <f t="shared" si="151"/>
        <v>17.264436164741</v>
      </c>
      <c r="N1020" s="39">
        <f t="shared" si="157"/>
        <v>0.00186915887850467</v>
      </c>
      <c r="O1020" s="675">
        <f t="shared" si="154"/>
        <v>24.9103125</v>
      </c>
      <c r="P1020">
        <f t="shared" si="155"/>
        <v>32</v>
      </c>
      <c r="Q1020" s="842">
        <f t="shared" si="156"/>
        <v>0.0299065420560748</v>
      </c>
    </row>
    <row r="1021" spans="1:17">
      <c r="A1021" s="801">
        <v>45769</v>
      </c>
      <c r="B1021" s="670">
        <v>793.21</v>
      </c>
      <c r="C1021" s="671">
        <v>139352</v>
      </c>
      <c r="D1021" s="37">
        <v>832</v>
      </c>
      <c r="E1021" s="37">
        <v>3</v>
      </c>
      <c r="F1021" s="41">
        <v>41494</v>
      </c>
      <c r="G1021" s="37">
        <v>21</v>
      </c>
      <c r="H1021" s="37">
        <v>2</v>
      </c>
      <c r="I1021" s="37">
        <v>3</v>
      </c>
      <c r="J1021" s="672">
        <f t="shared" si="152"/>
        <v>0.00597049199150353</v>
      </c>
      <c r="K1021" s="673">
        <f t="shared" si="153"/>
        <v>0.953377403846154</v>
      </c>
      <c r="L1021" s="809">
        <f t="shared" si="158"/>
        <v>5.69213215454389</v>
      </c>
      <c r="M1021" s="839">
        <f t="shared" si="151"/>
        <v>52.3114938036585</v>
      </c>
      <c r="N1021" s="39">
        <f t="shared" si="157"/>
        <v>0.00360576923076923</v>
      </c>
      <c r="O1021" s="675">
        <f t="shared" si="154"/>
        <v>34.4873913043478</v>
      </c>
      <c r="P1021">
        <f t="shared" si="155"/>
        <v>23</v>
      </c>
      <c r="Q1021" s="842">
        <f t="shared" si="156"/>
        <v>0.0276442307692308</v>
      </c>
    </row>
    <row r="1022" spans="1:17">
      <c r="A1022" s="801">
        <v>45770</v>
      </c>
      <c r="B1022" s="670">
        <v>630.05</v>
      </c>
      <c r="C1022" s="671">
        <v>99166</v>
      </c>
      <c r="D1022" s="37">
        <v>579</v>
      </c>
      <c r="E1022" s="37">
        <v>1</v>
      </c>
      <c r="F1022" s="841">
        <v>12214</v>
      </c>
      <c r="G1022" s="37">
        <v>16</v>
      </c>
      <c r="H1022" s="37">
        <v>6</v>
      </c>
      <c r="I1022" s="37">
        <v>2</v>
      </c>
      <c r="J1022" s="672">
        <f t="shared" si="152"/>
        <v>0.00583869471391404</v>
      </c>
      <c r="K1022" s="673">
        <f t="shared" si="153"/>
        <v>1.08816925734024</v>
      </c>
      <c r="L1022" s="809">
        <f t="shared" si="158"/>
        <v>6.35348809067624</v>
      </c>
      <c r="M1022" s="839">
        <f t="shared" si="151"/>
        <v>19.3857630346798</v>
      </c>
      <c r="N1022" s="39">
        <f t="shared" si="157"/>
        <v>0.00172711571675302</v>
      </c>
      <c r="O1022" s="675">
        <f t="shared" si="154"/>
        <v>28.6386363636364</v>
      </c>
      <c r="P1022">
        <f t="shared" si="155"/>
        <v>22</v>
      </c>
      <c r="Q1022" s="842">
        <f t="shared" si="156"/>
        <v>0.0379965457685665</v>
      </c>
    </row>
    <row r="1023" spans="1:17">
      <c r="A1023" s="801">
        <v>45771</v>
      </c>
      <c r="B1023" s="670">
        <v>396.6</v>
      </c>
      <c r="C1023" s="671">
        <v>50994</v>
      </c>
      <c r="D1023" s="37">
        <v>326</v>
      </c>
      <c r="E1023" s="37">
        <v>1</v>
      </c>
      <c r="F1023" s="841">
        <v>21852</v>
      </c>
      <c r="G1023" s="37">
        <v>12</v>
      </c>
      <c r="H1023" s="37">
        <v>2</v>
      </c>
      <c r="I1023" s="37">
        <v>2</v>
      </c>
      <c r="J1023" s="672">
        <f t="shared" si="152"/>
        <v>0.00639290896968271</v>
      </c>
      <c r="K1023" s="673">
        <f t="shared" si="153"/>
        <v>1.21656441717791</v>
      </c>
      <c r="L1023" s="809">
        <f t="shared" si="158"/>
        <v>7.7773855747735</v>
      </c>
      <c r="M1023" s="839">
        <f t="shared" si="151"/>
        <v>55.0983358547655</v>
      </c>
      <c r="N1023" s="39">
        <f t="shared" si="157"/>
        <v>0.00306748466257669</v>
      </c>
      <c r="O1023" s="675">
        <f t="shared" si="154"/>
        <v>28.3285714285714</v>
      </c>
      <c r="P1023">
        <f t="shared" si="155"/>
        <v>14</v>
      </c>
      <c r="Q1023" s="842">
        <f t="shared" si="156"/>
        <v>0.0429447852760736</v>
      </c>
    </row>
    <row r="1024" spans="1:17">
      <c r="A1024" s="801">
        <v>45772</v>
      </c>
      <c r="B1024" s="670">
        <v>640.96</v>
      </c>
      <c r="C1024" s="671">
        <v>52717</v>
      </c>
      <c r="D1024" s="37">
        <v>412</v>
      </c>
      <c r="E1024" s="37">
        <v>0</v>
      </c>
      <c r="F1024" s="841">
        <v>0</v>
      </c>
      <c r="G1024" s="37">
        <v>12</v>
      </c>
      <c r="H1024" s="37">
        <v>4</v>
      </c>
      <c r="I1024" s="37">
        <v>1</v>
      </c>
      <c r="J1024" s="672">
        <f t="shared" si="152"/>
        <v>0.00781531574254984</v>
      </c>
      <c r="K1024" s="673">
        <f t="shared" si="153"/>
        <v>1.55572815533981</v>
      </c>
      <c r="L1024" s="809">
        <f t="shared" si="158"/>
        <v>12.1585067435552</v>
      </c>
      <c r="M1024" s="839">
        <f t="shared" si="151"/>
        <v>0</v>
      </c>
      <c r="N1024" s="39">
        <f t="shared" si="157"/>
        <v>0</v>
      </c>
      <c r="O1024" s="675">
        <f t="shared" si="154"/>
        <v>40.06</v>
      </c>
      <c r="P1024">
        <f t="shared" si="155"/>
        <v>16</v>
      </c>
      <c r="Q1024" s="842">
        <f t="shared" si="156"/>
        <v>0.0388349514563107</v>
      </c>
    </row>
    <row r="1025" spans="1:17">
      <c r="A1025" s="801">
        <v>45773</v>
      </c>
      <c r="B1025" s="670">
        <v>682.22</v>
      </c>
      <c r="C1025" s="671">
        <v>56737</v>
      </c>
      <c r="D1025" s="37">
        <v>441</v>
      </c>
      <c r="E1025" s="37">
        <v>1</v>
      </c>
      <c r="F1025" s="841">
        <v>16260</v>
      </c>
      <c r="G1025" s="37">
        <v>5</v>
      </c>
      <c r="H1025" s="37">
        <v>4</v>
      </c>
      <c r="I1025" s="37">
        <v>0</v>
      </c>
      <c r="J1025" s="672">
        <f t="shared" si="152"/>
        <v>0.00777270564182103</v>
      </c>
      <c r="K1025" s="673">
        <f t="shared" si="153"/>
        <v>1.54698412698413</v>
      </c>
      <c r="L1025" s="809">
        <f t="shared" si="158"/>
        <v>12.0242522516171</v>
      </c>
      <c r="M1025" s="839">
        <f t="shared" si="151"/>
        <v>23.8339538565272</v>
      </c>
      <c r="N1025" s="39">
        <f t="shared" si="157"/>
        <v>0.00226757369614512</v>
      </c>
      <c r="O1025" s="675">
        <f t="shared" si="154"/>
        <v>75.8022222222222</v>
      </c>
      <c r="P1025">
        <f t="shared" si="155"/>
        <v>9</v>
      </c>
      <c r="Q1025" s="842">
        <f t="shared" si="156"/>
        <v>0.0204081632653061</v>
      </c>
    </row>
    <row r="1026" spans="1:17">
      <c r="A1026" s="801">
        <v>45774</v>
      </c>
      <c r="B1026" s="670">
        <v>692.74</v>
      </c>
      <c r="C1026" s="671">
        <v>54426</v>
      </c>
      <c r="D1026" s="37">
        <v>405</v>
      </c>
      <c r="E1026" s="37">
        <v>0</v>
      </c>
      <c r="F1026" s="841">
        <v>0</v>
      </c>
      <c r="G1026" s="37">
        <v>15</v>
      </c>
      <c r="H1026" s="37">
        <v>2</v>
      </c>
      <c r="I1026" s="37">
        <v>1</v>
      </c>
      <c r="J1026" s="672">
        <f t="shared" si="152"/>
        <v>0.00744129643920185</v>
      </c>
      <c r="K1026" s="673">
        <f t="shared" si="153"/>
        <v>1.71046913580247</v>
      </c>
      <c r="L1026" s="809">
        <f t="shared" si="158"/>
        <v>12.7281078896116</v>
      </c>
      <c r="M1026" s="839">
        <f t="shared" si="151"/>
        <v>0</v>
      </c>
      <c r="N1026" s="39">
        <f t="shared" si="157"/>
        <v>0</v>
      </c>
      <c r="O1026" s="675">
        <f t="shared" si="154"/>
        <v>40.7494117647059</v>
      </c>
      <c r="P1026">
        <f t="shared" si="155"/>
        <v>17</v>
      </c>
      <c r="Q1026" s="842">
        <f t="shared" si="156"/>
        <v>0.0419753086419753</v>
      </c>
    </row>
    <row r="1027" spans="1:17">
      <c r="A1027" s="801">
        <v>45775</v>
      </c>
      <c r="B1027" s="670">
        <v>691.39</v>
      </c>
      <c r="C1027" s="671">
        <v>58698</v>
      </c>
      <c r="D1027" s="37">
        <v>410</v>
      </c>
      <c r="E1027" s="37">
        <v>1</v>
      </c>
      <c r="F1027" s="841">
        <v>7896</v>
      </c>
      <c r="G1027" s="37">
        <v>20</v>
      </c>
      <c r="H1027" s="37">
        <v>6</v>
      </c>
      <c r="I1027" s="37">
        <v>0</v>
      </c>
      <c r="J1027" s="672">
        <f t="shared" si="152"/>
        <v>0.00698490578895363</v>
      </c>
      <c r="K1027" s="673">
        <f t="shared" si="153"/>
        <v>1.68631707317073</v>
      </c>
      <c r="L1027" s="809">
        <f t="shared" si="158"/>
        <v>11.7787658864016</v>
      </c>
      <c r="M1027" s="839">
        <f t="shared" si="151"/>
        <v>11.4204718031791</v>
      </c>
      <c r="N1027" s="39">
        <f t="shared" si="157"/>
        <v>0.0024390243902439</v>
      </c>
      <c r="O1027" s="675">
        <f t="shared" si="154"/>
        <v>26.5919230769231</v>
      </c>
      <c r="P1027">
        <f t="shared" si="155"/>
        <v>26</v>
      </c>
      <c r="Q1027" s="842">
        <f t="shared" si="156"/>
        <v>0.0634146341463415</v>
      </c>
    </row>
    <row r="1028" spans="1:17">
      <c r="A1028" s="801">
        <v>45776</v>
      </c>
      <c r="B1028" s="670">
        <v>685.79</v>
      </c>
      <c r="C1028" s="671">
        <v>38270</v>
      </c>
      <c r="D1028" s="37">
        <v>374</v>
      </c>
      <c r="E1028" s="37">
        <v>1</v>
      </c>
      <c r="F1028" s="841">
        <v>21332</v>
      </c>
      <c r="G1028" s="37">
        <v>13</v>
      </c>
      <c r="H1028" s="37">
        <v>2</v>
      </c>
      <c r="I1028" s="37">
        <v>1</v>
      </c>
      <c r="J1028" s="672">
        <f t="shared" si="152"/>
        <v>0.00977266788607264</v>
      </c>
      <c r="K1028" s="673">
        <f t="shared" si="153"/>
        <v>1.83366310160428</v>
      </c>
      <c r="L1028" s="809">
        <f t="shared" si="158"/>
        <v>17.9197805069245</v>
      </c>
      <c r="M1028" s="839">
        <f t="shared" si="151"/>
        <v>31.1057320754167</v>
      </c>
      <c r="N1028" s="39">
        <f t="shared" si="157"/>
        <v>0.00267379679144385</v>
      </c>
      <c r="O1028" s="675">
        <f t="shared" si="154"/>
        <v>45.7193333333333</v>
      </c>
      <c r="P1028">
        <f t="shared" si="155"/>
        <v>15</v>
      </c>
      <c r="Q1028" s="842">
        <f t="shared" si="156"/>
        <v>0.0401069518716578</v>
      </c>
    </row>
    <row r="1029" spans="1:17">
      <c r="A1029" s="801">
        <v>45777</v>
      </c>
      <c r="B1029" s="670">
        <v>644.72</v>
      </c>
      <c r="C1029" s="671">
        <v>45811</v>
      </c>
      <c r="D1029" s="37">
        <v>404</v>
      </c>
      <c r="E1029" s="37">
        <v>0</v>
      </c>
      <c r="F1029" s="841">
        <v>0</v>
      </c>
      <c r="G1029" s="37">
        <v>4</v>
      </c>
      <c r="H1029" s="37">
        <v>12</v>
      </c>
      <c r="I1029" s="37">
        <v>3</v>
      </c>
      <c r="J1029" s="672">
        <f t="shared" si="152"/>
        <v>0.00881884263604811</v>
      </c>
      <c r="K1029" s="673">
        <f t="shared" si="153"/>
        <v>1.59584158415842</v>
      </c>
      <c r="L1029" s="809">
        <f t="shared" si="158"/>
        <v>14.0734758027548</v>
      </c>
      <c r="M1029" s="839">
        <f t="shared" si="151"/>
        <v>0</v>
      </c>
      <c r="N1029" s="39">
        <f t="shared" si="157"/>
        <v>0</v>
      </c>
      <c r="O1029" s="675">
        <f t="shared" si="154"/>
        <v>40.295</v>
      </c>
      <c r="P1029">
        <f t="shared" si="155"/>
        <v>16</v>
      </c>
      <c r="Q1029" s="842">
        <f t="shared" si="156"/>
        <v>0.0396039603960396</v>
      </c>
    </row>
    <row r="1030" spans="1:17">
      <c r="A1030" s="801">
        <v>45778</v>
      </c>
      <c r="B1030" s="670">
        <v>685.17</v>
      </c>
      <c r="C1030" s="671">
        <v>84676</v>
      </c>
      <c r="D1030" s="37">
        <v>637</v>
      </c>
      <c r="E1030" s="37">
        <v>0</v>
      </c>
      <c r="F1030" s="841">
        <v>0</v>
      </c>
      <c r="G1030" s="37">
        <v>15</v>
      </c>
      <c r="H1030" s="37">
        <v>8</v>
      </c>
      <c r="I1030" s="37">
        <v>1</v>
      </c>
      <c r="J1030" s="672">
        <f t="shared" si="152"/>
        <v>0.0075227927630025</v>
      </c>
      <c r="K1030" s="673">
        <f t="shared" si="153"/>
        <v>1.07562009419152</v>
      </c>
      <c r="L1030" s="809">
        <f t="shared" si="158"/>
        <v>8.09166706032406</v>
      </c>
      <c r="M1030" s="839">
        <f t="shared" si="151"/>
        <v>0</v>
      </c>
      <c r="N1030" s="39">
        <f t="shared" si="157"/>
        <v>0</v>
      </c>
      <c r="O1030" s="675">
        <f t="shared" si="154"/>
        <v>29.79</v>
      </c>
      <c r="P1030">
        <f t="shared" si="155"/>
        <v>23</v>
      </c>
      <c r="Q1030" s="842">
        <f t="shared" si="156"/>
        <v>0.0361067503924647</v>
      </c>
    </row>
    <row r="1031" spans="1:17">
      <c r="A1031" s="801">
        <v>45779</v>
      </c>
      <c r="B1031" s="670">
        <v>694.84</v>
      </c>
      <c r="C1031" s="671">
        <v>66520</v>
      </c>
      <c r="D1031" s="37">
        <v>511</v>
      </c>
      <c r="E1031" s="37">
        <v>5</v>
      </c>
      <c r="F1031" s="841">
        <v>105698</v>
      </c>
      <c r="G1031" s="37">
        <v>21</v>
      </c>
      <c r="H1031" s="37">
        <v>6</v>
      </c>
      <c r="I1031" s="37">
        <v>0</v>
      </c>
      <c r="J1031" s="672">
        <f t="shared" si="152"/>
        <v>0.00768190018039687</v>
      </c>
      <c r="K1031" s="673">
        <f t="shared" si="153"/>
        <v>1.35976516634051</v>
      </c>
      <c r="L1031" s="809">
        <f t="shared" si="158"/>
        <v>10.4455802766085</v>
      </c>
      <c r="M1031" s="839">
        <f t="shared" si="151"/>
        <v>152.118473317598</v>
      </c>
      <c r="N1031" s="39">
        <f t="shared" si="157"/>
        <v>0.00978473581213307</v>
      </c>
      <c r="O1031" s="675">
        <f t="shared" si="154"/>
        <v>25.7348148148148</v>
      </c>
      <c r="P1031">
        <f t="shared" si="155"/>
        <v>27</v>
      </c>
      <c r="Q1031" s="842">
        <f t="shared" si="156"/>
        <v>0.0528375733855186</v>
      </c>
    </row>
    <row r="1032" spans="1:17">
      <c r="A1032" s="801">
        <v>45780</v>
      </c>
      <c r="B1032" s="670">
        <v>695.25</v>
      </c>
      <c r="C1032" s="671">
        <v>83438</v>
      </c>
      <c r="D1032" s="37">
        <v>639</v>
      </c>
      <c r="E1032" s="37">
        <v>1</v>
      </c>
      <c r="F1032" s="841">
        <v>8172</v>
      </c>
      <c r="G1032" s="37">
        <v>19</v>
      </c>
      <c r="H1032" s="37">
        <v>2</v>
      </c>
      <c r="I1032" s="37">
        <v>0</v>
      </c>
      <c r="J1032" s="672">
        <f t="shared" si="152"/>
        <v>0.00765838107337184</v>
      </c>
      <c r="K1032" s="673">
        <f t="shared" si="153"/>
        <v>1.08802816901408</v>
      </c>
      <c r="L1032" s="809">
        <f t="shared" si="158"/>
        <v>8.33253433687289</v>
      </c>
      <c r="M1032" s="839">
        <f t="shared" ref="M1032:M1039" si="159">F1032/B1032</f>
        <v>11.7540453074434</v>
      </c>
      <c r="N1032" s="39">
        <f t="shared" si="157"/>
        <v>0.00156494522691706</v>
      </c>
      <c r="O1032" s="675">
        <f t="shared" si="154"/>
        <v>33.1071428571429</v>
      </c>
      <c r="P1032">
        <f t="shared" si="155"/>
        <v>21</v>
      </c>
      <c r="Q1032" s="842">
        <f t="shared" si="156"/>
        <v>0.0328638497652582</v>
      </c>
    </row>
    <row r="1033" spans="1:17">
      <c r="A1033" s="801">
        <v>45781</v>
      </c>
      <c r="B1033" s="670">
        <v>685.91</v>
      </c>
      <c r="C1033" s="671">
        <v>48873</v>
      </c>
      <c r="D1033" s="37">
        <v>475</v>
      </c>
      <c r="E1033" s="37">
        <v>2</v>
      </c>
      <c r="F1033" s="41">
        <v>20900</v>
      </c>
      <c r="G1033" s="37">
        <v>32</v>
      </c>
      <c r="H1033" s="37">
        <v>7</v>
      </c>
      <c r="I1033" s="37">
        <v>2</v>
      </c>
      <c r="J1033" s="672">
        <f t="shared" si="152"/>
        <v>0.00971906778794017</v>
      </c>
      <c r="K1033" s="673">
        <f t="shared" si="153"/>
        <v>1.44402105263158</v>
      </c>
      <c r="L1033" s="809">
        <f t="shared" si="158"/>
        <v>14.034538497739</v>
      </c>
      <c r="M1033" s="839">
        <f t="shared" si="159"/>
        <v>30.4704698867198</v>
      </c>
      <c r="N1033" s="39">
        <f t="shared" si="157"/>
        <v>0.00421052631578947</v>
      </c>
      <c r="O1033" s="675">
        <f t="shared" si="154"/>
        <v>17.5874358974359</v>
      </c>
      <c r="P1033">
        <f t="shared" si="155"/>
        <v>39</v>
      </c>
      <c r="Q1033" s="842">
        <f t="shared" si="156"/>
        <v>0.0821052631578947</v>
      </c>
    </row>
    <row r="1034" spans="1:17">
      <c r="A1034" s="801">
        <v>45782</v>
      </c>
      <c r="B1034" s="670">
        <v>693.71</v>
      </c>
      <c r="C1034" s="671">
        <v>66530</v>
      </c>
      <c r="D1034" s="37">
        <v>523</v>
      </c>
      <c r="E1034" s="37">
        <v>0</v>
      </c>
      <c r="F1034" s="841">
        <v>0</v>
      </c>
      <c r="G1034" s="37">
        <v>11</v>
      </c>
      <c r="H1034" s="37">
        <v>3</v>
      </c>
      <c r="I1034" s="37">
        <v>1</v>
      </c>
      <c r="J1034" s="672">
        <f t="shared" si="152"/>
        <v>0.00786111528633699</v>
      </c>
      <c r="K1034" s="673">
        <f t="shared" si="153"/>
        <v>1.32640535372849</v>
      </c>
      <c r="L1034" s="809">
        <f t="shared" si="158"/>
        <v>10.4270254020743</v>
      </c>
      <c r="M1034" s="839">
        <f t="shared" si="159"/>
        <v>0</v>
      </c>
      <c r="N1034" s="39">
        <f t="shared" si="157"/>
        <v>0</v>
      </c>
      <c r="O1034" s="675">
        <f t="shared" si="154"/>
        <v>49.5507142857143</v>
      </c>
      <c r="P1034">
        <f t="shared" si="155"/>
        <v>14</v>
      </c>
      <c r="Q1034" s="842">
        <f t="shared" si="156"/>
        <v>0.0267686424474187</v>
      </c>
    </row>
    <row r="1035" spans="1:17">
      <c r="A1035" s="801">
        <v>45783</v>
      </c>
      <c r="B1035" s="670">
        <v>881.15</v>
      </c>
      <c r="C1035" s="671">
        <v>50760</v>
      </c>
      <c r="D1035" s="37">
        <v>567</v>
      </c>
      <c r="E1035" s="37">
        <v>2</v>
      </c>
      <c r="F1035" s="41">
        <v>18622</v>
      </c>
      <c r="G1035" s="37">
        <v>19</v>
      </c>
      <c r="H1035" s="37">
        <v>7</v>
      </c>
      <c r="I1035" s="37">
        <v>4</v>
      </c>
      <c r="J1035" s="672">
        <f t="shared" si="152"/>
        <v>0.0111702127659574</v>
      </c>
      <c r="K1035" s="673">
        <f t="shared" si="153"/>
        <v>1.55405643738977</v>
      </c>
      <c r="L1035" s="809">
        <f t="shared" si="158"/>
        <v>17.3591410559496</v>
      </c>
      <c r="M1035" s="839">
        <f t="shared" si="159"/>
        <v>21.1337456732679</v>
      </c>
      <c r="N1035" s="39">
        <f t="shared" si="157"/>
        <v>0.00352733686067019</v>
      </c>
      <c r="O1035" s="675">
        <f t="shared" si="154"/>
        <v>33.8903846153846</v>
      </c>
      <c r="P1035">
        <f t="shared" si="155"/>
        <v>26</v>
      </c>
      <c r="Q1035" s="842">
        <f t="shared" si="156"/>
        <v>0.0458553791887125</v>
      </c>
    </row>
    <row r="1036" spans="1:17">
      <c r="A1036" s="801">
        <v>45784</v>
      </c>
      <c r="B1036" s="670">
        <v>887.46</v>
      </c>
      <c r="C1036" s="671">
        <v>46463</v>
      </c>
      <c r="D1036" s="37">
        <v>583</v>
      </c>
      <c r="E1036" s="37">
        <v>2</v>
      </c>
      <c r="F1036" s="841">
        <v>21067</v>
      </c>
      <c r="G1036" s="37">
        <v>31</v>
      </c>
      <c r="H1036" s="37">
        <v>2</v>
      </c>
      <c r="I1036" s="37">
        <v>1</v>
      </c>
      <c r="J1036" s="672">
        <f t="shared" ref="J1036:J1099" si="160">D1036/C1036</f>
        <v>0.0125476185351785</v>
      </c>
      <c r="K1036" s="673">
        <f t="shared" ref="K1036:K1099" si="161">B1036/D1036</f>
        <v>1.52222984562607</v>
      </c>
      <c r="L1036" s="809">
        <f t="shared" si="158"/>
        <v>19.1003594257797</v>
      </c>
      <c r="M1036" s="839">
        <f t="shared" si="159"/>
        <v>23.7385346945214</v>
      </c>
      <c r="N1036" s="39">
        <f t="shared" si="157"/>
        <v>0.00343053173241852</v>
      </c>
      <c r="O1036" s="675">
        <f t="shared" ref="O1036:O1099" si="162">B1036/(G1036+H1036)</f>
        <v>26.8927272727273</v>
      </c>
      <c r="P1036">
        <f t="shared" ref="P1036:P1099" si="163">G1036+H1036</f>
        <v>33</v>
      </c>
      <c r="Q1036" s="842">
        <f t="shared" ref="Q1036:Q1099" si="164">P1036/D1036</f>
        <v>0.0566037735849057</v>
      </c>
    </row>
    <row r="1037" spans="1:17">
      <c r="A1037" s="801">
        <v>45785</v>
      </c>
      <c r="B1037" s="670">
        <v>880.4</v>
      </c>
      <c r="C1037" s="671">
        <v>53186</v>
      </c>
      <c r="D1037" s="37">
        <v>595</v>
      </c>
      <c r="E1037" s="37">
        <v>0</v>
      </c>
      <c r="F1037" s="841">
        <v>0</v>
      </c>
      <c r="G1037" s="37">
        <v>44</v>
      </c>
      <c r="H1037" s="37">
        <v>6</v>
      </c>
      <c r="I1037" s="37">
        <v>1</v>
      </c>
      <c r="J1037" s="672">
        <f t="shared" si="160"/>
        <v>0.0111871545143459</v>
      </c>
      <c r="K1037" s="673">
        <f t="shared" si="161"/>
        <v>1.47966386554622</v>
      </c>
      <c r="L1037" s="809">
        <f t="shared" si="158"/>
        <v>16.5532282931599</v>
      </c>
      <c r="M1037" s="839">
        <f t="shared" si="159"/>
        <v>0</v>
      </c>
      <c r="N1037" s="39">
        <f t="shared" si="157"/>
        <v>0</v>
      </c>
      <c r="O1037" s="675">
        <f t="shared" si="162"/>
        <v>17.608</v>
      </c>
      <c r="P1037">
        <f t="shared" si="163"/>
        <v>50</v>
      </c>
      <c r="Q1037" s="842">
        <f t="shared" si="164"/>
        <v>0.0840336134453782</v>
      </c>
    </row>
    <row r="1038" spans="1:17">
      <c r="A1038" s="801">
        <v>45786</v>
      </c>
      <c r="B1038" s="670">
        <v>834.84</v>
      </c>
      <c r="C1038" s="671">
        <v>45148</v>
      </c>
      <c r="D1038" s="37">
        <v>496</v>
      </c>
      <c r="E1038" s="37">
        <v>1</v>
      </c>
      <c r="F1038" s="841">
        <v>11596</v>
      </c>
      <c r="G1038" s="37">
        <v>28</v>
      </c>
      <c r="H1038" s="37">
        <v>3</v>
      </c>
      <c r="I1038" s="37">
        <v>1</v>
      </c>
      <c r="J1038" s="672">
        <f t="shared" si="160"/>
        <v>0.0109860901922566</v>
      </c>
      <c r="K1038" s="673">
        <f t="shared" si="161"/>
        <v>1.68314516129032</v>
      </c>
      <c r="L1038" s="809">
        <f t="shared" si="158"/>
        <v>18.4911845485957</v>
      </c>
      <c r="M1038" s="839">
        <f t="shared" si="159"/>
        <v>13.8900867232044</v>
      </c>
      <c r="N1038" s="39">
        <f t="shared" si="157"/>
        <v>0.00201612903225806</v>
      </c>
      <c r="O1038" s="675">
        <f t="shared" si="162"/>
        <v>26.9303225806452</v>
      </c>
      <c r="P1038">
        <f t="shared" si="163"/>
        <v>31</v>
      </c>
      <c r="Q1038" s="842">
        <f t="shared" si="164"/>
        <v>0.0625</v>
      </c>
    </row>
    <row r="1039" spans="1:17">
      <c r="A1039" s="801">
        <v>45787</v>
      </c>
      <c r="B1039" s="670">
        <v>878.01</v>
      </c>
      <c r="C1039" s="671">
        <v>33978</v>
      </c>
      <c r="D1039" s="37">
        <v>479</v>
      </c>
      <c r="E1039" s="37">
        <v>4</v>
      </c>
      <c r="F1039" s="41">
        <v>45024</v>
      </c>
      <c r="G1039" s="37">
        <v>31</v>
      </c>
      <c r="H1039" s="37">
        <v>4</v>
      </c>
      <c r="I1039" s="37">
        <v>0</v>
      </c>
      <c r="J1039" s="672">
        <f t="shared" si="160"/>
        <v>0.0140973571134263</v>
      </c>
      <c r="K1039" s="673">
        <f t="shared" si="161"/>
        <v>1.83300626304802</v>
      </c>
      <c r="L1039" s="809">
        <f t="shared" si="158"/>
        <v>25.840543881335</v>
      </c>
      <c r="M1039" s="839">
        <f t="shared" si="159"/>
        <v>51.2795981822531</v>
      </c>
      <c r="N1039" s="39">
        <f t="shared" ref="N1039:N1102" si="165">E1039/D1039</f>
        <v>0.00835073068893528</v>
      </c>
      <c r="O1039" s="675">
        <f t="shared" si="162"/>
        <v>25.086</v>
      </c>
      <c r="P1039">
        <f t="shared" si="163"/>
        <v>35</v>
      </c>
      <c r="Q1039" s="842">
        <f t="shared" si="164"/>
        <v>0.0730688935281837</v>
      </c>
    </row>
    <row r="1040" spans="1:17">
      <c r="A1040" s="801">
        <v>45788</v>
      </c>
      <c r="B1040" s="670">
        <v>879.56</v>
      </c>
      <c r="C1040" s="671">
        <v>31481</v>
      </c>
      <c r="D1040" s="37">
        <v>451</v>
      </c>
      <c r="E1040" s="37">
        <v>6</v>
      </c>
      <c r="F1040" s="841">
        <v>55940</v>
      </c>
      <c r="G1040" s="37">
        <v>20</v>
      </c>
      <c r="H1040" s="37">
        <v>1</v>
      </c>
      <c r="I1040" s="37">
        <v>2</v>
      </c>
      <c r="J1040" s="672">
        <f t="shared" si="160"/>
        <v>0.0143261014580223</v>
      </c>
      <c r="K1040" s="673">
        <f t="shared" si="161"/>
        <v>1.95024390243902</v>
      </c>
      <c r="L1040" s="809">
        <f t="shared" si="158"/>
        <v>27.9393920142308</v>
      </c>
      <c r="M1040" s="839">
        <f t="shared" ref="M1040:M1053" si="166">F1040/B1040</f>
        <v>63.5999818090864</v>
      </c>
      <c r="N1040" s="39">
        <f t="shared" si="165"/>
        <v>0.0133037694013304</v>
      </c>
      <c r="O1040" s="675">
        <f t="shared" si="162"/>
        <v>41.8838095238095</v>
      </c>
      <c r="P1040">
        <f t="shared" si="163"/>
        <v>21</v>
      </c>
      <c r="Q1040" s="842">
        <f t="shared" si="164"/>
        <v>0.0465631929046563</v>
      </c>
    </row>
    <row r="1041" spans="1:17">
      <c r="A1041" s="801">
        <v>45789</v>
      </c>
      <c r="B1041" s="670">
        <v>896.97</v>
      </c>
      <c r="C1041" s="671">
        <v>29057</v>
      </c>
      <c r="D1041" s="37">
        <v>360</v>
      </c>
      <c r="E1041" s="37">
        <v>2</v>
      </c>
      <c r="F1041" s="41">
        <v>17572</v>
      </c>
      <c r="G1041" s="37">
        <v>25</v>
      </c>
      <c r="H1041" s="37">
        <v>3</v>
      </c>
      <c r="I1041" s="37">
        <v>5</v>
      </c>
      <c r="J1041" s="672">
        <f t="shared" si="160"/>
        <v>0.0123894414426816</v>
      </c>
      <c r="K1041" s="673">
        <f t="shared" si="161"/>
        <v>2.49158333333333</v>
      </c>
      <c r="L1041" s="809">
        <f t="shared" si="158"/>
        <v>30.8693258078948</v>
      </c>
      <c r="M1041" s="839">
        <f t="shared" si="166"/>
        <v>19.5903987870274</v>
      </c>
      <c r="N1041" s="39">
        <f t="shared" si="165"/>
        <v>0.00555555555555556</v>
      </c>
      <c r="O1041" s="675">
        <f t="shared" si="162"/>
        <v>32.0346428571429</v>
      </c>
      <c r="P1041">
        <f t="shared" si="163"/>
        <v>28</v>
      </c>
      <c r="Q1041" s="842">
        <f t="shared" si="164"/>
        <v>0.0777777777777778</v>
      </c>
    </row>
    <row r="1042" spans="1:17">
      <c r="A1042" s="801">
        <v>45790</v>
      </c>
      <c r="B1042" s="670">
        <v>516.29</v>
      </c>
      <c r="C1042" s="671">
        <v>19113</v>
      </c>
      <c r="D1042" s="37">
        <v>225</v>
      </c>
      <c r="E1042" s="37">
        <v>4</v>
      </c>
      <c r="F1042" s="41">
        <v>49087</v>
      </c>
      <c r="G1042" s="37">
        <v>9</v>
      </c>
      <c r="H1042" s="37">
        <v>0</v>
      </c>
      <c r="I1042" s="37">
        <v>0</v>
      </c>
      <c r="J1042" s="672">
        <f t="shared" si="160"/>
        <v>0.0117720922932036</v>
      </c>
      <c r="K1042" s="673">
        <f t="shared" si="161"/>
        <v>2.29462222222222</v>
      </c>
      <c r="L1042" s="809">
        <f t="shared" si="158"/>
        <v>27.0125045780359</v>
      </c>
      <c r="M1042" s="839">
        <f t="shared" si="166"/>
        <v>95.0764105444615</v>
      </c>
      <c r="N1042" s="39">
        <f t="shared" si="165"/>
        <v>0.0177777777777778</v>
      </c>
      <c r="O1042" s="675">
        <f t="shared" si="162"/>
        <v>57.3655555555556</v>
      </c>
      <c r="P1042">
        <f t="shared" si="163"/>
        <v>9</v>
      </c>
      <c r="Q1042" s="842">
        <f t="shared" si="164"/>
        <v>0.04</v>
      </c>
    </row>
    <row r="1043" spans="1:17">
      <c r="A1043" s="801">
        <v>45791</v>
      </c>
      <c r="B1043" s="670">
        <v>1195.73</v>
      </c>
      <c r="C1043" s="671">
        <v>21253</v>
      </c>
      <c r="D1043" s="37">
        <v>424</v>
      </c>
      <c r="E1043" s="37">
        <v>6</v>
      </c>
      <c r="F1043" s="841">
        <v>61960</v>
      </c>
      <c r="G1043" s="37">
        <v>21</v>
      </c>
      <c r="H1043" s="37">
        <v>2</v>
      </c>
      <c r="I1043" s="37">
        <v>1</v>
      </c>
      <c r="J1043" s="672">
        <f t="shared" si="160"/>
        <v>0.0199501246882793</v>
      </c>
      <c r="K1043" s="673">
        <f t="shared" si="161"/>
        <v>2.8201179245283</v>
      </c>
      <c r="L1043" s="809">
        <f t="shared" si="158"/>
        <v>56.2617042299911</v>
      </c>
      <c r="M1043" s="839">
        <f t="shared" si="166"/>
        <v>51.8177180467162</v>
      </c>
      <c r="N1043" s="39">
        <f t="shared" si="165"/>
        <v>0.0141509433962264</v>
      </c>
      <c r="O1043" s="675">
        <f t="shared" si="162"/>
        <v>51.9882608695652</v>
      </c>
      <c r="P1043">
        <f t="shared" si="163"/>
        <v>23</v>
      </c>
      <c r="Q1043" s="842">
        <f t="shared" si="164"/>
        <v>0.0542452830188679</v>
      </c>
    </row>
    <row r="1044" spans="1:17">
      <c r="A1044" s="801">
        <v>45792</v>
      </c>
      <c r="B1044" s="670">
        <v>2062.19</v>
      </c>
      <c r="C1044" s="671">
        <v>52389</v>
      </c>
      <c r="D1044" s="37">
        <v>923</v>
      </c>
      <c r="E1044" s="37">
        <v>14</v>
      </c>
      <c r="F1044" s="41">
        <v>156096</v>
      </c>
      <c r="G1044" s="37">
        <v>57</v>
      </c>
      <c r="H1044" s="37">
        <v>7</v>
      </c>
      <c r="I1044" s="37">
        <v>3</v>
      </c>
      <c r="J1044" s="672">
        <f t="shared" si="160"/>
        <v>0.0176182022943748</v>
      </c>
      <c r="K1044" s="673">
        <f t="shared" si="161"/>
        <v>2.23422535211268</v>
      </c>
      <c r="L1044" s="809">
        <f t="shared" si="158"/>
        <v>39.3630342247418</v>
      </c>
      <c r="M1044" s="839">
        <f t="shared" si="166"/>
        <v>75.6942861714973</v>
      </c>
      <c r="N1044" s="39">
        <f t="shared" si="165"/>
        <v>0.0151679306608884</v>
      </c>
      <c r="O1044" s="675">
        <f t="shared" si="162"/>
        <v>32.22171875</v>
      </c>
      <c r="P1044">
        <f t="shared" si="163"/>
        <v>64</v>
      </c>
      <c r="Q1044" s="842">
        <f t="shared" si="164"/>
        <v>0.0693391115926327</v>
      </c>
    </row>
    <row r="1045" spans="1:17">
      <c r="A1045" s="801">
        <v>45793</v>
      </c>
      <c r="B1045" s="670">
        <v>4941.67</v>
      </c>
      <c r="C1045" s="671">
        <v>115602</v>
      </c>
      <c r="D1045" s="37">
        <v>1616</v>
      </c>
      <c r="E1045" s="37">
        <v>7</v>
      </c>
      <c r="F1045" s="41">
        <v>78171</v>
      </c>
      <c r="G1045" s="37">
        <v>57</v>
      </c>
      <c r="H1045" s="37">
        <v>12</v>
      </c>
      <c r="I1045" s="37">
        <v>4</v>
      </c>
      <c r="J1045" s="672">
        <f t="shared" si="160"/>
        <v>0.0139789969031678</v>
      </c>
      <c r="K1045" s="673">
        <f t="shared" si="161"/>
        <v>3.05796410891089</v>
      </c>
      <c r="L1045" s="809">
        <f t="shared" si="158"/>
        <v>42.7472708084635</v>
      </c>
      <c r="M1045" s="839">
        <f t="shared" si="166"/>
        <v>15.8187414376112</v>
      </c>
      <c r="N1045" s="39">
        <f t="shared" si="165"/>
        <v>0.00433168316831683</v>
      </c>
      <c r="O1045" s="675">
        <f t="shared" si="162"/>
        <v>71.6184057971014</v>
      </c>
      <c r="P1045">
        <f t="shared" si="163"/>
        <v>69</v>
      </c>
      <c r="Q1045" s="842">
        <f t="shared" si="164"/>
        <v>0.0426980198019802</v>
      </c>
    </row>
    <row r="1046" spans="1:17">
      <c r="A1046" s="801">
        <v>45794</v>
      </c>
      <c r="B1046" s="670">
        <v>1935.64</v>
      </c>
      <c r="C1046" s="671">
        <v>71295</v>
      </c>
      <c r="D1046" s="37">
        <v>895</v>
      </c>
      <c r="E1046" s="37">
        <v>8</v>
      </c>
      <c r="F1046" s="41">
        <v>99935</v>
      </c>
      <c r="G1046" s="37">
        <v>68</v>
      </c>
      <c r="H1046" s="37">
        <v>9</v>
      </c>
      <c r="I1046" s="37">
        <v>2</v>
      </c>
      <c r="J1046" s="672">
        <f t="shared" si="160"/>
        <v>0.0125534749982467</v>
      </c>
      <c r="K1046" s="673">
        <f t="shared" si="161"/>
        <v>2.16272625698324</v>
      </c>
      <c r="L1046" s="809">
        <f t="shared" si="158"/>
        <v>27.1497299950908</v>
      </c>
      <c r="M1046" s="839">
        <f t="shared" si="166"/>
        <v>51.6289186005662</v>
      </c>
      <c r="N1046" s="39">
        <f t="shared" si="165"/>
        <v>0.00893854748603352</v>
      </c>
      <c r="O1046" s="675">
        <f t="shared" si="162"/>
        <v>25.1381818181818</v>
      </c>
      <c r="P1046">
        <f t="shared" si="163"/>
        <v>77</v>
      </c>
      <c r="Q1046" s="842">
        <f t="shared" si="164"/>
        <v>0.0860335195530726</v>
      </c>
    </row>
    <row r="1047" spans="1:17">
      <c r="A1047" s="801">
        <v>45795</v>
      </c>
      <c r="B1047" s="670">
        <v>1931.7</v>
      </c>
      <c r="C1047" s="671">
        <v>93812</v>
      </c>
      <c r="D1047" s="37">
        <v>1158</v>
      </c>
      <c r="E1047" s="37">
        <v>4</v>
      </c>
      <c r="F1047" s="41">
        <v>56465</v>
      </c>
      <c r="G1047" s="37">
        <v>39</v>
      </c>
      <c r="H1047" s="37">
        <v>12</v>
      </c>
      <c r="I1047" s="37">
        <v>1</v>
      </c>
      <c r="J1047" s="672">
        <f t="shared" si="160"/>
        <v>0.012343836609389</v>
      </c>
      <c r="K1047" s="673">
        <f t="shared" si="161"/>
        <v>1.66813471502591</v>
      </c>
      <c r="L1047" s="809">
        <f t="shared" si="158"/>
        <v>20.5911823647295</v>
      </c>
      <c r="M1047" s="839">
        <f t="shared" si="166"/>
        <v>29.2307294093286</v>
      </c>
      <c r="N1047" s="39">
        <f t="shared" si="165"/>
        <v>0.00345423143350604</v>
      </c>
      <c r="O1047" s="675">
        <f t="shared" si="162"/>
        <v>37.8764705882353</v>
      </c>
      <c r="P1047">
        <f t="shared" si="163"/>
        <v>51</v>
      </c>
      <c r="Q1047" s="842">
        <f t="shared" si="164"/>
        <v>0.0440414507772021</v>
      </c>
    </row>
    <row r="1048" spans="1:17">
      <c r="A1048" s="801">
        <v>45796</v>
      </c>
      <c r="B1048" s="670">
        <v>1840.19</v>
      </c>
      <c r="C1048" s="671">
        <v>86047</v>
      </c>
      <c r="D1048" s="37">
        <v>1047</v>
      </c>
      <c r="E1048" s="37">
        <v>2</v>
      </c>
      <c r="F1048" s="41">
        <v>32826</v>
      </c>
      <c r="G1048" s="37">
        <v>45</v>
      </c>
      <c r="H1048" s="37">
        <v>6</v>
      </c>
      <c r="I1048" s="37">
        <v>4</v>
      </c>
      <c r="J1048" s="672">
        <f t="shared" si="160"/>
        <v>0.0121677687775286</v>
      </c>
      <c r="K1048" s="673">
        <f t="shared" si="161"/>
        <v>1.75758357211079</v>
      </c>
      <c r="L1048" s="809">
        <f t="shared" si="158"/>
        <v>21.3858705126268</v>
      </c>
      <c r="M1048" s="839">
        <f t="shared" si="166"/>
        <v>17.8383753851504</v>
      </c>
      <c r="N1048" s="39">
        <f t="shared" si="165"/>
        <v>0.00191021967526266</v>
      </c>
      <c r="O1048" s="675">
        <f t="shared" si="162"/>
        <v>36.0821568627451</v>
      </c>
      <c r="P1048">
        <f t="shared" si="163"/>
        <v>51</v>
      </c>
      <c r="Q1048" s="842">
        <f t="shared" si="164"/>
        <v>0.0487106017191977</v>
      </c>
    </row>
    <row r="1049" spans="1:17">
      <c r="A1049" s="801">
        <v>45797</v>
      </c>
      <c r="B1049" s="670">
        <v>1702.23</v>
      </c>
      <c r="C1049" s="671">
        <v>68904</v>
      </c>
      <c r="D1049" s="37">
        <v>1004</v>
      </c>
      <c r="E1049" s="37">
        <v>7</v>
      </c>
      <c r="F1049" s="41">
        <v>93799</v>
      </c>
      <c r="G1049" s="37">
        <v>60</v>
      </c>
      <c r="H1049" s="37">
        <v>8</v>
      </c>
      <c r="I1049" s="37">
        <v>0</v>
      </c>
      <c r="J1049" s="672">
        <f t="shared" si="160"/>
        <v>0.014570997329618</v>
      </c>
      <c r="K1049" s="673">
        <f t="shared" si="161"/>
        <v>1.69544820717131</v>
      </c>
      <c r="L1049" s="809">
        <f t="shared" si="158"/>
        <v>24.7043712991989</v>
      </c>
      <c r="M1049" s="839">
        <f t="shared" si="166"/>
        <v>55.1035993960863</v>
      </c>
      <c r="N1049" s="39">
        <f t="shared" si="165"/>
        <v>0.00697211155378486</v>
      </c>
      <c r="O1049" s="675">
        <f t="shared" si="162"/>
        <v>25.0327941176471</v>
      </c>
      <c r="P1049">
        <f t="shared" si="163"/>
        <v>68</v>
      </c>
      <c r="Q1049" s="842">
        <f t="shared" si="164"/>
        <v>0.0677290836653386</v>
      </c>
    </row>
    <row r="1050" spans="1:17">
      <c r="A1050" s="801">
        <v>45798</v>
      </c>
      <c r="B1050" s="670">
        <v>1704.23</v>
      </c>
      <c r="C1050" s="671">
        <v>88386</v>
      </c>
      <c r="D1050" s="37">
        <v>1071</v>
      </c>
      <c r="E1050" s="37">
        <v>8</v>
      </c>
      <c r="F1050" s="41">
        <v>94271.64</v>
      </c>
      <c r="G1050" s="37">
        <v>74</v>
      </c>
      <c r="H1050" s="37">
        <v>11</v>
      </c>
      <c r="I1050" s="37">
        <v>1</v>
      </c>
      <c r="J1050" s="672">
        <f t="shared" si="160"/>
        <v>0.0121173036453737</v>
      </c>
      <c r="K1050" s="673">
        <f t="shared" si="161"/>
        <v>1.59125116713352</v>
      </c>
      <c r="L1050" s="809">
        <f t="shared" si="158"/>
        <v>19.2816735682122</v>
      </c>
      <c r="M1050" s="839">
        <f t="shared" si="166"/>
        <v>55.3162659969605</v>
      </c>
      <c r="N1050" s="39">
        <f t="shared" si="165"/>
        <v>0.00746965452847806</v>
      </c>
      <c r="O1050" s="675">
        <f t="shared" si="162"/>
        <v>20.0497647058824</v>
      </c>
      <c r="P1050">
        <f t="shared" si="163"/>
        <v>85</v>
      </c>
      <c r="Q1050" s="842">
        <f t="shared" si="164"/>
        <v>0.0793650793650794</v>
      </c>
    </row>
    <row r="1051" spans="1:17">
      <c r="A1051" s="801">
        <v>45799</v>
      </c>
      <c r="B1051" s="670">
        <v>1724.8</v>
      </c>
      <c r="C1051" s="671">
        <v>101552</v>
      </c>
      <c r="D1051" s="37">
        <v>1160</v>
      </c>
      <c r="E1051" s="37">
        <v>4</v>
      </c>
      <c r="F1051" s="41">
        <v>43101</v>
      </c>
      <c r="G1051" s="37">
        <v>55</v>
      </c>
      <c r="H1051" s="37">
        <v>21</v>
      </c>
      <c r="I1051" s="37">
        <v>1</v>
      </c>
      <c r="J1051" s="672">
        <f t="shared" si="160"/>
        <v>0.0114227193949898</v>
      </c>
      <c r="K1051" s="673">
        <f t="shared" si="161"/>
        <v>1.48689655172414</v>
      </c>
      <c r="L1051" s="809">
        <f t="shared" si="158"/>
        <v>16.9844020797227</v>
      </c>
      <c r="M1051" s="839">
        <f t="shared" si="166"/>
        <v>24.9889842300557</v>
      </c>
      <c r="N1051" s="39">
        <f t="shared" si="165"/>
        <v>0.00344827586206897</v>
      </c>
      <c r="O1051" s="675">
        <f t="shared" si="162"/>
        <v>22.6947368421053</v>
      </c>
      <c r="P1051">
        <f t="shared" si="163"/>
        <v>76</v>
      </c>
      <c r="Q1051" s="842">
        <f t="shared" si="164"/>
        <v>0.0655172413793104</v>
      </c>
    </row>
    <row r="1052" spans="1:17">
      <c r="A1052" s="801">
        <v>45800</v>
      </c>
      <c r="B1052" s="670">
        <v>1724.8</v>
      </c>
      <c r="C1052" s="671">
        <v>81626</v>
      </c>
      <c r="D1052" s="37">
        <v>1083</v>
      </c>
      <c r="E1052" s="37">
        <v>2</v>
      </c>
      <c r="F1052" s="41">
        <v>36306</v>
      </c>
      <c r="G1052" s="37">
        <v>40</v>
      </c>
      <c r="H1052" s="37">
        <v>14</v>
      </c>
      <c r="I1052" s="37">
        <v>4</v>
      </c>
      <c r="J1052" s="672">
        <f t="shared" si="160"/>
        <v>0.0132678313282533</v>
      </c>
      <c r="K1052" s="673">
        <f t="shared" si="161"/>
        <v>1.59261311172669</v>
      </c>
      <c r="L1052" s="809">
        <f t="shared" si="158"/>
        <v>21.1305221375542</v>
      </c>
      <c r="M1052" s="839">
        <f t="shared" si="166"/>
        <v>21.0493970315399</v>
      </c>
      <c r="N1052" s="39">
        <f t="shared" si="165"/>
        <v>0.00184672206832872</v>
      </c>
      <c r="O1052" s="675">
        <f t="shared" si="162"/>
        <v>31.9407407407407</v>
      </c>
      <c r="P1052">
        <f t="shared" si="163"/>
        <v>54</v>
      </c>
      <c r="Q1052" s="842">
        <f t="shared" si="164"/>
        <v>0.0498614958448753</v>
      </c>
    </row>
    <row r="1053" spans="1:17">
      <c r="A1053" s="801">
        <v>45801</v>
      </c>
      <c r="B1053" s="670">
        <v>1705.25</v>
      </c>
      <c r="C1053" s="671">
        <v>56156</v>
      </c>
      <c r="D1053" s="37">
        <v>910</v>
      </c>
      <c r="E1053" s="37">
        <v>2</v>
      </c>
      <c r="F1053" s="41">
        <v>23192</v>
      </c>
      <c r="G1053" s="37">
        <v>49</v>
      </c>
      <c r="H1053" s="37">
        <v>12</v>
      </c>
      <c r="I1053" s="37">
        <v>2</v>
      </c>
      <c r="J1053" s="672">
        <f t="shared" si="160"/>
        <v>0.0162048578958615</v>
      </c>
      <c r="K1053" s="673">
        <f t="shared" si="161"/>
        <v>1.8739010989011</v>
      </c>
      <c r="L1053" s="809">
        <f t="shared" si="158"/>
        <v>30.3663010185911</v>
      </c>
      <c r="M1053" s="839">
        <f t="shared" si="166"/>
        <v>13.6003518545668</v>
      </c>
      <c r="N1053" s="39">
        <f t="shared" si="165"/>
        <v>0.0021978021978022</v>
      </c>
      <c r="O1053" s="675">
        <f t="shared" si="162"/>
        <v>27.9549180327869</v>
      </c>
      <c r="P1053">
        <f t="shared" si="163"/>
        <v>61</v>
      </c>
      <c r="Q1053" s="842">
        <f t="shared" si="164"/>
        <v>0.067032967032967</v>
      </c>
    </row>
    <row r="1054" spans="1:17">
      <c r="A1054" s="801">
        <v>45802</v>
      </c>
      <c r="B1054" s="670">
        <v>1727.58</v>
      </c>
      <c r="C1054" s="671">
        <v>59043</v>
      </c>
      <c r="D1054" s="37">
        <v>949</v>
      </c>
      <c r="E1054" s="37">
        <v>3</v>
      </c>
      <c r="F1054" s="41">
        <v>39149</v>
      </c>
      <c r="G1054" s="37">
        <v>60</v>
      </c>
      <c r="H1054" s="37">
        <v>19</v>
      </c>
      <c r="I1054" s="37">
        <v>4</v>
      </c>
      <c r="J1054" s="672">
        <f t="shared" si="160"/>
        <v>0.0160730315194011</v>
      </c>
      <c r="K1054" s="673">
        <f t="shared" si="161"/>
        <v>1.82042149631191</v>
      </c>
      <c r="L1054" s="809">
        <f t="shared" si="158"/>
        <v>29.2596920888166</v>
      </c>
      <c r="M1054" s="839">
        <f t="shared" ref="M1054:M1106" si="167">F1054/B1054</f>
        <v>22.6611792218016</v>
      </c>
      <c r="N1054" s="39">
        <f t="shared" si="165"/>
        <v>0.00316122233930453</v>
      </c>
      <c r="O1054" s="675">
        <f t="shared" si="162"/>
        <v>21.8681012658228</v>
      </c>
      <c r="P1054">
        <f t="shared" si="163"/>
        <v>79</v>
      </c>
      <c r="Q1054" s="842">
        <f t="shared" si="164"/>
        <v>0.083245521601686</v>
      </c>
    </row>
    <row r="1055" spans="1:17">
      <c r="A1055" s="801">
        <v>45803</v>
      </c>
      <c r="B1055" s="670">
        <v>1699.44</v>
      </c>
      <c r="C1055" s="671">
        <v>67713</v>
      </c>
      <c r="D1055" s="37">
        <v>947</v>
      </c>
      <c r="E1055" s="37">
        <v>5</v>
      </c>
      <c r="F1055" s="41">
        <v>72408</v>
      </c>
      <c r="G1055" s="37">
        <v>50</v>
      </c>
      <c r="H1055" s="37">
        <v>17</v>
      </c>
      <c r="I1055" s="37">
        <v>4</v>
      </c>
      <c r="J1055" s="672">
        <f t="shared" si="160"/>
        <v>0.0139854976149336</v>
      </c>
      <c r="K1055" s="673">
        <f t="shared" si="161"/>
        <v>1.79455121436114</v>
      </c>
      <c r="L1055" s="809">
        <f t="shared" si="158"/>
        <v>25.097691728324</v>
      </c>
      <c r="M1055" s="839">
        <f t="shared" si="167"/>
        <v>42.6069764157605</v>
      </c>
      <c r="N1055" s="39">
        <f t="shared" si="165"/>
        <v>0.00527983104540655</v>
      </c>
      <c r="O1055" s="675">
        <f t="shared" si="162"/>
        <v>25.364776119403</v>
      </c>
      <c r="P1055">
        <f t="shared" si="163"/>
        <v>67</v>
      </c>
      <c r="Q1055" s="842">
        <f t="shared" si="164"/>
        <v>0.0707497360084477</v>
      </c>
    </row>
    <row r="1056" spans="1:17">
      <c r="A1056" s="801">
        <v>45804</v>
      </c>
      <c r="B1056" s="670">
        <v>1723.25</v>
      </c>
      <c r="C1056" s="671">
        <v>44774</v>
      </c>
      <c r="D1056" s="37">
        <v>708</v>
      </c>
      <c r="E1056" s="37">
        <v>3</v>
      </c>
      <c r="F1056" s="41">
        <v>56738</v>
      </c>
      <c r="G1056" s="37">
        <v>44</v>
      </c>
      <c r="H1056" s="37">
        <v>4</v>
      </c>
      <c r="I1056" s="37">
        <v>3</v>
      </c>
      <c r="J1056" s="672">
        <f t="shared" si="160"/>
        <v>0.0158127484700942</v>
      </c>
      <c r="K1056" s="673">
        <f t="shared" si="161"/>
        <v>2.43396892655367</v>
      </c>
      <c r="L1056" s="809">
        <f t="shared" si="158"/>
        <v>38.4877384196185</v>
      </c>
      <c r="M1056" s="839">
        <f t="shared" si="167"/>
        <v>32.9249963731322</v>
      </c>
      <c r="N1056" s="39">
        <f t="shared" si="165"/>
        <v>0.00423728813559322</v>
      </c>
      <c r="O1056" s="675">
        <f t="shared" si="162"/>
        <v>35.9010416666667</v>
      </c>
      <c r="P1056">
        <f t="shared" si="163"/>
        <v>48</v>
      </c>
      <c r="Q1056" s="842">
        <f t="shared" si="164"/>
        <v>0.0677966101694915</v>
      </c>
    </row>
    <row r="1057" spans="1:17">
      <c r="A1057" s="801">
        <v>45805</v>
      </c>
      <c r="B1057" s="670">
        <v>1316.08</v>
      </c>
      <c r="C1057" s="671">
        <v>41376</v>
      </c>
      <c r="D1057" s="37">
        <v>466</v>
      </c>
      <c r="E1057" s="37">
        <v>2</v>
      </c>
      <c r="F1057" s="841">
        <v>17073</v>
      </c>
      <c r="G1057" s="37">
        <v>30</v>
      </c>
      <c r="H1057" s="37">
        <v>2</v>
      </c>
      <c r="I1057" s="37">
        <v>1</v>
      </c>
      <c r="J1057" s="672">
        <f t="shared" si="160"/>
        <v>0.0112625676720804</v>
      </c>
      <c r="K1057" s="673">
        <f t="shared" si="161"/>
        <v>2.82420600858369</v>
      </c>
      <c r="L1057" s="809">
        <f t="shared" si="158"/>
        <v>31.80781129157</v>
      </c>
      <c r="M1057" s="839">
        <f t="shared" si="167"/>
        <v>12.9726156464653</v>
      </c>
      <c r="N1057" s="39">
        <f t="shared" si="165"/>
        <v>0.00429184549356223</v>
      </c>
      <c r="O1057" s="675">
        <f t="shared" si="162"/>
        <v>41.1275</v>
      </c>
      <c r="P1057">
        <f t="shared" si="163"/>
        <v>32</v>
      </c>
      <c r="Q1057" s="842">
        <f t="shared" si="164"/>
        <v>0.0686695278969957</v>
      </c>
    </row>
    <row r="1058" spans="1:17">
      <c r="A1058" s="801">
        <v>45806</v>
      </c>
      <c r="B1058" s="670">
        <v>1247.34</v>
      </c>
      <c r="C1058" s="671">
        <v>33594</v>
      </c>
      <c r="D1058" s="37">
        <v>409</v>
      </c>
      <c r="E1058" s="37">
        <v>0</v>
      </c>
      <c r="F1058" s="841">
        <v>0</v>
      </c>
      <c r="G1058" s="37">
        <v>28</v>
      </c>
      <c r="H1058" s="37">
        <v>3</v>
      </c>
      <c r="I1058" s="37">
        <v>1</v>
      </c>
      <c r="J1058" s="672">
        <f t="shared" si="160"/>
        <v>0.0121747931178187</v>
      </c>
      <c r="K1058" s="673">
        <f t="shared" si="161"/>
        <v>3.04973105134474</v>
      </c>
      <c r="L1058" s="809">
        <f t="shared" ref="L1058:L1121" si="168">B1058/C1058*1000</f>
        <v>37.1298446151098</v>
      </c>
      <c r="M1058" s="839">
        <f t="shared" si="167"/>
        <v>0</v>
      </c>
      <c r="N1058" s="39">
        <f t="shared" si="165"/>
        <v>0</v>
      </c>
      <c r="O1058" s="675">
        <f t="shared" si="162"/>
        <v>40.2367741935484</v>
      </c>
      <c r="P1058">
        <f t="shared" si="163"/>
        <v>31</v>
      </c>
      <c r="Q1058" s="842">
        <f t="shared" si="164"/>
        <v>0.0757946210268949</v>
      </c>
    </row>
    <row r="1059" spans="1:17">
      <c r="A1059" s="801">
        <v>45807</v>
      </c>
      <c r="B1059" s="670">
        <v>1272.76</v>
      </c>
      <c r="C1059" s="671">
        <v>33621</v>
      </c>
      <c r="D1059" s="37">
        <v>480</v>
      </c>
      <c r="E1059" s="37">
        <v>3</v>
      </c>
      <c r="F1059" s="41">
        <v>47818</v>
      </c>
      <c r="G1059" s="37">
        <v>26</v>
      </c>
      <c r="H1059" s="37">
        <v>3</v>
      </c>
      <c r="I1059" s="37">
        <v>0</v>
      </c>
      <c r="J1059" s="672">
        <f t="shared" si="160"/>
        <v>0.0142767912911573</v>
      </c>
      <c r="K1059" s="673">
        <f t="shared" si="161"/>
        <v>2.65158333333333</v>
      </c>
      <c r="L1059" s="809">
        <f t="shared" si="168"/>
        <v>37.8561018411112</v>
      </c>
      <c r="M1059" s="839">
        <f t="shared" si="167"/>
        <v>37.5703196203526</v>
      </c>
      <c r="N1059" s="39">
        <f t="shared" si="165"/>
        <v>0.00625</v>
      </c>
      <c r="O1059" s="675">
        <f t="shared" si="162"/>
        <v>43.888275862069</v>
      </c>
      <c r="P1059">
        <f t="shared" si="163"/>
        <v>29</v>
      </c>
      <c r="Q1059" s="842">
        <f t="shared" si="164"/>
        <v>0.0604166666666667</v>
      </c>
    </row>
    <row r="1060" spans="1:17">
      <c r="A1060" s="801">
        <v>45808</v>
      </c>
      <c r="B1060" s="670">
        <v>1211.24</v>
      </c>
      <c r="C1060" s="671">
        <v>25125</v>
      </c>
      <c r="D1060" s="37">
        <v>396</v>
      </c>
      <c r="E1060" s="37">
        <v>3</v>
      </c>
      <c r="F1060" s="41">
        <v>29708</v>
      </c>
      <c r="G1060" s="37">
        <v>23</v>
      </c>
      <c r="H1060" s="37">
        <v>1</v>
      </c>
      <c r="I1060" s="37">
        <v>1</v>
      </c>
      <c r="J1060" s="672">
        <f t="shared" si="160"/>
        <v>0.0157611940298507</v>
      </c>
      <c r="K1060" s="673">
        <f t="shared" si="161"/>
        <v>3.05868686868687</v>
      </c>
      <c r="L1060" s="809">
        <f t="shared" si="168"/>
        <v>48.2085572139304</v>
      </c>
      <c r="M1060" s="839">
        <f t="shared" si="167"/>
        <v>24.5269310788944</v>
      </c>
      <c r="N1060" s="39">
        <f t="shared" si="165"/>
        <v>0.00757575757575758</v>
      </c>
      <c r="O1060" s="675">
        <f t="shared" si="162"/>
        <v>50.4683333333333</v>
      </c>
      <c r="P1060">
        <f t="shared" si="163"/>
        <v>24</v>
      </c>
      <c r="Q1060" s="842">
        <f t="shared" si="164"/>
        <v>0.0606060606060606</v>
      </c>
    </row>
    <row r="1061" spans="1:17">
      <c r="A1061" s="801">
        <v>45809</v>
      </c>
      <c r="B1061" s="670">
        <v>1230.8</v>
      </c>
      <c r="C1061" s="671">
        <v>28851</v>
      </c>
      <c r="D1061" s="37">
        <v>511</v>
      </c>
      <c r="E1061" s="37">
        <v>2</v>
      </c>
      <c r="F1061" s="41">
        <v>29188</v>
      </c>
      <c r="G1061" s="37">
        <v>30</v>
      </c>
      <c r="H1061" s="37">
        <v>1</v>
      </c>
      <c r="I1061" s="37">
        <v>2</v>
      </c>
      <c r="J1061" s="672">
        <f t="shared" si="160"/>
        <v>0.0177116911025614</v>
      </c>
      <c r="K1061" s="673">
        <f t="shared" si="161"/>
        <v>2.40861056751468</v>
      </c>
      <c r="L1061" s="809">
        <f t="shared" si="168"/>
        <v>42.6605663581852</v>
      </c>
      <c r="M1061" s="839">
        <f t="shared" si="167"/>
        <v>23.7146571335717</v>
      </c>
      <c r="N1061" s="39">
        <f t="shared" si="165"/>
        <v>0.00391389432485323</v>
      </c>
      <c r="O1061" s="675">
        <f t="shared" si="162"/>
        <v>39.7032258064516</v>
      </c>
      <c r="P1061">
        <f t="shared" si="163"/>
        <v>31</v>
      </c>
      <c r="Q1061" s="842">
        <f t="shared" si="164"/>
        <v>0.060665362035225</v>
      </c>
    </row>
    <row r="1062" spans="1:17">
      <c r="A1062" s="801">
        <v>45810</v>
      </c>
      <c r="B1062" s="670">
        <v>754.99</v>
      </c>
      <c r="C1062" s="671">
        <v>21329</v>
      </c>
      <c r="D1062" s="37">
        <v>380</v>
      </c>
      <c r="E1062" s="37">
        <v>2</v>
      </c>
      <c r="F1062" s="841">
        <v>34744</v>
      </c>
      <c r="G1062" s="37">
        <v>42</v>
      </c>
      <c r="H1062" s="37">
        <v>3</v>
      </c>
      <c r="I1062" s="37">
        <v>1</v>
      </c>
      <c r="J1062" s="672">
        <f t="shared" si="160"/>
        <v>0.0178161188991514</v>
      </c>
      <c r="K1062" s="673">
        <f t="shared" si="161"/>
        <v>1.98681578947368</v>
      </c>
      <c r="L1062" s="809">
        <f t="shared" si="168"/>
        <v>35.3973463359745</v>
      </c>
      <c r="M1062" s="839">
        <f t="shared" si="167"/>
        <v>46.0191525715572</v>
      </c>
      <c r="N1062" s="39">
        <f t="shared" si="165"/>
        <v>0.00526315789473684</v>
      </c>
      <c r="O1062" s="675">
        <f t="shared" si="162"/>
        <v>16.7775555555556</v>
      </c>
      <c r="P1062">
        <f t="shared" si="163"/>
        <v>45</v>
      </c>
      <c r="Q1062" s="842">
        <f t="shared" si="164"/>
        <v>0.118421052631579</v>
      </c>
    </row>
    <row r="1063" spans="1:17">
      <c r="A1063" s="801">
        <v>45811</v>
      </c>
      <c r="B1063" s="670">
        <v>1291.39</v>
      </c>
      <c r="C1063" s="671">
        <v>75260</v>
      </c>
      <c r="D1063" s="37">
        <v>775</v>
      </c>
      <c r="E1063" s="37">
        <v>5</v>
      </c>
      <c r="F1063" s="41">
        <v>57654</v>
      </c>
      <c r="G1063" s="37">
        <v>44</v>
      </c>
      <c r="H1063" s="37">
        <v>7</v>
      </c>
      <c r="I1063" s="37">
        <v>1</v>
      </c>
      <c r="J1063" s="672">
        <f t="shared" si="160"/>
        <v>0.0102976348657986</v>
      </c>
      <c r="K1063" s="673">
        <f t="shared" si="161"/>
        <v>1.66630967741935</v>
      </c>
      <c r="L1063" s="809">
        <f t="shared" si="168"/>
        <v>17.1590486314111</v>
      </c>
      <c r="M1063" s="839">
        <f t="shared" si="167"/>
        <v>44.6449174920047</v>
      </c>
      <c r="N1063" s="39">
        <f t="shared" si="165"/>
        <v>0.00645161290322581</v>
      </c>
      <c r="O1063" s="675">
        <f t="shared" si="162"/>
        <v>25.3213725490196</v>
      </c>
      <c r="P1063">
        <f t="shared" si="163"/>
        <v>51</v>
      </c>
      <c r="Q1063" s="842">
        <f t="shared" si="164"/>
        <v>0.0658064516129032</v>
      </c>
    </row>
    <row r="1064" spans="1:17">
      <c r="A1064" s="801">
        <v>45812</v>
      </c>
      <c r="B1064" s="670">
        <v>1306.02</v>
      </c>
      <c r="C1064" s="671">
        <v>80389</v>
      </c>
      <c r="D1064" s="37">
        <v>888</v>
      </c>
      <c r="E1064" s="37">
        <v>0</v>
      </c>
      <c r="F1064" s="841">
        <v>0</v>
      </c>
      <c r="G1064" s="37">
        <v>38</v>
      </c>
      <c r="H1064" s="37">
        <v>8</v>
      </c>
      <c r="I1064" s="37">
        <v>1</v>
      </c>
      <c r="J1064" s="672">
        <f t="shared" si="160"/>
        <v>0.0110462874273843</v>
      </c>
      <c r="K1064" s="673">
        <f t="shared" si="161"/>
        <v>1.47074324324324</v>
      </c>
      <c r="L1064" s="809">
        <f t="shared" si="168"/>
        <v>16.2462525967483</v>
      </c>
      <c r="M1064" s="839">
        <f t="shared" si="167"/>
        <v>0</v>
      </c>
      <c r="N1064" s="39">
        <f t="shared" si="165"/>
        <v>0</v>
      </c>
      <c r="O1064" s="675">
        <f t="shared" si="162"/>
        <v>28.3917391304348</v>
      </c>
      <c r="P1064">
        <f t="shared" si="163"/>
        <v>46</v>
      </c>
      <c r="Q1064" s="842">
        <f t="shared" si="164"/>
        <v>0.0518018018018018</v>
      </c>
    </row>
    <row r="1065" spans="1:17">
      <c r="A1065" s="801">
        <v>45813</v>
      </c>
      <c r="B1065" s="670">
        <v>1288.2</v>
      </c>
      <c r="C1065" s="671">
        <v>74191</v>
      </c>
      <c r="D1065" s="37">
        <v>869</v>
      </c>
      <c r="E1065" s="37">
        <v>5</v>
      </c>
      <c r="F1065" s="41">
        <v>77522</v>
      </c>
      <c r="G1065" s="37">
        <v>55</v>
      </c>
      <c r="H1065" s="37">
        <v>18</v>
      </c>
      <c r="I1065" s="37">
        <v>2</v>
      </c>
      <c r="J1065" s="672">
        <f t="shared" si="160"/>
        <v>0.0117130110121174</v>
      </c>
      <c r="K1065" s="673">
        <f t="shared" si="161"/>
        <v>1.48239355581128</v>
      </c>
      <c r="L1065" s="809">
        <f t="shared" si="168"/>
        <v>17.3632920435093</v>
      </c>
      <c r="M1065" s="839">
        <f t="shared" si="167"/>
        <v>60.1785437043937</v>
      </c>
      <c r="N1065" s="39">
        <f t="shared" si="165"/>
        <v>0.00575373993095512</v>
      </c>
      <c r="O1065" s="675">
        <f t="shared" si="162"/>
        <v>17.6465753424658</v>
      </c>
      <c r="P1065">
        <f t="shared" si="163"/>
        <v>73</v>
      </c>
      <c r="Q1065" s="842">
        <f t="shared" si="164"/>
        <v>0.0840046029919448</v>
      </c>
    </row>
    <row r="1066" spans="1:17">
      <c r="A1066" s="801">
        <v>45814</v>
      </c>
      <c r="B1066" s="670">
        <v>1276.62</v>
      </c>
      <c r="C1066" s="671">
        <v>72242</v>
      </c>
      <c r="D1066" s="37">
        <v>862</v>
      </c>
      <c r="E1066" s="37">
        <v>3</v>
      </c>
      <c r="F1066" s="41">
        <v>34087</v>
      </c>
      <c r="G1066" s="37">
        <v>41</v>
      </c>
      <c r="H1066" s="37">
        <v>15</v>
      </c>
      <c r="I1066" s="37">
        <v>4</v>
      </c>
      <c r="J1066" s="672">
        <f t="shared" si="160"/>
        <v>0.011932117051023</v>
      </c>
      <c r="K1066" s="673">
        <f t="shared" si="161"/>
        <v>1.48099767981439</v>
      </c>
      <c r="L1066" s="809">
        <f t="shared" si="168"/>
        <v>17.6714376678386</v>
      </c>
      <c r="M1066" s="839">
        <f t="shared" si="167"/>
        <v>26.7009760147891</v>
      </c>
      <c r="N1066" s="39">
        <f t="shared" si="165"/>
        <v>0.00348027842227378</v>
      </c>
      <c r="O1066" s="675">
        <f t="shared" si="162"/>
        <v>22.7967857142857</v>
      </c>
      <c r="P1066">
        <f t="shared" si="163"/>
        <v>56</v>
      </c>
      <c r="Q1066" s="842">
        <f t="shared" si="164"/>
        <v>0.0649651972157773</v>
      </c>
    </row>
    <row r="1067" spans="1:17">
      <c r="A1067" s="801">
        <v>45815</v>
      </c>
      <c r="B1067" s="670">
        <v>1291.48</v>
      </c>
      <c r="C1067" s="671">
        <v>71909</v>
      </c>
      <c r="D1067" s="37">
        <v>930</v>
      </c>
      <c r="E1067" s="37">
        <v>7</v>
      </c>
      <c r="F1067" s="41">
        <v>76553</v>
      </c>
      <c r="G1067" s="37">
        <v>49</v>
      </c>
      <c r="H1067" s="37">
        <v>18</v>
      </c>
      <c r="I1067" s="37">
        <v>2</v>
      </c>
      <c r="J1067" s="672">
        <f t="shared" si="160"/>
        <v>0.012933012557538</v>
      </c>
      <c r="K1067" s="673">
        <f t="shared" si="161"/>
        <v>1.38868817204301</v>
      </c>
      <c r="L1067" s="809">
        <f t="shared" si="168"/>
        <v>17.9599215675367</v>
      </c>
      <c r="M1067" s="839">
        <f t="shared" si="167"/>
        <v>59.2754049617493</v>
      </c>
      <c r="N1067" s="39">
        <f t="shared" si="165"/>
        <v>0.00752688172043011</v>
      </c>
      <c r="O1067" s="675">
        <f t="shared" si="162"/>
        <v>19.2758208955224</v>
      </c>
      <c r="P1067">
        <f t="shared" si="163"/>
        <v>67</v>
      </c>
      <c r="Q1067" s="842">
        <f t="shared" si="164"/>
        <v>0.0720430107526882</v>
      </c>
    </row>
    <row r="1068" spans="1:17">
      <c r="A1068" s="801">
        <v>45816</v>
      </c>
      <c r="B1068" s="670">
        <v>1311.08</v>
      </c>
      <c r="C1068" s="671">
        <v>74263</v>
      </c>
      <c r="D1068" s="37">
        <v>815</v>
      </c>
      <c r="E1068" s="37">
        <v>6</v>
      </c>
      <c r="F1068" s="41">
        <v>111515</v>
      </c>
      <c r="G1068" s="37">
        <v>30</v>
      </c>
      <c r="H1068" s="37">
        <v>5</v>
      </c>
      <c r="I1068" s="37">
        <v>2</v>
      </c>
      <c r="J1068" s="672">
        <f t="shared" si="160"/>
        <v>0.0109745095134859</v>
      </c>
      <c r="K1068" s="673">
        <f t="shared" si="161"/>
        <v>1.60868711656442</v>
      </c>
      <c r="L1068" s="809">
        <f t="shared" si="168"/>
        <v>17.6545520649583</v>
      </c>
      <c r="M1068" s="839">
        <f t="shared" si="167"/>
        <v>85.0558318332977</v>
      </c>
      <c r="N1068" s="39">
        <f t="shared" si="165"/>
        <v>0.00736196319018405</v>
      </c>
      <c r="O1068" s="675">
        <f t="shared" si="162"/>
        <v>37.4594285714286</v>
      </c>
      <c r="P1068">
        <f t="shared" si="163"/>
        <v>35</v>
      </c>
      <c r="Q1068" s="842">
        <f t="shared" si="164"/>
        <v>0.0429447852760736</v>
      </c>
    </row>
    <row r="1069" spans="1:17">
      <c r="A1069" s="801">
        <v>45817</v>
      </c>
      <c r="B1069" s="670">
        <v>1300.86</v>
      </c>
      <c r="C1069" s="671">
        <v>55107</v>
      </c>
      <c r="D1069" s="37">
        <v>707</v>
      </c>
      <c r="E1069" s="37">
        <v>2</v>
      </c>
      <c r="F1069" s="41">
        <v>34604</v>
      </c>
      <c r="G1069" s="37">
        <v>29</v>
      </c>
      <c r="H1069" s="37">
        <v>5</v>
      </c>
      <c r="I1069" s="37">
        <v>5</v>
      </c>
      <c r="J1069" s="672">
        <f t="shared" si="160"/>
        <v>0.0128295860779937</v>
      </c>
      <c r="K1069" s="673">
        <f t="shared" si="161"/>
        <v>1.83997171145686</v>
      </c>
      <c r="L1069" s="809">
        <f t="shared" si="168"/>
        <v>23.6060754532092</v>
      </c>
      <c r="M1069" s="839">
        <f t="shared" si="167"/>
        <v>26.6008640437864</v>
      </c>
      <c r="N1069" s="39">
        <f t="shared" si="165"/>
        <v>0.00282885431400283</v>
      </c>
      <c r="O1069" s="675">
        <f t="shared" si="162"/>
        <v>38.2605882352941</v>
      </c>
      <c r="P1069">
        <f t="shared" si="163"/>
        <v>34</v>
      </c>
      <c r="Q1069" s="842">
        <f t="shared" si="164"/>
        <v>0.0480905233380481</v>
      </c>
    </row>
    <row r="1070" spans="1:17">
      <c r="A1070" s="801">
        <v>45818</v>
      </c>
      <c r="B1070" s="670">
        <v>1153.04</v>
      </c>
      <c r="C1070" s="671">
        <v>36758</v>
      </c>
      <c r="D1070" s="37">
        <v>508</v>
      </c>
      <c r="E1070" s="37">
        <v>3</v>
      </c>
      <c r="F1070" s="41">
        <v>25295</v>
      </c>
      <c r="G1070" s="37">
        <v>25</v>
      </c>
      <c r="H1070" s="37">
        <v>1</v>
      </c>
      <c r="I1070" s="37">
        <v>1</v>
      </c>
      <c r="J1070" s="672">
        <f t="shared" si="160"/>
        <v>0.0138201207900321</v>
      </c>
      <c r="K1070" s="673">
        <f t="shared" si="161"/>
        <v>2.26976377952756</v>
      </c>
      <c r="L1070" s="809">
        <f t="shared" si="168"/>
        <v>31.3684095979107</v>
      </c>
      <c r="M1070" s="839">
        <f t="shared" si="167"/>
        <v>21.9376604454312</v>
      </c>
      <c r="N1070" s="39">
        <f t="shared" si="165"/>
        <v>0.00590551181102362</v>
      </c>
      <c r="O1070" s="675">
        <f t="shared" si="162"/>
        <v>44.3476923076923</v>
      </c>
      <c r="P1070">
        <f t="shared" si="163"/>
        <v>26</v>
      </c>
      <c r="Q1070" s="842">
        <f t="shared" si="164"/>
        <v>0.0511811023622047</v>
      </c>
    </row>
    <row r="1071" spans="1:17">
      <c r="A1071" s="801">
        <v>45819</v>
      </c>
      <c r="B1071" s="670">
        <v>1141.78</v>
      </c>
      <c r="C1071" s="671">
        <v>30943</v>
      </c>
      <c r="D1071" s="37">
        <v>461</v>
      </c>
      <c r="E1071" s="37">
        <v>3</v>
      </c>
      <c r="F1071" s="41">
        <v>31400</v>
      </c>
      <c r="G1071" s="37">
        <v>21</v>
      </c>
      <c r="H1071" s="37">
        <v>3</v>
      </c>
      <c r="I1071" s="37">
        <v>1</v>
      </c>
      <c r="J1071" s="672">
        <f t="shared" si="160"/>
        <v>0.0148983615034095</v>
      </c>
      <c r="K1071" s="673">
        <f t="shared" si="161"/>
        <v>2.47674620390456</v>
      </c>
      <c r="L1071" s="809">
        <f t="shared" si="168"/>
        <v>36.8994602979672</v>
      </c>
      <c r="M1071" s="839">
        <f t="shared" si="167"/>
        <v>27.5009196167388</v>
      </c>
      <c r="N1071" s="39">
        <f t="shared" si="165"/>
        <v>0.00650759219088937</v>
      </c>
      <c r="O1071" s="675">
        <f t="shared" si="162"/>
        <v>47.5741666666667</v>
      </c>
      <c r="P1071">
        <f t="shared" si="163"/>
        <v>24</v>
      </c>
      <c r="Q1071" s="842">
        <f t="shared" si="164"/>
        <v>0.052060737527115</v>
      </c>
    </row>
    <row r="1072" spans="1:17">
      <c r="A1072" s="801">
        <v>45820</v>
      </c>
      <c r="B1072" s="670">
        <v>1141.94</v>
      </c>
      <c r="C1072" s="671">
        <v>38928</v>
      </c>
      <c r="D1072" s="37">
        <v>505</v>
      </c>
      <c r="E1072" s="37">
        <v>3</v>
      </c>
      <c r="F1072" s="41">
        <v>65713</v>
      </c>
      <c r="G1072" s="37">
        <v>7</v>
      </c>
      <c r="H1072" s="37">
        <v>6</v>
      </c>
      <c r="I1072" s="37">
        <v>0</v>
      </c>
      <c r="J1072" s="672">
        <f t="shared" si="160"/>
        <v>0.0129726674886971</v>
      </c>
      <c r="K1072" s="673">
        <f t="shared" si="161"/>
        <v>2.26126732673267</v>
      </c>
      <c r="L1072" s="809">
        <f t="shared" si="168"/>
        <v>29.3346691327579</v>
      </c>
      <c r="M1072" s="839">
        <f t="shared" si="167"/>
        <v>57.5450549065625</v>
      </c>
      <c r="N1072" s="39">
        <f t="shared" si="165"/>
        <v>0.00594059405940594</v>
      </c>
      <c r="O1072" s="675">
        <f t="shared" si="162"/>
        <v>87.8415384615385</v>
      </c>
      <c r="P1072">
        <f t="shared" si="163"/>
        <v>13</v>
      </c>
      <c r="Q1072" s="842">
        <f t="shared" si="164"/>
        <v>0.0257425742574257</v>
      </c>
    </row>
    <row r="1073" spans="1:17">
      <c r="A1073" s="801">
        <v>45821</v>
      </c>
      <c r="B1073" s="670">
        <v>1125.77</v>
      </c>
      <c r="C1073" s="671">
        <v>30231</v>
      </c>
      <c r="D1073" s="37">
        <v>457</v>
      </c>
      <c r="E1073" s="37">
        <v>4</v>
      </c>
      <c r="F1073" s="41">
        <v>43060</v>
      </c>
      <c r="G1073" s="37">
        <v>25</v>
      </c>
      <c r="H1073" s="37">
        <v>2</v>
      </c>
      <c r="I1073" s="37">
        <v>0</v>
      </c>
      <c r="J1073" s="672">
        <f t="shared" si="160"/>
        <v>0.0151169329496212</v>
      </c>
      <c r="K1073" s="673">
        <f t="shared" si="161"/>
        <v>2.46339168490153</v>
      </c>
      <c r="L1073" s="809">
        <f t="shared" si="168"/>
        <v>37.238926929311</v>
      </c>
      <c r="M1073" s="839">
        <f t="shared" si="167"/>
        <v>38.2493759826608</v>
      </c>
      <c r="N1073" s="39">
        <f t="shared" si="165"/>
        <v>0.0087527352297593</v>
      </c>
      <c r="O1073" s="675">
        <f t="shared" si="162"/>
        <v>41.6951851851852</v>
      </c>
      <c r="P1073">
        <f t="shared" si="163"/>
        <v>27</v>
      </c>
      <c r="Q1073" s="842">
        <f t="shared" si="164"/>
        <v>0.0590809628008753</v>
      </c>
    </row>
    <row r="1074" spans="1:17">
      <c r="A1074" s="801">
        <v>45822</v>
      </c>
      <c r="B1074" s="670">
        <v>1116.5</v>
      </c>
      <c r="C1074" s="671">
        <v>37105</v>
      </c>
      <c r="D1074" s="37">
        <v>512</v>
      </c>
      <c r="E1074" s="37">
        <v>1</v>
      </c>
      <c r="F1074" s="41">
        <v>23620</v>
      </c>
      <c r="G1074" s="37">
        <v>20</v>
      </c>
      <c r="H1074" s="37">
        <v>7</v>
      </c>
      <c r="I1074" s="37">
        <v>0</v>
      </c>
      <c r="J1074" s="672">
        <f t="shared" si="160"/>
        <v>0.0137986794232583</v>
      </c>
      <c r="K1074" s="673">
        <f t="shared" si="161"/>
        <v>2.1806640625</v>
      </c>
      <c r="L1074" s="809">
        <f t="shared" si="168"/>
        <v>30.0902843282576</v>
      </c>
      <c r="M1074" s="839">
        <f t="shared" si="167"/>
        <v>21.1553963278101</v>
      </c>
      <c r="N1074" s="39">
        <f t="shared" si="165"/>
        <v>0.001953125</v>
      </c>
      <c r="O1074" s="675">
        <f t="shared" si="162"/>
        <v>41.3518518518519</v>
      </c>
      <c r="P1074">
        <f t="shared" si="163"/>
        <v>27</v>
      </c>
      <c r="Q1074" s="842">
        <f t="shared" si="164"/>
        <v>0.052734375</v>
      </c>
    </row>
    <row r="1075" spans="1:17">
      <c r="A1075" s="801">
        <v>45823</v>
      </c>
      <c r="B1075" s="670">
        <v>1148.77</v>
      </c>
      <c r="C1075" s="671">
        <v>26817</v>
      </c>
      <c r="D1075" s="37">
        <v>464</v>
      </c>
      <c r="E1075" s="37">
        <v>5</v>
      </c>
      <c r="F1075" s="845">
        <v>83191</v>
      </c>
      <c r="G1075" s="37">
        <v>18</v>
      </c>
      <c r="H1075" s="37">
        <v>7</v>
      </c>
      <c r="I1075" s="37">
        <v>2</v>
      </c>
      <c r="J1075" s="672">
        <f t="shared" si="160"/>
        <v>0.0173024573964276</v>
      </c>
      <c r="K1075" s="673">
        <f t="shared" si="161"/>
        <v>2.4757974137931</v>
      </c>
      <c r="L1075" s="809">
        <f t="shared" si="168"/>
        <v>42.8373792743409</v>
      </c>
      <c r="M1075" s="839">
        <f t="shared" si="167"/>
        <v>72.4174551912045</v>
      </c>
      <c r="N1075" s="39">
        <f t="shared" si="165"/>
        <v>0.0107758620689655</v>
      </c>
      <c r="O1075" s="675">
        <f t="shared" si="162"/>
        <v>45.9508</v>
      </c>
      <c r="P1075">
        <f t="shared" si="163"/>
        <v>25</v>
      </c>
      <c r="Q1075" s="842">
        <f t="shared" si="164"/>
        <v>0.0538793103448276</v>
      </c>
    </row>
    <row r="1076" spans="1:17">
      <c r="A1076" s="801">
        <v>45824</v>
      </c>
      <c r="B1076" s="670">
        <v>2098.61</v>
      </c>
      <c r="C1076" s="671">
        <v>38228</v>
      </c>
      <c r="D1076" s="37">
        <v>726</v>
      </c>
      <c r="E1076" s="37">
        <v>5</v>
      </c>
      <c r="F1076" s="41">
        <v>48209</v>
      </c>
      <c r="G1076" s="37">
        <v>52</v>
      </c>
      <c r="H1076" s="37">
        <v>6</v>
      </c>
      <c r="I1076" s="37">
        <v>6</v>
      </c>
      <c r="J1076" s="672">
        <f t="shared" si="160"/>
        <v>0.018991315266297</v>
      </c>
      <c r="K1076" s="673">
        <f t="shared" si="161"/>
        <v>2.89064738292011</v>
      </c>
      <c r="L1076" s="809">
        <f t="shared" si="168"/>
        <v>54.897195772732</v>
      </c>
      <c r="M1076" s="839">
        <f t="shared" si="167"/>
        <v>22.9718718580394</v>
      </c>
      <c r="N1076" s="39">
        <f t="shared" si="165"/>
        <v>0.0068870523415978</v>
      </c>
      <c r="O1076" s="675">
        <f t="shared" si="162"/>
        <v>36.1829310344828</v>
      </c>
      <c r="P1076">
        <f t="shared" si="163"/>
        <v>58</v>
      </c>
      <c r="Q1076" s="842">
        <f t="shared" si="164"/>
        <v>0.0798898071625344</v>
      </c>
    </row>
    <row r="1077" spans="1:17">
      <c r="A1077" s="801">
        <v>45825</v>
      </c>
      <c r="B1077" s="670">
        <v>2319.63</v>
      </c>
      <c r="C1077" s="671">
        <v>50403</v>
      </c>
      <c r="D1077" s="37">
        <v>766</v>
      </c>
      <c r="E1077" s="37">
        <v>4</v>
      </c>
      <c r="F1077" s="41">
        <v>50468</v>
      </c>
      <c r="G1077" s="37">
        <v>34</v>
      </c>
      <c r="H1077" s="37">
        <v>14</v>
      </c>
      <c r="I1077" s="37">
        <v>0</v>
      </c>
      <c r="J1077" s="672">
        <f t="shared" si="160"/>
        <v>0.0151975080848362</v>
      </c>
      <c r="K1077" s="673">
        <f t="shared" si="161"/>
        <v>3.02823759791123</v>
      </c>
      <c r="L1077" s="809">
        <f t="shared" si="168"/>
        <v>46.0216653770609</v>
      </c>
      <c r="M1077" s="839">
        <f t="shared" si="167"/>
        <v>21.7569181291844</v>
      </c>
      <c r="N1077" s="39">
        <f t="shared" si="165"/>
        <v>0.00522193211488251</v>
      </c>
      <c r="O1077" s="675">
        <f t="shared" si="162"/>
        <v>48.325625</v>
      </c>
      <c r="P1077">
        <f t="shared" si="163"/>
        <v>48</v>
      </c>
      <c r="Q1077" s="842">
        <f t="shared" si="164"/>
        <v>0.0626631853785901</v>
      </c>
    </row>
    <row r="1078" spans="1:17">
      <c r="A1078" s="801">
        <v>45826</v>
      </c>
      <c r="B1078" s="670">
        <v>2343.69</v>
      </c>
      <c r="C1078" s="671">
        <v>36081</v>
      </c>
      <c r="D1078" s="37">
        <v>605</v>
      </c>
      <c r="E1078" s="37">
        <v>8</v>
      </c>
      <c r="F1078" s="41">
        <v>88076</v>
      </c>
      <c r="G1078" s="37">
        <v>37</v>
      </c>
      <c r="H1078" s="37">
        <v>9</v>
      </c>
      <c r="I1078" s="37">
        <v>0</v>
      </c>
      <c r="J1078" s="672">
        <f t="shared" si="160"/>
        <v>0.0167678279426845</v>
      </c>
      <c r="K1078" s="673">
        <f t="shared" si="161"/>
        <v>3.87386776859504</v>
      </c>
      <c r="L1078" s="809">
        <f t="shared" si="168"/>
        <v>64.9563482165129</v>
      </c>
      <c r="M1078" s="839">
        <f t="shared" si="167"/>
        <v>37.5800553827511</v>
      </c>
      <c r="N1078" s="39">
        <f t="shared" si="165"/>
        <v>0.0132231404958678</v>
      </c>
      <c r="O1078" s="675">
        <f t="shared" si="162"/>
        <v>50.9497826086957</v>
      </c>
      <c r="P1078">
        <f t="shared" si="163"/>
        <v>46</v>
      </c>
      <c r="Q1078" s="842">
        <f t="shared" si="164"/>
        <v>0.0760330578512397</v>
      </c>
    </row>
    <row r="1079" spans="1:17">
      <c r="A1079" s="801">
        <v>45827</v>
      </c>
      <c r="B1079" s="670">
        <v>2323.58</v>
      </c>
      <c r="C1079" s="671">
        <v>41412</v>
      </c>
      <c r="D1079" s="37">
        <v>668</v>
      </c>
      <c r="E1079" s="37">
        <v>5</v>
      </c>
      <c r="F1079" s="41">
        <v>53566</v>
      </c>
      <c r="G1079" s="37">
        <v>36</v>
      </c>
      <c r="H1079" s="37">
        <v>6</v>
      </c>
      <c r="I1079" s="37">
        <v>1</v>
      </c>
      <c r="J1079" s="672">
        <f t="shared" si="160"/>
        <v>0.0161305901671013</v>
      </c>
      <c r="K1079" s="673">
        <f t="shared" si="161"/>
        <v>3.47841317365269</v>
      </c>
      <c r="L1079" s="809">
        <f t="shared" si="168"/>
        <v>56.1088573360379</v>
      </c>
      <c r="M1079" s="839">
        <f t="shared" si="167"/>
        <v>23.0532196007884</v>
      </c>
      <c r="N1079" s="39">
        <f t="shared" si="165"/>
        <v>0.00748502994011976</v>
      </c>
      <c r="O1079" s="675">
        <f t="shared" si="162"/>
        <v>55.3233333333333</v>
      </c>
      <c r="P1079">
        <f t="shared" si="163"/>
        <v>42</v>
      </c>
      <c r="Q1079" s="842">
        <f t="shared" si="164"/>
        <v>0.062874251497006</v>
      </c>
    </row>
    <row r="1080" spans="1:17">
      <c r="A1080" s="801">
        <v>45828</v>
      </c>
      <c r="B1080" s="670">
        <v>2312.74</v>
      </c>
      <c r="C1080" s="671">
        <v>26865</v>
      </c>
      <c r="D1080" s="37">
        <v>433</v>
      </c>
      <c r="E1080" s="37">
        <v>2</v>
      </c>
      <c r="F1080" s="41">
        <v>19970</v>
      </c>
      <c r="G1080" s="37">
        <v>15</v>
      </c>
      <c r="H1080" s="37">
        <v>0</v>
      </c>
      <c r="I1080" s="37">
        <v>2</v>
      </c>
      <c r="J1080" s="672">
        <f t="shared" si="160"/>
        <v>0.0161176251628513</v>
      </c>
      <c r="K1080" s="673">
        <f t="shared" si="161"/>
        <v>5.34120092378753</v>
      </c>
      <c r="L1080" s="809">
        <f t="shared" si="168"/>
        <v>86.0874744090824</v>
      </c>
      <c r="M1080" s="839">
        <f t="shared" si="167"/>
        <v>8.63477952558437</v>
      </c>
      <c r="N1080" s="39">
        <f t="shared" si="165"/>
        <v>0.0046189376443418</v>
      </c>
      <c r="O1080" s="675">
        <f t="shared" si="162"/>
        <v>154.182666666667</v>
      </c>
      <c r="P1080">
        <f t="shared" si="163"/>
        <v>15</v>
      </c>
      <c r="Q1080" s="842">
        <f t="shared" si="164"/>
        <v>0.0346420323325635</v>
      </c>
    </row>
    <row r="1081" spans="1:17">
      <c r="A1081" s="801">
        <v>45829</v>
      </c>
      <c r="B1081" s="670">
        <v>1142.49</v>
      </c>
      <c r="C1081" s="671">
        <v>21342</v>
      </c>
      <c r="D1081" s="37">
        <v>432</v>
      </c>
      <c r="E1081" s="37">
        <v>3</v>
      </c>
      <c r="F1081" s="41">
        <v>46353</v>
      </c>
      <c r="G1081" s="37">
        <v>40</v>
      </c>
      <c r="H1081" s="37">
        <v>3</v>
      </c>
      <c r="I1081" s="37">
        <v>0</v>
      </c>
      <c r="J1081" s="672">
        <f t="shared" si="160"/>
        <v>0.0202417767781839</v>
      </c>
      <c r="K1081" s="673">
        <f t="shared" si="161"/>
        <v>2.64465277777778</v>
      </c>
      <c r="L1081" s="809">
        <f t="shared" si="168"/>
        <v>53.5324711835817</v>
      </c>
      <c r="M1081" s="839">
        <f t="shared" si="167"/>
        <v>40.5719087256781</v>
      </c>
      <c r="N1081" s="39">
        <f t="shared" si="165"/>
        <v>0.00694444444444444</v>
      </c>
      <c r="O1081" s="675">
        <f t="shared" si="162"/>
        <v>26.5695348837209</v>
      </c>
      <c r="P1081">
        <f t="shared" si="163"/>
        <v>43</v>
      </c>
      <c r="Q1081" s="842">
        <f t="shared" si="164"/>
        <v>0.099537037037037</v>
      </c>
    </row>
    <row r="1082" spans="1:17">
      <c r="A1082" s="801">
        <v>45830</v>
      </c>
      <c r="B1082" s="670">
        <v>1105.57</v>
      </c>
      <c r="C1082" s="671">
        <v>39239</v>
      </c>
      <c r="D1082" s="37">
        <v>621</v>
      </c>
      <c r="E1082" s="37">
        <v>2</v>
      </c>
      <c r="F1082" s="41">
        <v>57456</v>
      </c>
      <c r="G1082" s="37">
        <v>38</v>
      </c>
      <c r="H1082" s="37">
        <v>8</v>
      </c>
      <c r="I1082" s="37">
        <v>0</v>
      </c>
      <c r="J1082" s="672">
        <f t="shared" si="160"/>
        <v>0.0158260913886694</v>
      </c>
      <c r="K1082" s="673">
        <f t="shared" si="161"/>
        <v>1.78030595813205</v>
      </c>
      <c r="L1082" s="809">
        <f t="shared" si="168"/>
        <v>28.1752847931904</v>
      </c>
      <c r="M1082" s="839">
        <f t="shared" si="167"/>
        <v>51.9695722568449</v>
      </c>
      <c r="N1082" s="39">
        <f t="shared" si="165"/>
        <v>0.00322061191626409</v>
      </c>
      <c r="O1082" s="675">
        <f t="shared" si="162"/>
        <v>24.0341304347826</v>
      </c>
      <c r="P1082">
        <f t="shared" si="163"/>
        <v>46</v>
      </c>
      <c r="Q1082" s="842">
        <f t="shared" si="164"/>
        <v>0.0740740740740741</v>
      </c>
    </row>
    <row r="1083" spans="1:17">
      <c r="A1083" s="801">
        <v>45831</v>
      </c>
      <c r="B1083" s="670">
        <v>1285.69</v>
      </c>
      <c r="C1083" s="671">
        <v>51964</v>
      </c>
      <c r="D1083" s="37">
        <v>1013</v>
      </c>
      <c r="E1083" s="37">
        <v>1</v>
      </c>
      <c r="F1083" s="41">
        <v>18267</v>
      </c>
      <c r="G1083" s="37">
        <v>54</v>
      </c>
      <c r="H1083" s="37">
        <v>8</v>
      </c>
      <c r="I1083" s="37">
        <v>2</v>
      </c>
      <c r="J1083" s="672">
        <f t="shared" si="160"/>
        <v>0.019494265260565</v>
      </c>
      <c r="K1083" s="673">
        <f t="shared" si="161"/>
        <v>1.26919052319842</v>
      </c>
      <c r="L1083" s="809">
        <f t="shared" si="168"/>
        <v>24.7419367254253</v>
      </c>
      <c r="M1083" s="839">
        <f t="shared" si="167"/>
        <v>14.207935038773</v>
      </c>
      <c r="N1083" s="39">
        <f t="shared" si="165"/>
        <v>0.000987166831194472</v>
      </c>
      <c r="O1083" s="675">
        <f t="shared" si="162"/>
        <v>20.736935483871</v>
      </c>
      <c r="P1083">
        <f t="shared" si="163"/>
        <v>62</v>
      </c>
      <c r="Q1083" s="842">
        <f t="shared" si="164"/>
        <v>0.0612043435340573</v>
      </c>
    </row>
    <row r="1084" spans="1:17">
      <c r="A1084" s="801">
        <v>45832</v>
      </c>
      <c r="B1084" s="670">
        <v>1290.38</v>
      </c>
      <c r="C1084" s="671">
        <v>57960</v>
      </c>
      <c r="D1084" s="37">
        <v>1143</v>
      </c>
      <c r="E1084" s="37">
        <v>1</v>
      </c>
      <c r="F1084" s="841">
        <v>10534</v>
      </c>
      <c r="G1084" s="37">
        <v>57</v>
      </c>
      <c r="H1084" s="37">
        <v>18</v>
      </c>
      <c r="I1084" s="37">
        <v>5</v>
      </c>
      <c r="J1084" s="672">
        <f t="shared" si="160"/>
        <v>0.0197204968944099</v>
      </c>
      <c r="K1084" s="673">
        <f t="shared" si="161"/>
        <v>1.12894138232721</v>
      </c>
      <c r="L1084" s="809">
        <f t="shared" si="168"/>
        <v>22.2632850241546</v>
      </c>
      <c r="M1084" s="839">
        <f t="shared" si="167"/>
        <v>8.16348672484074</v>
      </c>
      <c r="N1084" s="39">
        <f t="shared" si="165"/>
        <v>0.000874890638670166</v>
      </c>
      <c r="O1084" s="675">
        <f t="shared" si="162"/>
        <v>17.2050666666667</v>
      </c>
      <c r="P1084">
        <f t="shared" si="163"/>
        <v>75</v>
      </c>
      <c r="Q1084" s="842">
        <f t="shared" si="164"/>
        <v>0.0656167979002625</v>
      </c>
    </row>
    <row r="1085" spans="1:17">
      <c r="A1085" s="801">
        <v>45833</v>
      </c>
      <c r="B1085" s="670">
        <v>1276.5</v>
      </c>
      <c r="C1085" s="671">
        <v>78547</v>
      </c>
      <c r="D1085" s="37">
        <v>1393</v>
      </c>
      <c r="E1085" s="37">
        <v>1</v>
      </c>
      <c r="F1085" s="41">
        <v>19587</v>
      </c>
      <c r="G1085" s="37">
        <v>80</v>
      </c>
      <c r="H1085" s="37">
        <v>20</v>
      </c>
      <c r="I1085" s="37">
        <v>4</v>
      </c>
      <c r="J1085" s="672">
        <f t="shared" si="160"/>
        <v>0.0177346047589341</v>
      </c>
      <c r="K1085" s="673">
        <f t="shared" si="161"/>
        <v>0.916367552045944</v>
      </c>
      <c r="L1085" s="809">
        <f t="shared" si="168"/>
        <v>16.2514163494468</v>
      </c>
      <c r="M1085" s="839">
        <f t="shared" si="167"/>
        <v>15.3443008225617</v>
      </c>
      <c r="N1085" s="39">
        <f t="shared" si="165"/>
        <v>0.000717875089734386</v>
      </c>
      <c r="O1085" s="675">
        <f t="shared" si="162"/>
        <v>12.765</v>
      </c>
      <c r="P1085">
        <f t="shared" si="163"/>
        <v>100</v>
      </c>
      <c r="Q1085" s="842">
        <f t="shared" si="164"/>
        <v>0.0717875089734386</v>
      </c>
    </row>
    <row r="1086" spans="1:17">
      <c r="A1086" s="801">
        <v>45834</v>
      </c>
      <c r="B1086" s="670">
        <v>1866.59</v>
      </c>
      <c r="C1086" s="671">
        <v>94638</v>
      </c>
      <c r="D1086" s="37">
        <v>1603</v>
      </c>
      <c r="E1086" s="37">
        <v>1</v>
      </c>
      <c r="F1086" s="841">
        <v>16854</v>
      </c>
      <c r="G1086" s="37">
        <v>94</v>
      </c>
      <c r="H1086" s="37">
        <v>25</v>
      </c>
      <c r="I1086" s="37">
        <v>8</v>
      </c>
      <c r="J1086" s="672">
        <f t="shared" si="160"/>
        <v>0.0169382277731989</v>
      </c>
      <c r="K1086" s="673">
        <f t="shared" si="161"/>
        <v>1.16443543356207</v>
      </c>
      <c r="L1086" s="809">
        <f t="shared" si="168"/>
        <v>19.723472600858</v>
      </c>
      <c r="M1086" s="839">
        <f t="shared" si="167"/>
        <v>9.02929941765465</v>
      </c>
      <c r="N1086" s="39">
        <f t="shared" si="165"/>
        <v>0.000623830318153462</v>
      </c>
      <c r="O1086" s="675">
        <f t="shared" si="162"/>
        <v>15.6856302521008</v>
      </c>
      <c r="P1086">
        <f t="shared" si="163"/>
        <v>119</v>
      </c>
      <c r="Q1086" s="842">
        <f t="shared" si="164"/>
        <v>0.074235807860262</v>
      </c>
    </row>
    <row r="1087" spans="1:17">
      <c r="A1087" s="801">
        <v>45835</v>
      </c>
      <c r="B1087" s="670">
        <v>1854.48</v>
      </c>
      <c r="C1087" s="671">
        <v>97155</v>
      </c>
      <c r="D1087" s="37">
        <v>1570</v>
      </c>
      <c r="E1087" s="37">
        <v>0</v>
      </c>
      <c r="F1087" s="841">
        <v>0</v>
      </c>
      <c r="G1087" s="37">
        <v>76</v>
      </c>
      <c r="H1087" s="37">
        <v>38</v>
      </c>
      <c r="I1087" s="37">
        <v>6</v>
      </c>
      <c r="J1087" s="672">
        <f t="shared" si="160"/>
        <v>0.0161597447377901</v>
      </c>
      <c r="K1087" s="673">
        <f t="shared" si="161"/>
        <v>1.1811974522293</v>
      </c>
      <c r="L1087" s="809">
        <f t="shared" si="168"/>
        <v>19.0878493129535</v>
      </c>
      <c r="M1087" s="839">
        <f t="shared" si="167"/>
        <v>0</v>
      </c>
      <c r="N1087" s="39">
        <f t="shared" si="165"/>
        <v>0</v>
      </c>
      <c r="O1087" s="675">
        <f t="shared" si="162"/>
        <v>16.2673684210526</v>
      </c>
      <c r="P1087">
        <f t="shared" si="163"/>
        <v>114</v>
      </c>
      <c r="Q1087" s="842">
        <f t="shared" si="164"/>
        <v>0.0726114649681529</v>
      </c>
    </row>
    <row r="1088" spans="1:17">
      <c r="A1088" s="801">
        <v>45836</v>
      </c>
      <c r="B1088" s="670">
        <v>2168.53</v>
      </c>
      <c r="C1088" s="671">
        <v>108750</v>
      </c>
      <c r="D1088" s="37">
        <v>1932</v>
      </c>
      <c r="E1088" s="37">
        <v>1</v>
      </c>
      <c r="F1088" s="845">
        <v>6032</v>
      </c>
      <c r="G1088" s="37">
        <v>73</v>
      </c>
      <c r="H1088" s="37">
        <v>35</v>
      </c>
      <c r="I1088" s="37">
        <v>8</v>
      </c>
      <c r="J1088" s="672">
        <f t="shared" si="160"/>
        <v>0.0177655172413793</v>
      </c>
      <c r="K1088" s="673">
        <f t="shared" si="161"/>
        <v>1.12242753623188</v>
      </c>
      <c r="L1088" s="809">
        <f t="shared" si="168"/>
        <v>19.9405057471264</v>
      </c>
      <c r="M1088" s="839">
        <f t="shared" si="167"/>
        <v>2.78160781727714</v>
      </c>
      <c r="N1088" s="39">
        <f t="shared" si="165"/>
        <v>0.0005175983436853</v>
      </c>
      <c r="O1088" s="675">
        <f t="shared" si="162"/>
        <v>20.0789814814815</v>
      </c>
      <c r="P1088">
        <f t="shared" si="163"/>
        <v>108</v>
      </c>
      <c r="Q1088" s="842">
        <f t="shared" si="164"/>
        <v>0.0559006211180124</v>
      </c>
    </row>
    <row r="1089" spans="1:17">
      <c r="A1089" s="801">
        <v>45837</v>
      </c>
      <c r="B1089" s="670">
        <v>2003.24</v>
      </c>
      <c r="C1089" s="671">
        <v>114633</v>
      </c>
      <c r="D1089" s="37">
        <v>2013</v>
      </c>
      <c r="E1089" s="37">
        <v>1</v>
      </c>
      <c r="F1089" s="41">
        <v>11434</v>
      </c>
      <c r="G1089" s="37">
        <v>88</v>
      </c>
      <c r="H1089" s="37">
        <v>40</v>
      </c>
      <c r="I1089" s="37">
        <v>6</v>
      </c>
      <c r="J1089" s="672">
        <f t="shared" si="160"/>
        <v>0.0175603883698411</v>
      </c>
      <c r="K1089" s="673">
        <f t="shared" si="161"/>
        <v>0.995151515151515</v>
      </c>
      <c r="L1089" s="809">
        <f t="shared" si="168"/>
        <v>17.4752470928965</v>
      </c>
      <c r="M1089" s="839">
        <f t="shared" si="167"/>
        <v>5.70775343942813</v>
      </c>
      <c r="N1089" s="39">
        <f t="shared" si="165"/>
        <v>0.000496770988574267</v>
      </c>
      <c r="O1089" s="675">
        <f t="shared" si="162"/>
        <v>15.6503125</v>
      </c>
      <c r="P1089">
        <f t="shared" si="163"/>
        <v>128</v>
      </c>
      <c r="Q1089" s="842">
        <f t="shared" si="164"/>
        <v>0.0635866865375062</v>
      </c>
    </row>
    <row r="1090" spans="1:17">
      <c r="A1090" s="801">
        <v>45838</v>
      </c>
      <c r="B1090" s="670">
        <v>1978.51</v>
      </c>
      <c r="C1090" s="671">
        <v>138346</v>
      </c>
      <c r="D1090" s="37">
        <v>2211</v>
      </c>
      <c r="E1090" s="37">
        <v>2</v>
      </c>
      <c r="F1090" s="41">
        <v>29388</v>
      </c>
      <c r="G1090" s="37">
        <v>95</v>
      </c>
      <c r="H1090" s="37">
        <v>39</v>
      </c>
      <c r="I1090" s="37">
        <v>3</v>
      </c>
      <c r="J1090" s="672">
        <f t="shared" si="160"/>
        <v>0.0159816691483671</v>
      </c>
      <c r="K1090" s="673">
        <f t="shared" si="161"/>
        <v>0.894848484848485</v>
      </c>
      <c r="L1090" s="809">
        <f t="shared" si="168"/>
        <v>14.3011724227661</v>
      </c>
      <c r="M1090" s="839">
        <f t="shared" si="167"/>
        <v>14.8536019529848</v>
      </c>
      <c r="N1090" s="39">
        <f t="shared" si="165"/>
        <v>0.000904568068747173</v>
      </c>
      <c r="O1090" s="675">
        <f t="shared" si="162"/>
        <v>14.765</v>
      </c>
      <c r="P1090">
        <f t="shared" si="163"/>
        <v>134</v>
      </c>
      <c r="Q1090" s="842">
        <f t="shared" si="164"/>
        <v>0.0606060606060606</v>
      </c>
    </row>
    <row r="1091" spans="1:17">
      <c r="A1091" s="801">
        <v>45839</v>
      </c>
      <c r="B1091" s="670">
        <v>1591.98</v>
      </c>
      <c r="C1091" s="671">
        <v>146720</v>
      </c>
      <c r="D1091" s="37">
        <v>1922</v>
      </c>
      <c r="E1091" s="37">
        <v>0</v>
      </c>
      <c r="F1091" s="841">
        <v>0</v>
      </c>
      <c r="G1091" s="37">
        <v>56</v>
      </c>
      <c r="H1091" s="37">
        <v>21</v>
      </c>
      <c r="I1091" s="37">
        <v>4</v>
      </c>
      <c r="J1091" s="672">
        <f t="shared" si="160"/>
        <v>0.0130997818974918</v>
      </c>
      <c r="K1091" s="673">
        <f t="shared" si="161"/>
        <v>0.828293444328824</v>
      </c>
      <c r="L1091" s="809">
        <f t="shared" si="168"/>
        <v>10.8504634678299</v>
      </c>
      <c r="M1091" s="839">
        <f t="shared" si="167"/>
        <v>0</v>
      </c>
      <c r="N1091" s="39">
        <f t="shared" si="165"/>
        <v>0</v>
      </c>
      <c r="O1091" s="675">
        <f t="shared" si="162"/>
        <v>20.6750649350649</v>
      </c>
      <c r="P1091">
        <f t="shared" si="163"/>
        <v>77</v>
      </c>
      <c r="Q1091" s="842">
        <f t="shared" si="164"/>
        <v>0.0400624349635796</v>
      </c>
    </row>
    <row r="1092" spans="1:17">
      <c r="A1092" s="801">
        <v>45840</v>
      </c>
      <c r="B1092" s="670">
        <v>995.66</v>
      </c>
      <c r="C1092" s="671">
        <v>146011</v>
      </c>
      <c r="D1092" s="37">
        <v>1475</v>
      </c>
      <c r="E1092" s="37">
        <v>3</v>
      </c>
      <c r="F1092" s="41">
        <v>62612</v>
      </c>
      <c r="G1092" s="37">
        <v>48</v>
      </c>
      <c r="H1092" s="37">
        <v>24</v>
      </c>
      <c r="I1092" s="37">
        <v>4</v>
      </c>
      <c r="J1092" s="672">
        <f t="shared" si="160"/>
        <v>0.0101019786180493</v>
      </c>
      <c r="K1092" s="673">
        <f t="shared" si="161"/>
        <v>0.675023728813559</v>
      </c>
      <c r="L1092" s="809">
        <f t="shared" si="168"/>
        <v>6.8190752751505</v>
      </c>
      <c r="M1092" s="839">
        <f t="shared" si="167"/>
        <v>62.8849205552096</v>
      </c>
      <c r="N1092" s="39">
        <f t="shared" si="165"/>
        <v>0.00203389830508475</v>
      </c>
      <c r="O1092" s="675">
        <f t="shared" si="162"/>
        <v>13.8286111111111</v>
      </c>
      <c r="P1092">
        <f t="shared" si="163"/>
        <v>72</v>
      </c>
      <c r="Q1092" s="842">
        <f t="shared" si="164"/>
        <v>0.0488135593220339</v>
      </c>
    </row>
    <row r="1093" spans="1:17">
      <c r="A1093" s="801">
        <v>45841</v>
      </c>
      <c r="B1093" s="670">
        <v>993.92</v>
      </c>
      <c r="C1093" s="671">
        <v>125321</v>
      </c>
      <c r="D1093" s="37">
        <v>1599</v>
      </c>
      <c r="E1093" s="37">
        <v>2</v>
      </c>
      <c r="F1093" s="841">
        <v>19468</v>
      </c>
      <c r="G1093" s="37">
        <v>39</v>
      </c>
      <c r="H1093" s="37">
        <v>16</v>
      </c>
      <c r="I1093" s="37">
        <v>2</v>
      </c>
      <c r="J1093" s="672">
        <f t="shared" si="160"/>
        <v>0.0127592342863526</v>
      </c>
      <c r="K1093" s="673">
        <f t="shared" si="161"/>
        <v>0.621588492808005</v>
      </c>
      <c r="L1093" s="809">
        <f t="shared" si="168"/>
        <v>7.93099320943816</v>
      </c>
      <c r="M1093" s="839">
        <f t="shared" si="167"/>
        <v>19.5870895041854</v>
      </c>
      <c r="N1093" s="39">
        <f t="shared" si="165"/>
        <v>0.00125078173858662</v>
      </c>
      <c r="O1093" s="675">
        <f t="shared" si="162"/>
        <v>18.0712727272727</v>
      </c>
      <c r="P1093">
        <f t="shared" si="163"/>
        <v>55</v>
      </c>
      <c r="Q1093" s="842">
        <f t="shared" si="164"/>
        <v>0.034396497811132</v>
      </c>
    </row>
    <row r="1094" spans="1:17">
      <c r="A1094" s="801">
        <v>45842</v>
      </c>
      <c r="B1094" s="670">
        <v>994.94</v>
      </c>
      <c r="C1094" s="671">
        <v>137152</v>
      </c>
      <c r="D1094" s="37">
        <v>1740</v>
      </c>
      <c r="E1094" s="37">
        <v>2</v>
      </c>
      <c r="F1094" s="841">
        <v>58422</v>
      </c>
      <c r="G1094" s="37">
        <v>39</v>
      </c>
      <c r="H1094" s="37">
        <v>18</v>
      </c>
      <c r="I1094" s="37">
        <v>2</v>
      </c>
      <c r="J1094" s="672">
        <f t="shared" si="160"/>
        <v>0.0126866542230518</v>
      </c>
      <c r="K1094" s="673">
        <f t="shared" si="161"/>
        <v>0.571804597701149</v>
      </c>
      <c r="L1094" s="809">
        <f t="shared" si="168"/>
        <v>7.25428721418572</v>
      </c>
      <c r="M1094" s="839">
        <f t="shared" si="167"/>
        <v>58.7191187408286</v>
      </c>
      <c r="N1094" s="39">
        <f t="shared" si="165"/>
        <v>0.00114942528735632</v>
      </c>
      <c r="O1094" s="675">
        <f t="shared" si="162"/>
        <v>17.4550877192982</v>
      </c>
      <c r="P1094">
        <f t="shared" si="163"/>
        <v>57</v>
      </c>
      <c r="Q1094" s="842">
        <f t="shared" si="164"/>
        <v>0.0327586206896552</v>
      </c>
    </row>
    <row r="1095" spans="1:17">
      <c r="A1095" s="801">
        <v>45843</v>
      </c>
      <c r="B1095" s="670">
        <v>991.38</v>
      </c>
      <c r="C1095" s="671">
        <v>118653</v>
      </c>
      <c r="D1095" s="37">
        <v>1780</v>
      </c>
      <c r="E1095" s="37">
        <v>7</v>
      </c>
      <c r="F1095" s="41">
        <v>79644</v>
      </c>
      <c r="G1095" s="37">
        <v>43</v>
      </c>
      <c r="H1095" s="37">
        <v>22</v>
      </c>
      <c r="I1095" s="37">
        <v>3</v>
      </c>
      <c r="J1095" s="672">
        <f t="shared" si="160"/>
        <v>0.0150017277270697</v>
      </c>
      <c r="K1095" s="673">
        <f t="shared" si="161"/>
        <v>0.556955056179775</v>
      </c>
      <c r="L1095" s="809">
        <f t="shared" si="168"/>
        <v>8.35528810902379</v>
      </c>
      <c r="M1095" s="839">
        <f t="shared" si="167"/>
        <v>80.3365006354778</v>
      </c>
      <c r="N1095" s="39">
        <f t="shared" si="165"/>
        <v>0.00393258426966292</v>
      </c>
      <c r="O1095" s="675">
        <f t="shared" si="162"/>
        <v>15.252</v>
      </c>
      <c r="P1095">
        <f t="shared" si="163"/>
        <v>65</v>
      </c>
      <c r="Q1095" s="842">
        <f t="shared" si="164"/>
        <v>0.0365168539325843</v>
      </c>
    </row>
    <row r="1096" spans="1:17">
      <c r="A1096" s="801">
        <v>45844</v>
      </c>
      <c r="B1096" s="670">
        <v>993.99</v>
      </c>
      <c r="C1096" s="671">
        <v>95700</v>
      </c>
      <c r="D1096" s="37">
        <v>1498</v>
      </c>
      <c r="E1096" s="37">
        <v>3</v>
      </c>
      <c r="F1096" s="841">
        <v>32062</v>
      </c>
      <c r="G1096" s="37">
        <v>35</v>
      </c>
      <c r="H1096" s="37">
        <v>22</v>
      </c>
      <c r="I1096" s="37">
        <v>0</v>
      </c>
      <c r="J1096" s="672">
        <f t="shared" si="160"/>
        <v>0.0156530825496343</v>
      </c>
      <c r="K1096" s="673">
        <f t="shared" si="161"/>
        <v>0.663544726301736</v>
      </c>
      <c r="L1096" s="809">
        <f t="shared" si="168"/>
        <v>10.3865203761755</v>
      </c>
      <c r="M1096" s="839">
        <f t="shared" si="167"/>
        <v>32.2558577048059</v>
      </c>
      <c r="N1096" s="39">
        <f t="shared" si="165"/>
        <v>0.00200267022696929</v>
      </c>
      <c r="O1096" s="675">
        <f t="shared" si="162"/>
        <v>17.4384210526316</v>
      </c>
      <c r="P1096">
        <f t="shared" si="163"/>
        <v>57</v>
      </c>
      <c r="Q1096" s="842">
        <f t="shared" si="164"/>
        <v>0.0380507343124166</v>
      </c>
    </row>
    <row r="1097" spans="1:17">
      <c r="A1097" s="801">
        <v>45845</v>
      </c>
      <c r="B1097" s="670">
        <v>992.8</v>
      </c>
      <c r="C1097" s="671">
        <v>76723</v>
      </c>
      <c r="D1097" s="37">
        <v>1293</v>
      </c>
      <c r="E1097" s="37">
        <v>0</v>
      </c>
      <c r="F1097" s="841">
        <v>0</v>
      </c>
      <c r="G1097" s="37">
        <v>38</v>
      </c>
      <c r="H1097" s="37">
        <v>15</v>
      </c>
      <c r="I1097" s="37">
        <v>4</v>
      </c>
      <c r="J1097" s="672">
        <f t="shared" si="160"/>
        <v>0.0168528342218109</v>
      </c>
      <c r="K1097" s="673">
        <f t="shared" si="161"/>
        <v>0.767826759474091</v>
      </c>
      <c r="L1097" s="809">
        <f t="shared" si="168"/>
        <v>12.9400570884872</v>
      </c>
      <c r="M1097" s="839">
        <f t="shared" si="167"/>
        <v>0</v>
      </c>
      <c r="N1097" s="39">
        <f t="shared" si="165"/>
        <v>0</v>
      </c>
      <c r="O1097" s="675">
        <f t="shared" si="162"/>
        <v>18.7320754716981</v>
      </c>
      <c r="P1097">
        <f t="shared" si="163"/>
        <v>53</v>
      </c>
      <c r="Q1097" s="842">
        <f t="shared" si="164"/>
        <v>0.0409899458623357</v>
      </c>
    </row>
    <row r="1098" spans="1:17">
      <c r="A1098" s="801">
        <v>45846</v>
      </c>
      <c r="B1098" s="670">
        <v>994.4</v>
      </c>
      <c r="C1098" s="671">
        <v>66807</v>
      </c>
      <c r="D1098" s="37">
        <v>1267</v>
      </c>
      <c r="E1098" s="37">
        <v>0</v>
      </c>
      <c r="F1098" s="841">
        <v>0</v>
      </c>
      <c r="G1098" s="37">
        <v>30</v>
      </c>
      <c r="H1098" s="37">
        <v>14</v>
      </c>
      <c r="I1098" s="37">
        <v>1</v>
      </c>
      <c r="J1098" s="672">
        <f t="shared" si="160"/>
        <v>0.018965078509737</v>
      </c>
      <c r="K1098" s="673">
        <f t="shared" si="161"/>
        <v>0.784846093133386</v>
      </c>
      <c r="L1098" s="809">
        <f t="shared" si="168"/>
        <v>14.884667774335</v>
      </c>
      <c r="M1098" s="839">
        <f t="shared" si="167"/>
        <v>0</v>
      </c>
      <c r="N1098" s="39">
        <f t="shared" si="165"/>
        <v>0</v>
      </c>
      <c r="O1098" s="675">
        <f t="shared" si="162"/>
        <v>22.6</v>
      </c>
      <c r="P1098">
        <f t="shared" si="163"/>
        <v>44</v>
      </c>
      <c r="Q1098" s="842">
        <f t="shared" si="164"/>
        <v>0.0347277032359905</v>
      </c>
    </row>
    <row r="1099" spans="1:17">
      <c r="A1099" s="801">
        <v>45847</v>
      </c>
      <c r="B1099" s="670">
        <v>999.89</v>
      </c>
      <c r="C1099" s="671">
        <v>87913</v>
      </c>
      <c r="D1099" s="37">
        <v>1462</v>
      </c>
      <c r="E1099" s="37">
        <v>2</v>
      </c>
      <c r="F1099" s="41">
        <v>23255</v>
      </c>
      <c r="G1099" s="37">
        <v>35</v>
      </c>
      <c r="H1099" s="37">
        <v>15</v>
      </c>
      <c r="I1099" s="37">
        <v>2</v>
      </c>
      <c r="J1099" s="672">
        <f t="shared" si="160"/>
        <v>0.0166300774629463</v>
      </c>
      <c r="K1099" s="673">
        <f t="shared" si="161"/>
        <v>0.683919288645691</v>
      </c>
      <c r="L1099" s="809">
        <f t="shared" si="168"/>
        <v>11.373630748581</v>
      </c>
      <c r="M1099" s="839">
        <f t="shared" si="167"/>
        <v>23.2575583314165</v>
      </c>
      <c r="N1099" s="39">
        <f t="shared" si="165"/>
        <v>0.00136798905608755</v>
      </c>
      <c r="O1099" s="675">
        <f t="shared" si="162"/>
        <v>19.9978</v>
      </c>
      <c r="P1099">
        <f t="shared" si="163"/>
        <v>50</v>
      </c>
      <c r="Q1099" s="842">
        <f t="shared" si="164"/>
        <v>0.0341997264021888</v>
      </c>
    </row>
    <row r="1100" spans="1:17">
      <c r="A1100" s="801">
        <v>45848</v>
      </c>
      <c r="B1100" s="670">
        <v>991.8</v>
      </c>
      <c r="C1100" s="671">
        <v>95233</v>
      </c>
      <c r="D1100" s="37">
        <v>1484</v>
      </c>
      <c r="E1100" s="37">
        <v>3</v>
      </c>
      <c r="F1100" s="41">
        <v>36710</v>
      </c>
      <c r="G1100" s="37">
        <v>38</v>
      </c>
      <c r="H1100" s="37">
        <v>26</v>
      </c>
      <c r="I1100" s="37">
        <v>1</v>
      </c>
      <c r="J1100" s="672">
        <f t="shared" ref="J1100:J1163" si="169">D1100/C1100</f>
        <v>0.015582833681602</v>
      </c>
      <c r="K1100" s="673">
        <f t="shared" ref="K1100:K1163" si="170">B1100/D1100</f>
        <v>0.66832884097035</v>
      </c>
      <c r="L1100" s="809">
        <f t="shared" si="168"/>
        <v>10.4144571734588</v>
      </c>
      <c r="M1100" s="839">
        <f t="shared" si="167"/>
        <v>37.0135107884654</v>
      </c>
      <c r="N1100" s="39">
        <f t="shared" si="165"/>
        <v>0.00202156334231806</v>
      </c>
      <c r="O1100" s="675">
        <f t="shared" ref="O1100:O1163" si="171">B1100/(G1100+H1100)</f>
        <v>15.496875</v>
      </c>
      <c r="P1100">
        <f t="shared" ref="P1100:P1163" si="172">G1100+H1100</f>
        <v>64</v>
      </c>
      <c r="Q1100" s="842">
        <f t="shared" ref="Q1100:Q1163" si="173">P1100/D1100</f>
        <v>0.0431266846361186</v>
      </c>
    </row>
    <row r="1101" spans="1:17">
      <c r="A1101" s="801">
        <v>45849</v>
      </c>
      <c r="B1101" s="670">
        <v>990.81</v>
      </c>
      <c r="C1101" s="671">
        <v>103415</v>
      </c>
      <c r="D1101" s="37">
        <v>1562</v>
      </c>
      <c r="E1101" s="37">
        <v>5</v>
      </c>
      <c r="F1101" s="41">
        <v>70804</v>
      </c>
      <c r="G1101" s="37">
        <v>55</v>
      </c>
      <c r="H1101" s="37">
        <v>24</v>
      </c>
      <c r="I1101" s="37">
        <v>1</v>
      </c>
      <c r="J1101" s="672">
        <f t="shared" si="169"/>
        <v>0.0151041918483779</v>
      </c>
      <c r="K1101" s="673">
        <f t="shared" si="170"/>
        <v>0.63432138284251</v>
      </c>
      <c r="L1101" s="809">
        <f t="shared" si="168"/>
        <v>9.58091185998163</v>
      </c>
      <c r="M1101" s="839">
        <f t="shared" si="167"/>
        <v>71.4607240540568</v>
      </c>
      <c r="N1101" s="39">
        <f t="shared" si="165"/>
        <v>0.00320102432778489</v>
      </c>
      <c r="O1101" s="675">
        <f t="shared" si="171"/>
        <v>12.5418987341772</v>
      </c>
      <c r="P1101">
        <f t="shared" si="172"/>
        <v>79</v>
      </c>
      <c r="Q1101" s="842">
        <f t="shared" si="173"/>
        <v>0.0505761843790013</v>
      </c>
    </row>
    <row r="1102" spans="1:17">
      <c r="A1102" s="801">
        <v>45850</v>
      </c>
      <c r="B1102" s="670">
        <v>1204.05</v>
      </c>
      <c r="C1102" s="671">
        <v>114734</v>
      </c>
      <c r="D1102" s="37">
        <v>1786</v>
      </c>
      <c r="E1102" s="37">
        <v>6</v>
      </c>
      <c r="F1102" s="41">
        <v>100900</v>
      </c>
      <c r="G1102" s="37">
        <v>66</v>
      </c>
      <c r="H1102" s="37">
        <v>30</v>
      </c>
      <c r="I1102" s="37">
        <v>8</v>
      </c>
      <c r="J1102" s="672">
        <f t="shared" si="169"/>
        <v>0.0155664406366029</v>
      </c>
      <c r="K1102" s="673">
        <f t="shared" si="170"/>
        <v>0.674160134378499</v>
      </c>
      <c r="L1102" s="809">
        <f t="shared" si="168"/>
        <v>10.4942737113672</v>
      </c>
      <c r="M1102" s="839">
        <f t="shared" si="167"/>
        <v>83.8005066234791</v>
      </c>
      <c r="N1102" s="39">
        <f t="shared" si="165"/>
        <v>0.00335946248600224</v>
      </c>
      <c r="O1102" s="675">
        <f t="shared" si="171"/>
        <v>12.5421875</v>
      </c>
      <c r="P1102">
        <f t="shared" si="172"/>
        <v>96</v>
      </c>
      <c r="Q1102" s="842">
        <f t="shared" si="173"/>
        <v>0.0537513997760358</v>
      </c>
    </row>
    <row r="1103" spans="1:17">
      <c r="A1103" s="801">
        <v>45851</v>
      </c>
      <c r="B1103" s="670">
        <v>1383.81</v>
      </c>
      <c r="C1103" s="671">
        <v>113674</v>
      </c>
      <c r="D1103" s="37">
        <v>1761</v>
      </c>
      <c r="E1103" s="37">
        <v>5</v>
      </c>
      <c r="F1103" s="841">
        <v>52874</v>
      </c>
      <c r="G1103" s="37">
        <v>55</v>
      </c>
      <c r="H1103" s="37">
        <v>20</v>
      </c>
      <c r="I1103" s="37">
        <v>5</v>
      </c>
      <c r="J1103" s="672">
        <f t="shared" si="169"/>
        <v>0.0154916691591745</v>
      </c>
      <c r="K1103" s="673">
        <f t="shared" si="170"/>
        <v>0.785809199318569</v>
      </c>
      <c r="L1103" s="809">
        <f t="shared" si="168"/>
        <v>12.1734961380791</v>
      </c>
      <c r="M1103" s="839">
        <f t="shared" si="167"/>
        <v>38.2090026810039</v>
      </c>
      <c r="N1103" s="39">
        <f t="shared" ref="N1103:N1166" si="174">E1103/D1103</f>
        <v>0.00283929585462805</v>
      </c>
      <c r="O1103" s="675">
        <f t="shared" si="171"/>
        <v>18.4508</v>
      </c>
      <c r="P1103">
        <f t="shared" si="172"/>
        <v>75</v>
      </c>
      <c r="Q1103" s="842">
        <f t="shared" si="173"/>
        <v>0.0425894378194208</v>
      </c>
    </row>
    <row r="1104" spans="1:17">
      <c r="A1104" s="801">
        <v>45852</v>
      </c>
      <c r="B1104" s="670">
        <v>1391.68</v>
      </c>
      <c r="C1104" s="671">
        <v>115546</v>
      </c>
      <c r="D1104" s="37">
        <v>1740</v>
      </c>
      <c r="E1104" s="37">
        <v>1</v>
      </c>
      <c r="F1104" s="41">
        <v>23091</v>
      </c>
      <c r="G1104" s="37">
        <v>52</v>
      </c>
      <c r="H1104" s="37">
        <v>9</v>
      </c>
      <c r="I1104" s="37">
        <v>4</v>
      </c>
      <c r="J1104" s="672">
        <f t="shared" si="169"/>
        <v>0.015058937565991</v>
      </c>
      <c r="K1104" s="673">
        <f t="shared" si="170"/>
        <v>0.799816091954023</v>
      </c>
      <c r="L1104" s="809">
        <f t="shared" si="168"/>
        <v>12.0443805930106</v>
      </c>
      <c r="M1104" s="839">
        <f t="shared" si="167"/>
        <v>16.5921763623822</v>
      </c>
      <c r="N1104" s="39">
        <f t="shared" si="174"/>
        <v>0.000574712643678161</v>
      </c>
      <c r="O1104" s="675">
        <f t="shared" si="171"/>
        <v>22.8144262295082</v>
      </c>
      <c r="P1104">
        <f t="shared" si="172"/>
        <v>61</v>
      </c>
      <c r="Q1104" s="842">
        <f t="shared" si="173"/>
        <v>0.0350574712643678</v>
      </c>
    </row>
    <row r="1105" spans="1:17">
      <c r="A1105" s="801">
        <v>45853</v>
      </c>
      <c r="B1105" s="670">
        <v>1394.39</v>
      </c>
      <c r="C1105" s="671">
        <v>123484</v>
      </c>
      <c r="D1105" s="37">
        <v>1762</v>
      </c>
      <c r="E1105" s="37">
        <v>1</v>
      </c>
      <c r="F1105" s="841">
        <v>11124</v>
      </c>
      <c r="G1105" s="37">
        <v>62</v>
      </c>
      <c r="H1105" s="37">
        <v>11</v>
      </c>
      <c r="I1105" s="37">
        <v>6</v>
      </c>
      <c r="J1105" s="672">
        <f t="shared" si="169"/>
        <v>0.0142690551002559</v>
      </c>
      <c r="K1105" s="673">
        <f t="shared" si="170"/>
        <v>0.791367763904654</v>
      </c>
      <c r="L1105" s="809">
        <f t="shared" si="168"/>
        <v>11.2920702277218</v>
      </c>
      <c r="M1105" s="839">
        <f t="shared" si="167"/>
        <v>7.97768199714571</v>
      </c>
      <c r="N1105" s="39">
        <f t="shared" si="174"/>
        <v>0.000567536889897843</v>
      </c>
      <c r="O1105" s="675">
        <f t="shared" si="171"/>
        <v>19.1012328767123</v>
      </c>
      <c r="P1105">
        <f t="shared" si="172"/>
        <v>73</v>
      </c>
      <c r="Q1105" s="842">
        <f t="shared" si="173"/>
        <v>0.0414301929625426</v>
      </c>
    </row>
    <row r="1106" spans="1:17">
      <c r="A1106" s="801">
        <v>45854</v>
      </c>
      <c r="B1106" s="670">
        <v>1393.87</v>
      </c>
      <c r="C1106" s="671">
        <v>78624</v>
      </c>
      <c r="D1106" s="37">
        <v>1403</v>
      </c>
      <c r="E1106" s="37">
        <v>1</v>
      </c>
      <c r="F1106" s="41">
        <v>3894</v>
      </c>
      <c r="G1106" s="37">
        <v>100</v>
      </c>
      <c r="H1106" s="37">
        <v>12</v>
      </c>
      <c r="I1106" s="37">
        <v>4</v>
      </c>
      <c r="J1106" s="672">
        <f t="shared" si="169"/>
        <v>0.0178444240944241</v>
      </c>
      <c r="K1106" s="673">
        <f t="shared" si="170"/>
        <v>0.993492516037063</v>
      </c>
      <c r="L1106" s="809">
        <f t="shared" si="168"/>
        <v>17.7283017908018</v>
      </c>
      <c r="M1106" s="839">
        <f t="shared" si="167"/>
        <v>2.79366081485361</v>
      </c>
      <c r="N1106" s="39">
        <f t="shared" si="174"/>
        <v>0.000712758374910905</v>
      </c>
      <c r="O1106" s="675">
        <f t="shared" si="171"/>
        <v>12.4452678571429</v>
      </c>
      <c r="P1106">
        <f t="shared" si="172"/>
        <v>112</v>
      </c>
      <c r="Q1106" s="842">
        <f t="shared" si="173"/>
        <v>0.0798289379900214</v>
      </c>
    </row>
    <row r="1107" spans="1:17">
      <c r="A1107" s="801">
        <v>45855</v>
      </c>
      <c r="B1107" s="670">
        <v>1393.82</v>
      </c>
      <c r="C1107" s="671">
        <v>97442</v>
      </c>
      <c r="D1107" s="37">
        <v>1718</v>
      </c>
      <c r="E1107" s="37">
        <v>4</v>
      </c>
      <c r="F1107" s="841">
        <v>43045</v>
      </c>
      <c r="G1107" s="37">
        <v>81</v>
      </c>
      <c r="H1107" s="37">
        <v>18</v>
      </c>
      <c r="I1107" s="37">
        <v>8</v>
      </c>
      <c r="J1107" s="672">
        <f t="shared" si="169"/>
        <v>0.0176310010057265</v>
      </c>
      <c r="K1107" s="673">
        <f t="shared" si="170"/>
        <v>0.811303841676368</v>
      </c>
      <c r="L1107" s="809">
        <f t="shared" si="168"/>
        <v>14.3040988485458</v>
      </c>
      <c r="M1107" s="839">
        <f t="shared" ref="M1107:M1170" si="175">F1107/B1107</f>
        <v>30.8827538706576</v>
      </c>
      <c r="N1107" s="39">
        <f t="shared" si="174"/>
        <v>0.00232828870779977</v>
      </c>
      <c r="O1107" s="675">
        <f t="shared" si="171"/>
        <v>14.0789898989899</v>
      </c>
      <c r="P1107">
        <f t="shared" si="172"/>
        <v>99</v>
      </c>
      <c r="Q1107" s="842">
        <f t="shared" si="173"/>
        <v>0.0576251455180442</v>
      </c>
    </row>
    <row r="1108" spans="1:17">
      <c r="A1108" s="801">
        <v>45856</v>
      </c>
      <c r="B1108" s="670">
        <v>1392.02</v>
      </c>
      <c r="C1108" s="671">
        <v>94142</v>
      </c>
      <c r="D1108" s="37">
        <v>1558</v>
      </c>
      <c r="E1108" s="37">
        <v>0</v>
      </c>
      <c r="F1108" s="841">
        <v>0</v>
      </c>
      <c r="G1108" s="37">
        <v>58</v>
      </c>
      <c r="H1108" s="37">
        <v>14</v>
      </c>
      <c r="I1108" s="37">
        <v>7</v>
      </c>
      <c r="J1108" s="672">
        <f t="shared" si="169"/>
        <v>0.0165494678252002</v>
      </c>
      <c r="K1108" s="673">
        <f t="shared" si="170"/>
        <v>0.893465982028241</v>
      </c>
      <c r="L1108" s="809">
        <f t="shared" si="168"/>
        <v>14.7863865224873</v>
      </c>
      <c r="M1108" s="839">
        <f t="shared" si="175"/>
        <v>0</v>
      </c>
      <c r="N1108" s="39">
        <f t="shared" si="174"/>
        <v>0</v>
      </c>
      <c r="O1108" s="675">
        <f t="shared" si="171"/>
        <v>19.3336111111111</v>
      </c>
      <c r="P1108">
        <f t="shared" si="172"/>
        <v>72</v>
      </c>
      <c r="Q1108" s="842">
        <f t="shared" si="173"/>
        <v>0.0462130937098845</v>
      </c>
    </row>
    <row r="1109" spans="1:17">
      <c r="A1109" s="801">
        <v>45857</v>
      </c>
      <c r="B1109" s="670">
        <v>1390.41</v>
      </c>
      <c r="C1109" s="671">
        <v>139941</v>
      </c>
      <c r="D1109" s="37">
        <v>1912</v>
      </c>
      <c r="E1109" s="37">
        <v>4</v>
      </c>
      <c r="F1109" s="41">
        <v>39322</v>
      </c>
      <c r="G1109" s="37">
        <v>51</v>
      </c>
      <c r="H1109" s="37">
        <v>7</v>
      </c>
      <c r="I1109" s="37">
        <v>1</v>
      </c>
      <c r="J1109" s="672">
        <f t="shared" si="169"/>
        <v>0.013662900793906</v>
      </c>
      <c r="K1109" s="673">
        <f t="shared" si="170"/>
        <v>0.727201882845188</v>
      </c>
      <c r="L1109" s="809">
        <f t="shared" si="168"/>
        <v>9.93568718245546</v>
      </c>
      <c r="M1109" s="839">
        <f t="shared" si="175"/>
        <v>28.2808667946865</v>
      </c>
      <c r="N1109" s="39">
        <f t="shared" si="174"/>
        <v>0.00209205020920502</v>
      </c>
      <c r="O1109" s="675">
        <f t="shared" si="171"/>
        <v>23.9725862068966</v>
      </c>
      <c r="P1109">
        <f t="shared" si="172"/>
        <v>58</v>
      </c>
      <c r="Q1109" s="842">
        <f t="shared" si="173"/>
        <v>0.0303347280334728</v>
      </c>
    </row>
    <row r="1110" spans="1:17">
      <c r="A1110" s="801">
        <v>45858</v>
      </c>
      <c r="B1110" s="670">
        <v>1390.58</v>
      </c>
      <c r="C1110" s="671">
        <v>156122</v>
      </c>
      <c r="D1110" s="37">
        <v>1878</v>
      </c>
      <c r="E1110" s="37">
        <v>0</v>
      </c>
      <c r="F1110" s="841">
        <v>0</v>
      </c>
      <c r="G1110" s="37">
        <v>51</v>
      </c>
      <c r="H1110" s="37">
        <v>12</v>
      </c>
      <c r="I1110" s="37">
        <v>4</v>
      </c>
      <c r="J1110" s="672">
        <f t="shared" si="169"/>
        <v>0.0120290542012016</v>
      </c>
      <c r="K1110" s="673">
        <f t="shared" si="170"/>
        <v>0.740457933972311</v>
      </c>
      <c r="L1110" s="809">
        <f t="shared" si="168"/>
        <v>8.9070086214627</v>
      </c>
      <c r="M1110" s="839">
        <f t="shared" si="175"/>
        <v>0</v>
      </c>
      <c r="N1110" s="39">
        <f t="shared" si="174"/>
        <v>0</v>
      </c>
      <c r="O1110" s="675">
        <f t="shared" si="171"/>
        <v>22.0726984126984</v>
      </c>
      <c r="P1110">
        <f t="shared" si="172"/>
        <v>63</v>
      </c>
      <c r="Q1110" s="842">
        <f t="shared" si="173"/>
        <v>0.0335463258785942</v>
      </c>
    </row>
    <row r="1111" spans="1:17">
      <c r="A1111" s="801">
        <v>45859</v>
      </c>
      <c r="B1111" s="670">
        <v>1387.52</v>
      </c>
      <c r="C1111" s="671">
        <v>126062</v>
      </c>
      <c r="D1111" s="37">
        <v>2018</v>
      </c>
      <c r="E1111" s="37">
        <v>1</v>
      </c>
      <c r="F1111" s="841">
        <v>15854</v>
      </c>
      <c r="G1111" s="37">
        <v>57</v>
      </c>
      <c r="H1111" s="37">
        <v>12</v>
      </c>
      <c r="I1111" s="37">
        <v>3</v>
      </c>
      <c r="J1111" s="672">
        <f t="shared" si="169"/>
        <v>0.0160079960654281</v>
      </c>
      <c r="K1111" s="673">
        <f t="shared" si="170"/>
        <v>0.687571853320119</v>
      </c>
      <c r="L1111" s="809">
        <f t="shared" si="168"/>
        <v>11.0066475226476</v>
      </c>
      <c r="M1111" s="839">
        <f t="shared" si="175"/>
        <v>11.4261416051661</v>
      </c>
      <c r="N1111" s="39">
        <f t="shared" si="174"/>
        <v>0.000495540138751239</v>
      </c>
      <c r="O1111" s="675">
        <f t="shared" si="171"/>
        <v>20.1089855072464</v>
      </c>
      <c r="P1111">
        <f t="shared" si="172"/>
        <v>69</v>
      </c>
      <c r="Q1111" s="842">
        <f t="shared" si="173"/>
        <v>0.0341922695738355</v>
      </c>
    </row>
    <row r="1112" spans="1:17">
      <c r="A1112" s="801">
        <v>45860</v>
      </c>
      <c r="B1112" s="670">
        <v>1489.53</v>
      </c>
      <c r="C1112" s="671">
        <v>116520</v>
      </c>
      <c r="D1112" s="37">
        <v>2193</v>
      </c>
      <c r="E1112" s="37">
        <v>1</v>
      </c>
      <c r="F1112" s="841">
        <v>11124</v>
      </c>
      <c r="G1112" s="37">
        <v>53</v>
      </c>
      <c r="H1112" s="37">
        <v>9</v>
      </c>
      <c r="I1112" s="37">
        <v>3</v>
      </c>
      <c r="J1112" s="672">
        <f t="shared" si="169"/>
        <v>0.0188208032955716</v>
      </c>
      <c r="K1112" s="673">
        <f t="shared" si="170"/>
        <v>0.67922024623803</v>
      </c>
      <c r="L1112" s="809">
        <f t="shared" si="168"/>
        <v>12.7834706488157</v>
      </c>
      <c r="M1112" s="839">
        <f t="shared" si="175"/>
        <v>7.46812753016052</v>
      </c>
      <c r="N1112" s="39">
        <f t="shared" si="174"/>
        <v>0.000455996352029184</v>
      </c>
      <c r="O1112" s="675">
        <f t="shared" si="171"/>
        <v>24.0246774193548</v>
      </c>
      <c r="P1112">
        <f t="shared" si="172"/>
        <v>62</v>
      </c>
      <c r="Q1112" s="842">
        <f t="shared" si="173"/>
        <v>0.0282717738258094</v>
      </c>
    </row>
    <row r="1113" spans="1:17">
      <c r="A1113" s="801">
        <v>45861</v>
      </c>
      <c r="B1113" s="670">
        <v>1496.12</v>
      </c>
      <c r="C1113" s="671">
        <v>119182</v>
      </c>
      <c r="D1113" s="37">
        <v>1943</v>
      </c>
      <c r="E1113" s="37">
        <v>0</v>
      </c>
      <c r="F1113" s="841">
        <v>0</v>
      </c>
      <c r="G1113" s="37">
        <v>52</v>
      </c>
      <c r="H1113" s="37">
        <v>22</v>
      </c>
      <c r="I1113" s="37">
        <v>4</v>
      </c>
      <c r="J1113" s="672">
        <f t="shared" si="169"/>
        <v>0.0163027974022923</v>
      </c>
      <c r="K1113" s="673">
        <f t="shared" si="170"/>
        <v>0.770005146680391</v>
      </c>
      <c r="L1113" s="809">
        <f t="shared" si="168"/>
        <v>12.5532379050528</v>
      </c>
      <c r="M1113" s="839">
        <f t="shared" si="175"/>
        <v>0</v>
      </c>
      <c r="N1113" s="39">
        <f t="shared" si="174"/>
        <v>0</v>
      </c>
      <c r="O1113" s="675">
        <f t="shared" si="171"/>
        <v>20.2178378378378</v>
      </c>
      <c r="P1113">
        <f t="shared" si="172"/>
        <v>74</v>
      </c>
      <c r="Q1113" s="842">
        <f t="shared" si="173"/>
        <v>0.0380854348944931</v>
      </c>
    </row>
    <row r="1114" spans="1:17">
      <c r="A1114" s="801">
        <v>45862</v>
      </c>
      <c r="B1114" s="670">
        <v>1486.51</v>
      </c>
      <c r="C1114" s="671">
        <v>138112</v>
      </c>
      <c r="D1114" s="37">
        <v>2022</v>
      </c>
      <c r="E1114" s="37">
        <v>2</v>
      </c>
      <c r="F1114" s="841">
        <v>40178</v>
      </c>
      <c r="G1114" s="37">
        <v>72</v>
      </c>
      <c r="H1114" s="37">
        <v>15</v>
      </c>
      <c r="I1114" s="37">
        <v>3</v>
      </c>
      <c r="J1114" s="672">
        <f t="shared" si="169"/>
        <v>0.0146402919369787</v>
      </c>
      <c r="K1114" s="673">
        <f t="shared" si="170"/>
        <v>0.735168150346192</v>
      </c>
      <c r="L1114" s="809">
        <f t="shared" si="168"/>
        <v>10.7630763438369</v>
      </c>
      <c r="M1114" s="839">
        <f t="shared" si="175"/>
        <v>27.0284088233513</v>
      </c>
      <c r="N1114" s="39">
        <f t="shared" si="174"/>
        <v>0.000989119683481701</v>
      </c>
      <c r="O1114" s="675">
        <f t="shared" si="171"/>
        <v>17.0863218390805</v>
      </c>
      <c r="P1114">
        <f t="shared" si="172"/>
        <v>87</v>
      </c>
      <c r="Q1114" s="842">
        <f t="shared" si="173"/>
        <v>0.043026706231454</v>
      </c>
    </row>
    <row r="1115" spans="1:17">
      <c r="A1115" s="801">
        <v>45863</v>
      </c>
      <c r="B1115" s="670">
        <v>1489.71</v>
      </c>
      <c r="C1115" s="671">
        <v>146655</v>
      </c>
      <c r="D1115" s="37">
        <v>2386</v>
      </c>
      <c r="E1115" s="37">
        <v>2</v>
      </c>
      <c r="F1115" s="41">
        <v>21566</v>
      </c>
      <c r="G1115" s="37">
        <v>50</v>
      </c>
      <c r="H1115" s="37">
        <v>29</v>
      </c>
      <c r="I1115" s="37">
        <v>6</v>
      </c>
      <c r="J1115" s="672">
        <f t="shared" si="169"/>
        <v>0.0162694759810439</v>
      </c>
      <c r="K1115" s="673">
        <f t="shared" si="170"/>
        <v>0.624354568315172</v>
      </c>
      <c r="L1115" s="809">
        <f t="shared" si="168"/>
        <v>10.1579216528588</v>
      </c>
      <c r="M1115" s="839">
        <f t="shared" si="175"/>
        <v>14.4766431050339</v>
      </c>
      <c r="N1115" s="39">
        <f t="shared" si="174"/>
        <v>0.000838222967309304</v>
      </c>
      <c r="O1115" s="675">
        <f t="shared" si="171"/>
        <v>18.8570886075949</v>
      </c>
      <c r="P1115">
        <f t="shared" si="172"/>
        <v>79</v>
      </c>
      <c r="Q1115" s="842">
        <f t="shared" si="173"/>
        <v>0.0331098072087175</v>
      </c>
    </row>
    <row r="1116" spans="1:17">
      <c r="A1116" s="801">
        <v>45864</v>
      </c>
      <c r="B1116" s="670">
        <v>1489.19</v>
      </c>
      <c r="C1116" s="671">
        <v>115532</v>
      </c>
      <c r="D1116" s="37">
        <v>2098</v>
      </c>
      <c r="E1116" s="37">
        <v>2</v>
      </c>
      <c r="F1116" s="41">
        <v>18398</v>
      </c>
      <c r="G1116" s="37">
        <v>67</v>
      </c>
      <c r="H1116" s="37">
        <v>21</v>
      </c>
      <c r="I1116" s="37">
        <v>9</v>
      </c>
      <c r="J1116" s="672">
        <f t="shared" si="169"/>
        <v>0.0181594709690822</v>
      </c>
      <c r="K1116" s="673">
        <f t="shared" si="170"/>
        <v>0.709814108674929</v>
      </c>
      <c r="L1116" s="809">
        <f t="shared" si="168"/>
        <v>12.8898486999273</v>
      </c>
      <c r="M1116" s="839">
        <f t="shared" si="175"/>
        <v>12.354367139183</v>
      </c>
      <c r="N1116" s="39">
        <f t="shared" si="174"/>
        <v>0.000953288846520496</v>
      </c>
      <c r="O1116" s="675">
        <f t="shared" si="171"/>
        <v>16.9226136363636</v>
      </c>
      <c r="P1116">
        <f t="shared" si="172"/>
        <v>88</v>
      </c>
      <c r="Q1116" s="842">
        <f t="shared" si="173"/>
        <v>0.0419447092469018</v>
      </c>
    </row>
    <row r="1117" spans="1:17">
      <c r="A1117" s="801">
        <v>45865</v>
      </c>
      <c r="B1117" s="670">
        <v>1483.89</v>
      </c>
      <c r="C1117" s="671">
        <v>143289</v>
      </c>
      <c r="D1117" s="37">
        <v>2150</v>
      </c>
      <c r="E1117" s="37">
        <v>2</v>
      </c>
      <c r="F1117" s="41">
        <v>15080</v>
      </c>
      <c r="G1117" s="37">
        <v>67</v>
      </c>
      <c r="H1117" s="37">
        <v>20</v>
      </c>
      <c r="I1117" s="37">
        <v>6</v>
      </c>
      <c r="J1117" s="672">
        <f t="shared" si="169"/>
        <v>0.0150046409703466</v>
      </c>
      <c r="K1117" s="673">
        <f t="shared" si="170"/>
        <v>0.690181395348837</v>
      </c>
      <c r="L1117" s="809">
        <f t="shared" si="168"/>
        <v>10.3559240416222</v>
      </c>
      <c r="M1117" s="839">
        <f t="shared" si="175"/>
        <v>10.1624783508212</v>
      </c>
      <c r="N1117" s="39">
        <f t="shared" si="174"/>
        <v>0.000930232558139535</v>
      </c>
      <c r="O1117" s="675">
        <f t="shared" si="171"/>
        <v>17.0562068965517</v>
      </c>
      <c r="P1117">
        <f t="shared" si="172"/>
        <v>87</v>
      </c>
      <c r="Q1117" s="842">
        <f t="shared" si="173"/>
        <v>0.0404651162790698</v>
      </c>
    </row>
    <row r="1118" spans="1:17">
      <c r="A1118" s="801">
        <v>45866</v>
      </c>
      <c r="B1118" s="670">
        <v>1473.68</v>
      </c>
      <c r="C1118" s="671">
        <v>155198</v>
      </c>
      <c r="D1118" s="37">
        <v>2287</v>
      </c>
      <c r="E1118" s="37">
        <v>0</v>
      </c>
      <c r="F1118" s="841">
        <v>0</v>
      </c>
      <c r="G1118" s="37">
        <v>44</v>
      </c>
      <c r="H1118" s="37">
        <v>16</v>
      </c>
      <c r="I1118" s="37">
        <v>2</v>
      </c>
      <c r="J1118" s="672">
        <f t="shared" si="169"/>
        <v>0.0147360146393639</v>
      </c>
      <c r="K1118" s="673">
        <f t="shared" si="170"/>
        <v>0.644372540445999</v>
      </c>
      <c r="L1118" s="809">
        <f t="shared" si="168"/>
        <v>9.49548318921636</v>
      </c>
      <c r="M1118" s="839">
        <f t="shared" si="175"/>
        <v>0</v>
      </c>
      <c r="N1118" s="39">
        <f t="shared" si="174"/>
        <v>0</v>
      </c>
      <c r="O1118" s="675">
        <f t="shared" si="171"/>
        <v>24.5613333333333</v>
      </c>
      <c r="P1118">
        <f t="shared" si="172"/>
        <v>60</v>
      </c>
      <c r="Q1118" s="842">
        <f t="shared" si="173"/>
        <v>0.0262352426759948</v>
      </c>
    </row>
    <row r="1119" spans="1:17">
      <c r="A1119" s="801">
        <v>45867</v>
      </c>
      <c r="B1119" s="670">
        <v>1478.47</v>
      </c>
      <c r="C1119" s="671">
        <v>113639</v>
      </c>
      <c r="D1119" s="37">
        <v>1861</v>
      </c>
      <c r="E1119" s="37">
        <v>3</v>
      </c>
      <c r="F1119" s="41">
        <v>28982</v>
      </c>
      <c r="G1119" s="37">
        <v>56</v>
      </c>
      <c r="H1119" s="37">
        <v>20</v>
      </c>
      <c r="I1119" s="37">
        <v>3</v>
      </c>
      <c r="J1119" s="672">
        <f t="shared" si="169"/>
        <v>0.0163764200670544</v>
      </c>
      <c r="K1119" s="673">
        <f t="shared" si="170"/>
        <v>0.794449220849006</v>
      </c>
      <c r="L1119" s="809">
        <f t="shared" si="168"/>
        <v>13.0102341625674</v>
      </c>
      <c r="M1119" s="839">
        <f t="shared" si="175"/>
        <v>19.6026973831055</v>
      </c>
      <c r="N1119" s="39">
        <f t="shared" si="174"/>
        <v>0.0016120365394949</v>
      </c>
      <c r="O1119" s="675">
        <f t="shared" si="171"/>
        <v>19.4535526315789</v>
      </c>
      <c r="P1119">
        <f t="shared" si="172"/>
        <v>76</v>
      </c>
      <c r="Q1119" s="842">
        <f t="shared" si="173"/>
        <v>0.0408382590005373</v>
      </c>
    </row>
    <row r="1120" spans="1:17">
      <c r="A1120" s="801">
        <v>45868</v>
      </c>
      <c r="B1120" s="670">
        <v>1497.17</v>
      </c>
      <c r="C1120" s="671">
        <v>104253</v>
      </c>
      <c r="D1120" s="37">
        <v>1779</v>
      </c>
      <c r="E1120" s="37">
        <v>1</v>
      </c>
      <c r="F1120" s="41">
        <v>10874</v>
      </c>
      <c r="G1120" s="37">
        <v>53</v>
      </c>
      <c r="H1120" s="37">
        <v>10</v>
      </c>
      <c r="I1120" s="37">
        <v>4</v>
      </c>
      <c r="J1120" s="672">
        <f t="shared" si="169"/>
        <v>0.0170642571436793</v>
      </c>
      <c r="K1120" s="673">
        <f t="shared" si="170"/>
        <v>0.841579539066892</v>
      </c>
      <c r="L1120" s="809">
        <f t="shared" si="168"/>
        <v>14.3609296614966</v>
      </c>
      <c r="M1120" s="839">
        <f t="shared" si="175"/>
        <v>7.26303626174716</v>
      </c>
      <c r="N1120" s="39">
        <f t="shared" si="174"/>
        <v>0.000562113546936481</v>
      </c>
      <c r="O1120" s="675">
        <f t="shared" si="171"/>
        <v>23.7646031746032</v>
      </c>
      <c r="P1120">
        <f t="shared" si="172"/>
        <v>63</v>
      </c>
      <c r="Q1120" s="842">
        <f t="shared" si="173"/>
        <v>0.0354131534569983</v>
      </c>
    </row>
    <row r="1121" spans="1:17">
      <c r="A1121" s="801">
        <v>45869</v>
      </c>
      <c r="B1121" s="670">
        <v>1484.01</v>
      </c>
      <c r="C1121" s="671">
        <v>77449</v>
      </c>
      <c r="D1121" s="37">
        <v>1379</v>
      </c>
      <c r="E1121" s="37">
        <v>1</v>
      </c>
      <c r="F1121" s="841">
        <v>12912</v>
      </c>
      <c r="G1121" s="37">
        <v>90</v>
      </c>
      <c r="H1121" s="37">
        <v>14</v>
      </c>
      <c r="I1121" s="37">
        <v>7</v>
      </c>
      <c r="J1121" s="672">
        <f t="shared" si="169"/>
        <v>0.0178052654004571</v>
      </c>
      <c r="K1121" s="673">
        <f t="shared" si="170"/>
        <v>1.07614938361131</v>
      </c>
      <c r="L1121" s="809">
        <f t="shared" si="168"/>
        <v>19.1611253857377</v>
      </c>
      <c r="M1121" s="839">
        <f t="shared" si="175"/>
        <v>8.70074999494613</v>
      </c>
      <c r="N1121" s="39">
        <f t="shared" si="174"/>
        <v>0.000725163161711385</v>
      </c>
      <c r="O1121" s="675">
        <f t="shared" si="171"/>
        <v>14.2693269230769</v>
      </c>
      <c r="P1121">
        <f t="shared" si="172"/>
        <v>104</v>
      </c>
      <c r="Q1121" s="842">
        <f t="shared" si="173"/>
        <v>0.075416968817984</v>
      </c>
    </row>
    <row r="1122" spans="1:17">
      <c r="A1122" s="801">
        <v>45870</v>
      </c>
      <c r="B1122" s="670">
        <v>965.91</v>
      </c>
      <c r="C1122" s="671">
        <v>62000</v>
      </c>
      <c r="D1122" s="37">
        <v>829</v>
      </c>
      <c r="E1122" s="37">
        <v>0</v>
      </c>
      <c r="F1122" s="841">
        <v>0</v>
      </c>
      <c r="G1122" s="37">
        <v>30</v>
      </c>
      <c r="H1122" s="37">
        <v>4</v>
      </c>
      <c r="I1122" s="37">
        <v>1</v>
      </c>
      <c r="J1122" s="672">
        <f t="shared" si="169"/>
        <v>0.0133709677419355</v>
      </c>
      <c r="K1122" s="673">
        <f t="shared" si="170"/>
        <v>1.1651507840772</v>
      </c>
      <c r="L1122" s="809">
        <f t="shared" ref="L1122:L1185" si="176">B1122/C1122*1000</f>
        <v>15.5791935483871</v>
      </c>
      <c r="M1122" s="839">
        <f t="shared" si="175"/>
        <v>0</v>
      </c>
      <c r="N1122" s="39">
        <f t="shared" si="174"/>
        <v>0</v>
      </c>
      <c r="O1122" s="675">
        <f t="shared" si="171"/>
        <v>28.4091176470588</v>
      </c>
      <c r="P1122">
        <f t="shared" si="172"/>
        <v>34</v>
      </c>
      <c r="Q1122" s="842">
        <f t="shared" si="173"/>
        <v>0.0410132689987937</v>
      </c>
    </row>
    <row r="1123" spans="1:17">
      <c r="A1123" s="801">
        <v>45871</v>
      </c>
      <c r="B1123" s="670">
        <v>1455.33</v>
      </c>
      <c r="C1123" s="671">
        <v>80760</v>
      </c>
      <c r="D1123" s="37">
        <v>1482</v>
      </c>
      <c r="E1123" s="37">
        <v>1</v>
      </c>
      <c r="F1123" s="841">
        <v>9525</v>
      </c>
      <c r="G1123" s="37">
        <v>42</v>
      </c>
      <c r="H1123" s="37">
        <v>18</v>
      </c>
      <c r="I1123" s="37">
        <v>7</v>
      </c>
      <c r="J1123" s="672">
        <f t="shared" si="169"/>
        <v>0.0183506686478455</v>
      </c>
      <c r="K1123" s="673">
        <f t="shared" si="170"/>
        <v>0.982004048582996</v>
      </c>
      <c r="L1123" s="809">
        <f t="shared" si="176"/>
        <v>18.0204309063893</v>
      </c>
      <c r="M1123" s="839">
        <f t="shared" si="175"/>
        <v>6.54490734060316</v>
      </c>
      <c r="N1123" s="39">
        <f t="shared" si="174"/>
        <v>0.000674763832658569</v>
      </c>
      <c r="O1123" s="675">
        <f t="shared" si="171"/>
        <v>24.2555</v>
      </c>
      <c r="P1123">
        <f t="shared" si="172"/>
        <v>60</v>
      </c>
      <c r="Q1123" s="842">
        <f t="shared" si="173"/>
        <v>0.0404858299595142</v>
      </c>
    </row>
    <row r="1124" spans="1:17">
      <c r="A1124" s="801">
        <v>45872</v>
      </c>
      <c r="B1124" s="670">
        <v>1489.79</v>
      </c>
      <c r="C1124" s="671">
        <v>104861</v>
      </c>
      <c r="D1124" s="37">
        <v>1473</v>
      </c>
      <c r="E1124" s="37">
        <v>2</v>
      </c>
      <c r="F1124" s="841">
        <v>22331</v>
      </c>
      <c r="G1124" s="37">
        <v>53</v>
      </c>
      <c r="H1124" s="37">
        <v>13</v>
      </c>
      <c r="I1124" s="37">
        <v>4</v>
      </c>
      <c r="J1124" s="672">
        <f t="shared" si="169"/>
        <v>0.0140471672022964</v>
      </c>
      <c r="K1124" s="673">
        <f t="shared" si="170"/>
        <v>1.01139850644942</v>
      </c>
      <c r="L1124" s="809">
        <f t="shared" si="176"/>
        <v>14.2072839282479</v>
      </c>
      <c r="M1124" s="839">
        <f t="shared" si="175"/>
        <v>14.9893609166393</v>
      </c>
      <c r="N1124" s="39">
        <f t="shared" si="174"/>
        <v>0.00135777325186694</v>
      </c>
      <c r="O1124" s="675">
        <f t="shared" si="171"/>
        <v>22.5725757575758</v>
      </c>
      <c r="P1124">
        <f t="shared" si="172"/>
        <v>66</v>
      </c>
      <c r="Q1124" s="842">
        <f t="shared" si="173"/>
        <v>0.044806517311609</v>
      </c>
    </row>
    <row r="1125" spans="1:17">
      <c r="A1125" s="801">
        <v>45873</v>
      </c>
      <c r="B1125" s="670">
        <v>1490.5</v>
      </c>
      <c r="C1125" s="671">
        <v>105411</v>
      </c>
      <c r="D1125" s="37">
        <v>1418</v>
      </c>
      <c r="E1125" s="37">
        <v>1</v>
      </c>
      <c r="F1125" s="841">
        <v>8814</v>
      </c>
      <c r="G1125" s="37">
        <v>44</v>
      </c>
      <c r="H1125" s="37">
        <v>11</v>
      </c>
      <c r="I1125" s="37">
        <v>3</v>
      </c>
      <c r="J1125" s="672">
        <f t="shared" si="169"/>
        <v>0.0134521065163977</v>
      </c>
      <c r="K1125" s="673">
        <f t="shared" si="170"/>
        <v>1.05112834978843</v>
      </c>
      <c r="L1125" s="809">
        <f t="shared" si="176"/>
        <v>14.1398905237594</v>
      </c>
      <c r="M1125" s="839">
        <f t="shared" si="175"/>
        <v>5.91345186179135</v>
      </c>
      <c r="N1125" s="39">
        <f t="shared" si="174"/>
        <v>0.000705218617771509</v>
      </c>
      <c r="O1125" s="675">
        <f t="shared" si="171"/>
        <v>27.1</v>
      </c>
      <c r="P1125">
        <f t="shared" si="172"/>
        <v>55</v>
      </c>
      <c r="Q1125" s="842">
        <f t="shared" si="173"/>
        <v>0.038787023977433</v>
      </c>
    </row>
    <row r="1126" spans="1:17">
      <c r="A1126" s="801">
        <v>45874</v>
      </c>
      <c r="B1126" s="670">
        <v>1490.07</v>
      </c>
      <c r="C1126" s="671">
        <v>103096</v>
      </c>
      <c r="D1126" s="37">
        <v>1736</v>
      </c>
      <c r="E1126" s="37">
        <v>0</v>
      </c>
      <c r="F1126" s="841">
        <v>0</v>
      </c>
      <c r="G1126" s="37">
        <v>72</v>
      </c>
      <c r="H1126" s="37">
        <v>10</v>
      </c>
      <c r="I1126" s="37">
        <v>5</v>
      </c>
      <c r="J1126" s="672">
        <f t="shared" si="169"/>
        <v>0.0168386746333514</v>
      </c>
      <c r="K1126" s="673">
        <f t="shared" si="170"/>
        <v>0.858335253456221</v>
      </c>
      <c r="L1126" s="809">
        <f t="shared" si="176"/>
        <v>14.4532280592845</v>
      </c>
      <c r="M1126" s="839">
        <f t="shared" si="175"/>
        <v>0</v>
      </c>
      <c r="N1126" s="39">
        <f t="shared" si="174"/>
        <v>0</v>
      </c>
      <c r="O1126" s="675">
        <f t="shared" si="171"/>
        <v>18.1715853658537</v>
      </c>
      <c r="P1126">
        <f t="shared" si="172"/>
        <v>82</v>
      </c>
      <c r="Q1126" s="842">
        <f t="shared" si="173"/>
        <v>0.0472350230414747</v>
      </c>
    </row>
    <row r="1127" spans="1:17">
      <c r="A1127" s="801">
        <v>45875</v>
      </c>
      <c r="B1127" s="670">
        <v>1498.05</v>
      </c>
      <c r="C1127" s="671">
        <v>105924</v>
      </c>
      <c r="D1127" s="37">
        <v>2009</v>
      </c>
      <c r="E1127" s="37">
        <v>4</v>
      </c>
      <c r="F1127" s="41">
        <v>36020</v>
      </c>
      <c r="G1127" s="37">
        <v>72</v>
      </c>
      <c r="H1127" s="37">
        <v>11</v>
      </c>
      <c r="I1127" s="37">
        <v>6</v>
      </c>
      <c r="J1127" s="672">
        <f t="shared" si="169"/>
        <v>0.0189664287602432</v>
      </c>
      <c r="K1127" s="673">
        <f t="shared" si="170"/>
        <v>0.745669487307118</v>
      </c>
      <c r="L1127" s="809">
        <f t="shared" si="176"/>
        <v>14.1426872096975</v>
      </c>
      <c r="M1127" s="839">
        <f t="shared" si="175"/>
        <v>24.044591302026</v>
      </c>
      <c r="N1127" s="39">
        <f t="shared" si="174"/>
        <v>0.00199104031856645</v>
      </c>
      <c r="O1127" s="675">
        <f t="shared" si="171"/>
        <v>18.0487951807229</v>
      </c>
      <c r="P1127">
        <f t="shared" si="172"/>
        <v>83</v>
      </c>
      <c r="Q1127" s="842">
        <f t="shared" si="173"/>
        <v>0.0413140866102539</v>
      </c>
    </row>
    <row r="1128" spans="1:17">
      <c r="A1128" s="801">
        <v>45876</v>
      </c>
      <c r="B1128" s="670">
        <v>1454.31</v>
      </c>
      <c r="C1128" s="671">
        <v>92629</v>
      </c>
      <c r="D1128" s="37">
        <v>1805</v>
      </c>
      <c r="E1128" s="37">
        <v>1</v>
      </c>
      <c r="F1128" s="841">
        <v>12814</v>
      </c>
      <c r="G1128" s="37">
        <v>56</v>
      </c>
      <c r="H1128" s="37">
        <v>11</v>
      </c>
      <c r="I1128" s="37">
        <v>4</v>
      </c>
      <c r="J1128" s="672">
        <f t="shared" si="169"/>
        <v>0.0194863379719094</v>
      </c>
      <c r="K1128" s="673">
        <f t="shared" si="170"/>
        <v>0.805711911357341</v>
      </c>
      <c r="L1128" s="809">
        <f t="shared" si="176"/>
        <v>15.7003746127023</v>
      </c>
      <c r="M1128" s="839">
        <f t="shared" si="175"/>
        <v>8.81105128892739</v>
      </c>
      <c r="N1128" s="39">
        <f t="shared" si="174"/>
        <v>0.000554016620498615</v>
      </c>
      <c r="O1128" s="675">
        <f t="shared" si="171"/>
        <v>21.7061194029851</v>
      </c>
      <c r="P1128">
        <f t="shared" si="172"/>
        <v>67</v>
      </c>
      <c r="Q1128" s="842">
        <f t="shared" si="173"/>
        <v>0.0371191135734072</v>
      </c>
    </row>
    <row r="1129" spans="1:17">
      <c r="A1129" s="801">
        <v>45877</v>
      </c>
      <c r="B1129" s="670">
        <v>1235</v>
      </c>
      <c r="C1129" s="671">
        <v>87182</v>
      </c>
      <c r="D1129" s="37">
        <v>1472</v>
      </c>
      <c r="E1129" s="37">
        <v>1</v>
      </c>
      <c r="F1129" s="841">
        <v>7694</v>
      </c>
      <c r="G1129" s="37">
        <v>42</v>
      </c>
      <c r="H1129" s="37">
        <v>14</v>
      </c>
      <c r="I1129" s="37">
        <v>1</v>
      </c>
      <c r="J1129" s="672">
        <f t="shared" si="169"/>
        <v>0.0168842192195637</v>
      </c>
      <c r="K1129" s="673">
        <f t="shared" si="170"/>
        <v>0.838994565217391</v>
      </c>
      <c r="L1129" s="809">
        <f t="shared" si="176"/>
        <v>14.1657681631529</v>
      </c>
      <c r="M1129" s="839">
        <f t="shared" si="175"/>
        <v>6.22995951417004</v>
      </c>
      <c r="N1129" s="39">
        <f t="shared" si="174"/>
        <v>0.000679347826086957</v>
      </c>
      <c r="O1129" s="675">
        <f t="shared" si="171"/>
        <v>22.0535714285714</v>
      </c>
      <c r="P1129">
        <f t="shared" si="172"/>
        <v>56</v>
      </c>
      <c r="Q1129" s="842">
        <f t="shared" si="173"/>
        <v>0.0380434782608696</v>
      </c>
    </row>
    <row r="1130" spans="1:17">
      <c r="A1130" s="801">
        <v>45878</v>
      </c>
      <c r="B1130" s="670">
        <v>1234.1</v>
      </c>
      <c r="C1130" s="671">
        <v>72744</v>
      </c>
      <c r="D1130" s="37">
        <v>1433</v>
      </c>
      <c r="E1130" s="37">
        <v>16</v>
      </c>
      <c r="F1130" s="41">
        <v>159713</v>
      </c>
      <c r="G1130" s="37">
        <v>86</v>
      </c>
      <c r="H1130" s="37">
        <v>9</v>
      </c>
      <c r="I1130" s="37">
        <v>4</v>
      </c>
      <c r="J1130" s="672">
        <f t="shared" si="169"/>
        <v>0.0196992191795887</v>
      </c>
      <c r="K1130" s="673">
        <f t="shared" si="170"/>
        <v>0.861200279134682</v>
      </c>
      <c r="L1130" s="809">
        <f t="shared" si="176"/>
        <v>16.9649730561971</v>
      </c>
      <c r="M1130" s="839">
        <f t="shared" si="175"/>
        <v>129.416578883397</v>
      </c>
      <c r="N1130" s="39">
        <f t="shared" si="174"/>
        <v>0.0111653872993719</v>
      </c>
      <c r="O1130" s="675">
        <f t="shared" si="171"/>
        <v>12.9905263157895</v>
      </c>
      <c r="P1130">
        <f t="shared" si="172"/>
        <v>95</v>
      </c>
      <c r="Q1130" s="842">
        <f t="shared" si="173"/>
        <v>0.0662944870900209</v>
      </c>
    </row>
    <row r="1131" spans="1:17">
      <c r="A1131" s="801">
        <v>45879</v>
      </c>
      <c r="B1131" s="670">
        <v>1238.67</v>
      </c>
      <c r="C1131" s="671">
        <v>92660</v>
      </c>
      <c r="D1131" s="37">
        <v>1606</v>
      </c>
      <c r="E1131" s="37">
        <v>6</v>
      </c>
      <c r="F1131" s="41">
        <v>61839</v>
      </c>
      <c r="G1131" s="37">
        <v>59</v>
      </c>
      <c r="H1131" s="37">
        <v>15</v>
      </c>
      <c r="I1131" s="37">
        <v>1</v>
      </c>
      <c r="J1131" s="672">
        <f t="shared" si="169"/>
        <v>0.0173321821713792</v>
      </c>
      <c r="K1131" s="673">
        <f t="shared" si="170"/>
        <v>0.771276463262765</v>
      </c>
      <c r="L1131" s="809">
        <f t="shared" si="176"/>
        <v>13.3679041657673</v>
      </c>
      <c r="M1131" s="839">
        <f t="shared" si="175"/>
        <v>49.9237084937877</v>
      </c>
      <c r="N1131" s="39">
        <f t="shared" si="174"/>
        <v>0.0037359900373599</v>
      </c>
      <c r="O1131" s="675">
        <f t="shared" si="171"/>
        <v>16.7387837837838</v>
      </c>
      <c r="P1131">
        <f t="shared" si="172"/>
        <v>74</v>
      </c>
      <c r="Q1131" s="842">
        <f t="shared" si="173"/>
        <v>0.0460772104607721</v>
      </c>
    </row>
    <row r="1132" spans="1:17">
      <c r="A1132" s="801">
        <v>45880</v>
      </c>
      <c r="B1132" s="670">
        <v>1218.32</v>
      </c>
      <c r="C1132" s="671">
        <v>89623</v>
      </c>
      <c r="D1132" s="37">
        <v>1518</v>
      </c>
      <c r="E1132" s="37">
        <v>6</v>
      </c>
      <c r="F1132" s="41">
        <v>66766</v>
      </c>
      <c r="G1132" s="37">
        <v>34</v>
      </c>
      <c r="H1132" s="37">
        <v>8</v>
      </c>
      <c r="I1132" s="37">
        <v>4</v>
      </c>
      <c r="J1132" s="672">
        <f t="shared" si="169"/>
        <v>0.0169376164600605</v>
      </c>
      <c r="K1132" s="673">
        <f t="shared" si="170"/>
        <v>0.802582345191041</v>
      </c>
      <c r="L1132" s="809">
        <f t="shared" si="176"/>
        <v>13.5938319404617</v>
      </c>
      <c r="M1132" s="839">
        <f t="shared" si="175"/>
        <v>54.8016941361875</v>
      </c>
      <c r="N1132" s="39">
        <f t="shared" si="174"/>
        <v>0.00395256916996047</v>
      </c>
      <c r="O1132" s="675">
        <f t="shared" si="171"/>
        <v>29.007619047619</v>
      </c>
      <c r="P1132">
        <f t="shared" si="172"/>
        <v>42</v>
      </c>
      <c r="Q1132" s="842">
        <f t="shared" si="173"/>
        <v>0.0276679841897233</v>
      </c>
    </row>
    <row r="1133" spans="1:17">
      <c r="A1133" s="801">
        <v>45881</v>
      </c>
      <c r="B1133" s="670">
        <v>806.45</v>
      </c>
      <c r="C1133" s="671">
        <v>66652</v>
      </c>
      <c r="D1133" s="37">
        <v>1102</v>
      </c>
      <c r="E1133" s="37">
        <v>2</v>
      </c>
      <c r="F1133" s="841">
        <v>21426</v>
      </c>
      <c r="G1133" s="37">
        <v>38</v>
      </c>
      <c r="H1133" s="37">
        <v>6</v>
      </c>
      <c r="I1133" s="37">
        <v>2</v>
      </c>
      <c r="J1133" s="672">
        <f t="shared" si="169"/>
        <v>0.016533637400228</v>
      </c>
      <c r="K1133" s="673">
        <f t="shared" si="170"/>
        <v>0.731805807622505</v>
      </c>
      <c r="L1133" s="809">
        <f t="shared" si="176"/>
        <v>12.0994118706115</v>
      </c>
      <c r="M1133" s="839">
        <f t="shared" si="175"/>
        <v>26.5682931365863</v>
      </c>
      <c r="N1133" s="39">
        <f t="shared" si="174"/>
        <v>0.00181488203266788</v>
      </c>
      <c r="O1133" s="675">
        <f t="shared" si="171"/>
        <v>18.3284090909091</v>
      </c>
      <c r="P1133">
        <f t="shared" si="172"/>
        <v>44</v>
      </c>
      <c r="Q1133" s="842">
        <f t="shared" si="173"/>
        <v>0.0399274047186933</v>
      </c>
    </row>
    <row r="1134" spans="1:17">
      <c r="A1134" s="801">
        <v>45882</v>
      </c>
      <c r="B1134" s="670">
        <v>600.13</v>
      </c>
      <c r="C1134" s="671">
        <v>41544</v>
      </c>
      <c r="D1134" s="37">
        <v>607</v>
      </c>
      <c r="E1134" s="37">
        <v>5</v>
      </c>
      <c r="F1134" s="41">
        <v>52400</v>
      </c>
      <c r="G1134" s="37">
        <v>36</v>
      </c>
      <c r="H1134" s="37">
        <v>4</v>
      </c>
      <c r="I1134" s="37">
        <v>1</v>
      </c>
      <c r="J1134" s="672">
        <f t="shared" si="169"/>
        <v>0.0146110148276526</v>
      </c>
      <c r="K1134" s="673">
        <f t="shared" si="170"/>
        <v>0.988682042833608</v>
      </c>
      <c r="L1134" s="809">
        <f t="shared" si="176"/>
        <v>14.4456479876757</v>
      </c>
      <c r="M1134" s="839">
        <f t="shared" si="175"/>
        <v>87.3144152100378</v>
      </c>
      <c r="N1134" s="39">
        <f t="shared" si="174"/>
        <v>0.00823723228995058</v>
      </c>
      <c r="O1134" s="675">
        <f t="shared" si="171"/>
        <v>15.00325</v>
      </c>
      <c r="P1134">
        <f t="shared" si="172"/>
        <v>40</v>
      </c>
      <c r="Q1134" s="842">
        <f t="shared" si="173"/>
        <v>0.0658978583196046</v>
      </c>
    </row>
    <row r="1135" spans="1:17">
      <c r="A1135" s="801">
        <v>45883</v>
      </c>
      <c r="B1135" s="670">
        <v>698.33</v>
      </c>
      <c r="C1135" s="671">
        <v>38026</v>
      </c>
      <c r="D1135" s="37">
        <v>689</v>
      </c>
      <c r="E1135" s="37">
        <v>2</v>
      </c>
      <c r="F1135" s="41">
        <v>24008</v>
      </c>
      <c r="G1135" s="37">
        <v>17</v>
      </c>
      <c r="H1135" s="37">
        <v>4</v>
      </c>
      <c r="I1135" s="37">
        <v>2</v>
      </c>
      <c r="J1135" s="672">
        <f t="shared" si="169"/>
        <v>0.0181191816125809</v>
      </c>
      <c r="K1135" s="673">
        <f t="shared" si="170"/>
        <v>1.01354136429608</v>
      </c>
      <c r="L1135" s="809">
        <f t="shared" si="176"/>
        <v>18.3645400515437</v>
      </c>
      <c r="M1135" s="839">
        <f t="shared" si="175"/>
        <v>34.3791617143757</v>
      </c>
      <c r="N1135" s="39">
        <f t="shared" si="174"/>
        <v>0.00290275761973875</v>
      </c>
      <c r="O1135" s="675">
        <f t="shared" si="171"/>
        <v>33.2538095238095</v>
      </c>
      <c r="P1135">
        <f t="shared" si="172"/>
        <v>21</v>
      </c>
      <c r="Q1135" s="842">
        <f t="shared" si="173"/>
        <v>0.0304789550072569</v>
      </c>
    </row>
    <row r="1136" spans="1:17">
      <c r="A1136" s="801">
        <v>45884</v>
      </c>
      <c r="B1136" s="670">
        <v>1096.28</v>
      </c>
      <c r="C1136" s="671">
        <v>73837</v>
      </c>
      <c r="D1136" s="37">
        <v>1107</v>
      </c>
      <c r="E1136" s="37">
        <v>0</v>
      </c>
      <c r="F1136" s="841">
        <v>0</v>
      </c>
      <c r="G1136" s="37">
        <v>38</v>
      </c>
      <c r="H1136" s="37">
        <v>5</v>
      </c>
      <c r="I1136" s="37">
        <v>1</v>
      </c>
      <c r="J1136" s="672">
        <f t="shared" si="169"/>
        <v>0.0149924834432602</v>
      </c>
      <c r="K1136" s="673">
        <f t="shared" si="170"/>
        <v>0.990316169828365</v>
      </c>
      <c r="L1136" s="809">
        <f t="shared" si="176"/>
        <v>14.8472987797446</v>
      </c>
      <c r="M1136" s="839">
        <f t="shared" si="175"/>
        <v>0</v>
      </c>
      <c r="N1136" s="39">
        <f t="shared" si="174"/>
        <v>0</v>
      </c>
      <c r="O1136" s="675">
        <f t="shared" si="171"/>
        <v>25.4948837209302</v>
      </c>
      <c r="P1136">
        <f t="shared" si="172"/>
        <v>43</v>
      </c>
      <c r="Q1136" s="842">
        <f t="shared" si="173"/>
        <v>0.038843721770551</v>
      </c>
    </row>
    <row r="1137" spans="1:17">
      <c r="A1137" s="801">
        <v>45885</v>
      </c>
      <c r="B1137" s="670">
        <v>1088.04</v>
      </c>
      <c r="C1137" s="671">
        <v>47496</v>
      </c>
      <c r="D1137" s="37">
        <v>985</v>
      </c>
      <c r="E1137" s="37">
        <v>2</v>
      </c>
      <c r="F1137" s="41">
        <v>23166</v>
      </c>
      <c r="G1137" s="37">
        <v>43</v>
      </c>
      <c r="H1137" s="37">
        <v>10</v>
      </c>
      <c r="I1137" s="37">
        <v>3</v>
      </c>
      <c r="J1137" s="672">
        <f t="shared" si="169"/>
        <v>0.0207385885127169</v>
      </c>
      <c r="K1137" s="673">
        <f t="shared" si="170"/>
        <v>1.10460913705584</v>
      </c>
      <c r="L1137" s="809">
        <f t="shared" si="176"/>
        <v>22.9080343607883</v>
      </c>
      <c r="M1137" s="839">
        <f t="shared" si="175"/>
        <v>21.2914966361531</v>
      </c>
      <c r="N1137" s="39">
        <f t="shared" si="174"/>
        <v>0.00203045685279188</v>
      </c>
      <c r="O1137" s="675">
        <f t="shared" si="171"/>
        <v>20.5290566037736</v>
      </c>
      <c r="P1137">
        <f t="shared" si="172"/>
        <v>53</v>
      </c>
      <c r="Q1137" s="842">
        <f t="shared" si="173"/>
        <v>0.0538071065989848</v>
      </c>
    </row>
    <row r="1138" spans="1:17">
      <c r="A1138" s="801">
        <v>45886</v>
      </c>
      <c r="B1138" s="670">
        <v>1093.71</v>
      </c>
      <c r="C1138" s="671">
        <v>60013</v>
      </c>
      <c r="D1138" s="37">
        <v>1204</v>
      </c>
      <c r="E1138" s="37">
        <v>0</v>
      </c>
      <c r="F1138" s="841">
        <v>0</v>
      </c>
      <c r="G1138" s="37">
        <v>32</v>
      </c>
      <c r="H1138" s="37">
        <v>7</v>
      </c>
      <c r="I1138" s="37">
        <v>2</v>
      </c>
      <c r="J1138" s="672">
        <f t="shared" si="169"/>
        <v>0.0200623198307033</v>
      </c>
      <c r="K1138" s="673">
        <f t="shared" si="170"/>
        <v>0.908397009966777</v>
      </c>
      <c r="L1138" s="809">
        <f t="shared" si="176"/>
        <v>18.2245513472081</v>
      </c>
      <c r="M1138" s="839">
        <f t="shared" si="175"/>
        <v>0</v>
      </c>
      <c r="N1138" s="39">
        <f t="shared" si="174"/>
        <v>0</v>
      </c>
      <c r="O1138" s="675">
        <f t="shared" si="171"/>
        <v>28.0438461538462</v>
      </c>
      <c r="P1138">
        <f t="shared" si="172"/>
        <v>39</v>
      </c>
      <c r="Q1138" s="842">
        <f t="shared" si="173"/>
        <v>0.0323920265780731</v>
      </c>
    </row>
    <row r="1139" spans="1:17">
      <c r="A1139" s="801">
        <v>45887</v>
      </c>
      <c r="B1139" s="670">
        <v>1518.76</v>
      </c>
      <c r="C1139" s="671">
        <v>70288</v>
      </c>
      <c r="D1139" s="37">
        <v>1204</v>
      </c>
      <c r="E1139" s="37">
        <v>4</v>
      </c>
      <c r="F1139" s="41">
        <v>41965</v>
      </c>
      <c r="G1139" s="37">
        <v>79</v>
      </c>
      <c r="H1139" s="37">
        <v>14</v>
      </c>
      <c r="I1139" s="37">
        <v>3</v>
      </c>
      <c r="J1139" s="672">
        <f t="shared" si="169"/>
        <v>0.017129524243114</v>
      </c>
      <c r="K1139" s="673">
        <f t="shared" si="170"/>
        <v>1.26142857142857</v>
      </c>
      <c r="L1139" s="809">
        <f t="shared" si="176"/>
        <v>21.6076712952424</v>
      </c>
      <c r="M1139" s="839">
        <f t="shared" si="175"/>
        <v>27.6310937870368</v>
      </c>
      <c r="N1139" s="39">
        <f t="shared" si="174"/>
        <v>0.00332225913621262</v>
      </c>
      <c r="O1139" s="675">
        <f t="shared" si="171"/>
        <v>16.330752688172</v>
      </c>
      <c r="P1139">
        <f t="shared" si="172"/>
        <v>93</v>
      </c>
      <c r="Q1139" s="842">
        <f t="shared" si="173"/>
        <v>0.0772425249169435</v>
      </c>
    </row>
    <row r="1140" spans="1:17">
      <c r="A1140" s="801">
        <v>45888</v>
      </c>
      <c r="B1140" s="670">
        <v>1524.51</v>
      </c>
      <c r="C1140" s="671">
        <v>77207</v>
      </c>
      <c r="D1140" s="37">
        <v>1369</v>
      </c>
      <c r="E1140" s="37">
        <v>5</v>
      </c>
      <c r="F1140" s="41">
        <v>66185</v>
      </c>
      <c r="G1140" s="37">
        <v>53</v>
      </c>
      <c r="H1140" s="37">
        <v>16</v>
      </c>
      <c r="I1140" s="37">
        <v>7</v>
      </c>
      <c r="J1140" s="672">
        <f t="shared" si="169"/>
        <v>0.0177315528384732</v>
      </c>
      <c r="K1140" s="673">
        <f t="shared" si="170"/>
        <v>1.1135938641344</v>
      </c>
      <c r="L1140" s="809">
        <f t="shared" si="176"/>
        <v>19.7457484424987</v>
      </c>
      <c r="M1140" s="839">
        <f t="shared" si="175"/>
        <v>43.4139494001351</v>
      </c>
      <c r="N1140" s="39">
        <f t="shared" si="174"/>
        <v>0.00365230094959825</v>
      </c>
      <c r="O1140" s="675">
        <f t="shared" si="171"/>
        <v>22.094347826087</v>
      </c>
      <c r="P1140">
        <f t="shared" si="172"/>
        <v>69</v>
      </c>
      <c r="Q1140" s="842">
        <f t="shared" si="173"/>
        <v>0.0504017531044558</v>
      </c>
    </row>
    <row r="1141" spans="1:17">
      <c r="A1141" s="801">
        <v>45889</v>
      </c>
      <c r="B1141" s="670">
        <v>1466.44</v>
      </c>
      <c r="C1141" s="671">
        <v>87560</v>
      </c>
      <c r="D1141" s="37">
        <v>1459</v>
      </c>
      <c r="E1141" s="37">
        <v>2</v>
      </c>
      <c r="F1141" s="841">
        <v>23537</v>
      </c>
      <c r="G1141" s="37">
        <v>69</v>
      </c>
      <c r="H1141" s="37">
        <v>12</v>
      </c>
      <c r="I1141" s="37">
        <v>2</v>
      </c>
      <c r="J1141" s="672">
        <f t="shared" si="169"/>
        <v>0.016662859753312</v>
      </c>
      <c r="K1141" s="673">
        <f t="shared" si="170"/>
        <v>1.00509938313914</v>
      </c>
      <c r="L1141" s="809">
        <f t="shared" si="176"/>
        <v>16.7478300593879</v>
      </c>
      <c r="M1141" s="839">
        <f t="shared" si="175"/>
        <v>16.0504350672377</v>
      </c>
      <c r="N1141" s="39">
        <f t="shared" si="174"/>
        <v>0.00137080191912269</v>
      </c>
      <c r="O1141" s="675">
        <f t="shared" si="171"/>
        <v>18.1041975308642</v>
      </c>
      <c r="P1141">
        <f t="shared" si="172"/>
        <v>81</v>
      </c>
      <c r="Q1141" s="842">
        <f t="shared" si="173"/>
        <v>0.0555174777244688</v>
      </c>
    </row>
    <row r="1142" spans="1:17">
      <c r="A1142" s="801">
        <v>45890</v>
      </c>
      <c r="B1142" s="670">
        <v>1525.96</v>
      </c>
      <c r="C1142" s="671">
        <v>104532</v>
      </c>
      <c r="D1142" s="37">
        <v>1864</v>
      </c>
      <c r="E1142" s="37">
        <v>2</v>
      </c>
      <c r="F1142" s="41">
        <v>21554</v>
      </c>
      <c r="G1142" s="37">
        <v>46</v>
      </c>
      <c r="H1142" s="37">
        <v>22</v>
      </c>
      <c r="I1142" s="37">
        <v>5</v>
      </c>
      <c r="J1142" s="672">
        <f t="shared" si="169"/>
        <v>0.0178318601002564</v>
      </c>
      <c r="K1142" s="673">
        <f t="shared" si="170"/>
        <v>0.818648068669528</v>
      </c>
      <c r="L1142" s="809">
        <f t="shared" si="176"/>
        <v>14.5980178318601</v>
      </c>
      <c r="M1142" s="839">
        <f t="shared" si="175"/>
        <v>14.1248787648431</v>
      </c>
      <c r="N1142" s="39">
        <f t="shared" si="174"/>
        <v>0.00107296137339056</v>
      </c>
      <c r="O1142" s="675">
        <f t="shared" si="171"/>
        <v>22.4405882352941</v>
      </c>
      <c r="P1142">
        <f t="shared" si="172"/>
        <v>68</v>
      </c>
      <c r="Q1142" s="842">
        <f t="shared" si="173"/>
        <v>0.036480686695279</v>
      </c>
    </row>
    <row r="1143" spans="1:17">
      <c r="A1143" s="801">
        <v>45891</v>
      </c>
      <c r="B1143" s="670">
        <v>1538.24</v>
      </c>
      <c r="C1143" s="671">
        <v>109835</v>
      </c>
      <c r="D1143" s="37">
        <v>1829</v>
      </c>
      <c r="E1143" s="37">
        <v>3</v>
      </c>
      <c r="F1143" s="41">
        <v>37646</v>
      </c>
      <c r="G1143" s="37">
        <v>63</v>
      </c>
      <c r="H1143" s="37">
        <v>14</v>
      </c>
      <c r="I1143" s="37">
        <v>6</v>
      </c>
      <c r="J1143" s="672">
        <f t="shared" si="169"/>
        <v>0.0166522511039286</v>
      </c>
      <c r="K1143" s="673">
        <f t="shared" si="170"/>
        <v>0.841027884089666</v>
      </c>
      <c r="L1143" s="809">
        <f t="shared" si="176"/>
        <v>14.0050075112669</v>
      </c>
      <c r="M1143" s="839">
        <f t="shared" si="175"/>
        <v>24.4734241730809</v>
      </c>
      <c r="N1143" s="39">
        <f t="shared" si="174"/>
        <v>0.00164024056861673</v>
      </c>
      <c r="O1143" s="675">
        <f t="shared" si="171"/>
        <v>19.9771428571429</v>
      </c>
      <c r="P1143">
        <f t="shared" si="172"/>
        <v>77</v>
      </c>
      <c r="Q1143" s="842">
        <f t="shared" si="173"/>
        <v>0.0420995079278294</v>
      </c>
    </row>
    <row r="1144" spans="1:17">
      <c r="A1144" s="801">
        <v>45892</v>
      </c>
      <c r="B1144" s="670">
        <v>1509.56</v>
      </c>
      <c r="C1144" s="671">
        <v>86381</v>
      </c>
      <c r="D1144" s="37">
        <v>1504</v>
      </c>
      <c r="E1144" s="37">
        <v>6</v>
      </c>
      <c r="F1144" s="41">
        <v>67477</v>
      </c>
      <c r="G1144" s="37">
        <v>45</v>
      </c>
      <c r="H1144" s="37">
        <v>15</v>
      </c>
      <c r="I1144" s="37">
        <v>4</v>
      </c>
      <c r="J1144" s="672">
        <f t="shared" si="169"/>
        <v>0.0174112362672347</v>
      </c>
      <c r="K1144" s="673">
        <f t="shared" si="170"/>
        <v>1.00369680851064</v>
      </c>
      <c r="L1144" s="809">
        <f t="shared" si="176"/>
        <v>17.4756022736481</v>
      </c>
      <c r="M1144" s="839">
        <f t="shared" si="175"/>
        <v>44.6997800683643</v>
      </c>
      <c r="N1144" s="39">
        <f t="shared" si="174"/>
        <v>0.00398936170212766</v>
      </c>
      <c r="O1144" s="675">
        <f t="shared" si="171"/>
        <v>25.1593333333333</v>
      </c>
      <c r="P1144">
        <f t="shared" si="172"/>
        <v>60</v>
      </c>
      <c r="Q1144" s="842">
        <f t="shared" si="173"/>
        <v>0.0398936170212766</v>
      </c>
    </row>
    <row r="1145" spans="1:17">
      <c r="A1145" s="801">
        <v>45893</v>
      </c>
      <c r="B1145" s="670">
        <v>1520.01</v>
      </c>
      <c r="C1145" s="671">
        <v>122606</v>
      </c>
      <c r="D1145" s="37">
        <v>1787</v>
      </c>
      <c r="E1145" s="37">
        <v>3</v>
      </c>
      <c r="F1145" s="41">
        <v>21912</v>
      </c>
      <c r="G1145" s="37">
        <v>67</v>
      </c>
      <c r="H1145" s="37">
        <v>22</v>
      </c>
      <c r="I1145" s="37">
        <v>3</v>
      </c>
      <c r="J1145" s="672">
        <f t="shared" si="169"/>
        <v>0.014575143141445</v>
      </c>
      <c r="K1145" s="673">
        <f t="shared" si="170"/>
        <v>0.850593172915501</v>
      </c>
      <c r="L1145" s="809">
        <f t="shared" si="176"/>
        <v>12.3975172503793</v>
      </c>
      <c r="M1145" s="839">
        <f t="shared" si="175"/>
        <v>14.4156946335879</v>
      </c>
      <c r="N1145" s="39">
        <f t="shared" si="174"/>
        <v>0.00167879127028539</v>
      </c>
      <c r="O1145" s="675">
        <f t="shared" si="171"/>
        <v>17.0787640449438</v>
      </c>
      <c r="P1145">
        <f t="shared" si="172"/>
        <v>89</v>
      </c>
      <c r="Q1145" s="842">
        <f t="shared" si="173"/>
        <v>0.0498041410184667</v>
      </c>
    </row>
    <row r="1146" spans="1:17">
      <c r="A1146" s="801">
        <v>45894</v>
      </c>
      <c r="B1146" s="670">
        <v>1100.04</v>
      </c>
      <c r="C1146" s="671">
        <v>95728</v>
      </c>
      <c r="D1146" s="37">
        <v>1448</v>
      </c>
      <c r="E1146" s="37">
        <v>3</v>
      </c>
      <c r="F1146" s="841">
        <v>29419</v>
      </c>
      <c r="G1146" s="37">
        <v>58</v>
      </c>
      <c r="H1146" s="37">
        <v>25</v>
      </c>
      <c r="I1146" s="37">
        <v>1</v>
      </c>
      <c r="J1146" s="672">
        <f t="shared" si="169"/>
        <v>0.0151261908741434</v>
      </c>
      <c r="K1146" s="673">
        <f t="shared" si="170"/>
        <v>0.759696132596685</v>
      </c>
      <c r="L1146" s="809">
        <f t="shared" si="176"/>
        <v>11.491308708006</v>
      </c>
      <c r="M1146" s="839">
        <f t="shared" si="175"/>
        <v>26.7435729609832</v>
      </c>
      <c r="N1146" s="39">
        <f t="shared" si="174"/>
        <v>0.00207182320441989</v>
      </c>
      <c r="O1146" s="675">
        <f t="shared" si="171"/>
        <v>13.2534939759036</v>
      </c>
      <c r="P1146">
        <f t="shared" si="172"/>
        <v>83</v>
      </c>
      <c r="Q1146" s="842">
        <f t="shared" si="173"/>
        <v>0.0573204419889503</v>
      </c>
    </row>
    <row r="1147" spans="1:17">
      <c r="A1147" s="801">
        <v>45895</v>
      </c>
      <c r="B1147" s="670">
        <v>911.58</v>
      </c>
      <c r="C1147" s="671">
        <v>54588</v>
      </c>
      <c r="D1147" s="37">
        <v>770</v>
      </c>
      <c r="E1147" s="37">
        <v>1</v>
      </c>
      <c r="F1147" s="41">
        <v>11343</v>
      </c>
      <c r="G1147" s="37">
        <v>20</v>
      </c>
      <c r="H1147" s="37">
        <v>7</v>
      </c>
      <c r="I1147" s="37">
        <v>1</v>
      </c>
      <c r="J1147" s="672">
        <f t="shared" si="169"/>
        <v>0.0141056642485528</v>
      </c>
      <c r="K1147" s="673">
        <f t="shared" si="170"/>
        <v>1.18387012987013</v>
      </c>
      <c r="L1147" s="809">
        <f t="shared" si="176"/>
        <v>16.6992745658386</v>
      </c>
      <c r="M1147" s="839">
        <f t="shared" si="175"/>
        <v>12.4432304350688</v>
      </c>
      <c r="N1147" s="39">
        <f t="shared" si="174"/>
        <v>0.0012987012987013</v>
      </c>
      <c r="O1147" s="675">
        <f t="shared" si="171"/>
        <v>33.7622222222222</v>
      </c>
      <c r="P1147">
        <f t="shared" si="172"/>
        <v>27</v>
      </c>
      <c r="Q1147" s="842">
        <f t="shared" si="173"/>
        <v>0.0350649350649351</v>
      </c>
    </row>
    <row r="1148" spans="1:17">
      <c r="A1148" s="801">
        <v>45896</v>
      </c>
      <c r="B1148" s="670">
        <v>648.15</v>
      </c>
      <c r="C1148" s="671">
        <v>48085</v>
      </c>
      <c r="D1148" s="37">
        <v>641</v>
      </c>
      <c r="E1148" s="37">
        <v>1</v>
      </c>
      <c r="F1148" s="841">
        <v>10192</v>
      </c>
      <c r="G1148" s="37">
        <v>19</v>
      </c>
      <c r="H1148" s="37">
        <v>4</v>
      </c>
      <c r="I1148" s="37">
        <v>2</v>
      </c>
      <c r="J1148" s="672">
        <f t="shared" si="169"/>
        <v>0.0133305604658417</v>
      </c>
      <c r="K1148" s="673">
        <f t="shared" si="170"/>
        <v>1.01115444617785</v>
      </c>
      <c r="L1148" s="809">
        <f t="shared" si="176"/>
        <v>13.4792554850785</v>
      </c>
      <c r="M1148" s="839">
        <f t="shared" si="175"/>
        <v>15.7247550721284</v>
      </c>
      <c r="N1148" s="39">
        <f t="shared" si="174"/>
        <v>0.0015600624024961</v>
      </c>
      <c r="O1148" s="675">
        <f t="shared" si="171"/>
        <v>28.1804347826087</v>
      </c>
      <c r="P1148">
        <f t="shared" si="172"/>
        <v>23</v>
      </c>
      <c r="Q1148" s="842">
        <f t="shared" si="173"/>
        <v>0.0358814352574103</v>
      </c>
    </row>
    <row r="1149" spans="1:17">
      <c r="A1149" s="801">
        <v>45897</v>
      </c>
      <c r="B1149" s="670">
        <v>646.16</v>
      </c>
      <c r="C1149" s="671">
        <v>34473</v>
      </c>
      <c r="D1149" s="37">
        <v>525</v>
      </c>
      <c r="E1149" s="37">
        <v>0</v>
      </c>
      <c r="F1149" s="841">
        <v>0</v>
      </c>
      <c r="G1149" s="37">
        <v>27</v>
      </c>
      <c r="H1149" s="37">
        <v>3</v>
      </c>
      <c r="I1149" s="37">
        <v>1</v>
      </c>
      <c r="J1149" s="672">
        <f t="shared" si="169"/>
        <v>0.0152293098947002</v>
      </c>
      <c r="K1149" s="673">
        <f t="shared" si="170"/>
        <v>1.23078095238095</v>
      </c>
      <c r="L1149" s="809">
        <f t="shared" si="176"/>
        <v>18.7439445363038</v>
      </c>
      <c r="M1149" s="839">
        <f t="shared" si="175"/>
        <v>0</v>
      </c>
      <c r="N1149" s="39">
        <f t="shared" si="174"/>
        <v>0</v>
      </c>
      <c r="O1149" s="675">
        <f t="shared" si="171"/>
        <v>21.5386666666667</v>
      </c>
      <c r="P1149">
        <f t="shared" si="172"/>
        <v>30</v>
      </c>
      <c r="Q1149" s="842">
        <f t="shared" si="173"/>
        <v>0.0571428571428571</v>
      </c>
    </row>
    <row r="1150" spans="1:17">
      <c r="A1150" s="801">
        <v>45898</v>
      </c>
      <c r="B1150" s="670">
        <v>1296.59</v>
      </c>
      <c r="C1150" s="671">
        <v>68197</v>
      </c>
      <c r="D1150" s="37">
        <v>1060</v>
      </c>
      <c r="E1150" s="37">
        <v>1</v>
      </c>
      <c r="F1150" s="41">
        <v>11860</v>
      </c>
      <c r="G1150" s="37">
        <v>54</v>
      </c>
      <c r="H1150" s="37">
        <v>9</v>
      </c>
      <c r="I1150" s="37">
        <v>2</v>
      </c>
      <c r="J1150" s="672">
        <f t="shared" si="169"/>
        <v>0.0155432057128613</v>
      </c>
      <c r="K1150" s="673">
        <f t="shared" si="170"/>
        <v>1.22319811320755</v>
      </c>
      <c r="L1150" s="809">
        <f t="shared" si="176"/>
        <v>19.0124199011687</v>
      </c>
      <c r="M1150" s="839">
        <f t="shared" si="175"/>
        <v>9.14707039233682</v>
      </c>
      <c r="N1150" s="39">
        <f t="shared" si="174"/>
        <v>0.000943396226415094</v>
      </c>
      <c r="O1150" s="675">
        <f t="shared" si="171"/>
        <v>20.5807936507936</v>
      </c>
      <c r="P1150">
        <f t="shared" si="172"/>
        <v>63</v>
      </c>
      <c r="Q1150" s="842">
        <f t="shared" si="173"/>
        <v>0.0594339622641509</v>
      </c>
    </row>
    <row r="1151" spans="1:17">
      <c r="A1151" s="801">
        <v>45899</v>
      </c>
      <c r="B1151" s="670">
        <v>1277.26</v>
      </c>
      <c r="C1151" s="671">
        <v>66019</v>
      </c>
      <c r="D1151" s="37">
        <v>1103</v>
      </c>
      <c r="E1151" s="37">
        <v>5</v>
      </c>
      <c r="F1151" s="41">
        <v>58576</v>
      </c>
      <c r="G1151" s="37">
        <v>71</v>
      </c>
      <c r="H1151" s="37">
        <v>7</v>
      </c>
      <c r="I1151" s="37">
        <v>4</v>
      </c>
      <c r="J1151" s="672">
        <f t="shared" si="169"/>
        <v>0.0167073115315288</v>
      </c>
      <c r="K1151" s="673">
        <f t="shared" si="170"/>
        <v>1.15798730734361</v>
      </c>
      <c r="L1151" s="809">
        <f t="shared" si="176"/>
        <v>19.3468546933459</v>
      </c>
      <c r="M1151" s="839">
        <f t="shared" si="175"/>
        <v>45.8606704977843</v>
      </c>
      <c r="N1151" s="39">
        <f t="shared" si="174"/>
        <v>0.00453309156844968</v>
      </c>
      <c r="O1151" s="675">
        <f t="shared" si="171"/>
        <v>16.3751282051282</v>
      </c>
      <c r="P1151">
        <f t="shared" si="172"/>
        <v>78</v>
      </c>
      <c r="Q1151" s="842">
        <f t="shared" si="173"/>
        <v>0.0707162284678151</v>
      </c>
    </row>
    <row r="1152" spans="1:17">
      <c r="A1152" s="801">
        <v>45900</v>
      </c>
      <c r="B1152" s="670">
        <v>1292.18</v>
      </c>
      <c r="C1152" s="671">
        <v>54973</v>
      </c>
      <c r="D1152" s="37">
        <v>1028</v>
      </c>
      <c r="E1152" s="37">
        <v>5</v>
      </c>
      <c r="F1152" s="41">
        <v>45859</v>
      </c>
      <c r="G1152" s="37">
        <v>45</v>
      </c>
      <c r="H1152" s="37">
        <v>20</v>
      </c>
      <c r="I1152" s="37">
        <v>1</v>
      </c>
      <c r="J1152" s="672">
        <f t="shared" si="169"/>
        <v>0.0187000891346661</v>
      </c>
      <c r="K1152" s="673">
        <f t="shared" si="170"/>
        <v>1.25698443579767</v>
      </c>
      <c r="L1152" s="809">
        <f t="shared" si="176"/>
        <v>23.5057209903043</v>
      </c>
      <c r="M1152" s="839">
        <f t="shared" si="175"/>
        <v>35.489637666579</v>
      </c>
      <c r="N1152" s="39">
        <f t="shared" si="174"/>
        <v>0.00486381322957198</v>
      </c>
      <c r="O1152" s="675">
        <f t="shared" si="171"/>
        <v>19.8796923076923</v>
      </c>
      <c r="P1152">
        <f t="shared" si="172"/>
        <v>65</v>
      </c>
      <c r="Q1152" s="842">
        <f t="shared" si="173"/>
        <v>0.0632295719844358</v>
      </c>
    </row>
    <row r="1153" spans="1:17">
      <c r="A1153" s="801">
        <v>45901</v>
      </c>
      <c r="B1153" s="670">
        <v>1285.28</v>
      </c>
      <c r="C1153" s="671">
        <v>57939</v>
      </c>
      <c r="D1153" s="37">
        <v>1120</v>
      </c>
      <c r="E1153" s="37">
        <v>0</v>
      </c>
      <c r="F1153" s="841">
        <v>0</v>
      </c>
      <c r="G1153" s="37">
        <v>30</v>
      </c>
      <c r="H1153" s="37">
        <v>9</v>
      </c>
      <c r="I1153" s="37">
        <v>3</v>
      </c>
      <c r="J1153" s="672">
        <f t="shared" si="169"/>
        <v>0.0193306753654706</v>
      </c>
      <c r="K1153" s="673">
        <f t="shared" si="170"/>
        <v>1.14757142857143</v>
      </c>
      <c r="L1153" s="809">
        <f t="shared" si="176"/>
        <v>22.1833307444036</v>
      </c>
      <c r="M1153" s="839">
        <f t="shared" si="175"/>
        <v>0</v>
      </c>
      <c r="N1153" s="39">
        <f t="shared" si="174"/>
        <v>0</v>
      </c>
      <c r="O1153" s="675">
        <f t="shared" si="171"/>
        <v>32.9558974358974</v>
      </c>
      <c r="P1153">
        <f t="shared" si="172"/>
        <v>39</v>
      </c>
      <c r="Q1153" s="842">
        <f t="shared" si="173"/>
        <v>0.0348214285714286</v>
      </c>
    </row>
    <row r="1154" spans="1:17">
      <c r="A1154" s="801">
        <v>45902</v>
      </c>
      <c r="B1154" s="670">
        <v>1293.54</v>
      </c>
      <c r="C1154" s="671">
        <v>56439</v>
      </c>
      <c r="D1154" s="37">
        <v>1101</v>
      </c>
      <c r="E1154" s="37">
        <v>1</v>
      </c>
      <c r="F1154" s="841">
        <v>200</v>
      </c>
      <c r="G1154" s="37">
        <v>53</v>
      </c>
      <c r="H1154" s="37">
        <v>7</v>
      </c>
      <c r="I1154" s="37">
        <v>4</v>
      </c>
      <c r="J1154" s="672">
        <f t="shared" si="169"/>
        <v>0.0195077871684474</v>
      </c>
      <c r="K1154" s="673">
        <f t="shared" si="170"/>
        <v>1.17487738419619</v>
      </c>
      <c r="L1154" s="809">
        <f t="shared" si="176"/>
        <v>22.9192579599213</v>
      </c>
      <c r="M1154" s="839">
        <f t="shared" si="175"/>
        <v>0.154614468821992</v>
      </c>
      <c r="N1154" s="39">
        <f t="shared" si="174"/>
        <v>0.000908265213442325</v>
      </c>
      <c r="O1154" s="675">
        <f t="shared" si="171"/>
        <v>21.559</v>
      </c>
      <c r="P1154">
        <f t="shared" si="172"/>
        <v>60</v>
      </c>
      <c r="Q1154" s="842">
        <f t="shared" si="173"/>
        <v>0.0544959128065395</v>
      </c>
    </row>
    <row r="1155" spans="1:17">
      <c r="A1155" s="801">
        <v>45903</v>
      </c>
      <c r="B1155" s="670">
        <v>1285.56</v>
      </c>
      <c r="C1155" s="671">
        <v>59316</v>
      </c>
      <c r="D1155" s="37">
        <v>1254</v>
      </c>
      <c r="E1155" s="37">
        <v>4</v>
      </c>
      <c r="F1155" s="841">
        <v>38853</v>
      </c>
      <c r="G1155" s="37">
        <v>54</v>
      </c>
      <c r="H1155" s="37">
        <v>11</v>
      </c>
      <c r="I1155" s="37">
        <v>3</v>
      </c>
      <c r="J1155" s="672">
        <f t="shared" si="169"/>
        <v>0.0211410074853328</v>
      </c>
      <c r="K1155" s="673">
        <f t="shared" si="170"/>
        <v>1.02516746411483</v>
      </c>
      <c r="L1155" s="809">
        <f t="shared" si="176"/>
        <v>21.6730730325713</v>
      </c>
      <c r="M1155" s="839">
        <f t="shared" si="175"/>
        <v>30.2226267152058</v>
      </c>
      <c r="N1155" s="39">
        <f t="shared" si="174"/>
        <v>0.00318979266347687</v>
      </c>
      <c r="O1155" s="675">
        <f t="shared" si="171"/>
        <v>19.7778461538462</v>
      </c>
      <c r="P1155">
        <f t="shared" si="172"/>
        <v>65</v>
      </c>
      <c r="Q1155" s="842">
        <f t="shared" si="173"/>
        <v>0.0518341307814992</v>
      </c>
    </row>
    <row r="1156" spans="1:17">
      <c r="A1156" s="801">
        <v>45904</v>
      </c>
      <c r="B1156" s="670">
        <v>1292.22</v>
      </c>
      <c r="C1156" s="671">
        <v>111510</v>
      </c>
      <c r="D1156" s="37">
        <v>1530</v>
      </c>
      <c r="E1156" s="37">
        <v>1</v>
      </c>
      <c r="F1156" s="41">
        <v>16054</v>
      </c>
      <c r="G1156" s="37">
        <v>36</v>
      </c>
      <c r="H1156" s="37">
        <v>17</v>
      </c>
      <c r="I1156" s="37">
        <v>1</v>
      </c>
      <c r="J1156" s="672">
        <f t="shared" si="169"/>
        <v>0.0137207425343019</v>
      </c>
      <c r="K1156" s="673">
        <f t="shared" si="170"/>
        <v>0.844588235294118</v>
      </c>
      <c r="L1156" s="809">
        <f t="shared" si="176"/>
        <v>11.5883777239709</v>
      </c>
      <c r="M1156" s="839">
        <f t="shared" si="175"/>
        <v>12.4235811239572</v>
      </c>
      <c r="N1156" s="39">
        <f t="shared" si="174"/>
        <v>0.00065359477124183</v>
      </c>
      <c r="O1156" s="675">
        <f t="shared" si="171"/>
        <v>24.3815094339623</v>
      </c>
      <c r="P1156">
        <f t="shared" si="172"/>
        <v>53</v>
      </c>
      <c r="Q1156" s="842">
        <f t="shared" si="173"/>
        <v>0.034640522875817</v>
      </c>
    </row>
    <row r="1157" spans="1:17">
      <c r="A1157" s="801">
        <v>45905</v>
      </c>
      <c r="B1157" s="670">
        <v>1293.46</v>
      </c>
      <c r="C1157" s="671">
        <v>80929</v>
      </c>
      <c r="D1157" s="37">
        <v>1238</v>
      </c>
      <c r="E1157" s="37">
        <v>1</v>
      </c>
      <c r="F1157" s="41">
        <v>7254</v>
      </c>
      <c r="G1157" s="37">
        <v>28</v>
      </c>
      <c r="H1157" s="37">
        <v>11</v>
      </c>
      <c r="I1157" s="37">
        <v>1</v>
      </c>
      <c r="J1157" s="672">
        <f t="shared" si="169"/>
        <v>0.0152973594138072</v>
      </c>
      <c r="K1157" s="673">
        <f t="shared" si="170"/>
        <v>1.04479806138934</v>
      </c>
      <c r="L1157" s="809">
        <f t="shared" si="176"/>
        <v>15.9826514599217</v>
      </c>
      <c r="M1157" s="839">
        <f t="shared" si="175"/>
        <v>5.60821362856215</v>
      </c>
      <c r="N1157" s="39">
        <f t="shared" si="174"/>
        <v>0.000807754442649435</v>
      </c>
      <c r="O1157" s="675">
        <f t="shared" si="171"/>
        <v>33.165641025641</v>
      </c>
      <c r="P1157">
        <f t="shared" si="172"/>
        <v>39</v>
      </c>
      <c r="Q1157" s="842">
        <f t="shared" si="173"/>
        <v>0.031502423263328</v>
      </c>
    </row>
    <row r="1158" spans="1:17">
      <c r="A1158" s="801">
        <v>45906</v>
      </c>
      <c r="B1158" s="670">
        <v>1270.04</v>
      </c>
      <c r="C1158" s="671">
        <v>89809</v>
      </c>
      <c r="D1158" s="37">
        <v>1290</v>
      </c>
      <c r="E1158" s="37">
        <v>3</v>
      </c>
      <c r="F1158" s="841">
        <v>30954</v>
      </c>
      <c r="G1158" s="37">
        <v>46</v>
      </c>
      <c r="H1158" s="37">
        <v>17</v>
      </c>
      <c r="I1158" s="37">
        <v>5</v>
      </c>
      <c r="J1158" s="672">
        <f t="shared" si="169"/>
        <v>0.0143638165439989</v>
      </c>
      <c r="K1158" s="673">
        <f t="shared" si="170"/>
        <v>0.984527131782946</v>
      </c>
      <c r="L1158" s="809">
        <f t="shared" si="176"/>
        <v>14.1415671035197</v>
      </c>
      <c r="M1158" s="839">
        <f t="shared" si="175"/>
        <v>24.3724607098989</v>
      </c>
      <c r="N1158" s="39">
        <f t="shared" si="174"/>
        <v>0.00232558139534884</v>
      </c>
      <c r="O1158" s="675">
        <f t="shared" si="171"/>
        <v>20.1593650793651</v>
      </c>
      <c r="P1158">
        <f t="shared" si="172"/>
        <v>63</v>
      </c>
      <c r="Q1158" s="842">
        <f t="shared" si="173"/>
        <v>0.0488372093023256</v>
      </c>
    </row>
    <row r="1159" spans="1:17">
      <c r="A1159" s="801">
        <v>45907</v>
      </c>
      <c r="B1159" s="670">
        <v>1283.8</v>
      </c>
      <c r="C1159" s="671">
        <v>105351</v>
      </c>
      <c r="D1159" s="37">
        <v>1510</v>
      </c>
      <c r="E1159" s="37">
        <v>0</v>
      </c>
      <c r="F1159" s="841">
        <v>0</v>
      </c>
      <c r="G1159" s="37">
        <v>40</v>
      </c>
      <c r="H1159" s="37">
        <v>20</v>
      </c>
      <c r="I1159" s="37">
        <v>5</v>
      </c>
      <c r="J1159" s="672">
        <f t="shared" si="169"/>
        <v>0.0143330390788887</v>
      </c>
      <c r="K1159" s="673">
        <f t="shared" si="170"/>
        <v>0.850198675496689</v>
      </c>
      <c r="L1159" s="809">
        <f t="shared" si="176"/>
        <v>12.1859308407134</v>
      </c>
      <c r="M1159" s="839">
        <f t="shared" si="175"/>
        <v>0</v>
      </c>
      <c r="N1159" s="39">
        <f t="shared" si="174"/>
        <v>0</v>
      </c>
      <c r="O1159" s="675">
        <f t="shared" si="171"/>
        <v>21.3966666666667</v>
      </c>
      <c r="P1159">
        <f t="shared" si="172"/>
        <v>60</v>
      </c>
      <c r="Q1159" s="842">
        <f t="shared" si="173"/>
        <v>0.0397350993377483</v>
      </c>
    </row>
    <row r="1160" spans="1:17">
      <c r="A1160" s="801">
        <v>45908</v>
      </c>
      <c r="B1160" s="670">
        <v>1289.65</v>
      </c>
      <c r="C1160" s="671">
        <v>74822</v>
      </c>
      <c r="D1160" s="37">
        <v>1147</v>
      </c>
      <c r="E1160" s="37">
        <v>3</v>
      </c>
      <c r="F1160" s="841">
        <v>47080</v>
      </c>
      <c r="G1160" s="37">
        <v>57</v>
      </c>
      <c r="H1160" s="37">
        <v>11</v>
      </c>
      <c r="I1160" s="37">
        <v>4</v>
      </c>
      <c r="J1160" s="672">
        <f t="shared" si="169"/>
        <v>0.015329715858972</v>
      </c>
      <c r="K1160" s="673">
        <f t="shared" si="170"/>
        <v>1.1243679163034</v>
      </c>
      <c r="L1160" s="809">
        <f t="shared" si="176"/>
        <v>17.2362406778755</v>
      </c>
      <c r="M1160" s="839">
        <f t="shared" si="175"/>
        <v>36.5060287674951</v>
      </c>
      <c r="N1160" s="39">
        <f t="shared" si="174"/>
        <v>0.002615518744551</v>
      </c>
      <c r="O1160" s="675">
        <f t="shared" si="171"/>
        <v>18.9654411764706</v>
      </c>
      <c r="P1160">
        <f t="shared" si="172"/>
        <v>68</v>
      </c>
      <c r="Q1160" s="842">
        <f t="shared" si="173"/>
        <v>0.0592850915431561</v>
      </c>
    </row>
    <row r="1161" spans="1:17">
      <c r="A1161" s="801">
        <v>45909</v>
      </c>
      <c r="B1161" s="670">
        <v>1280.93</v>
      </c>
      <c r="C1161" s="671">
        <v>70146</v>
      </c>
      <c r="D1161" s="37">
        <v>1290</v>
      </c>
      <c r="E1161" s="37">
        <v>5</v>
      </c>
      <c r="F1161" s="41">
        <v>25309</v>
      </c>
      <c r="G1161" s="37">
        <v>42</v>
      </c>
      <c r="H1161" s="37">
        <v>16</v>
      </c>
      <c r="I1161" s="37">
        <v>0</v>
      </c>
      <c r="J1161" s="672">
        <f t="shared" si="169"/>
        <v>0.0183902146950646</v>
      </c>
      <c r="K1161" s="673">
        <f t="shared" si="170"/>
        <v>0.992968992248062</v>
      </c>
      <c r="L1161" s="809">
        <f t="shared" si="176"/>
        <v>18.2609129529838</v>
      </c>
      <c r="M1161" s="839">
        <f t="shared" si="175"/>
        <v>19.7583006097133</v>
      </c>
      <c r="N1161" s="39">
        <f t="shared" si="174"/>
        <v>0.00387596899224806</v>
      </c>
      <c r="O1161" s="675">
        <f t="shared" si="171"/>
        <v>22.085</v>
      </c>
      <c r="P1161">
        <f t="shared" si="172"/>
        <v>58</v>
      </c>
      <c r="Q1161" s="842">
        <f t="shared" si="173"/>
        <v>0.0449612403100775</v>
      </c>
    </row>
    <row r="1162" spans="1:17">
      <c r="A1162" s="801">
        <v>45910</v>
      </c>
      <c r="B1162" s="670">
        <v>1289.85</v>
      </c>
      <c r="C1162" s="671">
        <v>53688</v>
      </c>
      <c r="D1162" s="37">
        <v>998</v>
      </c>
      <c r="E1162" s="37">
        <v>3</v>
      </c>
      <c r="F1162" s="41">
        <v>3800</v>
      </c>
      <c r="G1162" s="37">
        <v>35</v>
      </c>
      <c r="H1162" s="37">
        <v>12</v>
      </c>
      <c r="I1162" s="37">
        <v>3</v>
      </c>
      <c r="J1162" s="672">
        <f t="shared" si="169"/>
        <v>0.0185888839219192</v>
      </c>
      <c r="K1162" s="673">
        <f t="shared" si="170"/>
        <v>1.29243486973948</v>
      </c>
      <c r="L1162" s="809">
        <f t="shared" si="176"/>
        <v>24.024921770228</v>
      </c>
      <c r="M1162" s="839">
        <f t="shared" si="175"/>
        <v>2.94607900143428</v>
      </c>
      <c r="N1162" s="39">
        <f t="shared" si="174"/>
        <v>0.0030060120240481</v>
      </c>
      <c r="O1162" s="675">
        <f t="shared" si="171"/>
        <v>27.4436170212766</v>
      </c>
      <c r="P1162">
        <f t="shared" si="172"/>
        <v>47</v>
      </c>
      <c r="Q1162" s="842">
        <f t="shared" si="173"/>
        <v>0.0470941883767535</v>
      </c>
    </row>
    <row r="1163" spans="1:17">
      <c r="A1163" s="801">
        <v>45911</v>
      </c>
      <c r="B1163" s="670">
        <v>603.47</v>
      </c>
      <c r="C1163" s="671">
        <v>22522</v>
      </c>
      <c r="D1163" s="37">
        <v>429</v>
      </c>
      <c r="E1163" s="37">
        <v>3</v>
      </c>
      <c r="F1163" s="41">
        <v>36244</v>
      </c>
      <c r="G1163" s="37">
        <v>21</v>
      </c>
      <c r="H1163" s="37">
        <v>2</v>
      </c>
      <c r="I1163" s="37">
        <v>1</v>
      </c>
      <c r="J1163" s="672">
        <f t="shared" si="169"/>
        <v>0.0190480419145724</v>
      </c>
      <c r="K1163" s="673">
        <f t="shared" si="170"/>
        <v>1.40668997668998</v>
      </c>
      <c r="L1163" s="809">
        <f t="shared" si="176"/>
        <v>26.7946896367996</v>
      </c>
      <c r="M1163" s="839">
        <f t="shared" si="175"/>
        <v>60.0593235786369</v>
      </c>
      <c r="N1163" s="39">
        <f t="shared" si="174"/>
        <v>0.00699300699300699</v>
      </c>
      <c r="O1163" s="675">
        <f t="shared" si="171"/>
        <v>26.2378260869565</v>
      </c>
      <c r="P1163">
        <f t="shared" si="172"/>
        <v>23</v>
      </c>
      <c r="Q1163" s="842">
        <f t="shared" si="173"/>
        <v>0.0536130536130536</v>
      </c>
    </row>
    <row r="1164" spans="1:17">
      <c r="A1164" s="801">
        <v>45912</v>
      </c>
      <c r="B1164" s="670">
        <v>599.99</v>
      </c>
      <c r="C1164" s="671">
        <v>24892</v>
      </c>
      <c r="D1164" s="37">
        <v>402</v>
      </c>
      <c r="E1164" s="37">
        <v>0</v>
      </c>
      <c r="F1164" s="841">
        <v>0</v>
      </c>
      <c r="G1164" s="37">
        <v>7</v>
      </c>
      <c r="H1164" s="37">
        <v>3</v>
      </c>
      <c r="I1164" s="37">
        <v>0</v>
      </c>
      <c r="J1164" s="672">
        <f t="shared" ref="J1164:J1184" si="177">D1164/C1164</f>
        <v>0.0161497669934115</v>
      </c>
      <c r="K1164" s="673">
        <f t="shared" ref="K1164:K1184" si="178">B1164/D1164</f>
        <v>1.49251243781095</v>
      </c>
      <c r="L1164" s="809">
        <f t="shared" si="176"/>
        <v>24.1037281054154</v>
      </c>
      <c r="M1164" s="839">
        <f t="shared" si="175"/>
        <v>0</v>
      </c>
      <c r="N1164" s="39">
        <f t="shared" si="174"/>
        <v>0</v>
      </c>
      <c r="O1164" s="675">
        <f t="shared" ref="O1164:O1184" si="179">B1164/(G1164+H1164)</f>
        <v>59.999</v>
      </c>
      <c r="P1164">
        <f t="shared" ref="P1164:P1184" si="180">G1164+H1164</f>
        <v>10</v>
      </c>
      <c r="Q1164" s="842">
        <f t="shared" ref="Q1164:Q1184" si="181">P1164/D1164</f>
        <v>0.0248756218905473</v>
      </c>
    </row>
    <row r="1165" spans="1:17">
      <c r="A1165" s="801">
        <v>45913</v>
      </c>
      <c r="B1165" s="670">
        <v>594.81</v>
      </c>
      <c r="C1165" s="671">
        <v>27447</v>
      </c>
      <c r="D1165" s="37">
        <v>507</v>
      </c>
      <c r="E1165" s="37">
        <v>1</v>
      </c>
      <c r="F1165" s="841">
        <v>10074</v>
      </c>
      <c r="G1165" s="37">
        <v>7</v>
      </c>
      <c r="H1165" s="37">
        <v>5</v>
      </c>
      <c r="I1165" s="37">
        <v>2</v>
      </c>
      <c r="J1165" s="672">
        <f t="shared" si="177"/>
        <v>0.0184719641490873</v>
      </c>
      <c r="K1165" s="673">
        <f t="shared" si="178"/>
        <v>1.17319526627219</v>
      </c>
      <c r="L1165" s="809">
        <f t="shared" si="176"/>
        <v>21.6712208984588</v>
      </c>
      <c r="M1165" s="839">
        <f t="shared" si="175"/>
        <v>16.936500731326</v>
      </c>
      <c r="N1165" s="39">
        <f t="shared" si="174"/>
        <v>0.0019723865877712</v>
      </c>
      <c r="O1165" s="675">
        <f t="shared" si="179"/>
        <v>49.5675</v>
      </c>
      <c r="P1165">
        <f t="shared" si="180"/>
        <v>12</v>
      </c>
      <c r="Q1165" s="842">
        <f t="shared" si="181"/>
        <v>0.0236686390532544</v>
      </c>
    </row>
    <row r="1166" spans="1:17">
      <c r="A1166" s="801">
        <v>45914</v>
      </c>
      <c r="B1166" s="670">
        <v>399.33</v>
      </c>
      <c r="C1166" s="671">
        <v>19038</v>
      </c>
      <c r="D1166" s="37">
        <v>318</v>
      </c>
      <c r="E1166" s="37">
        <v>1</v>
      </c>
      <c r="F1166" s="841">
        <v>9579</v>
      </c>
      <c r="G1166" s="37">
        <v>7</v>
      </c>
      <c r="H1166" s="37">
        <v>5</v>
      </c>
      <c r="I1166" s="37">
        <v>0</v>
      </c>
      <c r="J1166" s="672">
        <f t="shared" si="177"/>
        <v>0.0167034352347936</v>
      </c>
      <c r="K1166" s="673">
        <f t="shared" si="178"/>
        <v>1.25575471698113</v>
      </c>
      <c r="L1166" s="809">
        <f t="shared" si="176"/>
        <v>20.9754175858809</v>
      </c>
      <c r="M1166" s="839">
        <f t="shared" si="175"/>
        <v>23.9876793629329</v>
      </c>
      <c r="N1166" s="39">
        <f t="shared" si="174"/>
        <v>0.00314465408805031</v>
      </c>
      <c r="O1166" s="675">
        <f t="shared" si="179"/>
        <v>33.2775</v>
      </c>
      <c r="P1166">
        <f t="shared" si="180"/>
        <v>12</v>
      </c>
      <c r="Q1166" s="842">
        <f t="shared" si="181"/>
        <v>0.0377358490566038</v>
      </c>
    </row>
    <row r="1167" spans="1:17">
      <c r="A1167" s="801">
        <v>45915</v>
      </c>
      <c r="B1167" s="670">
        <v>396.78</v>
      </c>
      <c r="C1167" s="671">
        <v>25679</v>
      </c>
      <c r="D1167" s="37">
        <v>376</v>
      </c>
      <c r="E1167" s="37">
        <v>0</v>
      </c>
      <c r="F1167" s="841">
        <v>0</v>
      </c>
      <c r="G1167" s="37">
        <v>12</v>
      </c>
      <c r="H1167" s="37">
        <v>7</v>
      </c>
      <c r="I1167" s="37">
        <v>0</v>
      </c>
      <c r="J1167" s="672">
        <f t="shared" si="177"/>
        <v>0.0146423147318821</v>
      </c>
      <c r="K1167" s="673">
        <f t="shared" si="178"/>
        <v>1.05526595744681</v>
      </c>
      <c r="L1167" s="809">
        <f t="shared" si="176"/>
        <v>15.4515362747771</v>
      </c>
      <c r="M1167" s="839">
        <f t="shared" si="175"/>
        <v>0</v>
      </c>
      <c r="N1167" s="39">
        <f t="shared" ref="N1167:N1184" si="182">E1167/D1167</f>
        <v>0</v>
      </c>
      <c r="O1167" s="675">
        <f t="shared" si="179"/>
        <v>20.8831578947368</v>
      </c>
      <c r="P1167">
        <f t="shared" si="180"/>
        <v>19</v>
      </c>
      <c r="Q1167" s="842">
        <f t="shared" si="181"/>
        <v>0.050531914893617</v>
      </c>
    </row>
    <row r="1168" spans="1:17">
      <c r="A1168" s="801">
        <v>45916</v>
      </c>
      <c r="B1168" s="670">
        <v>606.66</v>
      </c>
      <c r="C1168" s="671">
        <v>25222</v>
      </c>
      <c r="D1168" s="37">
        <v>486</v>
      </c>
      <c r="E1168" s="37">
        <v>0</v>
      </c>
      <c r="F1168" s="841">
        <v>0</v>
      </c>
      <c r="G1168" s="37">
        <v>10</v>
      </c>
      <c r="H1168" s="37">
        <v>11</v>
      </c>
      <c r="I1168" s="37">
        <v>0</v>
      </c>
      <c r="J1168" s="672">
        <f t="shared" si="177"/>
        <v>0.019268892236936</v>
      </c>
      <c r="K1168" s="673">
        <f t="shared" si="178"/>
        <v>1.24827160493827</v>
      </c>
      <c r="L1168" s="809">
        <f t="shared" si="176"/>
        <v>24.0528110379827</v>
      </c>
      <c r="M1168" s="839">
        <f t="shared" si="175"/>
        <v>0</v>
      </c>
      <c r="N1168" s="39">
        <f t="shared" si="182"/>
        <v>0</v>
      </c>
      <c r="O1168" s="675">
        <f t="shared" si="179"/>
        <v>28.8885714285714</v>
      </c>
      <c r="P1168">
        <f t="shared" si="180"/>
        <v>21</v>
      </c>
      <c r="Q1168" s="842">
        <f t="shared" si="181"/>
        <v>0.0432098765432099</v>
      </c>
    </row>
    <row r="1169" spans="1:17">
      <c r="A1169" s="801">
        <v>45917</v>
      </c>
      <c r="B1169" s="670">
        <v>592.6</v>
      </c>
      <c r="C1169" s="671">
        <v>26373</v>
      </c>
      <c r="D1169" s="37">
        <v>490</v>
      </c>
      <c r="E1169" s="37">
        <v>0</v>
      </c>
      <c r="F1169" s="841">
        <v>0</v>
      </c>
      <c r="G1169" s="37">
        <v>12</v>
      </c>
      <c r="H1169" s="37">
        <v>1</v>
      </c>
      <c r="I1169" s="37">
        <v>1</v>
      </c>
      <c r="J1169" s="672">
        <f t="shared" si="177"/>
        <v>0.0185796079323551</v>
      </c>
      <c r="K1169" s="673">
        <f t="shared" si="178"/>
        <v>1.20938775510204</v>
      </c>
      <c r="L1169" s="809">
        <f t="shared" si="176"/>
        <v>22.469950327987</v>
      </c>
      <c r="M1169" s="839">
        <f t="shared" si="175"/>
        <v>0</v>
      </c>
      <c r="N1169" s="39">
        <f t="shared" si="182"/>
        <v>0</v>
      </c>
      <c r="O1169" s="675">
        <f t="shared" si="179"/>
        <v>45.5846153846154</v>
      </c>
      <c r="P1169">
        <f t="shared" si="180"/>
        <v>13</v>
      </c>
      <c r="Q1169" s="842">
        <f t="shared" si="181"/>
        <v>0.026530612244898</v>
      </c>
    </row>
    <row r="1170" spans="1:17">
      <c r="A1170" s="801">
        <v>45918</v>
      </c>
      <c r="B1170" s="670">
        <v>598.48</v>
      </c>
      <c r="C1170" s="671">
        <v>35026</v>
      </c>
      <c r="D1170" s="37">
        <v>579</v>
      </c>
      <c r="E1170" s="37">
        <v>2</v>
      </c>
      <c r="F1170" s="841">
        <v>11957</v>
      </c>
      <c r="G1170" s="37">
        <v>20</v>
      </c>
      <c r="H1170" s="37">
        <v>6</v>
      </c>
      <c r="I1170" s="37">
        <v>0</v>
      </c>
      <c r="J1170" s="672">
        <f t="shared" si="177"/>
        <v>0.0165305772854451</v>
      </c>
      <c r="K1170" s="673">
        <f t="shared" si="178"/>
        <v>1.03364421416235</v>
      </c>
      <c r="L1170" s="809">
        <f t="shared" si="176"/>
        <v>17.0867355678639</v>
      </c>
      <c r="M1170" s="839">
        <f t="shared" si="175"/>
        <v>19.9789466648844</v>
      </c>
      <c r="N1170" s="39">
        <f t="shared" si="182"/>
        <v>0.00345423143350604</v>
      </c>
      <c r="O1170" s="675">
        <f t="shared" si="179"/>
        <v>23.0184615384615</v>
      </c>
      <c r="P1170">
        <f t="shared" si="180"/>
        <v>26</v>
      </c>
      <c r="Q1170" s="842">
        <f t="shared" si="181"/>
        <v>0.0449050086355786</v>
      </c>
    </row>
    <row r="1171" spans="1:17">
      <c r="A1171" s="801">
        <v>45919</v>
      </c>
      <c r="B1171" s="670">
        <v>593.3</v>
      </c>
      <c r="C1171" s="671">
        <v>51675</v>
      </c>
      <c r="D1171" s="37">
        <v>698</v>
      </c>
      <c r="E1171" s="37">
        <v>0</v>
      </c>
      <c r="F1171" s="841">
        <v>0</v>
      </c>
      <c r="G1171" s="37">
        <v>13</v>
      </c>
      <c r="H1171" s="37">
        <v>8</v>
      </c>
      <c r="I1171" s="37">
        <v>1</v>
      </c>
      <c r="J1171" s="672">
        <f t="shared" si="177"/>
        <v>0.0135074987905177</v>
      </c>
      <c r="K1171" s="673">
        <f t="shared" si="178"/>
        <v>0.85</v>
      </c>
      <c r="L1171" s="809">
        <f t="shared" si="176"/>
        <v>11.48137397194</v>
      </c>
      <c r="M1171" s="839">
        <f t="shared" ref="M1171:M1184" si="183">F1171/B1171</f>
        <v>0</v>
      </c>
      <c r="N1171" s="39">
        <f t="shared" si="182"/>
        <v>0</v>
      </c>
      <c r="O1171" s="675">
        <f t="shared" si="179"/>
        <v>28.2523809523809</v>
      </c>
      <c r="P1171">
        <f t="shared" si="180"/>
        <v>21</v>
      </c>
      <c r="Q1171" s="842">
        <f t="shared" si="181"/>
        <v>0.0300859598853868</v>
      </c>
    </row>
    <row r="1172" spans="1:17">
      <c r="A1172" s="801">
        <v>45920</v>
      </c>
      <c r="B1172" s="670">
        <v>588.53</v>
      </c>
      <c r="C1172" s="671">
        <v>40691</v>
      </c>
      <c r="D1172" s="37">
        <v>565</v>
      </c>
      <c r="E1172" s="37">
        <v>3</v>
      </c>
      <c r="F1172" s="41">
        <v>45742</v>
      </c>
      <c r="G1172" s="37">
        <v>24</v>
      </c>
      <c r="H1172" s="37">
        <v>7</v>
      </c>
      <c r="I1172" s="37">
        <v>2</v>
      </c>
      <c r="J1172" s="672">
        <f t="shared" si="177"/>
        <v>0.0138851343048831</v>
      </c>
      <c r="K1172" s="673">
        <f t="shared" si="178"/>
        <v>1.04164601769911</v>
      </c>
      <c r="L1172" s="809">
        <f t="shared" si="176"/>
        <v>14.4633948538989</v>
      </c>
      <c r="M1172" s="839">
        <f t="shared" si="183"/>
        <v>77.7224610470154</v>
      </c>
      <c r="N1172" s="39">
        <f t="shared" si="182"/>
        <v>0.00530973451327434</v>
      </c>
      <c r="O1172" s="675">
        <f t="shared" si="179"/>
        <v>18.9848387096774</v>
      </c>
      <c r="P1172">
        <f t="shared" si="180"/>
        <v>31</v>
      </c>
      <c r="Q1172" s="842">
        <f t="shared" si="181"/>
        <v>0.0548672566371681</v>
      </c>
    </row>
    <row r="1173" spans="1:17">
      <c r="A1173" s="801">
        <v>45921</v>
      </c>
      <c r="B1173" s="670">
        <v>598.86</v>
      </c>
      <c r="C1173" s="671">
        <v>36658</v>
      </c>
      <c r="D1173" s="37">
        <v>572</v>
      </c>
      <c r="E1173" s="37">
        <v>1</v>
      </c>
      <c r="F1173" s="41">
        <v>13834</v>
      </c>
      <c r="G1173" s="37">
        <v>11</v>
      </c>
      <c r="H1173" s="37">
        <v>5</v>
      </c>
      <c r="I1173" s="37">
        <v>1</v>
      </c>
      <c r="J1173" s="672">
        <f t="shared" si="177"/>
        <v>0.0156036881444705</v>
      </c>
      <c r="K1173" s="673">
        <f t="shared" si="178"/>
        <v>1.04695804195804</v>
      </c>
      <c r="L1173" s="809">
        <f t="shared" si="176"/>
        <v>16.3364067870588</v>
      </c>
      <c r="M1173" s="839">
        <f t="shared" si="183"/>
        <v>23.1005577263467</v>
      </c>
      <c r="N1173" s="39">
        <f t="shared" si="182"/>
        <v>0.00174825174825175</v>
      </c>
      <c r="O1173" s="675">
        <f t="shared" si="179"/>
        <v>37.42875</v>
      </c>
      <c r="P1173">
        <f t="shared" si="180"/>
        <v>16</v>
      </c>
      <c r="Q1173" s="842">
        <f t="shared" si="181"/>
        <v>0.027972027972028</v>
      </c>
    </row>
    <row r="1174" spans="1:17">
      <c r="A1174" s="801">
        <v>45922</v>
      </c>
      <c r="B1174" s="670">
        <v>592.57</v>
      </c>
      <c r="C1174" s="671">
        <v>37679</v>
      </c>
      <c r="D1174" s="37">
        <v>576</v>
      </c>
      <c r="E1174" s="37">
        <v>1</v>
      </c>
      <c r="F1174" s="841">
        <v>17036</v>
      </c>
      <c r="G1174" s="37">
        <v>24</v>
      </c>
      <c r="H1174" s="37">
        <v>2</v>
      </c>
      <c r="I1174" s="37">
        <v>1</v>
      </c>
      <c r="J1174" s="672">
        <f t="shared" si="177"/>
        <v>0.0152870299105603</v>
      </c>
      <c r="K1174" s="673">
        <f t="shared" si="178"/>
        <v>1.02876736111111</v>
      </c>
      <c r="L1174" s="809">
        <f t="shared" si="176"/>
        <v>15.7267974203137</v>
      </c>
      <c r="M1174" s="839">
        <f t="shared" si="183"/>
        <v>28.7493460688189</v>
      </c>
      <c r="N1174" s="39">
        <f t="shared" si="182"/>
        <v>0.00173611111111111</v>
      </c>
      <c r="O1174" s="675">
        <f t="shared" si="179"/>
        <v>22.7911538461538</v>
      </c>
      <c r="P1174">
        <f t="shared" si="180"/>
        <v>26</v>
      </c>
      <c r="Q1174" s="842">
        <f t="shared" si="181"/>
        <v>0.0451388888888889</v>
      </c>
    </row>
    <row r="1175" spans="1:17">
      <c r="A1175" s="801">
        <v>45923</v>
      </c>
      <c r="B1175" s="670">
        <v>594.52</v>
      </c>
      <c r="C1175" s="671">
        <v>33113</v>
      </c>
      <c r="D1175" s="37">
        <v>553</v>
      </c>
      <c r="E1175" s="37">
        <v>0</v>
      </c>
      <c r="F1175" s="841">
        <v>0</v>
      </c>
      <c r="G1175" s="37">
        <v>16</v>
      </c>
      <c r="H1175" s="37">
        <v>1</v>
      </c>
      <c r="I1175" s="37">
        <v>3</v>
      </c>
      <c r="J1175" s="672">
        <f t="shared" si="177"/>
        <v>0.0167003895750914</v>
      </c>
      <c r="K1175" s="673">
        <f t="shared" si="178"/>
        <v>1.07508137432188</v>
      </c>
      <c r="L1175" s="809">
        <f t="shared" si="176"/>
        <v>17.9542777761</v>
      </c>
      <c r="M1175" s="839">
        <f t="shared" si="183"/>
        <v>0</v>
      </c>
      <c r="N1175" s="39">
        <f t="shared" si="182"/>
        <v>0</v>
      </c>
      <c r="O1175" s="675">
        <f t="shared" si="179"/>
        <v>34.9717647058824</v>
      </c>
      <c r="P1175">
        <f t="shared" si="180"/>
        <v>17</v>
      </c>
      <c r="Q1175" s="842">
        <f t="shared" si="181"/>
        <v>0.0307414104882459</v>
      </c>
    </row>
    <row r="1176" spans="1:17">
      <c r="A1176" s="801">
        <v>45924</v>
      </c>
      <c r="B1176" s="670">
        <v>596.39</v>
      </c>
      <c r="C1176" s="671">
        <v>37214</v>
      </c>
      <c r="D1176" s="37">
        <v>673</v>
      </c>
      <c r="E1176" s="37">
        <v>3</v>
      </c>
      <c r="F1176" s="41">
        <v>34215</v>
      </c>
      <c r="G1176" s="37">
        <v>18</v>
      </c>
      <c r="H1176" s="37">
        <v>10</v>
      </c>
      <c r="I1176" s="37">
        <v>1</v>
      </c>
      <c r="J1176" s="672">
        <f t="shared" si="177"/>
        <v>0.0180845918202827</v>
      </c>
      <c r="K1176" s="673">
        <f t="shared" si="178"/>
        <v>0.886166419019316</v>
      </c>
      <c r="L1176" s="809">
        <f t="shared" si="176"/>
        <v>16.0259579728059</v>
      </c>
      <c r="M1176" s="839">
        <f t="shared" si="183"/>
        <v>57.3701772330187</v>
      </c>
      <c r="N1176" s="39">
        <f t="shared" si="182"/>
        <v>0.00445765230312036</v>
      </c>
      <c r="O1176" s="675">
        <f t="shared" si="179"/>
        <v>21.2996428571429</v>
      </c>
      <c r="P1176">
        <f t="shared" si="180"/>
        <v>28</v>
      </c>
      <c r="Q1176" s="842">
        <f t="shared" si="181"/>
        <v>0.0416047548291233</v>
      </c>
    </row>
    <row r="1177" spans="1:17">
      <c r="A1177" s="801">
        <v>45925</v>
      </c>
      <c r="B1177" s="670">
        <v>1109.92</v>
      </c>
      <c r="C1177" s="671">
        <v>59701</v>
      </c>
      <c r="D1177" s="37">
        <v>1005</v>
      </c>
      <c r="E1177" s="37">
        <v>1</v>
      </c>
      <c r="F1177" s="41">
        <v>11298</v>
      </c>
      <c r="G1177" s="37">
        <v>18</v>
      </c>
      <c r="H1177" s="37">
        <v>9</v>
      </c>
      <c r="I1177" s="37">
        <v>5</v>
      </c>
      <c r="J1177" s="672">
        <f t="shared" si="177"/>
        <v>0.0168338888795833</v>
      </c>
      <c r="K1177" s="673">
        <f t="shared" si="178"/>
        <v>1.10439800995025</v>
      </c>
      <c r="L1177" s="809">
        <f t="shared" si="176"/>
        <v>18.5913133783354</v>
      </c>
      <c r="M1177" s="839">
        <f t="shared" si="183"/>
        <v>10.1791120080727</v>
      </c>
      <c r="N1177" s="39">
        <f t="shared" si="182"/>
        <v>0.00099502487562189</v>
      </c>
      <c r="O1177" s="675">
        <f t="shared" si="179"/>
        <v>41.1081481481482</v>
      </c>
      <c r="P1177">
        <f t="shared" si="180"/>
        <v>27</v>
      </c>
      <c r="Q1177" s="842">
        <f t="shared" si="181"/>
        <v>0.026865671641791</v>
      </c>
    </row>
    <row r="1178" spans="1:17">
      <c r="A1178" s="801">
        <v>45926</v>
      </c>
      <c r="B1178" s="670">
        <v>1097.41</v>
      </c>
      <c r="C1178" s="671">
        <v>49495</v>
      </c>
      <c r="D1178" s="37">
        <v>923</v>
      </c>
      <c r="E1178" s="37">
        <v>0</v>
      </c>
      <c r="F1178" s="841">
        <v>0</v>
      </c>
      <c r="G1178" s="37">
        <v>12</v>
      </c>
      <c r="H1178" s="37">
        <v>10</v>
      </c>
      <c r="I1178" s="37">
        <v>1</v>
      </c>
      <c r="J1178" s="672">
        <f t="shared" si="177"/>
        <v>0.0186483483180119</v>
      </c>
      <c r="K1178" s="673">
        <f t="shared" si="178"/>
        <v>1.18895991332611</v>
      </c>
      <c r="L1178" s="809">
        <f t="shared" si="176"/>
        <v>22.1721385998586</v>
      </c>
      <c r="M1178" s="839">
        <f t="shared" si="183"/>
        <v>0</v>
      </c>
      <c r="N1178" s="39">
        <f t="shared" si="182"/>
        <v>0</v>
      </c>
      <c r="O1178" s="675">
        <f t="shared" si="179"/>
        <v>49.8822727272727</v>
      </c>
      <c r="P1178">
        <f t="shared" si="180"/>
        <v>22</v>
      </c>
      <c r="Q1178" s="842">
        <f t="shared" si="181"/>
        <v>0.0238353196099675</v>
      </c>
    </row>
    <row r="1179" spans="1:17">
      <c r="A1179" s="801">
        <v>45927</v>
      </c>
      <c r="B1179" s="670">
        <v>1095.11</v>
      </c>
      <c r="C1179" s="671">
        <v>63234</v>
      </c>
      <c r="D1179" s="37">
        <v>1259</v>
      </c>
      <c r="E1179" s="37">
        <v>2</v>
      </c>
      <c r="F1179" s="41">
        <v>8715</v>
      </c>
      <c r="G1179" s="37">
        <v>27</v>
      </c>
      <c r="H1179" s="37">
        <v>14</v>
      </c>
      <c r="I1179" s="37">
        <v>2</v>
      </c>
      <c r="J1179" s="672">
        <f t="shared" si="177"/>
        <v>0.0199101749059051</v>
      </c>
      <c r="K1179" s="673">
        <f t="shared" si="178"/>
        <v>0.869825258141382</v>
      </c>
      <c r="L1179" s="809">
        <f t="shared" si="176"/>
        <v>17.3183730271689</v>
      </c>
      <c r="M1179" s="839">
        <f t="shared" si="183"/>
        <v>7.95810466528477</v>
      </c>
      <c r="N1179" s="39">
        <f t="shared" si="182"/>
        <v>0.00158856235107228</v>
      </c>
      <c r="O1179" s="675">
        <f t="shared" si="179"/>
        <v>26.71</v>
      </c>
      <c r="P1179">
        <f t="shared" si="180"/>
        <v>41</v>
      </c>
      <c r="Q1179" s="842">
        <f t="shared" si="181"/>
        <v>0.0325655281969817</v>
      </c>
    </row>
    <row r="1180" spans="1:17">
      <c r="A1180" s="801">
        <v>45928</v>
      </c>
      <c r="B1180" s="670">
        <v>1077.26</v>
      </c>
      <c r="C1180" s="671">
        <v>69333</v>
      </c>
      <c r="D1180" s="37">
        <v>1363</v>
      </c>
      <c r="E1180" s="37">
        <v>0</v>
      </c>
      <c r="F1180" s="841">
        <v>0</v>
      </c>
      <c r="G1180" s="37">
        <v>18</v>
      </c>
      <c r="H1180" s="37">
        <v>13</v>
      </c>
      <c r="I1180" s="37">
        <v>2</v>
      </c>
      <c r="J1180" s="672">
        <f t="shared" si="177"/>
        <v>0.0196587483593671</v>
      </c>
      <c r="K1180" s="673">
        <f t="shared" si="178"/>
        <v>0.790359501100514</v>
      </c>
      <c r="L1180" s="809">
        <f t="shared" si="176"/>
        <v>15.5374785455699</v>
      </c>
      <c r="M1180" s="839">
        <f t="shared" si="183"/>
        <v>0</v>
      </c>
      <c r="N1180" s="39">
        <f t="shared" si="182"/>
        <v>0</v>
      </c>
      <c r="O1180" s="675">
        <f t="shared" si="179"/>
        <v>34.7503225806452</v>
      </c>
      <c r="P1180">
        <f t="shared" si="180"/>
        <v>31</v>
      </c>
      <c r="Q1180" s="842">
        <f t="shared" si="181"/>
        <v>0.0227439471753485</v>
      </c>
    </row>
    <row r="1181" spans="1:17">
      <c r="A1181" s="801">
        <v>45929</v>
      </c>
      <c r="B1181" s="670">
        <v>702.69</v>
      </c>
      <c r="C1181" s="671">
        <v>44467</v>
      </c>
      <c r="D1181" s="37">
        <v>728</v>
      </c>
      <c r="E1181" s="37">
        <v>0</v>
      </c>
      <c r="F1181" s="841">
        <v>0</v>
      </c>
      <c r="G1181" s="37">
        <v>29</v>
      </c>
      <c r="H1181" s="37">
        <v>7</v>
      </c>
      <c r="I1181" s="37">
        <v>1</v>
      </c>
      <c r="J1181" s="672">
        <f t="shared" si="177"/>
        <v>0.0163716913666314</v>
      </c>
      <c r="K1181" s="673">
        <f t="shared" si="178"/>
        <v>0.965233516483517</v>
      </c>
      <c r="L1181" s="809">
        <f t="shared" si="176"/>
        <v>15.8025052285965</v>
      </c>
      <c r="M1181" s="839">
        <f t="shared" si="183"/>
        <v>0</v>
      </c>
      <c r="N1181" s="39">
        <f t="shared" si="182"/>
        <v>0</v>
      </c>
      <c r="O1181" s="675">
        <f t="shared" si="179"/>
        <v>19.5191666666667</v>
      </c>
      <c r="P1181">
        <f t="shared" si="180"/>
        <v>36</v>
      </c>
      <c r="Q1181" s="842">
        <f t="shared" si="181"/>
        <v>0.0494505494505494</v>
      </c>
    </row>
    <row r="1182" spans="1:17">
      <c r="A1182" s="801">
        <v>45930</v>
      </c>
      <c r="B1182" s="670">
        <v>629.15</v>
      </c>
      <c r="C1182" s="671">
        <v>41582</v>
      </c>
      <c r="D1182" s="37">
        <v>694</v>
      </c>
      <c r="E1182" s="37">
        <v>0</v>
      </c>
      <c r="F1182" s="841">
        <v>0</v>
      </c>
      <c r="G1182" s="37">
        <v>28</v>
      </c>
      <c r="H1182" s="37">
        <v>3</v>
      </c>
      <c r="I1182" s="37">
        <v>3</v>
      </c>
      <c r="J1182" s="672">
        <f t="shared" si="177"/>
        <v>0.0166899139050551</v>
      </c>
      <c r="K1182" s="673">
        <f t="shared" si="178"/>
        <v>0.906556195965418</v>
      </c>
      <c r="L1182" s="809">
        <f t="shared" si="176"/>
        <v>15.1303448607571</v>
      </c>
      <c r="M1182" s="839">
        <f t="shared" si="183"/>
        <v>0</v>
      </c>
      <c r="N1182" s="39">
        <f t="shared" si="182"/>
        <v>0</v>
      </c>
      <c r="O1182" s="675">
        <f t="shared" si="179"/>
        <v>20.2951612903226</v>
      </c>
      <c r="P1182">
        <f t="shared" si="180"/>
        <v>31</v>
      </c>
      <c r="Q1182" s="842">
        <f t="shared" si="181"/>
        <v>0.0446685878962536</v>
      </c>
    </row>
    <row r="1183" spans="1:17">
      <c r="A1183" s="801">
        <v>45931</v>
      </c>
      <c r="B1183" s="670">
        <v>442.76</v>
      </c>
      <c r="C1183" s="671">
        <v>46372</v>
      </c>
      <c r="D1183" s="37">
        <v>598</v>
      </c>
      <c r="E1183" s="37">
        <v>0</v>
      </c>
      <c r="F1183" s="841">
        <v>0</v>
      </c>
      <c r="G1183" s="37">
        <v>11</v>
      </c>
      <c r="H1183" s="37">
        <v>8</v>
      </c>
      <c r="I1183" s="37">
        <v>0</v>
      </c>
      <c r="J1183" s="672">
        <f t="shared" si="177"/>
        <v>0.0128957129302165</v>
      </c>
      <c r="K1183" s="673">
        <f t="shared" si="178"/>
        <v>0.740401337792642</v>
      </c>
      <c r="L1183" s="809">
        <f t="shared" si="176"/>
        <v>9.54800310532218</v>
      </c>
      <c r="M1183" s="839">
        <f t="shared" si="183"/>
        <v>0</v>
      </c>
      <c r="N1183" s="39">
        <f t="shared" si="182"/>
        <v>0</v>
      </c>
      <c r="O1183" s="675">
        <f t="shared" si="179"/>
        <v>23.3031578947368</v>
      </c>
      <c r="P1183">
        <f t="shared" si="180"/>
        <v>19</v>
      </c>
      <c r="Q1183" s="842">
        <f t="shared" si="181"/>
        <v>0.0317725752508361</v>
      </c>
    </row>
    <row r="1184" spans="1:17">
      <c r="A1184" s="801">
        <v>45932</v>
      </c>
      <c r="B1184" s="670">
        <v>440.95</v>
      </c>
      <c r="C1184" s="671">
        <v>28981</v>
      </c>
      <c r="D1184" s="37">
        <v>447</v>
      </c>
      <c r="E1184" s="37">
        <v>3</v>
      </c>
      <c r="F1184" s="841">
        <v>7975</v>
      </c>
      <c r="G1184" s="37">
        <v>14</v>
      </c>
      <c r="H1184" s="37">
        <v>14</v>
      </c>
      <c r="I1184" s="37">
        <v>4</v>
      </c>
      <c r="J1184" s="672">
        <f t="shared" si="177"/>
        <v>0.0154238984162037</v>
      </c>
      <c r="K1184" s="673">
        <f t="shared" si="178"/>
        <v>0.986465324384787</v>
      </c>
      <c r="L1184" s="809">
        <f t="shared" si="176"/>
        <v>15.2151409544184</v>
      </c>
      <c r="M1184" s="839">
        <f t="shared" si="183"/>
        <v>18.0859507880712</v>
      </c>
      <c r="N1184" s="39">
        <f t="shared" si="182"/>
        <v>0.00671140939597315</v>
      </c>
      <c r="O1184" s="675">
        <f t="shared" si="179"/>
        <v>15.7482142857143</v>
      </c>
      <c r="P1184">
        <f t="shared" si="180"/>
        <v>28</v>
      </c>
      <c r="Q1184" s="842">
        <f t="shared" si="181"/>
        <v>0.0626398210290828</v>
      </c>
    </row>
    <row r="1185" spans="1:17">
      <c r="A1185" s="801">
        <v>45933</v>
      </c>
      <c r="B1185" s="670">
        <v>1545.9</v>
      </c>
      <c r="C1185" s="671">
        <v>80484</v>
      </c>
      <c r="D1185" s="37">
        <v>1282</v>
      </c>
      <c r="E1185" s="37">
        <v>3</v>
      </c>
      <c r="F1185" s="41">
        <v>3</v>
      </c>
      <c r="G1185" s="37">
        <v>40</v>
      </c>
      <c r="H1185" s="37">
        <v>25</v>
      </c>
      <c r="I1185" s="37">
        <v>6</v>
      </c>
      <c r="J1185" s="672">
        <f t="shared" ref="J1185:J1230" si="184">D1185/C1185</f>
        <v>0.0159286317777446</v>
      </c>
      <c r="K1185" s="673">
        <f t="shared" ref="K1185:K1230" si="185">B1185/D1185</f>
        <v>1.20585023400936</v>
      </c>
      <c r="L1185" s="809">
        <f t="shared" si="176"/>
        <v>19.2075443566423</v>
      </c>
      <c r="M1185" s="839">
        <f t="shared" ref="M1185:M1230" si="186">F1185/B1185</f>
        <v>0.00194061711624297</v>
      </c>
      <c r="N1185" s="39">
        <f t="shared" ref="N1185:N1230" si="187">E1185/D1185</f>
        <v>0.00234009360374415</v>
      </c>
      <c r="O1185" s="675">
        <f t="shared" ref="O1185:O1230" si="188">B1185/(G1185+H1185)</f>
        <v>23.7830769230769</v>
      </c>
      <c r="P1185">
        <f t="shared" ref="P1185:P1230" si="189">G1185+H1185</f>
        <v>65</v>
      </c>
      <c r="Q1185" s="842">
        <f t="shared" ref="Q1185:Q1230" si="190">P1185/D1185</f>
        <v>0.0507020280811232</v>
      </c>
    </row>
    <row r="1186" spans="1:17">
      <c r="A1186" s="801">
        <v>45934</v>
      </c>
      <c r="B1186" s="670">
        <v>1494.4</v>
      </c>
      <c r="C1186" s="671">
        <v>105061</v>
      </c>
      <c r="D1186" s="37">
        <v>1818</v>
      </c>
      <c r="E1186" s="37">
        <v>8</v>
      </c>
      <c r="F1186" s="41">
        <v>11161</v>
      </c>
      <c r="G1186" s="37">
        <v>51</v>
      </c>
      <c r="H1186" s="37">
        <v>15</v>
      </c>
      <c r="I1186" s="37">
        <v>0</v>
      </c>
      <c r="J1186" s="672">
        <f t="shared" si="184"/>
        <v>0.0173042327790522</v>
      </c>
      <c r="K1186" s="673">
        <f t="shared" si="185"/>
        <v>0.822002200220022</v>
      </c>
      <c r="L1186" s="809">
        <f t="shared" ref="L1186:L1249" si="191">B1186/C1186*1000</f>
        <v>14.2241174175003</v>
      </c>
      <c r="M1186" s="839">
        <f t="shared" si="186"/>
        <v>7.46854925053533</v>
      </c>
      <c r="N1186" s="39">
        <f t="shared" si="187"/>
        <v>0.0044004400440044</v>
      </c>
      <c r="O1186" s="675">
        <f t="shared" si="188"/>
        <v>22.6424242424242</v>
      </c>
      <c r="P1186">
        <f t="shared" si="189"/>
        <v>66</v>
      </c>
      <c r="Q1186" s="842">
        <f t="shared" si="190"/>
        <v>0.0363036303630363</v>
      </c>
    </row>
    <row r="1187" spans="1:17">
      <c r="A1187" s="801">
        <v>45935</v>
      </c>
      <c r="B1187" s="670">
        <v>1495.23</v>
      </c>
      <c r="C1187" s="671">
        <v>96173</v>
      </c>
      <c r="D1187" s="37">
        <v>1818</v>
      </c>
      <c r="E1187" s="37">
        <v>4</v>
      </c>
      <c r="F1187" s="41">
        <v>10064</v>
      </c>
      <c r="G1187" s="37">
        <v>61</v>
      </c>
      <c r="H1187" s="37">
        <v>14</v>
      </c>
      <c r="I1187" s="37">
        <v>7</v>
      </c>
      <c r="J1187" s="672">
        <f t="shared" si="184"/>
        <v>0.0189034344358604</v>
      </c>
      <c r="K1187" s="673">
        <f t="shared" si="185"/>
        <v>0.822458745874587</v>
      </c>
      <c r="L1187" s="809">
        <f t="shared" si="191"/>
        <v>15.5472949788402</v>
      </c>
      <c r="M1187" s="839">
        <f t="shared" si="186"/>
        <v>6.73073707723895</v>
      </c>
      <c r="N1187" s="39">
        <f t="shared" si="187"/>
        <v>0.0022002200220022</v>
      </c>
      <c r="O1187" s="675">
        <f t="shared" si="188"/>
        <v>19.9364</v>
      </c>
      <c r="P1187">
        <f t="shared" si="189"/>
        <v>75</v>
      </c>
      <c r="Q1187" s="842">
        <f t="shared" si="190"/>
        <v>0.0412541254125413</v>
      </c>
    </row>
    <row r="1188" spans="1:17">
      <c r="A1188" s="801">
        <v>45936</v>
      </c>
      <c r="B1188" s="670">
        <v>1496.24</v>
      </c>
      <c r="C1188" s="671">
        <v>73354</v>
      </c>
      <c r="D1188" s="37">
        <v>1416</v>
      </c>
      <c r="E1188" s="37">
        <v>9</v>
      </c>
      <c r="F1188" s="41">
        <v>60987</v>
      </c>
      <c r="G1188" s="37">
        <v>72</v>
      </c>
      <c r="H1188" s="37">
        <v>14</v>
      </c>
      <c r="I1188" s="37">
        <v>4</v>
      </c>
      <c r="J1188" s="672">
        <f t="shared" si="184"/>
        <v>0.019303650789323</v>
      </c>
      <c r="K1188" s="673">
        <f t="shared" si="185"/>
        <v>1.05666666666667</v>
      </c>
      <c r="L1188" s="809">
        <f t="shared" si="191"/>
        <v>20.3975243340513</v>
      </c>
      <c r="M1188" s="839">
        <f t="shared" si="186"/>
        <v>40.7601721648933</v>
      </c>
      <c r="N1188" s="39">
        <f t="shared" si="187"/>
        <v>0.00635593220338983</v>
      </c>
      <c r="O1188" s="675">
        <f t="shared" si="188"/>
        <v>17.3981395348837</v>
      </c>
      <c r="P1188">
        <f t="shared" si="189"/>
        <v>86</v>
      </c>
      <c r="Q1188" s="842">
        <f t="shared" si="190"/>
        <v>0.0607344632768362</v>
      </c>
    </row>
    <row r="1189" spans="1:17">
      <c r="A1189" s="801">
        <v>45937</v>
      </c>
      <c r="B1189" s="670">
        <v>1494.22</v>
      </c>
      <c r="C1189" s="671">
        <v>83357</v>
      </c>
      <c r="D1189" s="37">
        <v>1664</v>
      </c>
      <c r="E1189" s="37">
        <v>21</v>
      </c>
      <c r="F1189" s="41">
        <v>152359</v>
      </c>
      <c r="G1189" s="37">
        <v>75</v>
      </c>
      <c r="H1189" s="37">
        <v>14</v>
      </c>
      <c r="I1189" s="37">
        <v>2</v>
      </c>
      <c r="J1189" s="672">
        <f t="shared" si="184"/>
        <v>0.0199623306980817</v>
      </c>
      <c r="K1189" s="673">
        <f t="shared" si="185"/>
        <v>0.89796875</v>
      </c>
      <c r="L1189" s="809">
        <f t="shared" si="191"/>
        <v>17.9255491440431</v>
      </c>
      <c r="M1189" s="839">
        <f t="shared" si="186"/>
        <v>101.965574011859</v>
      </c>
      <c r="N1189" s="39">
        <f t="shared" si="187"/>
        <v>0.0126201923076923</v>
      </c>
      <c r="O1189" s="675">
        <f t="shared" si="188"/>
        <v>16.7889887640449</v>
      </c>
      <c r="P1189">
        <f t="shared" si="189"/>
        <v>89</v>
      </c>
      <c r="Q1189" s="842">
        <f t="shared" si="190"/>
        <v>0.0534855769230769</v>
      </c>
    </row>
    <row r="1190" spans="1:17">
      <c r="A1190" s="801">
        <v>45938</v>
      </c>
      <c r="B1190" s="670">
        <v>1494.21</v>
      </c>
      <c r="C1190" s="671">
        <v>69945</v>
      </c>
      <c r="D1190" s="37">
        <v>1542</v>
      </c>
      <c r="E1190" s="37">
        <v>19</v>
      </c>
      <c r="F1190" s="41">
        <v>171820</v>
      </c>
      <c r="G1190" s="37">
        <v>97</v>
      </c>
      <c r="H1190" s="37">
        <v>15</v>
      </c>
      <c r="I1190" s="37">
        <v>3</v>
      </c>
      <c r="J1190" s="672">
        <f t="shared" si="184"/>
        <v>0.0220458932018014</v>
      </c>
      <c r="K1190" s="673">
        <f t="shared" si="185"/>
        <v>0.969007782101167</v>
      </c>
      <c r="L1190" s="809">
        <f t="shared" si="191"/>
        <v>21.3626420759168</v>
      </c>
      <c r="M1190" s="839">
        <f t="shared" si="186"/>
        <v>114.990530112902</v>
      </c>
      <c r="N1190" s="39">
        <f t="shared" si="187"/>
        <v>0.0123216601815824</v>
      </c>
      <c r="O1190" s="675">
        <f t="shared" si="188"/>
        <v>13.3411607142857</v>
      </c>
      <c r="P1190">
        <f t="shared" si="189"/>
        <v>112</v>
      </c>
      <c r="Q1190" s="842">
        <f t="shared" si="190"/>
        <v>0.072632944228275</v>
      </c>
    </row>
    <row r="1191" spans="1:17">
      <c r="A1191" s="801">
        <v>45939</v>
      </c>
      <c r="B1191" s="670">
        <v>1500.24</v>
      </c>
      <c r="C1191" s="671">
        <v>69764</v>
      </c>
      <c r="D1191" s="37">
        <v>1398</v>
      </c>
      <c r="E1191" s="37">
        <v>12</v>
      </c>
      <c r="F1191" s="841">
        <v>105707</v>
      </c>
      <c r="G1191" s="37">
        <v>83</v>
      </c>
      <c r="H1191" s="37">
        <v>17</v>
      </c>
      <c r="I1191" s="37">
        <v>5</v>
      </c>
      <c r="J1191" s="672">
        <f t="shared" si="184"/>
        <v>0.0200389885901038</v>
      </c>
      <c r="K1191" s="673">
        <f t="shared" si="185"/>
        <v>1.0731330472103</v>
      </c>
      <c r="L1191" s="809">
        <f t="shared" si="191"/>
        <v>21.5045008887105</v>
      </c>
      <c r="M1191" s="839">
        <f t="shared" si="186"/>
        <v>70.4600597237775</v>
      </c>
      <c r="N1191" s="39">
        <f t="shared" si="187"/>
        <v>0.00858369098712446</v>
      </c>
      <c r="O1191" s="675">
        <f t="shared" si="188"/>
        <v>15.0024</v>
      </c>
      <c r="P1191">
        <f t="shared" si="189"/>
        <v>100</v>
      </c>
      <c r="Q1191" s="842">
        <f t="shared" si="190"/>
        <v>0.0715307582260372</v>
      </c>
    </row>
    <row r="1192" spans="1:17">
      <c r="A1192" s="801">
        <v>45940</v>
      </c>
      <c r="B1192" s="670">
        <v>1492.19</v>
      </c>
      <c r="C1192" s="671">
        <v>63689</v>
      </c>
      <c r="D1192" s="37">
        <v>1289</v>
      </c>
      <c r="E1192" s="37">
        <v>18</v>
      </c>
      <c r="F1192" s="41">
        <v>130359</v>
      </c>
      <c r="G1192" s="37">
        <v>78</v>
      </c>
      <c r="H1192" s="37">
        <v>18</v>
      </c>
      <c r="I1192" s="37">
        <v>3</v>
      </c>
      <c r="J1192" s="672">
        <f t="shared" si="184"/>
        <v>0.0202389737631302</v>
      </c>
      <c r="K1192" s="673">
        <f t="shared" si="185"/>
        <v>1.15763382467029</v>
      </c>
      <c r="L1192" s="809">
        <f t="shared" si="191"/>
        <v>23.429320604814</v>
      </c>
      <c r="M1192" s="839">
        <f t="shared" si="186"/>
        <v>87.3608588718595</v>
      </c>
      <c r="N1192" s="39">
        <f t="shared" si="187"/>
        <v>0.0139643134212568</v>
      </c>
      <c r="O1192" s="675">
        <f t="shared" si="188"/>
        <v>15.5436458333333</v>
      </c>
      <c r="P1192">
        <f t="shared" si="189"/>
        <v>96</v>
      </c>
      <c r="Q1192" s="842">
        <f t="shared" si="190"/>
        <v>0.0744763382467029</v>
      </c>
    </row>
    <row r="1193" spans="1:17">
      <c r="A1193" s="801">
        <v>45941</v>
      </c>
      <c r="B1193" s="670">
        <v>1492.59</v>
      </c>
      <c r="C1193" s="671">
        <v>61486</v>
      </c>
      <c r="D1193" s="37">
        <v>1294</v>
      </c>
      <c r="E1193" s="37">
        <v>14</v>
      </c>
      <c r="F1193" s="670">
        <v>123961</v>
      </c>
      <c r="G1193" s="37">
        <v>69</v>
      </c>
      <c r="H1193" s="37">
        <v>16</v>
      </c>
      <c r="I1193" s="37">
        <v>1</v>
      </c>
      <c r="J1193" s="672">
        <f t="shared" si="184"/>
        <v>0.021045441238656</v>
      </c>
      <c r="K1193" s="673">
        <f t="shared" si="185"/>
        <v>1.15346986089645</v>
      </c>
      <c r="L1193" s="809">
        <f t="shared" si="191"/>
        <v>24.2752821780568</v>
      </c>
      <c r="M1193" s="839">
        <f t="shared" si="186"/>
        <v>83.0509383018779</v>
      </c>
      <c r="N1193" s="39">
        <f t="shared" si="187"/>
        <v>0.0108191653786708</v>
      </c>
      <c r="O1193" s="675">
        <f t="shared" si="188"/>
        <v>17.5598823529412</v>
      </c>
      <c r="P1193">
        <f t="shared" si="189"/>
        <v>85</v>
      </c>
      <c r="Q1193" s="842">
        <f t="shared" si="190"/>
        <v>0.0656877897990726</v>
      </c>
    </row>
    <row r="1194" spans="1:17">
      <c r="A1194" s="801">
        <v>45942</v>
      </c>
      <c r="B1194" s="670">
        <v>1490.41</v>
      </c>
      <c r="C1194" s="671">
        <v>56544</v>
      </c>
      <c r="D1194" s="37">
        <v>1376</v>
      </c>
      <c r="E1194" s="37">
        <v>21</v>
      </c>
      <c r="F1194" s="670">
        <v>163859</v>
      </c>
      <c r="G1194" s="37">
        <v>95</v>
      </c>
      <c r="H1194" s="37">
        <v>13</v>
      </c>
      <c r="I1194" s="37">
        <v>2</v>
      </c>
      <c r="J1194" s="672">
        <f t="shared" si="184"/>
        <v>0.0243350311262026</v>
      </c>
      <c r="K1194" s="673">
        <f t="shared" si="185"/>
        <v>1.08314680232558</v>
      </c>
      <c r="L1194" s="809">
        <f t="shared" si="191"/>
        <v>26.3584111488398</v>
      </c>
      <c r="M1194" s="839">
        <f t="shared" si="186"/>
        <v>109.942230661362</v>
      </c>
      <c r="N1194" s="39">
        <f t="shared" si="187"/>
        <v>0.0152616279069767</v>
      </c>
      <c r="O1194" s="675">
        <f t="shared" si="188"/>
        <v>13.8000925925926</v>
      </c>
      <c r="P1194">
        <f t="shared" si="189"/>
        <v>108</v>
      </c>
      <c r="Q1194" s="842">
        <f t="shared" si="190"/>
        <v>0.0784883720930233</v>
      </c>
    </row>
    <row r="1195" spans="1:17">
      <c r="A1195" s="801">
        <v>45943</v>
      </c>
      <c r="B1195" s="670">
        <v>1519.9</v>
      </c>
      <c r="C1195" s="671">
        <v>57595</v>
      </c>
      <c r="D1195" s="37">
        <v>1324</v>
      </c>
      <c r="E1195" s="37">
        <v>25</v>
      </c>
      <c r="F1195" s="670">
        <v>232390</v>
      </c>
      <c r="G1195" s="37">
        <v>75</v>
      </c>
      <c r="H1195" s="37">
        <v>9</v>
      </c>
      <c r="I1195" s="37">
        <v>3</v>
      </c>
      <c r="J1195" s="672">
        <f t="shared" si="184"/>
        <v>0.0229881066064763</v>
      </c>
      <c r="K1195" s="673">
        <f t="shared" si="185"/>
        <v>1.14796072507553</v>
      </c>
      <c r="L1195" s="809">
        <f t="shared" si="191"/>
        <v>26.389443528084</v>
      </c>
      <c r="M1195" s="839">
        <f t="shared" si="186"/>
        <v>152.89821698796</v>
      </c>
      <c r="N1195" s="39">
        <f t="shared" si="187"/>
        <v>0.0188821752265861</v>
      </c>
      <c r="O1195" s="675">
        <f t="shared" si="188"/>
        <v>18.0940476190476</v>
      </c>
      <c r="P1195">
        <f t="shared" si="189"/>
        <v>84</v>
      </c>
      <c r="Q1195" s="842">
        <f t="shared" si="190"/>
        <v>0.0634441087613293</v>
      </c>
    </row>
    <row r="1196" spans="1:17">
      <c r="A1196" s="801">
        <v>45944</v>
      </c>
      <c r="B1196" s="670">
        <v>1898.28</v>
      </c>
      <c r="C1196" s="671">
        <v>51988</v>
      </c>
      <c r="D1196" s="37">
        <v>1265</v>
      </c>
      <c r="E1196" s="37">
        <v>26</v>
      </c>
      <c r="F1196" s="670">
        <v>213128</v>
      </c>
      <c r="G1196" s="37">
        <v>95</v>
      </c>
      <c r="H1196" s="37">
        <v>10</v>
      </c>
      <c r="I1196" s="37">
        <v>5</v>
      </c>
      <c r="J1196" s="672">
        <f t="shared" si="184"/>
        <v>0.0243325382780642</v>
      </c>
      <c r="K1196" s="673">
        <f t="shared" si="185"/>
        <v>1.50061660079051</v>
      </c>
      <c r="L1196" s="809">
        <f t="shared" si="191"/>
        <v>36.5138108794337</v>
      </c>
      <c r="M1196" s="839">
        <f t="shared" si="186"/>
        <v>112.274269338559</v>
      </c>
      <c r="N1196" s="39">
        <f t="shared" si="187"/>
        <v>0.0205533596837945</v>
      </c>
      <c r="O1196" s="675">
        <f t="shared" si="188"/>
        <v>18.0788571428571</v>
      </c>
      <c r="P1196">
        <f t="shared" si="189"/>
        <v>105</v>
      </c>
      <c r="Q1196" s="842">
        <f t="shared" si="190"/>
        <v>0.08300395256917</v>
      </c>
    </row>
    <row r="1197" spans="1:17">
      <c r="A1197" s="801">
        <v>45945</v>
      </c>
      <c r="B1197" s="670">
        <v>2572.17</v>
      </c>
      <c r="C1197" s="671">
        <v>45180</v>
      </c>
      <c r="D1197" s="37">
        <v>1142</v>
      </c>
      <c r="E1197" s="37">
        <v>63</v>
      </c>
      <c r="F1197" s="670">
        <v>600270</v>
      </c>
      <c r="G1197" s="37">
        <v>99</v>
      </c>
      <c r="H1197" s="37">
        <v>9</v>
      </c>
      <c r="I1197" s="37">
        <v>4</v>
      </c>
      <c r="J1197" s="672">
        <f t="shared" si="184"/>
        <v>0.0252766710934042</v>
      </c>
      <c r="K1197" s="673">
        <f t="shared" si="185"/>
        <v>2.25233800350263</v>
      </c>
      <c r="L1197" s="809">
        <f t="shared" si="191"/>
        <v>56.9316069057105</v>
      </c>
      <c r="M1197" s="839">
        <f t="shared" si="186"/>
        <v>233.371044682117</v>
      </c>
      <c r="N1197" s="39">
        <f t="shared" si="187"/>
        <v>0.0551663747810858</v>
      </c>
      <c r="O1197" s="675">
        <f t="shared" si="188"/>
        <v>23.8163888888889</v>
      </c>
      <c r="P1197">
        <f t="shared" si="189"/>
        <v>108</v>
      </c>
      <c r="Q1197" s="842">
        <f t="shared" si="190"/>
        <v>0.0945709281961471</v>
      </c>
    </row>
    <row r="1198" spans="1:17">
      <c r="A1198" s="801">
        <v>45946</v>
      </c>
      <c r="B1198" s="670">
        <v>1957.08</v>
      </c>
      <c r="C1198" s="671">
        <v>38700</v>
      </c>
      <c r="D1198" s="37">
        <v>831</v>
      </c>
      <c r="E1198" s="37">
        <v>36</v>
      </c>
      <c r="F1198" s="670">
        <v>301566</v>
      </c>
      <c r="G1198" s="37">
        <v>52</v>
      </c>
      <c r="H1198" s="37">
        <v>6</v>
      </c>
      <c r="I1198" s="37">
        <v>6</v>
      </c>
      <c r="J1198" s="672">
        <f t="shared" si="184"/>
        <v>0.0214728682170543</v>
      </c>
      <c r="K1198" s="673">
        <f t="shared" si="185"/>
        <v>2.35509025270758</v>
      </c>
      <c r="L1198" s="809">
        <f t="shared" si="191"/>
        <v>50.5705426356589</v>
      </c>
      <c r="M1198" s="839">
        <f t="shared" si="186"/>
        <v>154.089766386658</v>
      </c>
      <c r="N1198" s="39">
        <f t="shared" si="187"/>
        <v>0.0433212996389892</v>
      </c>
      <c r="O1198" s="675">
        <f t="shared" si="188"/>
        <v>33.7427586206897</v>
      </c>
      <c r="P1198">
        <f t="shared" si="189"/>
        <v>58</v>
      </c>
      <c r="Q1198" s="842">
        <f t="shared" si="190"/>
        <v>0.0697954271961492</v>
      </c>
    </row>
    <row r="1199" spans="1:17">
      <c r="A1199" s="801">
        <v>45947</v>
      </c>
      <c r="B1199" s="670">
        <v>1957.38</v>
      </c>
      <c r="C1199" s="671">
        <v>40405</v>
      </c>
      <c r="D1199" s="37">
        <v>742</v>
      </c>
      <c r="E1199" s="37">
        <v>19</v>
      </c>
      <c r="F1199" s="670">
        <v>174159</v>
      </c>
      <c r="G1199" s="37">
        <v>49</v>
      </c>
      <c r="H1199" s="37">
        <v>6</v>
      </c>
      <c r="I1199" s="37">
        <v>8</v>
      </c>
      <c r="J1199" s="672">
        <f t="shared" si="184"/>
        <v>0.0183640638534835</v>
      </c>
      <c r="K1199" s="673">
        <f t="shared" si="185"/>
        <v>2.63797843665768</v>
      </c>
      <c r="L1199" s="809">
        <f t="shared" si="191"/>
        <v>48.4440044548942</v>
      </c>
      <c r="M1199" s="839">
        <f t="shared" si="186"/>
        <v>88.9755693835637</v>
      </c>
      <c r="N1199" s="39">
        <f t="shared" si="187"/>
        <v>0.0256064690026954</v>
      </c>
      <c r="O1199" s="675">
        <f t="shared" si="188"/>
        <v>35.5887272727273</v>
      </c>
      <c r="P1199">
        <f t="shared" si="189"/>
        <v>55</v>
      </c>
      <c r="Q1199" s="842">
        <f t="shared" si="190"/>
        <v>0.0741239892183288</v>
      </c>
    </row>
    <row r="1200" spans="1:17">
      <c r="A1200" s="801">
        <v>45948</v>
      </c>
      <c r="B1200" s="670">
        <v>1876.76</v>
      </c>
      <c r="C1200" s="671">
        <v>65491</v>
      </c>
      <c r="D1200" s="37">
        <v>1064</v>
      </c>
      <c r="E1200" s="37">
        <v>27</v>
      </c>
      <c r="F1200" s="670">
        <v>202730</v>
      </c>
      <c r="G1200" s="37">
        <v>59</v>
      </c>
      <c r="H1200" s="37">
        <v>8</v>
      </c>
      <c r="I1200" s="37">
        <v>7</v>
      </c>
      <c r="J1200" s="672">
        <f t="shared" si="184"/>
        <v>0.0162465071536547</v>
      </c>
      <c r="K1200" s="673">
        <f t="shared" si="185"/>
        <v>1.76387218045113</v>
      </c>
      <c r="L1200" s="809">
        <f t="shared" si="191"/>
        <v>28.6567619978318</v>
      </c>
      <c r="M1200" s="839">
        <f t="shared" si="186"/>
        <v>108.021270700569</v>
      </c>
      <c r="N1200" s="39">
        <f t="shared" si="187"/>
        <v>0.0253759398496241</v>
      </c>
      <c r="O1200" s="675">
        <f t="shared" si="188"/>
        <v>28.0113432835821</v>
      </c>
      <c r="P1200">
        <f t="shared" si="189"/>
        <v>67</v>
      </c>
      <c r="Q1200" s="842">
        <f t="shared" si="190"/>
        <v>0.0629699248120301</v>
      </c>
    </row>
    <row r="1201" spans="1:17">
      <c r="A1201" s="801">
        <v>45949</v>
      </c>
      <c r="B1201" s="670">
        <v>1817.25</v>
      </c>
      <c r="C1201" s="671">
        <v>47328</v>
      </c>
      <c r="D1201" s="37">
        <v>909</v>
      </c>
      <c r="E1201" s="37">
        <v>32</v>
      </c>
      <c r="F1201" s="670">
        <v>252091</v>
      </c>
      <c r="G1201" s="37">
        <v>63</v>
      </c>
      <c r="H1201" s="37">
        <v>10</v>
      </c>
      <c r="I1201" s="37">
        <v>4</v>
      </c>
      <c r="J1201" s="672">
        <f t="shared" si="184"/>
        <v>0.0192063894523327</v>
      </c>
      <c r="K1201" s="673">
        <f t="shared" si="185"/>
        <v>1.99917491749175</v>
      </c>
      <c r="L1201" s="809">
        <f t="shared" si="191"/>
        <v>38.3969320486815</v>
      </c>
      <c r="M1201" s="839">
        <f t="shared" si="186"/>
        <v>138.721144586601</v>
      </c>
      <c r="N1201" s="39">
        <f t="shared" si="187"/>
        <v>0.0352035203520352</v>
      </c>
      <c r="O1201" s="675">
        <f t="shared" si="188"/>
        <v>24.8938356164384</v>
      </c>
      <c r="P1201">
        <f t="shared" si="189"/>
        <v>73</v>
      </c>
      <c r="Q1201" s="842">
        <f t="shared" si="190"/>
        <v>0.0803080308030803</v>
      </c>
    </row>
    <row r="1202" spans="1:17">
      <c r="A1202" s="801">
        <v>45950</v>
      </c>
      <c r="B1202" s="670">
        <v>1796.79</v>
      </c>
      <c r="C1202" s="671">
        <v>32732</v>
      </c>
      <c r="D1202" s="37">
        <v>686</v>
      </c>
      <c r="E1202" s="37">
        <v>28</v>
      </c>
      <c r="F1202" s="670">
        <v>263008</v>
      </c>
      <c r="G1202" s="37">
        <v>49</v>
      </c>
      <c r="H1202" s="37">
        <v>6</v>
      </c>
      <c r="I1202" s="37">
        <v>3</v>
      </c>
      <c r="J1202" s="672">
        <f t="shared" si="184"/>
        <v>0.0209580838323353</v>
      </c>
      <c r="K1202" s="673">
        <f t="shared" si="185"/>
        <v>2.61922740524781</v>
      </c>
      <c r="L1202" s="809">
        <f t="shared" si="191"/>
        <v>54.8939875351338</v>
      </c>
      <c r="M1202" s="839">
        <f t="shared" si="186"/>
        <v>146.376593814525</v>
      </c>
      <c r="N1202" s="39">
        <f t="shared" si="187"/>
        <v>0.0408163265306122</v>
      </c>
      <c r="O1202" s="675">
        <f t="shared" si="188"/>
        <v>32.6689090909091</v>
      </c>
      <c r="P1202">
        <f t="shared" si="189"/>
        <v>55</v>
      </c>
      <c r="Q1202" s="842">
        <f t="shared" si="190"/>
        <v>0.0801749271137026</v>
      </c>
    </row>
    <row r="1203" spans="1:17">
      <c r="A1203" s="801">
        <v>45951</v>
      </c>
      <c r="B1203" s="670">
        <v>2005.61</v>
      </c>
      <c r="C1203" s="671">
        <v>38403</v>
      </c>
      <c r="D1203" s="37">
        <v>910</v>
      </c>
      <c r="E1203" s="37">
        <v>31</v>
      </c>
      <c r="F1203" s="670">
        <v>257760</v>
      </c>
      <c r="G1203" s="37">
        <v>64</v>
      </c>
      <c r="H1203" s="37">
        <v>12</v>
      </c>
      <c r="I1203" s="37">
        <v>5</v>
      </c>
      <c r="J1203" s="672">
        <f t="shared" si="184"/>
        <v>0.0236960654115564</v>
      </c>
      <c r="K1203" s="673">
        <f t="shared" si="185"/>
        <v>2.20396703296703</v>
      </c>
      <c r="L1203" s="809">
        <f t="shared" si="191"/>
        <v>52.2253469781007</v>
      </c>
      <c r="M1203" s="839">
        <f t="shared" si="186"/>
        <v>128.519502794661</v>
      </c>
      <c r="N1203" s="39">
        <f t="shared" si="187"/>
        <v>0.0340659340659341</v>
      </c>
      <c r="O1203" s="675">
        <f t="shared" si="188"/>
        <v>26.3896052631579</v>
      </c>
      <c r="P1203">
        <f t="shared" si="189"/>
        <v>76</v>
      </c>
      <c r="Q1203" s="842">
        <f t="shared" si="190"/>
        <v>0.0835164835164835</v>
      </c>
    </row>
    <row r="1204" spans="1:17">
      <c r="A1204" s="801">
        <v>45952</v>
      </c>
      <c r="B1204" s="670">
        <v>2181.34</v>
      </c>
      <c r="C1204" s="671">
        <v>56500</v>
      </c>
      <c r="D1204" s="37">
        <v>1191</v>
      </c>
      <c r="E1204" s="37">
        <v>10</v>
      </c>
      <c r="F1204" s="670">
        <v>86278</v>
      </c>
      <c r="G1204" s="37">
        <v>48</v>
      </c>
      <c r="H1204" s="37">
        <v>13</v>
      </c>
      <c r="I1204" s="37">
        <v>1</v>
      </c>
      <c r="J1204" s="672">
        <f t="shared" si="184"/>
        <v>0.0210796460176991</v>
      </c>
      <c r="K1204" s="673">
        <f t="shared" si="185"/>
        <v>1.83151973131822</v>
      </c>
      <c r="L1204" s="809">
        <f t="shared" si="191"/>
        <v>38.6077876106195</v>
      </c>
      <c r="M1204" s="839">
        <f t="shared" si="186"/>
        <v>39.5527519781419</v>
      </c>
      <c r="N1204" s="39">
        <f t="shared" si="187"/>
        <v>0.00839630562552477</v>
      </c>
      <c r="O1204" s="675">
        <f t="shared" si="188"/>
        <v>35.7596721311475</v>
      </c>
      <c r="P1204">
        <f t="shared" si="189"/>
        <v>61</v>
      </c>
      <c r="Q1204" s="842">
        <f t="shared" si="190"/>
        <v>0.0512174643157011</v>
      </c>
    </row>
    <row r="1205" spans="1:17">
      <c r="A1205" s="801">
        <v>45953</v>
      </c>
      <c r="B1205" s="670">
        <v>2179.81</v>
      </c>
      <c r="C1205" s="671">
        <v>66857</v>
      </c>
      <c r="D1205" s="37">
        <v>1294</v>
      </c>
      <c r="E1205" s="37">
        <v>14</v>
      </c>
      <c r="F1205" s="670">
        <v>204611</v>
      </c>
      <c r="G1205" s="37">
        <v>49</v>
      </c>
      <c r="H1205" s="37">
        <v>14</v>
      </c>
      <c r="I1205" s="37">
        <v>2</v>
      </c>
      <c r="J1205" s="672">
        <f t="shared" si="184"/>
        <v>0.0193547422109876</v>
      </c>
      <c r="K1205" s="673">
        <f t="shared" si="185"/>
        <v>1.68455177743431</v>
      </c>
      <c r="L1205" s="809">
        <f t="shared" si="191"/>
        <v>32.6040653933021</v>
      </c>
      <c r="M1205" s="839">
        <f t="shared" si="186"/>
        <v>93.866437900551</v>
      </c>
      <c r="N1205" s="39">
        <f t="shared" si="187"/>
        <v>0.0108191653786708</v>
      </c>
      <c r="O1205" s="675">
        <f t="shared" si="188"/>
        <v>34.6001587301587</v>
      </c>
      <c r="P1205">
        <f t="shared" si="189"/>
        <v>63</v>
      </c>
      <c r="Q1205" s="842">
        <f t="shared" si="190"/>
        <v>0.0486862442040185</v>
      </c>
    </row>
    <row r="1206" spans="1:17">
      <c r="A1206" s="801">
        <v>45954</v>
      </c>
      <c r="B1206" s="670">
        <v>2124.56</v>
      </c>
      <c r="C1206" s="671">
        <v>67921</v>
      </c>
      <c r="D1206" s="37">
        <v>1225</v>
      </c>
      <c r="E1206" s="37">
        <v>5</v>
      </c>
      <c r="F1206" s="670">
        <v>36374</v>
      </c>
      <c r="G1206" s="37">
        <v>73</v>
      </c>
      <c r="H1206" s="37">
        <v>18</v>
      </c>
      <c r="I1206" s="37">
        <v>4</v>
      </c>
      <c r="J1206" s="672">
        <f t="shared" si="184"/>
        <v>0.018035659074513</v>
      </c>
      <c r="K1206" s="673">
        <f t="shared" si="185"/>
        <v>1.73433469387755</v>
      </c>
      <c r="L1206" s="809">
        <f t="shared" si="191"/>
        <v>31.2798692598754</v>
      </c>
      <c r="M1206" s="839">
        <f t="shared" si="186"/>
        <v>17.1207214670332</v>
      </c>
      <c r="N1206" s="39">
        <f t="shared" si="187"/>
        <v>0.00408163265306122</v>
      </c>
      <c r="O1206" s="675">
        <f t="shared" si="188"/>
        <v>23.3468131868132</v>
      </c>
      <c r="P1206">
        <f t="shared" si="189"/>
        <v>91</v>
      </c>
      <c r="Q1206" s="842">
        <f t="shared" si="190"/>
        <v>0.0742857142857143</v>
      </c>
    </row>
    <row r="1207" spans="1:17">
      <c r="A1207" s="801">
        <v>45955</v>
      </c>
      <c r="B1207" s="670">
        <v>2116.2</v>
      </c>
      <c r="C1207" s="671">
        <v>65627</v>
      </c>
      <c r="D1207" s="37">
        <v>1248</v>
      </c>
      <c r="E1207" s="37">
        <v>9</v>
      </c>
      <c r="F1207" s="670">
        <v>89494</v>
      </c>
      <c r="G1207" s="37">
        <v>45</v>
      </c>
      <c r="H1207" s="37">
        <v>15</v>
      </c>
      <c r="I1207" s="37">
        <v>4</v>
      </c>
      <c r="J1207" s="672">
        <f t="shared" si="184"/>
        <v>0.0190165633047374</v>
      </c>
      <c r="K1207" s="673">
        <f t="shared" si="185"/>
        <v>1.69567307692308</v>
      </c>
      <c r="L1207" s="809">
        <f t="shared" si="191"/>
        <v>32.2458744114465</v>
      </c>
      <c r="M1207" s="839">
        <f t="shared" si="186"/>
        <v>42.2899536905775</v>
      </c>
      <c r="N1207" s="39">
        <f t="shared" si="187"/>
        <v>0.00721153846153846</v>
      </c>
      <c r="O1207" s="675">
        <f t="shared" si="188"/>
        <v>35.27</v>
      </c>
      <c r="P1207">
        <f t="shared" si="189"/>
        <v>60</v>
      </c>
      <c r="Q1207" s="842">
        <f t="shared" si="190"/>
        <v>0.0480769230769231</v>
      </c>
    </row>
    <row r="1208" spans="1:17">
      <c r="A1208" s="801">
        <v>45956</v>
      </c>
      <c r="B1208" s="670">
        <v>2129.16</v>
      </c>
      <c r="C1208" s="671">
        <v>58962</v>
      </c>
      <c r="D1208" s="37">
        <v>1141</v>
      </c>
      <c r="E1208" s="37">
        <v>12</v>
      </c>
      <c r="F1208" s="670">
        <v>85165</v>
      </c>
      <c r="G1208" s="37">
        <v>52</v>
      </c>
      <c r="H1208" s="37">
        <v>7</v>
      </c>
      <c r="I1208" s="37">
        <v>1</v>
      </c>
      <c r="J1208" s="672">
        <f t="shared" si="184"/>
        <v>0.0193514466944812</v>
      </c>
      <c r="K1208" s="673">
        <f t="shared" si="185"/>
        <v>1.86604732690622</v>
      </c>
      <c r="L1208" s="809">
        <f t="shared" si="191"/>
        <v>36.1107153760049</v>
      </c>
      <c r="M1208" s="839">
        <f t="shared" si="186"/>
        <v>39.9993424636946</v>
      </c>
      <c r="N1208" s="39">
        <f t="shared" si="187"/>
        <v>0.0105170902716915</v>
      </c>
      <c r="O1208" s="675">
        <f t="shared" si="188"/>
        <v>36.0874576271186</v>
      </c>
      <c r="P1208">
        <f t="shared" si="189"/>
        <v>59</v>
      </c>
      <c r="Q1208" s="842">
        <f t="shared" si="190"/>
        <v>0.0517090271691499</v>
      </c>
    </row>
    <row r="1209" spans="1:17">
      <c r="A1209" s="801">
        <v>45957</v>
      </c>
      <c r="B1209" s="670">
        <v>2092.52</v>
      </c>
      <c r="C1209" s="671">
        <v>82007</v>
      </c>
      <c r="D1209" s="37">
        <v>1529</v>
      </c>
      <c r="E1209" s="37">
        <v>10</v>
      </c>
      <c r="F1209" s="670">
        <v>63569</v>
      </c>
      <c r="G1209" s="37">
        <v>29</v>
      </c>
      <c r="H1209" s="37">
        <v>5</v>
      </c>
      <c r="I1209" s="37">
        <v>2</v>
      </c>
      <c r="J1209" s="672">
        <f t="shared" si="184"/>
        <v>0.0186447498384284</v>
      </c>
      <c r="K1209" s="673">
        <f t="shared" si="185"/>
        <v>1.36855461085677</v>
      </c>
      <c r="L1209" s="809">
        <f t="shared" si="191"/>
        <v>25.5163583596522</v>
      </c>
      <c r="M1209" s="839">
        <f t="shared" si="186"/>
        <v>30.3791600558179</v>
      </c>
      <c r="N1209" s="39">
        <f t="shared" si="187"/>
        <v>0.0065402223675605</v>
      </c>
      <c r="O1209" s="675">
        <f t="shared" si="188"/>
        <v>61.5447058823529</v>
      </c>
      <c r="P1209">
        <f t="shared" si="189"/>
        <v>34</v>
      </c>
      <c r="Q1209" s="842">
        <f t="shared" si="190"/>
        <v>0.0222367560497057</v>
      </c>
    </row>
    <row r="1210" spans="1:17">
      <c r="A1210" s="801">
        <v>45958</v>
      </c>
      <c r="B1210" s="670">
        <v>2096.65</v>
      </c>
      <c r="C1210" s="671">
        <v>63448</v>
      </c>
      <c r="D1210" s="37">
        <v>1418</v>
      </c>
      <c r="E1210" s="37">
        <v>5</v>
      </c>
      <c r="F1210" s="670">
        <v>11200</v>
      </c>
      <c r="G1210" s="37">
        <v>37</v>
      </c>
      <c r="H1210" s="37">
        <v>7</v>
      </c>
      <c r="I1210" s="37">
        <v>1</v>
      </c>
      <c r="J1210" s="672">
        <f t="shared" si="184"/>
        <v>0.0223490102130879</v>
      </c>
      <c r="K1210" s="673">
        <f t="shared" si="185"/>
        <v>1.47859661495063</v>
      </c>
      <c r="L1210" s="809">
        <f t="shared" si="191"/>
        <v>33.0451708485689</v>
      </c>
      <c r="M1210" s="839">
        <f t="shared" si="186"/>
        <v>5.34185486371116</v>
      </c>
      <c r="N1210" s="39">
        <f t="shared" si="187"/>
        <v>0.00352609308885755</v>
      </c>
      <c r="O1210" s="675">
        <f t="shared" si="188"/>
        <v>47.6511363636364</v>
      </c>
      <c r="P1210">
        <f t="shared" si="189"/>
        <v>44</v>
      </c>
      <c r="Q1210" s="842">
        <f t="shared" si="190"/>
        <v>0.0310296191819464</v>
      </c>
    </row>
    <row r="1211" spans="1:17">
      <c r="A1211" s="801">
        <v>45959</v>
      </c>
      <c r="B1211" s="670">
        <v>1735.96</v>
      </c>
      <c r="C1211" s="671">
        <v>50253</v>
      </c>
      <c r="D1211" s="37">
        <v>1271</v>
      </c>
      <c r="E1211" s="37">
        <v>7</v>
      </c>
      <c r="F1211" s="670">
        <v>51781</v>
      </c>
      <c r="G1211" s="37">
        <v>27</v>
      </c>
      <c r="H1211" s="37">
        <v>5</v>
      </c>
      <c r="I1211" s="37">
        <v>2</v>
      </c>
      <c r="J1211" s="672">
        <f t="shared" si="184"/>
        <v>0.0252920223668239</v>
      </c>
      <c r="K1211" s="673">
        <f t="shared" si="185"/>
        <v>1.36582218725413</v>
      </c>
      <c r="L1211" s="809">
        <f t="shared" si="191"/>
        <v>34.5444053091358</v>
      </c>
      <c r="M1211" s="839">
        <f t="shared" si="186"/>
        <v>29.8284522684854</v>
      </c>
      <c r="N1211" s="39">
        <f t="shared" si="187"/>
        <v>0.00550747442958301</v>
      </c>
      <c r="O1211" s="675">
        <f t="shared" si="188"/>
        <v>54.24875</v>
      </c>
      <c r="P1211">
        <f t="shared" si="189"/>
        <v>32</v>
      </c>
      <c r="Q1211" s="842">
        <f t="shared" si="190"/>
        <v>0.025177025963808</v>
      </c>
    </row>
    <row r="1212" spans="1:17">
      <c r="A1212" s="801">
        <v>45960</v>
      </c>
      <c r="B1212" s="670">
        <v>2324.36</v>
      </c>
      <c r="C1212" s="671">
        <v>69852</v>
      </c>
      <c r="D1212" s="37">
        <v>1582</v>
      </c>
      <c r="E1212" s="37">
        <v>4</v>
      </c>
      <c r="F1212" s="670">
        <v>42449</v>
      </c>
      <c r="G1212" s="37">
        <v>40</v>
      </c>
      <c r="H1212" s="37">
        <v>5</v>
      </c>
      <c r="I1212" s="37">
        <v>5</v>
      </c>
      <c r="J1212" s="672">
        <f t="shared" si="184"/>
        <v>0.0226478840978068</v>
      </c>
      <c r="K1212" s="673">
        <f t="shared" si="185"/>
        <v>1.46925410872314</v>
      </c>
      <c r="L1212" s="809">
        <f t="shared" si="191"/>
        <v>33.275496764588</v>
      </c>
      <c r="M1212" s="839">
        <f t="shared" si="186"/>
        <v>18.262661549846</v>
      </c>
      <c r="N1212" s="39">
        <f t="shared" si="187"/>
        <v>0.00252844500632111</v>
      </c>
      <c r="O1212" s="675">
        <f t="shared" si="188"/>
        <v>51.6524444444444</v>
      </c>
      <c r="P1212">
        <f t="shared" si="189"/>
        <v>45</v>
      </c>
      <c r="Q1212" s="842">
        <f t="shared" si="190"/>
        <v>0.0284450063211125</v>
      </c>
    </row>
    <row r="1213" spans="1:17">
      <c r="A1213" s="801">
        <v>45961</v>
      </c>
      <c r="B1213" s="670">
        <v>2342.32</v>
      </c>
      <c r="C1213" s="671">
        <v>63887</v>
      </c>
      <c r="D1213" s="37">
        <v>1489</v>
      </c>
      <c r="E1213" s="37">
        <v>7</v>
      </c>
      <c r="F1213" s="670">
        <v>62856</v>
      </c>
      <c r="G1213" s="37">
        <v>46</v>
      </c>
      <c r="H1213" s="37">
        <v>20</v>
      </c>
      <c r="I1213" s="37">
        <v>5</v>
      </c>
      <c r="J1213" s="672">
        <f t="shared" si="184"/>
        <v>0.0233067760264217</v>
      </c>
      <c r="K1213" s="673">
        <f t="shared" si="185"/>
        <v>1.57308260577569</v>
      </c>
      <c r="L1213" s="809">
        <f t="shared" si="191"/>
        <v>36.6634839638737</v>
      </c>
      <c r="M1213" s="839">
        <f t="shared" si="186"/>
        <v>26.8349328870522</v>
      </c>
      <c r="N1213" s="39">
        <f t="shared" si="187"/>
        <v>0.00470114170584285</v>
      </c>
      <c r="O1213" s="675">
        <f t="shared" si="188"/>
        <v>35.489696969697</v>
      </c>
      <c r="P1213">
        <f t="shared" si="189"/>
        <v>66</v>
      </c>
      <c r="Q1213" s="842">
        <f t="shared" si="190"/>
        <v>0.0443250503693754</v>
      </c>
    </row>
    <row r="1214" spans="1:17">
      <c r="A1214" s="801">
        <v>45962</v>
      </c>
      <c r="B1214" s="670">
        <v>2362.25</v>
      </c>
      <c r="C1214" s="671">
        <v>55621</v>
      </c>
      <c r="D1214" s="37">
        <v>1511</v>
      </c>
      <c r="E1214" s="37">
        <v>8</v>
      </c>
      <c r="F1214" s="670">
        <v>60177</v>
      </c>
      <c r="G1214" s="37">
        <v>34</v>
      </c>
      <c r="H1214" s="37">
        <v>7</v>
      </c>
      <c r="I1214" s="37">
        <v>1</v>
      </c>
      <c r="J1214" s="672">
        <f t="shared" si="184"/>
        <v>0.0271659984538214</v>
      </c>
      <c r="K1214" s="673">
        <f t="shared" si="185"/>
        <v>1.56336863004633</v>
      </c>
      <c r="L1214" s="809">
        <f t="shared" si="191"/>
        <v>42.4704697865914</v>
      </c>
      <c r="M1214" s="839">
        <f t="shared" si="186"/>
        <v>25.4744417398667</v>
      </c>
      <c r="N1214" s="39">
        <f t="shared" si="187"/>
        <v>0.00529450694904037</v>
      </c>
      <c r="O1214" s="675">
        <f t="shared" si="188"/>
        <v>57.6158536585366</v>
      </c>
      <c r="P1214">
        <f t="shared" si="189"/>
        <v>41</v>
      </c>
      <c r="Q1214" s="842">
        <f t="shared" si="190"/>
        <v>0.0271343481138319</v>
      </c>
    </row>
    <row r="1215" spans="1:17">
      <c r="A1215" s="801">
        <v>45963</v>
      </c>
      <c r="B1215" s="670">
        <v>1948.51</v>
      </c>
      <c r="C1215" s="671">
        <v>55928</v>
      </c>
      <c r="D1215" s="37">
        <v>1368</v>
      </c>
      <c r="E1215" s="37">
        <v>9</v>
      </c>
      <c r="F1215" s="670">
        <v>76325</v>
      </c>
      <c r="G1215" s="37">
        <v>19</v>
      </c>
      <c r="H1215" s="37">
        <v>15</v>
      </c>
      <c r="I1215" s="37">
        <v>5</v>
      </c>
      <c r="J1215" s="672">
        <f t="shared" si="184"/>
        <v>0.0244600200257474</v>
      </c>
      <c r="K1215" s="673">
        <f t="shared" si="185"/>
        <v>1.42434941520468</v>
      </c>
      <c r="L1215" s="809">
        <f t="shared" si="191"/>
        <v>34.839615219568</v>
      </c>
      <c r="M1215" s="839">
        <f t="shared" si="186"/>
        <v>39.1709562691493</v>
      </c>
      <c r="N1215" s="39">
        <f t="shared" si="187"/>
        <v>0.00657894736842105</v>
      </c>
      <c r="O1215" s="675">
        <f t="shared" si="188"/>
        <v>57.3091176470588</v>
      </c>
      <c r="P1215">
        <f t="shared" si="189"/>
        <v>34</v>
      </c>
      <c r="Q1215" s="842">
        <f t="shared" si="190"/>
        <v>0.0248538011695906</v>
      </c>
    </row>
    <row r="1216" spans="1:17">
      <c r="A1216" s="801">
        <v>45964</v>
      </c>
      <c r="B1216" s="670">
        <v>2294.71</v>
      </c>
      <c r="C1216" s="671">
        <v>68197</v>
      </c>
      <c r="D1216" s="37">
        <v>1530</v>
      </c>
      <c r="E1216" s="37">
        <v>6</v>
      </c>
      <c r="F1216" s="670">
        <v>33905</v>
      </c>
      <c r="G1216" s="37">
        <v>32</v>
      </c>
      <c r="H1216" s="37">
        <v>16</v>
      </c>
      <c r="I1216" s="37">
        <v>3</v>
      </c>
      <c r="J1216" s="672">
        <f t="shared" si="184"/>
        <v>0.0224350044723375</v>
      </c>
      <c r="K1216" s="673">
        <f t="shared" si="185"/>
        <v>1.49981045751634</v>
      </c>
      <c r="L1216" s="809">
        <f t="shared" si="191"/>
        <v>33.6482543220376</v>
      </c>
      <c r="M1216" s="839">
        <f t="shared" si="186"/>
        <v>14.775287509097</v>
      </c>
      <c r="N1216" s="39">
        <f t="shared" si="187"/>
        <v>0.00392156862745098</v>
      </c>
      <c r="O1216" s="675">
        <f t="shared" si="188"/>
        <v>47.8064583333333</v>
      </c>
      <c r="P1216">
        <f t="shared" si="189"/>
        <v>48</v>
      </c>
      <c r="Q1216" s="842">
        <f t="shared" si="190"/>
        <v>0.0313725490196078</v>
      </c>
    </row>
    <row r="1217" spans="1:17">
      <c r="A1217" s="801">
        <v>45965</v>
      </c>
      <c r="B1217" s="670">
        <v>2325.42</v>
      </c>
      <c r="C1217" s="671">
        <v>69769</v>
      </c>
      <c r="D1217" s="37">
        <v>1550</v>
      </c>
      <c r="E1217" s="37">
        <v>9</v>
      </c>
      <c r="F1217" s="670">
        <v>121751</v>
      </c>
      <c r="G1217" s="37">
        <v>32</v>
      </c>
      <c r="H1217" s="37">
        <v>10</v>
      </c>
      <c r="I1217" s="37">
        <v>3</v>
      </c>
      <c r="J1217" s="672">
        <f t="shared" si="184"/>
        <v>0.0222161705055254</v>
      </c>
      <c r="K1217" s="673">
        <f t="shared" si="185"/>
        <v>1.50027096774194</v>
      </c>
      <c r="L1217" s="809">
        <f t="shared" si="191"/>
        <v>33.3302756238444</v>
      </c>
      <c r="M1217" s="839">
        <f t="shared" si="186"/>
        <v>52.3565635455101</v>
      </c>
      <c r="N1217" s="39">
        <f t="shared" si="187"/>
        <v>0.00580645161290323</v>
      </c>
      <c r="O1217" s="675">
        <f t="shared" si="188"/>
        <v>55.3671428571429</v>
      </c>
      <c r="P1217">
        <f t="shared" si="189"/>
        <v>42</v>
      </c>
      <c r="Q1217" s="842">
        <f t="shared" si="190"/>
        <v>0.0270967741935484</v>
      </c>
    </row>
    <row r="1218" spans="1:17">
      <c r="A1218" s="801">
        <v>45966</v>
      </c>
      <c r="B1218" s="670">
        <v>2521.9</v>
      </c>
      <c r="C1218" s="671">
        <v>73110</v>
      </c>
      <c r="D1218" s="37">
        <v>1668</v>
      </c>
      <c r="E1218" s="37">
        <v>7</v>
      </c>
      <c r="F1218" s="670">
        <v>109864</v>
      </c>
      <c r="G1218" s="37">
        <v>41</v>
      </c>
      <c r="H1218" s="37">
        <v>20</v>
      </c>
      <c r="I1218" s="37">
        <v>0</v>
      </c>
      <c r="J1218" s="672">
        <f t="shared" si="184"/>
        <v>0.0228149363972097</v>
      </c>
      <c r="K1218" s="673">
        <f t="shared" si="185"/>
        <v>1.51193045563549</v>
      </c>
      <c r="L1218" s="809">
        <f t="shared" si="191"/>
        <v>34.494597182328</v>
      </c>
      <c r="M1218" s="839">
        <f t="shared" si="186"/>
        <v>43.5639795392363</v>
      </c>
      <c r="N1218" s="39">
        <f t="shared" si="187"/>
        <v>0.00419664268585132</v>
      </c>
      <c r="O1218" s="675">
        <f t="shared" si="188"/>
        <v>41.3426229508197</v>
      </c>
      <c r="P1218">
        <f t="shared" si="189"/>
        <v>61</v>
      </c>
      <c r="Q1218" s="842">
        <f t="shared" si="190"/>
        <v>0.0365707434052758</v>
      </c>
    </row>
    <row r="1219" spans="1:17">
      <c r="A1219" s="801">
        <v>45967</v>
      </c>
      <c r="B1219" s="670">
        <v>3344.48</v>
      </c>
      <c r="C1219" s="671">
        <v>101587</v>
      </c>
      <c r="D1219" s="37">
        <v>1975</v>
      </c>
      <c r="E1219" s="37">
        <v>11</v>
      </c>
      <c r="F1219" s="670">
        <v>106590</v>
      </c>
      <c r="G1219" s="37">
        <v>48</v>
      </c>
      <c r="H1219" s="37">
        <v>9</v>
      </c>
      <c r="I1219" s="37">
        <v>2</v>
      </c>
      <c r="J1219" s="672">
        <f t="shared" si="184"/>
        <v>0.0194414639668462</v>
      </c>
      <c r="K1219" s="673">
        <f t="shared" si="185"/>
        <v>1.69340759493671</v>
      </c>
      <c r="L1219" s="809">
        <f t="shared" si="191"/>
        <v>32.9223227381456</v>
      </c>
      <c r="M1219" s="839">
        <f t="shared" si="186"/>
        <v>31.8704252978041</v>
      </c>
      <c r="N1219" s="39">
        <f t="shared" si="187"/>
        <v>0.00556962025316456</v>
      </c>
      <c r="O1219" s="675">
        <f t="shared" si="188"/>
        <v>58.6750877192982</v>
      </c>
      <c r="P1219">
        <f t="shared" si="189"/>
        <v>57</v>
      </c>
      <c r="Q1219" s="842">
        <f t="shared" si="190"/>
        <v>0.0288607594936709</v>
      </c>
    </row>
    <row r="1220" spans="1:17">
      <c r="A1220" s="801">
        <v>45968</v>
      </c>
      <c r="B1220" s="670">
        <v>3320.36</v>
      </c>
      <c r="C1220" s="671">
        <v>85062</v>
      </c>
      <c r="D1220" s="37">
        <v>1647</v>
      </c>
      <c r="E1220" s="37">
        <v>4</v>
      </c>
      <c r="F1220" s="670">
        <v>25294</v>
      </c>
      <c r="G1220" s="37">
        <v>50</v>
      </c>
      <c r="H1220" s="37">
        <v>18</v>
      </c>
      <c r="I1220" s="37">
        <v>5</v>
      </c>
      <c r="J1220" s="672">
        <f t="shared" si="184"/>
        <v>0.0193623474642026</v>
      </c>
      <c r="K1220" s="673">
        <f t="shared" si="185"/>
        <v>2.01600485731633</v>
      </c>
      <c r="L1220" s="809">
        <f t="shared" si="191"/>
        <v>39.034586536879</v>
      </c>
      <c r="M1220" s="839">
        <f t="shared" si="186"/>
        <v>7.61784866701201</v>
      </c>
      <c r="N1220" s="39">
        <f t="shared" si="187"/>
        <v>0.00242865816636308</v>
      </c>
      <c r="O1220" s="675">
        <f t="shared" si="188"/>
        <v>48.8288235294118</v>
      </c>
      <c r="P1220">
        <f t="shared" si="189"/>
        <v>68</v>
      </c>
      <c r="Q1220" s="842">
        <f t="shared" si="190"/>
        <v>0.0412871888281724</v>
      </c>
    </row>
    <row r="1221" spans="1:17">
      <c r="A1221" s="801">
        <v>45969</v>
      </c>
      <c r="B1221" s="670">
        <v>3304.77</v>
      </c>
      <c r="C1221" s="671">
        <v>83668</v>
      </c>
      <c r="D1221" s="37">
        <v>1759</v>
      </c>
      <c r="E1221" s="37">
        <v>9</v>
      </c>
      <c r="F1221" s="670">
        <v>72499</v>
      </c>
      <c r="G1221" s="37">
        <v>84</v>
      </c>
      <c r="H1221" s="37">
        <v>19</v>
      </c>
      <c r="I1221" s="37">
        <v>6</v>
      </c>
      <c r="J1221" s="672">
        <f t="shared" si="184"/>
        <v>0.0210235693455084</v>
      </c>
      <c r="K1221" s="673">
        <f t="shared" si="185"/>
        <v>1.87877771461057</v>
      </c>
      <c r="L1221" s="809">
        <f t="shared" si="191"/>
        <v>39.4986135679113</v>
      </c>
      <c r="M1221" s="839">
        <f t="shared" si="186"/>
        <v>21.9376840143187</v>
      </c>
      <c r="N1221" s="39">
        <f t="shared" si="187"/>
        <v>0.00511654349061967</v>
      </c>
      <c r="O1221" s="675">
        <f t="shared" si="188"/>
        <v>32.085145631068</v>
      </c>
      <c r="P1221">
        <f t="shared" si="189"/>
        <v>103</v>
      </c>
      <c r="Q1221" s="842">
        <f t="shared" si="190"/>
        <v>0.0585559977259807</v>
      </c>
    </row>
    <row r="1222" spans="1:17">
      <c r="A1222" s="801">
        <v>45970</v>
      </c>
      <c r="B1222" s="670">
        <v>3331.55</v>
      </c>
      <c r="C1222" s="671">
        <v>64233</v>
      </c>
      <c r="D1222" s="37">
        <v>1504</v>
      </c>
      <c r="E1222" s="37">
        <v>9</v>
      </c>
      <c r="F1222" s="670">
        <v>93609</v>
      </c>
      <c r="G1222" s="37">
        <v>68</v>
      </c>
      <c r="H1222" s="37">
        <v>20</v>
      </c>
      <c r="I1222" s="37">
        <v>3</v>
      </c>
      <c r="J1222" s="672">
        <f t="shared" si="184"/>
        <v>0.0234147556551928</v>
      </c>
      <c r="K1222" s="673">
        <f t="shared" si="185"/>
        <v>2.21512632978723</v>
      </c>
      <c r="L1222" s="809">
        <f t="shared" si="191"/>
        <v>51.8666417573521</v>
      </c>
      <c r="M1222" s="839">
        <f t="shared" si="186"/>
        <v>28.0977322867734</v>
      </c>
      <c r="N1222" s="39">
        <f t="shared" si="187"/>
        <v>0.00598404255319149</v>
      </c>
      <c r="O1222" s="675">
        <f t="shared" si="188"/>
        <v>37.8585227272727</v>
      </c>
      <c r="P1222">
        <f t="shared" si="189"/>
        <v>88</v>
      </c>
      <c r="Q1222" s="842">
        <f t="shared" si="190"/>
        <v>0.0585106382978723</v>
      </c>
    </row>
    <row r="1223" spans="1:17">
      <c r="A1223" s="801">
        <v>45971</v>
      </c>
      <c r="B1223" s="670">
        <v>6753.95</v>
      </c>
      <c r="C1223" s="671">
        <v>94433</v>
      </c>
      <c r="D1223" s="37">
        <v>2258</v>
      </c>
      <c r="E1223" s="37">
        <v>30</v>
      </c>
      <c r="F1223" s="670">
        <v>267930</v>
      </c>
      <c r="G1223" s="37">
        <v>90</v>
      </c>
      <c r="H1223" s="37">
        <v>20</v>
      </c>
      <c r="I1223" s="37">
        <v>6</v>
      </c>
      <c r="J1223" s="672">
        <f t="shared" si="184"/>
        <v>0.0239111327607934</v>
      </c>
      <c r="K1223" s="673">
        <f t="shared" si="185"/>
        <v>2.99112046058459</v>
      </c>
      <c r="L1223" s="809">
        <f t="shared" si="191"/>
        <v>71.5210784365635</v>
      </c>
      <c r="M1223" s="839">
        <f t="shared" si="186"/>
        <v>39.6701189674191</v>
      </c>
      <c r="N1223" s="39">
        <f t="shared" si="187"/>
        <v>0.0132860938883968</v>
      </c>
      <c r="O1223" s="675">
        <f t="shared" si="188"/>
        <v>61.3995454545455</v>
      </c>
      <c r="P1223">
        <f t="shared" si="189"/>
        <v>110</v>
      </c>
      <c r="Q1223" s="842">
        <f t="shared" si="190"/>
        <v>0.0487156775907883</v>
      </c>
    </row>
    <row r="1224" spans="1:17">
      <c r="A1224" s="801">
        <v>45972</v>
      </c>
      <c r="B1224" s="670">
        <v>3757.51</v>
      </c>
      <c r="C1224" s="671">
        <v>51337</v>
      </c>
      <c r="D1224" s="37">
        <v>1147</v>
      </c>
      <c r="E1224" s="37">
        <v>26</v>
      </c>
      <c r="F1224" s="670">
        <v>259274</v>
      </c>
      <c r="G1224" s="37">
        <v>88</v>
      </c>
      <c r="H1224" s="37">
        <v>9</v>
      </c>
      <c r="I1224" s="37">
        <v>8</v>
      </c>
      <c r="J1224" s="672">
        <f t="shared" si="184"/>
        <v>0.0223425599470168</v>
      </c>
      <c r="K1224" s="673">
        <f t="shared" si="185"/>
        <v>3.27594594594595</v>
      </c>
      <c r="L1224" s="809">
        <f t="shared" si="191"/>
        <v>73.1930186804839</v>
      </c>
      <c r="M1224" s="839">
        <f t="shared" si="186"/>
        <v>69.0015462367366</v>
      </c>
      <c r="N1224" s="39">
        <f t="shared" si="187"/>
        <v>0.022667829119442</v>
      </c>
      <c r="O1224" s="675">
        <f t="shared" si="188"/>
        <v>38.7372164948454</v>
      </c>
      <c r="P1224">
        <f t="shared" si="189"/>
        <v>97</v>
      </c>
      <c r="Q1224" s="842">
        <f t="shared" si="190"/>
        <v>0.0845684394071491</v>
      </c>
    </row>
    <row r="1225" spans="1:17">
      <c r="A1225" s="801">
        <v>45973</v>
      </c>
      <c r="B1225" s="670">
        <v>3725.01</v>
      </c>
      <c r="C1225" s="671">
        <v>78419</v>
      </c>
      <c r="D1225" s="37">
        <v>1583</v>
      </c>
      <c r="E1225" s="37">
        <v>12</v>
      </c>
      <c r="F1225" s="670">
        <v>94686</v>
      </c>
      <c r="G1225" s="37">
        <v>93</v>
      </c>
      <c r="H1225" s="37">
        <v>14</v>
      </c>
      <c r="I1225" s="37">
        <v>3</v>
      </c>
      <c r="J1225" s="672">
        <f t="shared" si="184"/>
        <v>0.0201864344100282</v>
      </c>
      <c r="K1225" s="673">
        <f t="shared" si="185"/>
        <v>2.3531332912192</v>
      </c>
      <c r="L1225" s="809">
        <f t="shared" si="191"/>
        <v>47.5013708412502</v>
      </c>
      <c r="M1225" s="839">
        <f t="shared" si="186"/>
        <v>25.4189921637794</v>
      </c>
      <c r="N1225" s="39">
        <f t="shared" si="187"/>
        <v>0.00758054327226785</v>
      </c>
      <c r="O1225" s="675">
        <f t="shared" si="188"/>
        <v>34.8131775700935</v>
      </c>
      <c r="P1225">
        <f t="shared" si="189"/>
        <v>107</v>
      </c>
      <c r="Q1225" s="842">
        <f t="shared" si="190"/>
        <v>0.067593177511055</v>
      </c>
    </row>
    <row r="1226" spans="1:17">
      <c r="A1226" s="801">
        <v>45974</v>
      </c>
      <c r="B1226" s="670">
        <v>3673.18</v>
      </c>
      <c r="C1226" s="671">
        <v>88589</v>
      </c>
      <c r="D1226" s="37">
        <v>1632</v>
      </c>
      <c r="E1226" s="37">
        <v>13</v>
      </c>
      <c r="F1226" s="670">
        <v>74592</v>
      </c>
      <c r="G1226" s="37">
        <v>59</v>
      </c>
      <c r="H1226" s="37">
        <v>19</v>
      </c>
      <c r="I1226" s="37">
        <v>4</v>
      </c>
      <c r="J1226" s="672">
        <f t="shared" si="184"/>
        <v>0.018422151734414</v>
      </c>
      <c r="K1226" s="673">
        <f t="shared" si="185"/>
        <v>2.25072303921569</v>
      </c>
      <c r="L1226" s="809">
        <f t="shared" si="191"/>
        <v>41.4631613405728</v>
      </c>
      <c r="M1226" s="839">
        <f t="shared" si="186"/>
        <v>20.3071997560697</v>
      </c>
      <c r="N1226" s="39">
        <f t="shared" si="187"/>
        <v>0.0079656862745098</v>
      </c>
      <c r="O1226" s="675">
        <f t="shared" si="188"/>
        <v>47.0920512820513</v>
      </c>
      <c r="P1226">
        <f t="shared" si="189"/>
        <v>78</v>
      </c>
      <c r="Q1226" s="842">
        <f t="shared" si="190"/>
        <v>0.0477941176470588</v>
      </c>
    </row>
    <row r="1227" spans="1:17">
      <c r="A1227" s="801">
        <v>45975</v>
      </c>
      <c r="B1227" s="670">
        <v>2277.85</v>
      </c>
      <c r="C1227" s="671">
        <v>48443</v>
      </c>
      <c r="D1227" s="37">
        <v>954</v>
      </c>
      <c r="E1227" s="37">
        <v>6</v>
      </c>
      <c r="F1227" s="670">
        <v>71880</v>
      </c>
      <c r="G1227" s="37">
        <v>37</v>
      </c>
      <c r="H1227" s="37">
        <v>7</v>
      </c>
      <c r="I1227" s="37">
        <v>1</v>
      </c>
      <c r="J1227" s="672">
        <f t="shared" si="184"/>
        <v>0.0196932477344508</v>
      </c>
      <c r="K1227" s="673">
        <f t="shared" si="185"/>
        <v>2.38768343815514</v>
      </c>
      <c r="L1227" s="809">
        <f t="shared" si="191"/>
        <v>47.0212414590343</v>
      </c>
      <c r="M1227" s="839">
        <f t="shared" si="186"/>
        <v>31.5560726123318</v>
      </c>
      <c r="N1227" s="39">
        <f t="shared" si="187"/>
        <v>0.00628930817610063</v>
      </c>
      <c r="O1227" s="675">
        <f t="shared" si="188"/>
        <v>51.7693181818182</v>
      </c>
      <c r="P1227">
        <f t="shared" si="189"/>
        <v>44</v>
      </c>
      <c r="Q1227" s="842">
        <f t="shared" si="190"/>
        <v>0.0461215932914046</v>
      </c>
    </row>
    <row r="1228" spans="1:17">
      <c r="A1228" s="801">
        <v>45976</v>
      </c>
      <c r="B1228" s="670">
        <v>821.02</v>
      </c>
      <c r="C1228" s="671">
        <v>48628</v>
      </c>
      <c r="D1228" s="37">
        <v>974</v>
      </c>
      <c r="E1228" s="37">
        <v>0</v>
      </c>
      <c r="F1228" s="670">
        <v>0</v>
      </c>
      <c r="G1228" s="37">
        <v>24</v>
      </c>
      <c r="H1228" s="37">
        <v>23</v>
      </c>
      <c r="I1228" s="37">
        <v>1</v>
      </c>
      <c r="J1228" s="672">
        <f t="shared" si="184"/>
        <v>0.0200296125688904</v>
      </c>
      <c r="K1228" s="673">
        <f t="shared" si="185"/>
        <v>0.842936344969199</v>
      </c>
      <c r="L1228" s="809">
        <f t="shared" si="191"/>
        <v>16.8836884099696</v>
      </c>
      <c r="M1228" s="839">
        <f t="shared" si="186"/>
        <v>0</v>
      </c>
      <c r="N1228" s="39">
        <f t="shared" si="187"/>
        <v>0</v>
      </c>
      <c r="O1228" s="675">
        <f t="shared" si="188"/>
        <v>17.4685106382979</v>
      </c>
      <c r="P1228">
        <f t="shared" si="189"/>
        <v>47</v>
      </c>
      <c r="Q1228" s="842">
        <f t="shared" si="190"/>
        <v>0.0482546201232033</v>
      </c>
    </row>
    <row r="1229" spans="1:17">
      <c r="A1229" s="801">
        <v>45977</v>
      </c>
      <c r="B1229" s="670">
        <v>788.4</v>
      </c>
      <c r="C1229" s="671">
        <v>50805</v>
      </c>
      <c r="D1229" s="37">
        <v>1069</v>
      </c>
      <c r="E1229" s="37">
        <v>0</v>
      </c>
      <c r="F1229" s="670">
        <v>0</v>
      </c>
      <c r="G1229" s="37">
        <v>20</v>
      </c>
      <c r="H1229" s="37">
        <v>11</v>
      </c>
      <c r="I1229" s="37">
        <v>0</v>
      </c>
      <c r="J1229" s="672">
        <f t="shared" si="184"/>
        <v>0.0210412360988092</v>
      </c>
      <c r="K1229" s="673">
        <f t="shared" si="185"/>
        <v>0.737511693171188</v>
      </c>
      <c r="L1229" s="809">
        <f t="shared" si="191"/>
        <v>15.5181576616475</v>
      </c>
      <c r="M1229" s="839">
        <f t="shared" si="186"/>
        <v>0</v>
      </c>
      <c r="N1229" s="39">
        <f t="shared" si="187"/>
        <v>0</v>
      </c>
      <c r="O1229" s="675">
        <f t="shared" si="188"/>
        <v>25.4322580645161</v>
      </c>
      <c r="P1229">
        <f t="shared" si="189"/>
        <v>31</v>
      </c>
      <c r="Q1229" s="842">
        <f t="shared" si="190"/>
        <v>0.028999064546305</v>
      </c>
    </row>
    <row r="1230" spans="1:17">
      <c r="A1230" s="801">
        <v>45978</v>
      </c>
      <c r="B1230" s="670">
        <v>593.86</v>
      </c>
      <c r="C1230" s="671">
        <v>45909</v>
      </c>
      <c r="D1230" s="37">
        <v>764</v>
      </c>
      <c r="E1230" s="37">
        <v>0</v>
      </c>
      <c r="F1230" s="670">
        <v>0</v>
      </c>
      <c r="G1230" s="37">
        <v>17</v>
      </c>
      <c r="H1230" s="37">
        <v>2</v>
      </c>
      <c r="I1230" s="37">
        <v>1</v>
      </c>
      <c r="J1230" s="672">
        <f t="shared" si="184"/>
        <v>0.0166416171121131</v>
      </c>
      <c r="K1230" s="673">
        <f t="shared" si="185"/>
        <v>0.777303664921466</v>
      </c>
      <c r="L1230" s="809">
        <f t="shared" si="191"/>
        <v>12.9355899714653</v>
      </c>
      <c r="M1230" s="839">
        <f t="shared" si="186"/>
        <v>0</v>
      </c>
      <c r="N1230" s="39">
        <f t="shared" si="187"/>
        <v>0</v>
      </c>
      <c r="O1230" s="675">
        <f t="shared" si="188"/>
        <v>31.2557894736842</v>
      </c>
      <c r="P1230">
        <f t="shared" si="189"/>
        <v>19</v>
      </c>
      <c r="Q1230" s="842">
        <f t="shared" si="190"/>
        <v>0.024869109947644</v>
      </c>
    </row>
    <row r="1231" spans="1:17">
      <c r="A1231" s="801">
        <v>45979</v>
      </c>
      <c r="B1231" s="670">
        <v>591.14</v>
      </c>
      <c r="C1231" s="671">
        <v>34217</v>
      </c>
      <c r="D1231" s="37">
        <v>702</v>
      </c>
      <c r="E1231" s="37">
        <v>0</v>
      </c>
      <c r="F1231" s="670">
        <v>0</v>
      </c>
      <c r="G1231" s="37">
        <v>16</v>
      </c>
      <c r="H1231" s="37">
        <v>2</v>
      </c>
      <c r="I1231" s="37">
        <v>1</v>
      </c>
      <c r="J1231" s="672">
        <f t="shared" ref="J1231:J1241" si="192">D1231/C1231</f>
        <v>0.0205161177192624</v>
      </c>
      <c r="K1231" s="673">
        <f t="shared" ref="K1231:K1241" si="193">B1231/D1231</f>
        <v>0.842079772079772</v>
      </c>
      <c r="L1231" s="809">
        <f t="shared" si="191"/>
        <v>17.2762077329982</v>
      </c>
      <c r="M1231" s="839">
        <f t="shared" ref="M1231:M1237" si="194">F1231/B1231</f>
        <v>0</v>
      </c>
      <c r="N1231" s="39">
        <f t="shared" ref="N1231:N1241" si="195">E1231/D1231</f>
        <v>0</v>
      </c>
      <c r="O1231" s="675">
        <f t="shared" ref="O1231:O1241" si="196">B1231/(G1231+H1231)</f>
        <v>32.8411111111111</v>
      </c>
      <c r="P1231">
        <f t="shared" ref="P1231:P1241" si="197">G1231+H1231</f>
        <v>18</v>
      </c>
      <c r="Q1231" s="842">
        <f t="shared" ref="Q1231:Q1241" si="198">P1231/D1231</f>
        <v>0.0256410256410256</v>
      </c>
    </row>
    <row r="1232" spans="1:17">
      <c r="A1232" s="801">
        <v>45980</v>
      </c>
      <c r="B1232" s="670">
        <v>592.95</v>
      </c>
      <c r="C1232" s="671">
        <v>35477</v>
      </c>
      <c r="D1232" s="37">
        <v>724</v>
      </c>
      <c r="E1232" s="37">
        <v>0</v>
      </c>
      <c r="F1232" s="670">
        <v>0</v>
      </c>
      <c r="G1232" s="37">
        <v>20</v>
      </c>
      <c r="H1232" s="37">
        <v>6</v>
      </c>
      <c r="I1232" s="37">
        <v>0</v>
      </c>
      <c r="J1232" s="672">
        <f t="shared" si="192"/>
        <v>0.0204075880147701</v>
      </c>
      <c r="K1232" s="673">
        <f t="shared" si="193"/>
        <v>0.818991712707182</v>
      </c>
      <c r="L1232" s="809">
        <f t="shared" si="191"/>
        <v>16.7136454604392</v>
      </c>
      <c r="M1232" s="839">
        <f t="shared" si="194"/>
        <v>0</v>
      </c>
      <c r="N1232" s="39">
        <f t="shared" si="195"/>
        <v>0</v>
      </c>
      <c r="O1232" s="675">
        <f t="shared" si="196"/>
        <v>22.8057692307692</v>
      </c>
      <c r="P1232">
        <f t="shared" si="197"/>
        <v>26</v>
      </c>
      <c r="Q1232" s="842">
        <f t="shared" si="198"/>
        <v>0.0359116022099447</v>
      </c>
    </row>
    <row r="1233" spans="1:17">
      <c r="A1233" s="801">
        <v>45981</v>
      </c>
      <c r="B1233" s="670">
        <v>585.86</v>
      </c>
      <c r="C1233" s="671">
        <v>38878</v>
      </c>
      <c r="D1233" s="37">
        <v>887</v>
      </c>
      <c r="E1233" s="37">
        <v>0</v>
      </c>
      <c r="F1233" s="670">
        <v>0</v>
      </c>
      <c r="G1233" s="37">
        <v>16</v>
      </c>
      <c r="H1233" s="37">
        <v>6</v>
      </c>
      <c r="I1233" s="37">
        <v>1</v>
      </c>
      <c r="J1233" s="672">
        <f t="shared" si="192"/>
        <v>0.0228149596172643</v>
      </c>
      <c r="K1233" s="673">
        <f t="shared" si="193"/>
        <v>0.660496054114994</v>
      </c>
      <c r="L1233" s="809">
        <f t="shared" si="191"/>
        <v>15.069190801996</v>
      </c>
      <c r="M1233" s="839">
        <f t="shared" si="194"/>
        <v>0</v>
      </c>
      <c r="N1233" s="39">
        <f t="shared" si="195"/>
        <v>0</v>
      </c>
      <c r="O1233" s="675">
        <f t="shared" si="196"/>
        <v>26.63</v>
      </c>
      <c r="P1233">
        <f t="shared" si="197"/>
        <v>22</v>
      </c>
      <c r="Q1233" s="842">
        <f t="shared" si="198"/>
        <v>0.0248027057497181</v>
      </c>
    </row>
    <row r="1234" spans="1:17">
      <c r="A1234" s="801">
        <v>45982</v>
      </c>
      <c r="B1234" s="670">
        <v>712.22</v>
      </c>
      <c r="C1234" s="671">
        <v>41572</v>
      </c>
      <c r="D1234" s="37">
        <v>895</v>
      </c>
      <c r="E1234" s="37">
        <v>0</v>
      </c>
      <c r="F1234" s="670">
        <v>0</v>
      </c>
      <c r="G1234" s="37">
        <v>29</v>
      </c>
      <c r="H1234" s="37">
        <v>30</v>
      </c>
      <c r="I1234" s="37">
        <v>1</v>
      </c>
      <c r="J1234" s="672">
        <f t="shared" si="192"/>
        <v>0.021528913691908</v>
      </c>
      <c r="K1234" s="673">
        <f t="shared" si="193"/>
        <v>0.795776536312849</v>
      </c>
      <c r="L1234" s="809">
        <f t="shared" si="191"/>
        <v>17.1322043683248</v>
      </c>
      <c r="M1234" s="839">
        <f t="shared" si="194"/>
        <v>0</v>
      </c>
      <c r="N1234" s="39">
        <f t="shared" si="195"/>
        <v>0</v>
      </c>
      <c r="O1234" s="675">
        <f t="shared" si="196"/>
        <v>12.0715254237288</v>
      </c>
      <c r="P1234">
        <f t="shared" si="197"/>
        <v>59</v>
      </c>
      <c r="Q1234" s="842">
        <f t="shared" si="198"/>
        <v>0.0659217877094972</v>
      </c>
    </row>
    <row r="1235" spans="1:17">
      <c r="A1235" s="801">
        <v>45983</v>
      </c>
      <c r="B1235" s="670">
        <v>690.7</v>
      </c>
      <c r="C1235" s="671">
        <v>39723</v>
      </c>
      <c r="D1235" s="37">
        <v>927</v>
      </c>
      <c r="E1235" s="37">
        <v>2</v>
      </c>
      <c r="F1235" s="670">
        <v>21024</v>
      </c>
      <c r="G1235" s="37">
        <v>14</v>
      </c>
      <c r="H1235" s="37">
        <v>36</v>
      </c>
      <c r="I1235" s="37">
        <v>4</v>
      </c>
      <c r="J1235" s="672">
        <f t="shared" si="192"/>
        <v>0.0233366059965259</v>
      </c>
      <c r="K1235" s="673">
        <f t="shared" si="193"/>
        <v>0.745091693635383</v>
      </c>
      <c r="L1235" s="809">
        <f t="shared" si="191"/>
        <v>17.3879112856531</v>
      </c>
      <c r="M1235" s="839">
        <f t="shared" si="194"/>
        <v>30.4386853916317</v>
      </c>
      <c r="N1235" s="39">
        <f t="shared" si="195"/>
        <v>0.00215749730312837</v>
      </c>
      <c r="O1235" s="675">
        <f t="shared" si="196"/>
        <v>13.814</v>
      </c>
      <c r="P1235">
        <f t="shared" si="197"/>
        <v>50</v>
      </c>
      <c r="Q1235" s="842">
        <f t="shared" si="198"/>
        <v>0.0539374325782093</v>
      </c>
    </row>
    <row r="1236" spans="1:17">
      <c r="A1236" s="801">
        <v>45984</v>
      </c>
      <c r="B1236" s="670">
        <v>693.37</v>
      </c>
      <c r="C1236" s="671">
        <v>34952</v>
      </c>
      <c r="D1236" s="37">
        <v>814</v>
      </c>
      <c r="E1236" s="37">
        <v>0</v>
      </c>
      <c r="F1236" s="670">
        <v>0</v>
      </c>
      <c r="G1236" s="37">
        <v>31</v>
      </c>
      <c r="H1236" s="37">
        <v>4</v>
      </c>
      <c r="I1236" s="37">
        <v>6</v>
      </c>
      <c r="J1236" s="672">
        <f t="shared" si="192"/>
        <v>0.0232890821698329</v>
      </c>
      <c r="K1236" s="673">
        <f t="shared" si="193"/>
        <v>0.851805896805897</v>
      </c>
      <c r="L1236" s="809">
        <f t="shared" si="191"/>
        <v>19.8377775234607</v>
      </c>
      <c r="M1236" s="839">
        <f t="shared" si="194"/>
        <v>0</v>
      </c>
      <c r="N1236" s="39">
        <f t="shared" si="195"/>
        <v>0</v>
      </c>
      <c r="O1236" s="675">
        <f t="shared" si="196"/>
        <v>19.8105714285714</v>
      </c>
      <c r="P1236">
        <f t="shared" si="197"/>
        <v>35</v>
      </c>
      <c r="Q1236" s="842">
        <f t="shared" si="198"/>
        <v>0.042997542997543</v>
      </c>
    </row>
    <row r="1237" spans="1:17">
      <c r="A1237" s="801">
        <v>45985</v>
      </c>
      <c r="B1237" s="670">
        <v>682.03</v>
      </c>
      <c r="C1237" s="671">
        <v>38137</v>
      </c>
      <c r="D1237" s="37">
        <v>768</v>
      </c>
      <c r="E1237" s="37">
        <v>0</v>
      </c>
      <c r="F1237" s="670">
        <v>0</v>
      </c>
      <c r="G1237" s="37">
        <v>19</v>
      </c>
      <c r="H1237" s="37">
        <v>1</v>
      </c>
      <c r="I1237" s="37">
        <v>2</v>
      </c>
      <c r="J1237" s="672">
        <f t="shared" si="192"/>
        <v>0.0201379238010331</v>
      </c>
      <c r="K1237" s="673">
        <f t="shared" si="193"/>
        <v>0.888059895833333</v>
      </c>
      <c r="L1237" s="809">
        <f t="shared" si="191"/>
        <v>17.8836825130451</v>
      </c>
      <c r="M1237" s="839">
        <f t="shared" si="194"/>
        <v>0</v>
      </c>
      <c r="N1237" s="39">
        <f t="shared" si="195"/>
        <v>0</v>
      </c>
      <c r="O1237" s="675">
        <f t="shared" si="196"/>
        <v>34.1015</v>
      </c>
      <c r="P1237">
        <f t="shared" si="197"/>
        <v>20</v>
      </c>
      <c r="Q1237" s="842">
        <f t="shared" si="198"/>
        <v>0.0260416666666667</v>
      </c>
    </row>
    <row r="1238" spans="1:17">
      <c r="A1238" s="801">
        <v>45986</v>
      </c>
      <c r="B1238" s="670">
        <v>748.82</v>
      </c>
      <c r="C1238" s="671">
        <v>26124</v>
      </c>
      <c r="D1238" s="37">
        <v>600</v>
      </c>
      <c r="E1238" s="37">
        <v>0</v>
      </c>
      <c r="F1238" s="670">
        <v>0</v>
      </c>
      <c r="G1238" s="37">
        <v>15</v>
      </c>
      <c r="H1238" s="37">
        <v>5</v>
      </c>
      <c r="I1238" s="37">
        <v>2</v>
      </c>
      <c r="J1238" s="672">
        <f t="shared" si="192"/>
        <v>0.0229673863114378</v>
      </c>
      <c r="K1238" s="673">
        <f t="shared" si="193"/>
        <v>1.24803333333333</v>
      </c>
      <c r="L1238" s="809">
        <f t="shared" si="191"/>
        <v>28.664063696218</v>
      </c>
      <c r="M1238" s="839">
        <f t="shared" ref="M1238:M1301" si="199">F1238/B1238</f>
        <v>0</v>
      </c>
      <c r="N1238" s="39">
        <f t="shared" si="195"/>
        <v>0</v>
      </c>
      <c r="O1238" s="675">
        <f t="shared" si="196"/>
        <v>37.441</v>
      </c>
      <c r="P1238">
        <f t="shared" si="197"/>
        <v>20</v>
      </c>
      <c r="Q1238" s="842">
        <f t="shared" si="198"/>
        <v>0.0333333333333333</v>
      </c>
    </row>
    <row r="1239" spans="1:17">
      <c r="A1239" s="801">
        <v>45987</v>
      </c>
      <c r="B1239" s="670">
        <v>675.14</v>
      </c>
      <c r="C1239" s="671">
        <v>30271</v>
      </c>
      <c r="D1239" s="37">
        <v>676</v>
      </c>
      <c r="E1239" s="37">
        <v>0</v>
      </c>
      <c r="F1239" s="670">
        <v>0</v>
      </c>
      <c r="G1239" s="37">
        <v>12</v>
      </c>
      <c r="H1239" s="37">
        <v>10</v>
      </c>
      <c r="I1239" s="37">
        <v>1</v>
      </c>
      <c r="J1239" s="672">
        <f t="shared" si="192"/>
        <v>0.0223316045059628</v>
      </c>
      <c r="K1239" s="673">
        <f t="shared" si="193"/>
        <v>0.998727810650888</v>
      </c>
      <c r="L1239" s="809">
        <f t="shared" si="191"/>
        <v>22.3031944765617</v>
      </c>
      <c r="M1239" s="839">
        <f t="shared" si="199"/>
        <v>0</v>
      </c>
      <c r="N1239" s="39">
        <f t="shared" si="195"/>
        <v>0</v>
      </c>
      <c r="O1239" s="675">
        <f t="shared" si="196"/>
        <v>30.6881818181818</v>
      </c>
      <c r="P1239">
        <f t="shared" si="197"/>
        <v>22</v>
      </c>
      <c r="Q1239" s="842">
        <f t="shared" si="198"/>
        <v>0.0325443786982249</v>
      </c>
    </row>
    <row r="1240" spans="1:17">
      <c r="A1240" s="801">
        <v>45988</v>
      </c>
      <c r="B1240" s="670">
        <v>698.25</v>
      </c>
      <c r="C1240" s="671">
        <v>31800</v>
      </c>
      <c r="D1240" s="37">
        <v>797</v>
      </c>
      <c r="E1240" s="37">
        <v>0</v>
      </c>
      <c r="F1240" s="670">
        <v>0</v>
      </c>
      <c r="G1240" s="37">
        <v>8</v>
      </c>
      <c r="H1240" s="37">
        <v>20</v>
      </c>
      <c r="I1240" s="37">
        <v>0</v>
      </c>
      <c r="J1240" s="672">
        <f t="shared" si="192"/>
        <v>0.025062893081761</v>
      </c>
      <c r="K1240" s="673">
        <f t="shared" si="193"/>
        <v>0.876097867001255</v>
      </c>
      <c r="L1240" s="809">
        <f t="shared" si="191"/>
        <v>21.9575471698113</v>
      </c>
      <c r="M1240" s="839">
        <f t="shared" si="199"/>
        <v>0</v>
      </c>
      <c r="N1240" s="39">
        <f t="shared" si="195"/>
        <v>0</v>
      </c>
      <c r="O1240" s="675">
        <f t="shared" si="196"/>
        <v>24.9375</v>
      </c>
      <c r="P1240">
        <f t="shared" si="197"/>
        <v>28</v>
      </c>
      <c r="Q1240" s="842">
        <f t="shared" si="198"/>
        <v>0.0351317440401506</v>
      </c>
    </row>
    <row r="1241" spans="1:17">
      <c r="A1241" s="801">
        <v>45989</v>
      </c>
      <c r="B1241" s="670">
        <v>697.59</v>
      </c>
      <c r="C1241" s="671">
        <v>28544</v>
      </c>
      <c r="D1241" s="37">
        <v>644</v>
      </c>
      <c r="E1241" s="37">
        <v>0</v>
      </c>
      <c r="F1241" s="670">
        <v>0</v>
      </c>
      <c r="G1241" s="37">
        <v>7</v>
      </c>
      <c r="H1241" s="37">
        <v>9</v>
      </c>
      <c r="I1241" s="37">
        <v>0</v>
      </c>
      <c r="J1241" s="672">
        <f t="shared" si="192"/>
        <v>0.0225616591928251</v>
      </c>
      <c r="K1241" s="673">
        <f t="shared" si="193"/>
        <v>1.08321428571429</v>
      </c>
      <c r="L1241" s="809">
        <f t="shared" si="191"/>
        <v>24.4391115470852</v>
      </c>
      <c r="M1241" s="839">
        <f t="shared" si="199"/>
        <v>0</v>
      </c>
      <c r="N1241" s="39">
        <f t="shared" si="195"/>
        <v>0</v>
      </c>
      <c r="O1241" s="675">
        <f t="shared" si="196"/>
        <v>43.599375</v>
      </c>
      <c r="P1241">
        <f t="shared" si="197"/>
        <v>16</v>
      </c>
      <c r="Q1241" s="842">
        <f t="shared" si="198"/>
        <v>0.0248447204968944</v>
      </c>
    </row>
    <row r="1242" spans="1:17">
      <c r="A1242" s="801">
        <v>45990</v>
      </c>
      <c r="B1242" s="670">
        <v>690.5</v>
      </c>
      <c r="C1242" s="671">
        <v>28230</v>
      </c>
      <c r="D1242" s="37">
        <v>655</v>
      </c>
      <c r="E1242" s="37">
        <v>0</v>
      </c>
      <c r="F1242" s="670">
        <v>0</v>
      </c>
      <c r="G1242" s="37">
        <v>12</v>
      </c>
      <c r="H1242" s="37">
        <v>4</v>
      </c>
      <c r="I1242" s="37">
        <v>1</v>
      </c>
      <c r="J1242" s="672">
        <f t="shared" ref="J1242:J1305" si="200">D1242/C1242</f>
        <v>0.0232022670917464</v>
      </c>
      <c r="K1242" s="673">
        <f t="shared" ref="K1242:K1305" si="201">B1242/D1242</f>
        <v>1.05419847328244</v>
      </c>
      <c r="L1242" s="809">
        <f t="shared" si="191"/>
        <v>24.4597945448105</v>
      </c>
      <c r="M1242" s="839">
        <f t="shared" si="199"/>
        <v>0</v>
      </c>
      <c r="N1242" s="39">
        <f t="shared" ref="N1242:N1305" si="202">E1242/D1242</f>
        <v>0</v>
      </c>
      <c r="O1242" s="675">
        <f t="shared" ref="O1242:O1305" si="203">B1242/(G1242+H1242)</f>
        <v>43.15625</v>
      </c>
      <c r="P1242">
        <f t="shared" ref="P1242:P1305" si="204">G1242+H1242</f>
        <v>16</v>
      </c>
      <c r="Q1242" s="842">
        <f t="shared" ref="Q1242:Q1305" si="205">P1242/D1242</f>
        <v>0.0244274809160305</v>
      </c>
    </row>
    <row r="1243" spans="1:17">
      <c r="A1243" s="801">
        <v>45991</v>
      </c>
      <c r="B1243" s="670">
        <v>688.23</v>
      </c>
      <c r="C1243" s="671">
        <v>27308</v>
      </c>
      <c r="D1243" s="37">
        <v>613</v>
      </c>
      <c r="E1243" s="37">
        <v>0</v>
      </c>
      <c r="F1243" s="670">
        <v>0</v>
      </c>
      <c r="G1243" s="37">
        <v>8</v>
      </c>
      <c r="H1243" s="37">
        <v>4</v>
      </c>
      <c r="I1243" s="37">
        <v>2</v>
      </c>
      <c r="J1243" s="672">
        <f t="shared" si="200"/>
        <v>0.0224476343928519</v>
      </c>
      <c r="K1243" s="673">
        <f t="shared" si="201"/>
        <v>1.12272430668842</v>
      </c>
      <c r="L1243" s="809">
        <f t="shared" si="191"/>
        <v>25.2025047605097</v>
      </c>
      <c r="M1243" s="839">
        <f t="shared" si="199"/>
        <v>0</v>
      </c>
      <c r="N1243" s="39">
        <f t="shared" si="202"/>
        <v>0</v>
      </c>
      <c r="O1243" s="675">
        <f t="shared" si="203"/>
        <v>57.3525</v>
      </c>
      <c r="P1243">
        <f t="shared" si="204"/>
        <v>12</v>
      </c>
      <c r="Q1243" s="842">
        <f t="shared" si="205"/>
        <v>0.0195758564437194</v>
      </c>
    </row>
    <row r="1244" spans="1:17">
      <c r="A1244" s="801">
        <v>45992</v>
      </c>
      <c r="B1244" s="670">
        <v>688.47</v>
      </c>
      <c r="C1244" s="671">
        <v>28078</v>
      </c>
      <c r="D1244" s="37">
        <v>588</v>
      </c>
      <c r="E1244" s="37">
        <v>0</v>
      </c>
      <c r="F1244" s="670">
        <v>0</v>
      </c>
      <c r="G1244" s="37">
        <v>7</v>
      </c>
      <c r="H1244" s="37">
        <v>1</v>
      </c>
      <c r="I1244" s="37">
        <v>2</v>
      </c>
      <c r="J1244" s="672">
        <f t="shared" si="200"/>
        <v>0.0209416625115749</v>
      </c>
      <c r="K1244" s="673">
        <f t="shared" si="201"/>
        <v>1.17086734693878</v>
      </c>
      <c r="L1244" s="809">
        <f t="shared" si="191"/>
        <v>24.5199088254149</v>
      </c>
      <c r="M1244" s="839">
        <f t="shared" si="199"/>
        <v>0</v>
      </c>
      <c r="N1244" s="39">
        <f t="shared" si="202"/>
        <v>0</v>
      </c>
      <c r="O1244" s="675">
        <f t="shared" si="203"/>
        <v>86.05875</v>
      </c>
      <c r="P1244">
        <f t="shared" si="204"/>
        <v>8</v>
      </c>
      <c r="Q1244" s="842">
        <f t="shared" si="205"/>
        <v>0.0136054421768707</v>
      </c>
    </row>
    <row r="1245" spans="1:17">
      <c r="A1245" s="801">
        <v>45993</v>
      </c>
      <c r="B1245" s="670">
        <v>682.25</v>
      </c>
      <c r="C1245" s="671">
        <v>34291</v>
      </c>
      <c r="D1245" s="37">
        <v>631</v>
      </c>
      <c r="E1245" s="37">
        <v>0</v>
      </c>
      <c r="F1245" s="670">
        <v>0</v>
      </c>
      <c r="G1245" s="37">
        <v>14</v>
      </c>
      <c r="H1245" s="37">
        <v>5</v>
      </c>
      <c r="I1245" s="37">
        <v>1</v>
      </c>
      <c r="J1245" s="672">
        <f t="shared" si="200"/>
        <v>0.0184013297949899</v>
      </c>
      <c r="K1245" s="673">
        <f t="shared" si="201"/>
        <v>1.08122028526149</v>
      </c>
      <c r="L1245" s="809">
        <f t="shared" si="191"/>
        <v>19.8958910501298</v>
      </c>
      <c r="M1245" s="839">
        <f t="shared" si="199"/>
        <v>0</v>
      </c>
      <c r="N1245" s="39">
        <f t="shared" si="202"/>
        <v>0</v>
      </c>
      <c r="O1245" s="675">
        <f t="shared" si="203"/>
        <v>35.9078947368421</v>
      </c>
      <c r="P1245">
        <f t="shared" si="204"/>
        <v>19</v>
      </c>
      <c r="Q1245" s="842">
        <f t="shared" si="205"/>
        <v>0.0301109350237718</v>
      </c>
    </row>
    <row r="1246" spans="1:17">
      <c r="A1246" s="801">
        <v>45994</v>
      </c>
      <c r="B1246" s="670">
        <v>690.86</v>
      </c>
      <c r="C1246" s="671">
        <v>33292</v>
      </c>
      <c r="D1246" s="37">
        <v>677</v>
      </c>
      <c r="E1246" s="37">
        <v>0</v>
      </c>
      <c r="F1246" s="670">
        <v>0</v>
      </c>
      <c r="G1246" s="37">
        <v>15</v>
      </c>
      <c r="H1246" s="37">
        <v>6</v>
      </c>
      <c r="I1246" s="37">
        <v>1</v>
      </c>
      <c r="J1246" s="672">
        <f t="shared" si="200"/>
        <v>0.0203352156674276</v>
      </c>
      <c r="K1246" s="673">
        <f t="shared" si="201"/>
        <v>1.02047267355982</v>
      </c>
      <c r="L1246" s="809">
        <f t="shared" si="191"/>
        <v>20.7515318995554</v>
      </c>
      <c r="M1246" s="839">
        <f t="shared" si="199"/>
        <v>0</v>
      </c>
      <c r="N1246" s="39">
        <f t="shared" si="202"/>
        <v>0</v>
      </c>
      <c r="O1246" s="675">
        <f t="shared" si="203"/>
        <v>32.8980952380952</v>
      </c>
      <c r="P1246">
        <f t="shared" si="204"/>
        <v>21</v>
      </c>
      <c r="Q1246" s="842">
        <f t="shared" si="205"/>
        <v>0.0310192023633678</v>
      </c>
    </row>
    <row r="1247" spans="1:17">
      <c r="A1247" s="801">
        <v>45995</v>
      </c>
      <c r="B1247" s="670">
        <v>689.34</v>
      </c>
      <c r="C1247" s="671">
        <v>38754</v>
      </c>
      <c r="D1247" s="37">
        <v>675</v>
      </c>
      <c r="E1247" s="37">
        <v>0</v>
      </c>
      <c r="F1247" s="670">
        <v>0</v>
      </c>
      <c r="G1247" s="37">
        <v>13</v>
      </c>
      <c r="H1247" s="37">
        <v>5</v>
      </c>
      <c r="I1247" s="37">
        <v>1</v>
      </c>
      <c r="J1247" s="672">
        <f t="shared" si="200"/>
        <v>0.0174175568973525</v>
      </c>
      <c r="K1247" s="673">
        <f t="shared" si="201"/>
        <v>1.02124444444444</v>
      </c>
      <c r="L1247" s="809">
        <f t="shared" si="191"/>
        <v>17.7875832172163</v>
      </c>
      <c r="M1247" s="839">
        <f t="shared" si="199"/>
        <v>0</v>
      </c>
      <c r="N1247" s="39">
        <f t="shared" si="202"/>
        <v>0</v>
      </c>
      <c r="O1247" s="675">
        <f t="shared" si="203"/>
        <v>38.2966666666667</v>
      </c>
      <c r="P1247">
        <f t="shared" si="204"/>
        <v>18</v>
      </c>
      <c r="Q1247" s="842">
        <f t="shared" si="205"/>
        <v>0.0266666666666667</v>
      </c>
    </row>
    <row r="1248" spans="1:17">
      <c r="A1248" s="801">
        <v>45996</v>
      </c>
      <c r="B1248" s="670">
        <v>692.7</v>
      </c>
      <c r="C1248" s="671">
        <v>55945</v>
      </c>
      <c r="D1248" s="37">
        <v>1092</v>
      </c>
      <c r="E1248" s="37">
        <v>0</v>
      </c>
      <c r="F1248" s="670">
        <v>0</v>
      </c>
      <c r="G1248" s="37">
        <v>21</v>
      </c>
      <c r="H1248" s="37">
        <v>6</v>
      </c>
      <c r="I1248" s="37">
        <v>1</v>
      </c>
      <c r="J1248" s="672">
        <f t="shared" si="200"/>
        <v>0.0195191706139959</v>
      </c>
      <c r="K1248" s="673">
        <f t="shared" si="201"/>
        <v>0.634340659340659</v>
      </c>
      <c r="L1248" s="809">
        <f t="shared" si="191"/>
        <v>12.381803557065</v>
      </c>
      <c r="M1248" s="839">
        <f t="shared" si="199"/>
        <v>0</v>
      </c>
      <c r="N1248" s="39">
        <f t="shared" si="202"/>
        <v>0</v>
      </c>
      <c r="O1248" s="675">
        <f t="shared" si="203"/>
        <v>25.6555555555556</v>
      </c>
      <c r="P1248">
        <f t="shared" si="204"/>
        <v>27</v>
      </c>
      <c r="Q1248" s="842">
        <f t="shared" si="205"/>
        <v>0.0247252747252747</v>
      </c>
    </row>
    <row r="1249" spans="1:17">
      <c r="A1249" s="801">
        <v>45997</v>
      </c>
      <c r="B1249" s="670">
        <v>1299.31</v>
      </c>
      <c r="C1249" s="671">
        <v>64786</v>
      </c>
      <c r="D1249" s="37">
        <v>1370</v>
      </c>
      <c r="E1249" s="37">
        <v>1</v>
      </c>
      <c r="F1249" s="670">
        <v>11274</v>
      </c>
      <c r="G1249" s="37">
        <v>21</v>
      </c>
      <c r="H1249" s="37">
        <v>11</v>
      </c>
      <c r="I1249" s="37">
        <v>2</v>
      </c>
      <c r="J1249" s="672">
        <f t="shared" si="200"/>
        <v>0.0211465440064211</v>
      </c>
      <c r="K1249" s="673">
        <f t="shared" si="201"/>
        <v>0.948401459854015</v>
      </c>
      <c r="L1249" s="809">
        <f t="shared" si="191"/>
        <v>20.055413206557</v>
      </c>
      <c r="M1249" s="839">
        <f t="shared" si="199"/>
        <v>8.67691313081559</v>
      </c>
      <c r="N1249" s="39">
        <f t="shared" si="202"/>
        <v>0.00072992700729927</v>
      </c>
      <c r="O1249" s="675">
        <f t="shared" si="203"/>
        <v>40.6034375</v>
      </c>
      <c r="P1249">
        <f t="shared" si="204"/>
        <v>32</v>
      </c>
      <c r="Q1249" s="842">
        <f t="shared" si="205"/>
        <v>0.0233576642335766</v>
      </c>
    </row>
    <row r="1250" spans="1:17">
      <c r="A1250" s="801">
        <v>45998</v>
      </c>
      <c r="B1250" s="670">
        <v>1290.84</v>
      </c>
      <c r="C1250" s="671">
        <v>63747</v>
      </c>
      <c r="D1250" s="37">
        <v>1377</v>
      </c>
      <c r="E1250" s="37">
        <v>1</v>
      </c>
      <c r="F1250" s="670">
        <v>11342</v>
      </c>
      <c r="G1250" s="37">
        <v>17</v>
      </c>
      <c r="H1250" s="37">
        <v>11</v>
      </c>
      <c r="I1250" s="37">
        <v>0</v>
      </c>
      <c r="J1250" s="672">
        <f t="shared" si="200"/>
        <v>0.0216010165184244</v>
      </c>
      <c r="K1250" s="673">
        <f t="shared" si="201"/>
        <v>0.937429193899782</v>
      </c>
      <c r="L1250" s="809">
        <f t="shared" ref="L1250:L1313" si="206">B1250/C1250*1000</f>
        <v>20.2494235022825</v>
      </c>
      <c r="M1250" s="839">
        <f t="shared" si="199"/>
        <v>8.78652660283226</v>
      </c>
      <c r="N1250" s="39">
        <f t="shared" si="202"/>
        <v>0.000726216412490922</v>
      </c>
      <c r="O1250" s="675">
        <f t="shared" si="203"/>
        <v>46.1014285714286</v>
      </c>
      <c r="P1250">
        <f t="shared" si="204"/>
        <v>28</v>
      </c>
      <c r="Q1250" s="842">
        <f t="shared" si="205"/>
        <v>0.0203340595497458</v>
      </c>
    </row>
    <row r="1251" spans="1:17">
      <c r="A1251" s="801">
        <v>45999</v>
      </c>
      <c r="B1251" s="670">
        <v>1315.57</v>
      </c>
      <c r="C1251" s="671">
        <v>62515</v>
      </c>
      <c r="D1251" s="37">
        <v>1557</v>
      </c>
      <c r="E1251" s="37">
        <v>2</v>
      </c>
      <c r="F1251" s="670">
        <v>8892</v>
      </c>
      <c r="G1251" s="37">
        <v>26</v>
      </c>
      <c r="H1251" s="37">
        <v>15</v>
      </c>
      <c r="I1251" s="37">
        <v>3</v>
      </c>
      <c r="J1251" s="672">
        <f t="shared" si="200"/>
        <v>0.0249060225545869</v>
      </c>
      <c r="K1251" s="673">
        <f t="shared" si="201"/>
        <v>0.844938985228002</v>
      </c>
      <c r="L1251" s="809">
        <f t="shared" si="206"/>
        <v>21.0440694233384</v>
      </c>
      <c r="M1251" s="839">
        <f t="shared" si="199"/>
        <v>6.75904740910784</v>
      </c>
      <c r="N1251" s="39">
        <f t="shared" si="202"/>
        <v>0.00128452151573539</v>
      </c>
      <c r="O1251" s="675">
        <f t="shared" si="203"/>
        <v>32.0870731707317</v>
      </c>
      <c r="P1251">
        <f t="shared" si="204"/>
        <v>41</v>
      </c>
      <c r="Q1251" s="842">
        <f t="shared" si="205"/>
        <v>0.0263326910725755</v>
      </c>
    </row>
    <row r="1252" spans="1:17">
      <c r="A1252" s="801">
        <v>46000</v>
      </c>
      <c r="B1252" s="670">
        <v>1608.45</v>
      </c>
      <c r="C1252" s="671">
        <v>84367</v>
      </c>
      <c r="D1252" s="37">
        <v>2005</v>
      </c>
      <c r="E1252" s="37">
        <v>0</v>
      </c>
      <c r="F1252" s="670">
        <v>0</v>
      </c>
      <c r="G1252" s="37">
        <v>29</v>
      </c>
      <c r="H1252" s="37">
        <v>12</v>
      </c>
      <c r="I1252" s="37">
        <v>4</v>
      </c>
      <c r="J1252" s="672">
        <f t="shared" si="200"/>
        <v>0.0237652162575415</v>
      </c>
      <c r="K1252" s="673">
        <f t="shared" si="201"/>
        <v>0.802219451371571</v>
      </c>
      <c r="L1252" s="809">
        <f t="shared" si="206"/>
        <v>19.0649187478516</v>
      </c>
      <c r="M1252" s="839">
        <f t="shared" si="199"/>
        <v>0</v>
      </c>
      <c r="N1252" s="39">
        <f t="shared" si="202"/>
        <v>0</v>
      </c>
      <c r="O1252" s="675">
        <f t="shared" si="203"/>
        <v>39.2304878048781</v>
      </c>
      <c r="P1252">
        <f t="shared" si="204"/>
        <v>41</v>
      </c>
      <c r="Q1252" s="842">
        <f t="shared" si="205"/>
        <v>0.0204488778054863</v>
      </c>
    </row>
    <row r="1253" spans="1:17">
      <c r="A1253" s="801">
        <v>46001</v>
      </c>
      <c r="B1253" s="670">
        <v>1601.54</v>
      </c>
      <c r="C1253" s="671">
        <v>125745</v>
      </c>
      <c r="D1253" s="37">
        <v>2914</v>
      </c>
      <c r="E1253" s="37">
        <v>3</v>
      </c>
      <c r="F1253" s="670">
        <v>27907</v>
      </c>
      <c r="G1253" s="37">
        <v>42</v>
      </c>
      <c r="H1253" s="37">
        <v>9</v>
      </c>
      <c r="I1253" s="37">
        <v>4</v>
      </c>
      <c r="J1253" s="672">
        <f t="shared" si="200"/>
        <v>0.0231738836534256</v>
      </c>
      <c r="K1253" s="673">
        <f t="shared" si="201"/>
        <v>0.549601921757035</v>
      </c>
      <c r="L1253" s="809">
        <f t="shared" si="206"/>
        <v>12.7364109904966</v>
      </c>
      <c r="M1253" s="839">
        <f t="shared" si="199"/>
        <v>17.4251033380371</v>
      </c>
      <c r="N1253" s="39">
        <f t="shared" si="202"/>
        <v>0.00102951269732327</v>
      </c>
      <c r="O1253" s="675">
        <f t="shared" si="203"/>
        <v>31.4027450980392</v>
      </c>
      <c r="P1253">
        <f t="shared" si="204"/>
        <v>51</v>
      </c>
      <c r="Q1253" s="842">
        <f t="shared" si="205"/>
        <v>0.0175017158544955</v>
      </c>
    </row>
    <row r="1254" spans="1:17">
      <c r="A1254" s="801">
        <v>46002</v>
      </c>
      <c r="B1254" s="670">
        <v>1601.23</v>
      </c>
      <c r="C1254" s="671">
        <v>98456</v>
      </c>
      <c r="D1254" s="37">
        <v>2603</v>
      </c>
      <c r="E1254" s="37">
        <v>5</v>
      </c>
      <c r="F1254" s="670">
        <v>48564</v>
      </c>
      <c r="G1254" s="37">
        <v>26</v>
      </c>
      <c r="H1254" s="37">
        <v>9</v>
      </c>
      <c r="I1254" s="37">
        <v>3</v>
      </c>
      <c r="J1254" s="672">
        <f t="shared" si="200"/>
        <v>0.0264382058990818</v>
      </c>
      <c r="K1254" s="673">
        <f t="shared" si="201"/>
        <v>0.615147906262005</v>
      </c>
      <c r="L1254" s="809">
        <f t="shared" si="206"/>
        <v>16.263407004144</v>
      </c>
      <c r="M1254" s="839">
        <f t="shared" si="199"/>
        <v>30.3291844394622</v>
      </c>
      <c r="N1254" s="39">
        <f t="shared" si="202"/>
        <v>0.00192086054552439</v>
      </c>
      <c r="O1254" s="675">
        <f t="shared" si="203"/>
        <v>45.7494285714286</v>
      </c>
      <c r="P1254">
        <f t="shared" si="204"/>
        <v>35</v>
      </c>
      <c r="Q1254" s="842">
        <f t="shared" si="205"/>
        <v>0.0134460238186708</v>
      </c>
    </row>
    <row r="1255" spans="1:17">
      <c r="A1255" s="801">
        <v>46003</v>
      </c>
      <c r="B1255" s="670">
        <v>1605.18</v>
      </c>
      <c r="C1255" s="671">
        <v>132222</v>
      </c>
      <c r="D1255" s="37">
        <v>4105</v>
      </c>
      <c r="E1255" s="37">
        <v>2</v>
      </c>
      <c r="F1255" s="670">
        <v>16346</v>
      </c>
      <c r="G1255" s="37">
        <v>25</v>
      </c>
      <c r="H1255" s="37">
        <v>9</v>
      </c>
      <c r="I1255" s="37">
        <v>0</v>
      </c>
      <c r="J1255" s="672">
        <f t="shared" si="200"/>
        <v>0.0310462706660011</v>
      </c>
      <c r="K1255" s="673">
        <f t="shared" si="201"/>
        <v>0.391030450669915</v>
      </c>
      <c r="L1255" s="809">
        <f t="shared" si="206"/>
        <v>12.1400372101466</v>
      </c>
      <c r="M1255" s="839">
        <f t="shared" si="199"/>
        <v>10.1832816257367</v>
      </c>
      <c r="N1255" s="39">
        <f t="shared" si="202"/>
        <v>0.00048721071863581</v>
      </c>
      <c r="O1255" s="675">
        <f t="shared" si="203"/>
        <v>47.2111764705882</v>
      </c>
      <c r="P1255">
        <f t="shared" si="204"/>
        <v>34</v>
      </c>
      <c r="Q1255" s="842">
        <f t="shared" si="205"/>
        <v>0.00828258221680877</v>
      </c>
    </row>
    <row r="1256" spans="1:17">
      <c r="A1256" s="801">
        <v>46004</v>
      </c>
      <c r="B1256" s="670">
        <v>1612.4</v>
      </c>
      <c r="C1256" s="671">
        <v>132843</v>
      </c>
      <c r="D1256" s="37">
        <v>3838</v>
      </c>
      <c r="E1256" s="37">
        <v>0</v>
      </c>
      <c r="F1256" s="670">
        <v>0</v>
      </c>
      <c r="G1256" s="37">
        <v>30</v>
      </c>
      <c r="H1256" s="37">
        <v>35</v>
      </c>
      <c r="I1256" s="37">
        <v>2</v>
      </c>
      <c r="J1256" s="672">
        <f t="shared" si="200"/>
        <v>0.0288912475629126</v>
      </c>
      <c r="K1256" s="673">
        <f t="shared" si="201"/>
        <v>0.420114643043252</v>
      </c>
      <c r="L1256" s="809">
        <f t="shared" si="206"/>
        <v>12.1376361569672</v>
      </c>
      <c r="M1256" s="839">
        <f t="shared" si="199"/>
        <v>0</v>
      </c>
      <c r="N1256" s="39">
        <f t="shared" si="202"/>
        <v>0</v>
      </c>
      <c r="O1256" s="675">
        <f t="shared" si="203"/>
        <v>24.8061538461538</v>
      </c>
      <c r="P1256">
        <f t="shared" si="204"/>
        <v>65</v>
      </c>
      <c r="Q1256" s="842">
        <f t="shared" si="205"/>
        <v>0.0169359041167275</v>
      </c>
    </row>
    <row r="1257" spans="1:17">
      <c r="A1257" s="801">
        <v>46005</v>
      </c>
      <c r="B1257" s="670">
        <v>1602.74</v>
      </c>
      <c r="C1257" s="671">
        <v>100411</v>
      </c>
      <c r="D1257" s="37">
        <v>2751</v>
      </c>
      <c r="E1257" s="37">
        <v>0</v>
      </c>
      <c r="F1257" s="670">
        <v>0</v>
      </c>
      <c r="G1257" s="37">
        <v>31</v>
      </c>
      <c r="H1257" s="37">
        <v>34</v>
      </c>
      <c r="I1257" s="37">
        <v>2</v>
      </c>
      <c r="J1257" s="672">
        <f t="shared" si="200"/>
        <v>0.0273973966995648</v>
      </c>
      <c r="K1257" s="673">
        <f t="shared" si="201"/>
        <v>0.582602689930934</v>
      </c>
      <c r="L1257" s="809">
        <f t="shared" si="206"/>
        <v>15.9617970142713</v>
      </c>
      <c r="M1257" s="839">
        <f t="shared" si="199"/>
        <v>0</v>
      </c>
      <c r="N1257" s="39">
        <f t="shared" si="202"/>
        <v>0</v>
      </c>
      <c r="O1257" s="675">
        <f t="shared" si="203"/>
        <v>24.6575384615385</v>
      </c>
      <c r="P1257">
        <f t="shared" si="204"/>
        <v>65</v>
      </c>
      <c r="Q1257" s="842">
        <f t="shared" si="205"/>
        <v>0.0236277717193748</v>
      </c>
    </row>
    <row r="1258" spans="1:17">
      <c r="A1258" s="801">
        <v>46006</v>
      </c>
      <c r="B1258" s="670">
        <v>1745.31</v>
      </c>
      <c r="C1258" s="671">
        <v>85775</v>
      </c>
      <c r="D1258" s="37">
        <v>1684</v>
      </c>
      <c r="E1258" s="37">
        <v>1</v>
      </c>
      <c r="F1258" s="670">
        <v>9592</v>
      </c>
      <c r="G1258" s="37">
        <v>24</v>
      </c>
      <c r="H1258" s="37">
        <v>5</v>
      </c>
      <c r="I1258" s="37">
        <v>1</v>
      </c>
      <c r="J1258" s="672">
        <f t="shared" si="200"/>
        <v>0.0196327601282425</v>
      </c>
      <c r="K1258" s="673">
        <f t="shared" si="201"/>
        <v>1.03640736342043</v>
      </c>
      <c r="L1258" s="809">
        <f t="shared" si="206"/>
        <v>20.3475371611775</v>
      </c>
      <c r="M1258" s="839">
        <f t="shared" si="199"/>
        <v>5.49587179354957</v>
      </c>
      <c r="N1258" s="39">
        <f t="shared" si="202"/>
        <v>0.000593824228028504</v>
      </c>
      <c r="O1258" s="675">
        <f t="shared" si="203"/>
        <v>60.1831034482759</v>
      </c>
      <c r="P1258">
        <f t="shared" si="204"/>
        <v>29</v>
      </c>
      <c r="Q1258" s="842">
        <f t="shared" si="205"/>
        <v>0.0172209026128266</v>
      </c>
    </row>
    <row r="1259" spans="1:17">
      <c r="A1259" s="801">
        <v>46007</v>
      </c>
      <c r="B1259" s="670">
        <v>1497.26</v>
      </c>
      <c r="C1259" s="671">
        <v>101009</v>
      </c>
      <c r="D1259" s="37">
        <v>1562</v>
      </c>
      <c r="E1259" s="37">
        <v>1</v>
      </c>
      <c r="F1259" s="670">
        <v>10812</v>
      </c>
      <c r="G1259" s="37">
        <v>32</v>
      </c>
      <c r="H1259" s="37">
        <v>5</v>
      </c>
      <c r="I1259" s="37">
        <v>2</v>
      </c>
      <c r="J1259" s="672">
        <f t="shared" si="200"/>
        <v>0.0154639685572573</v>
      </c>
      <c r="K1259" s="673">
        <f t="shared" si="201"/>
        <v>0.958553137003841</v>
      </c>
      <c r="L1259" s="809">
        <f t="shared" si="206"/>
        <v>14.8230355710877</v>
      </c>
      <c r="M1259" s="839">
        <f t="shared" si="199"/>
        <v>7.22119070836061</v>
      </c>
      <c r="N1259" s="39">
        <f t="shared" si="202"/>
        <v>0.000640204865556978</v>
      </c>
      <c r="O1259" s="675">
        <f t="shared" si="203"/>
        <v>40.4664864864865</v>
      </c>
      <c r="P1259">
        <f t="shared" si="204"/>
        <v>37</v>
      </c>
      <c r="Q1259" s="842">
        <f t="shared" si="205"/>
        <v>0.0236875800256082</v>
      </c>
    </row>
    <row r="1260" spans="1:17">
      <c r="A1260" s="801">
        <v>46008</v>
      </c>
      <c r="B1260" s="670">
        <v>1494.77</v>
      </c>
      <c r="C1260" s="671">
        <v>75028</v>
      </c>
      <c r="D1260" s="37">
        <v>1607</v>
      </c>
      <c r="E1260" s="37">
        <v>1</v>
      </c>
      <c r="F1260" s="670">
        <v>18012</v>
      </c>
      <c r="G1260" s="37">
        <v>23</v>
      </c>
      <c r="H1260" s="37">
        <v>12</v>
      </c>
      <c r="I1260" s="37">
        <v>4</v>
      </c>
      <c r="J1260" s="672">
        <f t="shared" si="200"/>
        <v>0.0214186703630645</v>
      </c>
      <c r="K1260" s="673">
        <f t="shared" si="201"/>
        <v>0.930161792159303</v>
      </c>
      <c r="L1260" s="809">
        <f t="shared" si="206"/>
        <v>19.9228288105774</v>
      </c>
      <c r="M1260" s="839">
        <f t="shared" si="199"/>
        <v>12.0500143834837</v>
      </c>
      <c r="N1260" s="39">
        <f t="shared" si="202"/>
        <v>0.000622277535780958</v>
      </c>
      <c r="O1260" s="675">
        <f t="shared" si="203"/>
        <v>42.7077142857143</v>
      </c>
      <c r="P1260">
        <f t="shared" si="204"/>
        <v>35</v>
      </c>
      <c r="Q1260" s="842">
        <f t="shared" si="205"/>
        <v>0.0217797137523335</v>
      </c>
    </row>
    <row r="1261" spans="1:17">
      <c r="A1261" s="801">
        <v>46009</v>
      </c>
      <c r="B1261" s="670">
        <v>1498.9</v>
      </c>
      <c r="C1261" s="671">
        <v>125578</v>
      </c>
      <c r="D1261" s="37">
        <v>2410</v>
      </c>
      <c r="E1261" s="37">
        <v>1</v>
      </c>
      <c r="F1261" s="670">
        <v>9552</v>
      </c>
      <c r="G1261" s="37">
        <v>17</v>
      </c>
      <c r="H1261" s="37">
        <v>26</v>
      </c>
      <c r="I1261" s="37">
        <v>2</v>
      </c>
      <c r="J1261" s="672">
        <f t="shared" si="200"/>
        <v>0.0191912596155378</v>
      </c>
      <c r="K1261" s="673">
        <f t="shared" si="201"/>
        <v>0.62195020746888</v>
      </c>
      <c r="L1261" s="809">
        <f t="shared" si="206"/>
        <v>11.9360078994728</v>
      </c>
      <c r="M1261" s="839">
        <f t="shared" si="199"/>
        <v>6.37267329374875</v>
      </c>
      <c r="N1261" s="39">
        <f t="shared" si="202"/>
        <v>0.0004149377593361</v>
      </c>
      <c r="O1261" s="675">
        <f t="shared" si="203"/>
        <v>34.8581395348837</v>
      </c>
      <c r="P1261">
        <f t="shared" si="204"/>
        <v>43</v>
      </c>
      <c r="Q1261" s="842">
        <f t="shared" si="205"/>
        <v>0.0178423236514523</v>
      </c>
    </row>
    <row r="1262" spans="1:17">
      <c r="A1262" s="801">
        <v>46010</v>
      </c>
      <c r="B1262" s="670">
        <v>1827.75</v>
      </c>
      <c r="C1262" s="671">
        <v>155449</v>
      </c>
      <c r="D1262" s="37">
        <v>3529</v>
      </c>
      <c r="E1262" s="37">
        <v>1</v>
      </c>
      <c r="F1262" s="670">
        <v>8812</v>
      </c>
      <c r="G1262" s="37">
        <v>45</v>
      </c>
      <c r="H1262" s="37">
        <v>54</v>
      </c>
      <c r="I1262" s="37">
        <v>8</v>
      </c>
      <c r="J1262" s="672">
        <f t="shared" si="200"/>
        <v>0.0227019794273363</v>
      </c>
      <c r="K1262" s="673">
        <f t="shared" si="201"/>
        <v>0.517922924341173</v>
      </c>
      <c r="L1262" s="809">
        <f t="shared" si="206"/>
        <v>11.7578755733392</v>
      </c>
      <c r="M1262" s="839">
        <f t="shared" si="199"/>
        <v>4.82122828614417</v>
      </c>
      <c r="N1262" s="39">
        <f t="shared" si="202"/>
        <v>0.00028336639274582</v>
      </c>
      <c r="O1262" s="675">
        <f t="shared" si="203"/>
        <v>18.4621212121212</v>
      </c>
      <c r="P1262">
        <f t="shared" si="204"/>
        <v>99</v>
      </c>
      <c r="Q1262" s="842">
        <f t="shared" si="205"/>
        <v>0.0280532728818362</v>
      </c>
    </row>
    <row r="1263" spans="1:17">
      <c r="A1263" s="801">
        <v>46011</v>
      </c>
      <c r="B1263" s="670">
        <v>1587.91</v>
      </c>
      <c r="C1263" s="671">
        <v>139243</v>
      </c>
      <c r="D1263" s="37">
        <v>2682</v>
      </c>
      <c r="E1263" s="37">
        <v>1</v>
      </c>
      <c r="F1263" s="670">
        <v>5530</v>
      </c>
      <c r="G1263" s="37">
        <v>24</v>
      </c>
      <c r="H1263" s="37">
        <v>20</v>
      </c>
      <c r="I1263" s="37">
        <v>2</v>
      </c>
      <c r="J1263" s="672">
        <f t="shared" si="200"/>
        <v>0.0192612914114174</v>
      </c>
      <c r="K1263" s="673">
        <f t="shared" si="201"/>
        <v>0.592061894108874</v>
      </c>
      <c r="L1263" s="809">
        <f t="shared" si="206"/>
        <v>11.4038766760268</v>
      </c>
      <c r="M1263" s="839">
        <f t="shared" si="199"/>
        <v>3.4825651327846</v>
      </c>
      <c r="N1263" s="39">
        <f t="shared" si="202"/>
        <v>0.000372856077554064</v>
      </c>
      <c r="O1263" s="675">
        <f t="shared" si="203"/>
        <v>36.0888636363636</v>
      </c>
      <c r="P1263">
        <f t="shared" si="204"/>
        <v>44</v>
      </c>
      <c r="Q1263" s="842">
        <f t="shared" si="205"/>
        <v>0.0164056674123788</v>
      </c>
    </row>
    <row r="1264" spans="1:17">
      <c r="A1264" s="801">
        <v>46012</v>
      </c>
      <c r="B1264" s="670">
        <v>1410.85</v>
      </c>
      <c r="C1264" s="671">
        <v>107951</v>
      </c>
      <c r="D1264" s="37">
        <v>1717</v>
      </c>
      <c r="E1264" s="37">
        <v>1</v>
      </c>
      <c r="F1264" s="670">
        <v>7176</v>
      </c>
      <c r="G1264" s="37">
        <v>27</v>
      </c>
      <c r="H1264" s="37">
        <v>6</v>
      </c>
      <c r="I1264" s="37">
        <v>3</v>
      </c>
      <c r="J1264" s="672">
        <f t="shared" si="200"/>
        <v>0.0159053644709174</v>
      </c>
      <c r="K1264" s="673">
        <f t="shared" si="201"/>
        <v>0.821694816540477</v>
      </c>
      <c r="L1264" s="809">
        <f t="shared" si="206"/>
        <v>13.0693555409399</v>
      </c>
      <c r="M1264" s="839">
        <f t="shared" si="199"/>
        <v>5.08629549562321</v>
      </c>
      <c r="N1264" s="39">
        <f t="shared" si="202"/>
        <v>0.0005824111822947</v>
      </c>
      <c r="O1264" s="675">
        <f t="shared" si="203"/>
        <v>42.7530303030303</v>
      </c>
      <c r="P1264">
        <f t="shared" si="204"/>
        <v>33</v>
      </c>
      <c r="Q1264" s="842">
        <f t="shared" si="205"/>
        <v>0.0192195690157251</v>
      </c>
    </row>
    <row r="1265" spans="1:17">
      <c r="A1265" s="801">
        <v>46013</v>
      </c>
      <c r="B1265" s="670">
        <v>1340.73</v>
      </c>
      <c r="C1265" s="671">
        <v>113479</v>
      </c>
      <c r="D1265" s="37">
        <v>1663</v>
      </c>
      <c r="E1265" s="37">
        <v>3</v>
      </c>
      <c r="F1265" s="670">
        <v>27760</v>
      </c>
      <c r="G1265" s="37">
        <v>25</v>
      </c>
      <c r="H1265" s="37">
        <v>4</v>
      </c>
      <c r="I1265" s="37">
        <v>4</v>
      </c>
      <c r="J1265" s="672">
        <f t="shared" si="200"/>
        <v>0.0146546938200019</v>
      </c>
      <c r="K1265" s="673">
        <f t="shared" si="201"/>
        <v>0.806211665664462</v>
      </c>
      <c r="L1265" s="809">
        <f t="shared" si="206"/>
        <v>11.8147851144265</v>
      </c>
      <c r="M1265" s="839">
        <f t="shared" si="199"/>
        <v>20.7051382455826</v>
      </c>
      <c r="N1265" s="39">
        <f t="shared" si="202"/>
        <v>0.00180396873120866</v>
      </c>
      <c r="O1265" s="675">
        <f t="shared" si="203"/>
        <v>46.2320689655172</v>
      </c>
      <c r="P1265">
        <f t="shared" si="204"/>
        <v>29</v>
      </c>
      <c r="Q1265" s="842">
        <f t="shared" si="205"/>
        <v>0.0174383644016837</v>
      </c>
    </row>
    <row r="1266" spans="1:17">
      <c r="A1266" s="801">
        <v>46014</v>
      </c>
      <c r="B1266" s="670">
        <v>1689.44</v>
      </c>
      <c r="C1266" s="671">
        <v>91938</v>
      </c>
      <c r="D1266" s="37">
        <v>1640</v>
      </c>
      <c r="E1266" s="37">
        <v>0</v>
      </c>
      <c r="F1266" s="670">
        <v>0</v>
      </c>
      <c r="G1266" s="37">
        <v>14</v>
      </c>
      <c r="H1266" s="37">
        <v>8</v>
      </c>
      <c r="I1266" s="37">
        <v>1</v>
      </c>
      <c r="J1266" s="672">
        <f t="shared" si="200"/>
        <v>0.0178381082903696</v>
      </c>
      <c r="K1266" s="673">
        <f t="shared" si="201"/>
        <v>1.03014634146341</v>
      </c>
      <c r="L1266" s="809">
        <f t="shared" si="206"/>
        <v>18.3758619939524</v>
      </c>
      <c r="M1266" s="839">
        <f t="shared" si="199"/>
        <v>0</v>
      </c>
      <c r="N1266" s="39">
        <f t="shared" si="202"/>
        <v>0</v>
      </c>
      <c r="O1266" s="675">
        <f t="shared" si="203"/>
        <v>76.7927272727273</v>
      </c>
      <c r="P1266">
        <f t="shared" si="204"/>
        <v>22</v>
      </c>
      <c r="Q1266" s="842">
        <f t="shared" si="205"/>
        <v>0.0134146341463415</v>
      </c>
    </row>
    <row r="1267" spans="1:17">
      <c r="A1267" s="801">
        <v>46015</v>
      </c>
      <c r="B1267" s="670">
        <v>1688.53</v>
      </c>
      <c r="C1267" s="671">
        <v>104625</v>
      </c>
      <c r="D1267" s="37">
        <v>2084</v>
      </c>
      <c r="E1267" s="37">
        <v>0</v>
      </c>
      <c r="F1267" s="670">
        <v>0</v>
      </c>
      <c r="G1267" s="37">
        <v>33</v>
      </c>
      <c r="H1267" s="37">
        <v>12</v>
      </c>
      <c r="I1267" s="37">
        <v>2</v>
      </c>
      <c r="J1267" s="672">
        <f t="shared" si="200"/>
        <v>0.0199187574671446</v>
      </c>
      <c r="K1267" s="673">
        <f t="shared" si="201"/>
        <v>0.810235124760077</v>
      </c>
      <c r="L1267" s="809">
        <f t="shared" si="206"/>
        <v>16.1388769414576</v>
      </c>
      <c r="M1267" s="839">
        <f t="shared" si="199"/>
        <v>0</v>
      </c>
      <c r="N1267" s="39">
        <f t="shared" si="202"/>
        <v>0</v>
      </c>
      <c r="O1267" s="675">
        <f t="shared" si="203"/>
        <v>37.5228888888889</v>
      </c>
      <c r="P1267">
        <f t="shared" si="204"/>
        <v>45</v>
      </c>
      <c r="Q1267" s="842">
        <f t="shared" si="205"/>
        <v>0.0215930902111324</v>
      </c>
    </row>
    <row r="1268" spans="1:17">
      <c r="A1268" s="801">
        <v>46016</v>
      </c>
      <c r="B1268" s="670">
        <v>1692.28</v>
      </c>
      <c r="C1268" s="671">
        <v>126499</v>
      </c>
      <c r="D1268" s="37">
        <v>2218</v>
      </c>
      <c r="E1268" s="37">
        <v>3</v>
      </c>
      <c r="F1268" s="670">
        <v>15548</v>
      </c>
      <c r="G1268" s="37">
        <v>12</v>
      </c>
      <c r="H1268" s="37">
        <v>11</v>
      </c>
      <c r="I1268" s="37">
        <v>0</v>
      </c>
      <c r="J1268" s="672">
        <f t="shared" si="200"/>
        <v>0.017533735444549</v>
      </c>
      <c r="K1268" s="673">
        <f t="shared" si="201"/>
        <v>0.76297565374211</v>
      </c>
      <c r="L1268" s="809">
        <f t="shared" si="206"/>
        <v>13.377813263346</v>
      </c>
      <c r="M1268" s="839">
        <f t="shared" si="199"/>
        <v>9.18760488807999</v>
      </c>
      <c r="N1268" s="39">
        <f t="shared" si="202"/>
        <v>0.00135256988277728</v>
      </c>
      <c r="O1268" s="675">
        <f t="shared" si="203"/>
        <v>73.5773913043478</v>
      </c>
      <c r="P1268">
        <f t="shared" si="204"/>
        <v>23</v>
      </c>
      <c r="Q1268" s="842">
        <f t="shared" si="205"/>
        <v>0.0103697024346258</v>
      </c>
    </row>
    <row r="1269" spans="1:17">
      <c r="A1269" s="801">
        <v>46017</v>
      </c>
      <c r="B1269" s="670">
        <v>1687.87</v>
      </c>
      <c r="C1269" s="671">
        <v>176455</v>
      </c>
      <c r="D1269" s="37">
        <v>2855</v>
      </c>
      <c r="E1269" s="37">
        <v>0</v>
      </c>
      <c r="F1269" s="670">
        <v>0</v>
      </c>
      <c r="G1269" s="37">
        <v>33</v>
      </c>
      <c r="H1269" s="37">
        <v>14</v>
      </c>
      <c r="I1269" s="37">
        <v>0</v>
      </c>
      <c r="J1269" s="672">
        <f t="shared" si="200"/>
        <v>0.0161797625456915</v>
      </c>
      <c r="K1269" s="673">
        <f t="shared" si="201"/>
        <v>0.591197898423818</v>
      </c>
      <c r="L1269" s="809">
        <f t="shared" si="206"/>
        <v>9.56544161400924</v>
      </c>
      <c r="M1269" s="839">
        <f t="shared" si="199"/>
        <v>0</v>
      </c>
      <c r="N1269" s="39">
        <f t="shared" si="202"/>
        <v>0</v>
      </c>
      <c r="O1269" s="675">
        <f t="shared" si="203"/>
        <v>35.9121276595745</v>
      </c>
      <c r="P1269">
        <f t="shared" si="204"/>
        <v>47</v>
      </c>
      <c r="Q1269" s="842">
        <f t="shared" si="205"/>
        <v>0.0164623467600701</v>
      </c>
    </row>
    <row r="1270" spans="1:17">
      <c r="A1270" s="801">
        <v>46018</v>
      </c>
      <c r="B1270" s="670">
        <v>1691.71</v>
      </c>
      <c r="C1270" s="671">
        <v>116936</v>
      </c>
      <c r="D1270" s="37">
        <v>2390</v>
      </c>
      <c r="E1270" s="37">
        <v>0</v>
      </c>
      <c r="F1270" s="670">
        <v>0</v>
      </c>
      <c r="G1270" s="37">
        <v>20</v>
      </c>
      <c r="H1270" s="37">
        <v>16</v>
      </c>
      <c r="I1270" s="37">
        <v>1</v>
      </c>
      <c r="J1270" s="672">
        <f t="shared" si="200"/>
        <v>0.0204385304782103</v>
      </c>
      <c r="K1270" s="673">
        <f t="shared" si="201"/>
        <v>0.707828451882845</v>
      </c>
      <c r="L1270" s="809">
        <f t="shared" si="206"/>
        <v>14.4669733871519</v>
      </c>
      <c r="M1270" s="839">
        <f t="shared" si="199"/>
        <v>0</v>
      </c>
      <c r="N1270" s="39">
        <f t="shared" si="202"/>
        <v>0</v>
      </c>
      <c r="O1270" s="675">
        <f t="shared" si="203"/>
        <v>46.9919444444444</v>
      </c>
      <c r="P1270">
        <f t="shared" si="204"/>
        <v>36</v>
      </c>
      <c r="Q1270" s="842">
        <f t="shared" si="205"/>
        <v>0.0150627615062762</v>
      </c>
    </row>
    <row r="1271" spans="1:17">
      <c r="A1271" s="801">
        <v>46019</v>
      </c>
      <c r="B1271" s="670">
        <v>1702.9</v>
      </c>
      <c r="C1271" s="671">
        <v>105586</v>
      </c>
      <c r="D1271" s="37">
        <v>2221</v>
      </c>
      <c r="E1271" s="37">
        <v>0</v>
      </c>
      <c r="F1271" s="670">
        <v>0</v>
      </c>
      <c r="G1271" s="37">
        <v>35</v>
      </c>
      <c r="H1271" s="37">
        <v>23</v>
      </c>
      <c r="I1271" s="37">
        <v>2</v>
      </c>
      <c r="J1271" s="672">
        <f t="shared" si="200"/>
        <v>0.0210349856988616</v>
      </c>
      <c r="K1271" s="673">
        <f t="shared" si="201"/>
        <v>0.766726699684827</v>
      </c>
      <c r="L1271" s="809">
        <f t="shared" si="206"/>
        <v>16.1280851628057</v>
      </c>
      <c r="M1271" s="839">
        <f t="shared" si="199"/>
        <v>0</v>
      </c>
      <c r="N1271" s="39">
        <f t="shared" si="202"/>
        <v>0</v>
      </c>
      <c r="O1271" s="675">
        <f t="shared" si="203"/>
        <v>29.3603448275862</v>
      </c>
      <c r="P1271">
        <f t="shared" si="204"/>
        <v>58</v>
      </c>
      <c r="Q1271" s="842">
        <f t="shared" si="205"/>
        <v>0.0261143628995948</v>
      </c>
    </row>
    <row r="1272" spans="1:17">
      <c r="A1272" s="801">
        <v>46020</v>
      </c>
      <c r="B1272" s="670">
        <v>2149.24</v>
      </c>
      <c r="C1272" s="671">
        <v>186340</v>
      </c>
      <c r="D1272" s="37">
        <v>4347</v>
      </c>
      <c r="E1272" s="37">
        <v>0</v>
      </c>
      <c r="F1272" s="670">
        <v>0</v>
      </c>
      <c r="G1272" s="37">
        <v>27</v>
      </c>
      <c r="H1272" s="37">
        <v>14</v>
      </c>
      <c r="I1272" s="37">
        <v>1</v>
      </c>
      <c r="J1272" s="672">
        <f t="shared" si="200"/>
        <v>0.023328324567994</v>
      </c>
      <c r="K1272" s="673">
        <f t="shared" si="201"/>
        <v>0.494419139636531</v>
      </c>
      <c r="L1272" s="809">
        <f t="shared" si="206"/>
        <v>11.5339701620693</v>
      </c>
      <c r="M1272" s="839">
        <f t="shared" si="199"/>
        <v>0</v>
      </c>
      <c r="N1272" s="39">
        <f t="shared" si="202"/>
        <v>0</v>
      </c>
      <c r="O1272" s="675">
        <f t="shared" si="203"/>
        <v>52.420487804878</v>
      </c>
      <c r="P1272">
        <f t="shared" si="204"/>
        <v>41</v>
      </c>
      <c r="Q1272" s="842">
        <f t="shared" si="205"/>
        <v>0.00943179204048769</v>
      </c>
    </row>
    <row r="1273" spans="1:17">
      <c r="A1273" s="801">
        <v>46021</v>
      </c>
      <c r="B1273" s="670">
        <v>2285.3</v>
      </c>
      <c r="C1273" s="671">
        <v>215913</v>
      </c>
      <c r="D1273" s="37">
        <v>4295</v>
      </c>
      <c r="E1273" s="37">
        <v>0</v>
      </c>
      <c r="F1273" s="670">
        <v>0</v>
      </c>
      <c r="G1273" s="37">
        <v>33</v>
      </c>
      <c r="H1273" s="37">
        <v>22</v>
      </c>
      <c r="I1273" s="37">
        <v>5</v>
      </c>
      <c r="J1273" s="672">
        <f t="shared" si="200"/>
        <v>0.0198922714241384</v>
      </c>
      <c r="K1273" s="673">
        <f t="shared" si="201"/>
        <v>0.532083818393481</v>
      </c>
      <c r="L1273" s="809">
        <f t="shared" si="206"/>
        <v>10.5843557358751</v>
      </c>
      <c r="M1273" s="839">
        <f t="shared" si="199"/>
        <v>0</v>
      </c>
      <c r="N1273" s="39">
        <f t="shared" si="202"/>
        <v>0</v>
      </c>
      <c r="O1273" s="675">
        <f t="shared" si="203"/>
        <v>41.5509090909091</v>
      </c>
      <c r="P1273">
        <f t="shared" si="204"/>
        <v>55</v>
      </c>
      <c r="Q1273" s="842">
        <f t="shared" si="205"/>
        <v>0.0128055878928987</v>
      </c>
    </row>
    <row r="1274" spans="1:17">
      <c r="A1274" s="801">
        <v>46022</v>
      </c>
      <c r="B1274" s="670">
        <v>2466.71</v>
      </c>
      <c r="C1274" s="671">
        <v>199650</v>
      </c>
      <c r="D1274" s="37">
        <v>3585</v>
      </c>
      <c r="E1274" s="37">
        <v>0</v>
      </c>
      <c r="F1274" s="670">
        <v>0</v>
      </c>
      <c r="G1274" s="37">
        <v>56</v>
      </c>
      <c r="H1274" s="37">
        <v>10</v>
      </c>
      <c r="I1274" s="37">
        <v>4</v>
      </c>
      <c r="J1274" s="672">
        <f t="shared" si="200"/>
        <v>0.0179564237415477</v>
      </c>
      <c r="K1274" s="673">
        <f t="shared" si="201"/>
        <v>0.688064156206416</v>
      </c>
      <c r="L1274" s="809">
        <f t="shared" si="206"/>
        <v>12.3551715502129</v>
      </c>
      <c r="M1274" s="839">
        <f t="shared" si="199"/>
        <v>0</v>
      </c>
      <c r="N1274" s="39">
        <f t="shared" si="202"/>
        <v>0</v>
      </c>
      <c r="O1274" s="675">
        <f t="shared" si="203"/>
        <v>37.3743939393939</v>
      </c>
      <c r="P1274">
        <f t="shared" si="204"/>
        <v>66</v>
      </c>
      <c r="Q1274" s="842">
        <f t="shared" si="205"/>
        <v>0.0184100418410042</v>
      </c>
    </row>
    <row r="1275" spans="1:17">
      <c r="A1275" s="801">
        <v>46023</v>
      </c>
      <c r="B1275" s="670">
        <v>2411.54</v>
      </c>
      <c r="C1275" s="671">
        <v>151329</v>
      </c>
      <c r="D1275" s="37">
        <v>2987</v>
      </c>
      <c r="E1275" s="37">
        <v>0</v>
      </c>
      <c r="F1275" s="670">
        <v>0</v>
      </c>
      <c r="G1275" s="37">
        <v>28</v>
      </c>
      <c r="H1275" s="37">
        <v>9</v>
      </c>
      <c r="I1275" s="37">
        <v>4</v>
      </c>
      <c r="J1275" s="672">
        <f t="shared" si="200"/>
        <v>0.0197384506604815</v>
      </c>
      <c r="K1275" s="673">
        <f t="shared" si="201"/>
        <v>0.807345162370271</v>
      </c>
      <c r="L1275" s="809">
        <f t="shared" si="206"/>
        <v>15.935742653424</v>
      </c>
      <c r="M1275" s="839">
        <f t="shared" si="199"/>
        <v>0</v>
      </c>
      <c r="N1275" s="39">
        <f t="shared" si="202"/>
        <v>0</v>
      </c>
      <c r="O1275" s="675">
        <f t="shared" si="203"/>
        <v>65.1767567567568</v>
      </c>
      <c r="P1275">
        <f t="shared" si="204"/>
        <v>37</v>
      </c>
      <c r="Q1275" s="842">
        <f t="shared" si="205"/>
        <v>0.012387010378306</v>
      </c>
    </row>
    <row r="1276" spans="1:17">
      <c r="A1276" s="801">
        <v>46024</v>
      </c>
      <c r="B1276" s="670">
        <v>2372.65</v>
      </c>
      <c r="C1276" s="671">
        <v>173648</v>
      </c>
      <c r="D1276" s="37">
        <v>3115</v>
      </c>
      <c r="E1276" s="37">
        <v>0</v>
      </c>
      <c r="F1276" s="670">
        <v>0</v>
      </c>
      <c r="G1276" s="37">
        <v>31</v>
      </c>
      <c r="H1276" s="37">
        <v>19</v>
      </c>
      <c r="I1276" s="37">
        <v>4</v>
      </c>
      <c r="J1276" s="672">
        <f t="shared" si="200"/>
        <v>0.0179385884087349</v>
      </c>
      <c r="K1276" s="673">
        <f t="shared" si="201"/>
        <v>0.761685393258427</v>
      </c>
      <c r="L1276" s="809">
        <f t="shared" si="206"/>
        <v>13.6635607666083</v>
      </c>
      <c r="M1276" s="839">
        <f t="shared" si="199"/>
        <v>0</v>
      </c>
      <c r="N1276" s="39">
        <f t="shared" si="202"/>
        <v>0</v>
      </c>
      <c r="O1276" s="675">
        <f t="shared" si="203"/>
        <v>47.453</v>
      </c>
      <c r="P1276">
        <f t="shared" si="204"/>
        <v>50</v>
      </c>
      <c r="Q1276" s="842">
        <f t="shared" si="205"/>
        <v>0.0160513643659711</v>
      </c>
    </row>
    <row r="1277" spans="1:17">
      <c r="A1277" s="801">
        <v>46025</v>
      </c>
      <c r="B1277" s="670">
        <v>2348.33</v>
      </c>
      <c r="C1277" s="671">
        <v>125399</v>
      </c>
      <c r="D1277" s="37">
        <v>2783</v>
      </c>
      <c r="E1277" s="37">
        <v>0</v>
      </c>
      <c r="F1277" s="670">
        <v>0</v>
      </c>
      <c r="G1277" s="37">
        <v>47</v>
      </c>
      <c r="H1277" s="37">
        <v>11</v>
      </c>
      <c r="I1277" s="37">
        <v>6</v>
      </c>
      <c r="J1277" s="672">
        <f t="shared" si="200"/>
        <v>0.0221931594350832</v>
      </c>
      <c r="K1277" s="673">
        <f t="shared" si="201"/>
        <v>0.843812432626662</v>
      </c>
      <c r="L1277" s="809">
        <f t="shared" si="206"/>
        <v>18.7268638505889</v>
      </c>
      <c r="M1277" s="839">
        <f t="shared" si="199"/>
        <v>0</v>
      </c>
      <c r="N1277" s="39">
        <f t="shared" si="202"/>
        <v>0</v>
      </c>
      <c r="O1277" s="675">
        <f t="shared" si="203"/>
        <v>40.4884482758621</v>
      </c>
      <c r="P1277">
        <f t="shared" si="204"/>
        <v>58</v>
      </c>
      <c r="Q1277" s="842">
        <f t="shared" si="205"/>
        <v>0.0208408192597916</v>
      </c>
    </row>
    <row r="1278" spans="1:17">
      <c r="A1278" s="801">
        <v>46026</v>
      </c>
      <c r="B1278" s="670">
        <v>2324.38</v>
      </c>
      <c r="C1278" s="671">
        <v>137178</v>
      </c>
      <c r="D1278" s="37">
        <v>2666</v>
      </c>
      <c r="E1278" s="37">
        <v>0</v>
      </c>
      <c r="F1278" s="670">
        <v>0</v>
      </c>
      <c r="G1278" s="37">
        <v>29</v>
      </c>
      <c r="H1278" s="37">
        <v>3</v>
      </c>
      <c r="I1278" s="37">
        <v>0</v>
      </c>
      <c r="J1278" s="672">
        <f t="shared" si="200"/>
        <v>0.0194346032162592</v>
      </c>
      <c r="K1278" s="673">
        <f t="shared" si="201"/>
        <v>0.871860465116279</v>
      </c>
      <c r="L1278" s="809">
        <f t="shared" si="206"/>
        <v>16.9442621994781</v>
      </c>
      <c r="M1278" s="839">
        <f t="shared" si="199"/>
        <v>0</v>
      </c>
      <c r="N1278" s="39">
        <f t="shared" si="202"/>
        <v>0</v>
      </c>
      <c r="O1278" s="675">
        <f t="shared" si="203"/>
        <v>72.636875</v>
      </c>
      <c r="P1278">
        <f t="shared" si="204"/>
        <v>32</v>
      </c>
      <c r="Q1278" s="842">
        <f t="shared" si="205"/>
        <v>0.0120030007501875</v>
      </c>
    </row>
    <row r="1279" spans="1:17">
      <c r="A1279" s="801">
        <v>46027</v>
      </c>
      <c r="B1279" s="670">
        <v>2316.17</v>
      </c>
      <c r="C1279" s="671">
        <v>106786</v>
      </c>
      <c r="D1279" s="37">
        <v>2547</v>
      </c>
      <c r="E1279" s="37">
        <v>1</v>
      </c>
      <c r="F1279" s="670">
        <v>10152</v>
      </c>
      <c r="G1279" s="37">
        <v>33</v>
      </c>
      <c r="H1279" s="37">
        <v>11</v>
      </c>
      <c r="I1279" s="37">
        <v>1</v>
      </c>
      <c r="J1279" s="672">
        <f t="shared" si="200"/>
        <v>0.0238514412001573</v>
      </c>
      <c r="K1279" s="673">
        <f t="shared" si="201"/>
        <v>0.909371809972517</v>
      </c>
      <c r="L1279" s="809">
        <f t="shared" si="206"/>
        <v>21.6898282546401</v>
      </c>
      <c r="M1279" s="839">
        <f t="shared" si="199"/>
        <v>4.38309795913081</v>
      </c>
      <c r="N1279" s="39">
        <f t="shared" si="202"/>
        <v>0.000392618767177071</v>
      </c>
      <c r="O1279" s="675">
        <f t="shared" si="203"/>
        <v>52.6402272727273</v>
      </c>
      <c r="P1279">
        <f t="shared" si="204"/>
        <v>44</v>
      </c>
      <c r="Q1279" s="842">
        <f t="shared" si="205"/>
        <v>0.0172752257557911</v>
      </c>
    </row>
    <row r="1280" spans="1:17">
      <c r="A1280" s="801">
        <v>46028</v>
      </c>
      <c r="B1280" s="670">
        <v>1823.86</v>
      </c>
      <c r="C1280" s="671">
        <v>162180</v>
      </c>
      <c r="D1280" s="37">
        <v>3625</v>
      </c>
      <c r="E1280" s="37">
        <v>0</v>
      </c>
      <c r="F1280" s="670">
        <v>0</v>
      </c>
      <c r="G1280" s="37">
        <v>41</v>
      </c>
      <c r="H1280" s="37">
        <v>8</v>
      </c>
      <c r="I1280" s="37">
        <v>1</v>
      </c>
      <c r="J1280" s="672">
        <f t="shared" si="200"/>
        <v>0.022351707978789</v>
      </c>
      <c r="K1280" s="673">
        <f t="shared" si="201"/>
        <v>0.503133793103448</v>
      </c>
      <c r="L1280" s="809">
        <f t="shared" si="206"/>
        <v>11.2458996177087</v>
      </c>
      <c r="M1280" s="839">
        <f t="shared" si="199"/>
        <v>0</v>
      </c>
      <c r="N1280" s="39">
        <f t="shared" si="202"/>
        <v>0</v>
      </c>
      <c r="O1280" s="675">
        <f t="shared" si="203"/>
        <v>37.2216326530612</v>
      </c>
      <c r="P1280">
        <f t="shared" si="204"/>
        <v>49</v>
      </c>
      <c r="Q1280" s="842">
        <f t="shared" si="205"/>
        <v>0.0135172413793103</v>
      </c>
    </row>
    <row r="1281" spans="1:17">
      <c r="A1281" s="801">
        <v>46029</v>
      </c>
      <c r="B1281" s="670">
        <v>1823.59</v>
      </c>
      <c r="C1281" s="671">
        <v>132521</v>
      </c>
      <c r="D1281" s="37">
        <v>3556</v>
      </c>
      <c r="E1281" s="37">
        <v>1</v>
      </c>
      <c r="F1281" s="670">
        <v>22570</v>
      </c>
      <c r="G1281" s="37">
        <v>38</v>
      </c>
      <c r="H1281" s="37">
        <v>12</v>
      </c>
      <c r="I1281" s="37">
        <v>5</v>
      </c>
      <c r="J1281" s="672">
        <f t="shared" si="200"/>
        <v>0.0268334829951479</v>
      </c>
      <c r="K1281" s="673">
        <f t="shared" si="201"/>
        <v>0.512820584926884</v>
      </c>
      <c r="L1281" s="809">
        <f t="shared" si="206"/>
        <v>13.7607624451974</v>
      </c>
      <c r="M1281" s="839">
        <f t="shared" si="199"/>
        <v>12.376685548835</v>
      </c>
      <c r="N1281" s="39">
        <f t="shared" si="202"/>
        <v>0.000281214848143982</v>
      </c>
      <c r="O1281" s="675">
        <f t="shared" si="203"/>
        <v>36.4718</v>
      </c>
      <c r="P1281">
        <f t="shared" si="204"/>
        <v>50</v>
      </c>
      <c r="Q1281" s="842">
        <f t="shared" si="205"/>
        <v>0.0140607424071991</v>
      </c>
    </row>
    <row r="1282" spans="1:17">
      <c r="A1282" s="801">
        <v>46030</v>
      </c>
      <c r="B1282" s="670">
        <v>1821.15</v>
      </c>
      <c r="C1282" s="671">
        <v>233536</v>
      </c>
      <c r="D1282" s="37">
        <v>4102</v>
      </c>
      <c r="E1282" s="37">
        <v>0</v>
      </c>
      <c r="F1282" s="670">
        <v>0</v>
      </c>
      <c r="G1282" s="37">
        <v>39</v>
      </c>
      <c r="H1282" s="37">
        <v>23</v>
      </c>
      <c r="I1282" s="37">
        <v>0</v>
      </c>
      <c r="J1282" s="672">
        <f t="shared" si="200"/>
        <v>0.0175647437654152</v>
      </c>
      <c r="K1282" s="673">
        <f t="shared" si="201"/>
        <v>0.443966357874208</v>
      </c>
      <c r="L1282" s="809">
        <f t="shared" si="206"/>
        <v>7.79815531652508</v>
      </c>
      <c r="M1282" s="839">
        <f t="shared" si="199"/>
        <v>0</v>
      </c>
      <c r="N1282" s="39">
        <f t="shared" si="202"/>
        <v>0</v>
      </c>
      <c r="O1282" s="675">
        <f t="shared" si="203"/>
        <v>29.3733870967742</v>
      </c>
      <c r="P1282">
        <f t="shared" si="204"/>
        <v>62</v>
      </c>
      <c r="Q1282" s="842">
        <f t="shared" si="205"/>
        <v>0.01511457825451</v>
      </c>
    </row>
    <row r="1283" spans="1:17">
      <c r="A1283" s="801">
        <v>46031</v>
      </c>
      <c r="B1283" s="670">
        <v>1736.43</v>
      </c>
      <c r="C1283" s="671">
        <v>333798</v>
      </c>
      <c r="D1283" s="37">
        <v>6761</v>
      </c>
      <c r="E1283" s="37">
        <v>0</v>
      </c>
      <c r="F1283" s="670">
        <v>0</v>
      </c>
      <c r="G1283" s="37">
        <v>36</v>
      </c>
      <c r="H1283" s="37">
        <v>39</v>
      </c>
      <c r="I1283" s="37">
        <v>4</v>
      </c>
      <c r="J1283" s="672">
        <f t="shared" si="200"/>
        <v>0.0202547648577882</v>
      </c>
      <c r="K1283" s="673">
        <f t="shared" si="201"/>
        <v>0.256830350539861</v>
      </c>
      <c r="L1283" s="809">
        <f t="shared" si="206"/>
        <v>5.20203835852821</v>
      </c>
      <c r="M1283" s="839">
        <f t="shared" si="199"/>
        <v>0</v>
      </c>
      <c r="N1283" s="39">
        <f t="shared" si="202"/>
        <v>0</v>
      </c>
      <c r="O1283" s="675">
        <f t="shared" si="203"/>
        <v>23.1524</v>
      </c>
      <c r="P1283">
        <f t="shared" si="204"/>
        <v>75</v>
      </c>
      <c r="Q1283" s="842">
        <f t="shared" si="205"/>
        <v>0.011093033574915</v>
      </c>
    </row>
    <row r="1284" spans="1:17">
      <c r="A1284" s="801">
        <v>46032</v>
      </c>
      <c r="B1284" s="670">
        <v>995.33</v>
      </c>
      <c r="C1284" s="671">
        <v>181065</v>
      </c>
      <c r="D1284" s="37">
        <v>4433</v>
      </c>
      <c r="E1284" s="37">
        <v>0</v>
      </c>
      <c r="F1284" s="670">
        <v>0</v>
      </c>
      <c r="G1284" s="37">
        <v>25</v>
      </c>
      <c r="H1284" s="37">
        <v>31</v>
      </c>
      <c r="I1284" s="37">
        <v>2</v>
      </c>
      <c r="J1284" s="672">
        <f t="shared" si="200"/>
        <v>0.0244829204981636</v>
      </c>
      <c r="K1284" s="673">
        <f t="shared" si="201"/>
        <v>0.224527408075795</v>
      </c>
      <c r="L1284" s="809">
        <f t="shared" si="206"/>
        <v>5.49708668157844</v>
      </c>
      <c r="M1284" s="839">
        <f t="shared" si="199"/>
        <v>0</v>
      </c>
      <c r="N1284" s="39">
        <f t="shared" si="202"/>
        <v>0</v>
      </c>
      <c r="O1284" s="675">
        <f t="shared" si="203"/>
        <v>17.77375</v>
      </c>
      <c r="P1284">
        <f t="shared" si="204"/>
        <v>56</v>
      </c>
      <c r="Q1284" s="842">
        <f t="shared" si="205"/>
        <v>0.012632528761561</v>
      </c>
    </row>
    <row r="1285" spans="1:17">
      <c r="A1285" s="801">
        <v>46033</v>
      </c>
      <c r="B1285" s="670">
        <v>992.24</v>
      </c>
      <c r="C1285" s="671">
        <v>93204</v>
      </c>
      <c r="D1285" s="37">
        <v>2198</v>
      </c>
      <c r="E1285" s="37">
        <v>0</v>
      </c>
      <c r="F1285" s="670">
        <v>0</v>
      </c>
      <c r="G1285" s="37">
        <v>24</v>
      </c>
      <c r="H1285" s="37">
        <v>11</v>
      </c>
      <c r="I1285" s="37">
        <v>2</v>
      </c>
      <c r="J1285" s="672">
        <f t="shared" si="200"/>
        <v>0.0235826788549848</v>
      </c>
      <c r="K1285" s="673">
        <f t="shared" si="201"/>
        <v>0.451428571428571</v>
      </c>
      <c r="L1285" s="809">
        <f t="shared" si="206"/>
        <v>10.6458950259646</v>
      </c>
      <c r="M1285" s="839">
        <f t="shared" si="199"/>
        <v>0</v>
      </c>
      <c r="N1285" s="39">
        <f t="shared" si="202"/>
        <v>0</v>
      </c>
      <c r="O1285" s="675">
        <f t="shared" si="203"/>
        <v>28.3497142857143</v>
      </c>
      <c r="P1285">
        <f t="shared" si="204"/>
        <v>35</v>
      </c>
      <c r="Q1285" s="842">
        <f t="shared" si="205"/>
        <v>0.0159235668789809</v>
      </c>
    </row>
    <row r="1286" spans="1:17">
      <c r="A1286" s="801">
        <v>46034</v>
      </c>
      <c r="B1286" s="670">
        <v>984.29</v>
      </c>
      <c r="C1286" s="671">
        <v>65498</v>
      </c>
      <c r="D1286" s="37">
        <v>1620</v>
      </c>
      <c r="E1286" s="37">
        <v>0</v>
      </c>
      <c r="F1286" s="670">
        <v>0</v>
      </c>
      <c r="G1286" s="37">
        <v>29</v>
      </c>
      <c r="H1286" s="37">
        <v>6</v>
      </c>
      <c r="I1286" s="37">
        <v>2</v>
      </c>
      <c r="J1286" s="672">
        <f t="shared" si="200"/>
        <v>0.0247335796512871</v>
      </c>
      <c r="K1286" s="673">
        <f t="shared" si="201"/>
        <v>0.607586419753086</v>
      </c>
      <c r="L1286" s="809">
        <f t="shared" si="206"/>
        <v>15.0277871080033</v>
      </c>
      <c r="M1286" s="839">
        <f t="shared" si="199"/>
        <v>0</v>
      </c>
      <c r="N1286" s="39">
        <f t="shared" si="202"/>
        <v>0</v>
      </c>
      <c r="O1286" s="675">
        <f t="shared" si="203"/>
        <v>28.1225714285714</v>
      </c>
      <c r="P1286">
        <f t="shared" si="204"/>
        <v>35</v>
      </c>
      <c r="Q1286" s="842">
        <f t="shared" si="205"/>
        <v>0.0216049382716049</v>
      </c>
    </row>
    <row r="1287" spans="1:17">
      <c r="A1287" s="801">
        <v>46035</v>
      </c>
      <c r="B1287" s="670">
        <v>1003.82</v>
      </c>
      <c r="C1287" s="671">
        <v>50914</v>
      </c>
      <c r="D1287" s="37">
        <v>2190</v>
      </c>
      <c r="E1287" s="37">
        <v>2</v>
      </c>
      <c r="F1287" s="670">
        <v>16110</v>
      </c>
      <c r="G1287" s="37">
        <v>19</v>
      </c>
      <c r="H1287" s="37">
        <v>4</v>
      </c>
      <c r="I1287" s="37">
        <v>3</v>
      </c>
      <c r="J1287" s="672">
        <f t="shared" si="200"/>
        <v>0.0430137093923086</v>
      </c>
      <c r="K1287" s="673">
        <f t="shared" si="201"/>
        <v>0.458365296803653</v>
      </c>
      <c r="L1287" s="809">
        <f t="shared" si="206"/>
        <v>19.7159916722316</v>
      </c>
      <c r="M1287" s="839">
        <f t="shared" si="199"/>
        <v>16.0486939889622</v>
      </c>
      <c r="N1287" s="39">
        <f t="shared" si="202"/>
        <v>0.00091324200913242</v>
      </c>
      <c r="O1287" s="675">
        <f t="shared" si="203"/>
        <v>43.644347826087</v>
      </c>
      <c r="P1287">
        <f t="shared" si="204"/>
        <v>23</v>
      </c>
      <c r="Q1287" s="842">
        <f t="shared" si="205"/>
        <v>0.0105022831050228</v>
      </c>
    </row>
    <row r="1288" spans="1:17">
      <c r="A1288" s="801">
        <v>46036</v>
      </c>
      <c r="B1288" s="670">
        <v>996.47</v>
      </c>
      <c r="C1288" s="671">
        <v>82682</v>
      </c>
      <c r="D1288" s="37">
        <v>2976</v>
      </c>
      <c r="E1288" s="37">
        <v>3</v>
      </c>
      <c r="F1288" s="670">
        <v>20640</v>
      </c>
      <c r="G1288" s="37">
        <v>24</v>
      </c>
      <c r="H1288" s="37">
        <v>10</v>
      </c>
      <c r="I1288" s="37">
        <v>3</v>
      </c>
      <c r="J1288" s="672">
        <f t="shared" si="200"/>
        <v>0.0359933238189691</v>
      </c>
      <c r="K1288" s="673">
        <f t="shared" si="201"/>
        <v>0.334835349462366</v>
      </c>
      <c r="L1288" s="809">
        <f t="shared" si="206"/>
        <v>12.0518371592366</v>
      </c>
      <c r="M1288" s="839">
        <f t="shared" si="199"/>
        <v>20.7131173040834</v>
      </c>
      <c r="N1288" s="39">
        <f t="shared" si="202"/>
        <v>0.00100806451612903</v>
      </c>
      <c r="O1288" s="675">
        <f t="shared" si="203"/>
        <v>29.3079411764706</v>
      </c>
      <c r="P1288">
        <f t="shared" si="204"/>
        <v>34</v>
      </c>
      <c r="Q1288" s="842">
        <f t="shared" si="205"/>
        <v>0.0114247311827957</v>
      </c>
    </row>
    <row r="1289" spans="1:17">
      <c r="A1289" s="801">
        <v>46037</v>
      </c>
      <c r="B1289" s="670">
        <v>1286.48</v>
      </c>
      <c r="C1289" s="671">
        <v>53898</v>
      </c>
      <c r="D1289" s="37">
        <v>1714</v>
      </c>
      <c r="E1289" s="37">
        <v>0</v>
      </c>
      <c r="F1289" s="670">
        <v>0</v>
      </c>
      <c r="G1289" s="37">
        <v>28</v>
      </c>
      <c r="H1289" s="37">
        <v>23</v>
      </c>
      <c r="I1289" s="37">
        <v>0</v>
      </c>
      <c r="J1289" s="672">
        <f t="shared" si="200"/>
        <v>0.0318008089353965</v>
      </c>
      <c r="K1289" s="673">
        <f t="shared" si="201"/>
        <v>0.750571761960327</v>
      </c>
      <c r="L1289" s="809">
        <f t="shared" si="206"/>
        <v>23.8687891944042</v>
      </c>
      <c r="M1289" s="839">
        <f t="shared" si="199"/>
        <v>0</v>
      </c>
      <c r="N1289" s="39">
        <f t="shared" si="202"/>
        <v>0</v>
      </c>
      <c r="O1289" s="675">
        <f t="shared" si="203"/>
        <v>25.2250980392157</v>
      </c>
      <c r="P1289">
        <f t="shared" si="204"/>
        <v>51</v>
      </c>
      <c r="Q1289" s="842">
        <f t="shared" si="205"/>
        <v>0.02975495915986</v>
      </c>
    </row>
    <row r="1290" spans="1:17">
      <c r="A1290" s="801">
        <v>46038</v>
      </c>
      <c r="B1290" s="670">
        <v>1286.36</v>
      </c>
      <c r="C1290" s="671">
        <v>56037</v>
      </c>
      <c r="D1290" s="37">
        <v>1920</v>
      </c>
      <c r="E1290" s="37">
        <v>3</v>
      </c>
      <c r="F1290" s="670">
        <v>47438</v>
      </c>
      <c r="G1290" s="37">
        <v>38</v>
      </c>
      <c r="H1290" s="37">
        <v>21</v>
      </c>
      <c r="I1290" s="37">
        <v>5</v>
      </c>
      <c r="J1290" s="672">
        <f t="shared" si="200"/>
        <v>0.0342630761818084</v>
      </c>
      <c r="K1290" s="673">
        <f t="shared" si="201"/>
        <v>0.669979166666667</v>
      </c>
      <c r="L1290" s="809">
        <f t="shared" si="206"/>
        <v>22.9555472277245</v>
      </c>
      <c r="M1290" s="839">
        <f t="shared" si="199"/>
        <v>36.8777014210641</v>
      </c>
      <c r="N1290" s="39">
        <f t="shared" si="202"/>
        <v>0.0015625</v>
      </c>
      <c r="O1290" s="675">
        <f t="shared" si="203"/>
        <v>21.8027118644068</v>
      </c>
      <c r="P1290">
        <f t="shared" si="204"/>
        <v>59</v>
      </c>
      <c r="Q1290" s="842">
        <f t="shared" si="205"/>
        <v>0.0307291666666667</v>
      </c>
    </row>
    <row r="1291" spans="1:17">
      <c r="A1291" s="801">
        <v>46039</v>
      </c>
      <c r="B1291" s="670">
        <v>1301.89</v>
      </c>
      <c r="C1291" s="671">
        <v>53087</v>
      </c>
      <c r="D1291" s="37">
        <v>1920</v>
      </c>
      <c r="E1291" s="37">
        <v>0</v>
      </c>
      <c r="F1291" s="670">
        <v>0</v>
      </c>
      <c r="G1291" s="37">
        <v>25</v>
      </c>
      <c r="H1291" s="37">
        <v>16</v>
      </c>
      <c r="I1291" s="37">
        <v>2</v>
      </c>
      <c r="J1291" s="672">
        <f t="shared" si="200"/>
        <v>0.0361670465462354</v>
      </c>
      <c r="K1291" s="673">
        <f t="shared" si="201"/>
        <v>0.678067708333333</v>
      </c>
      <c r="L1291" s="809">
        <f t="shared" si="206"/>
        <v>24.5237063687909</v>
      </c>
      <c r="M1291" s="839">
        <f t="shared" si="199"/>
        <v>0</v>
      </c>
      <c r="N1291" s="39">
        <f t="shared" si="202"/>
        <v>0</v>
      </c>
      <c r="O1291" s="675">
        <f t="shared" si="203"/>
        <v>31.7534146341463</v>
      </c>
      <c r="P1291">
        <f t="shared" si="204"/>
        <v>41</v>
      </c>
      <c r="Q1291" s="842">
        <f t="shared" si="205"/>
        <v>0.0213541666666667</v>
      </c>
    </row>
    <row r="1292" spans="1:17">
      <c r="A1292" s="801">
        <v>46040</v>
      </c>
      <c r="B1292" s="670">
        <v>1223.82</v>
      </c>
      <c r="C1292" s="671">
        <v>56000</v>
      </c>
      <c r="D1292" s="37">
        <v>2263</v>
      </c>
      <c r="E1292" s="37">
        <v>0</v>
      </c>
      <c r="F1292" s="670">
        <v>0</v>
      </c>
      <c r="G1292" s="37">
        <v>30</v>
      </c>
      <c r="H1292" s="37">
        <v>14</v>
      </c>
      <c r="I1292" s="37">
        <v>2</v>
      </c>
      <c r="J1292" s="672">
        <f t="shared" si="200"/>
        <v>0.0404107142857143</v>
      </c>
      <c r="K1292" s="673">
        <f t="shared" si="201"/>
        <v>0.540795404330535</v>
      </c>
      <c r="L1292" s="809">
        <f t="shared" si="206"/>
        <v>21.8539285714286</v>
      </c>
      <c r="M1292" s="839">
        <f t="shared" si="199"/>
        <v>0</v>
      </c>
      <c r="N1292" s="39">
        <f t="shared" si="202"/>
        <v>0</v>
      </c>
      <c r="O1292" s="675">
        <f t="shared" si="203"/>
        <v>27.8140909090909</v>
      </c>
      <c r="P1292">
        <f t="shared" si="204"/>
        <v>44</v>
      </c>
      <c r="Q1292" s="842">
        <f t="shared" si="205"/>
        <v>0.0194432169686257</v>
      </c>
    </row>
    <row r="1293" spans="1:17">
      <c r="A1293" s="801">
        <v>46041</v>
      </c>
      <c r="B1293" s="670">
        <v>1223.8</v>
      </c>
      <c r="C1293" s="671">
        <v>63669</v>
      </c>
      <c r="D1293" s="37">
        <v>2229</v>
      </c>
      <c r="E1293" s="37">
        <v>4</v>
      </c>
      <c r="F1293" s="670">
        <v>52968</v>
      </c>
      <c r="G1293" s="37">
        <v>24</v>
      </c>
      <c r="H1293" s="37">
        <v>10</v>
      </c>
      <c r="I1293" s="37">
        <v>2</v>
      </c>
      <c r="J1293" s="672">
        <f t="shared" si="200"/>
        <v>0.0350091881449371</v>
      </c>
      <c r="K1293" s="673">
        <f t="shared" si="201"/>
        <v>0.549035441902198</v>
      </c>
      <c r="L1293" s="809">
        <f t="shared" si="206"/>
        <v>19.2212850837927</v>
      </c>
      <c r="M1293" s="839">
        <f t="shared" si="199"/>
        <v>43.2815819578363</v>
      </c>
      <c r="N1293" s="39">
        <f t="shared" si="202"/>
        <v>0.00179452669358457</v>
      </c>
      <c r="O1293" s="675">
        <f t="shared" si="203"/>
        <v>35.9941176470588</v>
      </c>
      <c r="P1293">
        <f t="shared" si="204"/>
        <v>34</v>
      </c>
      <c r="Q1293" s="842">
        <f t="shared" si="205"/>
        <v>0.0152534768954688</v>
      </c>
    </row>
    <row r="1294" spans="1:17">
      <c r="A1294" s="801">
        <v>46042</v>
      </c>
      <c r="B1294" s="670">
        <v>1638.8</v>
      </c>
      <c r="C1294" s="671">
        <v>85319</v>
      </c>
      <c r="D1294" s="37">
        <v>2825</v>
      </c>
      <c r="E1294" s="37">
        <v>2</v>
      </c>
      <c r="F1294" s="670">
        <v>20632</v>
      </c>
      <c r="G1294" s="37">
        <v>12</v>
      </c>
      <c r="H1294" s="37">
        <v>5</v>
      </c>
      <c r="I1294" s="37">
        <v>4</v>
      </c>
      <c r="J1294" s="672">
        <f t="shared" si="200"/>
        <v>0.0331110303683822</v>
      </c>
      <c r="K1294" s="673">
        <f t="shared" si="201"/>
        <v>0.580106194690265</v>
      </c>
      <c r="L1294" s="809">
        <f t="shared" si="206"/>
        <v>19.207913829276</v>
      </c>
      <c r="M1294" s="839">
        <f t="shared" si="199"/>
        <v>12.5896997803271</v>
      </c>
      <c r="N1294" s="39">
        <f t="shared" si="202"/>
        <v>0.000707964601769912</v>
      </c>
      <c r="O1294" s="675">
        <f t="shared" si="203"/>
        <v>96.4</v>
      </c>
      <c r="P1294">
        <f t="shared" si="204"/>
        <v>17</v>
      </c>
      <c r="Q1294" s="842">
        <f t="shared" si="205"/>
        <v>0.00601769911504425</v>
      </c>
    </row>
    <row r="1295" spans="1:17">
      <c r="A1295" s="801">
        <v>46043</v>
      </c>
      <c r="B1295" s="670">
        <v>1673.25</v>
      </c>
      <c r="C1295" s="671">
        <v>81696</v>
      </c>
      <c r="D1295" s="37">
        <v>2488</v>
      </c>
      <c r="E1295" s="37">
        <v>1</v>
      </c>
      <c r="F1295" s="670">
        <v>8146</v>
      </c>
      <c r="G1295" s="37">
        <v>27</v>
      </c>
      <c r="H1295" s="37">
        <v>3</v>
      </c>
      <c r="I1295" s="37">
        <v>4</v>
      </c>
      <c r="J1295" s="672">
        <f t="shared" si="200"/>
        <v>0.0304543674108891</v>
      </c>
      <c r="K1295" s="673">
        <f t="shared" si="201"/>
        <v>0.672528135048232</v>
      </c>
      <c r="L1295" s="809">
        <f t="shared" si="206"/>
        <v>20.4814189189189</v>
      </c>
      <c r="M1295" s="839">
        <f t="shared" si="199"/>
        <v>4.86836993874197</v>
      </c>
      <c r="N1295" s="39">
        <f t="shared" si="202"/>
        <v>0.000401929260450161</v>
      </c>
      <c r="O1295" s="675">
        <f t="shared" si="203"/>
        <v>55.775</v>
      </c>
      <c r="P1295">
        <f t="shared" si="204"/>
        <v>30</v>
      </c>
      <c r="Q1295" s="842">
        <f t="shared" si="205"/>
        <v>0.0120578778135048</v>
      </c>
    </row>
    <row r="1296" spans="1:17">
      <c r="A1296" s="801">
        <v>46044</v>
      </c>
      <c r="B1296" s="670">
        <v>1643.28</v>
      </c>
      <c r="C1296" s="671">
        <v>88720</v>
      </c>
      <c r="D1296" s="37">
        <v>2301</v>
      </c>
      <c r="E1296" s="37">
        <v>1</v>
      </c>
      <c r="F1296" s="670">
        <v>12794</v>
      </c>
      <c r="G1296" s="37">
        <v>27</v>
      </c>
      <c r="H1296" s="37">
        <v>13</v>
      </c>
      <c r="I1296" s="37">
        <v>6</v>
      </c>
      <c r="J1296" s="672">
        <f t="shared" si="200"/>
        <v>0.0259355275022543</v>
      </c>
      <c r="K1296" s="673">
        <f t="shared" si="201"/>
        <v>0.714159061277705</v>
      </c>
      <c r="L1296" s="809">
        <f t="shared" si="206"/>
        <v>18.522091974752</v>
      </c>
      <c r="M1296" s="839">
        <f t="shared" si="199"/>
        <v>7.78564821576359</v>
      </c>
      <c r="N1296" s="39">
        <f t="shared" si="202"/>
        <v>0.000434593654932638</v>
      </c>
      <c r="O1296" s="675">
        <f t="shared" si="203"/>
        <v>41.082</v>
      </c>
      <c r="P1296">
        <f t="shared" si="204"/>
        <v>40</v>
      </c>
      <c r="Q1296" s="842">
        <f t="shared" si="205"/>
        <v>0.0173837461973055</v>
      </c>
    </row>
    <row r="1297" spans="1:17">
      <c r="A1297" s="801">
        <v>46045</v>
      </c>
      <c r="B1297" s="670">
        <v>1675.48</v>
      </c>
      <c r="C1297" s="671">
        <v>183278</v>
      </c>
      <c r="D1297" s="37">
        <v>3933</v>
      </c>
      <c r="E1297" s="37">
        <v>3</v>
      </c>
      <c r="F1297" s="670">
        <v>20044</v>
      </c>
      <c r="G1297" s="37">
        <v>24</v>
      </c>
      <c r="H1297" s="37">
        <v>9</v>
      </c>
      <c r="I1297" s="37">
        <v>3</v>
      </c>
      <c r="J1297" s="672">
        <f t="shared" si="200"/>
        <v>0.0214592040506771</v>
      </c>
      <c r="K1297" s="673">
        <f t="shared" si="201"/>
        <v>0.426005593694381</v>
      </c>
      <c r="L1297" s="809">
        <f t="shared" si="206"/>
        <v>9.14174096181757</v>
      </c>
      <c r="M1297" s="839">
        <f t="shared" si="199"/>
        <v>11.9631389213837</v>
      </c>
      <c r="N1297" s="39">
        <f t="shared" si="202"/>
        <v>0.0007627765064836</v>
      </c>
      <c r="O1297" s="675">
        <f t="shared" si="203"/>
        <v>50.7721212121212</v>
      </c>
      <c r="P1297">
        <f t="shared" si="204"/>
        <v>33</v>
      </c>
      <c r="Q1297" s="842">
        <f t="shared" si="205"/>
        <v>0.0083905415713196</v>
      </c>
    </row>
    <row r="1298" spans="1:17">
      <c r="A1298" s="801">
        <v>46046</v>
      </c>
      <c r="B1298" s="670">
        <v>1669.93</v>
      </c>
      <c r="C1298" s="671">
        <v>197232</v>
      </c>
      <c r="D1298" s="37">
        <v>3479</v>
      </c>
      <c r="E1298" s="37">
        <v>0</v>
      </c>
      <c r="F1298" s="670">
        <v>0</v>
      </c>
      <c r="G1298" s="37">
        <v>36</v>
      </c>
      <c r="H1298" s="37">
        <v>24</v>
      </c>
      <c r="I1298" s="37">
        <v>2</v>
      </c>
      <c r="J1298" s="672">
        <f t="shared" si="200"/>
        <v>0.0176391254968768</v>
      </c>
      <c r="K1298" s="673">
        <f t="shared" si="201"/>
        <v>0.480002874389192</v>
      </c>
      <c r="L1298" s="809">
        <f t="shared" si="206"/>
        <v>8.46683094021254</v>
      </c>
      <c r="M1298" s="839">
        <f t="shared" si="199"/>
        <v>0</v>
      </c>
      <c r="N1298" s="39">
        <f t="shared" si="202"/>
        <v>0</v>
      </c>
      <c r="O1298" s="675">
        <f t="shared" si="203"/>
        <v>27.8321666666667</v>
      </c>
      <c r="P1298">
        <f t="shared" si="204"/>
        <v>60</v>
      </c>
      <c r="Q1298" s="842">
        <f t="shared" si="205"/>
        <v>0.0172463351537798</v>
      </c>
    </row>
    <row r="1299" spans="1:17">
      <c r="A1299" s="801">
        <v>46047</v>
      </c>
      <c r="B1299" s="670">
        <v>1693.1</v>
      </c>
      <c r="C1299" s="671">
        <v>79964</v>
      </c>
      <c r="D1299" s="37">
        <v>2569</v>
      </c>
      <c r="E1299" s="37">
        <v>2</v>
      </c>
      <c r="F1299" s="670">
        <v>19916</v>
      </c>
      <c r="G1299" s="37">
        <v>39</v>
      </c>
      <c r="H1299" s="37">
        <v>27</v>
      </c>
      <c r="I1299" s="37">
        <v>2</v>
      </c>
      <c r="J1299" s="672">
        <f t="shared" si="200"/>
        <v>0.0321269571307088</v>
      </c>
      <c r="K1299" s="673">
        <f t="shared" si="201"/>
        <v>0.659050214091086</v>
      </c>
      <c r="L1299" s="809">
        <f t="shared" si="206"/>
        <v>21.1732779750888</v>
      </c>
      <c r="M1299" s="839">
        <f t="shared" si="199"/>
        <v>11.7630382139271</v>
      </c>
      <c r="N1299" s="39">
        <f t="shared" si="202"/>
        <v>0.000778513040093422</v>
      </c>
      <c r="O1299" s="675">
        <f t="shared" si="203"/>
        <v>25.6530303030303</v>
      </c>
      <c r="P1299">
        <f t="shared" si="204"/>
        <v>66</v>
      </c>
      <c r="Q1299" s="842">
        <f t="shared" si="205"/>
        <v>0.0256909303230829</v>
      </c>
    </row>
    <row r="1300" spans="1:17">
      <c r="A1300" s="801">
        <v>46048</v>
      </c>
      <c r="B1300" s="670">
        <v>1526.45</v>
      </c>
      <c r="C1300" s="671">
        <v>93404</v>
      </c>
      <c r="D1300" s="37">
        <v>2387</v>
      </c>
      <c r="E1300" s="37">
        <v>1</v>
      </c>
      <c r="F1300" s="670">
        <v>10394</v>
      </c>
      <c r="G1300" s="37">
        <v>34</v>
      </c>
      <c r="H1300" s="37">
        <v>10</v>
      </c>
      <c r="I1300" s="37">
        <v>2</v>
      </c>
      <c r="J1300" s="672">
        <f t="shared" si="200"/>
        <v>0.0255556507215965</v>
      </c>
      <c r="K1300" s="673">
        <f t="shared" si="201"/>
        <v>0.639484708839548</v>
      </c>
      <c r="L1300" s="809">
        <f t="shared" si="206"/>
        <v>16.3424478609053</v>
      </c>
      <c r="M1300" s="839">
        <f t="shared" si="199"/>
        <v>6.80926332339742</v>
      </c>
      <c r="N1300" s="39">
        <f t="shared" si="202"/>
        <v>0.000418935902806871</v>
      </c>
      <c r="O1300" s="675">
        <f t="shared" si="203"/>
        <v>34.6920454545455</v>
      </c>
      <c r="P1300">
        <f t="shared" si="204"/>
        <v>44</v>
      </c>
      <c r="Q1300" s="842">
        <f t="shared" si="205"/>
        <v>0.0184331797235023</v>
      </c>
    </row>
    <row r="1301" spans="1:17">
      <c r="A1301" s="801">
        <v>46049</v>
      </c>
      <c r="B1301" s="670">
        <v>1890.45</v>
      </c>
      <c r="C1301" s="671">
        <v>130222</v>
      </c>
      <c r="D1301" s="37">
        <v>2115</v>
      </c>
      <c r="E1301" s="37">
        <v>3</v>
      </c>
      <c r="F1301" s="670">
        <v>39001</v>
      </c>
      <c r="G1301" s="37">
        <v>28</v>
      </c>
      <c r="H1301" s="37">
        <v>7</v>
      </c>
      <c r="I1301" s="37">
        <v>2</v>
      </c>
      <c r="J1301" s="672">
        <f t="shared" si="200"/>
        <v>0.0162414952926541</v>
      </c>
      <c r="K1301" s="673">
        <f t="shared" si="201"/>
        <v>0.893829787234043</v>
      </c>
      <c r="L1301" s="809">
        <f t="shared" si="206"/>
        <v>14.5171322817957</v>
      </c>
      <c r="M1301" s="839">
        <f t="shared" si="199"/>
        <v>20.6305377026634</v>
      </c>
      <c r="N1301" s="39">
        <f t="shared" si="202"/>
        <v>0.00141843971631206</v>
      </c>
      <c r="O1301" s="675">
        <f t="shared" si="203"/>
        <v>54.0128571428571</v>
      </c>
      <c r="P1301">
        <f t="shared" si="204"/>
        <v>35</v>
      </c>
      <c r="Q1301" s="842">
        <f t="shared" si="205"/>
        <v>0.016548463356974</v>
      </c>
    </row>
    <row r="1302" spans="1:17">
      <c r="A1302" s="801">
        <v>46050</v>
      </c>
      <c r="B1302" s="670">
        <v>2209.59</v>
      </c>
      <c r="C1302" s="671">
        <v>98172</v>
      </c>
      <c r="D1302" s="37">
        <v>1411</v>
      </c>
      <c r="E1302" s="37">
        <v>4</v>
      </c>
      <c r="F1302" s="670">
        <v>28489</v>
      </c>
      <c r="G1302" s="37">
        <v>21</v>
      </c>
      <c r="H1302" s="37">
        <v>19</v>
      </c>
      <c r="I1302" s="37">
        <v>2</v>
      </c>
      <c r="J1302" s="672">
        <f t="shared" si="200"/>
        <v>0.0143727335696533</v>
      </c>
      <c r="K1302" s="673">
        <f t="shared" si="201"/>
        <v>1.56597448618001</v>
      </c>
      <c r="L1302" s="809">
        <f t="shared" si="206"/>
        <v>22.50733406674</v>
      </c>
      <c r="M1302" s="839">
        <f t="shared" ref="M1302:M1365" si="207">F1302/B1302</f>
        <v>12.8933422037573</v>
      </c>
      <c r="N1302" s="39">
        <f t="shared" si="202"/>
        <v>0.00283486888731396</v>
      </c>
      <c r="O1302" s="675">
        <f t="shared" si="203"/>
        <v>55.23975</v>
      </c>
      <c r="P1302">
        <f t="shared" si="204"/>
        <v>40</v>
      </c>
      <c r="Q1302" s="842">
        <f t="shared" si="205"/>
        <v>0.0283486888731396</v>
      </c>
    </row>
    <row r="1303" spans="1:17">
      <c r="A1303" s="801">
        <v>46051</v>
      </c>
      <c r="B1303" s="670">
        <v>1782.95</v>
      </c>
      <c r="C1303" s="671">
        <v>84129</v>
      </c>
      <c r="D1303" s="37">
        <v>1354</v>
      </c>
      <c r="E1303" s="37">
        <v>1</v>
      </c>
      <c r="F1303" s="670">
        <v>9744</v>
      </c>
      <c r="G1303" s="37">
        <v>19</v>
      </c>
      <c r="H1303" s="37">
        <v>11</v>
      </c>
      <c r="I1303" s="37">
        <v>7</v>
      </c>
      <c r="J1303" s="672">
        <f t="shared" si="200"/>
        <v>0.0160943313245135</v>
      </c>
      <c r="K1303" s="673">
        <f t="shared" si="201"/>
        <v>1.31680206794682</v>
      </c>
      <c r="L1303" s="809">
        <f t="shared" si="206"/>
        <v>21.1930487703408</v>
      </c>
      <c r="M1303" s="839">
        <f t="shared" si="207"/>
        <v>5.46509997476093</v>
      </c>
      <c r="N1303" s="39">
        <f t="shared" si="202"/>
        <v>0.000738552437223043</v>
      </c>
      <c r="O1303" s="675">
        <f t="shared" si="203"/>
        <v>59.4316666666667</v>
      </c>
      <c r="P1303">
        <f t="shared" si="204"/>
        <v>30</v>
      </c>
      <c r="Q1303" s="842">
        <f t="shared" si="205"/>
        <v>0.0221565731166913</v>
      </c>
    </row>
    <row r="1304" spans="1:17">
      <c r="A1304" s="801">
        <v>46052</v>
      </c>
      <c r="B1304" s="670">
        <v>1787.6</v>
      </c>
      <c r="C1304" s="671">
        <v>45903</v>
      </c>
      <c r="D1304" s="37">
        <v>955</v>
      </c>
      <c r="E1304" s="37">
        <v>2</v>
      </c>
      <c r="F1304" s="670">
        <v>26582</v>
      </c>
      <c r="G1304" s="37">
        <v>27</v>
      </c>
      <c r="H1304" s="37">
        <v>5</v>
      </c>
      <c r="I1304" s="37">
        <v>2</v>
      </c>
      <c r="J1304" s="672">
        <f t="shared" si="200"/>
        <v>0.0208047404309087</v>
      </c>
      <c r="K1304" s="673">
        <f t="shared" si="201"/>
        <v>1.87183246073298</v>
      </c>
      <c r="L1304" s="809">
        <f t="shared" si="206"/>
        <v>38.9429884756988</v>
      </c>
      <c r="M1304" s="839">
        <f t="shared" si="207"/>
        <v>14.8702170507944</v>
      </c>
      <c r="N1304" s="39">
        <f t="shared" si="202"/>
        <v>0.00209424083769634</v>
      </c>
      <c r="O1304" s="675">
        <f t="shared" si="203"/>
        <v>55.8625</v>
      </c>
      <c r="P1304">
        <f t="shared" si="204"/>
        <v>32</v>
      </c>
      <c r="Q1304" s="842">
        <f t="shared" si="205"/>
        <v>0.0335078534031414</v>
      </c>
    </row>
    <row r="1305" spans="1:17">
      <c r="A1305" s="801">
        <v>46053</v>
      </c>
      <c r="B1305" s="670">
        <v>1770.87</v>
      </c>
      <c r="C1305" s="671">
        <v>35722</v>
      </c>
      <c r="D1305" s="37">
        <v>954</v>
      </c>
      <c r="E1305" s="37">
        <v>0</v>
      </c>
      <c r="F1305" s="670">
        <v>0</v>
      </c>
      <c r="G1305" s="37">
        <v>10</v>
      </c>
      <c r="H1305" s="37">
        <v>7</v>
      </c>
      <c r="I1305" s="37">
        <v>1</v>
      </c>
      <c r="J1305" s="672">
        <f t="shared" si="200"/>
        <v>0.0267062314540059</v>
      </c>
      <c r="K1305" s="673">
        <f t="shared" si="201"/>
        <v>1.85625786163522</v>
      </c>
      <c r="L1305" s="809">
        <f t="shared" si="206"/>
        <v>49.5736520911483</v>
      </c>
      <c r="M1305" s="839">
        <f t="shared" si="207"/>
        <v>0</v>
      </c>
      <c r="N1305" s="39">
        <f t="shared" si="202"/>
        <v>0</v>
      </c>
      <c r="O1305" s="675">
        <f t="shared" si="203"/>
        <v>104.168823529412</v>
      </c>
      <c r="P1305">
        <f t="shared" si="204"/>
        <v>17</v>
      </c>
      <c r="Q1305" s="842">
        <f t="shared" si="205"/>
        <v>0.0178197064989518</v>
      </c>
    </row>
    <row r="1306" spans="1:17">
      <c r="A1306" s="801">
        <v>46054</v>
      </c>
      <c r="B1306" s="670">
        <v>1776.51</v>
      </c>
      <c r="C1306" s="671">
        <v>40952</v>
      </c>
      <c r="D1306" s="37">
        <v>931</v>
      </c>
      <c r="E1306" s="37">
        <v>0</v>
      </c>
      <c r="F1306" s="670">
        <v>0</v>
      </c>
      <c r="G1306" s="37">
        <v>14</v>
      </c>
      <c r="H1306" s="37">
        <v>7</v>
      </c>
      <c r="I1306" s="37">
        <v>4</v>
      </c>
      <c r="J1306" s="672">
        <f t="shared" ref="J1306:J1369" si="208">D1306/C1306</f>
        <v>0.0227339324086736</v>
      </c>
      <c r="K1306" s="673">
        <f t="shared" ref="K1306:K1369" si="209">B1306/D1306</f>
        <v>1.90817400644468</v>
      </c>
      <c r="L1306" s="809">
        <f t="shared" si="206"/>
        <v>43.3802988865013</v>
      </c>
      <c r="M1306" s="839">
        <f t="shared" si="207"/>
        <v>0</v>
      </c>
      <c r="N1306" s="39">
        <f t="shared" ref="N1306:N1369" si="210">E1306/D1306</f>
        <v>0</v>
      </c>
      <c r="O1306" s="675">
        <f t="shared" ref="O1306:O1369" si="211">B1306/(G1306+H1306)</f>
        <v>84.5957142857143</v>
      </c>
      <c r="P1306">
        <f t="shared" ref="P1306:P1369" si="212">G1306+H1306</f>
        <v>21</v>
      </c>
      <c r="Q1306" s="842">
        <f t="shared" ref="Q1306:Q1369" si="213">P1306/D1306</f>
        <v>0.0225563909774436</v>
      </c>
    </row>
    <row r="1307" spans="1:17">
      <c r="A1307" s="801">
        <v>46055</v>
      </c>
      <c r="B1307" s="670">
        <v>1779.22</v>
      </c>
      <c r="C1307" s="671">
        <v>37659</v>
      </c>
      <c r="D1307" s="37">
        <v>933</v>
      </c>
      <c r="E1307" s="37">
        <v>1</v>
      </c>
      <c r="F1307" s="670">
        <v>9686</v>
      </c>
      <c r="G1307" s="37">
        <v>21</v>
      </c>
      <c r="H1307" s="37">
        <v>0</v>
      </c>
      <c r="I1307" s="37">
        <v>1</v>
      </c>
      <c r="J1307" s="672">
        <f t="shared" si="208"/>
        <v>0.0247749541942165</v>
      </c>
      <c r="K1307" s="673">
        <f t="shared" si="209"/>
        <v>1.90698821007503</v>
      </c>
      <c r="L1307" s="809">
        <f t="shared" si="206"/>
        <v>47.2455455535197</v>
      </c>
      <c r="M1307" s="839">
        <f t="shared" si="207"/>
        <v>5.443958588595</v>
      </c>
      <c r="N1307" s="39">
        <f t="shared" si="210"/>
        <v>0.00107181136120043</v>
      </c>
      <c r="O1307" s="675">
        <f t="shared" si="211"/>
        <v>84.7247619047619</v>
      </c>
      <c r="P1307">
        <f t="shared" si="212"/>
        <v>21</v>
      </c>
      <c r="Q1307" s="842">
        <f t="shared" si="213"/>
        <v>0.022508038585209</v>
      </c>
    </row>
    <row r="1308" spans="1:17">
      <c r="A1308" s="801">
        <v>46056</v>
      </c>
      <c r="B1308" s="670">
        <v>1765.07</v>
      </c>
      <c r="C1308" s="671">
        <v>37875</v>
      </c>
      <c r="D1308" s="37">
        <v>889</v>
      </c>
      <c r="E1308" s="37">
        <v>5</v>
      </c>
      <c r="F1308" s="670">
        <v>67725</v>
      </c>
      <c r="G1308" s="37">
        <v>20</v>
      </c>
      <c r="H1308" s="37">
        <v>11</v>
      </c>
      <c r="I1308" s="37">
        <v>1</v>
      </c>
      <c r="J1308" s="672">
        <f t="shared" si="208"/>
        <v>0.0234719471947195</v>
      </c>
      <c r="K1308" s="673">
        <f t="shared" si="209"/>
        <v>1.98545556805399</v>
      </c>
      <c r="L1308" s="809">
        <f t="shared" si="206"/>
        <v>46.6025082508251</v>
      </c>
      <c r="M1308" s="839">
        <f t="shared" si="207"/>
        <v>38.3695830760253</v>
      </c>
      <c r="N1308" s="39">
        <f t="shared" si="210"/>
        <v>0.00562429696287964</v>
      </c>
      <c r="O1308" s="675">
        <f t="shared" si="211"/>
        <v>56.9377419354839</v>
      </c>
      <c r="P1308">
        <f t="shared" si="212"/>
        <v>31</v>
      </c>
      <c r="Q1308" s="842">
        <f t="shared" si="213"/>
        <v>0.0348706411698538</v>
      </c>
    </row>
    <row r="1309" spans="1:17">
      <c r="A1309" s="801">
        <v>46057</v>
      </c>
      <c r="B1309" s="670">
        <v>1535.7</v>
      </c>
      <c r="C1309" s="671">
        <v>36876</v>
      </c>
      <c r="D1309" s="37">
        <v>892</v>
      </c>
      <c r="E1309" s="37">
        <v>3</v>
      </c>
      <c r="F1309" s="670">
        <v>51054</v>
      </c>
      <c r="G1309" s="37">
        <v>37</v>
      </c>
      <c r="H1309" s="37">
        <v>32</v>
      </c>
      <c r="I1309" s="37">
        <v>1</v>
      </c>
      <c r="J1309" s="672">
        <f t="shared" si="208"/>
        <v>0.0241891745308602</v>
      </c>
      <c r="K1309" s="673">
        <f t="shared" si="209"/>
        <v>1.72163677130045</v>
      </c>
      <c r="L1309" s="809">
        <f t="shared" si="206"/>
        <v>41.6449723397332</v>
      </c>
      <c r="M1309" s="839">
        <f t="shared" si="207"/>
        <v>33.2447743699941</v>
      </c>
      <c r="N1309" s="39">
        <f t="shared" si="210"/>
        <v>0.00336322869955157</v>
      </c>
      <c r="O1309" s="675">
        <f t="shared" si="211"/>
        <v>22.2565217391304</v>
      </c>
      <c r="P1309">
        <f t="shared" si="212"/>
        <v>69</v>
      </c>
      <c r="Q1309" s="842">
        <f t="shared" si="213"/>
        <v>0.0773542600896861</v>
      </c>
    </row>
    <row r="1310" spans="1:17">
      <c r="A1310" s="801">
        <v>46058</v>
      </c>
      <c r="B1310" s="670">
        <v>1529.38</v>
      </c>
      <c r="C1310" s="671">
        <v>36413</v>
      </c>
      <c r="D1310" s="37">
        <v>886</v>
      </c>
      <c r="E1310" s="37">
        <v>1</v>
      </c>
      <c r="F1310" s="670">
        <v>9027</v>
      </c>
      <c r="G1310" s="37">
        <v>35</v>
      </c>
      <c r="H1310" s="37">
        <v>42</v>
      </c>
      <c r="I1310" s="37">
        <v>3</v>
      </c>
      <c r="J1310" s="672">
        <f t="shared" si="208"/>
        <v>0.0243319693516052</v>
      </c>
      <c r="K1310" s="673">
        <f t="shared" si="209"/>
        <v>1.7261625282167</v>
      </c>
      <c r="L1310" s="809">
        <f t="shared" si="206"/>
        <v>42.0009337324582</v>
      </c>
      <c r="M1310" s="839">
        <f t="shared" si="207"/>
        <v>5.90239181890701</v>
      </c>
      <c r="N1310" s="39">
        <f t="shared" si="210"/>
        <v>0.00112866817155756</v>
      </c>
      <c r="O1310" s="675">
        <f t="shared" si="211"/>
        <v>19.8620779220779</v>
      </c>
      <c r="P1310">
        <f t="shared" si="212"/>
        <v>77</v>
      </c>
      <c r="Q1310" s="842">
        <f t="shared" si="213"/>
        <v>0.0869074492099323</v>
      </c>
    </row>
    <row r="1311" spans="1:17">
      <c r="A1311" s="801">
        <v>46059</v>
      </c>
      <c r="B1311" s="670">
        <v>1720.13</v>
      </c>
      <c r="C1311" s="671">
        <v>40960</v>
      </c>
      <c r="D1311" s="37">
        <v>816</v>
      </c>
      <c r="E1311" s="37">
        <v>2</v>
      </c>
      <c r="F1311" s="670">
        <v>19992</v>
      </c>
      <c r="G1311" s="37">
        <v>25</v>
      </c>
      <c r="H1311" s="37">
        <v>15</v>
      </c>
      <c r="I1311" s="37">
        <v>1</v>
      </c>
      <c r="J1311" s="672">
        <f t="shared" si="208"/>
        <v>0.019921875</v>
      </c>
      <c r="K1311" s="673">
        <f t="shared" si="209"/>
        <v>2.10800245098039</v>
      </c>
      <c r="L1311" s="809">
        <f t="shared" si="206"/>
        <v>41.995361328125</v>
      </c>
      <c r="M1311" s="839">
        <f t="shared" si="207"/>
        <v>11.622377378454</v>
      </c>
      <c r="N1311" s="39">
        <f t="shared" si="210"/>
        <v>0.00245098039215686</v>
      </c>
      <c r="O1311" s="675">
        <f t="shared" si="211"/>
        <v>43.00325</v>
      </c>
      <c r="P1311">
        <f t="shared" si="212"/>
        <v>40</v>
      </c>
      <c r="Q1311" s="842">
        <f t="shared" si="213"/>
        <v>0.0490196078431373</v>
      </c>
    </row>
    <row r="1312" spans="1:17">
      <c r="A1312" s="801">
        <v>46060</v>
      </c>
      <c r="B1312" s="670">
        <v>1781.16</v>
      </c>
      <c r="C1312" s="671">
        <v>39111</v>
      </c>
      <c r="D1312" s="37">
        <v>777</v>
      </c>
      <c r="E1312" s="37">
        <v>1</v>
      </c>
      <c r="F1312" s="670">
        <v>19076</v>
      </c>
      <c r="G1312" s="37">
        <v>30</v>
      </c>
      <c r="H1312" s="37">
        <v>9</v>
      </c>
      <c r="I1312" s="37">
        <v>1</v>
      </c>
      <c r="J1312" s="672">
        <f t="shared" si="208"/>
        <v>0.0198665337117435</v>
      </c>
      <c r="K1312" s="673">
        <f t="shared" si="209"/>
        <v>2.29235521235521</v>
      </c>
      <c r="L1312" s="809">
        <f t="shared" si="206"/>
        <v>45.5411521055458</v>
      </c>
      <c r="M1312" s="839">
        <f t="shared" si="207"/>
        <v>10.7098744638326</v>
      </c>
      <c r="N1312" s="39">
        <f t="shared" si="210"/>
        <v>0.00128700128700129</v>
      </c>
      <c r="O1312" s="675">
        <f t="shared" si="211"/>
        <v>45.6707692307692</v>
      </c>
      <c r="P1312">
        <f t="shared" si="212"/>
        <v>39</v>
      </c>
      <c r="Q1312" s="842">
        <f t="shared" si="213"/>
        <v>0.0501930501930502</v>
      </c>
    </row>
    <row r="1313" spans="1:17">
      <c r="A1313" s="801">
        <v>46061</v>
      </c>
      <c r="B1313" s="670">
        <v>1769.71</v>
      </c>
      <c r="C1313" s="671">
        <v>34003</v>
      </c>
      <c r="D1313" s="37">
        <v>776</v>
      </c>
      <c r="E1313" s="37">
        <v>7</v>
      </c>
      <c r="F1313" s="670">
        <v>65886</v>
      </c>
      <c r="G1313" s="37">
        <v>20</v>
      </c>
      <c r="H1313" s="37">
        <v>1</v>
      </c>
      <c r="I1313" s="37">
        <v>0</v>
      </c>
      <c r="J1313" s="672">
        <f t="shared" si="208"/>
        <v>0.0228215157486104</v>
      </c>
      <c r="K1313" s="673">
        <f t="shared" si="209"/>
        <v>2.28055412371134</v>
      </c>
      <c r="L1313" s="809">
        <f t="shared" si="206"/>
        <v>52.0457018498368</v>
      </c>
      <c r="M1313" s="839">
        <f t="shared" si="207"/>
        <v>37.2298286159879</v>
      </c>
      <c r="N1313" s="39">
        <f t="shared" si="210"/>
        <v>0.00902061855670103</v>
      </c>
      <c r="O1313" s="675">
        <f t="shared" si="211"/>
        <v>84.2719047619048</v>
      </c>
      <c r="P1313">
        <f t="shared" si="212"/>
        <v>21</v>
      </c>
      <c r="Q1313" s="842">
        <f t="shared" si="213"/>
        <v>0.0270618556701031</v>
      </c>
    </row>
    <row r="1314" spans="1:17">
      <c r="A1314" s="801">
        <v>46062</v>
      </c>
      <c r="B1314" s="670">
        <v>1767.97</v>
      </c>
      <c r="C1314" s="671">
        <v>46265</v>
      </c>
      <c r="D1314" s="37">
        <v>876</v>
      </c>
      <c r="E1314" s="37">
        <v>0</v>
      </c>
      <c r="F1314" s="670">
        <v>0</v>
      </c>
      <c r="G1314" s="37">
        <v>17</v>
      </c>
      <c r="H1314" s="37">
        <v>3</v>
      </c>
      <c r="I1314" s="37">
        <v>0</v>
      </c>
      <c r="J1314" s="672">
        <f t="shared" si="208"/>
        <v>0.0189343996541662</v>
      </c>
      <c r="K1314" s="673">
        <f t="shared" si="209"/>
        <v>2.01823059360731</v>
      </c>
      <c r="L1314" s="809">
        <f t="shared" ref="L1314:L1377" si="214">B1314/C1314*1000</f>
        <v>38.2139846536259</v>
      </c>
      <c r="M1314" s="839">
        <f t="shared" si="207"/>
        <v>0</v>
      </c>
      <c r="N1314" s="39">
        <f t="shared" si="210"/>
        <v>0</v>
      </c>
      <c r="O1314" s="675">
        <f t="shared" si="211"/>
        <v>88.3985</v>
      </c>
      <c r="P1314">
        <f t="shared" si="212"/>
        <v>20</v>
      </c>
      <c r="Q1314" s="842">
        <f t="shared" si="213"/>
        <v>0.0228310502283105</v>
      </c>
    </row>
    <row r="1315" spans="1:17">
      <c r="A1315" s="801">
        <v>46063</v>
      </c>
      <c r="B1315" s="670">
        <v>1262.17</v>
      </c>
      <c r="C1315" s="671">
        <v>43396</v>
      </c>
      <c r="D1315" s="37">
        <v>827</v>
      </c>
      <c r="E1315" s="37">
        <v>0</v>
      </c>
      <c r="F1315" s="670">
        <v>0</v>
      </c>
      <c r="G1315" s="37">
        <v>13</v>
      </c>
      <c r="H1315" s="37">
        <v>10</v>
      </c>
      <c r="I1315" s="37">
        <v>3</v>
      </c>
      <c r="J1315" s="672">
        <f t="shared" si="208"/>
        <v>0.0190570559498571</v>
      </c>
      <c r="K1315" s="673">
        <f t="shared" si="209"/>
        <v>1.52620314389359</v>
      </c>
      <c r="L1315" s="809">
        <f t="shared" si="214"/>
        <v>29.084938704028</v>
      </c>
      <c r="M1315" s="839">
        <f t="shared" si="207"/>
        <v>0</v>
      </c>
      <c r="N1315" s="39">
        <f t="shared" si="210"/>
        <v>0</v>
      </c>
      <c r="O1315" s="675">
        <f t="shared" si="211"/>
        <v>54.8769565217391</v>
      </c>
      <c r="P1315">
        <f t="shared" si="212"/>
        <v>23</v>
      </c>
      <c r="Q1315" s="842">
        <f t="shared" si="213"/>
        <v>0.0278113663845224</v>
      </c>
    </row>
    <row r="1316" spans="1:17">
      <c r="A1316" s="801">
        <v>46064</v>
      </c>
      <c r="B1316" s="670">
        <v>1187.28</v>
      </c>
      <c r="C1316" s="671">
        <v>38309</v>
      </c>
      <c r="D1316" s="37">
        <v>1150</v>
      </c>
      <c r="E1316" s="37">
        <v>4</v>
      </c>
      <c r="F1316" s="670">
        <v>74538</v>
      </c>
      <c r="G1316" s="37">
        <v>17</v>
      </c>
      <c r="H1316" s="37">
        <v>33</v>
      </c>
      <c r="I1316" s="37">
        <v>3</v>
      </c>
      <c r="J1316" s="672">
        <f t="shared" si="208"/>
        <v>0.0300190555744081</v>
      </c>
      <c r="K1316" s="673">
        <f t="shared" si="209"/>
        <v>1.03241739130435</v>
      </c>
      <c r="L1316" s="809">
        <f t="shared" si="214"/>
        <v>30.9921950455507</v>
      </c>
      <c r="M1316" s="839">
        <f t="shared" si="207"/>
        <v>62.7804730139478</v>
      </c>
      <c r="N1316" s="39">
        <f t="shared" si="210"/>
        <v>0.00347826086956522</v>
      </c>
      <c r="O1316" s="675">
        <f t="shared" si="211"/>
        <v>23.7456</v>
      </c>
      <c r="P1316">
        <f t="shared" si="212"/>
        <v>50</v>
      </c>
      <c r="Q1316" s="842">
        <f t="shared" si="213"/>
        <v>0.0434782608695652</v>
      </c>
    </row>
    <row r="1317" spans="1:17">
      <c r="A1317" s="801">
        <v>46065</v>
      </c>
      <c r="B1317" s="670">
        <v>1194.73</v>
      </c>
      <c r="C1317" s="671">
        <v>48760</v>
      </c>
      <c r="D1317" s="37">
        <v>1614</v>
      </c>
      <c r="E1317" s="37">
        <v>0</v>
      </c>
      <c r="F1317" s="670">
        <v>0</v>
      </c>
      <c r="G1317" s="37">
        <v>15</v>
      </c>
      <c r="H1317" s="37">
        <v>43</v>
      </c>
      <c r="I1317" s="37">
        <v>4</v>
      </c>
      <c r="J1317" s="672">
        <f t="shared" si="208"/>
        <v>0.0331009023789992</v>
      </c>
      <c r="K1317" s="673">
        <f t="shared" si="209"/>
        <v>0.740229244114002</v>
      </c>
      <c r="L1317" s="809">
        <f t="shared" si="214"/>
        <v>24.502255947498</v>
      </c>
      <c r="M1317" s="839">
        <f t="shared" si="207"/>
        <v>0</v>
      </c>
      <c r="N1317" s="39">
        <f t="shared" si="210"/>
        <v>0</v>
      </c>
      <c r="O1317" s="675">
        <f t="shared" si="211"/>
        <v>20.5987931034483</v>
      </c>
      <c r="P1317">
        <f t="shared" si="212"/>
        <v>58</v>
      </c>
      <c r="Q1317" s="842">
        <f t="shared" si="213"/>
        <v>0.0359355638166047</v>
      </c>
    </row>
    <row r="1318" spans="1:17">
      <c r="A1318" s="801">
        <v>46066</v>
      </c>
      <c r="B1318" s="670">
        <v>718.75</v>
      </c>
      <c r="C1318" s="671">
        <v>28810</v>
      </c>
      <c r="D1318" s="37">
        <v>915</v>
      </c>
      <c r="E1318" s="37">
        <v>0</v>
      </c>
      <c r="F1318" s="670">
        <v>0</v>
      </c>
      <c r="G1318" s="37">
        <v>12</v>
      </c>
      <c r="H1318" s="37">
        <v>15</v>
      </c>
      <c r="I1318" s="37">
        <v>1</v>
      </c>
      <c r="J1318" s="672">
        <f t="shared" si="208"/>
        <v>0.0317598056230476</v>
      </c>
      <c r="K1318" s="673">
        <f t="shared" si="209"/>
        <v>0.78551912568306</v>
      </c>
      <c r="L1318" s="809">
        <f t="shared" si="214"/>
        <v>24.9479347448802</v>
      </c>
      <c r="M1318" s="839">
        <f t="shared" si="207"/>
        <v>0</v>
      </c>
      <c r="N1318" s="39">
        <f t="shared" si="210"/>
        <v>0</v>
      </c>
      <c r="O1318" s="675">
        <f t="shared" si="211"/>
        <v>26.6203703703704</v>
      </c>
      <c r="P1318">
        <f t="shared" si="212"/>
        <v>27</v>
      </c>
      <c r="Q1318" s="842">
        <f t="shared" si="213"/>
        <v>0.0295081967213115</v>
      </c>
    </row>
    <row r="1319" spans="1:17">
      <c r="A1319" s="801">
        <v>46067</v>
      </c>
      <c r="B1319" s="670">
        <v>798.52</v>
      </c>
      <c r="C1319" s="671">
        <v>32357</v>
      </c>
      <c r="D1319" s="37">
        <v>1201</v>
      </c>
      <c r="E1319" s="37">
        <v>0</v>
      </c>
      <c r="F1319" s="670">
        <v>0</v>
      </c>
      <c r="G1319" s="37">
        <v>12</v>
      </c>
      <c r="H1319" s="37">
        <v>8</v>
      </c>
      <c r="I1319" s="37">
        <v>0</v>
      </c>
      <c r="J1319" s="672">
        <f t="shared" si="208"/>
        <v>0.0371171616651729</v>
      </c>
      <c r="K1319" s="673">
        <f t="shared" si="209"/>
        <v>0.664879267277269</v>
      </c>
      <c r="L1319" s="809">
        <f t="shared" si="214"/>
        <v>24.6784312513521</v>
      </c>
      <c r="M1319" s="839">
        <f t="shared" si="207"/>
        <v>0</v>
      </c>
      <c r="N1319" s="39">
        <f t="shared" si="210"/>
        <v>0</v>
      </c>
      <c r="O1319" s="675">
        <f t="shared" si="211"/>
        <v>39.926</v>
      </c>
      <c r="P1319">
        <f t="shared" si="212"/>
        <v>20</v>
      </c>
      <c r="Q1319" s="842">
        <f t="shared" si="213"/>
        <v>0.0166527893422148</v>
      </c>
    </row>
    <row r="1320" spans="1:17">
      <c r="A1320" s="801">
        <v>46068</v>
      </c>
      <c r="B1320" s="670">
        <v>799.01</v>
      </c>
      <c r="C1320" s="671">
        <v>32576</v>
      </c>
      <c r="D1320" s="37">
        <v>1470</v>
      </c>
      <c r="E1320" s="37">
        <v>1</v>
      </c>
      <c r="F1320" s="670">
        <v>7524</v>
      </c>
      <c r="G1320" s="37">
        <v>16</v>
      </c>
      <c r="H1320" s="37">
        <v>3</v>
      </c>
      <c r="I1320" s="37">
        <v>0</v>
      </c>
      <c r="J1320" s="672">
        <f t="shared" si="208"/>
        <v>0.0451252455795678</v>
      </c>
      <c r="K1320" s="673">
        <f t="shared" si="209"/>
        <v>0.543544217687075</v>
      </c>
      <c r="L1320" s="809">
        <f t="shared" si="214"/>
        <v>24.5275663064833</v>
      </c>
      <c r="M1320" s="839">
        <f t="shared" si="207"/>
        <v>9.41665310822142</v>
      </c>
      <c r="N1320" s="39">
        <f t="shared" si="210"/>
        <v>0.000680272108843537</v>
      </c>
      <c r="O1320" s="675">
        <f t="shared" si="211"/>
        <v>42.0531578947368</v>
      </c>
      <c r="P1320">
        <f t="shared" si="212"/>
        <v>19</v>
      </c>
      <c r="Q1320" s="842">
        <f t="shared" si="213"/>
        <v>0.0129251700680272</v>
      </c>
    </row>
    <row r="1321" spans="1:17">
      <c r="A1321" s="801">
        <v>46069</v>
      </c>
      <c r="B1321" s="670">
        <v>993.05</v>
      </c>
      <c r="C1321" s="671">
        <v>39331</v>
      </c>
      <c r="D1321" s="37">
        <v>1424</v>
      </c>
      <c r="E1321" s="37">
        <v>0</v>
      </c>
      <c r="F1321" s="670">
        <v>0</v>
      </c>
      <c r="G1321" s="37">
        <v>17</v>
      </c>
      <c r="H1321" s="37">
        <v>7</v>
      </c>
      <c r="I1321" s="37">
        <v>0</v>
      </c>
      <c r="J1321" s="672">
        <f t="shared" si="208"/>
        <v>0.0362055376166383</v>
      </c>
      <c r="K1321" s="673">
        <f t="shared" si="209"/>
        <v>0.697366573033708</v>
      </c>
      <c r="L1321" s="809">
        <f t="shared" si="214"/>
        <v>25.248531692558</v>
      </c>
      <c r="M1321" s="839">
        <f t="shared" si="207"/>
        <v>0</v>
      </c>
      <c r="N1321" s="39">
        <f t="shared" si="210"/>
        <v>0</v>
      </c>
      <c r="O1321" s="675">
        <f t="shared" si="211"/>
        <v>41.3770833333333</v>
      </c>
      <c r="P1321">
        <f t="shared" si="212"/>
        <v>24</v>
      </c>
      <c r="Q1321" s="842">
        <f t="shared" si="213"/>
        <v>0.0168539325842697</v>
      </c>
    </row>
    <row r="1322" spans="1:17">
      <c r="A1322" s="801">
        <v>46070</v>
      </c>
      <c r="B1322" s="670">
        <v>990.14</v>
      </c>
      <c r="C1322" s="671">
        <v>45313</v>
      </c>
      <c r="D1322" s="37">
        <v>1940</v>
      </c>
      <c r="E1322" s="37">
        <v>1</v>
      </c>
      <c r="F1322" s="670">
        <v>6176</v>
      </c>
      <c r="G1322" s="37">
        <v>32</v>
      </c>
      <c r="H1322" s="37">
        <v>27</v>
      </c>
      <c r="I1322" s="37">
        <v>4</v>
      </c>
      <c r="J1322" s="672">
        <f t="shared" si="208"/>
        <v>0.0428133206805994</v>
      </c>
      <c r="K1322" s="673">
        <f t="shared" si="209"/>
        <v>0.510381443298969</v>
      </c>
      <c r="L1322" s="809">
        <f t="shared" si="214"/>
        <v>21.8511244013859</v>
      </c>
      <c r="M1322" s="839">
        <f t="shared" si="207"/>
        <v>6.23750176742683</v>
      </c>
      <c r="N1322" s="39">
        <f t="shared" si="210"/>
        <v>0.000515463917525773</v>
      </c>
      <c r="O1322" s="675">
        <f t="shared" si="211"/>
        <v>16.7820338983051</v>
      </c>
      <c r="P1322">
        <f t="shared" si="212"/>
        <v>59</v>
      </c>
      <c r="Q1322" s="842">
        <f t="shared" si="213"/>
        <v>0.0304123711340206</v>
      </c>
    </row>
    <row r="1323" spans="1:17">
      <c r="A1323" s="801">
        <v>46071</v>
      </c>
      <c r="B1323" s="670">
        <v>991.44</v>
      </c>
      <c r="C1323" s="671">
        <v>48285</v>
      </c>
      <c r="D1323" s="37">
        <v>2294</v>
      </c>
      <c r="E1323" s="37">
        <v>0</v>
      </c>
      <c r="F1323" s="670">
        <v>0</v>
      </c>
      <c r="G1323" s="37">
        <v>29</v>
      </c>
      <c r="H1323" s="37">
        <v>35</v>
      </c>
      <c r="I1323" s="37">
        <v>4</v>
      </c>
      <c r="J1323" s="672">
        <f t="shared" si="208"/>
        <v>0.0475095785440613</v>
      </c>
      <c r="K1323" s="673">
        <f t="shared" si="209"/>
        <v>0.432188317349608</v>
      </c>
      <c r="L1323" s="809">
        <f t="shared" si="214"/>
        <v>20.5330848089469</v>
      </c>
      <c r="M1323" s="839">
        <f t="shared" si="207"/>
        <v>0</v>
      </c>
      <c r="N1323" s="39">
        <f t="shared" si="210"/>
        <v>0</v>
      </c>
      <c r="O1323" s="675">
        <f t="shared" si="211"/>
        <v>15.49125</v>
      </c>
      <c r="P1323">
        <f t="shared" si="212"/>
        <v>64</v>
      </c>
      <c r="Q1323" s="842">
        <f t="shared" si="213"/>
        <v>0.027898866608544</v>
      </c>
    </row>
    <row r="1324" spans="1:17">
      <c r="A1324" s="801">
        <v>46072</v>
      </c>
      <c r="B1324" s="670">
        <v>993.46</v>
      </c>
      <c r="C1324" s="671">
        <v>50606</v>
      </c>
      <c r="D1324" s="37">
        <v>2391</v>
      </c>
      <c r="E1324" s="37">
        <v>0</v>
      </c>
      <c r="F1324" s="670">
        <v>0</v>
      </c>
      <c r="G1324" s="37">
        <v>35</v>
      </c>
      <c r="H1324" s="37">
        <v>22</v>
      </c>
      <c r="I1324" s="37">
        <v>4</v>
      </c>
      <c r="J1324" s="672">
        <f t="shared" si="208"/>
        <v>0.0472473619728886</v>
      </c>
      <c r="K1324" s="673">
        <f t="shared" si="209"/>
        <v>0.415499790882476</v>
      </c>
      <c r="L1324" s="809">
        <f t="shared" si="214"/>
        <v>19.6312690194839</v>
      </c>
      <c r="M1324" s="839">
        <f t="shared" si="207"/>
        <v>0</v>
      </c>
      <c r="N1324" s="39">
        <f t="shared" si="210"/>
        <v>0</v>
      </c>
      <c r="O1324" s="675">
        <f t="shared" si="211"/>
        <v>17.4291228070175</v>
      </c>
      <c r="P1324">
        <f t="shared" si="212"/>
        <v>57</v>
      </c>
      <c r="Q1324" s="842">
        <f t="shared" si="213"/>
        <v>0.0238393977415307</v>
      </c>
    </row>
    <row r="1325" spans="1:17">
      <c r="A1325" s="801">
        <v>46073</v>
      </c>
      <c r="B1325" s="670">
        <v>996.7</v>
      </c>
      <c r="C1325" s="671">
        <v>57223</v>
      </c>
      <c r="D1325" s="37">
        <v>2479</v>
      </c>
      <c r="E1325" s="37">
        <v>0</v>
      </c>
      <c r="F1325" s="670">
        <v>0</v>
      </c>
      <c r="G1325" s="37">
        <v>31</v>
      </c>
      <c r="H1325" s="37">
        <v>12</v>
      </c>
      <c r="I1325" s="37">
        <v>1</v>
      </c>
      <c r="J1325" s="672">
        <f t="shared" si="208"/>
        <v>0.0433217412578858</v>
      </c>
      <c r="K1325" s="673">
        <f t="shared" si="209"/>
        <v>0.402057281161759</v>
      </c>
      <c r="L1325" s="809">
        <f t="shared" si="214"/>
        <v>17.4178215053388</v>
      </c>
      <c r="M1325" s="839">
        <f t="shared" si="207"/>
        <v>0</v>
      </c>
      <c r="N1325" s="39">
        <f t="shared" si="210"/>
        <v>0</v>
      </c>
      <c r="O1325" s="675">
        <f t="shared" si="211"/>
        <v>23.1790697674419</v>
      </c>
      <c r="P1325">
        <f t="shared" si="212"/>
        <v>43</v>
      </c>
      <c r="Q1325" s="842">
        <f t="shared" si="213"/>
        <v>0.0173457039128681</v>
      </c>
    </row>
    <row r="1326" spans="1:17">
      <c r="A1326" s="801">
        <v>46074</v>
      </c>
      <c r="B1326" s="670">
        <v>996.15</v>
      </c>
      <c r="C1326" s="671">
        <v>54435</v>
      </c>
      <c r="D1326" s="37">
        <v>2313</v>
      </c>
      <c r="E1326" s="37">
        <v>0</v>
      </c>
      <c r="F1326" s="670">
        <v>0</v>
      </c>
      <c r="G1326" s="37">
        <v>19</v>
      </c>
      <c r="H1326" s="37">
        <v>6</v>
      </c>
      <c r="I1326" s="37">
        <v>2</v>
      </c>
      <c r="J1326" s="672">
        <f t="shared" si="208"/>
        <v>0.0424910443648388</v>
      </c>
      <c r="K1326" s="673">
        <f t="shared" si="209"/>
        <v>0.430674448767834</v>
      </c>
      <c r="L1326" s="809">
        <f t="shared" si="214"/>
        <v>18.2998071093965</v>
      </c>
      <c r="M1326" s="839">
        <f t="shared" si="207"/>
        <v>0</v>
      </c>
      <c r="N1326" s="39">
        <f t="shared" si="210"/>
        <v>0</v>
      </c>
      <c r="O1326" s="675">
        <f t="shared" si="211"/>
        <v>39.846</v>
      </c>
      <c r="P1326">
        <f t="shared" si="212"/>
        <v>25</v>
      </c>
      <c r="Q1326" s="842">
        <f t="shared" si="213"/>
        <v>0.0108084738434933</v>
      </c>
    </row>
    <row r="1327" spans="1:17">
      <c r="A1327" s="801">
        <v>46075</v>
      </c>
      <c r="B1327" s="670">
        <v>790.35</v>
      </c>
      <c r="C1327" s="671">
        <v>33632</v>
      </c>
      <c r="D1327" s="37">
        <v>1588</v>
      </c>
      <c r="E1327" s="37">
        <v>2</v>
      </c>
      <c r="F1327" s="670">
        <v>25126</v>
      </c>
      <c r="G1327" s="37">
        <v>15</v>
      </c>
      <c r="H1327" s="37">
        <v>8</v>
      </c>
      <c r="I1327" s="37">
        <v>0</v>
      </c>
      <c r="J1327" s="672">
        <f t="shared" si="208"/>
        <v>0.0472169362511893</v>
      </c>
      <c r="K1327" s="673">
        <f t="shared" si="209"/>
        <v>0.497701511335013</v>
      </c>
      <c r="L1327" s="809">
        <f t="shared" si="214"/>
        <v>23.4999405328259</v>
      </c>
      <c r="M1327" s="839">
        <f t="shared" si="207"/>
        <v>31.7909786803315</v>
      </c>
      <c r="N1327" s="39">
        <f t="shared" si="210"/>
        <v>0.00125944584382872</v>
      </c>
      <c r="O1327" s="675">
        <f t="shared" si="211"/>
        <v>34.3630434782609</v>
      </c>
      <c r="P1327">
        <f t="shared" si="212"/>
        <v>23</v>
      </c>
      <c r="Q1327" s="842">
        <f t="shared" si="213"/>
        <v>0.0144836272040302</v>
      </c>
    </row>
    <row r="1328" spans="1:17">
      <c r="A1328" s="801">
        <v>46076</v>
      </c>
      <c r="B1328" s="670">
        <v>797.68</v>
      </c>
      <c r="C1328" s="671">
        <v>42011</v>
      </c>
      <c r="D1328" s="37">
        <v>1809</v>
      </c>
      <c r="E1328" s="37">
        <v>0</v>
      </c>
      <c r="F1328" s="670">
        <v>0</v>
      </c>
      <c r="G1328" s="37">
        <v>23</v>
      </c>
      <c r="H1328" s="37">
        <v>15</v>
      </c>
      <c r="I1328" s="37">
        <v>1</v>
      </c>
      <c r="J1328" s="672">
        <f t="shared" si="208"/>
        <v>0.0430601509128562</v>
      </c>
      <c r="K1328" s="673">
        <f t="shared" si="209"/>
        <v>0.440950801547816</v>
      </c>
      <c r="L1328" s="809">
        <f t="shared" si="214"/>
        <v>18.9874080597939</v>
      </c>
      <c r="M1328" s="839">
        <f t="shared" si="207"/>
        <v>0</v>
      </c>
      <c r="N1328" s="39">
        <f t="shared" si="210"/>
        <v>0</v>
      </c>
      <c r="O1328" s="675">
        <f t="shared" si="211"/>
        <v>20.9915789473684</v>
      </c>
      <c r="P1328">
        <f t="shared" si="212"/>
        <v>38</v>
      </c>
      <c r="Q1328" s="842">
        <f t="shared" si="213"/>
        <v>0.0210060807075732</v>
      </c>
    </row>
    <row r="1329" spans="1:17">
      <c r="A1329" s="801">
        <v>46077</v>
      </c>
      <c r="B1329" s="670">
        <v>798.04</v>
      </c>
      <c r="C1329" s="671">
        <v>37387</v>
      </c>
      <c r="D1329" s="37">
        <v>1293</v>
      </c>
      <c r="E1329" s="37">
        <v>1</v>
      </c>
      <c r="F1329" s="670">
        <v>7632</v>
      </c>
      <c r="G1329" s="37">
        <v>48</v>
      </c>
      <c r="H1329" s="37">
        <v>7</v>
      </c>
      <c r="I1329" s="37">
        <v>0</v>
      </c>
      <c r="J1329" s="672">
        <f t="shared" si="208"/>
        <v>0.0345842137641426</v>
      </c>
      <c r="K1329" s="673">
        <f t="shared" si="209"/>
        <v>0.617200309358082</v>
      </c>
      <c r="L1329" s="809">
        <f t="shared" si="214"/>
        <v>21.3453874341349</v>
      </c>
      <c r="M1329" s="839">
        <f t="shared" si="207"/>
        <v>9.563430404491</v>
      </c>
      <c r="N1329" s="39">
        <f t="shared" si="210"/>
        <v>0.000773395204949729</v>
      </c>
      <c r="O1329" s="675">
        <f t="shared" si="211"/>
        <v>14.5098181818182</v>
      </c>
      <c r="P1329">
        <f t="shared" si="212"/>
        <v>55</v>
      </c>
      <c r="Q1329" s="842">
        <f t="shared" si="213"/>
        <v>0.0425367362722351</v>
      </c>
    </row>
    <row r="1330" spans="1:17">
      <c r="A1330" s="801">
        <v>46078</v>
      </c>
      <c r="B1330" s="670">
        <v>749.86</v>
      </c>
      <c r="C1330" s="671">
        <v>35568</v>
      </c>
      <c r="D1330" s="37">
        <v>1510</v>
      </c>
      <c r="E1330" s="37">
        <v>2</v>
      </c>
      <c r="F1330" s="670">
        <v>22890</v>
      </c>
      <c r="G1330" s="37">
        <v>23</v>
      </c>
      <c r="H1330" s="37">
        <v>3</v>
      </c>
      <c r="I1330" s="37">
        <v>4</v>
      </c>
      <c r="J1330" s="672">
        <f t="shared" si="208"/>
        <v>0.0424538911381017</v>
      </c>
      <c r="K1330" s="673">
        <f t="shared" si="209"/>
        <v>0.496596026490066</v>
      </c>
      <c r="L1330" s="809">
        <f t="shared" si="214"/>
        <v>21.0824336482231</v>
      </c>
      <c r="M1330" s="839">
        <f t="shared" si="207"/>
        <v>30.5256981303177</v>
      </c>
      <c r="N1330" s="39">
        <f t="shared" si="210"/>
        <v>0.00132450331125828</v>
      </c>
      <c r="O1330" s="675">
        <f t="shared" si="211"/>
        <v>28.8407692307692</v>
      </c>
      <c r="P1330">
        <f t="shared" si="212"/>
        <v>26</v>
      </c>
      <c r="Q1330" s="842">
        <f t="shared" si="213"/>
        <v>0.0172185430463576</v>
      </c>
    </row>
    <row r="1331" spans="1:17">
      <c r="A1331" s="801">
        <v>46079</v>
      </c>
      <c r="B1331" s="670">
        <v>747.51</v>
      </c>
      <c r="C1331" s="671">
        <v>24988</v>
      </c>
      <c r="D1331" s="37">
        <v>1178</v>
      </c>
      <c r="E1331" s="37">
        <v>1</v>
      </c>
      <c r="F1331" s="670">
        <v>12005</v>
      </c>
      <c r="G1331" s="37">
        <v>21</v>
      </c>
      <c r="H1331" s="37">
        <v>2</v>
      </c>
      <c r="I1331" s="37">
        <v>0</v>
      </c>
      <c r="J1331" s="672">
        <f t="shared" si="208"/>
        <v>0.0471426284616616</v>
      </c>
      <c r="K1331" s="673">
        <f t="shared" si="209"/>
        <v>0.63455857385399</v>
      </c>
      <c r="L1331" s="809">
        <f t="shared" si="214"/>
        <v>29.9147590843605</v>
      </c>
      <c r="M1331" s="839">
        <f t="shared" si="207"/>
        <v>16.0599858195877</v>
      </c>
      <c r="N1331" s="39">
        <f t="shared" si="210"/>
        <v>0.000848896434634975</v>
      </c>
      <c r="O1331" s="675">
        <f t="shared" si="211"/>
        <v>32.5004347826087</v>
      </c>
      <c r="P1331">
        <f t="shared" si="212"/>
        <v>23</v>
      </c>
      <c r="Q1331" s="842">
        <f t="shared" si="213"/>
        <v>0.0195246179966044</v>
      </c>
    </row>
    <row r="1332" spans="1:17">
      <c r="A1332" s="801">
        <v>46080</v>
      </c>
      <c r="B1332" s="670">
        <v>935.46</v>
      </c>
      <c r="C1332" s="671">
        <v>44945</v>
      </c>
      <c r="D1332" s="37">
        <v>1668</v>
      </c>
      <c r="E1332" s="37">
        <v>1</v>
      </c>
      <c r="F1332" s="670">
        <v>500</v>
      </c>
      <c r="G1332" s="37">
        <v>25</v>
      </c>
      <c r="H1332" s="37">
        <v>16</v>
      </c>
      <c r="I1332" s="37">
        <v>3</v>
      </c>
      <c r="J1332" s="672">
        <f t="shared" si="208"/>
        <v>0.0371120258093225</v>
      </c>
      <c r="K1332" s="673">
        <f t="shared" si="209"/>
        <v>0.560827338129496</v>
      </c>
      <c r="L1332" s="809">
        <f t="shared" si="214"/>
        <v>20.8134386472355</v>
      </c>
      <c r="M1332" s="839">
        <f t="shared" si="207"/>
        <v>0.534496397494281</v>
      </c>
      <c r="N1332" s="39">
        <f t="shared" si="210"/>
        <v>0.000599520383693046</v>
      </c>
      <c r="O1332" s="675">
        <f t="shared" si="211"/>
        <v>22.8160975609756</v>
      </c>
      <c r="P1332">
        <f t="shared" si="212"/>
        <v>41</v>
      </c>
      <c r="Q1332" s="842">
        <f t="shared" si="213"/>
        <v>0.0245803357314149</v>
      </c>
    </row>
    <row r="1333" spans="1:17">
      <c r="A1333" s="801">
        <v>46081</v>
      </c>
      <c r="B1333" s="670">
        <v>931.55</v>
      </c>
      <c r="C1333" s="671">
        <v>46885</v>
      </c>
      <c r="D1333" s="37">
        <v>1717</v>
      </c>
      <c r="E1333" s="37">
        <v>1</v>
      </c>
      <c r="F1333" s="670">
        <v>9215</v>
      </c>
      <c r="G1333" s="37">
        <v>38</v>
      </c>
      <c r="H1333" s="37">
        <v>29</v>
      </c>
      <c r="I1333" s="37">
        <v>3</v>
      </c>
      <c r="J1333" s="672">
        <f t="shared" si="208"/>
        <v>0.0366215207422417</v>
      </c>
      <c r="K1333" s="673">
        <f t="shared" si="209"/>
        <v>0.542545136866628</v>
      </c>
      <c r="L1333" s="809">
        <f t="shared" si="214"/>
        <v>19.8688279833635</v>
      </c>
      <c r="M1333" s="839">
        <f t="shared" si="207"/>
        <v>9.8921152917181</v>
      </c>
      <c r="N1333" s="39">
        <f t="shared" si="210"/>
        <v>0.0005824111822947</v>
      </c>
      <c r="O1333" s="675">
        <f t="shared" si="211"/>
        <v>13.9037313432836</v>
      </c>
      <c r="P1333">
        <f t="shared" si="212"/>
        <v>67</v>
      </c>
      <c r="Q1333" s="842">
        <f t="shared" si="213"/>
        <v>0.0390215492137449</v>
      </c>
    </row>
    <row r="1334" spans="1:17">
      <c r="A1334" s="801">
        <v>46082</v>
      </c>
      <c r="B1334" s="670">
        <v>889.09</v>
      </c>
      <c r="C1334" s="671">
        <v>35324</v>
      </c>
      <c r="D1334" s="37">
        <v>1623</v>
      </c>
      <c r="E1334" s="37">
        <v>4</v>
      </c>
      <c r="F1334" s="670">
        <v>37674</v>
      </c>
      <c r="G1334" s="37">
        <v>28</v>
      </c>
      <c r="H1334" s="37">
        <v>20</v>
      </c>
      <c r="I1334" s="37">
        <v>0</v>
      </c>
      <c r="J1334" s="672">
        <f t="shared" si="208"/>
        <v>0.0459460989695391</v>
      </c>
      <c r="K1334" s="673">
        <f t="shared" si="209"/>
        <v>0.547806531115219</v>
      </c>
      <c r="L1334" s="809">
        <f t="shared" si="214"/>
        <v>25.1695730947798</v>
      </c>
      <c r="M1334" s="839">
        <f t="shared" si="207"/>
        <v>42.3736629587556</v>
      </c>
      <c r="N1334" s="39">
        <f t="shared" si="210"/>
        <v>0.00246457178065311</v>
      </c>
      <c r="O1334" s="675">
        <f t="shared" si="211"/>
        <v>18.5227083333333</v>
      </c>
      <c r="P1334">
        <f t="shared" si="212"/>
        <v>48</v>
      </c>
      <c r="Q1334" s="842">
        <f t="shared" si="213"/>
        <v>0.0295748613678373</v>
      </c>
    </row>
    <row r="1335" spans="1:17">
      <c r="A1335" s="801">
        <v>46083</v>
      </c>
      <c r="B1335" s="670">
        <v>895.53</v>
      </c>
      <c r="C1335" s="671">
        <v>31862</v>
      </c>
      <c r="D1335" s="37">
        <v>1133</v>
      </c>
      <c r="E1335" s="37">
        <v>4</v>
      </c>
      <c r="F1335" s="670">
        <v>31920</v>
      </c>
      <c r="G1335" s="37">
        <v>34</v>
      </c>
      <c r="H1335" s="37">
        <v>9</v>
      </c>
      <c r="I1335" s="37">
        <v>4</v>
      </c>
      <c r="J1335" s="672">
        <f t="shared" si="208"/>
        <v>0.0355596007783567</v>
      </c>
      <c r="K1335" s="673">
        <f t="shared" si="209"/>
        <v>0.790406001765225</v>
      </c>
      <c r="L1335" s="809">
        <f t="shared" si="214"/>
        <v>28.1065218755885</v>
      </c>
      <c r="M1335" s="839">
        <f t="shared" si="207"/>
        <v>35.6436970285753</v>
      </c>
      <c r="N1335" s="39">
        <f t="shared" si="210"/>
        <v>0.00353045013239188</v>
      </c>
      <c r="O1335" s="675">
        <f t="shared" si="211"/>
        <v>20.8262790697674</v>
      </c>
      <c r="P1335">
        <f t="shared" si="212"/>
        <v>43</v>
      </c>
      <c r="Q1335" s="842">
        <f t="shared" si="213"/>
        <v>0.0379523389232127</v>
      </c>
    </row>
    <row r="1336" spans="1:17">
      <c r="A1336" s="801">
        <v>46084</v>
      </c>
      <c r="B1336" s="670">
        <v>895.01</v>
      </c>
      <c r="C1336" s="671">
        <v>26248</v>
      </c>
      <c r="D1336" s="37">
        <v>707</v>
      </c>
      <c r="E1336" s="37">
        <v>0</v>
      </c>
      <c r="F1336" s="670">
        <v>0</v>
      </c>
      <c r="G1336" s="37">
        <v>20</v>
      </c>
      <c r="H1336" s="37">
        <v>10</v>
      </c>
      <c r="I1336" s="37">
        <v>2</v>
      </c>
      <c r="J1336" s="672">
        <f t="shared" si="208"/>
        <v>0.026935385553185</v>
      </c>
      <c r="K1336" s="673">
        <f t="shared" si="209"/>
        <v>1.26592644978784</v>
      </c>
      <c r="L1336" s="809">
        <f t="shared" si="214"/>
        <v>34.0982170070101</v>
      </c>
      <c r="M1336" s="839">
        <f t="shared" si="207"/>
        <v>0</v>
      </c>
      <c r="N1336" s="39">
        <f t="shared" si="210"/>
        <v>0</v>
      </c>
      <c r="O1336" s="675">
        <f t="shared" si="211"/>
        <v>29.8336666666667</v>
      </c>
      <c r="P1336">
        <f t="shared" si="212"/>
        <v>30</v>
      </c>
      <c r="Q1336" s="842">
        <f t="shared" si="213"/>
        <v>0.0424328147100424</v>
      </c>
    </row>
    <row r="1337" spans="1:17">
      <c r="A1337" s="801">
        <v>46085</v>
      </c>
      <c r="B1337" s="670">
        <v>1939.76</v>
      </c>
      <c r="C1337" s="671">
        <v>65539</v>
      </c>
      <c r="D1337" s="37">
        <v>1746</v>
      </c>
      <c r="E1337" s="37">
        <v>1</v>
      </c>
      <c r="F1337" s="670">
        <v>12494</v>
      </c>
      <c r="G1337" s="37">
        <v>31</v>
      </c>
      <c r="H1337" s="37">
        <v>20</v>
      </c>
      <c r="I1337" s="37">
        <v>5</v>
      </c>
      <c r="J1337" s="672">
        <f t="shared" si="208"/>
        <v>0.0266406261920383</v>
      </c>
      <c r="K1337" s="673">
        <f t="shared" si="209"/>
        <v>1.11097365406644</v>
      </c>
      <c r="L1337" s="809">
        <f t="shared" si="214"/>
        <v>29.5970338271869</v>
      </c>
      <c r="M1337" s="839">
        <f t="shared" si="207"/>
        <v>6.44100301068173</v>
      </c>
      <c r="N1337" s="39">
        <f t="shared" si="210"/>
        <v>0.000572737686139748</v>
      </c>
      <c r="O1337" s="675">
        <f t="shared" si="211"/>
        <v>38.0345098039216</v>
      </c>
      <c r="P1337">
        <f t="shared" si="212"/>
        <v>51</v>
      </c>
      <c r="Q1337" s="842">
        <f t="shared" si="213"/>
        <v>0.0292096219931271</v>
      </c>
    </row>
    <row r="1338" spans="1:17">
      <c r="A1338" s="801">
        <v>46086</v>
      </c>
      <c r="B1338" s="670">
        <v>2000.84</v>
      </c>
      <c r="C1338" s="671">
        <v>94145</v>
      </c>
      <c r="D1338" s="37">
        <v>2599</v>
      </c>
      <c r="E1338" s="37">
        <v>1</v>
      </c>
      <c r="F1338" s="670">
        <v>33640</v>
      </c>
      <c r="G1338" s="37">
        <v>40</v>
      </c>
      <c r="H1338" s="37">
        <v>47</v>
      </c>
      <c r="I1338" s="37">
        <v>2</v>
      </c>
      <c r="J1338" s="672">
        <f t="shared" si="208"/>
        <v>0.0276063519039779</v>
      </c>
      <c r="K1338" s="673">
        <f t="shared" si="209"/>
        <v>0.769849942285494</v>
      </c>
      <c r="L1338" s="809">
        <f t="shared" si="214"/>
        <v>21.2527484199904</v>
      </c>
      <c r="M1338" s="839">
        <f t="shared" si="207"/>
        <v>16.8129385658024</v>
      </c>
      <c r="N1338" s="39">
        <f t="shared" si="210"/>
        <v>0.000384763370527126</v>
      </c>
      <c r="O1338" s="675">
        <f t="shared" si="211"/>
        <v>22.9981609195402</v>
      </c>
      <c r="P1338">
        <f t="shared" si="212"/>
        <v>87</v>
      </c>
      <c r="Q1338" s="842">
        <f t="shared" si="213"/>
        <v>0.0334744132358599</v>
      </c>
    </row>
    <row r="1339" spans="1:17">
      <c r="A1339" s="801">
        <v>46087</v>
      </c>
      <c r="B1339" s="670">
        <v>1999.48</v>
      </c>
      <c r="C1339" s="671">
        <v>91632</v>
      </c>
      <c r="D1339" s="37">
        <v>2912</v>
      </c>
      <c r="E1339" s="37">
        <v>0</v>
      </c>
      <c r="F1339" s="670">
        <v>0</v>
      </c>
      <c r="G1339" s="37">
        <v>42</v>
      </c>
      <c r="H1339" s="37">
        <v>79</v>
      </c>
      <c r="I1339" s="37">
        <v>1</v>
      </c>
      <c r="J1339" s="672">
        <f t="shared" si="208"/>
        <v>0.0317792910773529</v>
      </c>
      <c r="K1339" s="673">
        <f t="shared" si="209"/>
        <v>0.686634615384615</v>
      </c>
      <c r="L1339" s="809">
        <f t="shared" si="214"/>
        <v>21.8207613060939</v>
      </c>
      <c r="M1339" s="839">
        <f t="shared" si="207"/>
        <v>0</v>
      </c>
      <c r="N1339" s="39">
        <f t="shared" si="210"/>
        <v>0</v>
      </c>
      <c r="O1339" s="675">
        <f t="shared" si="211"/>
        <v>16.5246280991736</v>
      </c>
      <c r="P1339">
        <f t="shared" si="212"/>
        <v>121</v>
      </c>
      <c r="Q1339" s="842">
        <f t="shared" si="213"/>
        <v>0.0415521978021978</v>
      </c>
    </row>
    <row r="1340" spans="1:17">
      <c r="A1340" s="801">
        <v>46088</v>
      </c>
      <c r="B1340" s="670">
        <v>2188.35</v>
      </c>
      <c r="C1340" s="671">
        <v>99866</v>
      </c>
      <c r="D1340" s="37">
        <v>3276</v>
      </c>
      <c r="E1340" s="37">
        <v>0</v>
      </c>
      <c r="F1340" s="670">
        <v>0</v>
      </c>
      <c r="G1340" s="37">
        <v>56</v>
      </c>
      <c r="H1340" s="37">
        <v>84</v>
      </c>
      <c r="I1340" s="37">
        <v>4</v>
      </c>
      <c r="J1340" s="672">
        <f t="shared" si="208"/>
        <v>0.0328039573027857</v>
      </c>
      <c r="K1340" s="673">
        <f t="shared" si="209"/>
        <v>0.667994505494505</v>
      </c>
      <c r="L1340" s="809">
        <f t="shared" si="214"/>
        <v>21.9128632367372</v>
      </c>
      <c r="M1340" s="839">
        <f t="shared" si="207"/>
        <v>0</v>
      </c>
      <c r="N1340" s="39">
        <f t="shared" si="210"/>
        <v>0</v>
      </c>
      <c r="O1340" s="675">
        <f t="shared" si="211"/>
        <v>15.6310714285714</v>
      </c>
      <c r="P1340">
        <f t="shared" si="212"/>
        <v>140</v>
      </c>
      <c r="Q1340" s="842">
        <f t="shared" si="213"/>
        <v>0.0427350427350427</v>
      </c>
    </row>
    <row r="1341" spans="1:17">
      <c r="A1341" s="801">
        <v>46089</v>
      </c>
      <c r="B1341" s="670">
        <v>2205.34</v>
      </c>
      <c r="C1341" s="671">
        <v>102395</v>
      </c>
      <c r="D1341" s="37">
        <v>3037</v>
      </c>
      <c r="E1341" s="37">
        <v>1</v>
      </c>
      <c r="F1341" s="670">
        <v>9086</v>
      </c>
      <c r="G1341" s="37">
        <v>46</v>
      </c>
      <c r="H1341" s="37">
        <v>20</v>
      </c>
      <c r="I1341" s="37">
        <v>5</v>
      </c>
      <c r="J1341" s="672">
        <f t="shared" si="208"/>
        <v>0.0296596513501636</v>
      </c>
      <c r="K1341" s="673">
        <f t="shared" si="209"/>
        <v>0.726157392163319</v>
      </c>
      <c r="L1341" s="809">
        <f t="shared" si="214"/>
        <v>21.5375750769081</v>
      </c>
      <c r="M1341" s="839">
        <f t="shared" si="207"/>
        <v>4.11999963724414</v>
      </c>
      <c r="N1341" s="39">
        <f t="shared" si="210"/>
        <v>0.00032927230819888</v>
      </c>
      <c r="O1341" s="675">
        <f t="shared" si="211"/>
        <v>33.4142424242424</v>
      </c>
      <c r="P1341">
        <f t="shared" si="212"/>
        <v>66</v>
      </c>
      <c r="Q1341" s="842">
        <f t="shared" si="213"/>
        <v>0.0217319723411261</v>
      </c>
    </row>
    <row r="1342" spans="1:17">
      <c r="A1342" s="801">
        <v>46090</v>
      </c>
      <c r="B1342" s="670">
        <v>2204.73</v>
      </c>
      <c r="C1342" s="671">
        <v>61551</v>
      </c>
      <c r="D1342" s="37">
        <v>2006</v>
      </c>
      <c r="E1342" s="37">
        <v>2</v>
      </c>
      <c r="F1342" s="670">
        <v>30064</v>
      </c>
      <c r="G1342" s="37">
        <v>24</v>
      </c>
      <c r="H1342" s="37">
        <v>5</v>
      </c>
      <c r="I1342" s="37">
        <v>0</v>
      </c>
      <c r="J1342" s="672">
        <f t="shared" si="208"/>
        <v>0.032590859612354</v>
      </c>
      <c r="K1342" s="673">
        <f t="shared" si="209"/>
        <v>1.09906779661017</v>
      </c>
      <c r="L1342" s="809">
        <f t="shared" si="214"/>
        <v>35.8195642637813</v>
      </c>
      <c r="M1342" s="839">
        <f t="shared" si="207"/>
        <v>13.6361368512244</v>
      </c>
      <c r="N1342" s="39">
        <f t="shared" si="210"/>
        <v>0.000997008973080758</v>
      </c>
      <c r="O1342" s="675">
        <f t="shared" si="211"/>
        <v>76.0251724137931</v>
      </c>
      <c r="P1342">
        <f t="shared" si="212"/>
        <v>29</v>
      </c>
      <c r="Q1342" s="842">
        <f t="shared" si="213"/>
        <v>0.014456630109671</v>
      </c>
    </row>
    <row r="1343" spans="1:17">
      <c r="A1343" s="801">
        <v>46091</v>
      </c>
      <c r="B1343" s="670">
        <v>2172.31</v>
      </c>
      <c r="C1343" s="671">
        <v>77667</v>
      </c>
      <c r="D1343" s="37">
        <v>2257</v>
      </c>
      <c r="E1343" s="37">
        <v>1</v>
      </c>
      <c r="F1343" s="670">
        <v>14752</v>
      </c>
      <c r="G1343" s="37">
        <v>35</v>
      </c>
      <c r="H1343" s="37">
        <v>29</v>
      </c>
      <c r="I1343" s="37">
        <v>3</v>
      </c>
      <c r="J1343" s="672">
        <f t="shared" si="208"/>
        <v>0.0290599611160467</v>
      </c>
      <c r="K1343" s="673">
        <f t="shared" si="209"/>
        <v>0.962476739034116</v>
      </c>
      <c r="L1343" s="809">
        <f t="shared" si="214"/>
        <v>27.9695366114309</v>
      </c>
      <c r="M1343" s="839">
        <f t="shared" si="207"/>
        <v>6.79092763003439</v>
      </c>
      <c r="N1343" s="39">
        <f t="shared" si="210"/>
        <v>0.000443066016836509</v>
      </c>
      <c r="O1343" s="675">
        <f t="shared" si="211"/>
        <v>33.94234375</v>
      </c>
      <c r="P1343">
        <f t="shared" si="212"/>
        <v>64</v>
      </c>
      <c r="Q1343" s="842">
        <f t="shared" si="213"/>
        <v>0.0283562250775366</v>
      </c>
    </row>
    <row r="1344" spans="1:17">
      <c r="A1344" s="801">
        <v>46092</v>
      </c>
      <c r="B1344" s="670">
        <v>2184.74</v>
      </c>
      <c r="C1344" s="671">
        <v>81864</v>
      </c>
      <c r="D1344" s="37">
        <v>2623</v>
      </c>
      <c r="E1344" s="37">
        <v>0</v>
      </c>
      <c r="F1344" s="670">
        <v>0</v>
      </c>
      <c r="G1344" s="37">
        <v>51</v>
      </c>
      <c r="H1344" s="37">
        <v>64</v>
      </c>
      <c r="I1344" s="37">
        <v>7</v>
      </c>
      <c r="J1344" s="672">
        <f t="shared" si="208"/>
        <v>0.0320409459591518</v>
      </c>
      <c r="K1344" s="673">
        <f t="shared" si="209"/>
        <v>0.832916507815478</v>
      </c>
      <c r="L1344" s="809">
        <f t="shared" si="214"/>
        <v>26.6874328154011</v>
      </c>
      <c r="M1344" s="839">
        <f t="shared" si="207"/>
        <v>0</v>
      </c>
      <c r="N1344" s="39">
        <f t="shared" si="210"/>
        <v>0</v>
      </c>
      <c r="O1344" s="675">
        <f t="shared" si="211"/>
        <v>18.9977391304348</v>
      </c>
      <c r="P1344">
        <f t="shared" si="212"/>
        <v>115</v>
      </c>
      <c r="Q1344" s="842">
        <f t="shared" si="213"/>
        <v>0.043842927945101</v>
      </c>
    </row>
    <row r="1345" spans="1:17">
      <c r="A1345" s="801">
        <v>46093</v>
      </c>
      <c r="B1345" s="670">
        <v>2175.74</v>
      </c>
      <c r="C1345" s="671">
        <v>92716</v>
      </c>
      <c r="D1345" s="37">
        <v>2591</v>
      </c>
      <c r="E1345" s="37">
        <v>3</v>
      </c>
      <c r="F1345" s="670">
        <v>26966</v>
      </c>
      <c r="G1345" s="37">
        <v>42</v>
      </c>
      <c r="H1345" s="37">
        <v>62</v>
      </c>
      <c r="I1345" s="37">
        <v>5</v>
      </c>
      <c r="J1345" s="672">
        <f t="shared" si="208"/>
        <v>0.0279455541654083</v>
      </c>
      <c r="K1345" s="673">
        <f t="shared" si="209"/>
        <v>0.839729834040911</v>
      </c>
      <c r="L1345" s="809">
        <f t="shared" si="214"/>
        <v>23.4667155614996</v>
      </c>
      <c r="M1345" s="839">
        <f t="shared" si="207"/>
        <v>12.3939441293537</v>
      </c>
      <c r="N1345" s="39">
        <f t="shared" si="210"/>
        <v>0.00115785411038209</v>
      </c>
      <c r="O1345" s="675">
        <f t="shared" si="211"/>
        <v>20.9205769230769</v>
      </c>
      <c r="P1345">
        <f t="shared" si="212"/>
        <v>104</v>
      </c>
      <c r="Q1345" s="842">
        <f t="shared" si="213"/>
        <v>0.0401389424932459</v>
      </c>
    </row>
    <row r="1346" spans="1:17">
      <c r="A1346" s="801">
        <v>46094</v>
      </c>
      <c r="B1346" s="670">
        <v>2190.1</v>
      </c>
      <c r="C1346" s="671">
        <v>140553</v>
      </c>
      <c r="D1346" s="37">
        <v>2954</v>
      </c>
      <c r="E1346" s="37">
        <v>3</v>
      </c>
      <c r="F1346" s="670">
        <v>19261</v>
      </c>
      <c r="G1346" s="37">
        <v>41</v>
      </c>
      <c r="H1346" s="37">
        <v>38</v>
      </c>
      <c r="I1346" s="37">
        <v>10</v>
      </c>
      <c r="J1346" s="672">
        <f t="shared" si="208"/>
        <v>0.021016982917476</v>
      </c>
      <c r="K1346" s="673">
        <f t="shared" si="209"/>
        <v>0.741401489505755</v>
      </c>
      <c r="L1346" s="809">
        <f t="shared" si="214"/>
        <v>15.5820224399337</v>
      </c>
      <c r="M1346" s="839">
        <f t="shared" si="207"/>
        <v>8.7945755901557</v>
      </c>
      <c r="N1346" s="39">
        <f t="shared" si="210"/>
        <v>0.0010155721056195</v>
      </c>
      <c r="O1346" s="675">
        <f t="shared" si="211"/>
        <v>27.7227848101266</v>
      </c>
      <c r="P1346">
        <f t="shared" si="212"/>
        <v>79</v>
      </c>
      <c r="Q1346" s="842">
        <f t="shared" si="213"/>
        <v>0.0267433987813135</v>
      </c>
    </row>
    <row r="1347" spans="1:17">
      <c r="A1347" s="801">
        <v>46095</v>
      </c>
      <c r="B1347" s="670">
        <v>1959.96</v>
      </c>
      <c r="C1347" s="671">
        <v>111160</v>
      </c>
      <c r="D1347" s="37">
        <v>2702</v>
      </c>
      <c r="E1347" s="37">
        <v>1</v>
      </c>
      <c r="F1347" s="670">
        <v>8244</v>
      </c>
      <c r="G1347" s="37">
        <v>39</v>
      </c>
      <c r="H1347" s="37">
        <v>46</v>
      </c>
      <c r="I1347" s="37">
        <v>2</v>
      </c>
      <c r="J1347" s="672">
        <f t="shared" si="208"/>
        <v>0.0243073047858942</v>
      </c>
      <c r="K1347" s="673">
        <f t="shared" si="209"/>
        <v>0.725373797187269</v>
      </c>
      <c r="L1347" s="809">
        <f t="shared" si="214"/>
        <v>17.6318819719323</v>
      </c>
      <c r="M1347" s="839">
        <f t="shared" si="207"/>
        <v>4.2062082899651</v>
      </c>
      <c r="N1347" s="39">
        <f t="shared" si="210"/>
        <v>0.000370096225018505</v>
      </c>
      <c r="O1347" s="675">
        <f t="shared" si="211"/>
        <v>23.0583529411765</v>
      </c>
      <c r="P1347">
        <f t="shared" si="212"/>
        <v>85</v>
      </c>
      <c r="Q1347" s="842">
        <f t="shared" si="213"/>
        <v>0.0314581791265729</v>
      </c>
    </row>
    <row r="1348" spans="1:17">
      <c r="A1348" s="801">
        <v>46096</v>
      </c>
      <c r="B1348" s="670">
        <v>1078.59</v>
      </c>
      <c r="C1348" s="671">
        <v>45178</v>
      </c>
      <c r="D1348" s="37">
        <v>1261</v>
      </c>
      <c r="E1348" s="37">
        <v>2</v>
      </c>
      <c r="F1348" s="670">
        <v>31346</v>
      </c>
      <c r="G1348" s="37">
        <v>13</v>
      </c>
      <c r="H1348" s="37">
        <v>16</v>
      </c>
      <c r="I1348" s="37">
        <v>1</v>
      </c>
      <c r="J1348" s="672">
        <f t="shared" si="208"/>
        <v>0.0279118154854133</v>
      </c>
      <c r="K1348" s="673">
        <f t="shared" si="209"/>
        <v>0.855344964314036</v>
      </c>
      <c r="L1348" s="809">
        <f t="shared" si="214"/>
        <v>23.8742308203108</v>
      </c>
      <c r="M1348" s="839">
        <f t="shared" si="207"/>
        <v>29.0620161507153</v>
      </c>
      <c r="N1348" s="39">
        <f t="shared" si="210"/>
        <v>0.00158604282315623</v>
      </c>
      <c r="O1348" s="675">
        <f t="shared" si="211"/>
        <v>37.1927586206897</v>
      </c>
      <c r="P1348">
        <f t="shared" si="212"/>
        <v>29</v>
      </c>
      <c r="Q1348" s="842">
        <f t="shared" si="213"/>
        <v>0.0229976209357653</v>
      </c>
    </row>
    <row r="1349" spans="1:17">
      <c r="A1349" s="801">
        <v>46097</v>
      </c>
      <c r="B1349" s="670">
        <v>994.77</v>
      </c>
      <c r="C1349" s="671">
        <v>36088</v>
      </c>
      <c r="D1349" s="37">
        <v>1463</v>
      </c>
      <c r="E1349" s="37">
        <v>3</v>
      </c>
      <c r="F1349" s="670">
        <v>41457</v>
      </c>
      <c r="G1349" s="37">
        <v>30</v>
      </c>
      <c r="H1349" s="37">
        <v>14</v>
      </c>
      <c r="I1349" s="37">
        <v>1</v>
      </c>
      <c r="J1349" s="672">
        <f t="shared" si="208"/>
        <v>0.0405397916204833</v>
      </c>
      <c r="K1349" s="673">
        <f t="shared" si="209"/>
        <v>0.679952153110048</v>
      </c>
      <c r="L1349" s="809">
        <f t="shared" si="214"/>
        <v>27.5651185989803</v>
      </c>
      <c r="M1349" s="839">
        <f t="shared" si="207"/>
        <v>41.6749600410145</v>
      </c>
      <c r="N1349" s="39">
        <f t="shared" si="210"/>
        <v>0.00205058099794942</v>
      </c>
      <c r="O1349" s="675">
        <f t="shared" si="211"/>
        <v>22.6084090909091</v>
      </c>
      <c r="P1349">
        <f t="shared" si="212"/>
        <v>44</v>
      </c>
      <c r="Q1349" s="842">
        <f t="shared" si="213"/>
        <v>0.0300751879699248</v>
      </c>
    </row>
    <row r="1350" spans="1:17">
      <c r="A1350" s="801">
        <v>46098</v>
      </c>
      <c r="B1350" s="670">
        <v>1904.38</v>
      </c>
      <c r="C1350" s="671">
        <v>78585</v>
      </c>
      <c r="D1350" s="37">
        <v>2749</v>
      </c>
      <c r="E1350" s="37">
        <v>2</v>
      </c>
      <c r="F1350" s="670">
        <v>44627</v>
      </c>
      <c r="G1350" s="37">
        <v>36</v>
      </c>
      <c r="H1350" s="37">
        <v>65</v>
      </c>
      <c r="I1350" s="37">
        <v>2</v>
      </c>
      <c r="J1350" s="672">
        <f t="shared" si="208"/>
        <v>0.0349812305147293</v>
      </c>
      <c r="K1350" s="673">
        <f t="shared" si="209"/>
        <v>0.692753728628592</v>
      </c>
      <c r="L1350" s="809">
        <f t="shared" si="214"/>
        <v>24.233377871095</v>
      </c>
      <c r="M1350" s="839">
        <f t="shared" si="207"/>
        <v>23.4338734916351</v>
      </c>
      <c r="N1350" s="39">
        <f t="shared" si="210"/>
        <v>0.000727537286285922</v>
      </c>
      <c r="O1350" s="675">
        <f t="shared" si="211"/>
        <v>18.8552475247525</v>
      </c>
      <c r="P1350">
        <f t="shared" si="212"/>
        <v>101</v>
      </c>
      <c r="Q1350" s="842">
        <f t="shared" si="213"/>
        <v>0.0367406329574391</v>
      </c>
    </row>
    <row r="1351" spans="1:17">
      <c r="A1351" s="801">
        <v>46099</v>
      </c>
      <c r="B1351" s="670">
        <v>1940.61</v>
      </c>
      <c r="C1351" s="671">
        <v>109577</v>
      </c>
      <c r="D1351" s="37">
        <v>2557</v>
      </c>
      <c r="E1351" s="37">
        <v>0</v>
      </c>
      <c r="F1351" s="670">
        <v>0</v>
      </c>
      <c r="G1351" s="37">
        <v>32</v>
      </c>
      <c r="H1351" s="37">
        <v>34</v>
      </c>
      <c r="I1351" s="37">
        <v>4</v>
      </c>
      <c r="J1351" s="672">
        <f t="shared" si="208"/>
        <v>0.0233351889538863</v>
      </c>
      <c r="K1351" s="673">
        <f t="shared" si="209"/>
        <v>0.758940164254986</v>
      </c>
      <c r="L1351" s="809">
        <f t="shared" si="214"/>
        <v>17.7100121375836</v>
      </c>
      <c r="M1351" s="839">
        <f t="shared" si="207"/>
        <v>0</v>
      </c>
      <c r="N1351" s="39">
        <f t="shared" si="210"/>
        <v>0</v>
      </c>
      <c r="O1351" s="675">
        <f t="shared" si="211"/>
        <v>29.4031818181818</v>
      </c>
      <c r="P1351">
        <f t="shared" si="212"/>
        <v>66</v>
      </c>
      <c r="Q1351" s="842">
        <f t="shared" si="213"/>
        <v>0.0258114978490418</v>
      </c>
    </row>
    <row r="1352" spans="1:17">
      <c r="A1352" s="801">
        <v>46100</v>
      </c>
      <c r="B1352" s="670">
        <v>1858.62</v>
      </c>
      <c r="C1352" s="671">
        <v>98119</v>
      </c>
      <c r="D1352" s="37">
        <v>2354</v>
      </c>
      <c r="E1352" s="37">
        <v>0</v>
      </c>
      <c r="F1352" s="670">
        <v>0</v>
      </c>
      <c r="G1352" s="37">
        <v>25</v>
      </c>
      <c r="H1352" s="37">
        <v>23</v>
      </c>
      <c r="I1352" s="37">
        <v>1</v>
      </c>
      <c r="J1352" s="672">
        <f t="shared" si="208"/>
        <v>0.0239912758996728</v>
      </c>
      <c r="K1352" s="673">
        <f t="shared" si="209"/>
        <v>0.789558198810535</v>
      </c>
      <c r="L1352" s="809">
        <f t="shared" si="214"/>
        <v>18.9425085865123</v>
      </c>
      <c r="M1352" s="839">
        <f t="shared" si="207"/>
        <v>0</v>
      </c>
      <c r="N1352" s="39">
        <f t="shared" si="210"/>
        <v>0</v>
      </c>
      <c r="O1352" s="675">
        <f t="shared" si="211"/>
        <v>38.72125</v>
      </c>
      <c r="P1352">
        <f t="shared" si="212"/>
        <v>48</v>
      </c>
      <c r="Q1352" s="842">
        <f t="shared" si="213"/>
        <v>0.0203908241291419</v>
      </c>
    </row>
    <row r="1353" spans="1:17">
      <c r="A1353" s="801">
        <v>46101</v>
      </c>
      <c r="B1353" s="670">
        <v>1815.68</v>
      </c>
      <c r="C1353" s="671">
        <v>95308</v>
      </c>
      <c r="D1353" s="37">
        <v>2858</v>
      </c>
      <c r="E1353" s="37">
        <v>6</v>
      </c>
      <c r="F1353" s="670">
        <v>60799</v>
      </c>
      <c r="G1353" s="37">
        <v>37</v>
      </c>
      <c r="H1353" s="37">
        <v>9</v>
      </c>
      <c r="I1353" s="37">
        <v>0</v>
      </c>
      <c r="J1353" s="672">
        <f t="shared" si="208"/>
        <v>0.0299869895496705</v>
      </c>
      <c r="K1353" s="673">
        <f t="shared" si="209"/>
        <v>0.635297410776767</v>
      </c>
      <c r="L1353" s="809">
        <f t="shared" si="214"/>
        <v>19.0506568178957</v>
      </c>
      <c r="M1353" s="839">
        <f t="shared" si="207"/>
        <v>33.4855260838914</v>
      </c>
      <c r="N1353" s="39">
        <f t="shared" si="210"/>
        <v>0.00209937018894332</v>
      </c>
      <c r="O1353" s="675">
        <f t="shared" si="211"/>
        <v>39.4713043478261</v>
      </c>
      <c r="P1353">
        <f t="shared" si="212"/>
        <v>46</v>
      </c>
      <c r="Q1353" s="842">
        <f t="shared" si="213"/>
        <v>0.0160951714485654</v>
      </c>
    </row>
    <row r="1354" spans="1:17">
      <c r="A1354" s="801">
        <v>46102</v>
      </c>
      <c r="B1354" s="670">
        <v>1298.05</v>
      </c>
      <c r="C1354" s="671">
        <v>50262</v>
      </c>
      <c r="D1354" s="37">
        <v>1361</v>
      </c>
      <c r="E1354" s="37">
        <v>4</v>
      </c>
      <c r="F1354" s="670">
        <v>32892</v>
      </c>
      <c r="G1354" s="37">
        <v>24</v>
      </c>
      <c r="H1354" s="37">
        <v>19</v>
      </c>
      <c r="I1354" s="37">
        <v>3</v>
      </c>
      <c r="J1354" s="672">
        <f t="shared" si="208"/>
        <v>0.0270781106999324</v>
      </c>
      <c r="K1354" s="673">
        <f t="shared" si="209"/>
        <v>0.953747244673035</v>
      </c>
      <c r="L1354" s="809">
        <f t="shared" si="214"/>
        <v>25.8256734710119</v>
      </c>
      <c r="M1354" s="839">
        <f t="shared" si="207"/>
        <v>25.3395477832133</v>
      </c>
      <c r="N1354" s="39">
        <f t="shared" si="210"/>
        <v>0.00293901542983101</v>
      </c>
      <c r="O1354" s="675">
        <f t="shared" si="211"/>
        <v>30.1872093023256</v>
      </c>
      <c r="P1354">
        <f t="shared" si="212"/>
        <v>43</v>
      </c>
      <c r="Q1354" s="842">
        <f t="shared" si="213"/>
        <v>0.0315944158706833</v>
      </c>
    </row>
    <row r="1355" spans="1:17">
      <c r="A1355" s="801">
        <v>46103</v>
      </c>
      <c r="B1355" s="670">
        <v>1084.69</v>
      </c>
      <c r="C1355" s="671">
        <v>50456</v>
      </c>
      <c r="D1355" s="37">
        <v>2280</v>
      </c>
      <c r="E1355" s="37">
        <v>2</v>
      </c>
      <c r="F1355" s="670">
        <v>19945</v>
      </c>
      <c r="G1355" s="37">
        <v>27</v>
      </c>
      <c r="H1355" s="37">
        <v>49</v>
      </c>
      <c r="I1355" s="37">
        <v>1</v>
      </c>
      <c r="J1355" s="672">
        <f t="shared" si="208"/>
        <v>0.0451878864753449</v>
      </c>
      <c r="K1355" s="673">
        <f t="shared" si="209"/>
        <v>0.475741228070175</v>
      </c>
      <c r="L1355" s="809">
        <f t="shared" si="214"/>
        <v>21.4977406056762</v>
      </c>
      <c r="M1355" s="839">
        <f t="shared" si="207"/>
        <v>18.3877421198683</v>
      </c>
      <c r="N1355" s="39">
        <f t="shared" si="210"/>
        <v>0.00087719298245614</v>
      </c>
      <c r="O1355" s="675">
        <f t="shared" si="211"/>
        <v>14.2722368421053</v>
      </c>
      <c r="P1355">
        <f t="shared" si="212"/>
        <v>76</v>
      </c>
      <c r="Q1355" s="842">
        <f t="shared" si="213"/>
        <v>0.0333333333333333</v>
      </c>
    </row>
    <row r="1356" spans="1:17">
      <c r="A1356" s="801">
        <v>46104</v>
      </c>
      <c r="B1356" s="670">
        <v>1280.41</v>
      </c>
      <c r="C1356" s="671">
        <v>54608</v>
      </c>
      <c r="D1356" s="37">
        <v>2038</v>
      </c>
      <c r="E1356" s="37">
        <v>5</v>
      </c>
      <c r="F1356" s="670">
        <v>55197</v>
      </c>
      <c r="G1356" s="37">
        <v>25</v>
      </c>
      <c r="H1356" s="37">
        <v>56</v>
      </c>
      <c r="I1356" s="37">
        <v>0</v>
      </c>
      <c r="J1356" s="672">
        <f t="shared" si="208"/>
        <v>0.037320539115148</v>
      </c>
      <c r="K1356" s="673">
        <f t="shared" si="209"/>
        <v>0.628267909715407</v>
      </c>
      <c r="L1356" s="809">
        <f t="shared" si="214"/>
        <v>23.4472970993261</v>
      </c>
      <c r="M1356" s="839">
        <f t="shared" si="207"/>
        <v>43.1088479471419</v>
      </c>
      <c r="N1356" s="39">
        <f t="shared" si="210"/>
        <v>0.00245338567222767</v>
      </c>
      <c r="O1356" s="675">
        <f t="shared" si="211"/>
        <v>15.8075308641975</v>
      </c>
      <c r="P1356">
        <f t="shared" si="212"/>
        <v>81</v>
      </c>
      <c r="Q1356" s="842">
        <f t="shared" si="213"/>
        <v>0.0397448478900883</v>
      </c>
    </row>
    <row r="1357" spans="1:17">
      <c r="A1357" s="801">
        <v>46105</v>
      </c>
      <c r="B1357" s="670">
        <v>1503.47</v>
      </c>
      <c r="C1357" s="671">
        <v>68590</v>
      </c>
      <c r="D1357" s="37">
        <v>2498</v>
      </c>
      <c r="E1357" s="37">
        <v>1</v>
      </c>
      <c r="F1357" s="670">
        <v>8392</v>
      </c>
      <c r="G1357" s="37">
        <v>31</v>
      </c>
      <c r="H1357" s="37">
        <v>45</v>
      </c>
      <c r="I1357" s="37">
        <v>2</v>
      </c>
      <c r="J1357" s="672">
        <f t="shared" si="208"/>
        <v>0.036419303105409</v>
      </c>
      <c r="K1357" s="673">
        <f t="shared" si="209"/>
        <v>0.601869495596477</v>
      </c>
      <c r="L1357" s="809">
        <f t="shared" si="214"/>
        <v>21.9196675900277</v>
      </c>
      <c r="M1357" s="839">
        <f t="shared" si="207"/>
        <v>5.58175420859744</v>
      </c>
      <c r="N1357" s="39">
        <f t="shared" si="210"/>
        <v>0.000400320256204964</v>
      </c>
      <c r="O1357" s="675">
        <f t="shared" si="211"/>
        <v>19.7825</v>
      </c>
      <c r="P1357">
        <f t="shared" si="212"/>
        <v>76</v>
      </c>
      <c r="Q1357" s="842">
        <f t="shared" si="213"/>
        <v>0.0304243394715773</v>
      </c>
    </row>
    <row r="1358" spans="1:17">
      <c r="A1358" s="801">
        <v>46106</v>
      </c>
      <c r="B1358" s="670">
        <v>1315.18</v>
      </c>
      <c r="C1358" s="671">
        <v>46345</v>
      </c>
      <c r="D1358" s="37">
        <v>1599</v>
      </c>
      <c r="E1358" s="37">
        <v>2</v>
      </c>
      <c r="F1358" s="670">
        <v>12756</v>
      </c>
      <c r="G1358" s="37">
        <v>24</v>
      </c>
      <c r="H1358" s="37">
        <v>28</v>
      </c>
      <c r="I1358" s="37">
        <v>4</v>
      </c>
      <c r="J1358" s="672">
        <f t="shared" si="208"/>
        <v>0.0345021037868163</v>
      </c>
      <c r="K1358" s="673">
        <f t="shared" si="209"/>
        <v>0.822501563477173</v>
      </c>
      <c r="L1358" s="809">
        <f t="shared" si="214"/>
        <v>28.3780343079081</v>
      </c>
      <c r="M1358" s="839">
        <f t="shared" si="207"/>
        <v>9.69905260116486</v>
      </c>
      <c r="N1358" s="39">
        <f t="shared" si="210"/>
        <v>0.00125078173858662</v>
      </c>
      <c r="O1358" s="675">
        <f t="shared" si="211"/>
        <v>25.2919230769231</v>
      </c>
      <c r="P1358">
        <f t="shared" si="212"/>
        <v>52</v>
      </c>
      <c r="Q1358" s="842">
        <f t="shared" si="213"/>
        <v>0.032520325203252</v>
      </c>
    </row>
    <row r="1359" spans="1:17">
      <c r="A1359" s="801">
        <v>46107</v>
      </c>
      <c r="B1359" s="670">
        <v>1301.45</v>
      </c>
      <c r="C1359" s="671">
        <v>44957</v>
      </c>
      <c r="D1359" s="37">
        <v>1781</v>
      </c>
      <c r="E1359" s="37">
        <v>0</v>
      </c>
      <c r="F1359" s="670">
        <v>0</v>
      </c>
      <c r="G1359" s="37">
        <v>19</v>
      </c>
      <c r="H1359" s="37">
        <v>31</v>
      </c>
      <c r="I1359" s="37">
        <v>1</v>
      </c>
      <c r="J1359" s="672">
        <f t="shared" si="208"/>
        <v>0.0396156327157061</v>
      </c>
      <c r="K1359" s="673">
        <f t="shared" si="209"/>
        <v>0.730741156653565</v>
      </c>
      <c r="L1359" s="809">
        <f t="shared" si="214"/>
        <v>28.9487732722379</v>
      </c>
      <c r="M1359" s="839">
        <f t="shared" si="207"/>
        <v>0</v>
      </c>
      <c r="N1359" s="39">
        <f t="shared" si="210"/>
        <v>0</v>
      </c>
      <c r="O1359" s="675">
        <f t="shared" si="211"/>
        <v>26.029</v>
      </c>
      <c r="P1359">
        <f t="shared" si="212"/>
        <v>50</v>
      </c>
      <c r="Q1359" s="842">
        <f t="shared" si="213"/>
        <v>0.0280741156653565</v>
      </c>
    </row>
    <row r="1360" spans="1:17">
      <c r="A1360" s="801">
        <v>46108</v>
      </c>
      <c r="B1360" s="670">
        <v>1288.71</v>
      </c>
      <c r="C1360" s="671">
        <v>33440</v>
      </c>
      <c r="D1360" s="37">
        <v>1153</v>
      </c>
      <c r="E1360" s="37">
        <v>1</v>
      </c>
      <c r="F1360" s="670">
        <v>9821</v>
      </c>
      <c r="G1360" s="37">
        <v>30</v>
      </c>
      <c r="H1360" s="37">
        <v>57</v>
      </c>
      <c r="I1360" s="37">
        <v>2</v>
      </c>
      <c r="J1360" s="672">
        <f t="shared" si="208"/>
        <v>0.0344796650717703</v>
      </c>
      <c r="K1360" s="673">
        <f t="shared" si="209"/>
        <v>1.11770164787511</v>
      </c>
      <c r="L1360" s="809">
        <f t="shared" si="214"/>
        <v>38.5379784688995</v>
      </c>
      <c r="M1360" s="839">
        <f t="shared" si="207"/>
        <v>7.62079909366731</v>
      </c>
      <c r="N1360" s="39">
        <f t="shared" si="210"/>
        <v>0.000867302688638335</v>
      </c>
      <c r="O1360" s="675">
        <f t="shared" si="211"/>
        <v>14.8127586206897</v>
      </c>
      <c r="P1360">
        <f t="shared" si="212"/>
        <v>87</v>
      </c>
      <c r="Q1360" s="842">
        <f t="shared" si="213"/>
        <v>0.0754553339115351</v>
      </c>
    </row>
    <row r="1361" spans="1:17">
      <c r="A1361" s="801">
        <v>46109</v>
      </c>
      <c r="B1361" s="670">
        <v>1284.08</v>
      </c>
      <c r="C1361" s="671">
        <v>30696</v>
      </c>
      <c r="D1361" s="37">
        <v>1524</v>
      </c>
      <c r="E1361" s="37">
        <v>0</v>
      </c>
      <c r="F1361" s="670">
        <v>0</v>
      </c>
      <c r="G1361" s="37">
        <v>24</v>
      </c>
      <c r="H1361" s="37">
        <v>108</v>
      </c>
      <c r="I1361" s="37">
        <v>5</v>
      </c>
      <c r="J1361" s="672">
        <f t="shared" si="208"/>
        <v>0.0496481626270524</v>
      </c>
      <c r="K1361" s="673">
        <f t="shared" si="209"/>
        <v>0.84257217847769</v>
      </c>
      <c r="L1361" s="809">
        <f t="shared" si="214"/>
        <v>41.8321605420902</v>
      </c>
      <c r="M1361" s="839">
        <f t="shared" si="207"/>
        <v>0</v>
      </c>
      <c r="N1361" s="39">
        <f t="shared" si="210"/>
        <v>0</v>
      </c>
      <c r="O1361" s="675">
        <f t="shared" si="211"/>
        <v>9.72787878787879</v>
      </c>
      <c r="P1361">
        <f t="shared" si="212"/>
        <v>132</v>
      </c>
      <c r="Q1361" s="842">
        <f t="shared" si="213"/>
        <v>0.0866141732283465</v>
      </c>
    </row>
    <row r="1362" spans="1:17">
      <c r="A1362" s="801">
        <v>46110</v>
      </c>
      <c r="B1362" s="670">
        <v>1280.12</v>
      </c>
      <c r="C1362" s="671">
        <v>27308</v>
      </c>
      <c r="D1362" s="37">
        <v>1159</v>
      </c>
      <c r="E1362" s="37">
        <v>4</v>
      </c>
      <c r="F1362" s="670">
        <v>32283</v>
      </c>
      <c r="G1362" s="37">
        <v>22</v>
      </c>
      <c r="H1362" s="37">
        <v>38</v>
      </c>
      <c r="I1362" s="37">
        <v>2</v>
      </c>
      <c r="J1362" s="672">
        <f t="shared" si="208"/>
        <v>0.0424417753039402</v>
      </c>
      <c r="K1362" s="673">
        <f t="shared" si="209"/>
        <v>1.10450388265746</v>
      </c>
      <c r="L1362" s="809">
        <f t="shared" si="214"/>
        <v>46.8771056100776</v>
      </c>
      <c r="M1362" s="839">
        <f t="shared" si="207"/>
        <v>25.2187294941099</v>
      </c>
      <c r="N1362" s="39">
        <f t="shared" si="210"/>
        <v>0.00345125107851596</v>
      </c>
      <c r="O1362" s="675">
        <f t="shared" si="211"/>
        <v>21.3353333333333</v>
      </c>
      <c r="P1362">
        <f t="shared" si="212"/>
        <v>60</v>
      </c>
      <c r="Q1362" s="842">
        <f t="shared" si="213"/>
        <v>0.0517687661777394</v>
      </c>
    </row>
    <row r="1363" spans="1:17">
      <c r="A1363" s="801">
        <v>46111</v>
      </c>
      <c r="B1363" s="670">
        <v>1327.47</v>
      </c>
      <c r="C1363" s="671">
        <v>36814</v>
      </c>
      <c r="D1363" s="37">
        <v>1253</v>
      </c>
      <c r="E1363" s="37">
        <v>1</v>
      </c>
      <c r="F1363" s="670">
        <v>11596</v>
      </c>
      <c r="G1363" s="37">
        <v>30</v>
      </c>
      <c r="H1363" s="37">
        <v>31</v>
      </c>
      <c r="I1363" s="37">
        <v>3</v>
      </c>
      <c r="J1363" s="672">
        <f t="shared" si="208"/>
        <v>0.0340359645786929</v>
      </c>
      <c r="K1363" s="673">
        <f t="shared" si="209"/>
        <v>1.05943335993615</v>
      </c>
      <c r="L1363" s="809">
        <f t="shared" si="214"/>
        <v>36.0588363122725</v>
      </c>
      <c r="M1363" s="839">
        <f t="shared" si="207"/>
        <v>8.7354139829902</v>
      </c>
      <c r="N1363" s="39">
        <f t="shared" si="210"/>
        <v>0.000798084596967279</v>
      </c>
      <c r="O1363" s="675">
        <f t="shared" si="211"/>
        <v>21.7618032786885</v>
      </c>
      <c r="P1363">
        <f t="shared" si="212"/>
        <v>61</v>
      </c>
      <c r="Q1363" s="842">
        <f t="shared" si="213"/>
        <v>0.048683160415004</v>
      </c>
    </row>
    <row r="1364" spans="1:17">
      <c r="A1364" s="801">
        <v>46112</v>
      </c>
      <c r="B1364" s="670">
        <v>1169.67</v>
      </c>
      <c r="C1364" s="671">
        <v>27944</v>
      </c>
      <c r="D1364" s="37">
        <v>1049</v>
      </c>
      <c r="E1364" s="37">
        <v>3</v>
      </c>
      <c r="F1364" s="670">
        <v>24197.02</v>
      </c>
      <c r="G1364" s="37">
        <v>36</v>
      </c>
      <c r="H1364" s="37">
        <v>32</v>
      </c>
      <c r="I1364" s="37">
        <v>3</v>
      </c>
      <c r="J1364" s="672">
        <f t="shared" si="208"/>
        <v>0.0375393644431721</v>
      </c>
      <c r="K1364" s="673">
        <f t="shared" si="209"/>
        <v>1.11503336510963</v>
      </c>
      <c r="L1364" s="809">
        <f t="shared" si="214"/>
        <v>41.8576438591469</v>
      </c>
      <c r="M1364" s="839">
        <f t="shared" si="207"/>
        <v>20.6870484837604</v>
      </c>
      <c r="N1364" s="39">
        <f t="shared" si="210"/>
        <v>0.00285986653956149</v>
      </c>
      <c r="O1364" s="675">
        <f t="shared" si="211"/>
        <v>17.2010294117647</v>
      </c>
      <c r="P1364">
        <f t="shared" si="212"/>
        <v>68</v>
      </c>
      <c r="Q1364" s="842">
        <f t="shared" si="213"/>
        <v>0.0648236415633937</v>
      </c>
    </row>
    <row r="1365" spans="1:17">
      <c r="A1365" s="801">
        <v>46113</v>
      </c>
      <c r="B1365" s="670">
        <v>1270.71</v>
      </c>
      <c r="C1365" s="671">
        <v>46881</v>
      </c>
      <c r="D1365" s="37">
        <v>1472</v>
      </c>
      <c r="E1365" s="37">
        <v>1</v>
      </c>
      <c r="F1365" s="670">
        <v>10797</v>
      </c>
      <c r="G1365" s="37">
        <v>32</v>
      </c>
      <c r="H1365" s="37">
        <v>35</v>
      </c>
      <c r="I1365" s="37">
        <v>4</v>
      </c>
      <c r="J1365" s="672">
        <f t="shared" si="208"/>
        <v>0.0313986476397688</v>
      </c>
      <c r="K1365" s="673">
        <f t="shared" si="209"/>
        <v>0.863254076086957</v>
      </c>
      <c r="L1365" s="809">
        <f t="shared" si="214"/>
        <v>27.1050105586485</v>
      </c>
      <c r="M1365" s="839">
        <f t="shared" si="207"/>
        <v>8.49682460986378</v>
      </c>
      <c r="N1365" s="39">
        <f t="shared" si="210"/>
        <v>0.000679347826086957</v>
      </c>
      <c r="O1365" s="675">
        <f t="shared" si="211"/>
        <v>18.9658208955224</v>
      </c>
      <c r="P1365">
        <f t="shared" si="212"/>
        <v>67</v>
      </c>
      <c r="Q1365" s="842">
        <f t="shared" si="213"/>
        <v>0.0455163043478261</v>
      </c>
    </row>
    <row r="1366" spans="1:17">
      <c r="A1366" s="801">
        <v>46114</v>
      </c>
      <c r="B1366" s="670">
        <v>1240.5</v>
      </c>
      <c r="C1366" s="671">
        <v>43140</v>
      </c>
      <c r="D1366" s="37">
        <v>1673</v>
      </c>
      <c r="E1366" s="37">
        <v>1</v>
      </c>
      <c r="F1366" s="670">
        <v>9589.01</v>
      </c>
      <c r="G1366" s="37">
        <v>20</v>
      </c>
      <c r="H1366" s="37">
        <v>54</v>
      </c>
      <c r="I1366" s="37">
        <v>5</v>
      </c>
      <c r="J1366" s="672">
        <f t="shared" si="208"/>
        <v>0.0387807139545665</v>
      </c>
      <c r="K1366" s="673">
        <f t="shared" si="209"/>
        <v>0.74148236700538</v>
      </c>
      <c r="L1366" s="809">
        <f t="shared" si="214"/>
        <v>28.7552155771905</v>
      </c>
      <c r="M1366" s="839">
        <f t="shared" ref="M1366:M1402" si="215">F1366/B1366</f>
        <v>7.7299556630391</v>
      </c>
      <c r="N1366" s="39">
        <f t="shared" si="210"/>
        <v>0.000597728631201434</v>
      </c>
      <c r="O1366" s="675">
        <f t="shared" si="211"/>
        <v>16.7635135135135</v>
      </c>
      <c r="P1366">
        <f t="shared" si="212"/>
        <v>74</v>
      </c>
      <c r="Q1366" s="842">
        <f t="shared" si="213"/>
        <v>0.0442319187089062</v>
      </c>
    </row>
    <row r="1367" spans="1:17">
      <c r="A1367" s="801">
        <v>46115</v>
      </c>
      <c r="B1367" s="670">
        <v>1258.64</v>
      </c>
      <c r="C1367" s="671">
        <v>52742</v>
      </c>
      <c r="D1367" s="37">
        <v>2087</v>
      </c>
      <c r="E1367" s="37">
        <v>3</v>
      </c>
      <c r="F1367" s="670">
        <v>32344.02</v>
      </c>
      <c r="G1367" s="37">
        <v>39</v>
      </c>
      <c r="H1367" s="37">
        <v>86</v>
      </c>
      <c r="I1367" s="37">
        <v>8</v>
      </c>
      <c r="J1367" s="672">
        <f t="shared" si="208"/>
        <v>0.0395699821773918</v>
      </c>
      <c r="K1367" s="673">
        <f t="shared" si="209"/>
        <v>0.603085769046478</v>
      </c>
      <c r="L1367" s="809">
        <f t="shared" si="214"/>
        <v>23.8640931326078</v>
      </c>
      <c r="M1367" s="839">
        <f t="shared" si="215"/>
        <v>25.6975942286913</v>
      </c>
      <c r="N1367" s="39">
        <f t="shared" si="210"/>
        <v>0.00143747005270724</v>
      </c>
      <c r="O1367" s="675">
        <f t="shared" si="211"/>
        <v>10.06912</v>
      </c>
      <c r="P1367">
        <f t="shared" si="212"/>
        <v>125</v>
      </c>
      <c r="Q1367" s="842">
        <f t="shared" si="213"/>
        <v>0.0598945855294681</v>
      </c>
    </row>
    <row r="1368" spans="1:17">
      <c r="A1368" s="801">
        <v>46116</v>
      </c>
      <c r="B1368" s="670">
        <v>1280.35</v>
      </c>
      <c r="C1368" s="671">
        <v>67052</v>
      </c>
      <c r="D1368" s="37">
        <v>2335</v>
      </c>
      <c r="E1368" s="37">
        <v>2</v>
      </c>
      <c r="F1368" s="670">
        <v>24295.01</v>
      </c>
      <c r="G1368" s="37">
        <v>21</v>
      </c>
      <c r="H1368" s="37">
        <v>87</v>
      </c>
      <c r="I1368" s="37">
        <v>1</v>
      </c>
      <c r="J1368" s="672">
        <f t="shared" si="208"/>
        <v>0.0348237189047307</v>
      </c>
      <c r="K1368" s="673">
        <f t="shared" si="209"/>
        <v>0.548329764453961</v>
      </c>
      <c r="L1368" s="809">
        <f t="shared" si="214"/>
        <v>19.0948815844419</v>
      </c>
      <c r="M1368" s="839">
        <f t="shared" si="215"/>
        <v>18.9752880071855</v>
      </c>
      <c r="N1368" s="39">
        <f t="shared" si="210"/>
        <v>0.000856531049250535</v>
      </c>
      <c r="O1368" s="675">
        <f t="shared" si="211"/>
        <v>11.8550925925926</v>
      </c>
      <c r="P1368">
        <f t="shared" si="212"/>
        <v>108</v>
      </c>
      <c r="Q1368" s="842">
        <f t="shared" si="213"/>
        <v>0.0462526766595289</v>
      </c>
    </row>
    <row r="1369" spans="1:17">
      <c r="A1369" s="801">
        <v>46117</v>
      </c>
      <c r="B1369" s="670">
        <v>1289.91</v>
      </c>
      <c r="C1369" s="671">
        <v>70745</v>
      </c>
      <c r="D1369" s="37">
        <v>2876</v>
      </c>
      <c r="E1369" s="37">
        <v>3</v>
      </c>
      <c r="F1369" s="670">
        <v>24035</v>
      </c>
      <c r="G1369" s="37">
        <v>24</v>
      </c>
      <c r="H1369" s="37">
        <v>70</v>
      </c>
      <c r="I1369" s="37">
        <v>1</v>
      </c>
      <c r="J1369" s="672">
        <f t="shared" si="208"/>
        <v>0.0406530496854901</v>
      </c>
      <c r="K1369" s="673">
        <f t="shared" si="209"/>
        <v>0.448508344923505</v>
      </c>
      <c r="L1369" s="809">
        <f t="shared" si="214"/>
        <v>18.2332320305322</v>
      </c>
      <c r="M1369" s="839">
        <f t="shared" si="215"/>
        <v>18.6330829282663</v>
      </c>
      <c r="N1369" s="39">
        <f t="shared" si="210"/>
        <v>0.00104311543810848</v>
      </c>
      <c r="O1369" s="675">
        <f t="shared" si="211"/>
        <v>13.7224468085106</v>
      </c>
      <c r="P1369">
        <f t="shared" si="212"/>
        <v>94</v>
      </c>
      <c r="Q1369" s="842">
        <f t="shared" si="213"/>
        <v>0.0326842837273992</v>
      </c>
    </row>
    <row r="1370" spans="1:17">
      <c r="A1370" s="801">
        <v>46118</v>
      </c>
      <c r="B1370" s="670">
        <v>1271.32</v>
      </c>
      <c r="C1370" s="671">
        <v>77441</v>
      </c>
      <c r="D1370" s="37">
        <v>2961</v>
      </c>
      <c r="E1370" s="37">
        <v>0</v>
      </c>
      <c r="F1370" s="670">
        <v>0</v>
      </c>
      <c r="G1370" s="37">
        <v>19</v>
      </c>
      <c r="H1370" s="37">
        <v>68</v>
      </c>
      <c r="I1370" s="37">
        <v>4</v>
      </c>
      <c r="J1370" s="672">
        <f t="shared" ref="J1370:J1402" si="216">D1370/C1370</f>
        <v>0.0382355599746904</v>
      </c>
      <c r="K1370" s="673">
        <f t="shared" ref="K1370:K1402" si="217">B1370/D1370</f>
        <v>0.42935494765282</v>
      </c>
      <c r="L1370" s="809">
        <f t="shared" si="214"/>
        <v>16.4166268514095</v>
      </c>
      <c r="M1370" s="839">
        <f t="shared" si="215"/>
        <v>0</v>
      </c>
      <c r="N1370" s="39">
        <f t="shared" ref="N1370:N1402" si="218">E1370/D1370</f>
        <v>0</v>
      </c>
      <c r="O1370" s="675">
        <f t="shared" ref="O1370:O1402" si="219">B1370/(G1370+H1370)</f>
        <v>14.6128735632184</v>
      </c>
      <c r="P1370">
        <f t="shared" ref="P1370:P1402" si="220">G1370+H1370</f>
        <v>87</v>
      </c>
      <c r="Q1370" s="842">
        <f t="shared" ref="Q1370:Q1402" si="221">P1370/D1370</f>
        <v>0.0293819655521783</v>
      </c>
    </row>
    <row r="1371" spans="1:17">
      <c r="A1371" s="801">
        <v>46119</v>
      </c>
      <c r="B1371" s="670">
        <v>736.5</v>
      </c>
      <c r="C1371" s="671">
        <v>28469</v>
      </c>
      <c r="D1371" s="37">
        <v>1194</v>
      </c>
      <c r="E1371" s="37">
        <v>1</v>
      </c>
      <c r="F1371" s="670">
        <v>8492</v>
      </c>
      <c r="G1371" s="37">
        <v>20</v>
      </c>
      <c r="H1371" s="37">
        <v>43</v>
      </c>
      <c r="I1371" s="37">
        <v>6</v>
      </c>
      <c r="J1371" s="672">
        <f t="shared" si="216"/>
        <v>0.0419403561768942</v>
      </c>
      <c r="K1371" s="673">
        <f t="shared" si="217"/>
        <v>0.616834170854271</v>
      </c>
      <c r="L1371" s="809">
        <f t="shared" si="214"/>
        <v>25.8702448277073</v>
      </c>
      <c r="M1371" s="839">
        <f t="shared" si="215"/>
        <v>11.530210454854</v>
      </c>
      <c r="N1371" s="39">
        <f t="shared" si="218"/>
        <v>0.000837520938023451</v>
      </c>
      <c r="O1371" s="675">
        <f t="shared" si="219"/>
        <v>11.6904761904762</v>
      </c>
      <c r="P1371">
        <f t="shared" si="220"/>
        <v>63</v>
      </c>
      <c r="Q1371" s="842">
        <f t="shared" si="221"/>
        <v>0.0527638190954774</v>
      </c>
    </row>
    <row r="1372" spans="1:17">
      <c r="A1372" s="801">
        <v>46120</v>
      </c>
      <c r="B1372" s="670">
        <v>747.7</v>
      </c>
      <c r="C1372" s="671">
        <v>35262</v>
      </c>
      <c r="D1372" s="37">
        <v>1210</v>
      </c>
      <c r="E1372" s="37">
        <v>0</v>
      </c>
      <c r="F1372" s="670">
        <v>0</v>
      </c>
      <c r="G1372" s="37">
        <v>17</v>
      </c>
      <c r="H1372" s="37">
        <v>30</v>
      </c>
      <c r="I1372" s="37">
        <v>1</v>
      </c>
      <c r="J1372" s="672">
        <f t="shared" si="216"/>
        <v>0.0343145595825535</v>
      </c>
      <c r="K1372" s="673">
        <f t="shared" si="217"/>
        <v>0.617933884297521</v>
      </c>
      <c r="L1372" s="809">
        <f t="shared" si="214"/>
        <v>21.204129090806</v>
      </c>
      <c r="M1372" s="839">
        <f t="shared" si="215"/>
        <v>0</v>
      </c>
      <c r="N1372" s="39">
        <f t="shared" si="218"/>
        <v>0</v>
      </c>
      <c r="O1372" s="675">
        <f t="shared" si="219"/>
        <v>15.9085106382979</v>
      </c>
      <c r="P1372">
        <f t="shared" si="220"/>
        <v>47</v>
      </c>
      <c r="Q1372" s="842">
        <f t="shared" si="221"/>
        <v>0.0388429752066116</v>
      </c>
    </row>
    <row r="1373" spans="1:17">
      <c r="A1373" s="801">
        <v>46121</v>
      </c>
      <c r="B1373" s="670">
        <v>735.23</v>
      </c>
      <c r="C1373" s="671">
        <v>29906</v>
      </c>
      <c r="D1373" s="37">
        <v>1158</v>
      </c>
      <c r="E1373" s="37">
        <v>1</v>
      </c>
      <c r="F1373" s="670">
        <v>5484</v>
      </c>
      <c r="G1373" s="37">
        <v>25</v>
      </c>
      <c r="H1373" s="37">
        <v>32</v>
      </c>
      <c r="I1373" s="37">
        <v>0</v>
      </c>
      <c r="J1373" s="672">
        <f t="shared" si="216"/>
        <v>0.0387213268240487</v>
      </c>
      <c r="K1373" s="673">
        <f t="shared" si="217"/>
        <v>0.634913644214162</v>
      </c>
      <c r="L1373" s="809">
        <f t="shared" si="214"/>
        <v>24.5846987226643</v>
      </c>
      <c r="M1373" s="839">
        <f t="shared" si="215"/>
        <v>7.45889041524421</v>
      </c>
      <c r="N1373" s="39">
        <f t="shared" si="218"/>
        <v>0.000863557858376511</v>
      </c>
      <c r="O1373" s="675">
        <f t="shared" si="219"/>
        <v>12.8987719298246</v>
      </c>
      <c r="P1373">
        <f t="shared" si="220"/>
        <v>57</v>
      </c>
      <c r="Q1373" s="842">
        <f t="shared" si="221"/>
        <v>0.0492227979274611</v>
      </c>
    </row>
    <row r="1374" spans="1:17">
      <c r="A1374" s="801">
        <v>46122</v>
      </c>
      <c r="B1374" s="670">
        <v>736.55</v>
      </c>
      <c r="C1374" s="671">
        <v>33653</v>
      </c>
      <c r="D1374" s="37">
        <v>1391</v>
      </c>
      <c r="E1374" s="37">
        <v>4</v>
      </c>
      <c r="F1374" s="670">
        <v>71690.06</v>
      </c>
      <c r="G1374" s="37">
        <v>9</v>
      </c>
      <c r="H1374" s="37">
        <v>36</v>
      </c>
      <c r="I1374" s="37">
        <v>1</v>
      </c>
      <c r="J1374" s="672">
        <f t="shared" si="216"/>
        <v>0.0413336106736398</v>
      </c>
      <c r="K1374" s="673">
        <f t="shared" si="217"/>
        <v>0.529511143062545</v>
      </c>
      <c r="L1374" s="809">
        <f t="shared" si="214"/>
        <v>21.8866074347012</v>
      </c>
      <c r="M1374" s="839">
        <f t="shared" si="215"/>
        <v>97.3322381372616</v>
      </c>
      <c r="N1374" s="39">
        <f t="shared" si="218"/>
        <v>0.00287562904385334</v>
      </c>
      <c r="O1374" s="675">
        <f t="shared" si="219"/>
        <v>16.3677777777778</v>
      </c>
      <c r="P1374">
        <f t="shared" si="220"/>
        <v>45</v>
      </c>
      <c r="Q1374" s="842">
        <f t="shared" si="221"/>
        <v>0.0323508267433501</v>
      </c>
    </row>
    <row r="1375" spans="1:17">
      <c r="A1375" s="801">
        <v>46123</v>
      </c>
      <c r="B1375" s="670">
        <v>730.06</v>
      </c>
      <c r="C1375" s="671">
        <v>25410</v>
      </c>
      <c r="D1375" s="37">
        <v>1372</v>
      </c>
      <c r="E1375" s="37">
        <v>0</v>
      </c>
      <c r="F1375" s="670">
        <v>0</v>
      </c>
      <c r="G1375" s="37">
        <v>13</v>
      </c>
      <c r="H1375" s="37">
        <v>69</v>
      </c>
      <c r="I1375" s="37">
        <v>1</v>
      </c>
      <c r="J1375" s="672">
        <f t="shared" si="216"/>
        <v>0.0539944903581267</v>
      </c>
      <c r="K1375" s="673">
        <f t="shared" si="217"/>
        <v>0.532113702623907</v>
      </c>
      <c r="L1375" s="809">
        <f t="shared" si="214"/>
        <v>28.7312081857536</v>
      </c>
      <c r="M1375" s="839">
        <f t="shared" si="215"/>
        <v>0</v>
      </c>
      <c r="N1375" s="39">
        <f t="shared" si="218"/>
        <v>0</v>
      </c>
      <c r="O1375" s="675">
        <f t="shared" si="219"/>
        <v>8.90317073170732</v>
      </c>
      <c r="P1375">
        <f t="shared" si="220"/>
        <v>82</v>
      </c>
      <c r="Q1375" s="842">
        <f t="shared" si="221"/>
        <v>0.0597667638483965</v>
      </c>
    </row>
    <row r="1376" spans="1:17">
      <c r="A1376" s="801">
        <v>46124</v>
      </c>
      <c r="B1376" s="670">
        <v>733.46</v>
      </c>
      <c r="C1376" s="671">
        <v>33430</v>
      </c>
      <c r="D1376" s="37">
        <v>1808</v>
      </c>
      <c r="E1376" s="37">
        <v>6</v>
      </c>
      <c r="F1376" s="670">
        <v>73914</v>
      </c>
      <c r="G1376" s="37">
        <v>20</v>
      </c>
      <c r="H1376" s="37">
        <v>53</v>
      </c>
      <c r="I1376" s="37">
        <v>5</v>
      </c>
      <c r="J1376" s="672">
        <f t="shared" si="216"/>
        <v>0.0540831588393658</v>
      </c>
      <c r="K1376" s="673">
        <f t="shared" si="217"/>
        <v>0.405674778761062</v>
      </c>
      <c r="L1376" s="809">
        <f t="shared" si="214"/>
        <v>21.9401734968591</v>
      </c>
      <c r="M1376" s="839">
        <f t="shared" si="215"/>
        <v>100.774411692526</v>
      </c>
      <c r="N1376" s="39">
        <f t="shared" si="218"/>
        <v>0.00331858407079646</v>
      </c>
      <c r="O1376" s="675">
        <f t="shared" si="219"/>
        <v>10.047397260274</v>
      </c>
      <c r="P1376">
        <f t="shared" si="220"/>
        <v>73</v>
      </c>
      <c r="Q1376" s="842">
        <f t="shared" si="221"/>
        <v>0.0403761061946903</v>
      </c>
    </row>
    <row r="1377" spans="1:17">
      <c r="A1377" s="801">
        <v>46125</v>
      </c>
      <c r="B1377" s="670">
        <v>922.65</v>
      </c>
      <c r="C1377" s="671">
        <v>38165</v>
      </c>
      <c r="D1377" s="37">
        <v>1293</v>
      </c>
      <c r="E1377" s="37">
        <v>0</v>
      </c>
      <c r="F1377" s="670">
        <v>0</v>
      </c>
      <c r="G1377" s="37">
        <v>22</v>
      </c>
      <c r="H1377" s="37">
        <v>11</v>
      </c>
      <c r="I1377" s="37">
        <v>3</v>
      </c>
      <c r="J1377" s="672">
        <f t="shared" si="216"/>
        <v>0.0338792086990698</v>
      </c>
      <c r="K1377" s="673">
        <f t="shared" si="217"/>
        <v>0.713573085846868</v>
      </c>
      <c r="L1377" s="809">
        <f t="shared" si="214"/>
        <v>24.1752914974453</v>
      </c>
      <c r="M1377" s="839">
        <f t="shared" si="215"/>
        <v>0</v>
      </c>
      <c r="N1377" s="39">
        <f t="shared" si="218"/>
        <v>0</v>
      </c>
      <c r="O1377" s="675">
        <f t="shared" si="219"/>
        <v>27.9590909090909</v>
      </c>
      <c r="P1377">
        <f t="shared" si="220"/>
        <v>33</v>
      </c>
      <c r="Q1377" s="842">
        <f t="shared" si="221"/>
        <v>0.0255220417633411</v>
      </c>
    </row>
    <row r="1378" spans="1:17">
      <c r="A1378" s="801">
        <v>46126</v>
      </c>
      <c r="B1378" s="670">
        <v>799.47</v>
      </c>
      <c r="C1378" s="671">
        <v>27015</v>
      </c>
      <c r="D1378" s="37">
        <v>691</v>
      </c>
      <c r="E1378" s="37">
        <v>5</v>
      </c>
      <c r="F1378" s="670">
        <v>40352</v>
      </c>
      <c r="G1378" s="37">
        <v>33</v>
      </c>
      <c r="H1378" s="37">
        <v>7</v>
      </c>
      <c r="I1378" s="37">
        <v>1</v>
      </c>
      <c r="J1378" s="672">
        <f t="shared" si="216"/>
        <v>0.0255783823801592</v>
      </c>
      <c r="K1378" s="673">
        <f t="shared" si="217"/>
        <v>1.15697539797395</v>
      </c>
      <c r="L1378" s="809">
        <f>B1378/C1378*1000</f>
        <v>29.5935591338145</v>
      </c>
      <c r="M1378" s="839">
        <f t="shared" si="215"/>
        <v>50.4734386531077</v>
      </c>
      <c r="N1378" s="39">
        <f t="shared" si="218"/>
        <v>0.00723589001447178</v>
      </c>
      <c r="O1378" s="675">
        <f t="shared" si="219"/>
        <v>19.98675</v>
      </c>
      <c r="P1378">
        <f t="shared" si="220"/>
        <v>40</v>
      </c>
      <c r="Q1378" s="842">
        <f t="shared" si="221"/>
        <v>0.0578871201157742</v>
      </c>
    </row>
    <row r="1379" spans="1:17">
      <c r="A1379" s="801">
        <v>46127</v>
      </c>
      <c r="B1379" s="670">
        <v>786.88</v>
      </c>
      <c r="C1379" s="671">
        <v>27753</v>
      </c>
      <c r="D1379" s="37">
        <v>1002</v>
      </c>
      <c r="E1379" s="37">
        <v>0</v>
      </c>
      <c r="F1379" s="670">
        <v>0</v>
      </c>
      <c r="G1379" s="37">
        <v>19</v>
      </c>
      <c r="H1379" s="37">
        <v>15</v>
      </c>
      <c r="I1379" s="37">
        <v>0</v>
      </c>
      <c r="J1379" s="672">
        <f t="shared" si="216"/>
        <v>0.0361042049508161</v>
      </c>
      <c r="K1379" s="673">
        <f t="shared" si="217"/>
        <v>0.785309381237525</v>
      </c>
      <c r="L1379" s="809">
        <f>B1379/C1379*1000</f>
        <v>28.3529708499982</v>
      </c>
      <c r="M1379" s="839">
        <f t="shared" si="215"/>
        <v>0</v>
      </c>
      <c r="N1379" s="39">
        <f t="shared" si="218"/>
        <v>0</v>
      </c>
      <c r="O1379" s="675">
        <f t="shared" si="219"/>
        <v>23.1435294117647</v>
      </c>
      <c r="P1379">
        <f t="shared" si="220"/>
        <v>34</v>
      </c>
      <c r="Q1379" s="842">
        <f t="shared" si="221"/>
        <v>0.0339321357285429</v>
      </c>
    </row>
    <row r="1380" spans="1:17">
      <c r="A1380" s="801">
        <v>46128</v>
      </c>
      <c r="B1380" s="670">
        <v>698.15</v>
      </c>
      <c r="C1380" s="671">
        <v>25732</v>
      </c>
      <c r="D1380" s="37">
        <v>964</v>
      </c>
      <c r="E1380" s="37">
        <v>2</v>
      </c>
      <c r="F1380" s="670">
        <v>18789</v>
      </c>
      <c r="G1380" s="37">
        <v>21</v>
      </c>
      <c r="H1380" s="37">
        <v>14</v>
      </c>
      <c r="I1380" s="37">
        <v>2</v>
      </c>
      <c r="J1380" s="672">
        <f t="shared" si="216"/>
        <v>0.0374630809886523</v>
      </c>
      <c r="K1380" s="673">
        <f t="shared" si="217"/>
        <v>0.724221991701245</v>
      </c>
      <c r="L1380" s="809">
        <f>B1380/C1380*1000</f>
        <v>27.1315871288668</v>
      </c>
      <c r="M1380" s="839">
        <f t="shared" si="215"/>
        <v>26.9125546086085</v>
      </c>
      <c r="N1380" s="39">
        <f t="shared" si="218"/>
        <v>0.0020746887966805</v>
      </c>
      <c r="O1380" s="675">
        <f t="shared" si="219"/>
        <v>19.9471428571429</v>
      </c>
      <c r="P1380">
        <f t="shared" si="220"/>
        <v>35</v>
      </c>
      <c r="Q1380" s="842">
        <f t="shared" si="221"/>
        <v>0.0363070539419087</v>
      </c>
    </row>
    <row r="1381" spans="1:17">
      <c r="A1381" s="801">
        <v>46129</v>
      </c>
      <c r="B1381" s="670">
        <v>693.06</v>
      </c>
      <c r="C1381" s="671">
        <v>24661</v>
      </c>
      <c r="D1381" s="37">
        <v>975</v>
      </c>
      <c r="E1381" s="37">
        <v>0</v>
      </c>
      <c r="F1381" s="670">
        <v>0</v>
      </c>
      <c r="G1381" s="37">
        <v>19</v>
      </c>
      <c r="H1381" s="37">
        <v>33</v>
      </c>
      <c r="I1381" s="37">
        <v>2</v>
      </c>
      <c r="J1381" s="672">
        <f t="shared" si="216"/>
        <v>0.0395361096468108</v>
      </c>
      <c r="K1381" s="673">
        <f t="shared" si="217"/>
        <v>0.710830769230769</v>
      </c>
      <c r="L1381" s="809">
        <f>B1381/C1381*1000</f>
        <v>28.1034832326345</v>
      </c>
      <c r="M1381" s="839">
        <f t="shared" si="215"/>
        <v>0</v>
      </c>
      <c r="N1381" s="39">
        <f t="shared" si="218"/>
        <v>0</v>
      </c>
      <c r="O1381" s="675">
        <f t="shared" si="219"/>
        <v>13.3280769230769</v>
      </c>
      <c r="P1381">
        <f t="shared" si="220"/>
        <v>52</v>
      </c>
      <c r="Q1381" s="842">
        <f t="shared" si="221"/>
        <v>0.0533333333333333</v>
      </c>
    </row>
    <row r="1382" spans="1:17">
      <c r="A1382" s="801">
        <v>46130</v>
      </c>
      <c r="B1382" s="670">
        <v>498.05</v>
      </c>
      <c r="C1382" s="671">
        <v>18527</v>
      </c>
      <c r="D1382" s="37">
        <v>811</v>
      </c>
      <c r="E1382" s="37">
        <v>6</v>
      </c>
      <c r="F1382" s="670">
        <v>120304</v>
      </c>
      <c r="G1382" s="37">
        <v>18</v>
      </c>
      <c r="H1382" s="37">
        <v>26</v>
      </c>
      <c r="I1382" s="37">
        <v>3</v>
      </c>
      <c r="J1382" s="672">
        <f t="shared" si="216"/>
        <v>0.0437739515301992</v>
      </c>
      <c r="K1382" s="673">
        <f t="shared" si="217"/>
        <v>0.614118372379778</v>
      </c>
      <c r="L1382" s="809">
        <f>B1382/C1382*1000</f>
        <v>26.8823878663572</v>
      </c>
      <c r="M1382" s="839">
        <f t="shared" si="215"/>
        <v>241.550045176187</v>
      </c>
      <c r="N1382" s="39">
        <f t="shared" si="218"/>
        <v>0.00739827373612824</v>
      </c>
      <c r="O1382" s="675">
        <f t="shared" si="219"/>
        <v>11.3193181818182</v>
      </c>
      <c r="P1382">
        <f t="shared" si="220"/>
        <v>44</v>
      </c>
      <c r="Q1382" s="842">
        <f t="shared" si="221"/>
        <v>0.0542540073982737</v>
      </c>
    </row>
    <row r="1383" spans="1:17">
      <c r="A1383" s="801">
        <v>46131</v>
      </c>
      <c r="B1383" s="670">
        <v>500</v>
      </c>
      <c r="C1383" s="671">
        <v>15748</v>
      </c>
      <c r="D1383" s="37">
        <v>475</v>
      </c>
      <c r="E1383" s="37">
        <v>2</v>
      </c>
      <c r="F1383" s="670">
        <v>21627</v>
      </c>
      <c r="G1383" s="37">
        <v>21</v>
      </c>
      <c r="H1383" s="37">
        <v>1</v>
      </c>
      <c r="I1383" s="37">
        <v>2</v>
      </c>
      <c r="J1383" s="672">
        <f t="shared" si="216"/>
        <v>0.0301625603251207</v>
      </c>
      <c r="K1383" s="673">
        <f t="shared" si="217"/>
        <v>1.05263157894737</v>
      </c>
      <c r="L1383" s="809">
        <f>B1383/C1383*1000</f>
        <v>31.750063500127</v>
      </c>
      <c r="M1383" s="839">
        <f t="shared" si="215"/>
        <v>43.254</v>
      </c>
      <c r="N1383" s="39">
        <f t="shared" si="218"/>
        <v>0.00421052631578947</v>
      </c>
      <c r="O1383" s="675">
        <f t="shared" si="219"/>
        <v>22.7272727272727</v>
      </c>
      <c r="P1383">
        <f t="shared" si="220"/>
        <v>22</v>
      </c>
      <c r="Q1383" s="842">
        <f t="shared" si="221"/>
        <v>0.0463157894736842</v>
      </c>
    </row>
    <row r="1384" spans="1:17">
      <c r="A1384" s="801">
        <v>46132</v>
      </c>
      <c r="B1384" s="670">
        <v>799.63</v>
      </c>
      <c r="C1384" s="671">
        <v>29778</v>
      </c>
      <c r="D1384" s="37">
        <v>953</v>
      </c>
      <c r="E1384" s="37">
        <v>2</v>
      </c>
      <c r="F1384" s="670">
        <v>12832</v>
      </c>
      <c r="G1384" s="37">
        <v>10</v>
      </c>
      <c r="H1384" s="37">
        <v>3</v>
      </c>
      <c r="I1384" s="37">
        <v>1</v>
      </c>
      <c r="J1384" s="672">
        <f t="shared" si="216"/>
        <v>0.0320034925112499</v>
      </c>
      <c r="K1384" s="673">
        <f t="shared" si="217"/>
        <v>0.83906610703043</v>
      </c>
      <c r="L1384" s="809">
        <f>B1384/C1384*1000</f>
        <v>26.853045872792</v>
      </c>
      <c r="M1384" s="839">
        <f t="shared" si="215"/>
        <v>16.0474219326438</v>
      </c>
      <c r="N1384" s="39">
        <f t="shared" si="218"/>
        <v>0.00209863588667366</v>
      </c>
      <c r="O1384" s="675">
        <f t="shared" si="219"/>
        <v>61.51</v>
      </c>
      <c r="P1384">
        <f t="shared" si="220"/>
        <v>13</v>
      </c>
      <c r="Q1384" s="842">
        <f t="shared" si="221"/>
        <v>0.0136411332633788</v>
      </c>
    </row>
    <row r="1385" spans="1:17">
      <c r="A1385" s="801">
        <v>46133</v>
      </c>
      <c r="B1385" s="670">
        <v>1476.04</v>
      </c>
      <c r="C1385" s="671">
        <v>59139</v>
      </c>
      <c r="D1385" s="37">
        <v>1941</v>
      </c>
      <c r="E1385" s="37">
        <v>2</v>
      </c>
      <c r="F1385" s="670">
        <v>48228</v>
      </c>
      <c r="G1385" s="37">
        <v>42</v>
      </c>
      <c r="H1385" s="37">
        <v>26</v>
      </c>
      <c r="I1385" s="37">
        <v>4</v>
      </c>
      <c r="J1385" s="672">
        <f t="shared" si="216"/>
        <v>0.0328209810784761</v>
      </c>
      <c r="K1385" s="673">
        <f t="shared" si="217"/>
        <v>0.760453374549201</v>
      </c>
      <c r="L1385" s="809">
        <f>B1385/C1385*1000</f>
        <v>24.9588258171427</v>
      </c>
      <c r="M1385" s="839">
        <f t="shared" si="215"/>
        <v>32.6739112761172</v>
      </c>
      <c r="N1385" s="39">
        <f t="shared" si="218"/>
        <v>0.00103039670273055</v>
      </c>
      <c r="O1385" s="675">
        <f t="shared" si="219"/>
        <v>21.7064705882353</v>
      </c>
      <c r="P1385">
        <f t="shared" si="220"/>
        <v>68</v>
      </c>
      <c r="Q1385" s="842">
        <f t="shared" si="221"/>
        <v>0.0350334878928387</v>
      </c>
    </row>
    <row r="1386" spans="1:17">
      <c r="A1386" s="801">
        <v>46134</v>
      </c>
      <c r="B1386" s="670">
        <v>1484.01</v>
      </c>
      <c r="C1386" s="671">
        <v>63349</v>
      </c>
      <c r="D1386" s="37">
        <v>2261</v>
      </c>
      <c r="E1386" s="37">
        <v>0</v>
      </c>
      <c r="F1386" s="670">
        <v>0</v>
      </c>
      <c r="G1386" s="37">
        <v>34</v>
      </c>
      <c r="H1386" s="37">
        <v>38</v>
      </c>
      <c r="I1386" s="37">
        <v>4</v>
      </c>
      <c r="J1386" s="672">
        <f t="shared" si="216"/>
        <v>0.0356911711313517</v>
      </c>
      <c r="K1386" s="673">
        <f t="shared" si="217"/>
        <v>0.656351172047766</v>
      </c>
      <c r="L1386" s="809">
        <f>B1386/C1386*1000</f>
        <v>23.4259420038201</v>
      </c>
      <c r="M1386" s="839">
        <f t="shared" si="215"/>
        <v>0</v>
      </c>
      <c r="N1386" s="39">
        <f t="shared" si="218"/>
        <v>0</v>
      </c>
      <c r="O1386" s="675">
        <f t="shared" si="219"/>
        <v>20.61125</v>
      </c>
      <c r="P1386">
        <f t="shared" si="220"/>
        <v>72</v>
      </c>
      <c r="Q1386" s="842">
        <f t="shared" si="221"/>
        <v>0.031844316674038</v>
      </c>
    </row>
    <row r="1387" spans="1:17">
      <c r="A1387" s="801">
        <v>46135</v>
      </c>
      <c r="B1387" s="670">
        <v>1487.97</v>
      </c>
      <c r="C1387" s="671">
        <v>52213</v>
      </c>
      <c r="D1387" s="37">
        <v>2035</v>
      </c>
      <c r="E1387" s="37">
        <v>2</v>
      </c>
      <c r="F1387" s="670">
        <v>19769.02</v>
      </c>
      <c r="G1387" s="37">
        <v>28</v>
      </c>
      <c r="H1387" s="37">
        <v>34</v>
      </c>
      <c r="I1387" s="37">
        <v>3</v>
      </c>
      <c r="J1387" s="672">
        <f t="shared" si="216"/>
        <v>0.0389749679198667</v>
      </c>
      <c r="K1387" s="673">
        <f t="shared" si="217"/>
        <v>0.731189189189189</v>
      </c>
      <c r="L1387" s="809">
        <f>B1387/C1387*1000</f>
        <v>28.498075192002</v>
      </c>
      <c r="M1387" s="839">
        <f t="shared" si="215"/>
        <v>13.2858995813088</v>
      </c>
      <c r="N1387" s="39">
        <f t="shared" si="218"/>
        <v>0.000982800982800983</v>
      </c>
      <c r="O1387" s="675">
        <f t="shared" si="219"/>
        <v>23.9995161290323</v>
      </c>
      <c r="P1387">
        <f t="shared" si="220"/>
        <v>62</v>
      </c>
      <c r="Q1387" s="842">
        <f t="shared" si="221"/>
        <v>0.0304668304668305</v>
      </c>
    </row>
    <row r="1388" spans="1:17">
      <c r="A1388" s="801">
        <v>46136</v>
      </c>
      <c r="B1388" s="670">
        <v>1487.28</v>
      </c>
      <c r="C1388" s="671">
        <v>60542</v>
      </c>
      <c r="D1388" s="37">
        <v>1930</v>
      </c>
      <c r="E1388" s="37">
        <v>0</v>
      </c>
      <c r="F1388" s="670">
        <v>0</v>
      </c>
      <c r="G1388" s="37">
        <v>36</v>
      </c>
      <c r="H1388" s="37">
        <v>20</v>
      </c>
      <c r="I1388" s="37">
        <v>6</v>
      </c>
      <c r="J1388" s="672">
        <f t="shared" si="216"/>
        <v>0.031878695781441</v>
      </c>
      <c r="K1388" s="673">
        <f t="shared" si="217"/>
        <v>0.770611398963731</v>
      </c>
      <c r="L1388" s="809">
        <f>B1388/C1388*1000</f>
        <v>24.5660863532754</v>
      </c>
      <c r="M1388" s="839">
        <f t="shared" si="215"/>
        <v>0</v>
      </c>
      <c r="N1388" s="39">
        <f t="shared" si="218"/>
        <v>0</v>
      </c>
      <c r="O1388" s="675">
        <f t="shared" si="219"/>
        <v>26.5585714285714</v>
      </c>
      <c r="P1388">
        <f t="shared" si="220"/>
        <v>56</v>
      </c>
      <c r="Q1388" s="842">
        <f t="shared" si="221"/>
        <v>0.0290155440414508</v>
      </c>
    </row>
    <row r="1389" spans="1:17">
      <c r="A1389" s="801">
        <v>46137</v>
      </c>
      <c r="B1389" s="670">
        <v>1477.47</v>
      </c>
      <c r="C1389" s="671">
        <v>60768</v>
      </c>
      <c r="D1389" s="37">
        <v>2322</v>
      </c>
      <c r="E1389" s="37">
        <v>0</v>
      </c>
      <c r="F1389" s="670">
        <v>0</v>
      </c>
      <c r="G1389" s="37">
        <v>30</v>
      </c>
      <c r="H1389" s="37">
        <v>23</v>
      </c>
      <c r="I1389" s="37">
        <v>2</v>
      </c>
      <c r="J1389" s="672">
        <f t="shared" si="216"/>
        <v>0.0382109004739336</v>
      </c>
      <c r="K1389" s="673">
        <f t="shared" si="217"/>
        <v>0.636291989664083</v>
      </c>
      <c r="L1389" s="809">
        <f>B1389/C1389*1000</f>
        <v>24.3132898894155</v>
      </c>
      <c r="M1389" s="839">
        <f t="shared" si="215"/>
        <v>0</v>
      </c>
      <c r="N1389" s="39">
        <f t="shared" si="218"/>
        <v>0</v>
      </c>
      <c r="O1389" s="675">
        <f t="shared" si="219"/>
        <v>27.8767924528302</v>
      </c>
      <c r="P1389">
        <f t="shared" si="220"/>
        <v>53</v>
      </c>
      <c r="Q1389" s="842">
        <f t="shared" si="221"/>
        <v>0.0228251507321275</v>
      </c>
    </row>
    <row r="1390" spans="1:17">
      <c r="A1390" s="801">
        <v>46138</v>
      </c>
      <c r="B1390" s="670">
        <v>1488.35</v>
      </c>
      <c r="C1390" s="671">
        <v>68093</v>
      </c>
      <c r="D1390" s="37">
        <v>3307</v>
      </c>
      <c r="E1390" s="37">
        <v>1</v>
      </c>
      <c r="F1390" s="670">
        <v>9521.02</v>
      </c>
      <c r="G1390" s="37">
        <v>43</v>
      </c>
      <c r="H1390" s="37">
        <v>26</v>
      </c>
      <c r="I1390" s="37">
        <v>4</v>
      </c>
      <c r="J1390" s="672">
        <f t="shared" si="216"/>
        <v>0.0485659318872718</v>
      </c>
      <c r="K1390" s="673">
        <f t="shared" si="217"/>
        <v>0.450060477774418</v>
      </c>
      <c r="L1390" s="809">
        <f>B1390/C1390*1000</f>
        <v>21.8576065087454</v>
      </c>
      <c r="M1390" s="839">
        <f t="shared" si="215"/>
        <v>6.39703026841805</v>
      </c>
      <c r="N1390" s="39">
        <f t="shared" si="218"/>
        <v>0.000302388872089507</v>
      </c>
      <c r="O1390" s="675">
        <f t="shared" si="219"/>
        <v>21.5702898550725</v>
      </c>
      <c r="P1390">
        <f t="shared" si="220"/>
        <v>69</v>
      </c>
      <c r="Q1390" s="842">
        <f t="shared" si="221"/>
        <v>0.020864832174176</v>
      </c>
    </row>
    <row r="1391" spans="1:17">
      <c r="A1391" s="801">
        <v>46139</v>
      </c>
      <c r="B1391" s="670">
        <v>1479.66</v>
      </c>
      <c r="C1391" s="671">
        <v>58033</v>
      </c>
      <c r="D1391" s="37">
        <v>1879</v>
      </c>
      <c r="E1391" s="37">
        <v>2</v>
      </c>
      <c r="F1391" s="670">
        <v>39798</v>
      </c>
      <c r="G1391" s="37">
        <v>41</v>
      </c>
      <c r="H1391" s="37">
        <v>23</v>
      </c>
      <c r="I1391" s="37">
        <v>6</v>
      </c>
      <c r="J1391" s="672">
        <f t="shared" si="216"/>
        <v>0.0323781296848345</v>
      </c>
      <c r="K1391" s="673">
        <f t="shared" si="217"/>
        <v>0.787472059606174</v>
      </c>
      <c r="L1391" s="809">
        <f>B1391/C1391*1000</f>
        <v>25.4968724691124</v>
      </c>
      <c r="M1391" s="839">
        <f t="shared" si="215"/>
        <v>26.8967195166457</v>
      </c>
      <c r="N1391" s="39">
        <f t="shared" si="218"/>
        <v>0.00106439595529537</v>
      </c>
      <c r="O1391" s="675">
        <f t="shared" si="219"/>
        <v>23.1196875</v>
      </c>
      <c r="P1391">
        <f t="shared" si="220"/>
        <v>64</v>
      </c>
      <c r="Q1391" s="842">
        <f t="shared" si="221"/>
        <v>0.0340606705694518</v>
      </c>
    </row>
    <row r="1392" spans="1:17">
      <c r="A1392" s="801">
        <v>46140</v>
      </c>
      <c r="B1392" s="670">
        <v>1572.9</v>
      </c>
      <c r="C1392" s="671">
        <v>59019</v>
      </c>
      <c r="D1392" s="37">
        <v>1938</v>
      </c>
      <c r="E1392" s="37">
        <v>2</v>
      </c>
      <c r="F1392" s="670">
        <v>19406</v>
      </c>
      <c r="G1392" s="37">
        <v>37</v>
      </c>
      <c r="H1392" s="37">
        <v>27</v>
      </c>
      <c r="I1392" s="37">
        <v>1</v>
      </c>
      <c r="J1392" s="672">
        <f t="shared" si="216"/>
        <v>0.0328368830376658</v>
      </c>
      <c r="K1392" s="673">
        <f t="shared" si="217"/>
        <v>0.811609907120743</v>
      </c>
      <c r="L1392" s="809">
        <f>B1392/C1392*1000</f>
        <v>26.6507395923347</v>
      </c>
      <c r="M1392" s="839">
        <f t="shared" si="215"/>
        <v>12.3377201347829</v>
      </c>
      <c r="N1392" s="39">
        <f t="shared" si="218"/>
        <v>0.00103199174406605</v>
      </c>
      <c r="O1392" s="675">
        <f t="shared" si="219"/>
        <v>24.5765625</v>
      </c>
      <c r="P1392">
        <f t="shared" si="220"/>
        <v>64</v>
      </c>
      <c r="Q1392" s="842">
        <f t="shared" si="221"/>
        <v>0.0330237358101135</v>
      </c>
    </row>
    <row r="1393" spans="1:17">
      <c r="A1393" s="801">
        <v>46141</v>
      </c>
      <c r="B1393" s="670">
        <v>1445.15</v>
      </c>
      <c r="C1393" s="671">
        <v>56043</v>
      </c>
      <c r="D1393" s="37">
        <v>2324</v>
      </c>
      <c r="E1393" s="37">
        <v>1</v>
      </c>
      <c r="F1393" s="670">
        <v>23300</v>
      </c>
      <c r="G1393" s="37">
        <v>26</v>
      </c>
      <c r="H1393" s="37">
        <v>35</v>
      </c>
      <c r="I1393" s="37">
        <v>3</v>
      </c>
      <c r="J1393" s="672">
        <f t="shared" si="216"/>
        <v>0.041468158378388</v>
      </c>
      <c r="K1393" s="673">
        <f t="shared" si="217"/>
        <v>0.62183734939759</v>
      </c>
      <c r="L1393" s="809">
        <f>B1393/C1393*1000</f>
        <v>25.7864496904163</v>
      </c>
      <c r="M1393" s="839">
        <f t="shared" si="215"/>
        <v>16.1228938172508</v>
      </c>
      <c r="N1393" s="39">
        <f t="shared" si="218"/>
        <v>0.000430292598967298</v>
      </c>
      <c r="O1393" s="675">
        <f t="shared" si="219"/>
        <v>23.6909836065574</v>
      </c>
      <c r="P1393">
        <f t="shared" si="220"/>
        <v>61</v>
      </c>
      <c r="Q1393" s="842">
        <f t="shared" si="221"/>
        <v>0.0262478485370052</v>
      </c>
    </row>
    <row r="1394" spans="1:17">
      <c r="A1394" s="801">
        <v>46142</v>
      </c>
      <c r="B1394" s="670">
        <v>1512.37</v>
      </c>
      <c r="C1394" s="671">
        <v>57448</v>
      </c>
      <c r="D1394" s="37">
        <v>1695</v>
      </c>
      <c r="E1394" s="37">
        <v>1</v>
      </c>
      <c r="F1394" s="670">
        <v>7780</v>
      </c>
      <c r="G1394" s="37">
        <v>18</v>
      </c>
      <c r="H1394" s="37">
        <v>21</v>
      </c>
      <c r="I1394" s="37">
        <v>1</v>
      </c>
      <c r="J1394" s="672">
        <f t="shared" si="216"/>
        <v>0.0295049436011698</v>
      </c>
      <c r="K1394" s="673">
        <f t="shared" si="217"/>
        <v>0.892253687315634</v>
      </c>
      <c r="L1394" s="809">
        <f>B1394/C1394*1000</f>
        <v>26.3258947221835</v>
      </c>
      <c r="M1394" s="839">
        <f t="shared" si="215"/>
        <v>5.14424380277313</v>
      </c>
      <c r="N1394" s="39">
        <f t="shared" si="218"/>
        <v>0.000589970501474926</v>
      </c>
      <c r="O1394" s="675">
        <f t="shared" si="219"/>
        <v>38.7787179487179</v>
      </c>
      <c r="P1394">
        <f t="shared" si="220"/>
        <v>39</v>
      </c>
      <c r="Q1394" s="842">
        <f t="shared" si="221"/>
        <v>0.0230088495575221</v>
      </c>
    </row>
    <row r="1395" spans="1:17">
      <c r="A1395" s="801">
        <v>46143</v>
      </c>
      <c r="B1395" s="670">
        <v>1477.64</v>
      </c>
      <c r="C1395" s="671">
        <v>50113</v>
      </c>
      <c r="D1395" s="37">
        <v>1719</v>
      </c>
      <c r="E1395" s="37">
        <v>1</v>
      </c>
      <c r="F1395" s="670">
        <v>17548.02</v>
      </c>
      <c r="G1395" s="37">
        <v>13</v>
      </c>
      <c r="H1395" s="37">
        <v>24</v>
      </c>
      <c r="I1395" s="37">
        <v>1</v>
      </c>
      <c r="J1395" s="672">
        <f t="shared" si="216"/>
        <v>0.0343024764033285</v>
      </c>
      <c r="K1395" s="673">
        <f t="shared" si="217"/>
        <v>0.859592786503781</v>
      </c>
      <c r="L1395" s="809">
        <f>B1395/C1395*1000</f>
        <v>29.4861612755173</v>
      </c>
      <c r="M1395" s="839">
        <f t="shared" si="215"/>
        <v>11.8757072087924</v>
      </c>
      <c r="N1395" s="39">
        <f t="shared" si="218"/>
        <v>0.00058173356602676</v>
      </c>
      <c r="O1395" s="675">
        <f t="shared" si="219"/>
        <v>39.9362162162162</v>
      </c>
      <c r="P1395">
        <f t="shared" si="220"/>
        <v>37</v>
      </c>
      <c r="Q1395" s="842">
        <f t="shared" si="221"/>
        <v>0.0215241419429901</v>
      </c>
    </row>
    <row r="1396" spans="1:17">
      <c r="A1396" s="801">
        <v>46144</v>
      </c>
      <c r="B1396" s="670">
        <v>1743.88</v>
      </c>
      <c r="C1396" s="671">
        <v>70413</v>
      </c>
      <c r="D1396" s="37">
        <v>3051</v>
      </c>
      <c r="E1396" s="37">
        <v>2</v>
      </c>
      <c r="F1396" s="846">
        <v>62593.02</v>
      </c>
      <c r="G1396" s="37">
        <v>32</v>
      </c>
      <c r="H1396" s="37">
        <v>32</v>
      </c>
      <c r="I1396" s="37">
        <v>4</v>
      </c>
      <c r="J1396" s="672">
        <f t="shared" si="216"/>
        <v>0.043330066891057</v>
      </c>
      <c r="K1396" s="673">
        <f t="shared" si="217"/>
        <v>0.571576532284497</v>
      </c>
      <c r="L1396" s="809">
        <f>B1396/C1396*1000</f>
        <v>24.7664493772457</v>
      </c>
      <c r="M1396" s="839">
        <f t="shared" si="215"/>
        <v>35.8929628185426</v>
      </c>
      <c r="N1396" s="39">
        <f t="shared" si="218"/>
        <v>0.000655522779416585</v>
      </c>
      <c r="O1396" s="675">
        <f t="shared" si="219"/>
        <v>27.248125</v>
      </c>
      <c r="P1396">
        <f t="shared" si="220"/>
        <v>64</v>
      </c>
      <c r="Q1396" s="842">
        <f t="shared" si="221"/>
        <v>0.0209767289413307</v>
      </c>
    </row>
    <row r="1397" spans="1:17">
      <c r="A1397" s="801">
        <v>46145</v>
      </c>
      <c r="B1397" s="670">
        <v>1642.5</v>
      </c>
      <c r="C1397" s="671">
        <v>53738</v>
      </c>
      <c r="D1397" s="37">
        <v>2021</v>
      </c>
      <c r="E1397" s="37">
        <v>1</v>
      </c>
      <c r="F1397" s="846">
        <v>5138</v>
      </c>
      <c r="G1397" s="37">
        <v>19</v>
      </c>
      <c r="H1397" s="37">
        <v>40</v>
      </c>
      <c r="I1397" s="37">
        <v>2</v>
      </c>
      <c r="J1397" s="672">
        <f t="shared" si="216"/>
        <v>0.0376083962931259</v>
      </c>
      <c r="K1397" s="673">
        <f t="shared" si="217"/>
        <v>0.812716476991588</v>
      </c>
      <c r="L1397" s="809">
        <f>B1397/C1397*1000</f>
        <v>30.5649633406528</v>
      </c>
      <c r="M1397" s="839">
        <f t="shared" si="215"/>
        <v>3.12815829528158</v>
      </c>
      <c r="N1397" s="39">
        <f t="shared" si="218"/>
        <v>0.00049480455220188</v>
      </c>
      <c r="O1397" s="675">
        <f t="shared" si="219"/>
        <v>27.8389830508475</v>
      </c>
      <c r="P1397">
        <f t="shared" si="220"/>
        <v>59</v>
      </c>
      <c r="Q1397" s="842">
        <f t="shared" si="221"/>
        <v>0.0291934685799109</v>
      </c>
    </row>
    <row r="1398" spans="1:17">
      <c r="A1398" s="801">
        <v>46146</v>
      </c>
      <c r="B1398" s="670">
        <v>1825.5</v>
      </c>
      <c r="C1398" s="671">
        <v>67470</v>
      </c>
      <c r="D1398" s="37">
        <v>2672</v>
      </c>
      <c r="E1398" s="37">
        <v>0</v>
      </c>
      <c r="F1398" s="670">
        <v>0</v>
      </c>
      <c r="G1398" s="37">
        <v>19</v>
      </c>
      <c r="H1398" s="37">
        <v>33</v>
      </c>
      <c r="I1398" s="37">
        <v>3</v>
      </c>
      <c r="J1398" s="672">
        <f t="shared" si="216"/>
        <v>0.0396027864235957</v>
      </c>
      <c r="K1398" s="673">
        <f t="shared" si="217"/>
        <v>0.683196107784431</v>
      </c>
      <c r="L1398" s="809">
        <f>B1398/C1398*1000</f>
        <v>27.0564695420187</v>
      </c>
      <c r="M1398" s="839">
        <f t="shared" si="215"/>
        <v>0</v>
      </c>
      <c r="N1398" s="39">
        <f t="shared" si="218"/>
        <v>0</v>
      </c>
      <c r="O1398" s="675">
        <f t="shared" si="219"/>
        <v>35.1057692307692</v>
      </c>
      <c r="P1398">
        <f t="shared" si="220"/>
        <v>52</v>
      </c>
      <c r="Q1398" s="842">
        <f t="shared" si="221"/>
        <v>0.0194610778443114</v>
      </c>
    </row>
    <row r="1399" spans="1:17">
      <c r="A1399" s="801">
        <v>46147</v>
      </c>
      <c r="B1399" s="670">
        <v>1630.91</v>
      </c>
      <c r="C1399" s="671">
        <v>59305</v>
      </c>
      <c r="D1399" s="37">
        <v>1887</v>
      </c>
      <c r="E1399" s="37">
        <v>0</v>
      </c>
      <c r="F1399" s="670">
        <v>0</v>
      </c>
      <c r="G1399" s="37">
        <v>29</v>
      </c>
      <c r="H1399" s="37">
        <v>19</v>
      </c>
      <c r="I1399" s="37">
        <v>3</v>
      </c>
      <c r="J1399" s="672">
        <f t="shared" si="216"/>
        <v>0.0318185650451058</v>
      </c>
      <c r="K1399" s="673">
        <f t="shared" si="217"/>
        <v>0.864287228404875</v>
      </c>
      <c r="L1399" s="809">
        <f>B1399/C1399*1000</f>
        <v>27.5003793946548</v>
      </c>
      <c r="M1399" s="839">
        <f t="shared" si="215"/>
        <v>0</v>
      </c>
      <c r="N1399" s="39">
        <f t="shared" si="218"/>
        <v>0</v>
      </c>
      <c r="O1399" s="675">
        <f t="shared" si="219"/>
        <v>33.9772916666667</v>
      </c>
      <c r="P1399">
        <f t="shared" si="220"/>
        <v>48</v>
      </c>
      <c r="Q1399" s="842">
        <f t="shared" si="221"/>
        <v>0.0254372019077901</v>
      </c>
    </row>
    <row r="1400" spans="1:17">
      <c r="A1400" s="801">
        <v>46148</v>
      </c>
      <c r="B1400" s="670">
        <v>1508.4</v>
      </c>
      <c r="C1400" s="671">
        <v>45678</v>
      </c>
      <c r="D1400" s="37">
        <v>1134</v>
      </c>
      <c r="E1400" s="37">
        <v>1</v>
      </c>
      <c r="F1400" s="670">
        <v>11058</v>
      </c>
      <c r="G1400" s="37">
        <v>26</v>
      </c>
      <c r="H1400" s="37">
        <v>6</v>
      </c>
      <c r="I1400" s="37">
        <v>1</v>
      </c>
      <c r="J1400" s="672">
        <f t="shared" si="216"/>
        <v>0.0248259556022593</v>
      </c>
      <c r="K1400" s="673">
        <f t="shared" si="217"/>
        <v>1.33015873015873</v>
      </c>
      <c r="L1400" s="809">
        <f>B1400/C1400*1000</f>
        <v>33.0224615788782</v>
      </c>
      <c r="M1400" s="839">
        <f t="shared" si="215"/>
        <v>7.33094669848846</v>
      </c>
      <c r="N1400" s="39">
        <f t="shared" si="218"/>
        <v>0.000881834215167548</v>
      </c>
      <c r="O1400" s="675">
        <f t="shared" si="219"/>
        <v>47.1375</v>
      </c>
      <c r="P1400">
        <f t="shared" si="220"/>
        <v>32</v>
      </c>
      <c r="Q1400" s="842">
        <f t="shared" si="221"/>
        <v>0.0282186948853616</v>
      </c>
    </row>
    <row r="1401" spans="1:17">
      <c r="A1401" s="801">
        <v>46149</v>
      </c>
      <c r="B1401" s="670">
        <v>1532.81</v>
      </c>
      <c r="C1401" s="671">
        <v>51909</v>
      </c>
      <c r="D1401" s="37">
        <v>1413</v>
      </c>
      <c r="E1401" s="37">
        <v>1</v>
      </c>
      <c r="F1401" s="670">
        <v>8458</v>
      </c>
      <c r="G1401" s="37">
        <v>18</v>
      </c>
      <c r="H1401" s="37">
        <v>8</v>
      </c>
      <c r="I1401" s="37">
        <v>1</v>
      </c>
      <c r="J1401" s="672">
        <f t="shared" si="216"/>
        <v>0.0272207131711264</v>
      </c>
      <c r="K1401" s="673">
        <f t="shared" si="217"/>
        <v>1.08479122434536</v>
      </c>
      <c r="L1401" s="809">
        <f>B1401/C1401*1000</f>
        <v>29.5287907684602</v>
      </c>
      <c r="M1401" s="839">
        <f t="shared" si="215"/>
        <v>5.51797026376394</v>
      </c>
      <c r="N1401" s="39">
        <f t="shared" si="218"/>
        <v>0.000707714083510262</v>
      </c>
      <c r="O1401" s="675">
        <f t="shared" si="219"/>
        <v>58.9542307692308</v>
      </c>
      <c r="P1401">
        <f t="shared" si="220"/>
        <v>26</v>
      </c>
      <c r="Q1401" s="842">
        <f t="shared" si="221"/>
        <v>0.0184005661712668</v>
      </c>
    </row>
    <row r="1402" spans="1:17">
      <c r="A1402" s="801">
        <v>46150</v>
      </c>
      <c r="B1402" s="670">
        <v>1508</v>
      </c>
      <c r="C1402" s="671">
        <v>69274</v>
      </c>
      <c r="D1402" s="37">
        <v>1698</v>
      </c>
      <c r="E1402" s="37">
        <v>1</v>
      </c>
      <c r="F1402" s="670">
        <v>8660</v>
      </c>
      <c r="G1402" s="37">
        <v>39</v>
      </c>
      <c r="H1402" s="37">
        <v>19</v>
      </c>
      <c r="I1402" s="37">
        <v>5</v>
      </c>
      <c r="J1402" s="672">
        <f t="shared" si="216"/>
        <v>0.024511360683662</v>
      </c>
      <c r="K1402" s="673">
        <f t="shared" si="217"/>
        <v>0.888103651354535</v>
      </c>
      <c r="L1402" s="809">
        <f>B1402/C1402*1000</f>
        <v>21.7686289228282</v>
      </c>
      <c r="M1402" s="839">
        <f t="shared" si="215"/>
        <v>5.74270557029178</v>
      </c>
      <c r="N1402" s="39">
        <f t="shared" si="218"/>
        <v>0.000588928150765607</v>
      </c>
      <c r="O1402" s="675">
        <f t="shared" si="219"/>
        <v>26</v>
      </c>
      <c r="P1402">
        <f t="shared" si="220"/>
        <v>58</v>
      </c>
      <c r="Q1402" s="842">
        <f t="shared" si="221"/>
        <v>0.0341578327444052</v>
      </c>
    </row>
  </sheetData>
  <sheetProtection formatCells="0" insertHyperlinks="0" autoFilter="0"/>
  <autoFilter xmlns:etc="http://www.wps.cn/officeDocument/2017/etCustomData" ref="A1:N62" etc:filterBottomFollowUsedRange="0">
    <extLst/>
  </autoFilter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91"/>
  <sheetViews>
    <sheetView workbookViewId="0">
      <pane ySplit="1" topLeftCell="A970" activePane="bottomLeft" state="frozen"/>
      <selection/>
      <selection pane="bottomLeft" activeCell="G1002" sqref="G1002"/>
    </sheetView>
  </sheetViews>
  <sheetFormatPr defaultColWidth="10" defaultRowHeight="13.8"/>
  <cols>
    <col min="1" max="1" width="13.5185185185185" style="37" customWidth="1"/>
    <col min="2" max="2" width="20.1296296296296" style="557" customWidth="1"/>
    <col min="3" max="8" width="13.5185185185185" style="37" customWidth="1"/>
    <col min="9" max="9" width="13.5185185185185" style="558" customWidth="1"/>
    <col min="10" max="10" width="13.5185185185185" style="37" customWidth="1"/>
    <col min="11" max="11" width="13.5185185185185" style="559" customWidth="1"/>
    <col min="12" max="13" width="13.5185185185185" style="37" customWidth="1"/>
    <col min="14" max="14" width="13.5185185185185" style="39" customWidth="1"/>
    <col min="15" max="15" width="12.8796296296296" style="560"/>
    <col min="17" max="17" width="12.6296296296296"/>
  </cols>
  <sheetData>
    <row r="1" ht="46.8" spans="1:17">
      <c r="A1" s="522" t="s">
        <v>68</v>
      </c>
      <c r="B1" s="561" t="s">
        <v>1</v>
      </c>
      <c r="C1" s="562" t="s">
        <v>88</v>
      </c>
      <c r="D1" s="522" t="s">
        <v>3</v>
      </c>
      <c r="E1" s="522" t="s">
        <v>4</v>
      </c>
      <c r="F1" s="561" t="s">
        <v>5</v>
      </c>
      <c r="G1" s="522" t="s">
        <v>6</v>
      </c>
      <c r="H1" s="522" t="s">
        <v>7</v>
      </c>
      <c r="I1" s="563" t="s">
        <v>8</v>
      </c>
      <c r="J1" s="519" t="s">
        <v>9</v>
      </c>
      <c r="K1" s="520" t="s">
        <v>10</v>
      </c>
      <c r="L1" s="521" t="s">
        <v>86</v>
      </c>
      <c r="M1" s="522" t="s">
        <v>12</v>
      </c>
      <c r="N1" s="523" t="s">
        <v>13</v>
      </c>
      <c r="O1" s="523" t="s">
        <v>72</v>
      </c>
      <c r="P1" s="523" t="s">
        <v>35</v>
      </c>
      <c r="Q1" s="523" t="s">
        <v>73</v>
      </c>
    </row>
    <row r="2" s="541" customFormat="1" spans="1:17">
      <c r="A2" s="564">
        <v>45161</v>
      </c>
      <c r="B2" s="565">
        <v>100</v>
      </c>
      <c r="C2" s="566">
        <v>3753</v>
      </c>
      <c r="D2" s="566">
        <v>62</v>
      </c>
      <c r="E2" s="566">
        <v>0</v>
      </c>
      <c r="F2" s="566">
        <v>0</v>
      </c>
      <c r="G2" s="566">
        <v>0</v>
      </c>
      <c r="H2" s="566">
        <v>0</v>
      </c>
      <c r="I2" s="567"/>
      <c r="J2" s="568">
        <f>D2/C2</f>
        <v>0.0165201172395417</v>
      </c>
      <c r="K2" s="569">
        <f>B2/D2</f>
        <v>1.61290322580645</v>
      </c>
      <c r="L2" s="569">
        <f>B2/C2*1000</f>
        <v>26.6453503863576</v>
      </c>
      <c r="M2" s="566">
        <f>F2/B2</f>
        <v>0</v>
      </c>
      <c r="N2" s="568">
        <f>E2/D2</f>
        <v>0</v>
      </c>
      <c r="O2" s="570"/>
    </row>
    <row r="3" s="541" customFormat="1" spans="1:17">
      <c r="A3" s="564">
        <v>45162</v>
      </c>
      <c r="B3" s="565">
        <v>100</v>
      </c>
      <c r="C3" s="566">
        <v>427</v>
      </c>
      <c r="D3" s="566">
        <v>57</v>
      </c>
      <c r="E3" s="566">
        <v>0</v>
      </c>
      <c r="F3" s="566">
        <v>0</v>
      </c>
      <c r="G3" s="566">
        <v>0</v>
      </c>
      <c r="H3" s="566">
        <v>0</v>
      </c>
      <c r="I3" s="567"/>
      <c r="J3" s="568">
        <f t="shared" ref="J3:J34" si="0">D3/C3</f>
        <v>0.133489461358314</v>
      </c>
      <c r="K3" s="569">
        <f t="shared" ref="K3:K34" si="1">B3/D3</f>
        <v>1.75438596491228</v>
      </c>
      <c r="L3" s="569">
        <f t="shared" ref="L3:L34" si="2">B3/C3*1000</f>
        <v>234.192037470726</v>
      </c>
      <c r="M3" s="566">
        <f t="shared" ref="M3:M34" si="3">F3/B3</f>
        <v>0</v>
      </c>
      <c r="N3" s="568">
        <f t="shared" ref="N3:N34" si="4">E3/D3</f>
        <v>0</v>
      </c>
      <c r="O3" s="570"/>
    </row>
    <row r="4" s="541" customFormat="1" spans="1:17">
      <c r="A4" s="564">
        <v>45163</v>
      </c>
      <c r="B4" s="565">
        <v>100</v>
      </c>
      <c r="C4" s="566">
        <v>369</v>
      </c>
      <c r="D4" s="566">
        <v>83</v>
      </c>
      <c r="E4" s="566">
        <v>0</v>
      </c>
      <c r="F4" s="566">
        <v>0</v>
      </c>
      <c r="G4" s="566">
        <v>1</v>
      </c>
      <c r="H4" s="566">
        <v>1</v>
      </c>
      <c r="I4" s="567"/>
      <c r="J4" s="568">
        <f t="shared" si="0"/>
        <v>0.224932249322493</v>
      </c>
      <c r="K4" s="569">
        <f t="shared" si="1"/>
        <v>1.20481927710843</v>
      </c>
      <c r="L4" s="569">
        <f t="shared" si="2"/>
        <v>271.0027100271</v>
      </c>
      <c r="M4" s="566">
        <f t="shared" si="3"/>
        <v>0</v>
      </c>
      <c r="N4" s="568">
        <f t="shared" si="4"/>
        <v>0</v>
      </c>
      <c r="O4" s="570"/>
    </row>
    <row r="5" s="541" customFormat="1" spans="1:17">
      <c r="A5" s="564">
        <v>45164</v>
      </c>
      <c r="B5" s="565">
        <v>98.9</v>
      </c>
      <c r="C5" s="566">
        <v>1022</v>
      </c>
      <c r="D5" s="566">
        <v>57</v>
      </c>
      <c r="E5" s="566">
        <v>0</v>
      </c>
      <c r="F5" s="566">
        <v>0</v>
      </c>
      <c r="G5" s="566">
        <v>2</v>
      </c>
      <c r="H5" s="566">
        <v>1</v>
      </c>
      <c r="I5" s="567"/>
      <c r="J5" s="568">
        <f t="shared" si="0"/>
        <v>0.0557729941291585</v>
      </c>
      <c r="K5" s="569">
        <f t="shared" si="1"/>
        <v>1.73508771929825</v>
      </c>
      <c r="L5" s="569">
        <f t="shared" si="2"/>
        <v>96.7710371819961</v>
      </c>
      <c r="M5" s="566">
        <f t="shared" si="3"/>
        <v>0</v>
      </c>
      <c r="N5" s="568">
        <f t="shared" si="4"/>
        <v>0</v>
      </c>
      <c r="O5" s="570"/>
    </row>
    <row r="6" s="541" customFormat="1" spans="1:17">
      <c r="A6" s="564">
        <v>45165</v>
      </c>
      <c r="B6" s="565">
        <v>99.86</v>
      </c>
      <c r="C6" s="566">
        <v>1470</v>
      </c>
      <c r="D6" s="566">
        <v>113</v>
      </c>
      <c r="E6" s="566">
        <v>0</v>
      </c>
      <c r="F6" s="566">
        <v>0</v>
      </c>
      <c r="G6" s="566">
        <v>6</v>
      </c>
      <c r="H6" s="566">
        <v>2</v>
      </c>
      <c r="I6" s="567"/>
      <c r="J6" s="568">
        <f t="shared" si="0"/>
        <v>0.0768707482993197</v>
      </c>
      <c r="K6" s="569">
        <f t="shared" si="1"/>
        <v>0.883716814159292</v>
      </c>
      <c r="L6" s="569">
        <f t="shared" si="2"/>
        <v>67.9319727891156</v>
      </c>
      <c r="M6" s="566">
        <f t="shared" si="3"/>
        <v>0</v>
      </c>
      <c r="N6" s="568">
        <f t="shared" si="4"/>
        <v>0</v>
      </c>
      <c r="O6" s="570"/>
    </row>
    <row r="7" s="541" customFormat="1" spans="1:17">
      <c r="A7" s="564">
        <v>45166</v>
      </c>
      <c r="B7" s="565">
        <v>99.85</v>
      </c>
      <c r="C7" s="566">
        <v>836</v>
      </c>
      <c r="D7" s="566">
        <v>70</v>
      </c>
      <c r="E7" s="566">
        <v>0</v>
      </c>
      <c r="F7" s="566">
        <v>0</v>
      </c>
      <c r="G7" s="566">
        <v>2</v>
      </c>
      <c r="H7" s="566">
        <v>1</v>
      </c>
      <c r="I7" s="567"/>
      <c r="J7" s="568">
        <f t="shared" si="0"/>
        <v>0.0837320574162679</v>
      </c>
      <c r="K7" s="569">
        <f t="shared" si="1"/>
        <v>1.42642857142857</v>
      </c>
      <c r="L7" s="569">
        <f t="shared" si="2"/>
        <v>119.437799043062</v>
      </c>
      <c r="M7" s="566">
        <f t="shared" si="3"/>
        <v>0</v>
      </c>
      <c r="N7" s="568">
        <f t="shared" si="4"/>
        <v>0</v>
      </c>
      <c r="O7" s="570"/>
    </row>
    <row r="8" s="541" customFormat="1" spans="1:17">
      <c r="A8" s="564">
        <v>45167</v>
      </c>
      <c r="B8" s="565">
        <f>99.55+16.15</f>
        <v>115.7</v>
      </c>
      <c r="C8" s="566">
        <f>1117+564</f>
        <v>1681</v>
      </c>
      <c r="D8" s="566">
        <f>89+6</f>
        <v>95</v>
      </c>
      <c r="E8" s="566">
        <v>0</v>
      </c>
      <c r="F8" s="566">
        <v>0</v>
      </c>
      <c r="G8" s="566">
        <v>4</v>
      </c>
      <c r="H8" s="566">
        <v>1</v>
      </c>
      <c r="I8" s="567"/>
      <c r="J8" s="568">
        <f t="shared" si="0"/>
        <v>0.0565139797739441</v>
      </c>
      <c r="K8" s="569">
        <f t="shared" si="1"/>
        <v>1.21789473684211</v>
      </c>
      <c r="L8" s="569">
        <f t="shared" si="2"/>
        <v>68.8280785246877</v>
      </c>
      <c r="M8" s="566">
        <f t="shared" si="3"/>
        <v>0</v>
      </c>
      <c r="N8" s="568">
        <f t="shared" si="4"/>
        <v>0</v>
      </c>
      <c r="O8" s="570"/>
    </row>
    <row r="9" s="541" customFormat="1" spans="1:17">
      <c r="A9" s="564">
        <v>45168</v>
      </c>
      <c r="B9" s="565">
        <f>100+49.99</f>
        <v>149.99</v>
      </c>
      <c r="C9" s="566">
        <f>1513+20522</f>
        <v>22035</v>
      </c>
      <c r="D9" s="566">
        <f>89+128</f>
        <v>217</v>
      </c>
      <c r="E9" s="566">
        <v>0</v>
      </c>
      <c r="F9" s="566">
        <v>0</v>
      </c>
      <c r="G9" s="566">
        <v>4</v>
      </c>
      <c r="H9" s="566">
        <v>4</v>
      </c>
      <c r="I9" s="567"/>
      <c r="J9" s="568">
        <f t="shared" si="0"/>
        <v>0.00984796914000454</v>
      </c>
      <c r="K9" s="569">
        <f t="shared" si="1"/>
        <v>0.691198156682028</v>
      </c>
      <c r="L9" s="569">
        <f t="shared" si="2"/>
        <v>6.80689811663263</v>
      </c>
      <c r="M9" s="566">
        <f t="shared" si="3"/>
        <v>0</v>
      </c>
      <c r="N9" s="568">
        <f t="shared" si="4"/>
        <v>0</v>
      </c>
      <c r="O9" s="570"/>
    </row>
    <row r="10" s="541" customFormat="1" spans="1:17">
      <c r="A10" s="564">
        <v>45169</v>
      </c>
      <c r="B10" s="565">
        <f>100+49.73</f>
        <v>149.73</v>
      </c>
      <c r="C10" s="566">
        <f>1449+63352</f>
        <v>64801</v>
      </c>
      <c r="D10" s="566">
        <f>86+286</f>
        <v>372</v>
      </c>
      <c r="E10" s="566">
        <v>0</v>
      </c>
      <c r="F10" s="566">
        <v>0</v>
      </c>
      <c r="G10" s="566">
        <f>1+2</f>
        <v>3</v>
      </c>
      <c r="H10" s="566">
        <f>1+1</f>
        <v>2</v>
      </c>
      <c r="I10" s="567"/>
      <c r="J10" s="568">
        <f t="shared" si="0"/>
        <v>0.00574065215042978</v>
      </c>
      <c r="K10" s="569">
        <f t="shared" si="1"/>
        <v>0.4025</v>
      </c>
      <c r="L10" s="569">
        <f t="shared" si="2"/>
        <v>2.31061249054799</v>
      </c>
      <c r="M10" s="566">
        <f t="shared" si="3"/>
        <v>0</v>
      </c>
      <c r="N10" s="568">
        <f t="shared" si="4"/>
        <v>0</v>
      </c>
      <c r="O10" s="570"/>
    </row>
    <row r="11" s="541" customFormat="1" spans="1:17">
      <c r="A11" s="564">
        <v>45170</v>
      </c>
      <c r="B11" s="571">
        <f>100+48.46</f>
        <v>148.46</v>
      </c>
      <c r="C11" s="572">
        <f>1505+88321</f>
        <v>89826</v>
      </c>
      <c r="D11" s="572">
        <f>87+289</f>
        <v>376</v>
      </c>
      <c r="E11" s="566">
        <v>0</v>
      </c>
      <c r="F11" s="566">
        <v>0</v>
      </c>
      <c r="G11" s="566">
        <v>3</v>
      </c>
      <c r="H11" s="566">
        <v>1</v>
      </c>
      <c r="I11" s="567"/>
      <c r="J11" s="568">
        <f t="shared" si="0"/>
        <v>0.0041858704606684</v>
      </c>
      <c r="K11" s="569">
        <f t="shared" si="1"/>
        <v>0.394840425531915</v>
      </c>
      <c r="L11" s="569">
        <f t="shared" si="2"/>
        <v>1.65275087391179</v>
      </c>
      <c r="M11" s="566">
        <f t="shared" si="3"/>
        <v>0</v>
      </c>
      <c r="N11" s="568">
        <f t="shared" si="4"/>
        <v>0</v>
      </c>
      <c r="O11" s="570"/>
    </row>
    <row r="12" s="541" customFormat="1" spans="1:17">
      <c r="A12" s="564">
        <v>45171</v>
      </c>
      <c r="B12" s="571">
        <f>98.92+48.89</f>
        <v>147.81</v>
      </c>
      <c r="C12" s="572">
        <f>2061+80573</f>
        <v>82634</v>
      </c>
      <c r="D12" s="572">
        <f>115+446</f>
        <v>561</v>
      </c>
      <c r="E12" s="566">
        <v>0</v>
      </c>
      <c r="F12" s="566">
        <v>0</v>
      </c>
      <c r="G12" s="566">
        <v>2</v>
      </c>
      <c r="H12" s="566">
        <v>3</v>
      </c>
      <c r="I12" s="567"/>
      <c r="J12" s="568">
        <f t="shared" si="0"/>
        <v>0.00678897306193576</v>
      </c>
      <c r="K12" s="569">
        <f t="shared" si="1"/>
        <v>0.263475935828877</v>
      </c>
      <c r="L12" s="569">
        <f t="shared" si="2"/>
        <v>1.78873103081056</v>
      </c>
      <c r="M12" s="566">
        <f t="shared" si="3"/>
        <v>0</v>
      </c>
      <c r="N12" s="568">
        <f t="shared" si="4"/>
        <v>0</v>
      </c>
      <c r="O12" s="570"/>
    </row>
    <row r="13" s="541" customFormat="1" spans="1:17">
      <c r="A13" s="564">
        <v>45172</v>
      </c>
      <c r="B13" s="571">
        <f>99.58+49.56</f>
        <v>149.14</v>
      </c>
      <c r="C13" s="572">
        <f>1772+75598</f>
        <v>77370</v>
      </c>
      <c r="D13" s="572">
        <f>109+485</f>
        <v>594</v>
      </c>
      <c r="E13" s="566">
        <v>0</v>
      </c>
      <c r="F13" s="566">
        <v>0</v>
      </c>
      <c r="G13" s="566">
        <v>3</v>
      </c>
      <c r="H13" s="566">
        <v>2</v>
      </c>
      <c r="I13" s="567"/>
      <c r="J13" s="568">
        <f t="shared" si="0"/>
        <v>0.00767739433889104</v>
      </c>
      <c r="K13" s="569">
        <f t="shared" si="1"/>
        <v>0.251077441077441</v>
      </c>
      <c r="L13" s="569">
        <f t="shared" si="2"/>
        <v>1.9276205247512</v>
      </c>
      <c r="M13" s="566">
        <f t="shared" si="3"/>
        <v>0</v>
      </c>
      <c r="N13" s="568">
        <f t="shared" si="4"/>
        <v>0</v>
      </c>
      <c r="O13" s="570"/>
    </row>
    <row r="14" s="541" customFormat="1" spans="1:17">
      <c r="A14" s="564">
        <v>45173</v>
      </c>
      <c r="B14" s="573">
        <f>100+49.58</f>
        <v>149.58</v>
      </c>
      <c r="C14" s="574">
        <f>1643+38704</f>
        <v>40347</v>
      </c>
      <c r="D14" s="574">
        <f>95+278</f>
        <v>373</v>
      </c>
      <c r="E14" s="566">
        <v>0</v>
      </c>
      <c r="F14" s="566">
        <v>0</v>
      </c>
      <c r="G14" s="566">
        <v>5</v>
      </c>
      <c r="H14" s="566">
        <v>7</v>
      </c>
      <c r="I14" s="567"/>
      <c r="J14" s="568">
        <f t="shared" si="0"/>
        <v>0.00924480134830347</v>
      </c>
      <c r="K14" s="569">
        <f t="shared" si="1"/>
        <v>0.401018766756032</v>
      </c>
      <c r="L14" s="569">
        <f t="shared" si="2"/>
        <v>3.70733883560116</v>
      </c>
      <c r="M14" s="566">
        <f t="shared" si="3"/>
        <v>0</v>
      </c>
      <c r="N14" s="568">
        <f t="shared" si="4"/>
        <v>0</v>
      </c>
      <c r="O14" s="570"/>
    </row>
    <row r="15" s="541" customFormat="1" spans="1:17">
      <c r="A15" s="564">
        <v>45174</v>
      </c>
      <c r="B15" s="573">
        <f>100+48.53</f>
        <v>148.53</v>
      </c>
      <c r="C15" s="574">
        <f>1870+26465</f>
        <v>28335</v>
      </c>
      <c r="D15" s="574">
        <f>104+190</f>
        <v>294</v>
      </c>
      <c r="E15" s="566">
        <v>0</v>
      </c>
      <c r="F15" s="566">
        <v>0</v>
      </c>
      <c r="G15" s="566">
        <v>6</v>
      </c>
      <c r="H15" s="566">
        <v>4</v>
      </c>
      <c r="I15" s="567"/>
      <c r="J15" s="568">
        <f t="shared" si="0"/>
        <v>0.0103758602435151</v>
      </c>
      <c r="K15" s="569">
        <f t="shared" si="1"/>
        <v>0.505204081632653</v>
      </c>
      <c r="L15" s="569">
        <f t="shared" si="2"/>
        <v>5.2419269454738</v>
      </c>
      <c r="M15" s="566">
        <f t="shared" si="3"/>
        <v>0</v>
      </c>
      <c r="N15" s="568">
        <f t="shared" si="4"/>
        <v>0</v>
      </c>
      <c r="O15" s="570"/>
    </row>
    <row r="16" s="541" customFormat="1" spans="1:17">
      <c r="A16" s="564">
        <v>45175</v>
      </c>
      <c r="B16" s="573">
        <f>98.92+48.82</f>
        <v>147.74</v>
      </c>
      <c r="C16" s="574">
        <f>1920+10265</f>
        <v>12185</v>
      </c>
      <c r="D16" s="574">
        <f>85+98</f>
        <v>183</v>
      </c>
      <c r="E16" s="566">
        <v>0</v>
      </c>
      <c r="F16" s="566">
        <v>0</v>
      </c>
      <c r="G16" s="566">
        <v>2</v>
      </c>
      <c r="H16" s="566">
        <v>7</v>
      </c>
      <c r="I16" s="567"/>
      <c r="J16" s="568">
        <f t="shared" si="0"/>
        <v>0.0150184653262208</v>
      </c>
      <c r="K16" s="569">
        <f t="shared" si="1"/>
        <v>0.807322404371585</v>
      </c>
      <c r="L16" s="569">
        <f t="shared" si="2"/>
        <v>12.1247435371358</v>
      </c>
      <c r="M16" s="566">
        <f t="shared" si="3"/>
        <v>0</v>
      </c>
      <c r="N16" s="568">
        <f t="shared" si="4"/>
        <v>0</v>
      </c>
      <c r="O16" s="570"/>
    </row>
    <row r="17" s="541" customFormat="1" spans="1:15">
      <c r="A17" s="564">
        <v>45176</v>
      </c>
      <c r="B17" s="575">
        <f>99.92+49.69</f>
        <v>149.61</v>
      </c>
      <c r="C17" s="574">
        <f>2272+9284</f>
        <v>11556</v>
      </c>
      <c r="D17" s="574">
        <f>116+110</f>
        <v>226</v>
      </c>
      <c r="E17" s="566">
        <v>0</v>
      </c>
      <c r="F17" s="566">
        <v>0</v>
      </c>
      <c r="G17" s="566">
        <v>5</v>
      </c>
      <c r="H17" s="566">
        <v>5</v>
      </c>
      <c r="I17" s="567"/>
      <c r="J17" s="568">
        <f t="shared" si="0"/>
        <v>0.0195569401176878</v>
      </c>
      <c r="K17" s="569">
        <f t="shared" si="1"/>
        <v>0.661991150442478</v>
      </c>
      <c r="L17" s="569">
        <f t="shared" si="2"/>
        <v>12.9465212876428</v>
      </c>
      <c r="M17" s="566">
        <f t="shared" si="3"/>
        <v>0</v>
      </c>
      <c r="N17" s="568">
        <f t="shared" si="4"/>
        <v>0</v>
      </c>
      <c r="O17" s="570"/>
    </row>
    <row r="18" s="541" customFormat="1" spans="1:15">
      <c r="A18" s="564">
        <v>45177</v>
      </c>
      <c r="B18" s="576">
        <v>148.75</v>
      </c>
      <c r="C18" s="572">
        <v>16076</v>
      </c>
      <c r="D18" s="572">
        <v>255</v>
      </c>
      <c r="E18" s="566">
        <v>0</v>
      </c>
      <c r="F18" s="566">
        <v>0</v>
      </c>
      <c r="G18" s="566">
        <v>7</v>
      </c>
      <c r="H18" s="566">
        <v>9</v>
      </c>
      <c r="I18" s="567"/>
      <c r="J18" s="568">
        <f t="shared" si="0"/>
        <v>0.0158621547648669</v>
      </c>
      <c r="K18" s="569">
        <f t="shared" si="1"/>
        <v>0.583333333333333</v>
      </c>
      <c r="L18" s="569">
        <f t="shared" si="2"/>
        <v>9.25292361283902</v>
      </c>
      <c r="M18" s="566">
        <f t="shared" si="3"/>
        <v>0</v>
      </c>
      <c r="N18" s="568">
        <f t="shared" si="4"/>
        <v>0</v>
      </c>
      <c r="O18" s="570"/>
    </row>
    <row r="19" s="541" customFormat="1" spans="1:15">
      <c r="A19" s="564">
        <v>45178</v>
      </c>
      <c r="B19" s="576">
        <v>149.28</v>
      </c>
      <c r="C19" s="572">
        <v>17407</v>
      </c>
      <c r="D19" s="572">
        <v>387</v>
      </c>
      <c r="E19" s="566">
        <v>0</v>
      </c>
      <c r="F19" s="566">
        <v>0</v>
      </c>
      <c r="G19" s="566">
        <v>5</v>
      </c>
      <c r="H19" s="566">
        <v>3</v>
      </c>
      <c r="I19" s="567"/>
      <c r="J19" s="568">
        <f t="shared" si="0"/>
        <v>0.0222324352272074</v>
      </c>
      <c r="K19" s="569">
        <f t="shared" si="1"/>
        <v>0.385736434108527</v>
      </c>
      <c r="L19" s="569">
        <f t="shared" si="2"/>
        <v>8.5758602860918</v>
      </c>
      <c r="M19" s="566">
        <f t="shared" si="3"/>
        <v>0</v>
      </c>
      <c r="N19" s="568">
        <f t="shared" si="4"/>
        <v>0</v>
      </c>
      <c r="O19" s="570"/>
    </row>
    <row r="20" s="541" customFormat="1" spans="1:15">
      <c r="A20" s="564">
        <v>45179</v>
      </c>
      <c r="B20" s="576">
        <v>147.9</v>
      </c>
      <c r="C20" s="572">
        <v>17213</v>
      </c>
      <c r="D20" s="572">
        <v>428</v>
      </c>
      <c r="E20" s="566">
        <v>0</v>
      </c>
      <c r="F20" s="566">
        <v>0</v>
      </c>
      <c r="G20" s="566">
        <v>7</v>
      </c>
      <c r="H20" s="566">
        <v>9</v>
      </c>
      <c r="I20" s="567"/>
      <c r="J20" s="568">
        <f t="shared" si="0"/>
        <v>0.0248649276709464</v>
      </c>
      <c r="K20" s="569">
        <f t="shared" si="1"/>
        <v>0.345560747663551</v>
      </c>
      <c r="L20" s="569">
        <f t="shared" si="2"/>
        <v>8.59234299657236</v>
      </c>
      <c r="M20" s="569">
        <f t="shared" si="3"/>
        <v>0</v>
      </c>
      <c r="N20" s="568">
        <f t="shared" si="4"/>
        <v>0</v>
      </c>
      <c r="O20" s="570"/>
    </row>
    <row r="21" s="541" customFormat="1" spans="1:15">
      <c r="A21" s="564">
        <v>45180</v>
      </c>
      <c r="B21" s="577">
        <v>149.62</v>
      </c>
      <c r="C21" s="574">
        <f>3506+13717</f>
        <v>17223</v>
      </c>
      <c r="D21" s="574">
        <f>115+228</f>
        <v>343</v>
      </c>
      <c r="E21" s="566">
        <v>0</v>
      </c>
      <c r="F21" s="566">
        <v>0</v>
      </c>
      <c r="G21" s="566">
        <v>8</v>
      </c>
      <c r="H21" s="566">
        <v>9</v>
      </c>
      <c r="I21" s="567"/>
      <c r="J21" s="568">
        <f t="shared" si="0"/>
        <v>0.0199152296347907</v>
      </c>
      <c r="K21" s="569">
        <f t="shared" si="1"/>
        <v>0.436209912536443</v>
      </c>
      <c r="L21" s="569">
        <f t="shared" si="2"/>
        <v>8.68722057713522</v>
      </c>
      <c r="M21" s="569">
        <f t="shared" si="3"/>
        <v>0</v>
      </c>
      <c r="N21" s="568">
        <f t="shared" si="4"/>
        <v>0</v>
      </c>
      <c r="O21" s="570"/>
    </row>
    <row r="22" s="541" customFormat="1" spans="1:15">
      <c r="A22" s="564">
        <v>45181</v>
      </c>
      <c r="B22" s="578">
        <v>206</v>
      </c>
      <c r="C22" s="579">
        <v>11164</v>
      </c>
      <c r="D22" s="579">
        <v>187</v>
      </c>
      <c r="E22" s="580">
        <v>0</v>
      </c>
      <c r="F22" s="580">
        <v>0</v>
      </c>
      <c r="G22" s="580">
        <v>5</v>
      </c>
      <c r="H22" s="580">
        <v>10</v>
      </c>
      <c r="I22" s="581"/>
      <c r="J22" s="568">
        <f t="shared" si="0"/>
        <v>0.0167502687208886</v>
      </c>
      <c r="K22" s="569">
        <f t="shared" si="1"/>
        <v>1.10160427807487</v>
      </c>
      <c r="L22" s="569">
        <f t="shared" si="2"/>
        <v>18.4521676818345</v>
      </c>
      <c r="M22" s="569">
        <f t="shared" si="3"/>
        <v>0</v>
      </c>
      <c r="N22" s="568">
        <f t="shared" si="4"/>
        <v>0</v>
      </c>
      <c r="O22" s="570"/>
    </row>
    <row r="23" s="541" customFormat="1" spans="1:15">
      <c r="A23" s="582">
        <v>45182</v>
      </c>
      <c r="B23" s="583">
        <f>99.31+46.06</f>
        <v>145.37</v>
      </c>
      <c r="C23" s="584">
        <f>14620+3933</f>
        <v>18553</v>
      </c>
      <c r="D23" s="584">
        <f>116+265</f>
        <v>381</v>
      </c>
      <c r="E23" s="585">
        <v>0</v>
      </c>
      <c r="F23" s="586">
        <v>0</v>
      </c>
      <c r="G23" s="566">
        <v>2</v>
      </c>
      <c r="H23" s="566">
        <v>5</v>
      </c>
      <c r="I23" s="567"/>
      <c r="J23" s="568">
        <f t="shared" si="0"/>
        <v>0.0205357624103919</v>
      </c>
      <c r="K23" s="569">
        <f t="shared" si="1"/>
        <v>0.381548556430446</v>
      </c>
      <c r="L23" s="569">
        <f t="shared" si="2"/>
        <v>7.83539050288363</v>
      </c>
      <c r="M23" s="569">
        <f t="shared" si="3"/>
        <v>0</v>
      </c>
      <c r="N23" s="568">
        <f t="shared" si="4"/>
        <v>0</v>
      </c>
      <c r="O23" s="570"/>
    </row>
    <row r="24" s="541" customFormat="1" spans="1:15">
      <c r="A24" s="582">
        <v>45183</v>
      </c>
      <c r="B24" s="587">
        <v>142.38</v>
      </c>
      <c r="C24" s="579">
        <f>3416+4903</f>
        <v>8319</v>
      </c>
      <c r="D24" s="579">
        <f>206+41</f>
        <v>247</v>
      </c>
      <c r="E24" s="588">
        <v>0</v>
      </c>
      <c r="F24" s="586">
        <v>0</v>
      </c>
      <c r="G24" s="566">
        <v>0</v>
      </c>
      <c r="H24" s="566">
        <v>1</v>
      </c>
      <c r="I24" s="567"/>
      <c r="J24" s="568">
        <f t="shared" si="0"/>
        <v>0.0296910686380575</v>
      </c>
      <c r="K24" s="569">
        <f t="shared" si="1"/>
        <v>0.576437246963563</v>
      </c>
      <c r="L24" s="569">
        <f t="shared" si="2"/>
        <v>17.115037865128</v>
      </c>
      <c r="M24" s="569">
        <f t="shared" si="3"/>
        <v>0</v>
      </c>
      <c r="N24" s="568">
        <f t="shared" si="4"/>
        <v>0</v>
      </c>
      <c r="O24" s="570"/>
    </row>
    <row r="25" s="541" customFormat="1" spans="1:15">
      <c r="A25" s="582">
        <v>45184</v>
      </c>
      <c r="B25" s="577">
        <f>43.62+99.83</f>
        <v>143.45</v>
      </c>
      <c r="C25" s="574">
        <f>6174+1749</f>
        <v>7923</v>
      </c>
      <c r="D25" s="574">
        <f>45+124</f>
        <v>169</v>
      </c>
      <c r="E25" s="589">
        <v>0</v>
      </c>
      <c r="F25" s="589">
        <v>0</v>
      </c>
      <c r="G25" s="589">
        <v>6</v>
      </c>
      <c r="H25" s="589">
        <v>0</v>
      </c>
      <c r="I25" s="590"/>
      <c r="J25" s="568">
        <f t="shared" si="0"/>
        <v>0.0213303041777105</v>
      </c>
      <c r="K25" s="569">
        <f t="shared" si="1"/>
        <v>0.848816568047337</v>
      </c>
      <c r="L25" s="569">
        <f t="shared" si="2"/>
        <v>18.10551558753</v>
      </c>
      <c r="M25" s="569">
        <f t="shared" si="3"/>
        <v>0</v>
      </c>
      <c r="N25" s="568">
        <f t="shared" si="4"/>
        <v>0</v>
      </c>
      <c r="O25" s="570"/>
    </row>
    <row r="26" s="541" customFormat="1" spans="1:15">
      <c r="A26" s="582">
        <v>45185</v>
      </c>
      <c r="B26" s="591">
        <f>98.94+49.95</f>
        <v>148.89</v>
      </c>
      <c r="C26" s="579">
        <f>3872+1803</f>
        <v>5675</v>
      </c>
      <c r="D26" s="579">
        <f>40+124</f>
        <v>164</v>
      </c>
      <c r="E26" s="589">
        <v>0</v>
      </c>
      <c r="F26" s="589">
        <v>0</v>
      </c>
      <c r="G26" s="589">
        <v>2</v>
      </c>
      <c r="H26" s="589">
        <v>1</v>
      </c>
      <c r="I26" s="590"/>
      <c r="J26" s="568">
        <f t="shared" si="0"/>
        <v>0.0288986784140969</v>
      </c>
      <c r="K26" s="569">
        <f t="shared" si="1"/>
        <v>0.907865853658536</v>
      </c>
      <c r="L26" s="569">
        <f t="shared" si="2"/>
        <v>26.2361233480176</v>
      </c>
      <c r="M26" s="569">
        <f t="shared" si="3"/>
        <v>0</v>
      </c>
      <c r="N26" s="568">
        <f t="shared" si="4"/>
        <v>0</v>
      </c>
      <c r="O26" s="570"/>
    </row>
    <row r="27" s="541" customFormat="1" spans="1:15">
      <c r="A27" s="582">
        <v>45186</v>
      </c>
      <c r="B27" s="577">
        <f>99.76+43.62</f>
        <v>143.38</v>
      </c>
      <c r="C27" s="574">
        <f>4798+2062</f>
        <v>6860</v>
      </c>
      <c r="D27" s="574">
        <f>40+159</f>
        <v>199</v>
      </c>
      <c r="E27" s="566">
        <v>0</v>
      </c>
      <c r="F27" s="589">
        <v>0</v>
      </c>
      <c r="G27" s="589">
        <v>0</v>
      </c>
      <c r="H27" s="589">
        <v>0</v>
      </c>
      <c r="I27" s="590"/>
      <c r="J27" s="568">
        <f t="shared" si="0"/>
        <v>0.0290087463556851</v>
      </c>
      <c r="K27" s="569">
        <f t="shared" si="1"/>
        <v>0.720502512562814</v>
      </c>
      <c r="L27" s="569">
        <f t="shared" si="2"/>
        <v>20.9008746355685</v>
      </c>
      <c r="M27" s="569">
        <f t="shared" si="3"/>
        <v>0</v>
      </c>
      <c r="N27" s="568">
        <f t="shared" si="4"/>
        <v>0</v>
      </c>
      <c r="O27" s="570"/>
    </row>
    <row r="28" s="541" customFormat="1" spans="1:15">
      <c r="A28" s="582">
        <v>45187</v>
      </c>
      <c r="B28" s="578">
        <v>141.52</v>
      </c>
      <c r="C28" s="579">
        <f>2252+2877</f>
        <v>5129</v>
      </c>
      <c r="D28" s="579">
        <f>132+49</f>
        <v>181</v>
      </c>
      <c r="E28" s="566">
        <v>0</v>
      </c>
      <c r="F28" s="589">
        <v>0</v>
      </c>
      <c r="G28" s="589">
        <v>2</v>
      </c>
      <c r="H28" s="589">
        <v>1</v>
      </c>
      <c r="I28" s="590"/>
      <c r="J28" s="568">
        <f t="shared" si="0"/>
        <v>0.035289530122831</v>
      </c>
      <c r="K28" s="569">
        <f t="shared" si="1"/>
        <v>0.781878453038674</v>
      </c>
      <c r="L28" s="569">
        <f t="shared" si="2"/>
        <v>27.5921232209008</v>
      </c>
      <c r="M28" s="569">
        <f t="shared" si="3"/>
        <v>0</v>
      </c>
      <c r="N28" s="568">
        <f t="shared" si="4"/>
        <v>0</v>
      </c>
      <c r="O28" s="570"/>
    </row>
    <row r="29" s="541" customFormat="1" spans="1:15">
      <c r="A29" s="582">
        <v>45188</v>
      </c>
      <c r="B29" s="592">
        <f>99.11+48.96</f>
        <v>148.07</v>
      </c>
      <c r="C29" s="593">
        <f>3065+2559</f>
        <v>5624</v>
      </c>
      <c r="D29" s="593">
        <f>31+158</f>
        <v>189</v>
      </c>
      <c r="E29" s="589">
        <v>0</v>
      </c>
      <c r="F29" s="589">
        <v>0</v>
      </c>
      <c r="G29" s="589">
        <v>0</v>
      </c>
      <c r="H29" s="589">
        <v>1</v>
      </c>
      <c r="I29" s="590"/>
      <c r="J29" s="568">
        <f t="shared" si="0"/>
        <v>0.0336059743954481</v>
      </c>
      <c r="K29" s="569">
        <f t="shared" si="1"/>
        <v>0.783439153439153</v>
      </c>
      <c r="L29" s="569">
        <f t="shared" si="2"/>
        <v>26.3282361308677</v>
      </c>
      <c r="M29" s="569">
        <f t="shared" si="3"/>
        <v>0</v>
      </c>
      <c r="N29" s="568">
        <f t="shared" si="4"/>
        <v>0</v>
      </c>
      <c r="O29" s="570"/>
    </row>
    <row r="30" s="541" customFormat="1" spans="1:15">
      <c r="A30" s="582">
        <v>45189</v>
      </c>
      <c r="B30" s="594">
        <v>313</v>
      </c>
      <c r="C30" s="593">
        <f>3484+630</f>
        <v>4114</v>
      </c>
      <c r="D30" s="593">
        <v>175</v>
      </c>
      <c r="E30" s="589">
        <v>0</v>
      </c>
      <c r="F30" s="589">
        <v>0</v>
      </c>
      <c r="G30" s="589">
        <v>0</v>
      </c>
      <c r="H30" s="589">
        <v>0</v>
      </c>
      <c r="I30" s="590"/>
      <c r="J30" s="568">
        <f t="shared" si="0"/>
        <v>0.0425376762275158</v>
      </c>
      <c r="K30" s="569">
        <f t="shared" si="1"/>
        <v>1.78857142857143</v>
      </c>
      <c r="L30" s="569">
        <f t="shared" si="2"/>
        <v>76.0816723383568</v>
      </c>
      <c r="M30" s="569">
        <f t="shared" si="3"/>
        <v>0</v>
      </c>
      <c r="N30" s="568">
        <f t="shared" si="4"/>
        <v>0</v>
      </c>
      <c r="O30" s="570"/>
    </row>
    <row r="31" s="541" customFormat="1" spans="1:15">
      <c r="A31" s="582">
        <v>45190</v>
      </c>
      <c r="B31" s="592">
        <f>51.78+88.78+97.76+95.17+93.5+22.8+100+100</f>
        <v>649.79</v>
      </c>
      <c r="C31" s="593">
        <f>63+263+450+731+147+34+283+3735</f>
        <v>5706</v>
      </c>
      <c r="D31" s="593">
        <v>205</v>
      </c>
      <c r="E31" s="589">
        <v>0</v>
      </c>
      <c r="F31" s="589">
        <v>0</v>
      </c>
      <c r="G31" s="589">
        <v>1</v>
      </c>
      <c r="H31" s="589">
        <v>1</v>
      </c>
      <c r="I31" s="590"/>
      <c r="J31" s="568">
        <f t="shared" si="0"/>
        <v>0.0359270942867157</v>
      </c>
      <c r="K31" s="569">
        <f t="shared" si="1"/>
        <v>3.16970731707317</v>
      </c>
      <c r="L31" s="569">
        <f t="shared" si="2"/>
        <v>113.878373641781</v>
      </c>
      <c r="M31" s="569">
        <f t="shared" si="3"/>
        <v>0</v>
      </c>
      <c r="N31" s="568">
        <f t="shared" si="4"/>
        <v>0</v>
      </c>
      <c r="O31" s="570"/>
    </row>
    <row r="32" s="541" customFormat="1" spans="1:15">
      <c r="A32" s="582">
        <v>45191</v>
      </c>
      <c r="B32" s="595">
        <v>100</v>
      </c>
      <c r="C32" s="282">
        <v>3966</v>
      </c>
      <c r="D32" s="282">
        <v>253</v>
      </c>
      <c r="E32" s="589">
        <v>0</v>
      </c>
      <c r="F32" s="589">
        <v>0</v>
      </c>
      <c r="G32" s="589">
        <v>1</v>
      </c>
      <c r="H32" s="589">
        <v>3</v>
      </c>
      <c r="I32" s="590"/>
      <c r="J32" s="568">
        <f t="shared" si="0"/>
        <v>0.0637922339889057</v>
      </c>
      <c r="K32" s="569">
        <f t="shared" si="1"/>
        <v>0.395256916996047</v>
      </c>
      <c r="L32" s="569">
        <f t="shared" si="2"/>
        <v>25.2143217347453</v>
      </c>
      <c r="M32" s="569">
        <f t="shared" si="3"/>
        <v>0</v>
      </c>
      <c r="N32" s="568">
        <f t="shared" si="4"/>
        <v>0</v>
      </c>
      <c r="O32" s="570"/>
    </row>
    <row r="33" s="541" customFormat="1" spans="1:15">
      <c r="A33" s="582">
        <v>45192</v>
      </c>
      <c r="B33" s="595">
        <v>129.05</v>
      </c>
      <c r="C33" s="282">
        <v>5201</v>
      </c>
      <c r="D33" s="282">
        <v>193</v>
      </c>
      <c r="E33" s="589">
        <v>0</v>
      </c>
      <c r="F33" s="589">
        <v>0</v>
      </c>
      <c r="G33" s="589">
        <v>2</v>
      </c>
      <c r="H33" s="589">
        <v>1</v>
      </c>
      <c r="I33" s="590"/>
      <c r="J33" s="568">
        <f t="shared" si="0"/>
        <v>0.0371082484137666</v>
      </c>
      <c r="K33" s="569">
        <f t="shared" si="1"/>
        <v>0.668652849740933</v>
      </c>
      <c r="L33" s="569">
        <f t="shared" si="2"/>
        <v>24.8125360507595</v>
      </c>
      <c r="M33" s="569">
        <f t="shared" si="3"/>
        <v>0</v>
      </c>
      <c r="N33" s="568">
        <f t="shared" si="4"/>
        <v>0</v>
      </c>
      <c r="O33" s="570"/>
    </row>
    <row r="34" s="541" customFormat="1" spans="1:15">
      <c r="A34" s="596">
        <v>45193</v>
      </c>
      <c r="B34" s="595">
        <v>146.71</v>
      </c>
      <c r="C34" s="282">
        <v>5251</v>
      </c>
      <c r="D34" s="282">
        <v>424</v>
      </c>
      <c r="E34" s="589">
        <v>0</v>
      </c>
      <c r="F34" s="589">
        <v>0</v>
      </c>
      <c r="G34" s="589">
        <v>1</v>
      </c>
      <c r="H34" s="589">
        <v>4</v>
      </c>
      <c r="I34" s="590"/>
      <c r="J34" s="568">
        <f t="shared" si="0"/>
        <v>0.0807465244715292</v>
      </c>
      <c r="K34" s="569">
        <f t="shared" si="1"/>
        <v>0.346014150943396</v>
      </c>
      <c r="L34" s="569">
        <f t="shared" si="2"/>
        <v>27.9394401066464</v>
      </c>
      <c r="M34" s="569">
        <f t="shared" si="3"/>
        <v>0</v>
      </c>
      <c r="N34" s="568">
        <f t="shared" si="4"/>
        <v>0</v>
      </c>
      <c r="O34" s="570"/>
    </row>
    <row r="35" s="541" customFormat="1" spans="1:15">
      <c r="A35" s="564">
        <v>45194</v>
      </c>
      <c r="B35" s="597">
        <f>99.7+100+100+91.89+99.38+100+49.71</f>
        <v>640.68</v>
      </c>
      <c r="C35" s="572">
        <f>50434+2967+2825</f>
        <v>56226</v>
      </c>
      <c r="D35" s="572">
        <f>229+198+60</f>
        <v>487</v>
      </c>
      <c r="E35" s="566">
        <v>1</v>
      </c>
      <c r="F35" s="566">
        <v>1</v>
      </c>
      <c r="G35" s="566">
        <v>3</v>
      </c>
      <c r="H35" s="566">
        <v>0</v>
      </c>
      <c r="I35" s="567"/>
      <c r="J35" s="568">
        <f t="shared" ref="J35:J63" si="5">D35/C35</f>
        <v>0.00866147333973607</v>
      </c>
      <c r="K35" s="569">
        <f t="shared" ref="K35:K63" si="6">B35/D35</f>
        <v>1.31556468172485</v>
      </c>
      <c r="L35" s="569">
        <f t="shared" ref="L35:L63" si="7">B35/C35*1000</f>
        <v>11.3947284174581</v>
      </c>
      <c r="M35" s="569">
        <f t="shared" ref="M35:M63" si="8">F35/B35</f>
        <v>0.00156084160579384</v>
      </c>
      <c r="N35" s="568">
        <f t="shared" ref="N35:N63" si="9">E35/D35</f>
        <v>0.00205338809034908</v>
      </c>
      <c r="O35" s="570"/>
    </row>
    <row r="36" s="541" customFormat="1" spans="1:15">
      <c r="A36" s="564">
        <v>45195</v>
      </c>
      <c r="B36" s="598">
        <f>49.8+100</f>
        <v>149.8</v>
      </c>
      <c r="C36" s="599">
        <f>1818+61479</f>
        <v>63297</v>
      </c>
      <c r="D36" s="599">
        <f>225+121</f>
        <v>346</v>
      </c>
      <c r="E36" s="566">
        <v>0</v>
      </c>
      <c r="F36" s="566">
        <v>0</v>
      </c>
      <c r="G36" s="566">
        <v>3</v>
      </c>
      <c r="H36" s="566">
        <v>3</v>
      </c>
      <c r="I36" s="567"/>
      <c r="J36" s="568">
        <f t="shared" si="5"/>
        <v>0.00546629382119216</v>
      </c>
      <c r="K36" s="569">
        <f t="shared" si="6"/>
        <v>0.432947976878613</v>
      </c>
      <c r="L36" s="569">
        <f t="shared" si="7"/>
        <v>2.36662085090921</v>
      </c>
      <c r="M36" s="569">
        <f t="shared" si="8"/>
        <v>0</v>
      </c>
      <c r="N36" s="568">
        <f t="shared" si="9"/>
        <v>0</v>
      </c>
      <c r="O36" s="570"/>
    </row>
    <row r="37" s="541" customFormat="1" spans="1:15">
      <c r="A37" s="582">
        <v>45196</v>
      </c>
      <c r="B37" s="600">
        <f>100+49.82</f>
        <v>149.82</v>
      </c>
      <c r="C37" s="601">
        <v>52701</v>
      </c>
      <c r="D37" s="602">
        <f>190+105</f>
        <v>295</v>
      </c>
      <c r="E37" s="586">
        <v>2</v>
      </c>
      <c r="F37" s="566">
        <v>3400</v>
      </c>
      <c r="G37" s="566">
        <v>2</v>
      </c>
      <c r="H37" s="566">
        <v>1</v>
      </c>
      <c r="I37" s="567"/>
      <c r="J37" s="568">
        <f t="shared" si="5"/>
        <v>0.0055976167435153</v>
      </c>
      <c r="K37" s="569">
        <f t="shared" si="6"/>
        <v>0.507864406779661</v>
      </c>
      <c r="L37" s="569">
        <f t="shared" si="7"/>
        <v>2.8428303068253</v>
      </c>
      <c r="M37" s="569">
        <f t="shared" si="8"/>
        <v>22.6938993458817</v>
      </c>
      <c r="N37" s="568">
        <f t="shared" si="9"/>
        <v>0.00677966101694915</v>
      </c>
      <c r="O37" s="570"/>
    </row>
    <row r="38" s="541" customFormat="1" spans="1:15">
      <c r="A38" s="582">
        <v>45197</v>
      </c>
      <c r="B38" s="600">
        <f>483.78+99.82+49.58</f>
        <v>633.18</v>
      </c>
      <c r="C38" s="602">
        <f>44226+1495+7689</f>
        <v>53410</v>
      </c>
      <c r="D38" s="602">
        <f>225+108+195</f>
        <v>528</v>
      </c>
      <c r="E38" s="586">
        <v>0</v>
      </c>
      <c r="F38" s="566">
        <v>0</v>
      </c>
      <c r="G38" s="566">
        <v>7</v>
      </c>
      <c r="H38" s="566">
        <v>1</v>
      </c>
      <c r="I38" s="567"/>
      <c r="J38" s="568">
        <f t="shared" si="5"/>
        <v>0.00988578917805654</v>
      </c>
      <c r="K38" s="569">
        <f t="shared" si="6"/>
        <v>1.19920454545455</v>
      </c>
      <c r="L38" s="569">
        <f t="shared" si="7"/>
        <v>11.8550833177308</v>
      </c>
      <c r="M38" s="569">
        <f t="shared" si="8"/>
        <v>0</v>
      </c>
      <c r="N38" s="568">
        <f t="shared" si="9"/>
        <v>0</v>
      </c>
      <c r="O38" s="570"/>
    </row>
    <row r="39" s="541" customFormat="1" spans="1:15">
      <c r="A39" s="582">
        <v>45198</v>
      </c>
      <c r="B39" s="603">
        <f>100+49.36</f>
        <v>149.36</v>
      </c>
      <c r="C39" s="601">
        <v>18104</v>
      </c>
      <c r="D39" s="604">
        <f>72+130</f>
        <v>202</v>
      </c>
      <c r="E39" s="586">
        <v>3</v>
      </c>
      <c r="F39" s="566">
        <v>2969</v>
      </c>
      <c r="G39" s="566">
        <v>13</v>
      </c>
      <c r="H39" s="566">
        <v>1</v>
      </c>
      <c r="I39" s="567"/>
      <c r="J39" s="568">
        <f t="shared" si="5"/>
        <v>0.0111577551922227</v>
      </c>
      <c r="K39" s="569">
        <f t="shared" si="6"/>
        <v>0.73940594059406</v>
      </c>
      <c r="L39" s="569">
        <f t="shared" si="7"/>
        <v>8.25011047282369</v>
      </c>
      <c r="M39" s="569">
        <f t="shared" si="8"/>
        <v>19.8781467595072</v>
      </c>
      <c r="N39" s="568">
        <f t="shared" si="9"/>
        <v>0.0148514851485149</v>
      </c>
      <c r="O39" s="570"/>
    </row>
    <row r="40" s="541" customFormat="1" spans="1:15">
      <c r="A40" s="582">
        <v>45199</v>
      </c>
      <c r="B40" s="600">
        <f>99.47+49.69</f>
        <v>149.16</v>
      </c>
      <c r="C40" s="602">
        <f>1442+7575</f>
        <v>9017</v>
      </c>
      <c r="D40" s="602">
        <f>64+99</f>
        <v>163</v>
      </c>
      <c r="E40" s="586">
        <v>1</v>
      </c>
      <c r="F40" s="566">
        <v>9.9</v>
      </c>
      <c r="G40" s="566">
        <v>12</v>
      </c>
      <c r="H40" s="566">
        <v>3</v>
      </c>
      <c r="I40" s="567"/>
      <c r="J40" s="568">
        <f t="shared" si="5"/>
        <v>0.0180769657313963</v>
      </c>
      <c r="K40" s="569">
        <f t="shared" si="6"/>
        <v>0.915092024539877</v>
      </c>
      <c r="L40" s="569">
        <f t="shared" si="7"/>
        <v>16.5420871686814</v>
      </c>
      <c r="M40" s="569">
        <f t="shared" si="8"/>
        <v>0.0663716814159292</v>
      </c>
      <c r="N40" s="568">
        <f t="shared" si="9"/>
        <v>0.00613496932515337</v>
      </c>
      <c r="O40" s="570"/>
    </row>
    <row r="41" s="541" customFormat="1" spans="1:15">
      <c r="A41" s="582">
        <v>45200</v>
      </c>
      <c r="B41" s="603">
        <f>49.51+98.24</f>
        <v>147.75</v>
      </c>
      <c r="C41" s="604">
        <v>6236</v>
      </c>
      <c r="D41" s="605">
        <v>130</v>
      </c>
      <c r="E41" s="586">
        <v>0</v>
      </c>
      <c r="F41" s="566">
        <v>0</v>
      </c>
      <c r="G41" s="566">
        <v>7</v>
      </c>
      <c r="H41" s="566">
        <v>3</v>
      </c>
      <c r="I41" s="567"/>
      <c r="J41" s="568">
        <f t="shared" si="5"/>
        <v>0.0208466966003849</v>
      </c>
      <c r="K41" s="569">
        <f t="shared" si="6"/>
        <v>1.13653846153846</v>
      </c>
      <c r="L41" s="569">
        <f t="shared" si="7"/>
        <v>23.6930724823605</v>
      </c>
      <c r="M41" s="569">
        <f t="shared" si="8"/>
        <v>0</v>
      </c>
      <c r="N41" s="568">
        <f t="shared" si="9"/>
        <v>0</v>
      </c>
      <c r="O41" s="570"/>
    </row>
    <row r="42" s="541" customFormat="1" spans="1:15">
      <c r="A42" s="582">
        <v>45201</v>
      </c>
      <c r="B42" s="600">
        <f>49.16+99.87</f>
        <v>149.03</v>
      </c>
      <c r="C42" s="602">
        <v>5775</v>
      </c>
      <c r="D42" s="602">
        <f>91+90</f>
        <v>181</v>
      </c>
      <c r="E42" s="586">
        <v>0</v>
      </c>
      <c r="F42" s="566">
        <v>0</v>
      </c>
      <c r="G42" s="566">
        <v>2</v>
      </c>
      <c r="H42" s="566">
        <v>1</v>
      </c>
      <c r="I42" s="567"/>
      <c r="J42" s="568">
        <f t="shared" si="5"/>
        <v>0.0313419913419913</v>
      </c>
      <c r="K42" s="569">
        <f t="shared" si="6"/>
        <v>0.823370165745856</v>
      </c>
      <c r="L42" s="569">
        <f t="shared" si="7"/>
        <v>25.8060606060606</v>
      </c>
      <c r="M42" s="569">
        <f t="shared" si="8"/>
        <v>0</v>
      </c>
      <c r="N42" s="568">
        <f t="shared" si="9"/>
        <v>0</v>
      </c>
      <c r="O42" s="570"/>
    </row>
    <row r="43" s="541" customFormat="1" spans="1:15">
      <c r="A43" s="582">
        <v>45202</v>
      </c>
      <c r="B43" s="600">
        <f>49.36+99.23</f>
        <v>148.59</v>
      </c>
      <c r="C43" s="602">
        <v>5499</v>
      </c>
      <c r="D43" s="602">
        <f>54+102</f>
        <v>156</v>
      </c>
      <c r="E43" s="586">
        <v>2</v>
      </c>
      <c r="F43" s="566">
        <v>19.8</v>
      </c>
      <c r="G43" s="566">
        <v>4</v>
      </c>
      <c r="H43" s="566">
        <v>6</v>
      </c>
      <c r="I43" s="567"/>
      <c r="J43" s="568">
        <f t="shared" si="5"/>
        <v>0.0283687943262411</v>
      </c>
      <c r="K43" s="569">
        <f t="shared" si="6"/>
        <v>0.9525</v>
      </c>
      <c r="L43" s="569">
        <f t="shared" si="7"/>
        <v>27.0212765957447</v>
      </c>
      <c r="M43" s="569">
        <f t="shared" si="8"/>
        <v>0.133252574197456</v>
      </c>
      <c r="N43" s="568">
        <f t="shared" si="9"/>
        <v>0.0128205128205128</v>
      </c>
      <c r="O43" s="570"/>
    </row>
    <row r="44" s="541" customFormat="1" spans="1:15">
      <c r="A44" s="582">
        <v>45203</v>
      </c>
      <c r="B44" s="600">
        <f>47.82+100</f>
        <v>147.82</v>
      </c>
      <c r="C44" s="602">
        <v>5674</v>
      </c>
      <c r="D44" s="602">
        <f>91+77</f>
        <v>168</v>
      </c>
      <c r="E44" s="586">
        <v>0</v>
      </c>
      <c r="F44" s="566">
        <v>0</v>
      </c>
      <c r="G44" s="566">
        <v>1</v>
      </c>
      <c r="H44" s="566">
        <v>2</v>
      </c>
      <c r="I44" s="567"/>
      <c r="J44" s="568">
        <f t="shared" si="5"/>
        <v>0.0296087416284808</v>
      </c>
      <c r="K44" s="569">
        <f t="shared" si="6"/>
        <v>0.879880952380952</v>
      </c>
      <c r="L44" s="569">
        <f t="shared" si="7"/>
        <v>26.0521677828692</v>
      </c>
      <c r="M44" s="569">
        <f t="shared" si="8"/>
        <v>0</v>
      </c>
      <c r="N44" s="568">
        <f t="shared" si="9"/>
        <v>0</v>
      </c>
      <c r="O44" s="570"/>
    </row>
    <row r="45" s="541" customFormat="1" spans="1:15">
      <c r="A45" s="582">
        <v>45204</v>
      </c>
      <c r="B45" s="600">
        <f>49.25+100</f>
        <v>149.25</v>
      </c>
      <c r="C45" s="602">
        <v>4376</v>
      </c>
      <c r="D45" s="602">
        <f>48+102</f>
        <v>150</v>
      </c>
      <c r="E45" s="586">
        <v>1</v>
      </c>
      <c r="F45" s="566">
        <v>9.9</v>
      </c>
      <c r="G45" s="566">
        <v>6</v>
      </c>
      <c r="H45" s="566">
        <v>2</v>
      </c>
      <c r="I45" s="567"/>
      <c r="J45" s="568">
        <f t="shared" si="5"/>
        <v>0.0342778793418647</v>
      </c>
      <c r="K45" s="569">
        <f t="shared" si="6"/>
        <v>0.995</v>
      </c>
      <c r="L45" s="569">
        <f t="shared" si="7"/>
        <v>34.1064899451554</v>
      </c>
      <c r="M45" s="569">
        <f t="shared" si="8"/>
        <v>0.0663316582914573</v>
      </c>
      <c r="N45" s="568">
        <f t="shared" si="9"/>
        <v>0.00666666666666667</v>
      </c>
      <c r="O45" s="570"/>
    </row>
    <row r="46" s="541" customFormat="1" spans="1:15">
      <c r="A46" s="582">
        <v>45205</v>
      </c>
      <c r="B46" s="600">
        <v>148.17</v>
      </c>
      <c r="C46" s="602">
        <v>3952</v>
      </c>
      <c r="D46" s="606">
        <v>155</v>
      </c>
      <c r="E46" s="586">
        <v>0</v>
      </c>
      <c r="F46" s="566">
        <v>0</v>
      </c>
      <c r="G46" s="566">
        <v>6</v>
      </c>
      <c r="H46" s="566">
        <v>1</v>
      </c>
      <c r="I46" s="567"/>
      <c r="J46" s="568">
        <f t="shared" si="5"/>
        <v>0.0392206477732794</v>
      </c>
      <c r="K46" s="569">
        <f t="shared" si="6"/>
        <v>0.955935483870968</v>
      </c>
      <c r="L46" s="569">
        <f t="shared" si="7"/>
        <v>37.4924089068826</v>
      </c>
      <c r="M46" s="569">
        <f t="shared" si="8"/>
        <v>0</v>
      </c>
      <c r="N46" s="568">
        <f t="shared" si="9"/>
        <v>0</v>
      </c>
      <c r="O46" s="570"/>
    </row>
    <row r="47" s="541" customFormat="1" spans="1:15">
      <c r="A47" s="582">
        <v>45206</v>
      </c>
      <c r="B47" s="600">
        <f>41.79+98.43</f>
        <v>140.22</v>
      </c>
      <c r="C47" s="602">
        <v>2623</v>
      </c>
      <c r="D47" s="606">
        <v>112</v>
      </c>
      <c r="E47" s="586">
        <v>1</v>
      </c>
      <c r="F47" s="566">
        <v>9.9</v>
      </c>
      <c r="G47" s="566">
        <v>2</v>
      </c>
      <c r="H47" s="566">
        <v>0</v>
      </c>
      <c r="I47" s="567"/>
      <c r="J47" s="568">
        <f t="shared" si="5"/>
        <v>0.0426991993900114</v>
      </c>
      <c r="K47" s="569">
        <f t="shared" si="6"/>
        <v>1.25196428571429</v>
      </c>
      <c r="L47" s="569">
        <f t="shared" si="7"/>
        <v>53.4578726648875</v>
      </c>
      <c r="M47" s="569">
        <f t="shared" si="8"/>
        <v>0.0706033376123235</v>
      </c>
      <c r="N47" s="568">
        <f t="shared" si="9"/>
        <v>0.00892857142857143</v>
      </c>
      <c r="O47" s="570"/>
    </row>
    <row r="48" s="541" customFormat="1" spans="1:15">
      <c r="A48" s="582">
        <v>45207</v>
      </c>
      <c r="B48" s="600">
        <f>45.74+99.97</f>
        <v>145.71</v>
      </c>
      <c r="C48" s="602">
        <v>3106</v>
      </c>
      <c r="D48" s="606">
        <v>115</v>
      </c>
      <c r="E48" s="586">
        <v>0</v>
      </c>
      <c r="F48" s="566">
        <v>0</v>
      </c>
      <c r="G48" s="566">
        <v>5</v>
      </c>
      <c r="H48" s="566">
        <v>0</v>
      </c>
      <c r="I48" s="567"/>
      <c r="J48" s="568">
        <f t="shared" si="5"/>
        <v>0.0370251126851256</v>
      </c>
      <c r="K48" s="569">
        <f t="shared" si="6"/>
        <v>1.26704347826087</v>
      </c>
      <c r="L48" s="569">
        <f t="shared" si="7"/>
        <v>46.9124275595621</v>
      </c>
      <c r="M48" s="569">
        <f t="shared" si="8"/>
        <v>0</v>
      </c>
      <c r="N48" s="568">
        <f t="shared" si="9"/>
        <v>0</v>
      </c>
      <c r="O48" s="570"/>
    </row>
    <row r="49" s="541" customFormat="1" spans="1:15">
      <c r="A49" s="582">
        <v>45208</v>
      </c>
      <c r="B49" s="600">
        <f>48.36+100</f>
        <v>148.36</v>
      </c>
      <c r="C49" s="602">
        <v>2501</v>
      </c>
      <c r="D49" s="606">
        <v>92</v>
      </c>
      <c r="E49" s="586">
        <v>0</v>
      </c>
      <c r="F49" s="566">
        <v>0</v>
      </c>
      <c r="G49" s="566">
        <v>5</v>
      </c>
      <c r="H49" s="566">
        <v>1</v>
      </c>
      <c r="I49" s="567"/>
      <c r="J49" s="568">
        <f t="shared" si="5"/>
        <v>0.0367852858856457</v>
      </c>
      <c r="K49" s="569">
        <f t="shared" si="6"/>
        <v>1.61260869565217</v>
      </c>
      <c r="L49" s="569">
        <f t="shared" si="7"/>
        <v>59.3202718912435</v>
      </c>
      <c r="M49" s="569">
        <f t="shared" si="8"/>
        <v>0</v>
      </c>
      <c r="N49" s="568">
        <f t="shared" si="9"/>
        <v>0</v>
      </c>
      <c r="O49" s="570"/>
    </row>
    <row r="50" s="541" customFormat="1" spans="1:15">
      <c r="A50" s="564">
        <v>45209</v>
      </c>
      <c r="B50" s="607">
        <f>100+32.33</f>
        <v>132.33</v>
      </c>
      <c r="C50" s="584">
        <f>1282+901</f>
        <v>2183</v>
      </c>
      <c r="D50" s="584">
        <f>83+22</f>
        <v>105</v>
      </c>
      <c r="E50" s="566">
        <v>1</v>
      </c>
      <c r="F50" s="566">
        <v>9.9</v>
      </c>
      <c r="G50" s="566">
        <v>5</v>
      </c>
      <c r="H50" s="566">
        <v>1</v>
      </c>
      <c r="I50" s="567"/>
      <c r="J50" s="568">
        <f t="shared" si="5"/>
        <v>0.0480989464040312</v>
      </c>
      <c r="K50" s="569">
        <f t="shared" si="6"/>
        <v>1.26028571428571</v>
      </c>
      <c r="L50" s="569">
        <f t="shared" si="7"/>
        <v>60.6184150251947</v>
      </c>
      <c r="M50" s="569">
        <f t="shared" si="8"/>
        <v>0.0748129675810474</v>
      </c>
      <c r="N50" s="568">
        <f t="shared" si="9"/>
        <v>0.00952380952380952</v>
      </c>
      <c r="O50" s="570"/>
    </row>
    <row r="51" s="541" customFormat="1" spans="1:15">
      <c r="A51" s="564">
        <v>45210</v>
      </c>
      <c r="B51" s="608">
        <f>48.55+100</f>
        <v>148.55</v>
      </c>
      <c r="C51" s="584">
        <f>801+872</f>
        <v>1673</v>
      </c>
      <c r="D51" s="584">
        <f>29+67</f>
        <v>96</v>
      </c>
      <c r="E51" s="589">
        <v>1</v>
      </c>
      <c r="F51" s="589">
        <v>3800</v>
      </c>
      <c r="G51" s="589">
        <v>2</v>
      </c>
      <c r="H51" s="589">
        <v>1</v>
      </c>
      <c r="I51" s="590"/>
      <c r="J51" s="568">
        <f t="shared" si="5"/>
        <v>0.0573819485953377</v>
      </c>
      <c r="K51" s="569">
        <f t="shared" si="6"/>
        <v>1.54739583333333</v>
      </c>
      <c r="L51" s="569">
        <f t="shared" si="7"/>
        <v>88.7925881649731</v>
      </c>
      <c r="M51" s="569">
        <f t="shared" si="8"/>
        <v>25.5806125883541</v>
      </c>
      <c r="N51" s="568">
        <f t="shared" si="9"/>
        <v>0.0104166666666667</v>
      </c>
      <c r="O51" s="570"/>
    </row>
    <row r="52" s="541" customFormat="1" spans="1:15">
      <c r="A52" s="564">
        <v>45211</v>
      </c>
      <c r="B52" s="609">
        <f>100+24.16</f>
        <v>124.16</v>
      </c>
      <c r="C52" s="589">
        <f>1171+399</f>
        <v>1570</v>
      </c>
      <c r="D52" s="589">
        <f>72+15</f>
        <v>87</v>
      </c>
      <c r="E52" s="589">
        <v>0</v>
      </c>
      <c r="F52" s="589">
        <v>0</v>
      </c>
      <c r="G52" s="589">
        <v>1</v>
      </c>
      <c r="H52" s="589">
        <v>2</v>
      </c>
      <c r="I52" s="590"/>
      <c r="J52" s="568">
        <f t="shared" si="5"/>
        <v>0.0554140127388535</v>
      </c>
      <c r="K52" s="569">
        <f t="shared" si="6"/>
        <v>1.42712643678161</v>
      </c>
      <c r="L52" s="569">
        <f t="shared" si="7"/>
        <v>79.0828025477707</v>
      </c>
      <c r="M52" s="569">
        <f t="shared" si="8"/>
        <v>0</v>
      </c>
      <c r="N52" s="568">
        <f t="shared" si="9"/>
        <v>0</v>
      </c>
      <c r="O52" s="570"/>
    </row>
    <row r="53" s="541" customFormat="1" spans="1:15">
      <c r="A53" s="582">
        <v>45212</v>
      </c>
      <c r="B53" s="610">
        <v>99.07</v>
      </c>
      <c r="C53" s="611">
        <v>1019</v>
      </c>
      <c r="D53" s="611">
        <v>66</v>
      </c>
      <c r="E53" s="589">
        <v>0</v>
      </c>
      <c r="F53" s="589">
        <v>0</v>
      </c>
      <c r="G53" s="589">
        <v>4</v>
      </c>
      <c r="H53" s="589">
        <v>0</v>
      </c>
      <c r="I53" s="590"/>
      <c r="J53" s="568">
        <f t="shared" si="5"/>
        <v>0.0647693817468106</v>
      </c>
      <c r="K53" s="569">
        <f t="shared" si="6"/>
        <v>1.50106060606061</v>
      </c>
      <c r="L53" s="569">
        <f t="shared" si="7"/>
        <v>97.2227674190383</v>
      </c>
      <c r="M53" s="569">
        <f t="shared" si="8"/>
        <v>0</v>
      </c>
      <c r="N53" s="568">
        <f t="shared" si="9"/>
        <v>0</v>
      </c>
      <c r="O53" s="570"/>
    </row>
    <row r="54" s="541" customFormat="1" spans="1:15">
      <c r="A54" s="582">
        <v>45213</v>
      </c>
      <c r="B54" s="610">
        <v>98.13</v>
      </c>
      <c r="C54" s="611">
        <v>1079</v>
      </c>
      <c r="D54" s="611">
        <v>83</v>
      </c>
      <c r="E54" s="589">
        <v>0</v>
      </c>
      <c r="F54" s="589">
        <v>0</v>
      </c>
      <c r="G54" s="589">
        <v>5</v>
      </c>
      <c r="H54" s="589">
        <v>2</v>
      </c>
      <c r="I54" s="590"/>
      <c r="J54" s="568">
        <f t="shared" si="5"/>
        <v>0.0769230769230769</v>
      </c>
      <c r="K54" s="569">
        <f t="shared" si="6"/>
        <v>1.18228915662651</v>
      </c>
      <c r="L54" s="569">
        <f t="shared" si="7"/>
        <v>90.9453197405005</v>
      </c>
      <c r="M54" s="569">
        <f t="shared" si="8"/>
        <v>0</v>
      </c>
      <c r="N54" s="568">
        <f t="shared" si="9"/>
        <v>0</v>
      </c>
      <c r="O54" s="570"/>
    </row>
    <row r="55" s="541" customFormat="1" spans="1:15">
      <c r="A55" s="582">
        <v>45214</v>
      </c>
      <c r="B55" s="610">
        <v>99.53</v>
      </c>
      <c r="C55" s="611">
        <v>1082</v>
      </c>
      <c r="D55" s="611">
        <v>60</v>
      </c>
      <c r="E55" s="589">
        <v>0</v>
      </c>
      <c r="F55" s="589">
        <v>0</v>
      </c>
      <c r="G55" s="589">
        <v>5</v>
      </c>
      <c r="H55" s="589">
        <v>0</v>
      </c>
      <c r="I55" s="590"/>
      <c r="J55" s="568">
        <f t="shared" si="5"/>
        <v>0.055452865064695</v>
      </c>
      <c r="K55" s="569">
        <f t="shared" si="6"/>
        <v>1.65883333333333</v>
      </c>
      <c r="L55" s="569">
        <f t="shared" si="7"/>
        <v>91.9870609981516</v>
      </c>
      <c r="M55" s="569">
        <f t="shared" si="8"/>
        <v>0</v>
      </c>
      <c r="N55" s="568">
        <f t="shared" si="9"/>
        <v>0</v>
      </c>
      <c r="O55" s="570"/>
    </row>
    <row r="56" s="541" customFormat="1" spans="1:15">
      <c r="A56" s="582">
        <v>45215</v>
      </c>
      <c r="B56" s="610">
        <v>100</v>
      </c>
      <c r="C56" s="611">
        <v>2121</v>
      </c>
      <c r="D56" s="611">
        <v>68</v>
      </c>
      <c r="E56" s="589">
        <v>0</v>
      </c>
      <c r="F56" s="589">
        <v>0</v>
      </c>
      <c r="G56" s="589">
        <v>3</v>
      </c>
      <c r="H56" s="589">
        <v>0</v>
      </c>
      <c r="I56" s="590"/>
      <c r="J56" s="568">
        <f t="shared" si="5"/>
        <v>0.0320603488920321</v>
      </c>
      <c r="K56" s="569">
        <f t="shared" si="6"/>
        <v>1.47058823529412</v>
      </c>
      <c r="L56" s="569">
        <f t="shared" si="7"/>
        <v>47.1475719000471</v>
      </c>
      <c r="M56" s="569">
        <f t="shared" si="8"/>
        <v>0</v>
      </c>
      <c r="N56" s="568">
        <f t="shared" si="9"/>
        <v>0</v>
      </c>
      <c r="O56" s="570"/>
    </row>
    <row r="57" s="541" customFormat="1" spans="1:15">
      <c r="A57" s="582">
        <v>45216</v>
      </c>
      <c r="B57" s="612">
        <f>100+24.6</f>
        <v>124.6</v>
      </c>
      <c r="C57" s="613">
        <f>1919+721</f>
        <v>2640</v>
      </c>
      <c r="D57" s="613">
        <f>87+13</f>
        <v>100</v>
      </c>
      <c r="E57" s="589">
        <v>0</v>
      </c>
      <c r="F57" s="589">
        <v>0</v>
      </c>
      <c r="G57" s="589">
        <v>1</v>
      </c>
      <c r="H57" s="589">
        <v>1</v>
      </c>
      <c r="I57" s="590"/>
      <c r="J57" s="568">
        <f t="shared" si="5"/>
        <v>0.0378787878787879</v>
      </c>
      <c r="K57" s="569">
        <f t="shared" si="6"/>
        <v>1.246</v>
      </c>
      <c r="L57" s="569">
        <f t="shared" si="7"/>
        <v>47.1969696969697</v>
      </c>
      <c r="M57" s="569">
        <f t="shared" si="8"/>
        <v>0</v>
      </c>
      <c r="N57" s="568">
        <f t="shared" si="9"/>
        <v>0</v>
      </c>
      <c r="O57" s="570"/>
    </row>
    <row r="58" s="541" customFormat="1" spans="1:15">
      <c r="A58" s="582">
        <v>45217</v>
      </c>
      <c r="B58" s="614">
        <f>100+48.75</f>
        <v>148.75</v>
      </c>
      <c r="C58" s="613">
        <f>3272+518</f>
        <v>3790</v>
      </c>
      <c r="D58" s="613">
        <f>105+20</f>
        <v>125</v>
      </c>
      <c r="E58" s="615">
        <v>0</v>
      </c>
      <c r="F58" s="589">
        <v>0</v>
      </c>
      <c r="G58" s="589">
        <v>2</v>
      </c>
      <c r="H58" s="589">
        <v>1</v>
      </c>
      <c r="I58" s="590"/>
      <c r="J58" s="568">
        <f t="shared" si="5"/>
        <v>0.0329815303430079</v>
      </c>
      <c r="K58" s="569">
        <f t="shared" si="6"/>
        <v>1.19</v>
      </c>
      <c r="L58" s="569">
        <f t="shared" si="7"/>
        <v>39.2480211081794</v>
      </c>
      <c r="M58" s="569">
        <f t="shared" si="8"/>
        <v>0</v>
      </c>
      <c r="N58" s="568">
        <f t="shared" si="9"/>
        <v>0</v>
      </c>
      <c r="O58" s="570"/>
    </row>
    <row r="59" s="541" customFormat="1" spans="1:15">
      <c r="A59" s="582">
        <v>45218</v>
      </c>
      <c r="B59" s="616">
        <f>100+48.91</f>
        <v>148.91</v>
      </c>
      <c r="C59" s="611">
        <f>3140+1586</f>
        <v>4726</v>
      </c>
      <c r="D59" s="611">
        <f>32+105</f>
        <v>137</v>
      </c>
      <c r="E59" s="615">
        <v>0</v>
      </c>
      <c r="F59" s="615">
        <v>0</v>
      </c>
      <c r="G59" s="615">
        <v>1</v>
      </c>
      <c r="H59" s="615">
        <v>0</v>
      </c>
      <c r="I59" s="617"/>
      <c r="J59" s="568">
        <f t="shared" si="5"/>
        <v>0.0289885738468049</v>
      </c>
      <c r="K59" s="569">
        <f t="shared" si="6"/>
        <v>1.08693430656934</v>
      </c>
      <c r="L59" s="569">
        <f t="shared" si="7"/>
        <v>31.5086754126111</v>
      </c>
      <c r="M59" s="569">
        <f t="shared" si="8"/>
        <v>0</v>
      </c>
      <c r="N59" s="568">
        <f t="shared" si="9"/>
        <v>0</v>
      </c>
      <c r="O59" s="570"/>
    </row>
    <row r="60" s="541" customFormat="1" spans="1:15">
      <c r="A60" s="582">
        <v>45219</v>
      </c>
      <c r="B60" s="618">
        <f>49.99+100</f>
        <v>149.99</v>
      </c>
      <c r="C60" s="619">
        <f>4136+953</f>
        <v>5089</v>
      </c>
      <c r="D60" s="620">
        <f>37+82</f>
        <v>119</v>
      </c>
      <c r="E60" s="589">
        <v>0</v>
      </c>
      <c r="F60" s="589">
        <v>0</v>
      </c>
      <c r="G60" s="589">
        <v>1</v>
      </c>
      <c r="H60" s="589">
        <v>0</v>
      </c>
      <c r="I60" s="590"/>
      <c r="J60" s="621">
        <f t="shared" si="5"/>
        <v>0.0233837689133425</v>
      </c>
      <c r="K60" s="569">
        <f t="shared" si="6"/>
        <v>1.26042016806723</v>
      </c>
      <c r="L60" s="569">
        <f t="shared" si="7"/>
        <v>29.4733739438004</v>
      </c>
      <c r="M60" s="569">
        <f t="shared" si="8"/>
        <v>0</v>
      </c>
      <c r="N60" s="568">
        <f t="shared" si="9"/>
        <v>0</v>
      </c>
      <c r="O60" s="570"/>
    </row>
    <row r="61" s="541" customFormat="1" spans="1:15">
      <c r="A61" s="582">
        <v>45220</v>
      </c>
      <c r="B61" s="616">
        <f>45.49+100</f>
        <v>145.49</v>
      </c>
      <c r="C61" s="613">
        <f>866+883</f>
        <v>1749</v>
      </c>
      <c r="D61" s="622">
        <f>25+90</f>
        <v>115</v>
      </c>
      <c r="E61" s="589">
        <v>0</v>
      </c>
      <c r="F61" s="589">
        <v>0</v>
      </c>
      <c r="G61" s="589">
        <v>10</v>
      </c>
      <c r="H61" s="589">
        <v>3</v>
      </c>
      <c r="I61" s="590"/>
      <c r="J61" s="621">
        <f t="shared" si="5"/>
        <v>0.0657518582046884</v>
      </c>
      <c r="K61" s="569">
        <f t="shared" si="6"/>
        <v>1.26513043478261</v>
      </c>
      <c r="L61" s="569">
        <f t="shared" si="7"/>
        <v>83.1846769582619</v>
      </c>
      <c r="M61" s="569">
        <f t="shared" si="8"/>
        <v>0</v>
      </c>
      <c r="N61" s="568">
        <f t="shared" si="9"/>
        <v>0</v>
      </c>
      <c r="O61" s="570"/>
    </row>
    <row r="62" s="541" customFormat="1" spans="1:15">
      <c r="A62" s="582">
        <v>45221</v>
      </c>
      <c r="B62" s="623">
        <f>47.28+99.81</f>
        <v>147.09</v>
      </c>
      <c r="C62" s="593">
        <f>455+1052</f>
        <v>1507</v>
      </c>
      <c r="D62" s="624">
        <f>19+92</f>
        <v>111</v>
      </c>
      <c r="E62" s="589">
        <v>0</v>
      </c>
      <c r="F62" s="589">
        <v>0</v>
      </c>
      <c r="G62" s="589">
        <v>13</v>
      </c>
      <c r="H62" s="589">
        <v>1</v>
      </c>
      <c r="I62" s="590"/>
      <c r="J62" s="621">
        <f t="shared" si="5"/>
        <v>0.0736562707365627</v>
      </c>
      <c r="K62" s="569">
        <f t="shared" si="6"/>
        <v>1.32513513513514</v>
      </c>
      <c r="L62" s="569">
        <f t="shared" si="7"/>
        <v>97.6045122760451</v>
      </c>
      <c r="M62" s="569">
        <f t="shared" si="8"/>
        <v>0</v>
      </c>
      <c r="N62" s="568">
        <f t="shared" si="9"/>
        <v>0</v>
      </c>
      <c r="O62" s="570"/>
    </row>
    <row r="63" s="541" customFormat="1" spans="1:15">
      <c r="A63" s="582">
        <v>45222</v>
      </c>
      <c r="B63" s="625">
        <f>48.48+100</f>
        <v>148.48</v>
      </c>
      <c r="C63" s="593">
        <f>697+533</f>
        <v>1230</v>
      </c>
      <c r="D63" s="624">
        <f>69+25</f>
        <v>94</v>
      </c>
      <c r="E63" s="589">
        <v>0</v>
      </c>
      <c r="F63" s="589">
        <v>0</v>
      </c>
      <c r="G63" s="589">
        <v>4</v>
      </c>
      <c r="H63" s="589">
        <v>4</v>
      </c>
      <c r="I63" s="590"/>
      <c r="J63" s="621">
        <f t="shared" si="5"/>
        <v>0.0764227642276423</v>
      </c>
      <c r="K63" s="569">
        <f t="shared" si="6"/>
        <v>1.57957446808511</v>
      </c>
      <c r="L63" s="569">
        <f t="shared" si="7"/>
        <v>120.715447154472</v>
      </c>
      <c r="M63" s="569">
        <f t="shared" si="8"/>
        <v>0</v>
      </c>
      <c r="N63" s="568">
        <f t="shared" si="9"/>
        <v>0</v>
      </c>
      <c r="O63" s="570"/>
    </row>
    <row r="64" s="541" customFormat="1" spans="1:15">
      <c r="A64" s="582">
        <v>45223</v>
      </c>
      <c r="B64" s="626">
        <v>146.62</v>
      </c>
      <c r="C64" s="627">
        <f>428+606</f>
        <v>1034</v>
      </c>
      <c r="D64" s="589">
        <v>84</v>
      </c>
      <c r="E64" s="628">
        <v>1</v>
      </c>
      <c r="F64" s="627">
        <v>15597</v>
      </c>
      <c r="G64" s="589">
        <v>1</v>
      </c>
      <c r="H64" s="589">
        <v>0</v>
      </c>
      <c r="I64" s="590"/>
      <c r="J64" s="621">
        <f t="shared" ref="J64:J101" si="10">D64/C64</f>
        <v>0.0812379110251451</v>
      </c>
      <c r="K64" s="569">
        <f t="shared" ref="K64:K101" si="11">B64/D64</f>
        <v>1.74547619047619</v>
      </c>
      <c r="L64" s="569">
        <f t="shared" ref="L64:L101" si="12">B64/C64*1000</f>
        <v>141.798839458414</v>
      </c>
      <c r="M64" s="569">
        <f t="shared" ref="M64:M101" si="13">F64/B64</f>
        <v>106.377029054699</v>
      </c>
      <c r="N64" s="568">
        <f t="shared" ref="N64:N101" si="14">E64/D64</f>
        <v>0.0119047619047619</v>
      </c>
      <c r="O64" s="570"/>
    </row>
    <row r="65" s="541" customFormat="1" spans="1:15">
      <c r="A65" s="582">
        <v>45224</v>
      </c>
      <c r="B65" s="626">
        <v>3536.38</v>
      </c>
      <c r="C65" s="629">
        <f>620+968</f>
        <v>1588</v>
      </c>
      <c r="D65" s="589">
        <v>615</v>
      </c>
      <c r="E65" s="628">
        <v>2</v>
      </c>
      <c r="F65" s="630">
        <f>2000+2000</f>
        <v>4000</v>
      </c>
      <c r="G65" s="589">
        <v>1</v>
      </c>
      <c r="H65" s="589">
        <v>11</v>
      </c>
      <c r="I65" s="590"/>
      <c r="J65" s="621">
        <f t="shared" si="10"/>
        <v>0.38727959697733</v>
      </c>
      <c r="K65" s="569">
        <f t="shared" si="11"/>
        <v>5.75021138211382</v>
      </c>
      <c r="L65" s="569">
        <f t="shared" si="12"/>
        <v>2226.9395465995</v>
      </c>
      <c r="M65" s="569">
        <f t="shared" si="13"/>
        <v>1.13110016457507</v>
      </c>
      <c r="N65" s="568">
        <f t="shared" si="14"/>
        <v>0.0032520325203252</v>
      </c>
      <c r="O65" s="570"/>
    </row>
    <row r="66" s="541" customFormat="1" spans="1:15">
      <c r="A66" s="582">
        <v>45225</v>
      </c>
      <c r="B66" s="626">
        <v>150</v>
      </c>
      <c r="C66" s="629">
        <f>901+711</f>
        <v>1612</v>
      </c>
      <c r="D66" s="589">
        <v>121</v>
      </c>
      <c r="E66" s="628">
        <v>2</v>
      </c>
      <c r="F66" s="630">
        <v>32192</v>
      </c>
      <c r="G66" s="589">
        <v>1</v>
      </c>
      <c r="H66" s="589">
        <v>4</v>
      </c>
      <c r="I66" s="590"/>
      <c r="J66" s="621">
        <f t="shared" si="10"/>
        <v>0.0750620347394541</v>
      </c>
      <c r="K66" s="569">
        <f t="shared" si="11"/>
        <v>1.2396694214876</v>
      </c>
      <c r="L66" s="569">
        <f t="shared" si="12"/>
        <v>93.0521091811414</v>
      </c>
      <c r="M66" s="569">
        <f t="shared" si="13"/>
        <v>214.613333333333</v>
      </c>
      <c r="N66" s="568">
        <f t="shared" si="14"/>
        <v>0.0165289256198347</v>
      </c>
      <c r="O66" s="570"/>
    </row>
    <row r="67" s="541" customFormat="1" spans="1:15">
      <c r="A67" s="582">
        <v>45226</v>
      </c>
      <c r="B67" s="626">
        <v>145</v>
      </c>
      <c r="C67" s="629">
        <f>985+670</f>
        <v>1655</v>
      </c>
      <c r="D67" s="589">
        <v>128</v>
      </c>
      <c r="E67" s="589">
        <v>0</v>
      </c>
      <c r="F67" s="589">
        <v>0</v>
      </c>
      <c r="G67" s="589">
        <v>1</v>
      </c>
      <c r="H67" s="589">
        <v>5</v>
      </c>
      <c r="I67" s="590"/>
      <c r="J67" s="621">
        <f t="shared" si="10"/>
        <v>0.0773413897280967</v>
      </c>
      <c r="K67" s="569">
        <f t="shared" si="11"/>
        <v>1.1328125</v>
      </c>
      <c r="L67" s="569">
        <f t="shared" si="12"/>
        <v>87.6132930513595</v>
      </c>
      <c r="M67" s="569">
        <f t="shared" si="13"/>
        <v>0</v>
      </c>
      <c r="N67" s="568">
        <f t="shared" si="14"/>
        <v>0</v>
      </c>
      <c r="O67" s="570"/>
    </row>
    <row r="68" s="541" customFormat="1" spans="1:15">
      <c r="A68" s="582">
        <v>45227</v>
      </c>
      <c r="B68" s="626">
        <f>100+44.57+47.98</f>
        <v>192.55</v>
      </c>
      <c r="C68" s="628">
        <f>541+2191+1055</f>
        <v>3787</v>
      </c>
      <c r="D68" s="589">
        <v>191</v>
      </c>
      <c r="E68" s="589">
        <v>1</v>
      </c>
      <c r="F68" s="629">
        <v>11907</v>
      </c>
      <c r="G68" s="589">
        <v>2</v>
      </c>
      <c r="H68" s="589">
        <v>4</v>
      </c>
      <c r="I68" s="590"/>
      <c r="J68" s="621">
        <f t="shared" si="10"/>
        <v>0.0504357010826512</v>
      </c>
      <c r="K68" s="569">
        <f t="shared" si="11"/>
        <v>1.00811518324607</v>
      </c>
      <c r="L68" s="569">
        <f t="shared" si="12"/>
        <v>50.8449960390811</v>
      </c>
      <c r="M68" s="569">
        <f t="shared" si="13"/>
        <v>61.8384835107764</v>
      </c>
      <c r="N68" s="568">
        <f t="shared" si="14"/>
        <v>0.00523560209424084</v>
      </c>
      <c r="O68" s="570"/>
    </row>
    <row r="69" s="541" customFormat="1" spans="1:15">
      <c r="A69" s="582">
        <v>45228</v>
      </c>
      <c r="B69" s="626">
        <v>146.63</v>
      </c>
      <c r="C69" s="630">
        <f>1102+645</f>
        <v>1747</v>
      </c>
      <c r="D69" s="589">
        <v>98</v>
      </c>
      <c r="E69" s="589">
        <v>0</v>
      </c>
      <c r="F69" s="589">
        <v>0</v>
      </c>
      <c r="G69" s="589">
        <v>0</v>
      </c>
      <c r="H69" s="589">
        <v>1</v>
      </c>
      <c r="I69" s="590"/>
      <c r="J69" s="621">
        <f t="shared" si="10"/>
        <v>0.0560961648540355</v>
      </c>
      <c r="K69" s="569">
        <f t="shared" si="11"/>
        <v>1.49622448979592</v>
      </c>
      <c r="L69" s="569">
        <f t="shared" si="12"/>
        <v>83.932455638237</v>
      </c>
      <c r="M69" s="569">
        <f t="shared" si="13"/>
        <v>0</v>
      </c>
      <c r="N69" s="568">
        <f t="shared" si="14"/>
        <v>0</v>
      </c>
      <c r="O69" s="570"/>
    </row>
    <row r="70" s="541" customFormat="1" spans="1:15">
      <c r="A70" s="582">
        <v>45229</v>
      </c>
      <c r="B70" s="626">
        <v>691.99</v>
      </c>
      <c r="C70" s="630">
        <f>742+709</f>
        <v>1451</v>
      </c>
      <c r="D70" s="589">
        <v>236</v>
      </c>
      <c r="E70" s="589">
        <v>0</v>
      </c>
      <c r="F70" s="589">
        <v>0</v>
      </c>
      <c r="G70" s="589">
        <v>4</v>
      </c>
      <c r="H70" s="589">
        <v>1</v>
      </c>
      <c r="I70" s="590"/>
      <c r="J70" s="568">
        <f t="shared" si="10"/>
        <v>0.162646450723639</v>
      </c>
      <c r="K70" s="569">
        <f t="shared" si="11"/>
        <v>2.93216101694915</v>
      </c>
      <c r="L70" s="569">
        <f t="shared" si="12"/>
        <v>476.905582356995</v>
      </c>
      <c r="M70" s="569">
        <f t="shared" si="13"/>
        <v>0</v>
      </c>
      <c r="N70" s="568">
        <f t="shared" si="14"/>
        <v>0</v>
      </c>
      <c r="O70" s="570"/>
    </row>
    <row r="71" s="541" customFormat="1" spans="1:15">
      <c r="A71" s="582">
        <v>45230</v>
      </c>
      <c r="B71" s="626">
        <f>335.21+496.38+500</f>
        <v>1331.59</v>
      </c>
      <c r="C71" s="630">
        <f>2891+2460+2274</f>
        <v>7625</v>
      </c>
      <c r="D71" s="589">
        <v>369</v>
      </c>
      <c r="E71" s="589">
        <v>0</v>
      </c>
      <c r="F71" s="589">
        <v>0</v>
      </c>
      <c r="G71" s="589">
        <v>9</v>
      </c>
      <c r="H71" s="589">
        <v>2</v>
      </c>
      <c r="I71" s="590"/>
      <c r="J71" s="568">
        <f t="shared" si="10"/>
        <v>0.0483934426229508</v>
      </c>
      <c r="K71" s="569">
        <f t="shared" si="11"/>
        <v>3.60864498644986</v>
      </c>
      <c r="L71" s="569">
        <f t="shared" si="12"/>
        <v>174.634754098361</v>
      </c>
      <c r="M71" s="569">
        <f t="shared" si="13"/>
        <v>0</v>
      </c>
      <c r="N71" s="568">
        <f t="shared" si="14"/>
        <v>0</v>
      </c>
      <c r="O71" s="570"/>
    </row>
    <row r="72" s="541" customFormat="1" spans="1:15">
      <c r="A72" s="582">
        <v>45231</v>
      </c>
      <c r="B72" s="626">
        <v>989.49</v>
      </c>
      <c r="C72" s="630">
        <f>1148+714</f>
        <v>1862</v>
      </c>
      <c r="D72" s="589">
        <v>261</v>
      </c>
      <c r="E72" s="589">
        <v>0</v>
      </c>
      <c r="F72" s="589">
        <v>0</v>
      </c>
      <c r="G72" s="589">
        <v>3</v>
      </c>
      <c r="H72" s="589">
        <v>1</v>
      </c>
      <c r="I72" s="590"/>
      <c r="J72" s="568">
        <f t="shared" si="10"/>
        <v>0.140171858216971</v>
      </c>
      <c r="K72" s="569">
        <f t="shared" si="11"/>
        <v>3.79114942528736</v>
      </c>
      <c r="L72" s="569">
        <f t="shared" si="12"/>
        <v>531.41245972073</v>
      </c>
      <c r="M72" s="569">
        <f t="shared" si="13"/>
        <v>0</v>
      </c>
      <c r="N72" s="568">
        <f t="shared" si="14"/>
        <v>0</v>
      </c>
      <c r="O72" s="570"/>
    </row>
    <row r="73" s="541" customFormat="1" spans="1:15">
      <c r="A73" s="582">
        <v>45232</v>
      </c>
      <c r="B73" s="631">
        <f>94.29+99.35+48.3</f>
        <v>241.94</v>
      </c>
      <c r="C73" s="630">
        <f>2295+964</f>
        <v>3259</v>
      </c>
      <c r="D73" s="589">
        <v>147</v>
      </c>
      <c r="E73" s="589">
        <v>0</v>
      </c>
      <c r="F73" s="589">
        <v>0</v>
      </c>
      <c r="G73" s="589">
        <v>10</v>
      </c>
      <c r="H73" s="589">
        <v>2</v>
      </c>
      <c r="I73" s="590"/>
      <c r="J73" s="568">
        <f t="shared" si="10"/>
        <v>0.0451058606934643</v>
      </c>
      <c r="K73" s="569">
        <f t="shared" si="11"/>
        <v>1.64585034013605</v>
      </c>
      <c r="L73" s="569">
        <f t="shared" si="12"/>
        <v>74.2374961644676</v>
      </c>
      <c r="M73" s="569">
        <f t="shared" si="13"/>
        <v>0</v>
      </c>
      <c r="N73" s="568">
        <f t="shared" si="14"/>
        <v>0</v>
      </c>
      <c r="O73" s="570"/>
    </row>
    <row r="74" s="541" customFormat="1" spans="1:15">
      <c r="A74" s="582">
        <v>45233</v>
      </c>
      <c r="B74" s="626">
        <f>99.37+49.99+62.26</f>
        <v>211.62</v>
      </c>
      <c r="C74" s="630">
        <f>3369+932</f>
        <v>4301</v>
      </c>
      <c r="D74" s="589">
        <v>188</v>
      </c>
      <c r="E74" s="589">
        <v>0</v>
      </c>
      <c r="F74" s="589">
        <v>0</v>
      </c>
      <c r="G74" s="589">
        <v>8</v>
      </c>
      <c r="H74" s="589">
        <v>1</v>
      </c>
      <c r="I74" s="590"/>
      <c r="J74" s="568">
        <f t="shared" si="10"/>
        <v>0.0437107649383864</v>
      </c>
      <c r="K74" s="569">
        <f t="shared" si="11"/>
        <v>1.12563829787234</v>
      </c>
      <c r="L74" s="569">
        <f t="shared" si="12"/>
        <v>49.2025110439433</v>
      </c>
      <c r="M74" s="569">
        <f t="shared" si="13"/>
        <v>0</v>
      </c>
      <c r="N74" s="568">
        <f t="shared" si="14"/>
        <v>0</v>
      </c>
      <c r="O74" s="570"/>
    </row>
    <row r="75" s="541" customFormat="1" spans="1:15">
      <c r="A75" s="582">
        <v>45234</v>
      </c>
      <c r="B75" s="632">
        <f>90.1+99.32+47.5</f>
        <v>236.92</v>
      </c>
      <c r="C75" s="633">
        <f>3296+910+2262</f>
        <v>6468</v>
      </c>
      <c r="D75" s="589">
        <v>250</v>
      </c>
      <c r="E75" s="589">
        <v>0</v>
      </c>
      <c r="F75" s="589">
        <v>0</v>
      </c>
      <c r="G75" s="589">
        <v>12</v>
      </c>
      <c r="H75" s="589">
        <v>2</v>
      </c>
      <c r="I75" s="590"/>
      <c r="J75" s="568">
        <f t="shared" si="10"/>
        <v>0.0386518243661101</v>
      </c>
      <c r="K75" s="569">
        <f t="shared" si="11"/>
        <v>0.94768</v>
      </c>
      <c r="L75" s="569">
        <f t="shared" si="12"/>
        <v>36.6295609152752</v>
      </c>
      <c r="M75" s="569">
        <f t="shared" si="13"/>
        <v>0</v>
      </c>
      <c r="N75" s="568">
        <f t="shared" si="14"/>
        <v>0</v>
      </c>
      <c r="O75" s="570"/>
    </row>
    <row r="76" s="541" customFormat="1" spans="1:15">
      <c r="A76" s="582">
        <v>45235</v>
      </c>
      <c r="B76" s="626">
        <f>179.28+49.51</f>
        <v>228.79</v>
      </c>
      <c r="C76" s="633">
        <f>3557+1292+2456</f>
        <v>7305</v>
      </c>
      <c r="D76" s="589">
        <v>295</v>
      </c>
      <c r="E76" s="589">
        <v>8</v>
      </c>
      <c r="F76" s="629">
        <v>126435</v>
      </c>
      <c r="G76" s="589">
        <v>27</v>
      </c>
      <c r="H76" s="589">
        <v>2</v>
      </c>
      <c r="I76" s="590"/>
      <c r="J76" s="568">
        <f t="shared" si="10"/>
        <v>0.0403832991101985</v>
      </c>
      <c r="K76" s="569">
        <f t="shared" si="11"/>
        <v>0.775559322033898</v>
      </c>
      <c r="L76" s="569">
        <f t="shared" si="12"/>
        <v>31.3196440793977</v>
      </c>
      <c r="M76" s="569">
        <f t="shared" si="13"/>
        <v>552.624677651995</v>
      </c>
      <c r="N76" s="568">
        <f t="shared" si="14"/>
        <v>0.0271186440677966</v>
      </c>
      <c r="O76" s="570"/>
    </row>
    <row r="77" s="541" customFormat="1" spans="1:15">
      <c r="A77" s="582">
        <v>45236</v>
      </c>
      <c r="B77" s="632">
        <f>80.18+99.1+49.51</f>
        <v>228.79</v>
      </c>
      <c r="C77" s="633">
        <f>2916+1376+1729</f>
        <v>6021</v>
      </c>
      <c r="D77" s="589">
        <v>295</v>
      </c>
      <c r="E77" s="589">
        <v>0</v>
      </c>
      <c r="F77" s="629">
        <v>0</v>
      </c>
      <c r="G77" s="589">
        <v>11</v>
      </c>
      <c r="H77" s="589">
        <v>2</v>
      </c>
      <c r="I77" s="590"/>
      <c r="J77" s="568">
        <f t="shared" si="10"/>
        <v>0.0489951835243315</v>
      </c>
      <c r="K77" s="569">
        <f t="shared" si="11"/>
        <v>0.775559322033898</v>
      </c>
      <c r="L77" s="569">
        <f t="shared" si="12"/>
        <v>37.998671317057</v>
      </c>
      <c r="M77" s="569">
        <f t="shared" si="13"/>
        <v>0</v>
      </c>
      <c r="N77" s="568">
        <f t="shared" si="14"/>
        <v>0</v>
      </c>
      <c r="O77" s="570"/>
    </row>
    <row r="78" s="541" customFormat="1" spans="1:15">
      <c r="A78" s="582">
        <v>45237</v>
      </c>
      <c r="B78" s="632">
        <f>83.7+198.18+48.9</f>
        <v>330.78</v>
      </c>
      <c r="C78" s="633">
        <f>2945+3239+495</f>
        <v>6679</v>
      </c>
      <c r="D78" s="629">
        <f>69+179+20</f>
        <v>268</v>
      </c>
      <c r="E78" s="589">
        <v>0</v>
      </c>
      <c r="F78" s="629">
        <v>0</v>
      </c>
      <c r="G78" s="589">
        <v>7</v>
      </c>
      <c r="H78" s="589">
        <v>5</v>
      </c>
      <c r="I78" s="590"/>
      <c r="J78" s="621">
        <f t="shared" si="10"/>
        <v>0.0401257673304387</v>
      </c>
      <c r="K78" s="569">
        <f t="shared" si="11"/>
        <v>1.23425373134328</v>
      </c>
      <c r="L78" s="569">
        <f t="shared" si="12"/>
        <v>49.5253780506064</v>
      </c>
      <c r="M78" s="569">
        <f t="shared" si="13"/>
        <v>0</v>
      </c>
      <c r="N78" s="568">
        <f t="shared" si="14"/>
        <v>0</v>
      </c>
      <c r="O78" s="570"/>
    </row>
    <row r="79" s="541" customFormat="1" spans="1:15">
      <c r="A79" s="582">
        <v>45238</v>
      </c>
      <c r="B79" s="609">
        <f>81.65+49.74+200</f>
        <v>331.39</v>
      </c>
      <c r="C79" s="589">
        <f>2790+621+2654</f>
        <v>6065</v>
      </c>
      <c r="D79" s="589">
        <f>47+22+168</f>
        <v>237</v>
      </c>
      <c r="E79" s="589">
        <v>0</v>
      </c>
      <c r="F79" s="629">
        <v>0</v>
      </c>
      <c r="G79" s="589">
        <f>1+2+1</f>
        <v>4</v>
      </c>
      <c r="H79" s="589">
        <v>1</v>
      </c>
      <c r="I79" s="590"/>
      <c r="J79" s="621">
        <f t="shared" si="10"/>
        <v>0.0390766694146744</v>
      </c>
      <c r="K79" s="569">
        <f t="shared" si="11"/>
        <v>1.39827004219409</v>
      </c>
      <c r="L79" s="569">
        <f t="shared" si="12"/>
        <v>54.6397361912613</v>
      </c>
      <c r="M79" s="569">
        <f t="shared" si="13"/>
        <v>0</v>
      </c>
      <c r="N79" s="568">
        <f t="shared" si="14"/>
        <v>0</v>
      </c>
      <c r="O79" s="570"/>
    </row>
    <row r="80" s="541" customFormat="1" spans="1:15">
      <c r="A80" s="582">
        <v>45239</v>
      </c>
      <c r="B80" s="634">
        <f>73.46+45.13+144.03+500</f>
        <v>762.62</v>
      </c>
      <c r="C80" s="589">
        <f>3020+763+2204+1545</f>
        <v>7532</v>
      </c>
      <c r="D80" s="589">
        <f>94+121+24+56</f>
        <v>295</v>
      </c>
      <c r="E80" s="589">
        <v>0</v>
      </c>
      <c r="F80" s="629">
        <v>0</v>
      </c>
      <c r="G80" s="589">
        <v>1</v>
      </c>
      <c r="H80" s="589">
        <v>0</v>
      </c>
      <c r="I80" s="590"/>
      <c r="J80" s="621">
        <f t="shared" si="10"/>
        <v>0.039166224110462</v>
      </c>
      <c r="K80" s="569">
        <f t="shared" si="11"/>
        <v>2.58515254237288</v>
      </c>
      <c r="L80" s="569">
        <f t="shared" si="12"/>
        <v>101.250663834307</v>
      </c>
      <c r="M80" s="569">
        <f t="shared" si="13"/>
        <v>0</v>
      </c>
      <c r="N80" s="568">
        <f t="shared" si="14"/>
        <v>0</v>
      </c>
      <c r="O80" s="570"/>
    </row>
    <row r="81" s="541" customFormat="1" spans="1:15">
      <c r="A81" s="582">
        <v>45240</v>
      </c>
      <c r="B81" s="632">
        <f>88.57+198.58+47.84</f>
        <v>334.99</v>
      </c>
      <c r="C81" s="633">
        <f>1506+2110+1551</f>
        <v>5167</v>
      </c>
      <c r="D81" s="629">
        <f>33+173+15</f>
        <v>221</v>
      </c>
      <c r="E81" s="628">
        <v>8</v>
      </c>
      <c r="F81" s="627">
        <f>21994.02+24355.02</f>
        <v>46349.04</v>
      </c>
      <c r="G81" s="589">
        <v>10</v>
      </c>
      <c r="H81" s="589">
        <v>2</v>
      </c>
      <c r="I81" s="590"/>
      <c r="J81" s="621">
        <f t="shared" si="10"/>
        <v>0.0427714341010257</v>
      </c>
      <c r="K81" s="569">
        <f t="shared" si="11"/>
        <v>1.51579185520362</v>
      </c>
      <c r="L81" s="569">
        <f t="shared" si="12"/>
        <v>64.8325914457132</v>
      </c>
      <c r="M81" s="569">
        <f t="shared" si="13"/>
        <v>138.359473417117</v>
      </c>
      <c r="N81" s="568">
        <f t="shared" si="14"/>
        <v>0.0361990950226244</v>
      </c>
      <c r="O81" s="570"/>
    </row>
    <row r="82" s="541" customFormat="1" spans="1:15">
      <c r="A82" s="596">
        <v>45241</v>
      </c>
      <c r="B82" s="632">
        <f>123.61+198.36+48.66+1244.81</f>
        <v>1615.44</v>
      </c>
      <c r="C82" s="633">
        <f>2494+2660+952+6637</f>
        <v>12743</v>
      </c>
      <c r="D82" s="629">
        <f>77+164+29+451</f>
        <v>721</v>
      </c>
      <c r="E82" s="628">
        <v>10</v>
      </c>
      <c r="F82" s="627">
        <f>11125.01+11125.01+35218.01+22122</f>
        <v>79590.03</v>
      </c>
      <c r="G82" s="589">
        <v>16</v>
      </c>
      <c r="H82" s="589">
        <v>2</v>
      </c>
      <c r="I82" s="590"/>
      <c r="J82" s="635">
        <f t="shared" si="10"/>
        <v>0.056580083182924</v>
      </c>
      <c r="K82" s="636">
        <f t="shared" si="11"/>
        <v>2.2405547850208</v>
      </c>
      <c r="L82" s="569">
        <f t="shared" si="12"/>
        <v>126.770776112375</v>
      </c>
      <c r="M82" s="569">
        <f t="shared" si="13"/>
        <v>49.2683293715644</v>
      </c>
      <c r="N82" s="568">
        <f t="shared" si="14"/>
        <v>0.013869625520111</v>
      </c>
      <c r="O82" s="570"/>
    </row>
    <row r="83" s="541" customFormat="1" spans="1:15">
      <c r="A83" s="637">
        <v>45242</v>
      </c>
      <c r="B83" s="632">
        <f>52.35+199.77+43.35</f>
        <v>295.47</v>
      </c>
      <c r="C83" s="633">
        <f>2148+6852+1120</f>
        <v>10120</v>
      </c>
      <c r="D83" s="629">
        <f>70+461+38</f>
        <v>569</v>
      </c>
      <c r="E83" s="628">
        <v>1</v>
      </c>
      <c r="F83" s="627">
        <v>0.01</v>
      </c>
      <c r="G83" s="589">
        <v>9</v>
      </c>
      <c r="H83" s="589">
        <v>9</v>
      </c>
      <c r="I83" s="590"/>
      <c r="J83" s="638">
        <f t="shared" si="10"/>
        <v>0.0562252964426877</v>
      </c>
      <c r="K83" s="639">
        <f t="shared" si="11"/>
        <v>0.519279437609842</v>
      </c>
      <c r="L83" s="640">
        <f t="shared" si="12"/>
        <v>29.1966403162055</v>
      </c>
      <c r="M83" s="569">
        <f t="shared" si="13"/>
        <v>3.38443835245541e-5</v>
      </c>
      <c r="N83" s="568">
        <f t="shared" si="14"/>
        <v>0.00175746924428822</v>
      </c>
      <c r="O83" s="570"/>
    </row>
    <row r="84" s="541" customFormat="1" spans="1:15">
      <c r="A84" s="637">
        <v>45243</v>
      </c>
      <c r="B84" s="609">
        <f>56.49+49.43+199.41</f>
        <v>305.33</v>
      </c>
      <c r="C84" s="629">
        <f>6706+2683+4891</f>
        <v>14280</v>
      </c>
      <c r="D84" s="589">
        <f>62+39+342</f>
        <v>443</v>
      </c>
      <c r="E84" s="589">
        <v>2</v>
      </c>
      <c r="F84" s="629">
        <v>13196</v>
      </c>
      <c r="G84" s="589">
        <v>14</v>
      </c>
      <c r="H84" s="589">
        <v>5</v>
      </c>
      <c r="I84" s="590"/>
      <c r="J84" s="638">
        <f t="shared" si="10"/>
        <v>0.0310224089635854</v>
      </c>
      <c r="K84" s="639">
        <f t="shared" si="11"/>
        <v>0.689232505643341</v>
      </c>
      <c r="L84" s="640">
        <f t="shared" si="12"/>
        <v>21.3816526610644</v>
      </c>
      <c r="M84" s="569">
        <f t="shared" si="13"/>
        <v>43.2188124324501</v>
      </c>
      <c r="N84" s="568">
        <f t="shared" si="14"/>
        <v>0.00451467268623025</v>
      </c>
      <c r="O84" s="570"/>
    </row>
    <row r="85" s="541" customFormat="1" spans="1:15">
      <c r="A85" s="637">
        <v>45244</v>
      </c>
      <c r="B85" s="632">
        <v>279</v>
      </c>
      <c r="C85" s="593">
        <f>1390+5623</f>
        <v>7013</v>
      </c>
      <c r="D85" s="593">
        <f>54+330</f>
        <v>384</v>
      </c>
      <c r="E85" s="589">
        <v>0</v>
      </c>
      <c r="F85" s="629">
        <v>0</v>
      </c>
      <c r="G85" s="589">
        <v>15</v>
      </c>
      <c r="H85" s="589">
        <v>1</v>
      </c>
      <c r="I85" s="590"/>
      <c r="J85" s="638">
        <f t="shared" si="10"/>
        <v>0.0547554541565664</v>
      </c>
      <c r="K85" s="639">
        <f t="shared" si="11"/>
        <v>0.7265625</v>
      </c>
      <c r="L85" s="640">
        <f t="shared" si="12"/>
        <v>39.7832596606303</v>
      </c>
      <c r="M85" s="569">
        <f t="shared" si="13"/>
        <v>0</v>
      </c>
      <c r="N85" s="568">
        <f t="shared" si="14"/>
        <v>0</v>
      </c>
      <c r="O85" s="570"/>
    </row>
    <row r="86" s="541" customFormat="1" spans="1:15">
      <c r="A86" s="637">
        <v>45245</v>
      </c>
      <c r="B86" s="612">
        <f>49.51+200</f>
        <v>249.51</v>
      </c>
      <c r="C86" s="613">
        <f>2743+4010</f>
        <v>6753</v>
      </c>
      <c r="D86" s="613">
        <f>70+291</f>
        <v>361</v>
      </c>
      <c r="E86" s="589">
        <v>0</v>
      </c>
      <c r="F86" s="629">
        <v>0</v>
      </c>
      <c r="G86" s="589">
        <v>9</v>
      </c>
      <c r="H86" s="589">
        <v>3</v>
      </c>
      <c r="I86" s="590"/>
      <c r="J86" s="638">
        <f t="shared" si="10"/>
        <v>0.0534577224937065</v>
      </c>
      <c r="K86" s="639">
        <f t="shared" si="11"/>
        <v>0.691163434903047</v>
      </c>
      <c r="L86" s="640">
        <f t="shared" si="12"/>
        <v>36.9480231008441</v>
      </c>
      <c r="M86" s="569">
        <f t="shared" si="13"/>
        <v>0</v>
      </c>
      <c r="N86" s="568">
        <f t="shared" si="14"/>
        <v>0</v>
      </c>
      <c r="O86" s="570"/>
    </row>
    <row r="87" s="541" customFormat="1" spans="1:15">
      <c r="A87" s="637">
        <v>45246</v>
      </c>
      <c r="B87" s="641">
        <v>235.99</v>
      </c>
      <c r="C87" s="642">
        <v>9435</v>
      </c>
      <c r="D87" s="643">
        <v>418</v>
      </c>
      <c r="E87" s="604">
        <v>0</v>
      </c>
      <c r="F87" s="629">
        <v>0</v>
      </c>
      <c r="G87" s="589">
        <v>10</v>
      </c>
      <c r="H87" s="589">
        <v>3</v>
      </c>
      <c r="I87" s="590"/>
      <c r="J87" s="638">
        <f t="shared" si="10"/>
        <v>0.0443031266560678</v>
      </c>
      <c r="K87" s="639">
        <f t="shared" si="11"/>
        <v>0.564569377990431</v>
      </c>
      <c r="L87" s="640">
        <f t="shared" si="12"/>
        <v>25.0121886592475</v>
      </c>
      <c r="M87" s="569">
        <f t="shared" si="13"/>
        <v>0</v>
      </c>
      <c r="N87" s="568">
        <f t="shared" si="14"/>
        <v>0</v>
      </c>
      <c r="O87" s="570"/>
    </row>
    <row r="88" s="541" customFormat="1" spans="1:15">
      <c r="A88" s="637">
        <v>45247</v>
      </c>
      <c r="B88" s="616">
        <f>12.05+199.34</f>
        <v>211.39</v>
      </c>
      <c r="C88" s="611">
        <f>2567+5777</f>
        <v>8344</v>
      </c>
      <c r="D88" s="611">
        <f>19+337</f>
        <v>356</v>
      </c>
      <c r="E88" s="589">
        <v>0</v>
      </c>
      <c r="F88" s="629">
        <v>0</v>
      </c>
      <c r="G88" s="589">
        <v>8</v>
      </c>
      <c r="H88" s="589">
        <v>0</v>
      </c>
      <c r="I88" s="590"/>
      <c r="J88" s="638">
        <f t="shared" si="10"/>
        <v>0.0426653883029722</v>
      </c>
      <c r="K88" s="639">
        <f t="shared" si="11"/>
        <v>0.593792134831461</v>
      </c>
      <c r="L88" s="640">
        <f t="shared" si="12"/>
        <v>25.3343720038351</v>
      </c>
      <c r="M88" s="569">
        <f t="shared" si="13"/>
        <v>0</v>
      </c>
      <c r="N88" s="568">
        <f t="shared" si="14"/>
        <v>0</v>
      </c>
      <c r="O88" s="570"/>
    </row>
    <row r="89" s="541" customFormat="1" spans="1:15">
      <c r="A89" s="637">
        <v>45248</v>
      </c>
      <c r="B89" s="616">
        <f>198.81+30.5</f>
        <v>229.31</v>
      </c>
      <c r="C89" s="611">
        <f>4004+1381</f>
        <v>5385</v>
      </c>
      <c r="D89" s="611">
        <f>261+37</f>
        <v>298</v>
      </c>
      <c r="E89" s="604">
        <v>0</v>
      </c>
      <c r="F89" s="629">
        <v>0</v>
      </c>
      <c r="G89" s="589">
        <v>10</v>
      </c>
      <c r="H89" s="589">
        <v>2</v>
      </c>
      <c r="I89" s="590"/>
      <c r="J89" s="638">
        <f t="shared" si="10"/>
        <v>0.055338904363974</v>
      </c>
      <c r="K89" s="639">
        <f t="shared" si="11"/>
        <v>0.769496644295302</v>
      </c>
      <c r="L89" s="640">
        <f t="shared" si="12"/>
        <v>42.5831012070566</v>
      </c>
      <c r="M89" s="569">
        <f t="shared" si="13"/>
        <v>0</v>
      </c>
      <c r="N89" s="568">
        <f t="shared" si="14"/>
        <v>0</v>
      </c>
      <c r="O89" s="570"/>
    </row>
    <row r="90" s="541" customFormat="1" spans="1:15">
      <c r="A90" s="637">
        <v>45249</v>
      </c>
      <c r="B90" s="616">
        <f>24.15+198.74</f>
        <v>222.89</v>
      </c>
      <c r="C90" s="611">
        <f>1292+6610</f>
        <v>7902</v>
      </c>
      <c r="D90" s="611">
        <f>22+288</f>
        <v>310</v>
      </c>
      <c r="E90" s="589">
        <v>0</v>
      </c>
      <c r="F90" s="629">
        <v>0</v>
      </c>
      <c r="G90" s="589">
        <v>5</v>
      </c>
      <c r="H90" s="589">
        <v>0</v>
      </c>
      <c r="I90" s="590"/>
      <c r="J90" s="638">
        <f t="shared" si="10"/>
        <v>0.0392305745380916</v>
      </c>
      <c r="K90" s="639">
        <f t="shared" si="11"/>
        <v>0.719</v>
      </c>
      <c r="L90" s="640">
        <f t="shared" si="12"/>
        <v>28.2067830928879</v>
      </c>
      <c r="M90" s="569">
        <f t="shared" si="13"/>
        <v>0</v>
      </c>
      <c r="N90" s="568">
        <f t="shared" si="14"/>
        <v>0</v>
      </c>
      <c r="O90" s="570"/>
    </row>
    <row r="91" s="541" customFormat="1" spans="1:15">
      <c r="A91" s="637">
        <v>45250</v>
      </c>
      <c r="B91" s="644">
        <f>49.27+198.6</f>
        <v>247.87</v>
      </c>
      <c r="C91" s="629">
        <f>3824+5554</f>
        <v>9378</v>
      </c>
      <c r="D91" s="589">
        <f>34+285</f>
        <v>319</v>
      </c>
      <c r="E91" s="589">
        <v>0</v>
      </c>
      <c r="F91" s="629">
        <v>0</v>
      </c>
      <c r="G91" s="589">
        <v>7</v>
      </c>
      <c r="H91" s="589">
        <v>1</v>
      </c>
      <c r="I91" s="590"/>
      <c r="J91" s="638">
        <f t="shared" si="10"/>
        <v>0.0340157816165494</v>
      </c>
      <c r="K91" s="639">
        <f t="shared" si="11"/>
        <v>0.777021943573668</v>
      </c>
      <c r="L91" s="640">
        <f t="shared" si="12"/>
        <v>26.4310087438686</v>
      </c>
      <c r="M91" s="569">
        <f t="shared" si="13"/>
        <v>0</v>
      </c>
      <c r="N91" s="568">
        <f t="shared" si="14"/>
        <v>0</v>
      </c>
      <c r="O91" s="570"/>
    </row>
    <row r="92" s="541" customFormat="1" spans="1:15">
      <c r="A92" s="637">
        <v>45251</v>
      </c>
      <c r="B92" s="644">
        <f>51.24+198.24</f>
        <v>249.48</v>
      </c>
      <c r="C92" s="629">
        <f>6754+3266</f>
        <v>10020</v>
      </c>
      <c r="D92" s="589">
        <f>41+210</f>
        <v>251</v>
      </c>
      <c r="E92" s="589">
        <v>0</v>
      </c>
      <c r="F92" s="629">
        <v>0</v>
      </c>
      <c r="G92" s="589">
        <v>5</v>
      </c>
      <c r="H92" s="589">
        <v>2</v>
      </c>
      <c r="I92" s="590"/>
      <c r="J92" s="638">
        <f t="shared" si="10"/>
        <v>0.0250499001996008</v>
      </c>
      <c r="K92" s="639">
        <f t="shared" si="11"/>
        <v>0.99394422310757</v>
      </c>
      <c r="L92" s="640">
        <f t="shared" si="12"/>
        <v>24.8982035928144</v>
      </c>
      <c r="M92" s="569">
        <f t="shared" si="13"/>
        <v>0</v>
      </c>
      <c r="N92" s="568">
        <f t="shared" si="14"/>
        <v>0</v>
      </c>
      <c r="O92" s="570"/>
    </row>
    <row r="93" s="541" customFormat="1" spans="1:15">
      <c r="A93" s="637">
        <v>45252</v>
      </c>
      <c r="B93" s="644">
        <f>47.49+198.66</f>
        <v>246.15</v>
      </c>
      <c r="C93" s="629">
        <f>2971+5889</f>
        <v>8860</v>
      </c>
      <c r="D93" s="589">
        <f>52+308</f>
        <v>360</v>
      </c>
      <c r="E93" s="589">
        <v>0</v>
      </c>
      <c r="F93" s="629">
        <v>0</v>
      </c>
      <c r="G93" s="589">
        <v>1</v>
      </c>
      <c r="H93" s="589">
        <v>0</v>
      </c>
      <c r="I93" s="590"/>
      <c r="J93" s="638">
        <f t="shared" si="10"/>
        <v>0.0406320541760722</v>
      </c>
      <c r="K93" s="639">
        <f t="shared" si="11"/>
        <v>0.68375</v>
      </c>
      <c r="L93" s="640">
        <f t="shared" si="12"/>
        <v>27.7821670428894</v>
      </c>
      <c r="M93" s="569">
        <f t="shared" si="13"/>
        <v>0</v>
      </c>
      <c r="N93" s="568">
        <f t="shared" si="14"/>
        <v>0</v>
      </c>
      <c r="O93" s="570"/>
    </row>
    <row r="94" s="541" customFormat="1" spans="1:15">
      <c r="A94" s="637">
        <v>45253</v>
      </c>
      <c r="B94" s="282">
        <f>50.12+199.91</f>
        <v>250.03</v>
      </c>
      <c r="C94" s="645">
        <f>2989+15237</f>
        <v>18226</v>
      </c>
      <c r="D94" s="282">
        <f>47+338</f>
        <v>385</v>
      </c>
      <c r="E94" s="589">
        <v>0</v>
      </c>
      <c r="F94" s="629">
        <v>0</v>
      </c>
      <c r="G94" s="589">
        <v>3</v>
      </c>
      <c r="H94" s="589">
        <v>1</v>
      </c>
      <c r="I94" s="590"/>
      <c r="J94" s="638">
        <f t="shared" si="10"/>
        <v>0.0211236694831559</v>
      </c>
      <c r="K94" s="639">
        <f t="shared" si="11"/>
        <v>0.649428571428571</v>
      </c>
      <c r="L94" s="640">
        <f t="shared" si="12"/>
        <v>13.7183144957753</v>
      </c>
      <c r="M94" s="569">
        <f t="shared" si="13"/>
        <v>0</v>
      </c>
      <c r="N94" s="568">
        <f t="shared" si="14"/>
        <v>0</v>
      </c>
      <c r="O94" s="570"/>
    </row>
    <row r="95" s="541" customFormat="1" spans="1:15">
      <c r="A95" s="637">
        <v>45254</v>
      </c>
      <c r="B95" s="644">
        <f>47.17+200</f>
        <v>247.17</v>
      </c>
      <c r="C95" s="629">
        <f>2035+6465</f>
        <v>8500</v>
      </c>
      <c r="D95" s="589">
        <f>47+341</f>
        <v>388</v>
      </c>
      <c r="E95" s="589">
        <v>0</v>
      </c>
      <c r="F95" s="629">
        <v>0</v>
      </c>
      <c r="G95" s="589">
        <v>6</v>
      </c>
      <c r="H95" s="589">
        <v>0</v>
      </c>
      <c r="I95" s="590"/>
      <c r="J95" s="638">
        <f t="shared" si="10"/>
        <v>0.0456470588235294</v>
      </c>
      <c r="K95" s="639">
        <f t="shared" si="11"/>
        <v>0.637036082474227</v>
      </c>
      <c r="L95" s="640">
        <f t="shared" si="12"/>
        <v>29.0788235294118</v>
      </c>
      <c r="M95" s="569">
        <f t="shared" si="13"/>
        <v>0</v>
      </c>
      <c r="N95" s="568">
        <f t="shared" si="14"/>
        <v>0</v>
      </c>
      <c r="O95" s="570"/>
    </row>
    <row r="96" s="541" customFormat="1" spans="1:15">
      <c r="A96" s="637">
        <v>45255</v>
      </c>
      <c r="B96" s="644">
        <f>199.02+42.44</f>
        <v>241.46</v>
      </c>
      <c r="C96" s="629">
        <f>7196+2093</f>
        <v>9289</v>
      </c>
      <c r="D96" s="589">
        <f>694+29</f>
        <v>723</v>
      </c>
      <c r="E96" s="589">
        <v>0</v>
      </c>
      <c r="F96" s="629">
        <v>0</v>
      </c>
      <c r="G96" s="589">
        <v>4</v>
      </c>
      <c r="H96" s="589">
        <v>2</v>
      </c>
      <c r="I96" s="590"/>
      <c r="J96" s="638">
        <f t="shared" si="10"/>
        <v>0.0778339972009904</v>
      </c>
      <c r="K96" s="639">
        <f t="shared" si="11"/>
        <v>0.333969571230982</v>
      </c>
      <c r="L96" s="640">
        <f t="shared" si="12"/>
        <v>25.9941866724082</v>
      </c>
      <c r="M96" s="569">
        <f t="shared" si="13"/>
        <v>0</v>
      </c>
      <c r="N96" s="568">
        <f t="shared" si="14"/>
        <v>0</v>
      </c>
      <c r="O96" s="570"/>
    </row>
    <row r="97" s="541" customFormat="1" spans="1:15">
      <c r="A97" s="637">
        <v>45256</v>
      </c>
      <c r="B97" s="644">
        <f>24.14+200</f>
        <v>224.14</v>
      </c>
      <c r="C97" s="629">
        <f>2417+6435</f>
        <v>8852</v>
      </c>
      <c r="D97" s="589">
        <f>40+601</f>
        <v>641</v>
      </c>
      <c r="E97" s="589">
        <v>0</v>
      </c>
      <c r="F97" s="629">
        <v>0</v>
      </c>
      <c r="G97" s="589">
        <v>6</v>
      </c>
      <c r="H97" s="589">
        <v>1</v>
      </c>
      <c r="I97" s="590"/>
      <c r="J97" s="638">
        <f t="shared" si="10"/>
        <v>0.0724130140081338</v>
      </c>
      <c r="K97" s="639">
        <f t="shared" si="11"/>
        <v>0.349672386895476</v>
      </c>
      <c r="L97" s="640">
        <f t="shared" si="12"/>
        <v>25.3208314505197</v>
      </c>
      <c r="M97" s="569">
        <f t="shared" si="13"/>
        <v>0</v>
      </c>
      <c r="N97" s="568">
        <f t="shared" si="14"/>
        <v>0</v>
      </c>
      <c r="O97" s="570"/>
    </row>
    <row r="98" s="541" customFormat="1" spans="1:15">
      <c r="A98" s="637">
        <v>45257</v>
      </c>
      <c r="B98" s="644">
        <f>34.5+199.27</f>
        <v>233.77</v>
      </c>
      <c r="C98" s="629">
        <f>1803+5808</f>
        <v>7611</v>
      </c>
      <c r="D98" s="589">
        <f>32+482</f>
        <v>514</v>
      </c>
      <c r="E98" s="589">
        <v>0</v>
      </c>
      <c r="F98" s="629">
        <v>0</v>
      </c>
      <c r="G98" s="589">
        <v>0</v>
      </c>
      <c r="H98" s="589">
        <v>1</v>
      </c>
      <c r="I98" s="590"/>
      <c r="J98" s="638">
        <f t="shared" si="10"/>
        <v>0.0675338326106951</v>
      </c>
      <c r="K98" s="639">
        <f t="shared" si="11"/>
        <v>0.454805447470817</v>
      </c>
      <c r="L98" s="640">
        <f t="shared" si="12"/>
        <v>30.7147549599264</v>
      </c>
      <c r="M98" s="569">
        <f t="shared" si="13"/>
        <v>0</v>
      </c>
      <c r="N98" s="568">
        <f t="shared" si="14"/>
        <v>0</v>
      </c>
      <c r="O98" s="570"/>
    </row>
    <row r="99" s="541" customFormat="1" spans="1:15">
      <c r="A99" s="637">
        <v>45258</v>
      </c>
      <c r="B99" s="644">
        <f>31.91+199.96</f>
        <v>231.87</v>
      </c>
      <c r="C99" s="629">
        <f>1866+7376</f>
        <v>9242</v>
      </c>
      <c r="D99" s="589">
        <f>36+357</f>
        <v>393</v>
      </c>
      <c r="E99" s="589">
        <v>0</v>
      </c>
      <c r="F99" s="629">
        <v>0</v>
      </c>
      <c r="G99" s="589">
        <v>2</v>
      </c>
      <c r="H99" s="589">
        <v>1</v>
      </c>
      <c r="I99" s="590"/>
      <c r="J99" s="638">
        <f t="shared" si="10"/>
        <v>0.0425232633629085</v>
      </c>
      <c r="K99" s="639">
        <f t="shared" si="11"/>
        <v>0.59</v>
      </c>
      <c r="L99" s="640">
        <f t="shared" si="12"/>
        <v>25.088725384116</v>
      </c>
      <c r="M99" s="569">
        <f t="shared" si="13"/>
        <v>0</v>
      </c>
      <c r="N99" s="568">
        <f t="shared" si="14"/>
        <v>0</v>
      </c>
      <c r="O99" s="570"/>
    </row>
    <row r="100" s="541" customFormat="1" spans="1:15">
      <c r="A100" s="637">
        <v>45259</v>
      </c>
      <c r="B100" s="644">
        <f>50.5+196.77</f>
        <v>247.27</v>
      </c>
      <c r="C100" s="629">
        <f>1925+23801</f>
        <v>25726</v>
      </c>
      <c r="D100" s="589">
        <f>37+388</f>
        <v>425</v>
      </c>
      <c r="E100" s="589">
        <v>0</v>
      </c>
      <c r="F100" s="629">
        <v>0</v>
      </c>
      <c r="G100" s="589">
        <v>4</v>
      </c>
      <c r="H100" s="589">
        <v>2</v>
      </c>
      <c r="I100" s="590"/>
      <c r="J100" s="638">
        <f t="shared" si="10"/>
        <v>0.0165202518852523</v>
      </c>
      <c r="K100" s="639">
        <f t="shared" si="11"/>
        <v>0.581811764705882</v>
      </c>
      <c r="L100" s="640">
        <f t="shared" si="12"/>
        <v>9.61167690274431</v>
      </c>
      <c r="M100" s="569">
        <f t="shared" si="13"/>
        <v>0</v>
      </c>
      <c r="N100" s="568">
        <f t="shared" si="14"/>
        <v>0</v>
      </c>
      <c r="O100" s="570"/>
    </row>
    <row r="101" s="541" customFormat="1" spans="1:15">
      <c r="A101" s="637">
        <v>45260</v>
      </c>
      <c r="B101" s="644">
        <f>23.87+197.88</f>
        <v>221.75</v>
      </c>
      <c r="C101" s="629">
        <f>602+4173</f>
        <v>4775</v>
      </c>
      <c r="D101" s="589">
        <f>17+172</f>
        <v>189</v>
      </c>
      <c r="E101" s="589">
        <v>0</v>
      </c>
      <c r="F101" s="629">
        <v>0</v>
      </c>
      <c r="G101" s="589">
        <v>4</v>
      </c>
      <c r="H101" s="589">
        <v>2</v>
      </c>
      <c r="I101" s="590"/>
      <c r="J101" s="638">
        <f t="shared" si="10"/>
        <v>0.0395811518324607</v>
      </c>
      <c r="K101" s="639">
        <f t="shared" si="11"/>
        <v>1.17328042328042</v>
      </c>
      <c r="L101" s="640">
        <f t="shared" si="12"/>
        <v>46.4397905759162</v>
      </c>
      <c r="M101" s="569">
        <f t="shared" si="13"/>
        <v>0</v>
      </c>
      <c r="N101" s="568">
        <f t="shared" si="14"/>
        <v>0</v>
      </c>
      <c r="O101" s="570"/>
    </row>
    <row r="102" spans="1:15">
      <c r="A102" s="646">
        <v>45261</v>
      </c>
      <c r="B102" s="557">
        <v>238.56</v>
      </c>
      <c r="C102" s="38">
        <v>7388</v>
      </c>
      <c r="D102" s="37">
        <v>205</v>
      </c>
      <c r="E102" s="37">
        <v>0</v>
      </c>
      <c r="F102" s="38">
        <v>0</v>
      </c>
      <c r="G102" s="37">
        <v>11</v>
      </c>
      <c r="H102" s="37">
        <v>3</v>
      </c>
      <c r="J102" s="39">
        <f t="shared" ref="J102:J165" si="15">D102/C102</f>
        <v>0.0277476989713048</v>
      </c>
      <c r="K102" s="559">
        <f t="shared" ref="K102:K165" si="16">B102/D102</f>
        <v>1.16370731707317</v>
      </c>
      <c r="L102" s="647">
        <f t="shared" ref="L102:L165" si="17">B102/C102*1000</f>
        <v>32.2902003248511</v>
      </c>
      <c r="M102" s="648">
        <f t="shared" ref="M102:M165" si="18">F102/B102</f>
        <v>0</v>
      </c>
      <c r="N102" s="649">
        <f t="shared" ref="N102:N165" si="19">E102/D102</f>
        <v>0</v>
      </c>
    </row>
    <row r="103" spans="1:15">
      <c r="A103" s="646">
        <v>45262</v>
      </c>
      <c r="B103" s="557">
        <v>234.42</v>
      </c>
      <c r="C103" s="38">
        <v>9223</v>
      </c>
      <c r="D103" s="37">
        <v>275</v>
      </c>
      <c r="E103" s="37">
        <v>0</v>
      </c>
      <c r="F103" s="38">
        <v>0</v>
      </c>
      <c r="G103" s="37">
        <v>6</v>
      </c>
      <c r="H103" s="37">
        <v>9</v>
      </c>
      <c r="J103" s="39">
        <f t="shared" si="15"/>
        <v>0.0298167624417218</v>
      </c>
      <c r="K103" s="559">
        <f t="shared" si="16"/>
        <v>0.852436363636364</v>
      </c>
      <c r="L103" s="647">
        <f t="shared" si="17"/>
        <v>25.4168925512306</v>
      </c>
      <c r="M103" s="648">
        <f t="shared" si="18"/>
        <v>0</v>
      </c>
      <c r="N103" s="649">
        <f t="shared" si="19"/>
        <v>0</v>
      </c>
    </row>
    <row r="104" spans="1:15">
      <c r="A104" s="646">
        <v>45263</v>
      </c>
      <c r="B104" s="557">
        <v>281.55</v>
      </c>
      <c r="C104" s="38">
        <v>50391</v>
      </c>
      <c r="D104" s="37">
        <v>484</v>
      </c>
      <c r="E104" s="37">
        <v>0</v>
      </c>
      <c r="F104" s="38">
        <v>0</v>
      </c>
      <c r="G104" s="37">
        <v>11</v>
      </c>
      <c r="H104" s="37">
        <v>2</v>
      </c>
      <c r="J104" s="39">
        <f t="shared" si="15"/>
        <v>0.00960488976206069</v>
      </c>
      <c r="K104" s="559">
        <f t="shared" si="16"/>
        <v>0.581714876033058</v>
      </c>
      <c r="L104" s="647">
        <f t="shared" si="17"/>
        <v>5.58730725724832</v>
      </c>
      <c r="M104" s="648">
        <f t="shared" si="18"/>
        <v>0</v>
      </c>
      <c r="N104" s="649">
        <f t="shared" si="19"/>
        <v>0</v>
      </c>
    </row>
    <row r="105" spans="1:15">
      <c r="A105" s="646">
        <v>45264</v>
      </c>
      <c r="B105" s="557">
        <v>295.41</v>
      </c>
      <c r="C105" s="38">
        <v>48157</v>
      </c>
      <c r="D105" s="37">
        <v>417</v>
      </c>
      <c r="E105" s="37">
        <v>0</v>
      </c>
      <c r="F105" s="38">
        <v>0</v>
      </c>
      <c r="G105" s="37">
        <v>22</v>
      </c>
      <c r="H105" s="37">
        <v>2</v>
      </c>
      <c r="J105" s="39">
        <f t="shared" si="15"/>
        <v>0.00865917727433187</v>
      </c>
      <c r="K105" s="559">
        <f t="shared" si="16"/>
        <v>0.70841726618705</v>
      </c>
      <c r="L105" s="647">
        <f t="shared" si="17"/>
        <v>6.13431069211122</v>
      </c>
      <c r="M105" s="648">
        <f t="shared" si="18"/>
        <v>0</v>
      </c>
      <c r="N105" s="649">
        <f t="shared" si="19"/>
        <v>0</v>
      </c>
    </row>
    <row r="106" spans="1:15">
      <c r="A106" s="646">
        <v>45265</v>
      </c>
      <c r="B106" s="557">
        <v>339.81</v>
      </c>
      <c r="C106" s="38">
        <v>34517</v>
      </c>
      <c r="D106" s="37">
        <v>455</v>
      </c>
      <c r="E106" s="37">
        <v>0</v>
      </c>
      <c r="F106" s="38">
        <v>0</v>
      </c>
      <c r="G106" s="37">
        <v>9</v>
      </c>
      <c r="H106" s="37">
        <v>2</v>
      </c>
      <c r="J106" s="39">
        <f t="shared" si="15"/>
        <v>0.0131819103630095</v>
      </c>
      <c r="K106" s="559">
        <f t="shared" si="16"/>
        <v>0.746835164835165</v>
      </c>
      <c r="L106" s="647">
        <f t="shared" si="17"/>
        <v>9.84471419880059</v>
      </c>
      <c r="M106" s="648">
        <f t="shared" si="18"/>
        <v>0</v>
      </c>
      <c r="N106" s="649">
        <f t="shared" si="19"/>
        <v>0</v>
      </c>
    </row>
    <row r="107" spans="1:15">
      <c r="A107" s="646">
        <v>45266</v>
      </c>
      <c r="B107" s="557">
        <v>496.84</v>
      </c>
      <c r="C107" s="38">
        <v>91865</v>
      </c>
      <c r="D107" s="37">
        <v>827</v>
      </c>
      <c r="E107" s="37">
        <v>2</v>
      </c>
      <c r="F107" s="38">
        <v>31262</v>
      </c>
      <c r="G107" s="37">
        <v>19</v>
      </c>
      <c r="H107" s="37">
        <v>0</v>
      </c>
      <c r="J107" s="39">
        <f t="shared" si="15"/>
        <v>0.00900234039079083</v>
      </c>
      <c r="K107" s="559">
        <f t="shared" si="16"/>
        <v>0.600773881499395</v>
      </c>
      <c r="L107" s="647">
        <f t="shared" si="17"/>
        <v>5.40837097915419</v>
      </c>
      <c r="M107" s="648">
        <f t="shared" si="18"/>
        <v>62.921664922309</v>
      </c>
      <c r="N107" s="649">
        <f t="shared" si="19"/>
        <v>0.00241837968561064</v>
      </c>
    </row>
    <row r="108" spans="1:15">
      <c r="A108" s="646">
        <v>45267</v>
      </c>
      <c r="B108" s="557">
        <v>436.96</v>
      </c>
      <c r="C108" s="38">
        <v>44731</v>
      </c>
      <c r="D108" s="37">
        <v>537</v>
      </c>
      <c r="E108" s="37">
        <v>0</v>
      </c>
      <c r="F108" s="38">
        <v>0</v>
      </c>
      <c r="G108" s="37">
        <v>11</v>
      </c>
      <c r="H108" s="37">
        <v>5</v>
      </c>
      <c r="J108" s="39">
        <f t="shared" si="15"/>
        <v>0.0120050971362143</v>
      </c>
      <c r="K108" s="559">
        <f t="shared" si="16"/>
        <v>0.813705772811918</v>
      </c>
      <c r="L108" s="647">
        <f t="shared" si="17"/>
        <v>9.76861684290537</v>
      </c>
      <c r="M108" s="648">
        <f t="shared" si="18"/>
        <v>0</v>
      </c>
      <c r="N108" s="649">
        <f t="shared" si="19"/>
        <v>0</v>
      </c>
    </row>
    <row r="109" spans="1:15">
      <c r="A109" s="646">
        <v>45268</v>
      </c>
      <c r="B109" s="557">
        <v>396.92</v>
      </c>
      <c r="C109" s="38">
        <v>65855</v>
      </c>
      <c r="D109" s="37">
        <v>494</v>
      </c>
      <c r="E109" s="37">
        <v>0</v>
      </c>
      <c r="F109" s="38">
        <v>0</v>
      </c>
      <c r="G109" s="37">
        <v>10</v>
      </c>
      <c r="H109" s="37">
        <v>0</v>
      </c>
      <c r="J109" s="39">
        <f t="shared" si="15"/>
        <v>0.00750132867663807</v>
      </c>
      <c r="K109" s="559">
        <f t="shared" si="16"/>
        <v>0.803481781376518</v>
      </c>
      <c r="L109" s="647">
        <f t="shared" si="17"/>
        <v>6.02718092779592</v>
      </c>
      <c r="M109" s="648">
        <f t="shared" si="18"/>
        <v>0</v>
      </c>
      <c r="N109" s="649">
        <f t="shared" si="19"/>
        <v>0</v>
      </c>
    </row>
    <row r="110" spans="1:15">
      <c r="A110" s="646">
        <v>45269</v>
      </c>
      <c r="B110" s="557">
        <v>537.92</v>
      </c>
      <c r="C110" s="38">
        <v>42852</v>
      </c>
      <c r="D110" s="37">
        <v>617</v>
      </c>
      <c r="E110" s="37">
        <v>1</v>
      </c>
      <c r="F110" s="38">
        <v>22993</v>
      </c>
      <c r="G110" s="37">
        <v>10</v>
      </c>
      <c r="H110" s="37">
        <v>1</v>
      </c>
      <c r="J110" s="39">
        <f t="shared" si="15"/>
        <v>0.0143983944740035</v>
      </c>
      <c r="K110" s="559">
        <f t="shared" si="16"/>
        <v>0.871831442463533</v>
      </c>
      <c r="L110" s="647">
        <f t="shared" si="17"/>
        <v>12.5529730234295</v>
      </c>
      <c r="M110" s="648">
        <f t="shared" si="18"/>
        <v>42.7442742415229</v>
      </c>
      <c r="N110" s="649">
        <f t="shared" si="19"/>
        <v>0.00162074554294976</v>
      </c>
    </row>
    <row r="111" spans="1:15">
      <c r="A111" s="646">
        <v>45270</v>
      </c>
      <c r="B111" s="557">
        <v>541.23</v>
      </c>
      <c r="C111" s="38">
        <v>42159</v>
      </c>
      <c r="D111" s="37">
        <v>529</v>
      </c>
      <c r="E111" s="37">
        <v>1</v>
      </c>
      <c r="F111" s="38">
        <v>10790</v>
      </c>
      <c r="G111" s="37">
        <v>23</v>
      </c>
      <c r="H111" s="37">
        <v>5</v>
      </c>
      <c r="J111" s="39">
        <f t="shared" si="15"/>
        <v>0.0125477359519913</v>
      </c>
      <c r="K111" s="559">
        <f t="shared" si="16"/>
        <v>1.0231190926276</v>
      </c>
      <c r="L111" s="647">
        <f t="shared" si="17"/>
        <v>12.837828221732</v>
      </c>
      <c r="M111" s="648">
        <f t="shared" si="18"/>
        <v>19.9360715407498</v>
      </c>
      <c r="N111" s="649">
        <f t="shared" si="19"/>
        <v>0.00189035916824197</v>
      </c>
    </row>
    <row r="112" spans="1:15">
      <c r="A112" s="646">
        <v>45271</v>
      </c>
      <c r="B112" s="557">
        <v>427.23</v>
      </c>
      <c r="C112" s="38">
        <v>43511</v>
      </c>
      <c r="D112" s="37">
        <v>748</v>
      </c>
      <c r="E112" s="37">
        <v>0</v>
      </c>
      <c r="F112" s="38">
        <v>0</v>
      </c>
      <c r="G112" s="37">
        <v>2</v>
      </c>
      <c r="H112" s="37">
        <v>3</v>
      </c>
      <c r="J112" s="39">
        <f t="shared" si="15"/>
        <v>0.017191055135483</v>
      </c>
      <c r="K112" s="559">
        <f t="shared" si="16"/>
        <v>0.571163101604278</v>
      </c>
      <c r="L112" s="647">
        <f t="shared" si="17"/>
        <v>9.81889637103261</v>
      </c>
      <c r="M112" s="648">
        <f t="shared" si="18"/>
        <v>0</v>
      </c>
      <c r="N112" s="649">
        <f t="shared" si="19"/>
        <v>0</v>
      </c>
    </row>
    <row r="113" spans="1:14">
      <c r="A113" s="646">
        <v>45272</v>
      </c>
      <c r="B113" s="557">
        <v>1857.18</v>
      </c>
      <c r="C113" s="38">
        <v>29553</v>
      </c>
      <c r="D113" s="37">
        <v>522</v>
      </c>
      <c r="E113" s="37">
        <v>0</v>
      </c>
      <c r="F113" s="38">
        <v>0</v>
      </c>
      <c r="G113" s="37">
        <v>6</v>
      </c>
      <c r="H113" s="37">
        <v>4</v>
      </c>
      <c r="J113" s="39">
        <f t="shared" si="15"/>
        <v>0.0176631814029033</v>
      </c>
      <c r="K113" s="559">
        <f t="shared" si="16"/>
        <v>3.55781609195402</v>
      </c>
      <c r="L113" s="647">
        <f t="shared" si="17"/>
        <v>62.8423510303523</v>
      </c>
      <c r="M113" s="648">
        <f t="shared" si="18"/>
        <v>0</v>
      </c>
      <c r="N113" s="649">
        <f t="shared" si="19"/>
        <v>0</v>
      </c>
    </row>
    <row r="114" spans="1:14">
      <c r="A114" s="646">
        <v>45273</v>
      </c>
      <c r="B114" s="557">
        <v>414.37</v>
      </c>
      <c r="C114" s="38">
        <v>31171</v>
      </c>
      <c r="D114" s="37">
        <v>564</v>
      </c>
      <c r="E114" s="37">
        <v>1</v>
      </c>
      <c r="F114" s="38">
        <v>10725</v>
      </c>
      <c r="G114" s="37">
        <v>8</v>
      </c>
      <c r="H114" s="37">
        <v>2</v>
      </c>
      <c r="J114" s="39">
        <f t="shared" si="15"/>
        <v>0.0180937409771903</v>
      </c>
      <c r="K114" s="559">
        <f t="shared" si="16"/>
        <v>0.734698581560284</v>
      </c>
      <c r="L114" s="647">
        <f t="shared" si="17"/>
        <v>13.2934458310609</v>
      </c>
      <c r="M114" s="648">
        <f t="shared" si="18"/>
        <v>25.8826652508628</v>
      </c>
      <c r="N114" s="649">
        <f t="shared" si="19"/>
        <v>0.00177304964539007</v>
      </c>
    </row>
    <row r="115" spans="1:14">
      <c r="A115" s="646">
        <v>45274</v>
      </c>
      <c r="B115" s="557">
        <f>170.76+198.08</f>
        <v>368.84</v>
      </c>
      <c r="C115" s="38">
        <f>4515+6627</f>
        <v>11142</v>
      </c>
      <c r="D115" s="37">
        <f>92+251</f>
        <v>343</v>
      </c>
      <c r="E115" s="37">
        <v>0</v>
      </c>
      <c r="F115" s="38">
        <v>0</v>
      </c>
      <c r="G115" s="37">
        <f>1+4</f>
        <v>5</v>
      </c>
      <c r="H115" s="37">
        <f>1+5</f>
        <v>6</v>
      </c>
      <c r="J115" s="39">
        <f t="shared" si="15"/>
        <v>0.0307844193143062</v>
      </c>
      <c r="K115" s="559">
        <f t="shared" si="16"/>
        <v>1.07533527696793</v>
      </c>
      <c r="L115" s="650">
        <f t="shared" si="17"/>
        <v>33.1035720696464</v>
      </c>
      <c r="M115" s="651">
        <f t="shared" si="18"/>
        <v>0</v>
      </c>
      <c r="N115" s="652">
        <f t="shared" si="19"/>
        <v>0</v>
      </c>
    </row>
    <row r="116" spans="1:14">
      <c r="A116" s="653">
        <v>45275</v>
      </c>
      <c r="B116" s="654">
        <f>158.76+199.39</f>
        <v>358.15</v>
      </c>
      <c r="C116" s="655">
        <f>6089+4341</f>
        <v>10430</v>
      </c>
      <c r="D116" s="655">
        <f>132+244</f>
        <v>376</v>
      </c>
      <c r="E116" s="656">
        <v>0</v>
      </c>
      <c r="F116" s="657">
        <v>0</v>
      </c>
      <c r="G116" s="656">
        <v>12</v>
      </c>
      <c r="H116" s="656">
        <v>2</v>
      </c>
      <c r="I116" s="658"/>
      <c r="J116" s="649">
        <f t="shared" si="15"/>
        <v>0.0360498561840844</v>
      </c>
      <c r="K116" s="648">
        <f t="shared" si="16"/>
        <v>0.952526595744681</v>
      </c>
      <c r="L116" s="648">
        <f t="shared" si="17"/>
        <v>34.3384467881112</v>
      </c>
      <c r="M116" s="648">
        <f t="shared" si="18"/>
        <v>0</v>
      </c>
      <c r="N116" s="649">
        <f t="shared" si="19"/>
        <v>0</v>
      </c>
    </row>
    <row r="117" spans="1:14">
      <c r="A117" s="653">
        <v>45276</v>
      </c>
      <c r="B117" s="654">
        <f>184.39+199.05</f>
        <v>383.44</v>
      </c>
      <c r="C117" s="655">
        <f>5064+8473</f>
        <v>13537</v>
      </c>
      <c r="D117" s="655">
        <f>128+364</f>
        <v>492</v>
      </c>
      <c r="E117" s="656">
        <v>0</v>
      </c>
      <c r="F117" s="657">
        <v>0</v>
      </c>
      <c r="G117" s="656">
        <v>8</v>
      </c>
      <c r="H117" s="656">
        <v>6</v>
      </c>
      <c r="I117" s="658"/>
      <c r="J117" s="649">
        <f t="shared" si="15"/>
        <v>0.0363448326808008</v>
      </c>
      <c r="K117" s="648">
        <f t="shared" si="16"/>
        <v>0.779349593495935</v>
      </c>
      <c r="L117" s="648">
        <f t="shared" si="17"/>
        <v>28.3253305754598</v>
      </c>
      <c r="M117" s="648">
        <f t="shared" si="18"/>
        <v>0</v>
      </c>
      <c r="N117" s="649">
        <f t="shared" si="19"/>
        <v>0</v>
      </c>
    </row>
    <row r="118" spans="1:14">
      <c r="A118" s="653">
        <v>45277</v>
      </c>
      <c r="B118" s="654">
        <f>216.71+199.47</f>
        <v>416.18</v>
      </c>
      <c r="C118" s="655">
        <f>6102+9221</f>
        <v>15323</v>
      </c>
      <c r="D118" s="655">
        <f>122+389</f>
        <v>511</v>
      </c>
      <c r="E118" s="656">
        <v>0</v>
      </c>
      <c r="F118" s="657">
        <v>0</v>
      </c>
      <c r="G118" s="656">
        <v>7</v>
      </c>
      <c r="H118" s="656">
        <v>3</v>
      </c>
      <c r="I118" s="658"/>
      <c r="J118" s="649">
        <f t="shared" si="15"/>
        <v>0.0333485609867519</v>
      </c>
      <c r="K118" s="648">
        <f t="shared" si="16"/>
        <v>0.814442270058708</v>
      </c>
      <c r="L118" s="648">
        <f t="shared" si="17"/>
        <v>27.1604777132415</v>
      </c>
      <c r="M118" s="648">
        <f t="shared" si="18"/>
        <v>0</v>
      </c>
      <c r="N118" s="649">
        <f t="shared" si="19"/>
        <v>0</v>
      </c>
    </row>
    <row r="119" spans="1:14">
      <c r="A119" s="653">
        <v>45278</v>
      </c>
      <c r="B119" s="659">
        <f>269.44+199.1</f>
        <v>468.54</v>
      </c>
      <c r="C119" s="657">
        <f>6814+11845</f>
        <v>18659</v>
      </c>
      <c r="D119" s="656">
        <f>158+261</f>
        <v>419</v>
      </c>
      <c r="E119" s="656">
        <v>0</v>
      </c>
      <c r="F119" s="656">
        <v>0</v>
      </c>
      <c r="G119" s="656">
        <v>2</v>
      </c>
      <c r="H119" s="656">
        <v>4</v>
      </c>
      <c r="I119" s="658"/>
      <c r="J119" s="649">
        <f t="shared" si="15"/>
        <v>0.0224556514282652</v>
      </c>
      <c r="K119" s="648">
        <f t="shared" si="16"/>
        <v>1.1182338902148</v>
      </c>
      <c r="L119" s="648">
        <f t="shared" si="17"/>
        <v>25.1106704539364</v>
      </c>
      <c r="M119" s="648">
        <f t="shared" si="18"/>
        <v>0</v>
      </c>
      <c r="N119" s="649">
        <f t="shared" si="19"/>
        <v>0</v>
      </c>
    </row>
    <row r="120" spans="1:14">
      <c r="A120" s="653">
        <v>45279</v>
      </c>
      <c r="B120" s="659">
        <f>215.2+199.47</f>
        <v>414.67</v>
      </c>
      <c r="C120" s="657">
        <f>6553+9258</f>
        <v>15811</v>
      </c>
      <c r="D120" s="656">
        <f>95+279</f>
        <v>374</v>
      </c>
      <c r="E120" s="656">
        <v>0</v>
      </c>
      <c r="F120" s="656">
        <v>0</v>
      </c>
      <c r="G120" s="656">
        <v>2</v>
      </c>
      <c r="H120" s="656">
        <v>3</v>
      </c>
      <c r="I120" s="658"/>
      <c r="J120" s="649">
        <f t="shared" si="15"/>
        <v>0.0236544178103852</v>
      </c>
      <c r="K120" s="648">
        <f t="shared" si="16"/>
        <v>1.10874331550802</v>
      </c>
      <c r="L120" s="648">
        <f t="shared" si="17"/>
        <v>26.2266776294984</v>
      </c>
      <c r="M120" s="648">
        <f t="shared" si="18"/>
        <v>0</v>
      </c>
      <c r="N120" s="649">
        <f t="shared" si="19"/>
        <v>0</v>
      </c>
    </row>
    <row r="121" spans="1:14">
      <c r="A121" s="653">
        <v>45280</v>
      </c>
      <c r="B121" s="659">
        <f>95.71+198.68</f>
        <v>294.39</v>
      </c>
      <c r="C121" s="657">
        <f>3945+17312</f>
        <v>21257</v>
      </c>
      <c r="D121" s="656">
        <f>83+290</f>
        <v>373</v>
      </c>
      <c r="E121" s="656">
        <v>0</v>
      </c>
      <c r="F121" s="656">
        <v>0</v>
      </c>
      <c r="G121" s="656">
        <v>3</v>
      </c>
      <c r="H121" s="656">
        <v>1</v>
      </c>
      <c r="I121" s="658"/>
      <c r="J121" s="649">
        <f t="shared" si="15"/>
        <v>0.0175471609352213</v>
      </c>
      <c r="K121" s="648">
        <f t="shared" si="16"/>
        <v>0.789249329758713</v>
      </c>
      <c r="L121" s="648">
        <f t="shared" si="17"/>
        <v>13.8490850072917</v>
      </c>
      <c r="M121" s="648">
        <f t="shared" si="18"/>
        <v>0</v>
      </c>
      <c r="N121" s="649">
        <f t="shared" si="19"/>
        <v>0</v>
      </c>
    </row>
    <row r="122" spans="1:14">
      <c r="A122" s="653">
        <v>45281</v>
      </c>
      <c r="B122" s="659">
        <f>81.24+80.53+198.87</f>
        <v>360.64</v>
      </c>
      <c r="C122" s="657">
        <f>6032+1529+18145</f>
        <v>25706</v>
      </c>
      <c r="D122" s="656">
        <f>96+17+241</f>
        <v>354</v>
      </c>
      <c r="E122" s="656">
        <v>0</v>
      </c>
      <c r="F122" s="656">
        <v>0</v>
      </c>
      <c r="G122" s="656">
        <v>1</v>
      </c>
      <c r="H122" s="656">
        <v>0</v>
      </c>
      <c r="I122" s="658"/>
      <c r="J122" s="649">
        <f t="shared" si="15"/>
        <v>0.0137711040224072</v>
      </c>
      <c r="K122" s="648">
        <f t="shared" si="16"/>
        <v>1.01875706214689</v>
      </c>
      <c r="L122" s="648">
        <f t="shared" si="17"/>
        <v>14.0294094763868</v>
      </c>
      <c r="M122" s="648">
        <f t="shared" si="18"/>
        <v>0</v>
      </c>
      <c r="N122" s="649">
        <f t="shared" si="19"/>
        <v>0</v>
      </c>
    </row>
    <row r="123" spans="1:14">
      <c r="A123" s="653">
        <v>45282</v>
      </c>
      <c r="B123" s="659">
        <f>83.65+19.89+198.91</f>
        <v>302.45</v>
      </c>
      <c r="C123" s="657">
        <f>5523+1154+18838</f>
        <v>25515</v>
      </c>
      <c r="D123" s="656">
        <f>106+20+290</f>
        <v>416</v>
      </c>
      <c r="E123" s="656">
        <v>0</v>
      </c>
      <c r="F123" s="656">
        <v>0</v>
      </c>
      <c r="G123" s="656">
        <v>6</v>
      </c>
      <c r="H123" s="656">
        <v>3</v>
      </c>
      <c r="I123" s="658"/>
      <c r="J123" s="649">
        <f t="shared" si="15"/>
        <v>0.0163041348226533</v>
      </c>
      <c r="K123" s="648">
        <f t="shared" si="16"/>
        <v>0.727043269230769</v>
      </c>
      <c r="L123" s="648">
        <f t="shared" si="17"/>
        <v>11.8538114834411</v>
      </c>
      <c r="M123" s="648">
        <f t="shared" si="18"/>
        <v>0</v>
      </c>
      <c r="N123" s="649">
        <f t="shared" si="19"/>
        <v>0</v>
      </c>
    </row>
    <row r="124" spans="1:14">
      <c r="A124" s="653">
        <v>45283</v>
      </c>
      <c r="B124" s="659">
        <f>82.17+81.45+195.4</f>
        <v>359.02</v>
      </c>
      <c r="C124" s="657">
        <f>2596+615+12081</f>
        <v>15292</v>
      </c>
      <c r="D124" s="656">
        <f>58+30+173</f>
        <v>261</v>
      </c>
      <c r="E124" s="656">
        <v>0</v>
      </c>
      <c r="F124" s="656">
        <v>0</v>
      </c>
      <c r="G124" s="656">
        <v>12</v>
      </c>
      <c r="H124" s="656">
        <v>1</v>
      </c>
      <c r="I124" s="658"/>
      <c r="J124" s="649">
        <f t="shared" si="15"/>
        <v>0.0170677478420089</v>
      </c>
      <c r="K124" s="648">
        <f t="shared" si="16"/>
        <v>1.37555555555556</v>
      </c>
      <c r="L124" s="648">
        <f t="shared" si="17"/>
        <v>23.4776353648967</v>
      </c>
      <c r="M124" s="648">
        <f t="shared" si="18"/>
        <v>0</v>
      </c>
      <c r="N124" s="649">
        <f t="shared" si="19"/>
        <v>0</v>
      </c>
    </row>
    <row r="125" spans="1:14">
      <c r="A125" s="653">
        <v>45284</v>
      </c>
      <c r="B125" s="659">
        <f>93.18+66.06+190.93</f>
        <v>350.17</v>
      </c>
      <c r="C125" s="657">
        <f>2005+1151+11603</f>
        <v>14759</v>
      </c>
      <c r="D125" s="656">
        <f>28+35+206</f>
        <v>269</v>
      </c>
      <c r="E125" s="656">
        <v>0</v>
      </c>
      <c r="F125" s="656">
        <v>0</v>
      </c>
      <c r="G125" s="656">
        <v>1</v>
      </c>
      <c r="H125" s="656">
        <v>1</v>
      </c>
      <c r="I125" s="658"/>
      <c r="J125" s="649">
        <f t="shared" si="15"/>
        <v>0.0182261670844908</v>
      </c>
      <c r="K125" s="648">
        <f t="shared" si="16"/>
        <v>1.30174721189591</v>
      </c>
      <c r="L125" s="648">
        <f t="shared" si="17"/>
        <v>23.7258621857849</v>
      </c>
      <c r="M125" s="648">
        <f t="shared" si="18"/>
        <v>0</v>
      </c>
      <c r="N125" s="649">
        <f t="shared" si="19"/>
        <v>0</v>
      </c>
    </row>
    <row r="126" spans="1:14">
      <c r="A126" s="653">
        <v>45285</v>
      </c>
      <c r="B126" s="557">
        <f>94.7+75.18+191.75</f>
        <v>361.63</v>
      </c>
      <c r="C126" s="38">
        <f>3213+1386+47396</f>
        <v>51995</v>
      </c>
      <c r="D126" s="37">
        <f>76+44+408</f>
        <v>528</v>
      </c>
      <c r="E126" s="37">
        <v>0</v>
      </c>
      <c r="F126" s="37">
        <v>0</v>
      </c>
      <c r="G126" s="37">
        <f>2+3+4</f>
        <v>9</v>
      </c>
      <c r="H126" s="37">
        <f>1+2</f>
        <v>3</v>
      </c>
      <c r="J126" s="649">
        <f t="shared" si="15"/>
        <v>0.0101548225790941</v>
      </c>
      <c r="K126" s="648">
        <f t="shared" si="16"/>
        <v>0.684905303030303</v>
      </c>
      <c r="L126" s="648">
        <f t="shared" si="17"/>
        <v>6.95509183575344</v>
      </c>
      <c r="M126" s="648">
        <f t="shared" si="18"/>
        <v>0</v>
      </c>
      <c r="N126" s="649">
        <f t="shared" si="19"/>
        <v>0</v>
      </c>
    </row>
    <row r="127" spans="1:14">
      <c r="A127" s="653">
        <v>45286</v>
      </c>
      <c r="B127" s="557">
        <v>283.72</v>
      </c>
      <c r="C127" s="38">
        <v>36085</v>
      </c>
      <c r="D127" s="37">
        <v>418</v>
      </c>
      <c r="E127" s="656">
        <v>0</v>
      </c>
      <c r="F127" s="656">
        <v>0</v>
      </c>
      <c r="G127" s="37">
        <v>9</v>
      </c>
      <c r="H127" s="37">
        <v>2</v>
      </c>
      <c r="J127" s="649">
        <f t="shared" si="15"/>
        <v>0.0115837605653319</v>
      </c>
      <c r="K127" s="648">
        <f t="shared" si="16"/>
        <v>0.678755980861244</v>
      </c>
      <c r="L127" s="648">
        <f t="shared" si="17"/>
        <v>7.86254676458362</v>
      </c>
      <c r="M127" s="648">
        <f t="shared" si="18"/>
        <v>0</v>
      </c>
      <c r="N127" s="649">
        <f t="shared" si="19"/>
        <v>0</v>
      </c>
    </row>
    <row r="128" spans="1:14">
      <c r="A128" s="653">
        <v>45287</v>
      </c>
      <c r="B128" s="660">
        <v>267.7</v>
      </c>
      <c r="C128" s="38">
        <v>27098</v>
      </c>
      <c r="D128" s="37">
        <v>345</v>
      </c>
      <c r="E128" s="37">
        <v>0</v>
      </c>
      <c r="F128" s="37">
        <v>0</v>
      </c>
      <c r="G128" s="37">
        <v>4</v>
      </c>
      <c r="H128" s="37">
        <v>1</v>
      </c>
      <c r="J128" s="649">
        <f t="shared" si="15"/>
        <v>0.0127315669053067</v>
      </c>
      <c r="K128" s="648">
        <f t="shared" si="16"/>
        <v>0.775942028985507</v>
      </c>
      <c r="L128" s="648">
        <f t="shared" si="17"/>
        <v>9.87895785666839</v>
      </c>
      <c r="M128" s="648">
        <f t="shared" si="18"/>
        <v>0</v>
      </c>
      <c r="N128" s="649">
        <f t="shared" si="19"/>
        <v>0</v>
      </c>
    </row>
    <row r="129" spans="1:17">
      <c r="A129" s="653">
        <v>45288</v>
      </c>
      <c r="B129" s="557">
        <f>80.89+189.23</f>
        <v>270.12</v>
      </c>
      <c r="C129" s="38">
        <f>4627+16012</f>
        <v>20639</v>
      </c>
      <c r="D129" s="37">
        <f>67+238</f>
        <v>305</v>
      </c>
      <c r="E129" s="37">
        <v>0</v>
      </c>
      <c r="F129" s="37">
        <v>0</v>
      </c>
      <c r="G129" s="37">
        <v>4</v>
      </c>
      <c r="H129" s="37">
        <v>4</v>
      </c>
      <c r="J129" s="649">
        <f t="shared" si="15"/>
        <v>0.0147778477639421</v>
      </c>
      <c r="K129" s="648">
        <f t="shared" si="16"/>
        <v>0.885639344262295</v>
      </c>
      <c r="L129" s="648">
        <f t="shared" si="17"/>
        <v>13.0878434032657</v>
      </c>
      <c r="M129" s="648">
        <f t="shared" si="18"/>
        <v>0</v>
      </c>
      <c r="N129" s="649">
        <f t="shared" si="19"/>
        <v>0</v>
      </c>
    </row>
    <row r="130" spans="1:17">
      <c r="A130" s="653">
        <v>45289</v>
      </c>
      <c r="B130" s="557">
        <v>345.55</v>
      </c>
      <c r="C130" s="38">
        <v>15770</v>
      </c>
      <c r="D130" s="37">
        <v>279</v>
      </c>
      <c r="E130" s="37">
        <v>0</v>
      </c>
      <c r="F130" s="37">
        <v>0</v>
      </c>
      <c r="G130" s="37">
        <v>3</v>
      </c>
      <c r="H130" s="37">
        <v>4</v>
      </c>
      <c r="J130" s="649">
        <f t="shared" si="15"/>
        <v>0.0176918199112238</v>
      </c>
      <c r="K130" s="648">
        <f t="shared" si="16"/>
        <v>1.23853046594982</v>
      </c>
      <c r="L130" s="648">
        <f t="shared" si="17"/>
        <v>21.9118579581484</v>
      </c>
      <c r="M130" s="648">
        <f t="shared" si="18"/>
        <v>0</v>
      </c>
      <c r="N130" s="649">
        <f t="shared" si="19"/>
        <v>0</v>
      </c>
    </row>
    <row r="131" spans="1:17">
      <c r="A131" s="653">
        <v>45290</v>
      </c>
      <c r="B131" s="557">
        <v>372.9</v>
      </c>
      <c r="C131" s="38">
        <v>15741</v>
      </c>
      <c r="D131" s="37">
        <v>300</v>
      </c>
      <c r="E131" s="37">
        <v>0</v>
      </c>
      <c r="F131" s="37">
        <v>0</v>
      </c>
      <c r="G131" s="37">
        <v>5</v>
      </c>
      <c r="H131" s="37">
        <v>0</v>
      </c>
      <c r="J131" s="649">
        <f t="shared" si="15"/>
        <v>0.0190585096245474</v>
      </c>
      <c r="K131" s="648">
        <f t="shared" si="16"/>
        <v>1.243</v>
      </c>
      <c r="L131" s="648">
        <f t="shared" si="17"/>
        <v>23.6897274633124</v>
      </c>
      <c r="M131" s="648">
        <f t="shared" si="18"/>
        <v>0</v>
      </c>
      <c r="N131" s="649">
        <f t="shared" si="19"/>
        <v>0</v>
      </c>
    </row>
    <row r="132" spans="1:17">
      <c r="A132" s="653">
        <v>45291</v>
      </c>
      <c r="B132" s="557">
        <v>337.78</v>
      </c>
      <c r="C132" s="38">
        <v>17677</v>
      </c>
      <c r="D132" s="37">
        <v>285</v>
      </c>
      <c r="E132" s="37">
        <v>0</v>
      </c>
      <c r="F132" s="37">
        <v>0</v>
      </c>
      <c r="G132" s="37">
        <v>1</v>
      </c>
      <c r="H132" s="37">
        <v>1</v>
      </c>
      <c r="J132" s="649">
        <f t="shared" si="15"/>
        <v>0.0161226452452339</v>
      </c>
      <c r="K132" s="648">
        <f t="shared" si="16"/>
        <v>1.18519298245614</v>
      </c>
      <c r="L132" s="648">
        <f t="shared" si="17"/>
        <v>19.1084460032811</v>
      </c>
      <c r="M132" s="648">
        <f t="shared" si="18"/>
        <v>0</v>
      </c>
      <c r="N132" s="649">
        <f t="shared" si="19"/>
        <v>0</v>
      </c>
    </row>
    <row r="133" spans="1:17">
      <c r="A133" s="653">
        <v>45292</v>
      </c>
      <c r="B133" s="557">
        <v>352.36</v>
      </c>
      <c r="C133" s="38">
        <v>17802</v>
      </c>
      <c r="D133" s="37">
        <v>318</v>
      </c>
      <c r="E133" s="37">
        <v>1</v>
      </c>
      <c r="F133" s="38">
        <v>19491</v>
      </c>
      <c r="G133" s="37">
        <v>9</v>
      </c>
      <c r="H133" s="37">
        <v>2</v>
      </c>
      <c r="J133" s="649">
        <f t="shared" si="15"/>
        <v>0.0178631614425345</v>
      </c>
      <c r="K133" s="648">
        <f t="shared" si="16"/>
        <v>1.10805031446541</v>
      </c>
      <c r="L133" s="648">
        <f t="shared" si="17"/>
        <v>19.7932816537468</v>
      </c>
      <c r="M133" s="648">
        <f t="shared" si="18"/>
        <v>55.3155863321603</v>
      </c>
      <c r="N133" s="649">
        <f t="shared" si="19"/>
        <v>0.00314465408805031</v>
      </c>
      <c r="O133" s="560">
        <f>B133/(G133+H133)</f>
        <v>32.0327272727273</v>
      </c>
      <c r="P133">
        <f>G133+H133</f>
        <v>11</v>
      </c>
      <c r="Q133" s="661">
        <f>P133/D133</f>
        <v>0.0345911949685535</v>
      </c>
    </row>
    <row r="134" spans="1:17">
      <c r="A134" s="653">
        <v>45293</v>
      </c>
      <c r="B134" s="557">
        <f>94.07+177.13+58.35</f>
        <v>329.55</v>
      </c>
      <c r="C134" s="38">
        <f>8042+12423+2183</f>
        <v>22648</v>
      </c>
      <c r="D134" s="37">
        <f>83+217+89</f>
        <v>389</v>
      </c>
      <c r="E134" s="37">
        <v>0</v>
      </c>
      <c r="F134" s="37">
        <v>0</v>
      </c>
      <c r="G134" s="37">
        <v>3</v>
      </c>
      <c r="H134" s="37">
        <v>5</v>
      </c>
      <c r="J134" s="649">
        <f t="shared" si="15"/>
        <v>0.0171759095725892</v>
      </c>
      <c r="K134" s="648">
        <f t="shared" si="16"/>
        <v>0.847172236503856</v>
      </c>
      <c r="L134" s="648">
        <f t="shared" si="17"/>
        <v>14.5509537265984</v>
      </c>
      <c r="M134" s="648">
        <f t="shared" si="18"/>
        <v>0</v>
      </c>
      <c r="N134" s="649">
        <f t="shared" si="19"/>
        <v>0</v>
      </c>
      <c r="O134" s="560">
        <f t="shared" ref="O134:O165" si="20">B134/(G134+H134)</f>
        <v>41.19375</v>
      </c>
      <c r="P134">
        <f t="shared" ref="P134:P165" si="21">G134+H134</f>
        <v>8</v>
      </c>
      <c r="Q134" s="661">
        <f t="shared" ref="Q134:Q165" si="22">P134/D134</f>
        <v>0.0205655526992288</v>
      </c>
    </row>
    <row r="135" spans="1:17">
      <c r="A135" s="653">
        <v>45294</v>
      </c>
      <c r="B135" s="557">
        <f>79.83+76.47+184.16</f>
        <v>340.46</v>
      </c>
      <c r="C135" s="38">
        <f>1885+6534+15867</f>
        <v>24286</v>
      </c>
      <c r="D135" s="37">
        <f>34+80+218</f>
        <v>332</v>
      </c>
      <c r="E135" s="37">
        <v>1</v>
      </c>
      <c r="F135" s="38">
        <v>13566</v>
      </c>
      <c r="G135" s="37">
        <v>6</v>
      </c>
      <c r="H135" s="37">
        <v>0</v>
      </c>
      <c r="J135" s="649">
        <f t="shared" si="15"/>
        <v>0.0136704274067364</v>
      </c>
      <c r="K135" s="648">
        <f t="shared" si="16"/>
        <v>1.02548192771084</v>
      </c>
      <c r="L135" s="648">
        <f t="shared" si="17"/>
        <v>14.0187762496912</v>
      </c>
      <c r="M135" s="648">
        <f t="shared" si="18"/>
        <v>39.8460905833284</v>
      </c>
      <c r="N135" s="649">
        <f t="shared" si="19"/>
        <v>0.00301204819277108</v>
      </c>
      <c r="O135" s="560">
        <f t="shared" si="20"/>
        <v>56.7433333333333</v>
      </c>
      <c r="P135">
        <f t="shared" si="21"/>
        <v>6</v>
      </c>
      <c r="Q135" s="661">
        <f t="shared" si="22"/>
        <v>0.0180722891566265</v>
      </c>
    </row>
    <row r="136" spans="1:17">
      <c r="A136" s="653">
        <v>45295</v>
      </c>
      <c r="B136" s="557">
        <f>83.75+79.07+187.97</f>
        <v>350.79</v>
      </c>
      <c r="C136" s="38">
        <f>2070+3848+13491</f>
        <v>19409</v>
      </c>
      <c r="D136" s="37">
        <f>29+46+211</f>
        <v>286</v>
      </c>
      <c r="E136" s="37">
        <v>0</v>
      </c>
      <c r="F136" s="37">
        <v>0</v>
      </c>
      <c r="G136" s="37">
        <v>8</v>
      </c>
      <c r="H136" s="37">
        <v>0</v>
      </c>
      <c r="J136" s="649">
        <f t="shared" si="15"/>
        <v>0.014735432016075</v>
      </c>
      <c r="K136" s="648">
        <f t="shared" si="16"/>
        <v>1.22653846153846</v>
      </c>
      <c r="L136" s="648">
        <f t="shared" si="17"/>
        <v>18.0735741151012</v>
      </c>
      <c r="M136" s="648">
        <f t="shared" si="18"/>
        <v>0</v>
      </c>
      <c r="N136" s="649">
        <f t="shared" si="19"/>
        <v>0</v>
      </c>
      <c r="O136" s="560">
        <f t="shared" si="20"/>
        <v>43.84875</v>
      </c>
      <c r="P136">
        <f t="shared" si="21"/>
        <v>8</v>
      </c>
      <c r="Q136" s="661">
        <f t="shared" si="22"/>
        <v>0.027972027972028</v>
      </c>
    </row>
    <row r="137" spans="1:17">
      <c r="A137" s="653">
        <v>45296</v>
      </c>
      <c r="B137" s="557">
        <v>316.76</v>
      </c>
      <c r="C137" s="38">
        <v>16777</v>
      </c>
      <c r="D137" s="37">
        <v>270</v>
      </c>
      <c r="E137" s="37">
        <v>0</v>
      </c>
      <c r="F137" s="37">
        <v>0</v>
      </c>
      <c r="G137" s="37">
        <v>3</v>
      </c>
      <c r="H137" s="37">
        <v>0</v>
      </c>
      <c r="J137" s="649">
        <f t="shared" si="15"/>
        <v>0.0160934612862848</v>
      </c>
      <c r="K137" s="648">
        <f t="shared" si="16"/>
        <v>1.17318518518519</v>
      </c>
      <c r="L137" s="648">
        <f t="shared" si="17"/>
        <v>18.8806103594206</v>
      </c>
      <c r="M137" s="648">
        <f t="shared" si="18"/>
        <v>0</v>
      </c>
      <c r="N137" s="649">
        <f t="shared" si="19"/>
        <v>0</v>
      </c>
      <c r="O137" s="560">
        <f t="shared" si="20"/>
        <v>105.586666666667</v>
      </c>
      <c r="P137">
        <f t="shared" si="21"/>
        <v>3</v>
      </c>
      <c r="Q137" s="661">
        <f t="shared" si="22"/>
        <v>0.0111111111111111</v>
      </c>
    </row>
    <row r="138" spans="1:17">
      <c r="A138" s="653">
        <v>45297</v>
      </c>
      <c r="B138" s="557">
        <f>66.33+193.73+82.62</f>
        <v>342.68</v>
      </c>
      <c r="C138" s="38">
        <f>1290+9539+1770</f>
        <v>12599</v>
      </c>
      <c r="D138" s="37">
        <f>32+202+40</f>
        <v>274</v>
      </c>
      <c r="E138" s="37">
        <v>5</v>
      </c>
      <c r="F138" s="38">
        <v>58186</v>
      </c>
      <c r="G138" s="37">
        <v>3</v>
      </c>
      <c r="H138" s="37">
        <v>1</v>
      </c>
      <c r="J138" s="649">
        <f t="shared" si="15"/>
        <v>0.0217477577585523</v>
      </c>
      <c r="K138" s="648">
        <f t="shared" si="16"/>
        <v>1.25065693430657</v>
      </c>
      <c r="L138" s="648">
        <f t="shared" si="17"/>
        <v>27.1989840463529</v>
      </c>
      <c r="M138" s="648">
        <f t="shared" si="18"/>
        <v>169.796895062449</v>
      </c>
      <c r="N138" s="649">
        <f t="shared" si="19"/>
        <v>0.0182481751824818</v>
      </c>
      <c r="O138" s="560">
        <f t="shared" si="20"/>
        <v>85.67</v>
      </c>
      <c r="P138">
        <f t="shared" si="21"/>
        <v>4</v>
      </c>
      <c r="Q138" s="661">
        <f t="shared" si="22"/>
        <v>0.0145985401459854</v>
      </c>
    </row>
    <row r="139" spans="1:17">
      <c r="A139" s="653">
        <v>45298</v>
      </c>
      <c r="B139" s="557">
        <f>66.1+95.86+188.69</f>
        <v>350.65</v>
      </c>
      <c r="C139" s="38">
        <f>2860+2257+13550</f>
        <v>18667</v>
      </c>
      <c r="D139" s="37">
        <f>47+46+212</f>
        <v>305</v>
      </c>
      <c r="E139" s="37">
        <v>1</v>
      </c>
      <c r="F139" s="38">
        <v>13566</v>
      </c>
      <c r="G139" s="37">
        <v>6</v>
      </c>
      <c r="H139" s="37">
        <v>1</v>
      </c>
      <c r="J139" s="649">
        <f t="shared" si="15"/>
        <v>0.0163389939465367</v>
      </c>
      <c r="K139" s="648">
        <f t="shared" si="16"/>
        <v>1.14967213114754</v>
      </c>
      <c r="L139" s="648">
        <f t="shared" si="17"/>
        <v>18.7844859913216</v>
      </c>
      <c r="M139" s="648">
        <f t="shared" si="18"/>
        <v>38.6881505774989</v>
      </c>
      <c r="N139" s="649">
        <f t="shared" si="19"/>
        <v>0.00327868852459016</v>
      </c>
      <c r="O139" s="560">
        <f t="shared" si="20"/>
        <v>50.0928571428571</v>
      </c>
      <c r="P139">
        <f t="shared" si="21"/>
        <v>7</v>
      </c>
      <c r="Q139" s="661">
        <f t="shared" si="22"/>
        <v>0.0229508196721311</v>
      </c>
    </row>
    <row r="140" spans="1:17">
      <c r="A140" s="653">
        <v>45299</v>
      </c>
      <c r="B140" s="557">
        <f>69.97+60.44+165.14</f>
        <v>295.55</v>
      </c>
      <c r="C140" s="38">
        <f>1710+2882+10913</f>
        <v>15505</v>
      </c>
      <c r="D140" s="37">
        <f>37+41+216</f>
        <v>294</v>
      </c>
      <c r="E140" s="37">
        <v>0</v>
      </c>
      <c r="F140" s="37">
        <v>0</v>
      </c>
      <c r="G140" s="37">
        <v>4</v>
      </c>
      <c r="H140" s="37">
        <v>0</v>
      </c>
      <c r="J140" s="649">
        <f t="shared" si="15"/>
        <v>0.018961625282167</v>
      </c>
      <c r="K140" s="648">
        <f t="shared" si="16"/>
        <v>1.00527210884354</v>
      </c>
      <c r="L140" s="648">
        <f t="shared" si="17"/>
        <v>19.061593034505</v>
      </c>
      <c r="M140" s="648">
        <f t="shared" si="18"/>
        <v>0</v>
      </c>
      <c r="N140" s="649">
        <f t="shared" si="19"/>
        <v>0</v>
      </c>
      <c r="O140" s="560">
        <f t="shared" si="20"/>
        <v>73.8875</v>
      </c>
      <c r="P140">
        <f t="shared" si="21"/>
        <v>4</v>
      </c>
      <c r="Q140" s="661">
        <f t="shared" si="22"/>
        <v>0.0136054421768707</v>
      </c>
    </row>
    <row r="141" spans="1:17">
      <c r="A141" s="653">
        <v>45300</v>
      </c>
      <c r="B141" s="557">
        <f>59.7+78.8+173.11</f>
        <v>311.61</v>
      </c>
      <c r="C141" s="38">
        <f>3127+1900+16642</f>
        <v>21669</v>
      </c>
      <c r="D141" s="37">
        <f>48+40+268</f>
        <v>356</v>
      </c>
      <c r="E141" s="37">
        <v>0</v>
      </c>
      <c r="F141" s="37">
        <v>0</v>
      </c>
      <c r="G141" s="37">
        <v>6</v>
      </c>
      <c r="H141" s="37">
        <v>4</v>
      </c>
      <c r="J141" s="649">
        <f t="shared" si="15"/>
        <v>0.0164289999538511</v>
      </c>
      <c r="K141" s="648">
        <f t="shared" si="16"/>
        <v>0.875308988764045</v>
      </c>
      <c r="L141" s="648">
        <f t="shared" si="17"/>
        <v>14.38045133601</v>
      </c>
      <c r="M141" s="648">
        <f t="shared" si="18"/>
        <v>0</v>
      </c>
      <c r="N141" s="649">
        <f t="shared" si="19"/>
        <v>0</v>
      </c>
      <c r="O141" s="560">
        <f t="shared" si="20"/>
        <v>31.161</v>
      </c>
      <c r="P141">
        <f t="shared" si="21"/>
        <v>10</v>
      </c>
      <c r="Q141" s="661">
        <f t="shared" si="22"/>
        <v>0.0280898876404494</v>
      </c>
    </row>
    <row r="142" spans="1:17">
      <c r="A142" s="653">
        <v>45301</v>
      </c>
      <c r="B142" s="557">
        <f>93.92+89.83+198.8</f>
        <v>382.55</v>
      </c>
      <c r="C142" s="38">
        <f>2487+3278+26802</f>
        <v>32567</v>
      </c>
      <c r="D142" s="37">
        <f>70+41+283</f>
        <v>394</v>
      </c>
      <c r="E142" s="37">
        <v>1</v>
      </c>
      <c r="F142" s="38">
        <v>10998</v>
      </c>
      <c r="G142" s="37">
        <v>7</v>
      </c>
      <c r="H142" s="37">
        <v>2</v>
      </c>
      <c r="J142" s="649">
        <f t="shared" si="15"/>
        <v>0.0120981361500906</v>
      </c>
      <c r="K142" s="648">
        <f t="shared" si="16"/>
        <v>0.970939086294416</v>
      </c>
      <c r="L142" s="648">
        <f t="shared" si="17"/>
        <v>11.7465532594344</v>
      </c>
      <c r="M142" s="648">
        <f t="shared" si="18"/>
        <v>28.7491831133185</v>
      </c>
      <c r="N142" s="649">
        <f t="shared" si="19"/>
        <v>0.00253807106598985</v>
      </c>
      <c r="O142" s="560">
        <f t="shared" si="20"/>
        <v>42.5055555555556</v>
      </c>
      <c r="P142">
        <f t="shared" si="21"/>
        <v>9</v>
      </c>
      <c r="Q142" s="661">
        <f t="shared" si="22"/>
        <v>0.0228426395939086</v>
      </c>
    </row>
    <row r="143" spans="1:17">
      <c r="A143" s="653">
        <v>45302</v>
      </c>
      <c r="B143" s="557">
        <f>83.34+62.52+191.77</f>
        <v>337.63</v>
      </c>
      <c r="C143" s="38">
        <f>3372+1546+10544</f>
        <v>15462</v>
      </c>
      <c r="D143" s="37">
        <f>82+28+238</f>
        <v>348</v>
      </c>
      <c r="E143" s="37">
        <v>0</v>
      </c>
      <c r="F143" s="37">
        <v>0</v>
      </c>
      <c r="G143" s="37">
        <v>11</v>
      </c>
      <c r="H143" s="37">
        <v>0</v>
      </c>
      <c r="J143" s="649">
        <f t="shared" si="15"/>
        <v>0.0225067908420644</v>
      </c>
      <c r="K143" s="648">
        <f t="shared" si="16"/>
        <v>0.970201149425287</v>
      </c>
      <c r="L143" s="648">
        <f t="shared" si="17"/>
        <v>21.8361143448454</v>
      </c>
      <c r="M143" s="648">
        <f t="shared" si="18"/>
        <v>0</v>
      </c>
      <c r="N143" s="649">
        <f t="shared" si="19"/>
        <v>0</v>
      </c>
      <c r="O143" s="560">
        <f t="shared" si="20"/>
        <v>30.6936363636364</v>
      </c>
      <c r="P143">
        <f t="shared" si="21"/>
        <v>11</v>
      </c>
      <c r="Q143" s="661">
        <f t="shared" si="22"/>
        <v>0.0316091954022989</v>
      </c>
    </row>
    <row r="144" spans="1:17">
      <c r="A144" s="653">
        <v>45303</v>
      </c>
      <c r="B144" s="557">
        <f>75.01+73.92+197.01</f>
        <v>345.94</v>
      </c>
      <c r="C144" s="38">
        <f>2414+4272+14427</f>
        <v>21113</v>
      </c>
      <c r="D144" s="37">
        <f>60+48+254</f>
        <v>362</v>
      </c>
      <c r="E144" s="37">
        <v>0</v>
      </c>
      <c r="F144" s="37">
        <v>0</v>
      </c>
      <c r="G144" s="37">
        <v>10</v>
      </c>
      <c r="H144" s="37">
        <v>2</v>
      </c>
      <c r="J144" s="649">
        <f t="shared" si="15"/>
        <v>0.0171458343200871</v>
      </c>
      <c r="K144" s="648">
        <f t="shared" si="16"/>
        <v>0.955635359116022</v>
      </c>
      <c r="L144" s="648">
        <f t="shared" si="17"/>
        <v>16.3851655378203</v>
      </c>
      <c r="M144" s="648">
        <f t="shared" si="18"/>
        <v>0</v>
      </c>
      <c r="N144" s="649">
        <f t="shared" si="19"/>
        <v>0</v>
      </c>
      <c r="O144" s="560">
        <f t="shared" si="20"/>
        <v>28.8283333333333</v>
      </c>
      <c r="P144">
        <f t="shared" si="21"/>
        <v>12</v>
      </c>
      <c r="Q144" s="661">
        <f t="shared" si="22"/>
        <v>0.0331491712707182</v>
      </c>
    </row>
    <row r="145" spans="1:17">
      <c r="A145" s="653">
        <v>45304</v>
      </c>
      <c r="B145" s="557">
        <f>179.99+92.36+85.19</f>
        <v>357.54</v>
      </c>
      <c r="C145" s="38">
        <f>10992+3404+1816</f>
        <v>16212</v>
      </c>
      <c r="D145" s="37">
        <f>237+69+26</f>
        <v>332</v>
      </c>
      <c r="E145" s="37">
        <v>0</v>
      </c>
      <c r="F145" s="37">
        <v>0</v>
      </c>
      <c r="G145" s="37">
        <v>9</v>
      </c>
      <c r="H145" s="37">
        <v>0</v>
      </c>
      <c r="J145" s="649">
        <f t="shared" si="15"/>
        <v>0.0204786577843573</v>
      </c>
      <c r="K145" s="648">
        <f t="shared" si="16"/>
        <v>1.07692771084337</v>
      </c>
      <c r="L145" s="648">
        <f t="shared" si="17"/>
        <v>22.0540340488527</v>
      </c>
      <c r="M145" s="648">
        <f t="shared" si="18"/>
        <v>0</v>
      </c>
      <c r="N145" s="649">
        <f t="shared" si="19"/>
        <v>0</v>
      </c>
      <c r="O145" s="560">
        <f t="shared" si="20"/>
        <v>39.7266666666667</v>
      </c>
      <c r="P145">
        <f t="shared" si="21"/>
        <v>9</v>
      </c>
      <c r="Q145" s="661">
        <f t="shared" si="22"/>
        <v>0.0271084337349398</v>
      </c>
    </row>
    <row r="146" spans="1:17">
      <c r="A146" s="653">
        <v>45305</v>
      </c>
      <c r="B146" s="557">
        <f>184.32+87.02+96.17</f>
        <v>367.51</v>
      </c>
      <c r="C146" s="38">
        <f>23252+2959+4840</f>
        <v>31051</v>
      </c>
      <c r="D146" s="37">
        <f>318+32+105</f>
        <v>455</v>
      </c>
      <c r="E146" s="37">
        <v>0</v>
      </c>
      <c r="F146" s="37">
        <v>0</v>
      </c>
      <c r="G146" s="37">
        <v>3</v>
      </c>
      <c r="H146" s="37">
        <v>1</v>
      </c>
      <c r="J146" s="649">
        <f t="shared" si="15"/>
        <v>0.0146533122926798</v>
      </c>
      <c r="K146" s="648">
        <f t="shared" si="16"/>
        <v>0.807714285714286</v>
      </c>
      <c r="L146" s="648">
        <f t="shared" si="17"/>
        <v>11.8356896718302</v>
      </c>
      <c r="M146" s="648">
        <f t="shared" si="18"/>
        <v>0</v>
      </c>
      <c r="N146" s="649">
        <f t="shared" si="19"/>
        <v>0</v>
      </c>
      <c r="O146" s="560">
        <f t="shared" si="20"/>
        <v>91.8775</v>
      </c>
      <c r="P146">
        <f t="shared" si="21"/>
        <v>4</v>
      </c>
      <c r="Q146" s="661">
        <f t="shared" si="22"/>
        <v>0.00879120879120879</v>
      </c>
    </row>
    <row r="147" spans="1:17">
      <c r="A147" s="653">
        <v>45306</v>
      </c>
      <c r="B147" s="557">
        <f>72.09+91.33+181.19</f>
        <v>344.61</v>
      </c>
      <c r="C147" s="38">
        <f>6675+3904+16970</f>
        <v>27549</v>
      </c>
      <c r="D147" s="37">
        <f>82+47+259</f>
        <v>388</v>
      </c>
      <c r="E147" s="37">
        <v>0</v>
      </c>
      <c r="F147" s="37">
        <v>0</v>
      </c>
      <c r="G147" s="37">
        <v>10</v>
      </c>
      <c r="H147" s="37">
        <v>0</v>
      </c>
      <c r="J147" s="649">
        <f t="shared" si="15"/>
        <v>0.0140839957893208</v>
      </c>
      <c r="K147" s="648">
        <f t="shared" si="16"/>
        <v>0.888170103092784</v>
      </c>
      <c r="L147" s="648">
        <f t="shared" si="17"/>
        <v>12.5089839921594</v>
      </c>
      <c r="M147" s="648">
        <f t="shared" si="18"/>
        <v>0</v>
      </c>
      <c r="N147" s="649">
        <f t="shared" si="19"/>
        <v>0</v>
      </c>
      <c r="O147" s="560">
        <f t="shared" si="20"/>
        <v>34.461</v>
      </c>
      <c r="P147">
        <f t="shared" si="21"/>
        <v>10</v>
      </c>
      <c r="Q147" s="661">
        <f t="shared" si="22"/>
        <v>0.0257731958762887</v>
      </c>
    </row>
    <row r="148" spans="1:17">
      <c r="A148" s="653">
        <v>45307</v>
      </c>
      <c r="B148" s="662">
        <f>81.15+66.14+182.06+587.87+272.14</f>
        <v>1189.36</v>
      </c>
      <c r="C148" s="38">
        <f>5209+1484+14718+4316+3271</f>
        <v>28998</v>
      </c>
      <c r="D148" s="37">
        <f>72+33+261+16</f>
        <v>382</v>
      </c>
      <c r="E148" s="37">
        <v>1</v>
      </c>
      <c r="F148" s="37">
        <v>19851</v>
      </c>
      <c r="G148" s="37">
        <v>4</v>
      </c>
      <c r="H148" s="37">
        <v>2</v>
      </c>
      <c r="J148" s="649">
        <f t="shared" si="15"/>
        <v>0.0131733222980895</v>
      </c>
      <c r="K148" s="648">
        <f t="shared" si="16"/>
        <v>3.11350785340314</v>
      </c>
      <c r="L148" s="648">
        <f t="shared" si="17"/>
        <v>41.0152424305125</v>
      </c>
      <c r="M148" s="648">
        <f t="shared" si="18"/>
        <v>16.6904890024887</v>
      </c>
      <c r="N148" s="649">
        <f t="shared" si="19"/>
        <v>0.00261780104712042</v>
      </c>
      <c r="O148" s="560">
        <f t="shared" si="20"/>
        <v>198.226666666667</v>
      </c>
      <c r="P148">
        <f t="shared" si="21"/>
        <v>6</v>
      </c>
      <c r="Q148" s="661">
        <f t="shared" si="22"/>
        <v>0.0157068062827225</v>
      </c>
    </row>
    <row r="149" spans="1:17">
      <c r="A149" s="653">
        <v>45308</v>
      </c>
      <c r="B149" s="557">
        <f>77.73+86.89+182.32</f>
        <v>346.94</v>
      </c>
      <c r="C149" s="38">
        <f>4164+1938+15635</f>
        <v>21737</v>
      </c>
      <c r="D149" s="37">
        <f>66+38+227</f>
        <v>331</v>
      </c>
      <c r="E149" s="37">
        <v>1</v>
      </c>
      <c r="F149" s="38">
        <v>19851</v>
      </c>
      <c r="G149" s="37">
        <v>2</v>
      </c>
      <c r="H149" s="37">
        <v>2</v>
      </c>
      <c r="J149" s="649">
        <f t="shared" si="15"/>
        <v>0.0152274922942448</v>
      </c>
      <c r="K149" s="648">
        <f t="shared" si="16"/>
        <v>1.04815709969789</v>
      </c>
      <c r="L149" s="648">
        <f t="shared" si="17"/>
        <v>15.9608041588076</v>
      </c>
      <c r="M149" s="648">
        <f t="shared" si="18"/>
        <v>57.2173862915778</v>
      </c>
      <c r="N149" s="649">
        <f t="shared" si="19"/>
        <v>0.00302114803625378</v>
      </c>
      <c r="O149" s="560">
        <f t="shared" si="20"/>
        <v>86.735</v>
      </c>
      <c r="P149">
        <f t="shared" si="21"/>
        <v>4</v>
      </c>
      <c r="Q149" s="661">
        <f t="shared" si="22"/>
        <v>0.0120845921450151</v>
      </c>
    </row>
    <row r="150" spans="1:17">
      <c r="A150" s="653">
        <v>45309</v>
      </c>
      <c r="B150" s="557">
        <f>94.45+70.28+178.75+585.57</f>
        <v>929.05</v>
      </c>
      <c r="C150" s="38">
        <f>3837+1182+18778+4280</f>
        <v>28077</v>
      </c>
      <c r="D150" s="37">
        <f>72+27+216+41</f>
        <v>356</v>
      </c>
      <c r="E150" s="37">
        <v>0</v>
      </c>
      <c r="F150" s="37">
        <v>0</v>
      </c>
      <c r="G150" s="37">
        <v>5</v>
      </c>
      <c r="H150" s="37">
        <v>3</v>
      </c>
      <c r="J150" s="649">
        <f t="shared" si="15"/>
        <v>0.0126794173166649</v>
      </c>
      <c r="K150" s="648">
        <f t="shared" si="16"/>
        <v>2.60969101123595</v>
      </c>
      <c r="L150" s="648">
        <f t="shared" si="17"/>
        <v>33.0893613990099</v>
      </c>
      <c r="M150" s="648">
        <f t="shared" si="18"/>
        <v>0</v>
      </c>
      <c r="N150" s="649">
        <f t="shared" si="19"/>
        <v>0</v>
      </c>
      <c r="O150" s="560">
        <f t="shared" si="20"/>
        <v>116.13125</v>
      </c>
      <c r="P150">
        <f t="shared" si="21"/>
        <v>8</v>
      </c>
      <c r="Q150" s="661">
        <f t="shared" si="22"/>
        <v>0.0224719101123595</v>
      </c>
    </row>
    <row r="151" spans="1:17">
      <c r="A151" s="653">
        <v>45310</v>
      </c>
      <c r="B151" s="557">
        <f>52.51+83.18+179.67</f>
        <v>315.36</v>
      </c>
      <c r="C151" s="38">
        <f>2833+1372+15938</f>
        <v>20143</v>
      </c>
      <c r="D151" s="37">
        <f>54+27+240</f>
        <v>321</v>
      </c>
      <c r="E151" s="37">
        <v>0</v>
      </c>
      <c r="F151" s="37">
        <v>0</v>
      </c>
      <c r="G151" s="37">
        <f>4+5</f>
        <v>9</v>
      </c>
      <c r="H151" s="37">
        <v>1</v>
      </c>
      <c r="J151" s="649">
        <f t="shared" si="15"/>
        <v>0.0159360571910837</v>
      </c>
      <c r="K151" s="648">
        <f t="shared" si="16"/>
        <v>0.982429906542056</v>
      </c>
      <c r="L151" s="648">
        <f t="shared" si="17"/>
        <v>15.6560591768853</v>
      </c>
      <c r="M151" s="648">
        <f t="shared" si="18"/>
        <v>0</v>
      </c>
      <c r="N151" s="649">
        <f t="shared" si="19"/>
        <v>0</v>
      </c>
      <c r="O151" s="560">
        <f t="shared" si="20"/>
        <v>31.536</v>
      </c>
      <c r="P151">
        <f t="shared" si="21"/>
        <v>10</v>
      </c>
      <c r="Q151" s="661">
        <f t="shared" si="22"/>
        <v>0.0311526479750779</v>
      </c>
    </row>
    <row r="152" spans="1:17">
      <c r="A152" s="653">
        <v>45311</v>
      </c>
      <c r="B152" s="557">
        <f>188.06+80.49+97.72</f>
        <v>366.27</v>
      </c>
      <c r="C152" s="38">
        <f>21340+2870+4046</f>
        <v>28256</v>
      </c>
      <c r="D152" s="37">
        <f>303+38+76</f>
        <v>417</v>
      </c>
      <c r="E152" s="37">
        <v>0</v>
      </c>
      <c r="F152" s="37">
        <v>0</v>
      </c>
      <c r="G152" s="37">
        <v>6</v>
      </c>
      <c r="H152" s="37">
        <v>2</v>
      </c>
      <c r="J152" s="649">
        <f t="shared" si="15"/>
        <v>0.0147579275198188</v>
      </c>
      <c r="K152" s="648">
        <f t="shared" si="16"/>
        <v>0.878345323741007</v>
      </c>
      <c r="L152" s="648">
        <f t="shared" si="17"/>
        <v>12.9625566251416</v>
      </c>
      <c r="M152" s="648">
        <f t="shared" si="18"/>
        <v>0</v>
      </c>
      <c r="N152" s="649">
        <f t="shared" si="19"/>
        <v>0</v>
      </c>
      <c r="O152" s="560">
        <f t="shared" si="20"/>
        <v>45.78375</v>
      </c>
      <c r="P152">
        <f t="shared" si="21"/>
        <v>8</v>
      </c>
      <c r="Q152" s="661">
        <f t="shared" si="22"/>
        <v>0.0191846522781775</v>
      </c>
    </row>
    <row r="153" spans="1:17">
      <c r="A153" s="653">
        <v>45312</v>
      </c>
      <c r="B153" s="557">
        <f>181.77+73.66+71.55</f>
        <v>326.98</v>
      </c>
      <c r="C153" s="38">
        <f>20711+5391+2307</f>
        <v>28409</v>
      </c>
      <c r="D153" s="37">
        <f>270+57+29</f>
        <v>356</v>
      </c>
      <c r="E153" s="37">
        <v>0</v>
      </c>
      <c r="F153" s="37">
        <v>0</v>
      </c>
      <c r="G153" s="37">
        <v>4</v>
      </c>
      <c r="H153" s="37">
        <v>0</v>
      </c>
      <c r="J153" s="649">
        <f t="shared" si="15"/>
        <v>0.0125312400999683</v>
      </c>
      <c r="K153" s="648">
        <f t="shared" si="16"/>
        <v>0.918483146067416</v>
      </c>
      <c r="L153" s="648">
        <f t="shared" si="17"/>
        <v>11.5097328311451</v>
      </c>
      <c r="M153" s="648">
        <f t="shared" si="18"/>
        <v>0</v>
      </c>
      <c r="N153" s="649">
        <f t="shared" si="19"/>
        <v>0</v>
      </c>
      <c r="O153" s="560">
        <f t="shared" si="20"/>
        <v>81.745</v>
      </c>
      <c r="P153">
        <f t="shared" si="21"/>
        <v>4</v>
      </c>
      <c r="Q153" s="661">
        <f t="shared" si="22"/>
        <v>0.0112359550561798</v>
      </c>
    </row>
    <row r="154" spans="1:17">
      <c r="A154" s="653">
        <v>45313</v>
      </c>
      <c r="B154" s="557">
        <f>87.76+77.82+194.22</f>
        <v>359.8</v>
      </c>
      <c r="C154" s="37">
        <f>6956+3211+24086</f>
        <v>34253</v>
      </c>
      <c r="D154" s="37">
        <f>82+32+318</f>
        <v>432</v>
      </c>
      <c r="E154" s="37">
        <v>0</v>
      </c>
      <c r="F154" s="37">
        <v>0</v>
      </c>
      <c r="G154" s="37">
        <v>3</v>
      </c>
      <c r="H154" s="37">
        <v>0</v>
      </c>
      <c r="J154" s="649">
        <f t="shared" si="15"/>
        <v>0.0126120339824249</v>
      </c>
      <c r="K154" s="648">
        <f t="shared" si="16"/>
        <v>0.83287037037037</v>
      </c>
      <c r="L154" s="648">
        <f t="shared" si="17"/>
        <v>10.5041894140659</v>
      </c>
      <c r="M154" s="648">
        <f t="shared" si="18"/>
        <v>0</v>
      </c>
      <c r="N154" s="649">
        <f t="shared" si="19"/>
        <v>0</v>
      </c>
      <c r="O154" s="560">
        <f t="shared" si="20"/>
        <v>119.933333333333</v>
      </c>
      <c r="P154">
        <f t="shared" si="21"/>
        <v>3</v>
      </c>
      <c r="Q154" s="661">
        <f t="shared" si="22"/>
        <v>0.00694444444444444</v>
      </c>
    </row>
    <row r="155" spans="1:17">
      <c r="A155" s="653">
        <v>45314</v>
      </c>
      <c r="B155" s="557">
        <f>90.79+80.76+199.73</f>
        <v>371.28</v>
      </c>
      <c r="C155" s="38">
        <f>5901+1668+38126</f>
        <v>45695</v>
      </c>
      <c r="D155" s="37">
        <f>71+30+349</f>
        <v>450</v>
      </c>
      <c r="E155" s="37">
        <v>0</v>
      </c>
      <c r="F155" s="37">
        <v>0</v>
      </c>
      <c r="G155" s="37">
        <v>5</v>
      </c>
      <c r="H155" s="37">
        <v>1</v>
      </c>
      <c r="J155" s="649">
        <f t="shared" si="15"/>
        <v>0.00984790458474669</v>
      </c>
      <c r="K155" s="648">
        <f t="shared" si="16"/>
        <v>0.825066666666667</v>
      </c>
      <c r="L155" s="648">
        <f t="shared" si="17"/>
        <v>8.12517780938833</v>
      </c>
      <c r="M155" s="648">
        <f t="shared" si="18"/>
        <v>0</v>
      </c>
      <c r="N155" s="649">
        <f t="shared" si="19"/>
        <v>0</v>
      </c>
      <c r="O155" s="560">
        <f t="shared" si="20"/>
        <v>61.88</v>
      </c>
      <c r="P155">
        <f t="shared" si="21"/>
        <v>6</v>
      </c>
      <c r="Q155" s="661">
        <f t="shared" si="22"/>
        <v>0.0133333333333333</v>
      </c>
    </row>
    <row r="156" spans="1:17">
      <c r="A156" s="653">
        <v>45315</v>
      </c>
      <c r="B156" s="557">
        <f>84.31+77.9+200+598.7</f>
        <v>960.91</v>
      </c>
      <c r="C156" s="38">
        <f>3932+1786+40605+5251</f>
        <v>51574</v>
      </c>
      <c r="D156" s="37">
        <f>68+28+391+69</f>
        <v>556</v>
      </c>
      <c r="E156" s="37">
        <v>0</v>
      </c>
      <c r="F156" s="37">
        <v>0</v>
      </c>
      <c r="G156" s="37">
        <v>6</v>
      </c>
      <c r="H156" s="37">
        <v>0</v>
      </c>
      <c r="J156" s="649">
        <f t="shared" si="15"/>
        <v>0.0107806258967697</v>
      </c>
      <c r="K156" s="648">
        <f t="shared" si="16"/>
        <v>1.72825539568345</v>
      </c>
      <c r="L156" s="648">
        <f t="shared" si="17"/>
        <v>18.631674874937</v>
      </c>
      <c r="M156" s="648">
        <f t="shared" si="18"/>
        <v>0</v>
      </c>
      <c r="N156" s="649">
        <f t="shared" si="19"/>
        <v>0</v>
      </c>
      <c r="O156" s="560">
        <f t="shared" si="20"/>
        <v>160.151666666667</v>
      </c>
      <c r="P156">
        <f t="shared" si="21"/>
        <v>6</v>
      </c>
      <c r="Q156" s="661">
        <f t="shared" si="22"/>
        <v>0.0107913669064748</v>
      </c>
    </row>
    <row r="157" spans="1:17">
      <c r="A157" s="653">
        <v>45316</v>
      </c>
      <c r="B157" s="557">
        <f>200+97.61+81.49</f>
        <v>379.1</v>
      </c>
      <c r="C157" s="38">
        <f>35844+3472+1069</f>
        <v>40385</v>
      </c>
      <c r="D157" s="37">
        <f>388+60+30</f>
        <v>478</v>
      </c>
      <c r="E157" s="37">
        <v>0</v>
      </c>
      <c r="F157" s="37">
        <v>0</v>
      </c>
      <c r="G157" s="37">
        <v>7</v>
      </c>
      <c r="H157" s="37">
        <v>1</v>
      </c>
      <c r="J157" s="649">
        <f t="shared" si="15"/>
        <v>0.0118360777516405</v>
      </c>
      <c r="K157" s="648">
        <f t="shared" si="16"/>
        <v>0.793096234309624</v>
      </c>
      <c r="L157" s="648">
        <f t="shared" si="17"/>
        <v>9.38714869382197</v>
      </c>
      <c r="M157" s="648">
        <f t="shared" si="18"/>
        <v>0</v>
      </c>
      <c r="N157" s="649">
        <f t="shared" si="19"/>
        <v>0</v>
      </c>
      <c r="O157" s="560">
        <f t="shared" si="20"/>
        <v>47.3875</v>
      </c>
      <c r="P157">
        <f t="shared" si="21"/>
        <v>8</v>
      </c>
      <c r="Q157" s="661">
        <f t="shared" si="22"/>
        <v>0.0167364016736402</v>
      </c>
    </row>
    <row r="158" spans="1:17">
      <c r="A158" s="653">
        <v>45317</v>
      </c>
      <c r="B158" s="557">
        <f>76.1+84.97+188.04</f>
        <v>349.11</v>
      </c>
      <c r="C158" s="38">
        <f>3646+1743+55626</f>
        <v>61015</v>
      </c>
      <c r="D158" s="37">
        <f>52+33+544</f>
        <v>629</v>
      </c>
      <c r="E158" s="37">
        <v>0</v>
      </c>
      <c r="F158" s="37">
        <v>0</v>
      </c>
      <c r="G158" s="37">
        <v>6</v>
      </c>
      <c r="H158" s="37">
        <v>0</v>
      </c>
      <c r="J158" s="649">
        <f t="shared" si="15"/>
        <v>0.0103089404244858</v>
      </c>
      <c r="K158" s="648">
        <f t="shared" si="16"/>
        <v>0.555023847376789</v>
      </c>
      <c r="L158" s="648">
        <f t="shared" si="17"/>
        <v>5.7217077767762</v>
      </c>
      <c r="M158" s="648">
        <f t="shared" si="18"/>
        <v>0</v>
      </c>
      <c r="N158" s="649">
        <f t="shared" si="19"/>
        <v>0</v>
      </c>
      <c r="O158" s="560">
        <f t="shared" si="20"/>
        <v>58.185</v>
      </c>
      <c r="P158">
        <f t="shared" si="21"/>
        <v>6</v>
      </c>
      <c r="Q158" s="661">
        <f t="shared" si="22"/>
        <v>0.0095389507154213</v>
      </c>
    </row>
    <row r="159" spans="1:17">
      <c r="A159" s="653">
        <v>45318</v>
      </c>
      <c r="B159" s="557">
        <f>90.91+58.7+195.5</f>
        <v>345.11</v>
      </c>
      <c r="C159" s="38">
        <f>2969+2152+55943</f>
        <v>61064</v>
      </c>
      <c r="D159" s="37">
        <f>50+24+486</f>
        <v>560</v>
      </c>
      <c r="E159" s="37">
        <v>0</v>
      </c>
      <c r="F159" s="37">
        <v>0</v>
      </c>
      <c r="G159" s="37">
        <v>4</v>
      </c>
      <c r="H159" s="37">
        <v>1</v>
      </c>
      <c r="J159" s="649">
        <f t="shared" si="15"/>
        <v>0.00917070614437312</v>
      </c>
      <c r="K159" s="648">
        <f t="shared" si="16"/>
        <v>0.616267857142857</v>
      </c>
      <c r="L159" s="648">
        <f t="shared" si="17"/>
        <v>5.65161142407965</v>
      </c>
      <c r="M159" s="648">
        <f t="shared" si="18"/>
        <v>0</v>
      </c>
      <c r="N159" s="649">
        <f t="shared" si="19"/>
        <v>0</v>
      </c>
      <c r="O159" s="560">
        <f t="shared" si="20"/>
        <v>69.022</v>
      </c>
      <c r="P159">
        <f t="shared" si="21"/>
        <v>5</v>
      </c>
      <c r="Q159" s="661">
        <f t="shared" si="22"/>
        <v>0.00892857142857143</v>
      </c>
    </row>
    <row r="160" spans="1:17">
      <c r="A160" s="653">
        <v>45319</v>
      </c>
      <c r="B160" s="557">
        <f>91.5+77.8+200</f>
        <v>369.3</v>
      </c>
      <c r="C160" s="38">
        <f>3106+1546+27583</f>
        <v>32235</v>
      </c>
      <c r="D160" s="37">
        <f>58+28+310</f>
        <v>396</v>
      </c>
      <c r="E160" s="37">
        <v>0</v>
      </c>
      <c r="F160" s="37">
        <v>0</v>
      </c>
      <c r="G160" s="37">
        <v>11</v>
      </c>
      <c r="H160" s="37">
        <v>2</v>
      </c>
      <c r="J160" s="649">
        <f t="shared" si="15"/>
        <v>0.0122847836202885</v>
      </c>
      <c r="K160" s="648">
        <f t="shared" si="16"/>
        <v>0.932575757575758</v>
      </c>
      <c r="L160" s="648">
        <f t="shared" si="17"/>
        <v>11.4564913913448</v>
      </c>
      <c r="M160" s="648">
        <f t="shared" si="18"/>
        <v>0</v>
      </c>
      <c r="N160" s="649">
        <f t="shared" si="19"/>
        <v>0</v>
      </c>
      <c r="O160" s="560">
        <f t="shared" si="20"/>
        <v>28.4076923076923</v>
      </c>
      <c r="P160">
        <f t="shared" si="21"/>
        <v>13</v>
      </c>
      <c r="Q160" s="661">
        <f t="shared" si="22"/>
        <v>0.0328282828282828</v>
      </c>
    </row>
    <row r="161" spans="1:17">
      <c r="A161" s="653">
        <v>45320</v>
      </c>
      <c r="B161" s="557">
        <f>43.9+42.65+154.15</f>
        <v>240.7</v>
      </c>
      <c r="C161" s="38">
        <f>2640+915+16358</f>
        <v>19913</v>
      </c>
      <c r="D161" s="37">
        <f>41+19+260</f>
        <v>320</v>
      </c>
      <c r="E161" s="37">
        <v>0</v>
      </c>
      <c r="F161" s="37">
        <v>0</v>
      </c>
      <c r="G161" s="37">
        <f>5+3+4</f>
        <v>12</v>
      </c>
      <c r="H161" s="37">
        <v>5</v>
      </c>
      <c r="J161" s="649">
        <f t="shared" si="15"/>
        <v>0.01606990408276</v>
      </c>
      <c r="K161" s="648">
        <f t="shared" si="16"/>
        <v>0.7521875</v>
      </c>
      <c r="L161" s="648">
        <f t="shared" si="17"/>
        <v>12.087580977251</v>
      </c>
      <c r="M161" s="648">
        <f t="shared" si="18"/>
        <v>0</v>
      </c>
      <c r="N161" s="649">
        <f t="shared" si="19"/>
        <v>0</v>
      </c>
      <c r="O161" s="560">
        <f t="shared" si="20"/>
        <v>14.1588235294118</v>
      </c>
      <c r="P161">
        <f t="shared" si="21"/>
        <v>17</v>
      </c>
      <c r="Q161" s="661">
        <f t="shared" si="22"/>
        <v>0.053125</v>
      </c>
    </row>
    <row r="162" spans="1:17">
      <c r="A162" s="653">
        <v>45321</v>
      </c>
      <c r="B162" s="557">
        <f>31.96+45.84+99.66</f>
        <v>177.46</v>
      </c>
      <c r="C162" s="38">
        <f>2517+1223+11069</f>
        <v>14809</v>
      </c>
      <c r="D162" s="37">
        <f>31+27+240</f>
        <v>298</v>
      </c>
      <c r="E162" s="37">
        <v>0</v>
      </c>
      <c r="F162" s="37">
        <v>0</v>
      </c>
      <c r="G162" s="37">
        <v>1</v>
      </c>
      <c r="H162" s="37">
        <v>0</v>
      </c>
      <c r="J162" s="649">
        <f t="shared" si="15"/>
        <v>0.0201228982375582</v>
      </c>
      <c r="K162" s="648">
        <f t="shared" si="16"/>
        <v>0.595503355704698</v>
      </c>
      <c r="L162" s="648">
        <f t="shared" si="17"/>
        <v>11.9832534269701</v>
      </c>
      <c r="M162" s="648">
        <f t="shared" si="18"/>
        <v>0</v>
      </c>
      <c r="N162" s="649">
        <f t="shared" si="19"/>
        <v>0</v>
      </c>
      <c r="O162" s="560">
        <f t="shared" si="20"/>
        <v>177.46</v>
      </c>
      <c r="P162">
        <f t="shared" si="21"/>
        <v>1</v>
      </c>
      <c r="Q162" s="661">
        <f t="shared" si="22"/>
        <v>0.00335570469798658</v>
      </c>
    </row>
    <row r="163" spans="1:17">
      <c r="A163" s="653">
        <v>45322</v>
      </c>
      <c r="B163" s="662">
        <f>40.26+40.94+99.8</f>
        <v>181</v>
      </c>
      <c r="C163" s="38">
        <f>2414+1686+9614</f>
        <v>13714</v>
      </c>
      <c r="D163" s="37">
        <f>37+24+233</f>
        <v>294</v>
      </c>
      <c r="E163" s="37">
        <v>0</v>
      </c>
      <c r="F163" s="37">
        <v>0</v>
      </c>
      <c r="G163" s="37">
        <v>4</v>
      </c>
      <c r="H163" s="37">
        <v>2</v>
      </c>
      <c r="J163" s="649">
        <f t="shared" si="15"/>
        <v>0.021437946623888</v>
      </c>
      <c r="K163" s="648">
        <f t="shared" si="16"/>
        <v>0.615646258503401</v>
      </c>
      <c r="L163" s="648">
        <f t="shared" si="17"/>
        <v>13.1981916289923</v>
      </c>
      <c r="M163" s="648">
        <f t="shared" si="18"/>
        <v>0</v>
      </c>
      <c r="N163" s="649">
        <f t="shared" si="19"/>
        <v>0</v>
      </c>
      <c r="O163" s="560">
        <f t="shared" si="20"/>
        <v>30.1666666666667</v>
      </c>
      <c r="P163">
        <f t="shared" si="21"/>
        <v>6</v>
      </c>
      <c r="Q163" s="661">
        <f t="shared" si="22"/>
        <v>0.0204081632653061</v>
      </c>
    </row>
    <row r="164" spans="1:17">
      <c r="A164" s="653">
        <v>45323</v>
      </c>
      <c r="B164" s="557">
        <f>45.9+34.95+100</f>
        <v>180.85</v>
      </c>
      <c r="C164" s="38">
        <f>869+1619+8209</f>
        <v>10697</v>
      </c>
      <c r="D164" s="37">
        <f>28+20+238</f>
        <v>286</v>
      </c>
      <c r="E164" s="37">
        <v>0</v>
      </c>
      <c r="F164" s="37">
        <v>0</v>
      </c>
      <c r="G164" s="37">
        <v>3</v>
      </c>
      <c r="H164" s="37">
        <v>3</v>
      </c>
      <c r="J164" s="649">
        <f t="shared" si="15"/>
        <v>0.0267364681686454</v>
      </c>
      <c r="K164" s="648">
        <f t="shared" si="16"/>
        <v>0.632342657342657</v>
      </c>
      <c r="L164" s="648">
        <f t="shared" si="17"/>
        <v>16.9066093297186</v>
      </c>
      <c r="M164" s="648">
        <f t="shared" si="18"/>
        <v>0</v>
      </c>
      <c r="N164" s="649">
        <f t="shared" si="19"/>
        <v>0</v>
      </c>
      <c r="O164" s="560">
        <f t="shared" si="20"/>
        <v>30.1416666666667</v>
      </c>
      <c r="P164">
        <f t="shared" si="21"/>
        <v>6</v>
      </c>
      <c r="Q164" s="661">
        <f t="shared" si="22"/>
        <v>0.020979020979021</v>
      </c>
    </row>
    <row r="165" spans="1:17">
      <c r="A165" s="653">
        <v>45324</v>
      </c>
      <c r="B165" s="557">
        <f>100+39.56+46.87</f>
        <v>186.43</v>
      </c>
      <c r="C165" s="38">
        <f>12989+1003+1460</f>
        <v>15452</v>
      </c>
      <c r="D165" s="37">
        <f>307+18+27</f>
        <v>352</v>
      </c>
      <c r="E165" s="37">
        <v>0</v>
      </c>
      <c r="F165" s="37">
        <v>0</v>
      </c>
      <c r="G165" s="37">
        <v>5</v>
      </c>
      <c r="H165" s="37">
        <v>0</v>
      </c>
      <c r="J165" s="649">
        <f t="shared" si="15"/>
        <v>0.0227802226249029</v>
      </c>
      <c r="K165" s="648">
        <f t="shared" si="16"/>
        <v>0.529630681818182</v>
      </c>
      <c r="L165" s="648">
        <f t="shared" si="17"/>
        <v>12.0651048407973</v>
      </c>
      <c r="M165" s="648">
        <f t="shared" si="18"/>
        <v>0</v>
      </c>
      <c r="N165" s="649">
        <f t="shared" si="19"/>
        <v>0</v>
      </c>
      <c r="O165" s="560">
        <f t="shared" si="20"/>
        <v>37.286</v>
      </c>
      <c r="P165">
        <f t="shared" si="21"/>
        <v>5</v>
      </c>
      <c r="Q165" s="661">
        <f t="shared" si="22"/>
        <v>0.0142045454545455</v>
      </c>
    </row>
    <row r="166" spans="1:17">
      <c r="A166" s="653">
        <v>45325</v>
      </c>
      <c r="B166" s="557">
        <f>42.9+41.72+100</f>
        <v>184.62</v>
      </c>
      <c r="C166" s="38">
        <f>755+1436+19447</f>
        <v>21638</v>
      </c>
      <c r="D166" s="37">
        <f>22+26+346</f>
        <v>394</v>
      </c>
      <c r="E166" s="37">
        <v>0</v>
      </c>
      <c r="F166" s="37">
        <v>0</v>
      </c>
      <c r="G166" s="37">
        <v>5</v>
      </c>
      <c r="H166" s="37">
        <v>0</v>
      </c>
      <c r="J166" s="649">
        <f>D166/C166</f>
        <v>0.0182087069045198</v>
      </c>
      <c r="K166" s="648">
        <f>B166/D166</f>
        <v>0.468578680203046</v>
      </c>
      <c r="L166" s="648">
        <f>B166/C166*1000</f>
        <v>8.53221184952399</v>
      </c>
      <c r="M166" s="648">
        <f>F166/B166</f>
        <v>0</v>
      </c>
      <c r="N166" s="649">
        <f>E166/D166</f>
        <v>0</v>
      </c>
      <c r="O166" s="560">
        <f t="shared" ref="O166:O197" si="23">B166/(G166+H166)</f>
        <v>36.924</v>
      </c>
      <c r="P166">
        <f t="shared" ref="P166:P197" si="24">G166+H166</f>
        <v>5</v>
      </c>
      <c r="Q166" s="661">
        <f t="shared" ref="Q166:Q197" si="25">P166/D166</f>
        <v>0.0126903553299492</v>
      </c>
    </row>
    <row r="167" spans="1:17">
      <c r="A167" s="653">
        <v>45326</v>
      </c>
      <c r="B167" s="557">
        <f>36.38+39.88+100</f>
        <v>176.26</v>
      </c>
      <c r="C167" s="38">
        <f>1040+1035+20832</f>
        <v>22907</v>
      </c>
      <c r="D167" s="37">
        <f>20+22+388</f>
        <v>430</v>
      </c>
      <c r="E167" s="37">
        <v>0</v>
      </c>
      <c r="F167" s="37">
        <v>0</v>
      </c>
      <c r="G167" s="37">
        <v>1</v>
      </c>
      <c r="H167" s="37">
        <v>1</v>
      </c>
      <c r="J167" s="649">
        <f>D167/C167</f>
        <v>0.0187715545466451</v>
      </c>
      <c r="K167" s="648">
        <f>B167/D167</f>
        <v>0.409906976744186</v>
      </c>
      <c r="L167" s="648">
        <f>B167/C167*1000</f>
        <v>7.69459117300388</v>
      </c>
      <c r="M167" s="648">
        <f>F167/B167</f>
        <v>0</v>
      </c>
      <c r="N167" s="649">
        <f>E167/D167</f>
        <v>0</v>
      </c>
      <c r="O167" s="560">
        <f t="shared" si="23"/>
        <v>88.13</v>
      </c>
      <c r="P167">
        <f t="shared" si="24"/>
        <v>2</v>
      </c>
      <c r="Q167" s="661">
        <f t="shared" si="25"/>
        <v>0.00465116279069767</v>
      </c>
    </row>
    <row r="168" spans="1:17">
      <c r="A168" s="653">
        <v>45327</v>
      </c>
      <c r="B168" s="557">
        <f>47.02+30.15+99.78</f>
        <v>176.95</v>
      </c>
      <c r="C168" s="38">
        <f>2297+22405+1751</f>
        <v>26453</v>
      </c>
      <c r="D168" s="37">
        <f>40+458+18</f>
        <v>516</v>
      </c>
      <c r="E168" s="37">
        <v>0</v>
      </c>
      <c r="F168" s="37">
        <v>0</v>
      </c>
      <c r="G168" s="37">
        <v>3</v>
      </c>
      <c r="H168" s="37">
        <v>2</v>
      </c>
      <c r="J168" s="649">
        <f>D168/C168</f>
        <v>0.0195062941821344</v>
      </c>
      <c r="K168" s="648">
        <f>B168/D168</f>
        <v>0.342926356589147</v>
      </c>
      <c r="L168" s="648">
        <f>B168/C168*1000</f>
        <v>6.68922239443541</v>
      </c>
      <c r="M168" s="648">
        <f>F168/B168</f>
        <v>0</v>
      </c>
      <c r="N168" s="649">
        <f>E168/D168</f>
        <v>0</v>
      </c>
      <c r="O168" s="560">
        <f t="shared" si="23"/>
        <v>35.39</v>
      </c>
      <c r="P168">
        <f t="shared" si="24"/>
        <v>5</v>
      </c>
      <c r="Q168" s="661">
        <f t="shared" si="25"/>
        <v>0.00968992248062015</v>
      </c>
    </row>
    <row r="169" spans="1:17">
      <c r="A169" s="653">
        <v>45328</v>
      </c>
      <c r="B169" s="662">
        <f>43.42+41.57+99.91</f>
        <v>184.9</v>
      </c>
      <c r="C169" s="38">
        <f>1669+1059+25650</f>
        <v>28378</v>
      </c>
      <c r="D169" s="37">
        <f>25+23+529</f>
        <v>577</v>
      </c>
      <c r="E169" s="37">
        <v>0</v>
      </c>
      <c r="F169" s="37">
        <v>0</v>
      </c>
      <c r="G169" s="37">
        <v>9</v>
      </c>
      <c r="H169" s="37">
        <v>1</v>
      </c>
      <c r="J169" s="649">
        <f>D169/C169</f>
        <v>0.0203326520544083</v>
      </c>
      <c r="K169" s="648">
        <f>B169/D169</f>
        <v>0.320450606585789</v>
      </c>
      <c r="L169" s="648">
        <f>B169/C169*1000</f>
        <v>6.51561068433293</v>
      </c>
      <c r="M169" s="648">
        <f>F169/B169</f>
        <v>0</v>
      </c>
      <c r="N169" s="649">
        <f>E169/D169</f>
        <v>0</v>
      </c>
      <c r="O169" s="560">
        <f t="shared" si="23"/>
        <v>18.49</v>
      </c>
      <c r="P169">
        <f t="shared" si="24"/>
        <v>10</v>
      </c>
      <c r="Q169" s="661">
        <f t="shared" si="25"/>
        <v>0.0173310225303293</v>
      </c>
    </row>
    <row r="170" spans="1:17">
      <c r="A170" s="653">
        <v>45329</v>
      </c>
      <c r="B170" s="557">
        <f>36.65+47.85+99.94</f>
        <v>184.44</v>
      </c>
      <c r="C170" s="38">
        <f>1662+1218+19416</f>
        <v>22296</v>
      </c>
      <c r="D170" s="37">
        <f>19+18+511</f>
        <v>548</v>
      </c>
      <c r="E170" s="37">
        <v>0</v>
      </c>
      <c r="F170" s="37">
        <v>0</v>
      </c>
      <c r="G170" s="37">
        <v>3</v>
      </c>
      <c r="H170" s="37">
        <v>4</v>
      </c>
      <c r="J170" s="649">
        <f>D170/C170</f>
        <v>0.024578399712953</v>
      </c>
      <c r="K170" s="648">
        <f>B170/D170</f>
        <v>0.336569343065693</v>
      </c>
      <c r="L170" s="648">
        <f>B170/C170*1000</f>
        <v>8.27233584499462</v>
      </c>
      <c r="M170" s="648">
        <f>F170/B170</f>
        <v>0</v>
      </c>
      <c r="N170" s="649">
        <f>E170/D170</f>
        <v>0</v>
      </c>
      <c r="O170" s="560">
        <f t="shared" si="23"/>
        <v>26.3485714285714</v>
      </c>
      <c r="P170">
        <f t="shared" si="24"/>
        <v>7</v>
      </c>
      <c r="Q170" s="661">
        <f t="shared" si="25"/>
        <v>0.0127737226277372</v>
      </c>
    </row>
    <row r="171" spans="1:17">
      <c r="A171" s="653">
        <v>45330</v>
      </c>
      <c r="B171" s="557">
        <f>32.66+42.53+100</f>
        <v>175.19</v>
      </c>
      <c r="C171" s="37">
        <f>4858+1818+32976</f>
        <v>39652</v>
      </c>
      <c r="D171" s="37">
        <f>23+14+634</f>
        <v>671</v>
      </c>
      <c r="E171" s="37">
        <v>0</v>
      </c>
      <c r="F171" s="37">
        <v>0</v>
      </c>
      <c r="G171" s="37">
        <v>2</v>
      </c>
      <c r="H171" s="37">
        <v>0</v>
      </c>
      <c r="J171" s="649">
        <f t="shared" ref="J171:J224" si="26">D171/C171</f>
        <v>0.0169222233430848</v>
      </c>
      <c r="K171" s="648">
        <f t="shared" ref="K171:K224" si="27">B171/D171</f>
        <v>0.261087928464978</v>
      </c>
      <c r="L171" s="648">
        <f t="shared" ref="L171:L224" si="28">B171/C171*1000</f>
        <v>4.41818823766771</v>
      </c>
      <c r="M171" s="648">
        <f t="shared" ref="M171:M224" si="29">F171/B171</f>
        <v>0</v>
      </c>
      <c r="N171" s="649">
        <f t="shared" ref="N171:N224" si="30">E171/D171</f>
        <v>0</v>
      </c>
      <c r="O171" s="560">
        <f t="shared" si="23"/>
        <v>87.595</v>
      </c>
      <c r="P171">
        <f t="shared" si="24"/>
        <v>2</v>
      </c>
      <c r="Q171" s="661">
        <f t="shared" si="25"/>
        <v>0.0029806259314456</v>
      </c>
    </row>
    <row r="172" spans="1:17">
      <c r="A172" s="653">
        <v>45331</v>
      </c>
      <c r="B172" s="557">
        <f>99.84+42.53+37.84</f>
        <v>180.21</v>
      </c>
      <c r="C172" s="38">
        <f>31654+1818+1601</f>
        <v>35073</v>
      </c>
      <c r="D172" s="37">
        <f>500+14+19</f>
        <v>533</v>
      </c>
      <c r="E172" s="37">
        <v>0</v>
      </c>
      <c r="F172" s="37">
        <v>0</v>
      </c>
      <c r="G172" s="37">
        <v>1</v>
      </c>
      <c r="H172" s="37">
        <v>2</v>
      </c>
      <c r="J172" s="649">
        <f t="shared" si="26"/>
        <v>0.0151968750890999</v>
      </c>
      <c r="K172" s="648">
        <f t="shared" si="27"/>
        <v>0.338105065666041</v>
      </c>
      <c r="L172" s="648">
        <f t="shared" si="28"/>
        <v>5.13814044991874</v>
      </c>
      <c r="M172" s="648">
        <f t="shared" si="29"/>
        <v>0</v>
      </c>
      <c r="N172" s="649">
        <f t="shared" si="30"/>
        <v>0</v>
      </c>
      <c r="O172" s="560">
        <f t="shared" si="23"/>
        <v>60.07</v>
      </c>
      <c r="P172">
        <f t="shared" si="24"/>
        <v>3</v>
      </c>
      <c r="Q172" s="661">
        <f t="shared" si="25"/>
        <v>0.00562851782363977</v>
      </c>
    </row>
    <row r="173" spans="1:17">
      <c r="A173" s="653">
        <v>45332</v>
      </c>
      <c r="B173" s="557">
        <f>29.53+33.69+99.87</f>
        <v>163.09</v>
      </c>
      <c r="C173" s="38">
        <f>3391+2063+32754</f>
        <v>38208</v>
      </c>
      <c r="D173" s="37">
        <f>17+16+645</f>
        <v>678</v>
      </c>
      <c r="E173" s="37">
        <v>0</v>
      </c>
      <c r="F173" s="37">
        <v>0</v>
      </c>
      <c r="G173" s="37">
        <v>2</v>
      </c>
      <c r="H173" s="37">
        <v>1</v>
      </c>
      <c r="J173" s="649">
        <f t="shared" si="26"/>
        <v>0.0177449748743719</v>
      </c>
      <c r="K173" s="648">
        <f t="shared" si="27"/>
        <v>0.240545722713864</v>
      </c>
      <c r="L173" s="648">
        <f t="shared" si="28"/>
        <v>4.26847780569514</v>
      </c>
      <c r="M173" s="648">
        <f t="shared" si="29"/>
        <v>0</v>
      </c>
      <c r="N173" s="649">
        <f t="shared" si="30"/>
        <v>0</v>
      </c>
      <c r="O173" s="560">
        <f t="shared" si="23"/>
        <v>54.3633333333333</v>
      </c>
      <c r="P173">
        <f t="shared" si="24"/>
        <v>3</v>
      </c>
      <c r="Q173" s="661">
        <f t="shared" si="25"/>
        <v>0.00442477876106195</v>
      </c>
    </row>
    <row r="174" spans="1:17">
      <c r="A174" s="653">
        <v>45333</v>
      </c>
      <c r="B174" s="557">
        <f>21.48+43.96+100</f>
        <v>165.44</v>
      </c>
      <c r="C174" s="38">
        <f>1823+1969+26234</f>
        <v>30026</v>
      </c>
      <c r="D174" s="37">
        <f>13+12+604</f>
        <v>629</v>
      </c>
      <c r="E174" s="37">
        <v>0</v>
      </c>
      <c r="F174" s="37">
        <v>0</v>
      </c>
      <c r="G174" s="37">
        <v>4</v>
      </c>
      <c r="H174" s="37">
        <v>1</v>
      </c>
      <c r="J174" s="649">
        <f t="shared" si="26"/>
        <v>0.0209485112902151</v>
      </c>
      <c r="K174" s="648">
        <f t="shared" si="27"/>
        <v>0.26302066772655</v>
      </c>
      <c r="L174" s="648">
        <f t="shared" si="28"/>
        <v>5.50989142742956</v>
      </c>
      <c r="M174" s="648">
        <f t="shared" si="29"/>
        <v>0</v>
      </c>
      <c r="N174" s="649">
        <f t="shared" si="30"/>
        <v>0</v>
      </c>
      <c r="O174" s="560">
        <f t="shared" si="23"/>
        <v>33.088</v>
      </c>
      <c r="P174">
        <f t="shared" si="24"/>
        <v>5</v>
      </c>
      <c r="Q174" s="661">
        <f t="shared" si="25"/>
        <v>0.00794912559618442</v>
      </c>
    </row>
    <row r="175" spans="1:17">
      <c r="A175" s="653">
        <v>45334</v>
      </c>
      <c r="B175" s="557">
        <f>36.19+50+100</f>
        <v>186.19</v>
      </c>
      <c r="C175" s="38">
        <f>1781+1344+31308</f>
        <v>34433</v>
      </c>
      <c r="D175" s="37">
        <f>18+27+726</f>
        <v>771</v>
      </c>
      <c r="E175" s="37">
        <v>0</v>
      </c>
      <c r="F175" s="37">
        <v>0</v>
      </c>
      <c r="G175" s="37">
        <v>6</v>
      </c>
      <c r="H175" s="37">
        <v>2</v>
      </c>
      <c r="J175" s="649">
        <f t="shared" si="26"/>
        <v>0.0223913106612842</v>
      </c>
      <c r="K175" s="648">
        <f t="shared" si="27"/>
        <v>0.241491569390402</v>
      </c>
      <c r="L175" s="648">
        <f t="shared" si="28"/>
        <v>5.40731275230157</v>
      </c>
      <c r="M175" s="648">
        <f t="shared" si="29"/>
        <v>0</v>
      </c>
      <c r="N175" s="649">
        <f t="shared" si="30"/>
        <v>0</v>
      </c>
      <c r="O175" s="560">
        <f t="shared" si="23"/>
        <v>23.27375</v>
      </c>
      <c r="P175">
        <f t="shared" si="24"/>
        <v>8</v>
      </c>
      <c r="Q175" s="661">
        <f t="shared" si="25"/>
        <v>0.0103761348897536</v>
      </c>
    </row>
    <row r="176" spans="1:17">
      <c r="A176" s="653">
        <v>45335</v>
      </c>
      <c r="B176" s="557">
        <f>32.46+42.98+100</f>
        <v>175.44</v>
      </c>
      <c r="C176" s="38">
        <f>1923+1641+32469</f>
        <v>36033</v>
      </c>
      <c r="D176" s="37">
        <f>24+28+813</f>
        <v>865</v>
      </c>
      <c r="E176" s="37">
        <v>0</v>
      </c>
      <c r="F176" s="37">
        <v>0</v>
      </c>
      <c r="G176" s="37">
        <v>1</v>
      </c>
      <c r="H176" s="37">
        <v>4</v>
      </c>
      <c r="J176" s="649">
        <f t="shared" si="26"/>
        <v>0.024005772486332</v>
      </c>
      <c r="K176" s="648">
        <f t="shared" si="27"/>
        <v>0.202820809248555</v>
      </c>
      <c r="L176" s="648">
        <f t="shared" si="28"/>
        <v>4.86887020231454</v>
      </c>
      <c r="M176" s="648">
        <f t="shared" si="29"/>
        <v>0</v>
      </c>
      <c r="N176" s="649">
        <f t="shared" si="30"/>
        <v>0</v>
      </c>
      <c r="O176" s="560">
        <f t="shared" si="23"/>
        <v>35.088</v>
      </c>
      <c r="P176">
        <f t="shared" si="24"/>
        <v>5</v>
      </c>
      <c r="Q176" s="661">
        <f t="shared" si="25"/>
        <v>0.00578034682080925</v>
      </c>
    </row>
    <row r="177" spans="1:17">
      <c r="A177" s="653">
        <v>45336</v>
      </c>
      <c r="B177" s="557">
        <f>39.9+39+100</f>
        <v>178.9</v>
      </c>
      <c r="C177" s="38">
        <f>1658+1103+37379</f>
        <v>40140</v>
      </c>
      <c r="D177" s="37">
        <f>28+25+746</f>
        <v>799</v>
      </c>
      <c r="E177" s="37">
        <v>0</v>
      </c>
      <c r="F177" s="37">
        <v>0</v>
      </c>
      <c r="G177" s="37">
        <v>2</v>
      </c>
      <c r="H177" s="37">
        <v>6</v>
      </c>
      <c r="J177" s="649">
        <f t="shared" si="26"/>
        <v>0.0199053313403089</v>
      </c>
      <c r="K177" s="648">
        <f t="shared" si="27"/>
        <v>0.223904881101377</v>
      </c>
      <c r="L177" s="648">
        <f t="shared" si="28"/>
        <v>4.45690084703538</v>
      </c>
      <c r="M177" s="648">
        <f t="shared" si="29"/>
        <v>0</v>
      </c>
      <c r="N177" s="649">
        <f t="shared" si="30"/>
        <v>0</v>
      </c>
      <c r="O177" s="560">
        <f t="shared" si="23"/>
        <v>22.3625</v>
      </c>
      <c r="P177">
        <f t="shared" si="24"/>
        <v>8</v>
      </c>
      <c r="Q177" s="661">
        <f t="shared" si="25"/>
        <v>0.0100125156445557</v>
      </c>
    </row>
    <row r="178" spans="1:17">
      <c r="A178" s="653">
        <v>45337</v>
      </c>
      <c r="B178" s="557">
        <f>41.39+46.01+100</f>
        <v>187.4</v>
      </c>
      <c r="C178" s="38">
        <f>2093+1500+35374</f>
        <v>38967</v>
      </c>
      <c r="D178" s="37">
        <f>38+43+758</f>
        <v>839</v>
      </c>
      <c r="E178" s="37">
        <v>0</v>
      </c>
      <c r="F178" s="37">
        <v>0</v>
      </c>
      <c r="G178" s="37">
        <v>7</v>
      </c>
      <c r="H178" s="37">
        <v>6</v>
      </c>
      <c r="J178" s="649">
        <f t="shared" si="26"/>
        <v>0.0215310390843534</v>
      </c>
      <c r="K178" s="648">
        <f t="shared" si="27"/>
        <v>0.223361144219309</v>
      </c>
      <c r="L178" s="648">
        <f t="shared" si="28"/>
        <v>4.80919752611184</v>
      </c>
      <c r="M178" s="648">
        <f t="shared" si="29"/>
        <v>0</v>
      </c>
      <c r="N178" s="649">
        <f t="shared" si="30"/>
        <v>0</v>
      </c>
      <c r="O178" s="560">
        <f t="shared" si="23"/>
        <v>14.4153846153846</v>
      </c>
      <c r="P178">
        <f t="shared" si="24"/>
        <v>13</v>
      </c>
      <c r="Q178" s="661">
        <f t="shared" si="25"/>
        <v>0.0154946364719905</v>
      </c>
    </row>
    <row r="179" spans="1:17">
      <c r="A179" s="653">
        <v>45338</v>
      </c>
      <c r="B179" s="557">
        <f>47.3+50+100</f>
        <v>197.3</v>
      </c>
      <c r="C179" s="38">
        <f>1775+2095+25217</f>
        <v>29087</v>
      </c>
      <c r="D179" s="37">
        <f>44+45+748</f>
        <v>837</v>
      </c>
      <c r="E179" s="37">
        <v>0</v>
      </c>
      <c r="F179" s="37">
        <v>0</v>
      </c>
      <c r="G179" s="37">
        <v>6</v>
      </c>
      <c r="H179" s="37">
        <v>14</v>
      </c>
      <c r="J179" s="649">
        <f t="shared" si="26"/>
        <v>0.0287757417402964</v>
      </c>
      <c r="K179" s="648">
        <f t="shared" si="27"/>
        <v>0.235722819593787</v>
      </c>
      <c r="L179" s="648">
        <f t="shared" si="28"/>
        <v>6.78309897892529</v>
      </c>
      <c r="M179" s="648">
        <f t="shared" si="29"/>
        <v>0</v>
      </c>
      <c r="N179" s="649">
        <f t="shared" si="30"/>
        <v>0</v>
      </c>
      <c r="O179" s="560">
        <f t="shared" si="23"/>
        <v>9.865</v>
      </c>
      <c r="P179">
        <f t="shared" si="24"/>
        <v>20</v>
      </c>
      <c r="Q179" s="661">
        <f t="shared" si="25"/>
        <v>0.02389486260454</v>
      </c>
    </row>
    <row r="180" spans="1:17">
      <c r="A180" s="653">
        <v>45339</v>
      </c>
      <c r="B180" s="557">
        <f>48.89+48.35+99.8</f>
        <v>197.04</v>
      </c>
      <c r="C180" s="38">
        <f>2566+1733+25952</f>
        <v>30251</v>
      </c>
      <c r="D180" s="37">
        <f>37+46+731</f>
        <v>814</v>
      </c>
      <c r="E180" s="37">
        <v>0</v>
      </c>
      <c r="F180" s="37">
        <v>0</v>
      </c>
      <c r="G180" s="37">
        <v>8</v>
      </c>
      <c r="H180" s="37">
        <v>7</v>
      </c>
      <c r="J180" s="649">
        <f t="shared" si="26"/>
        <v>0.0269082013817725</v>
      </c>
      <c r="K180" s="648">
        <f t="shared" si="27"/>
        <v>0.242063882063882</v>
      </c>
      <c r="L180" s="648">
        <f t="shared" si="28"/>
        <v>6.51350368582857</v>
      </c>
      <c r="M180" s="648">
        <f t="shared" si="29"/>
        <v>0</v>
      </c>
      <c r="N180" s="649">
        <f t="shared" si="30"/>
        <v>0</v>
      </c>
      <c r="O180" s="560">
        <f t="shared" si="23"/>
        <v>13.136</v>
      </c>
      <c r="P180">
        <f t="shared" si="24"/>
        <v>15</v>
      </c>
      <c r="Q180" s="661">
        <f t="shared" si="25"/>
        <v>0.0184275184275184</v>
      </c>
    </row>
    <row r="181" spans="1:17">
      <c r="A181" s="653">
        <v>45340</v>
      </c>
      <c r="B181" s="557">
        <f>35.41+45.54+100</f>
        <v>180.95</v>
      </c>
      <c r="C181" s="38">
        <f>2196+1436+36993</f>
        <v>40625</v>
      </c>
      <c r="D181" s="37">
        <f>50+18+702</f>
        <v>770</v>
      </c>
      <c r="E181" s="37">
        <v>1</v>
      </c>
      <c r="F181" s="38">
        <v>15880</v>
      </c>
      <c r="G181" s="37">
        <v>12</v>
      </c>
      <c r="H181" s="37">
        <v>2</v>
      </c>
      <c r="J181" s="649">
        <f t="shared" si="26"/>
        <v>0.0189538461538462</v>
      </c>
      <c r="K181" s="648">
        <f t="shared" si="27"/>
        <v>0.235</v>
      </c>
      <c r="L181" s="648">
        <f t="shared" si="28"/>
        <v>4.45415384615385</v>
      </c>
      <c r="M181" s="648">
        <f t="shared" si="29"/>
        <v>87.7590494611771</v>
      </c>
      <c r="N181" s="649">
        <f t="shared" si="30"/>
        <v>0.0012987012987013</v>
      </c>
      <c r="O181" s="560">
        <f t="shared" si="23"/>
        <v>12.925</v>
      </c>
      <c r="P181">
        <f t="shared" si="24"/>
        <v>14</v>
      </c>
      <c r="Q181" s="661">
        <f t="shared" si="25"/>
        <v>0.0181818181818182</v>
      </c>
    </row>
    <row r="182" spans="1:17">
      <c r="A182" s="653">
        <v>45341</v>
      </c>
      <c r="B182" s="557">
        <f>38.82+48.25+100</f>
        <v>187.07</v>
      </c>
      <c r="C182" s="38">
        <f>1365+1491+8081</f>
        <v>10937</v>
      </c>
      <c r="D182" s="37">
        <f>24+26+169</f>
        <v>219</v>
      </c>
      <c r="E182" s="37">
        <v>0</v>
      </c>
      <c r="F182" s="37">
        <v>0</v>
      </c>
      <c r="G182" s="37">
        <v>4</v>
      </c>
      <c r="H182" s="37">
        <v>1</v>
      </c>
      <c r="J182" s="649">
        <f t="shared" si="26"/>
        <v>0.020023772515315</v>
      </c>
      <c r="K182" s="648">
        <f t="shared" si="27"/>
        <v>0.854200913242009</v>
      </c>
      <c r="L182" s="648">
        <f t="shared" si="28"/>
        <v>17.1043247691323</v>
      </c>
      <c r="M182" s="648">
        <f t="shared" si="29"/>
        <v>0</v>
      </c>
      <c r="N182" s="649">
        <f t="shared" si="30"/>
        <v>0</v>
      </c>
      <c r="O182" s="560">
        <f t="shared" si="23"/>
        <v>37.414</v>
      </c>
      <c r="P182">
        <f t="shared" si="24"/>
        <v>5</v>
      </c>
      <c r="Q182" s="661">
        <f t="shared" si="25"/>
        <v>0.0228310502283105</v>
      </c>
    </row>
    <row r="183" spans="1:17">
      <c r="A183" s="653">
        <v>45342</v>
      </c>
      <c r="B183" s="557">
        <f>41.93+41.83+100</f>
        <v>183.76</v>
      </c>
      <c r="C183" s="38">
        <f>1490+1135+34476</f>
        <v>37101</v>
      </c>
      <c r="D183" s="37">
        <f>35+18+645</f>
        <v>698</v>
      </c>
      <c r="E183" s="37">
        <v>0</v>
      </c>
      <c r="F183" s="37">
        <v>0</v>
      </c>
      <c r="G183" s="37">
        <v>3</v>
      </c>
      <c r="H183" s="37">
        <v>2</v>
      </c>
      <c r="J183" s="649">
        <f t="shared" si="26"/>
        <v>0.0188135090698364</v>
      </c>
      <c r="K183" s="648">
        <f t="shared" si="27"/>
        <v>0.263266475644699</v>
      </c>
      <c r="L183" s="648">
        <f t="shared" si="28"/>
        <v>4.95296622732541</v>
      </c>
      <c r="M183" s="648">
        <f t="shared" si="29"/>
        <v>0</v>
      </c>
      <c r="N183" s="649">
        <f t="shared" si="30"/>
        <v>0</v>
      </c>
      <c r="O183" s="560">
        <f t="shared" si="23"/>
        <v>36.752</v>
      </c>
      <c r="P183">
        <f t="shared" si="24"/>
        <v>5</v>
      </c>
      <c r="Q183" s="661">
        <f t="shared" si="25"/>
        <v>0.00716332378223496</v>
      </c>
    </row>
    <row r="184" spans="1:17">
      <c r="A184" s="653">
        <v>45343</v>
      </c>
      <c r="B184" s="557">
        <f>50+43.75+100+587</f>
        <v>780.75</v>
      </c>
      <c r="C184" s="663">
        <f>862+1695+32593+4817</f>
        <v>39967</v>
      </c>
      <c r="D184" s="37">
        <f>24+26+627+19</f>
        <v>696</v>
      </c>
      <c r="E184" s="37">
        <v>0</v>
      </c>
      <c r="F184" s="37">
        <v>0</v>
      </c>
      <c r="G184" s="37">
        <v>3</v>
      </c>
      <c r="H184" s="37">
        <v>0</v>
      </c>
      <c r="J184" s="649">
        <f t="shared" si="26"/>
        <v>0.0174143668526534</v>
      </c>
      <c r="K184" s="648">
        <f t="shared" si="27"/>
        <v>1.12176724137931</v>
      </c>
      <c r="L184" s="648">
        <f t="shared" si="28"/>
        <v>19.5348662646684</v>
      </c>
      <c r="M184" s="648">
        <f t="shared" si="29"/>
        <v>0</v>
      </c>
      <c r="N184" s="649">
        <f t="shared" si="30"/>
        <v>0</v>
      </c>
      <c r="O184" s="560">
        <f t="shared" si="23"/>
        <v>260.25</v>
      </c>
      <c r="P184">
        <f t="shared" si="24"/>
        <v>3</v>
      </c>
      <c r="Q184" s="661">
        <f t="shared" si="25"/>
        <v>0.00431034482758621</v>
      </c>
    </row>
    <row r="185" spans="1:17">
      <c r="A185" s="653">
        <v>45344</v>
      </c>
      <c r="B185" s="557">
        <f>44.02+43.24+99.77</f>
        <v>187.03</v>
      </c>
      <c r="C185" s="38">
        <f>1820+1167+33346</f>
        <v>36333</v>
      </c>
      <c r="D185" s="37">
        <f>31+31+564</f>
        <v>626</v>
      </c>
      <c r="E185" s="37">
        <v>0</v>
      </c>
      <c r="F185" s="37">
        <v>0</v>
      </c>
      <c r="G185" s="37">
        <v>2</v>
      </c>
      <c r="H185" s="37">
        <v>3</v>
      </c>
      <c r="J185" s="649">
        <f t="shared" si="26"/>
        <v>0.017229515867118</v>
      </c>
      <c r="K185" s="648">
        <f t="shared" si="27"/>
        <v>0.298769968051118</v>
      </c>
      <c r="L185" s="648">
        <f t="shared" si="28"/>
        <v>5.14766190515509</v>
      </c>
      <c r="M185" s="648">
        <f t="shared" si="29"/>
        <v>0</v>
      </c>
      <c r="N185" s="649">
        <f t="shared" si="30"/>
        <v>0</v>
      </c>
      <c r="O185" s="560">
        <f t="shared" si="23"/>
        <v>37.406</v>
      </c>
      <c r="P185">
        <f t="shared" si="24"/>
        <v>5</v>
      </c>
      <c r="Q185" s="661">
        <f t="shared" si="25"/>
        <v>0.00798722044728434</v>
      </c>
    </row>
    <row r="186" spans="1:17">
      <c r="A186" s="653">
        <v>45345</v>
      </c>
      <c r="B186" s="557">
        <f>48.89+47.23+99.86</f>
        <v>195.98</v>
      </c>
      <c r="C186" s="38">
        <f>2566+987+25860</f>
        <v>29413</v>
      </c>
      <c r="D186" s="37">
        <f>37+27+401</f>
        <v>465</v>
      </c>
      <c r="E186" s="37">
        <v>0</v>
      </c>
      <c r="F186" s="37">
        <v>0</v>
      </c>
      <c r="G186" s="37">
        <v>8</v>
      </c>
      <c r="H186" s="37">
        <v>0</v>
      </c>
      <c r="J186" s="649">
        <f t="shared" si="26"/>
        <v>0.0158093360078877</v>
      </c>
      <c r="K186" s="648">
        <f t="shared" si="27"/>
        <v>0.421462365591398</v>
      </c>
      <c r="L186" s="648">
        <f t="shared" si="28"/>
        <v>6.6630401523136</v>
      </c>
      <c r="M186" s="648">
        <f t="shared" si="29"/>
        <v>0</v>
      </c>
      <c r="N186" s="649">
        <f t="shared" si="30"/>
        <v>0</v>
      </c>
      <c r="O186" s="560">
        <f t="shared" si="23"/>
        <v>24.4975</v>
      </c>
      <c r="P186">
        <f t="shared" si="24"/>
        <v>8</v>
      </c>
      <c r="Q186" s="661">
        <f t="shared" si="25"/>
        <v>0.0172043010752688</v>
      </c>
    </row>
    <row r="187" spans="1:17">
      <c r="A187" s="653">
        <v>45346</v>
      </c>
      <c r="B187" s="557">
        <f>43.07+37.51+99.6</f>
        <v>180.18</v>
      </c>
      <c r="C187" s="38">
        <f>1306+1466+24556</f>
        <v>27328</v>
      </c>
      <c r="D187" s="37">
        <f>31+26+413</f>
        <v>470</v>
      </c>
      <c r="E187" s="37">
        <v>0</v>
      </c>
      <c r="F187" s="37">
        <v>0</v>
      </c>
      <c r="G187" s="37">
        <v>3</v>
      </c>
      <c r="H187" s="37">
        <v>2</v>
      </c>
      <c r="J187" s="649">
        <f t="shared" si="26"/>
        <v>0.0171984777517564</v>
      </c>
      <c r="K187" s="648">
        <f t="shared" si="27"/>
        <v>0.38336170212766</v>
      </c>
      <c r="L187" s="648">
        <f t="shared" si="28"/>
        <v>6.59323770491803</v>
      </c>
      <c r="M187" s="648">
        <f t="shared" si="29"/>
        <v>0</v>
      </c>
      <c r="N187" s="649">
        <f t="shared" si="30"/>
        <v>0</v>
      </c>
      <c r="O187" s="560">
        <f t="shared" si="23"/>
        <v>36.036</v>
      </c>
      <c r="P187">
        <f t="shared" si="24"/>
        <v>5</v>
      </c>
      <c r="Q187" s="661">
        <f t="shared" si="25"/>
        <v>0.0106382978723404</v>
      </c>
    </row>
    <row r="188" spans="1:17">
      <c r="A188" s="653">
        <v>45347</v>
      </c>
      <c r="B188" s="557">
        <f>43+43.07+99.55</f>
        <v>185.62</v>
      </c>
      <c r="C188" s="38">
        <f>1466+1306+24877</f>
        <v>27649</v>
      </c>
      <c r="D188" s="37">
        <f>26+31+441</f>
        <v>498</v>
      </c>
      <c r="E188" s="37">
        <v>0</v>
      </c>
      <c r="F188" s="37">
        <v>0</v>
      </c>
      <c r="G188" s="37">
        <v>3</v>
      </c>
      <c r="H188" s="37">
        <v>1</v>
      </c>
      <c r="J188" s="649">
        <f t="shared" si="26"/>
        <v>0.0180115013201201</v>
      </c>
      <c r="K188" s="648">
        <f t="shared" si="27"/>
        <v>0.372730923694779</v>
      </c>
      <c r="L188" s="648">
        <f t="shared" si="28"/>
        <v>6.71344352417809</v>
      </c>
      <c r="M188" s="648">
        <f t="shared" si="29"/>
        <v>0</v>
      </c>
      <c r="N188" s="649">
        <f t="shared" si="30"/>
        <v>0</v>
      </c>
      <c r="O188" s="560">
        <f t="shared" si="23"/>
        <v>46.405</v>
      </c>
      <c r="P188">
        <f t="shared" si="24"/>
        <v>4</v>
      </c>
      <c r="Q188" s="661">
        <f t="shared" si="25"/>
        <v>0.00803212851405622</v>
      </c>
    </row>
    <row r="189" spans="1:17">
      <c r="A189" s="653">
        <v>45348</v>
      </c>
      <c r="B189" s="557">
        <f>37.81+44+99.2</f>
        <v>181.01</v>
      </c>
      <c r="C189" s="38">
        <f>866+625+18966</f>
        <v>20457</v>
      </c>
      <c r="D189" s="37">
        <f>30+19+344</f>
        <v>393</v>
      </c>
      <c r="E189" s="37">
        <v>0</v>
      </c>
      <c r="F189" s="37">
        <v>0</v>
      </c>
      <c r="G189" s="37">
        <v>2</v>
      </c>
      <c r="H189" s="37">
        <v>0</v>
      </c>
      <c r="J189" s="649">
        <f t="shared" si="26"/>
        <v>0.0192110280099721</v>
      </c>
      <c r="K189" s="648">
        <f t="shared" si="27"/>
        <v>0.46058524173028</v>
      </c>
      <c r="L189" s="648">
        <f t="shared" si="28"/>
        <v>8.84831597986019</v>
      </c>
      <c r="M189" s="648">
        <f t="shared" si="29"/>
        <v>0</v>
      </c>
      <c r="N189" s="649">
        <f t="shared" si="30"/>
        <v>0</v>
      </c>
      <c r="O189" s="560">
        <f t="shared" si="23"/>
        <v>90.505</v>
      </c>
      <c r="P189">
        <f t="shared" si="24"/>
        <v>2</v>
      </c>
      <c r="Q189" s="661">
        <f t="shared" si="25"/>
        <v>0.00508905852417303</v>
      </c>
    </row>
    <row r="190" spans="1:17">
      <c r="A190" s="653">
        <v>45349</v>
      </c>
      <c r="B190" s="557">
        <f>43.68+99.64</f>
        <v>143.32</v>
      </c>
      <c r="C190" s="38">
        <f>617+16834</f>
        <v>17451</v>
      </c>
      <c r="D190" s="37">
        <f>30+315</f>
        <v>345</v>
      </c>
      <c r="E190" s="37">
        <v>0</v>
      </c>
      <c r="F190" s="37">
        <v>0</v>
      </c>
      <c r="G190" s="37">
        <v>2</v>
      </c>
      <c r="H190" s="37">
        <v>0</v>
      </c>
      <c r="J190" s="649">
        <f t="shared" si="26"/>
        <v>0.0197696407082689</v>
      </c>
      <c r="K190" s="648">
        <f t="shared" si="27"/>
        <v>0.415420289855072</v>
      </c>
      <c r="L190" s="648">
        <f t="shared" si="28"/>
        <v>8.21270987335969</v>
      </c>
      <c r="M190" s="648">
        <f t="shared" si="29"/>
        <v>0</v>
      </c>
      <c r="N190" s="649">
        <f t="shared" si="30"/>
        <v>0</v>
      </c>
      <c r="O190" s="560">
        <f t="shared" si="23"/>
        <v>71.66</v>
      </c>
      <c r="P190">
        <f t="shared" si="24"/>
        <v>2</v>
      </c>
      <c r="Q190" s="661">
        <f t="shared" si="25"/>
        <v>0.00579710144927536</v>
      </c>
    </row>
    <row r="191" spans="1:17">
      <c r="A191" s="653">
        <v>45350</v>
      </c>
      <c r="B191" s="662">
        <f>48.99+99.81</f>
        <v>148.8</v>
      </c>
      <c r="C191" s="38">
        <f>584+19860</f>
        <v>20444</v>
      </c>
      <c r="D191" s="37">
        <f>31+410</f>
        <v>441</v>
      </c>
      <c r="E191" s="37">
        <v>0</v>
      </c>
      <c r="F191" s="37">
        <v>0</v>
      </c>
      <c r="G191" s="37">
        <v>5</v>
      </c>
      <c r="H191" s="37">
        <v>0</v>
      </c>
      <c r="J191" s="649">
        <f t="shared" si="26"/>
        <v>0.0215711211113285</v>
      </c>
      <c r="K191" s="648">
        <f t="shared" si="27"/>
        <v>0.337414965986395</v>
      </c>
      <c r="L191" s="648">
        <f t="shared" si="28"/>
        <v>7.27841909606731</v>
      </c>
      <c r="M191" s="648">
        <f t="shared" si="29"/>
        <v>0</v>
      </c>
      <c r="N191" s="649">
        <f t="shared" si="30"/>
        <v>0</v>
      </c>
      <c r="O191" s="560">
        <f t="shared" si="23"/>
        <v>29.76</v>
      </c>
      <c r="P191">
        <f t="shared" si="24"/>
        <v>5</v>
      </c>
      <c r="Q191" s="661">
        <f t="shared" si="25"/>
        <v>0.0113378684807256</v>
      </c>
    </row>
    <row r="192" spans="1:17">
      <c r="A192" s="653">
        <v>45351</v>
      </c>
      <c r="B192" s="557">
        <f>46.42+99.55</f>
        <v>145.97</v>
      </c>
      <c r="C192" s="38">
        <f>692+19419</f>
        <v>20111</v>
      </c>
      <c r="D192" s="37">
        <f>56+407</f>
        <v>463</v>
      </c>
      <c r="E192" s="37">
        <v>0</v>
      </c>
      <c r="F192" s="37">
        <v>0</v>
      </c>
      <c r="G192" s="37">
        <v>8</v>
      </c>
      <c r="H192" s="37">
        <v>2</v>
      </c>
      <c r="J192" s="649">
        <f t="shared" si="26"/>
        <v>0.0230222266421361</v>
      </c>
      <c r="K192" s="648">
        <f t="shared" si="27"/>
        <v>0.315269978401728</v>
      </c>
      <c r="L192" s="648">
        <f t="shared" si="28"/>
        <v>7.25821689622595</v>
      </c>
      <c r="M192" s="648">
        <f t="shared" si="29"/>
        <v>0</v>
      </c>
      <c r="N192" s="649">
        <f t="shared" si="30"/>
        <v>0</v>
      </c>
      <c r="O192" s="560">
        <f t="shared" si="23"/>
        <v>14.597</v>
      </c>
      <c r="P192">
        <f t="shared" si="24"/>
        <v>10</v>
      </c>
      <c r="Q192" s="661">
        <f t="shared" si="25"/>
        <v>0.0215982721382289</v>
      </c>
    </row>
    <row r="193" spans="1:17">
      <c r="A193" s="653">
        <v>45352</v>
      </c>
      <c r="B193" s="589">
        <v>206.46</v>
      </c>
      <c r="C193" s="589">
        <v>24244</v>
      </c>
      <c r="D193" s="589">
        <v>527</v>
      </c>
      <c r="E193" s="589">
        <v>0</v>
      </c>
      <c r="F193" s="589">
        <v>0</v>
      </c>
      <c r="G193" s="589">
        <v>5</v>
      </c>
      <c r="H193" s="589">
        <v>1</v>
      </c>
      <c r="I193" s="589">
        <v>5</v>
      </c>
      <c r="J193" s="649">
        <f t="shared" si="26"/>
        <v>0.0217373370730902</v>
      </c>
      <c r="K193" s="648">
        <f t="shared" si="27"/>
        <v>0.391764705882353</v>
      </c>
      <c r="L193" s="648">
        <f t="shared" si="28"/>
        <v>8.51592146510477</v>
      </c>
      <c r="M193" s="648">
        <f t="shared" si="29"/>
        <v>0</v>
      </c>
      <c r="N193" s="649">
        <f t="shared" si="30"/>
        <v>0</v>
      </c>
      <c r="O193" s="560">
        <f t="shared" si="23"/>
        <v>34.41</v>
      </c>
      <c r="P193">
        <f t="shared" si="24"/>
        <v>6</v>
      </c>
      <c r="Q193" s="661">
        <f t="shared" si="25"/>
        <v>0.0113851992409867</v>
      </c>
    </row>
    <row r="194" spans="1:17">
      <c r="A194" s="653">
        <v>45353</v>
      </c>
      <c r="B194" s="589">
        <v>233.8</v>
      </c>
      <c r="C194" s="589">
        <v>22583</v>
      </c>
      <c r="D194" s="589">
        <v>511</v>
      </c>
      <c r="E194" s="589">
        <v>1</v>
      </c>
      <c r="F194" s="589">
        <v>20938</v>
      </c>
      <c r="G194" s="589">
        <v>41</v>
      </c>
      <c r="H194" s="589">
        <v>7</v>
      </c>
      <c r="I194" s="589">
        <v>7</v>
      </c>
      <c r="J194" s="649">
        <f t="shared" si="26"/>
        <v>0.0226276402603728</v>
      </c>
      <c r="K194" s="648">
        <f t="shared" si="27"/>
        <v>0.457534246575342</v>
      </c>
      <c r="L194" s="648">
        <f t="shared" si="28"/>
        <v>10.3529203383076</v>
      </c>
      <c r="M194" s="648">
        <f t="shared" si="29"/>
        <v>89.5551753635586</v>
      </c>
      <c r="N194" s="649">
        <f t="shared" si="30"/>
        <v>0.00195694716242661</v>
      </c>
      <c r="O194" s="560">
        <f t="shared" si="23"/>
        <v>4.87083333333333</v>
      </c>
      <c r="P194">
        <f t="shared" si="24"/>
        <v>48</v>
      </c>
      <c r="Q194" s="661">
        <f t="shared" si="25"/>
        <v>0.0939334637964775</v>
      </c>
    </row>
    <row r="195" spans="1:17">
      <c r="A195" s="653">
        <v>45354</v>
      </c>
      <c r="B195" s="589">
        <v>270.12</v>
      </c>
      <c r="C195" s="589">
        <v>21470</v>
      </c>
      <c r="D195" s="589">
        <v>505</v>
      </c>
      <c r="E195" s="589">
        <v>0</v>
      </c>
      <c r="F195" s="589">
        <v>0</v>
      </c>
      <c r="G195" s="589">
        <v>8</v>
      </c>
      <c r="H195" s="589">
        <v>3</v>
      </c>
      <c r="I195" s="589">
        <v>7</v>
      </c>
      <c r="J195" s="649">
        <f t="shared" si="26"/>
        <v>0.0235211923614346</v>
      </c>
      <c r="K195" s="648">
        <f t="shared" si="27"/>
        <v>0.534891089108911</v>
      </c>
      <c r="L195" s="648">
        <f t="shared" si="28"/>
        <v>12.5812761993479</v>
      </c>
      <c r="M195" s="648">
        <f t="shared" si="29"/>
        <v>0</v>
      </c>
      <c r="N195" s="649">
        <f t="shared" si="30"/>
        <v>0</v>
      </c>
      <c r="O195" s="560">
        <f t="shared" si="23"/>
        <v>24.5563636363636</v>
      </c>
      <c r="P195">
        <f t="shared" si="24"/>
        <v>11</v>
      </c>
      <c r="Q195" s="661">
        <f t="shared" si="25"/>
        <v>0.0217821782178218</v>
      </c>
    </row>
    <row r="196" spans="1:17">
      <c r="A196" s="653">
        <v>45355</v>
      </c>
      <c r="B196" s="589">
        <v>284.34</v>
      </c>
      <c r="C196" s="589">
        <v>18952</v>
      </c>
      <c r="D196" s="589">
        <v>445</v>
      </c>
      <c r="E196" s="589">
        <v>1</v>
      </c>
      <c r="F196" s="589">
        <v>8454</v>
      </c>
      <c r="G196" s="589">
        <v>6</v>
      </c>
      <c r="H196" s="589">
        <v>1</v>
      </c>
      <c r="I196" s="589">
        <v>7</v>
      </c>
      <c r="J196" s="649">
        <f t="shared" si="26"/>
        <v>0.0234803714647531</v>
      </c>
      <c r="K196" s="648">
        <f t="shared" si="27"/>
        <v>0.638966292134831</v>
      </c>
      <c r="L196" s="648">
        <f t="shared" si="28"/>
        <v>15.0031658927818</v>
      </c>
      <c r="M196" s="648">
        <f t="shared" si="29"/>
        <v>29.7320109727791</v>
      </c>
      <c r="N196" s="649">
        <f t="shared" si="30"/>
        <v>0.00224719101123596</v>
      </c>
      <c r="O196" s="560">
        <f t="shared" si="23"/>
        <v>40.62</v>
      </c>
      <c r="P196">
        <f t="shared" si="24"/>
        <v>7</v>
      </c>
      <c r="Q196" s="661">
        <f t="shared" si="25"/>
        <v>0.0157303370786517</v>
      </c>
    </row>
    <row r="197" spans="1:17">
      <c r="A197" s="653">
        <v>45356</v>
      </c>
      <c r="B197" s="589">
        <v>264.9</v>
      </c>
      <c r="C197" s="589">
        <v>21240</v>
      </c>
      <c r="D197" s="589">
        <v>479</v>
      </c>
      <c r="E197" s="589">
        <v>0</v>
      </c>
      <c r="F197" s="589">
        <v>0</v>
      </c>
      <c r="G197" s="589">
        <v>3</v>
      </c>
      <c r="H197" s="589">
        <v>2</v>
      </c>
      <c r="I197" s="589">
        <v>2</v>
      </c>
      <c r="J197" s="649">
        <f t="shared" si="26"/>
        <v>0.0225517890772128</v>
      </c>
      <c r="K197" s="648">
        <f t="shared" si="27"/>
        <v>0.553027139874739</v>
      </c>
      <c r="L197" s="648">
        <f t="shared" si="28"/>
        <v>12.4717514124294</v>
      </c>
      <c r="M197" s="648">
        <f t="shared" si="29"/>
        <v>0</v>
      </c>
      <c r="N197" s="649">
        <f t="shared" si="30"/>
        <v>0</v>
      </c>
      <c r="O197" s="560">
        <f t="shared" si="23"/>
        <v>52.98</v>
      </c>
      <c r="P197">
        <f t="shared" si="24"/>
        <v>5</v>
      </c>
      <c r="Q197" s="661">
        <f t="shared" si="25"/>
        <v>0.0104384133611691</v>
      </c>
    </row>
    <row r="198" spans="1:17">
      <c r="A198" s="653">
        <v>45357</v>
      </c>
      <c r="B198" s="589">
        <v>529.82</v>
      </c>
      <c r="C198" s="589">
        <v>29286</v>
      </c>
      <c r="D198" s="589">
        <v>1885</v>
      </c>
      <c r="E198" s="589">
        <v>4</v>
      </c>
      <c r="F198" s="589">
        <v>70818</v>
      </c>
      <c r="G198" s="589">
        <v>16</v>
      </c>
      <c r="H198" s="589">
        <v>5</v>
      </c>
      <c r="I198" s="589">
        <v>3</v>
      </c>
      <c r="J198" s="649">
        <f t="shared" si="26"/>
        <v>0.0643652257051151</v>
      </c>
      <c r="K198" s="648">
        <f t="shared" si="27"/>
        <v>0.281071618037135</v>
      </c>
      <c r="L198" s="648">
        <f t="shared" si="28"/>
        <v>18.0912381342621</v>
      </c>
      <c r="M198" s="648">
        <f t="shared" si="29"/>
        <v>133.664263334717</v>
      </c>
      <c r="N198" s="649">
        <f t="shared" si="30"/>
        <v>0.00212201591511936</v>
      </c>
      <c r="O198" s="560">
        <f t="shared" ref="O198:O229" si="31">B198/(G198+H198)</f>
        <v>25.2295238095238</v>
      </c>
      <c r="P198">
        <f t="shared" ref="P198:P229" si="32">G198+H198</f>
        <v>21</v>
      </c>
      <c r="Q198" s="661">
        <f t="shared" ref="Q198:Q229" si="33">P198/D198</f>
        <v>0.0111405835543767</v>
      </c>
    </row>
    <row r="199" spans="1:17">
      <c r="A199" s="653">
        <v>45358</v>
      </c>
      <c r="B199" s="589">
        <v>232.59</v>
      </c>
      <c r="C199" s="589">
        <v>18274</v>
      </c>
      <c r="D199" s="589">
        <v>385</v>
      </c>
      <c r="E199" s="589">
        <v>0</v>
      </c>
      <c r="F199" s="589">
        <v>0</v>
      </c>
      <c r="G199" s="589">
        <v>10</v>
      </c>
      <c r="H199" s="589">
        <v>2</v>
      </c>
      <c r="I199" s="589">
        <v>4</v>
      </c>
      <c r="J199" s="649">
        <f t="shared" si="26"/>
        <v>0.0210681843055708</v>
      </c>
      <c r="K199" s="648">
        <f t="shared" si="27"/>
        <v>0.60412987012987</v>
      </c>
      <c r="L199" s="648">
        <f t="shared" si="28"/>
        <v>12.7279194483966</v>
      </c>
      <c r="M199" s="648">
        <f t="shared" si="29"/>
        <v>0</v>
      </c>
      <c r="N199" s="649">
        <f t="shared" si="30"/>
        <v>0</v>
      </c>
      <c r="O199" s="560">
        <f t="shared" si="31"/>
        <v>19.3825</v>
      </c>
      <c r="P199">
        <f t="shared" si="32"/>
        <v>12</v>
      </c>
      <c r="Q199" s="661">
        <f t="shared" si="33"/>
        <v>0.0311688311688312</v>
      </c>
    </row>
    <row r="200" spans="1:17">
      <c r="A200" s="653">
        <v>45359</v>
      </c>
      <c r="B200" s="589">
        <v>558.53</v>
      </c>
      <c r="C200" s="589">
        <v>60520</v>
      </c>
      <c r="D200" s="589">
        <v>604</v>
      </c>
      <c r="E200" s="589">
        <v>1</v>
      </c>
      <c r="F200" s="589">
        <v>10774</v>
      </c>
      <c r="G200" s="589">
        <v>23</v>
      </c>
      <c r="H200" s="589">
        <v>4</v>
      </c>
      <c r="I200" s="589">
        <v>4</v>
      </c>
      <c r="J200" s="649">
        <f t="shared" si="26"/>
        <v>0.00998017184401851</v>
      </c>
      <c r="K200" s="648">
        <f t="shared" si="27"/>
        <v>0.924718543046358</v>
      </c>
      <c r="L200" s="648">
        <f t="shared" si="28"/>
        <v>9.22884996695307</v>
      </c>
      <c r="M200" s="648">
        <f t="shared" si="29"/>
        <v>19.2899217589028</v>
      </c>
      <c r="N200" s="649">
        <f t="shared" si="30"/>
        <v>0.00165562913907285</v>
      </c>
      <c r="O200" s="560">
        <f t="shared" si="31"/>
        <v>20.6862962962963</v>
      </c>
      <c r="P200">
        <f t="shared" si="32"/>
        <v>27</v>
      </c>
      <c r="Q200" s="661">
        <f t="shared" si="33"/>
        <v>0.0447019867549669</v>
      </c>
    </row>
    <row r="201" spans="1:17">
      <c r="A201" s="653">
        <v>45360</v>
      </c>
      <c r="B201" s="589">
        <v>1714.61</v>
      </c>
      <c r="C201" s="589">
        <v>216361</v>
      </c>
      <c r="D201" s="589">
        <v>2202</v>
      </c>
      <c r="E201" s="589">
        <v>0</v>
      </c>
      <c r="F201" s="589">
        <v>0</v>
      </c>
      <c r="G201" s="589">
        <v>19</v>
      </c>
      <c r="H201" s="589">
        <v>47</v>
      </c>
      <c r="I201" s="589">
        <v>13</v>
      </c>
      <c r="J201" s="649">
        <f t="shared" si="26"/>
        <v>0.0101774349351316</v>
      </c>
      <c r="K201" s="648">
        <f t="shared" si="27"/>
        <v>0.778660308810173</v>
      </c>
      <c r="L201" s="648">
        <f t="shared" si="28"/>
        <v>7.92476462948498</v>
      </c>
      <c r="M201" s="648">
        <f t="shared" si="29"/>
        <v>0</v>
      </c>
      <c r="N201" s="649">
        <f t="shared" si="30"/>
        <v>0</v>
      </c>
      <c r="O201" s="560">
        <f t="shared" si="31"/>
        <v>25.9789393939394</v>
      </c>
      <c r="P201">
        <f t="shared" si="32"/>
        <v>66</v>
      </c>
      <c r="Q201" s="661">
        <f t="shared" si="33"/>
        <v>0.0299727520435967</v>
      </c>
    </row>
    <row r="202" spans="1:17">
      <c r="A202" s="653">
        <v>45361</v>
      </c>
      <c r="B202" s="589">
        <v>1774.38</v>
      </c>
      <c r="C202" s="589">
        <v>496497</v>
      </c>
      <c r="D202" s="589">
        <v>3974</v>
      </c>
      <c r="E202" s="589">
        <v>2</v>
      </c>
      <c r="F202" s="589">
        <v>43816</v>
      </c>
      <c r="G202" s="589">
        <v>48</v>
      </c>
      <c r="H202" s="589">
        <v>73</v>
      </c>
      <c r="I202" s="589">
        <v>15</v>
      </c>
      <c r="J202" s="649">
        <f t="shared" si="26"/>
        <v>0.00800407656038204</v>
      </c>
      <c r="K202" s="648">
        <f t="shared" si="27"/>
        <v>0.446497232008052</v>
      </c>
      <c r="L202" s="648">
        <f t="shared" si="28"/>
        <v>3.57379802899111</v>
      </c>
      <c r="M202" s="648">
        <f t="shared" si="29"/>
        <v>24.6936958261477</v>
      </c>
      <c r="N202" s="649">
        <f t="shared" si="30"/>
        <v>0.000503271263210871</v>
      </c>
      <c r="O202" s="560">
        <f t="shared" si="31"/>
        <v>14.6642975206612</v>
      </c>
      <c r="P202">
        <f t="shared" si="32"/>
        <v>121</v>
      </c>
      <c r="Q202" s="661">
        <f t="shared" si="33"/>
        <v>0.0304479114242577</v>
      </c>
    </row>
    <row r="203" spans="1:17">
      <c r="A203" s="653">
        <v>45362</v>
      </c>
      <c r="B203" s="589">
        <v>1856.26</v>
      </c>
      <c r="C203" s="589">
        <v>948850</v>
      </c>
      <c r="D203" s="589">
        <v>8401</v>
      </c>
      <c r="E203" s="589">
        <v>1</v>
      </c>
      <c r="F203" s="589">
        <v>8534</v>
      </c>
      <c r="G203" s="589">
        <v>62</v>
      </c>
      <c r="H203" s="589">
        <v>68</v>
      </c>
      <c r="I203" s="589">
        <v>6</v>
      </c>
      <c r="J203" s="649">
        <f t="shared" si="26"/>
        <v>0.00885387574432207</v>
      </c>
      <c r="K203" s="648">
        <f t="shared" si="27"/>
        <v>0.220957028925128</v>
      </c>
      <c r="L203" s="648">
        <f t="shared" si="28"/>
        <v>1.95632607893766</v>
      </c>
      <c r="M203" s="648">
        <f t="shared" si="29"/>
        <v>4.59741631021516</v>
      </c>
      <c r="N203" s="649">
        <f t="shared" si="30"/>
        <v>0.000119033448399</v>
      </c>
      <c r="O203" s="560">
        <f t="shared" si="31"/>
        <v>14.2789230769231</v>
      </c>
      <c r="P203">
        <f t="shared" si="32"/>
        <v>130</v>
      </c>
      <c r="Q203" s="661">
        <f t="shared" si="33"/>
        <v>0.01547434829187</v>
      </c>
    </row>
    <row r="204" spans="1:17">
      <c r="A204" s="653">
        <v>45363</v>
      </c>
      <c r="B204" s="589">
        <v>1460.04</v>
      </c>
      <c r="C204" s="589">
        <v>934318</v>
      </c>
      <c r="D204" s="589">
        <v>5141</v>
      </c>
      <c r="E204" s="589">
        <v>2</v>
      </c>
      <c r="F204" s="589">
        <v>38928</v>
      </c>
      <c r="G204" s="589">
        <v>64</v>
      </c>
      <c r="H204" s="589">
        <v>59</v>
      </c>
      <c r="I204" s="589">
        <v>10</v>
      </c>
      <c r="J204" s="649">
        <f t="shared" si="26"/>
        <v>0.00550240924396191</v>
      </c>
      <c r="K204" s="648">
        <f t="shared" si="27"/>
        <v>0.283999221941257</v>
      </c>
      <c r="L204" s="648">
        <f t="shared" si="28"/>
        <v>1.56267994408756</v>
      </c>
      <c r="M204" s="648">
        <f t="shared" si="29"/>
        <v>26.6622832251171</v>
      </c>
      <c r="N204" s="649">
        <f t="shared" si="30"/>
        <v>0.000389029371717565</v>
      </c>
      <c r="O204" s="560">
        <f t="shared" si="31"/>
        <v>11.870243902439</v>
      </c>
      <c r="P204">
        <f t="shared" si="32"/>
        <v>123</v>
      </c>
      <c r="Q204" s="661">
        <f t="shared" si="33"/>
        <v>0.0239253063606302</v>
      </c>
    </row>
    <row r="205" spans="1:17">
      <c r="A205" s="653">
        <v>45364</v>
      </c>
      <c r="B205" s="589">
        <v>2428.55</v>
      </c>
      <c r="C205" s="589">
        <v>844347</v>
      </c>
      <c r="D205" s="589">
        <v>7778</v>
      </c>
      <c r="E205" s="589">
        <v>2</v>
      </c>
      <c r="F205" s="589">
        <v>53147</v>
      </c>
      <c r="G205" s="589">
        <v>82</v>
      </c>
      <c r="H205" s="589">
        <v>110</v>
      </c>
      <c r="I205" s="589">
        <v>14</v>
      </c>
      <c r="J205" s="649">
        <f t="shared" si="26"/>
        <v>0.00921185247297616</v>
      </c>
      <c r="K205" s="648">
        <f t="shared" si="27"/>
        <v>0.312233221907946</v>
      </c>
      <c r="L205" s="648">
        <f t="shared" si="28"/>
        <v>2.87624637737802</v>
      </c>
      <c r="M205" s="648">
        <f t="shared" si="29"/>
        <v>21.8842519198699</v>
      </c>
      <c r="N205" s="649">
        <f t="shared" si="30"/>
        <v>0.000257135510413988</v>
      </c>
      <c r="O205" s="560">
        <f t="shared" si="31"/>
        <v>12.6486979166667</v>
      </c>
      <c r="P205">
        <f t="shared" si="32"/>
        <v>192</v>
      </c>
      <c r="Q205" s="661">
        <f t="shared" si="33"/>
        <v>0.0246850089997429</v>
      </c>
    </row>
    <row r="206" spans="1:17">
      <c r="A206" s="653">
        <v>45365</v>
      </c>
      <c r="B206" s="589">
        <v>1445.83</v>
      </c>
      <c r="C206" s="589">
        <v>719918</v>
      </c>
      <c r="D206" s="589">
        <v>4333</v>
      </c>
      <c r="E206" s="589">
        <v>0</v>
      </c>
      <c r="F206" s="589">
        <v>0</v>
      </c>
      <c r="G206" s="589">
        <v>59</v>
      </c>
      <c r="H206" s="589">
        <v>102</v>
      </c>
      <c r="I206" s="589">
        <v>22</v>
      </c>
      <c r="J206" s="649">
        <f t="shared" si="26"/>
        <v>0.00601874102328321</v>
      </c>
      <c r="K206" s="648">
        <f t="shared" si="27"/>
        <v>0.333678744518809</v>
      </c>
      <c r="L206" s="648">
        <f t="shared" si="28"/>
        <v>2.00832594823299</v>
      </c>
      <c r="M206" s="648">
        <f t="shared" si="29"/>
        <v>0</v>
      </c>
      <c r="N206" s="649">
        <f t="shared" si="30"/>
        <v>0</v>
      </c>
      <c r="O206" s="560">
        <f t="shared" si="31"/>
        <v>8.98031055900621</v>
      </c>
      <c r="P206">
        <f t="shared" si="32"/>
        <v>161</v>
      </c>
      <c r="Q206" s="661">
        <f t="shared" si="33"/>
        <v>0.037156704361874</v>
      </c>
    </row>
    <row r="207" spans="1:17">
      <c r="A207" s="653">
        <v>45366</v>
      </c>
      <c r="B207" s="589">
        <v>1530.27</v>
      </c>
      <c r="C207" s="589">
        <v>336567</v>
      </c>
      <c r="D207" s="589">
        <v>2869</v>
      </c>
      <c r="E207" s="589">
        <v>1</v>
      </c>
      <c r="F207" s="589">
        <v>13376</v>
      </c>
      <c r="G207" s="589">
        <v>29</v>
      </c>
      <c r="H207" s="589">
        <v>68</v>
      </c>
      <c r="I207" s="589">
        <v>10</v>
      </c>
      <c r="J207" s="649">
        <f t="shared" si="26"/>
        <v>0.00852430571030434</v>
      </c>
      <c r="K207" s="648">
        <f t="shared" si="27"/>
        <v>0.533380968978738</v>
      </c>
      <c r="L207" s="648">
        <f t="shared" si="28"/>
        <v>4.54670243963312</v>
      </c>
      <c r="M207" s="648">
        <f t="shared" si="29"/>
        <v>8.74094114110582</v>
      </c>
      <c r="N207" s="649">
        <f t="shared" si="30"/>
        <v>0.000348553502962705</v>
      </c>
      <c r="O207" s="560">
        <f t="shared" si="31"/>
        <v>15.7759793814433</v>
      </c>
      <c r="P207">
        <f t="shared" si="32"/>
        <v>97</v>
      </c>
      <c r="Q207" s="661">
        <f t="shared" si="33"/>
        <v>0.0338096897873824</v>
      </c>
    </row>
    <row r="208" spans="1:17">
      <c r="A208" s="653">
        <v>45367</v>
      </c>
      <c r="B208" s="589">
        <v>3612.5</v>
      </c>
      <c r="C208" s="589">
        <v>724903</v>
      </c>
      <c r="D208" s="589">
        <v>5414</v>
      </c>
      <c r="E208" s="589">
        <v>6</v>
      </c>
      <c r="F208" s="589">
        <v>101188</v>
      </c>
      <c r="G208" s="589">
        <v>93</v>
      </c>
      <c r="H208" s="589">
        <v>210</v>
      </c>
      <c r="I208" s="589">
        <v>38</v>
      </c>
      <c r="J208" s="649">
        <f t="shared" si="26"/>
        <v>0.00746858545212256</v>
      </c>
      <c r="K208" s="648">
        <f t="shared" si="27"/>
        <v>0.667251570003694</v>
      </c>
      <c r="L208" s="648">
        <f t="shared" si="28"/>
        <v>4.98342536863553</v>
      </c>
      <c r="M208" s="648">
        <f t="shared" si="29"/>
        <v>28.0105190311419</v>
      </c>
      <c r="N208" s="649">
        <f t="shared" si="30"/>
        <v>0.00110823790173624</v>
      </c>
      <c r="O208" s="560">
        <f t="shared" si="31"/>
        <v>11.9224422442244</v>
      </c>
      <c r="P208">
        <f t="shared" si="32"/>
        <v>303</v>
      </c>
      <c r="Q208" s="661">
        <f t="shared" si="33"/>
        <v>0.0559660140376801</v>
      </c>
    </row>
    <row r="209" spans="1:17">
      <c r="A209" s="653">
        <v>45368</v>
      </c>
      <c r="B209" s="589">
        <v>3633.32</v>
      </c>
      <c r="C209" s="589">
        <v>645124</v>
      </c>
      <c r="D209" s="589">
        <v>5242</v>
      </c>
      <c r="E209" s="589">
        <v>1</v>
      </c>
      <c r="F209" s="589">
        <v>11125</v>
      </c>
      <c r="G209" s="589">
        <v>86</v>
      </c>
      <c r="H209" s="589">
        <v>219</v>
      </c>
      <c r="I209" s="589">
        <v>31</v>
      </c>
      <c r="J209" s="649">
        <f t="shared" si="26"/>
        <v>0.00812556965792623</v>
      </c>
      <c r="K209" s="648">
        <f t="shared" si="27"/>
        <v>0.693117130866082</v>
      </c>
      <c r="L209" s="648">
        <f t="shared" si="28"/>
        <v>5.63197152795432</v>
      </c>
      <c r="M209" s="648">
        <f t="shared" si="29"/>
        <v>3.06193784197373</v>
      </c>
      <c r="N209" s="649">
        <f t="shared" si="30"/>
        <v>0.000190766882869134</v>
      </c>
      <c r="O209" s="560">
        <f t="shared" si="31"/>
        <v>11.9125245901639</v>
      </c>
      <c r="P209">
        <f t="shared" si="32"/>
        <v>305</v>
      </c>
      <c r="Q209" s="661">
        <f t="shared" si="33"/>
        <v>0.0581838992750858</v>
      </c>
    </row>
    <row r="210" spans="1:17">
      <c r="A210" s="653">
        <v>45369</v>
      </c>
      <c r="B210" s="589">
        <v>4481.6</v>
      </c>
      <c r="C210" s="589">
        <v>803980</v>
      </c>
      <c r="D210" s="589">
        <v>15135</v>
      </c>
      <c r="E210" s="589">
        <v>2</v>
      </c>
      <c r="F210" s="589">
        <v>34545</v>
      </c>
      <c r="G210" s="589">
        <v>69</v>
      </c>
      <c r="H210" s="589">
        <v>154</v>
      </c>
      <c r="I210" s="589">
        <v>29</v>
      </c>
      <c r="J210" s="649">
        <f t="shared" si="26"/>
        <v>0.0188250951516207</v>
      </c>
      <c r="K210" s="648">
        <f t="shared" si="27"/>
        <v>0.29610835811034</v>
      </c>
      <c r="L210" s="648">
        <f t="shared" si="28"/>
        <v>5.57426801661733</v>
      </c>
      <c r="M210" s="648">
        <f t="shared" si="29"/>
        <v>7.70818457693681</v>
      </c>
      <c r="N210" s="649">
        <f t="shared" si="30"/>
        <v>0.00013214403700033</v>
      </c>
      <c r="O210" s="560">
        <f t="shared" si="31"/>
        <v>20.0968609865471</v>
      </c>
      <c r="P210">
        <f t="shared" si="32"/>
        <v>223</v>
      </c>
      <c r="Q210" s="661">
        <f t="shared" si="33"/>
        <v>0.0147340601255368</v>
      </c>
    </row>
    <row r="211" spans="1:17">
      <c r="A211" s="653">
        <v>45370</v>
      </c>
      <c r="B211" s="589">
        <v>3976.7</v>
      </c>
      <c r="C211" s="589">
        <v>951119</v>
      </c>
      <c r="D211" s="589">
        <v>9835</v>
      </c>
      <c r="E211" s="589">
        <v>0</v>
      </c>
      <c r="F211" s="589">
        <v>0</v>
      </c>
      <c r="G211" s="589">
        <v>77</v>
      </c>
      <c r="H211" s="589">
        <v>180</v>
      </c>
      <c r="I211" s="589">
        <v>24</v>
      </c>
      <c r="J211" s="649">
        <f t="shared" si="26"/>
        <v>0.010340451615413</v>
      </c>
      <c r="K211" s="648">
        <f t="shared" si="27"/>
        <v>0.404341637010676</v>
      </c>
      <c r="L211" s="648">
        <f t="shared" si="28"/>
        <v>4.18107513360578</v>
      </c>
      <c r="M211" s="648">
        <f t="shared" si="29"/>
        <v>0</v>
      </c>
      <c r="N211" s="649">
        <f t="shared" si="30"/>
        <v>0</v>
      </c>
      <c r="O211" s="560">
        <f t="shared" si="31"/>
        <v>15.4735408560311</v>
      </c>
      <c r="P211">
        <f t="shared" si="32"/>
        <v>257</v>
      </c>
      <c r="Q211" s="661">
        <f t="shared" si="33"/>
        <v>0.026131164209456</v>
      </c>
    </row>
    <row r="212" spans="1:17">
      <c r="A212" s="653">
        <v>45371</v>
      </c>
      <c r="B212" s="589">
        <v>4857.78</v>
      </c>
      <c r="C212" s="589">
        <v>1332995</v>
      </c>
      <c r="D212" s="589">
        <v>50157</v>
      </c>
      <c r="E212" s="589">
        <v>1</v>
      </c>
      <c r="F212" s="589">
        <v>9054</v>
      </c>
      <c r="G212" s="589">
        <v>93</v>
      </c>
      <c r="H212" s="589">
        <v>226</v>
      </c>
      <c r="I212" s="589">
        <v>27</v>
      </c>
      <c r="J212" s="649">
        <f t="shared" si="26"/>
        <v>0.0376272979268489</v>
      </c>
      <c r="K212" s="648">
        <f t="shared" si="27"/>
        <v>0.0968514863329146</v>
      </c>
      <c r="L212" s="648">
        <f t="shared" si="28"/>
        <v>3.64425973090672</v>
      </c>
      <c r="M212" s="648">
        <f t="shared" si="29"/>
        <v>1.86381433494312</v>
      </c>
      <c r="N212" s="649">
        <f t="shared" si="30"/>
        <v>1.99373965747553e-5</v>
      </c>
      <c r="O212" s="560">
        <f t="shared" si="31"/>
        <v>15.2281504702194</v>
      </c>
      <c r="P212">
        <f t="shared" si="32"/>
        <v>319</v>
      </c>
      <c r="Q212" s="661">
        <f t="shared" si="33"/>
        <v>0.00636002950734693</v>
      </c>
    </row>
    <row r="213" spans="1:17">
      <c r="A213" s="653">
        <v>45372</v>
      </c>
      <c r="B213" s="589">
        <v>3873.12</v>
      </c>
      <c r="C213" s="589">
        <v>1106210</v>
      </c>
      <c r="D213" s="589">
        <v>7625</v>
      </c>
      <c r="E213" s="589">
        <v>1</v>
      </c>
      <c r="F213" s="589">
        <v>21952</v>
      </c>
      <c r="G213" s="589">
        <v>73</v>
      </c>
      <c r="H213" s="589">
        <v>175</v>
      </c>
      <c r="I213" s="589">
        <v>22</v>
      </c>
      <c r="J213" s="649">
        <f t="shared" si="26"/>
        <v>0.00689290460220031</v>
      </c>
      <c r="K213" s="648">
        <f t="shared" si="27"/>
        <v>0.507950163934426</v>
      </c>
      <c r="L213" s="648">
        <f t="shared" si="28"/>
        <v>3.50125202267201</v>
      </c>
      <c r="M213" s="648">
        <f t="shared" si="29"/>
        <v>5.66778204651547</v>
      </c>
      <c r="N213" s="649">
        <f t="shared" si="30"/>
        <v>0.000131147540983607</v>
      </c>
      <c r="O213" s="560">
        <f t="shared" si="31"/>
        <v>15.6174193548387</v>
      </c>
      <c r="P213">
        <f t="shared" si="32"/>
        <v>248</v>
      </c>
      <c r="Q213" s="661">
        <f t="shared" si="33"/>
        <v>0.0325245901639344</v>
      </c>
    </row>
    <row r="214" spans="1:17">
      <c r="A214" s="653">
        <v>45373</v>
      </c>
      <c r="B214" s="589">
        <v>3952.9</v>
      </c>
      <c r="C214" s="589">
        <v>1172212</v>
      </c>
      <c r="D214" s="589">
        <v>7394</v>
      </c>
      <c r="E214" s="589">
        <v>3</v>
      </c>
      <c r="F214" s="589">
        <v>77545</v>
      </c>
      <c r="G214" s="589">
        <v>74</v>
      </c>
      <c r="H214" s="589">
        <v>192</v>
      </c>
      <c r="I214" s="589">
        <v>26</v>
      </c>
      <c r="J214" s="649">
        <f t="shared" si="26"/>
        <v>0.00630773273093945</v>
      </c>
      <c r="K214" s="648">
        <f t="shared" si="27"/>
        <v>0.534609142548012</v>
      </c>
      <c r="L214" s="648">
        <f t="shared" si="28"/>
        <v>3.37217158670957</v>
      </c>
      <c r="M214" s="648">
        <f t="shared" si="29"/>
        <v>19.6172430367578</v>
      </c>
      <c r="N214" s="649">
        <f t="shared" si="30"/>
        <v>0.0004057343792264</v>
      </c>
      <c r="O214" s="560">
        <f t="shared" si="31"/>
        <v>14.8605263157895</v>
      </c>
      <c r="P214">
        <f t="shared" si="32"/>
        <v>266</v>
      </c>
      <c r="Q214" s="661">
        <f t="shared" si="33"/>
        <v>0.0359751149580741</v>
      </c>
    </row>
    <row r="215" spans="1:17">
      <c r="A215" s="653">
        <v>45374</v>
      </c>
      <c r="B215" s="589">
        <v>3958</v>
      </c>
      <c r="C215" s="589">
        <v>1568087</v>
      </c>
      <c r="D215" s="589">
        <v>8084</v>
      </c>
      <c r="E215" s="589">
        <v>0</v>
      </c>
      <c r="F215" s="589">
        <v>0</v>
      </c>
      <c r="G215" s="589">
        <v>44</v>
      </c>
      <c r="H215" s="589">
        <v>195</v>
      </c>
      <c r="I215" s="589">
        <v>16</v>
      </c>
      <c r="J215" s="649">
        <f t="shared" si="26"/>
        <v>0.00515532620320174</v>
      </c>
      <c r="K215" s="648">
        <f t="shared" si="27"/>
        <v>0.489609104403761</v>
      </c>
      <c r="L215" s="648">
        <f t="shared" si="28"/>
        <v>2.52409464525884</v>
      </c>
      <c r="M215" s="648">
        <f t="shared" si="29"/>
        <v>0</v>
      </c>
      <c r="N215" s="649">
        <f t="shared" si="30"/>
        <v>0</v>
      </c>
      <c r="O215" s="560">
        <f t="shared" si="31"/>
        <v>16.5606694560669</v>
      </c>
      <c r="P215">
        <f t="shared" si="32"/>
        <v>239</v>
      </c>
      <c r="Q215" s="661">
        <f t="shared" si="33"/>
        <v>0.0295645719940623</v>
      </c>
    </row>
    <row r="216" spans="1:17">
      <c r="A216" s="653">
        <v>45375</v>
      </c>
      <c r="B216" s="589">
        <v>3888.46</v>
      </c>
      <c r="C216" s="589">
        <v>1037282</v>
      </c>
      <c r="D216" s="589">
        <v>7068</v>
      </c>
      <c r="E216" s="589">
        <v>0</v>
      </c>
      <c r="F216" s="589">
        <v>0</v>
      </c>
      <c r="G216" s="589">
        <v>68</v>
      </c>
      <c r="H216" s="589">
        <v>171</v>
      </c>
      <c r="I216" s="589">
        <v>17</v>
      </c>
      <c r="J216" s="649">
        <f t="shared" si="26"/>
        <v>0.00681396187343461</v>
      </c>
      <c r="K216" s="648">
        <f t="shared" si="27"/>
        <v>0.550149971703452</v>
      </c>
      <c r="L216" s="648">
        <f t="shared" si="28"/>
        <v>3.74870093185845</v>
      </c>
      <c r="M216" s="648">
        <f t="shared" si="29"/>
        <v>0</v>
      </c>
      <c r="N216" s="649">
        <f t="shared" si="30"/>
        <v>0</v>
      </c>
      <c r="O216" s="560">
        <f t="shared" si="31"/>
        <v>16.2697071129707</v>
      </c>
      <c r="P216">
        <f t="shared" si="32"/>
        <v>239</v>
      </c>
      <c r="Q216" s="661">
        <f t="shared" si="33"/>
        <v>0.0338143746462932</v>
      </c>
    </row>
    <row r="217" spans="1:17">
      <c r="A217" s="653">
        <v>45376</v>
      </c>
      <c r="B217" s="589">
        <v>4050.11</v>
      </c>
      <c r="C217" s="589">
        <v>1054358</v>
      </c>
      <c r="D217" s="589">
        <v>7375</v>
      </c>
      <c r="E217" s="589">
        <v>2</v>
      </c>
      <c r="F217" s="589">
        <v>29118</v>
      </c>
      <c r="G217" s="589">
        <v>78</v>
      </c>
      <c r="H217" s="589">
        <v>146</v>
      </c>
      <c r="I217" s="589">
        <v>19</v>
      </c>
      <c r="J217" s="649">
        <f t="shared" si="26"/>
        <v>0.0069947778648239</v>
      </c>
      <c r="K217" s="648">
        <f t="shared" si="27"/>
        <v>0.549167457627119</v>
      </c>
      <c r="L217" s="648">
        <f t="shared" si="28"/>
        <v>3.84130437669179</v>
      </c>
      <c r="M217" s="648">
        <f t="shared" si="29"/>
        <v>7.18943436104205</v>
      </c>
      <c r="N217" s="649">
        <f t="shared" si="30"/>
        <v>0.000271186440677966</v>
      </c>
      <c r="O217" s="560">
        <f t="shared" si="31"/>
        <v>18.0808482142857</v>
      </c>
      <c r="P217">
        <f t="shared" si="32"/>
        <v>224</v>
      </c>
      <c r="Q217" s="661">
        <f t="shared" si="33"/>
        <v>0.0303728813559322</v>
      </c>
    </row>
    <row r="218" spans="1:17">
      <c r="A218" s="653">
        <v>45377</v>
      </c>
      <c r="B218" s="589">
        <v>4118.02</v>
      </c>
      <c r="C218" s="589">
        <v>775582</v>
      </c>
      <c r="D218" s="589">
        <v>10322</v>
      </c>
      <c r="E218" s="589">
        <v>3</v>
      </c>
      <c r="F218" s="589">
        <v>22865</v>
      </c>
      <c r="G218" s="589">
        <v>49</v>
      </c>
      <c r="H218" s="589">
        <v>76</v>
      </c>
      <c r="I218" s="589">
        <v>6</v>
      </c>
      <c r="J218" s="649">
        <f t="shared" si="26"/>
        <v>0.0133087152615713</v>
      </c>
      <c r="K218" s="648">
        <f t="shared" si="27"/>
        <v>0.398955628754117</v>
      </c>
      <c r="L218" s="648">
        <f t="shared" si="28"/>
        <v>5.3095868650897</v>
      </c>
      <c r="M218" s="648">
        <f t="shared" si="29"/>
        <v>5.55242568030267</v>
      </c>
      <c r="N218" s="649">
        <f t="shared" si="30"/>
        <v>0.000290641348575857</v>
      </c>
      <c r="O218" s="560">
        <f t="shared" si="31"/>
        <v>32.94416</v>
      </c>
      <c r="P218">
        <f t="shared" si="32"/>
        <v>125</v>
      </c>
      <c r="Q218" s="661">
        <f t="shared" si="33"/>
        <v>0.0121100561906607</v>
      </c>
    </row>
    <row r="219" spans="1:17">
      <c r="A219" s="653">
        <v>45378</v>
      </c>
      <c r="B219" s="589">
        <v>2881.58</v>
      </c>
      <c r="C219" s="589">
        <v>791450</v>
      </c>
      <c r="D219" s="589">
        <v>5820</v>
      </c>
      <c r="E219" s="589">
        <v>4</v>
      </c>
      <c r="F219" s="589">
        <v>48705</v>
      </c>
      <c r="G219" s="589">
        <v>51</v>
      </c>
      <c r="H219" s="589">
        <v>99</v>
      </c>
      <c r="I219" s="589">
        <v>12</v>
      </c>
      <c r="J219" s="649">
        <f t="shared" si="26"/>
        <v>0.00735359150925516</v>
      </c>
      <c r="K219" s="648">
        <f t="shared" si="27"/>
        <v>0.495116838487972</v>
      </c>
      <c r="L219" s="648">
        <f t="shared" si="28"/>
        <v>3.64088697959442</v>
      </c>
      <c r="M219" s="648">
        <f t="shared" si="29"/>
        <v>16.9021856065075</v>
      </c>
      <c r="N219" s="649">
        <f t="shared" si="30"/>
        <v>0.000687285223367698</v>
      </c>
      <c r="O219" s="560">
        <f t="shared" si="31"/>
        <v>19.2105333333333</v>
      </c>
      <c r="P219">
        <f t="shared" si="32"/>
        <v>150</v>
      </c>
      <c r="Q219" s="661">
        <f t="shared" si="33"/>
        <v>0.0257731958762887</v>
      </c>
    </row>
    <row r="220" spans="1:17">
      <c r="A220" s="653">
        <v>45379</v>
      </c>
      <c r="B220" s="589">
        <v>2828.79</v>
      </c>
      <c r="C220" s="589">
        <v>711471</v>
      </c>
      <c r="D220" s="589">
        <v>4639</v>
      </c>
      <c r="E220" s="589">
        <v>0</v>
      </c>
      <c r="F220" s="589">
        <v>0</v>
      </c>
      <c r="G220" s="589">
        <v>38</v>
      </c>
      <c r="H220" s="589">
        <v>129</v>
      </c>
      <c r="I220" s="589">
        <v>12</v>
      </c>
      <c r="J220" s="649">
        <f t="shared" si="26"/>
        <v>0.00652029387002422</v>
      </c>
      <c r="K220" s="648">
        <f t="shared" si="27"/>
        <v>0.609784436300927</v>
      </c>
      <c r="L220" s="648">
        <f t="shared" si="28"/>
        <v>3.97597372204911</v>
      </c>
      <c r="M220" s="648">
        <f t="shared" si="29"/>
        <v>0</v>
      </c>
      <c r="N220" s="649">
        <f t="shared" si="30"/>
        <v>0</v>
      </c>
      <c r="O220" s="560">
        <f t="shared" si="31"/>
        <v>16.9388622754491</v>
      </c>
      <c r="P220">
        <f t="shared" si="32"/>
        <v>167</v>
      </c>
      <c r="Q220" s="661">
        <f t="shared" si="33"/>
        <v>0.0359991377452037</v>
      </c>
    </row>
    <row r="221" spans="1:17">
      <c r="A221" s="653">
        <v>45380</v>
      </c>
      <c r="B221" s="589">
        <v>2941.74</v>
      </c>
      <c r="C221" s="589">
        <v>612120</v>
      </c>
      <c r="D221" s="589">
        <v>4384</v>
      </c>
      <c r="E221" s="589">
        <v>1</v>
      </c>
      <c r="F221" s="589">
        <v>20873</v>
      </c>
      <c r="G221" s="589">
        <v>48</v>
      </c>
      <c r="H221" s="589">
        <v>118</v>
      </c>
      <c r="I221" s="589">
        <v>8</v>
      </c>
      <c r="J221" s="649">
        <f t="shared" si="26"/>
        <v>0.00716199438018689</v>
      </c>
      <c r="K221" s="648">
        <f t="shared" si="27"/>
        <v>0.671017335766423</v>
      </c>
      <c r="L221" s="648">
        <f t="shared" si="28"/>
        <v>4.8058223877671</v>
      </c>
      <c r="M221" s="648">
        <f t="shared" si="29"/>
        <v>7.09546050976633</v>
      </c>
      <c r="N221" s="649">
        <f t="shared" si="30"/>
        <v>0.000228102189781022</v>
      </c>
      <c r="O221" s="560">
        <f t="shared" si="31"/>
        <v>17.7213253012048</v>
      </c>
      <c r="P221">
        <f t="shared" si="32"/>
        <v>166</v>
      </c>
      <c r="Q221" s="661">
        <f t="shared" si="33"/>
        <v>0.0378649635036496</v>
      </c>
    </row>
    <row r="222" spans="1:17">
      <c r="A222" s="653">
        <v>45381</v>
      </c>
      <c r="B222" s="589">
        <v>2977.09</v>
      </c>
      <c r="C222" s="589">
        <v>657917</v>
      </c>
      <c r="D222" s="589">
        <v>4327</v>
      </c>
      <c r="E222" s="589">
        <v>3</v>
      </c>
      <c r="F222" s="589">
        <v>57280</v>
      </c>
      <c r="G222" s="589">
        <v>66</v>
      </c>
      <c r="H222" s="589">
        <v>157</v>
      </c>
      <c r="I222" s="589">
        <v>9</v>
      </c>
      <c r="J222" s="649">
        <f t="shared" si="26"/>
        <v>0.00657681744049781</v>
      </c>
      <c r="K222" s="648">
        <f t="shared" si="27"/>
        <v>0.68802634619829</v>
      </c>
      <c r="L222" s="648">
        <f t="shared" si="28"/>
        <v>4.5250236731989</v>
      </c>
      <c r="M222" s="648">
        <f t="shared" si="29"/>
        <v>19.2402648223601</v>
      </c>
      <c r="N222" s="649">
        <f t="shared" si="30"/>
        <v>0.000693321007626531</v>
      </c>
      <c r="O222" s="560">
        <f t="shared" si="31"/>
        <v>13.3501793721973</v>
      </c>
      <c r="P222">
        <f t="shared" si="32"/>
        <v>223</v>
      </c>
      <c r="Q222" s="661">
        <f t="shared" si="33"/>
        <v>0.0515368615669055</v>
      </c>
    </row>
    <row r="223" spans="1:17">
      <c r="A223" s="653">
        <v>45382</v>
      </c>
      <c r="B223" s="589">
        <v>2884.98</v>
      </c>
      <c r="C223" s="589">
        <v>739995</v>
      </c>
      <c r="D223" s="589">
        <v>4574</v>
      </c>
      <c r="E223" s="589">
        <v>0</v>
      </c>
      <c r="F223" s="589">
        <v>0</v>
      </c>
      <c r="G223" s="589">
        <v>25</v>
      </c>
      <c r="H223" s="589">
        <v>151</v>
      </c>
      <c r="I223" s="589">
        <v>13</v>
      </c>
      <c r="J223" s="649">
        <f t="shared" si="26"/>
        <v>0.00618112284542463</v>
      </c>
      <c r="K223" s="648">
        <f t="shared" si="27"/>
        <v>0.630734586794928</v>
      </c>
      <c r="L223" s="648">
        <f t="shared" si="28"/>
        <v>3.89864796383759</v>
      </c>
      <c r="M223" s="648">
        <f t="shared" si="29"/>
        <v>0</v>
      </c>
      <c r="N223" s="649">
        <f t="shared" si="30"/>
        <v>0</v>
      </c>
      <c r="O223" s="560">
        <f t="shared" si="31"/>
        <v>16.3919318181818</v>
      </c>
      <c r="P223">
        <f t="shared" si="32"/>
        <v>176</v>
      </c>
      <c r="Q223" s="661">
        <f t="shared" si="33"/>
        <v>0.0384783559247923</v>
      </c>
    </row>
    <row r="224" spans="1:17">
      <c r="A224" s="653">
        <v>45383</v>
      </c>
      <c r="B224" s="589">
        <v>1185.37</v>
      </c>
      <c r="C224" s="589">
        <v>413647</v>
      </c>
      <c r="D224" s="589">
        <v>2143</v>
      </c>
      <c r="E224" s="589">
        <v>2</v>
      </c>
      <c r="F224" s="589">
        <v>54216</v>
      </c>
      <c r="G224" s="589">
        <v>20</v>
      </c>
      <c r="H224" s="589">
        <v>53</v>
      </c>
      <c r="I224" s="589">
        <v>9</v>
      </c>
      <c r="J224" s="649">
        <f t="shared" si="26"/>
        <v>0.00518074590169879</v>
      </c>
      <c r="K224" s="648">
        <f t="shared" si="27"/>
        <v>0.55313579094727</v>
      </c>
      <c r="L224" s="648">
        <f t="shared" si="28"/>
        <v>2.86565598203299</v>
      </c>
      <c r="M224" s="648">
        <f t="shared" si="29"/>
        <v>45.7376177902258</v>
      </c>
      <c r="N224" s="649">
        <f t="shared" si="30"/>
        <v>0.000933271115258983</v>
      </c>
      <c r="O224" s="560">
        <f t="shared" si="31"/>
        <v>16.2379452054795</v>
      </c>
      <c r="P224">
        <f t="shared" si="32"/>
        <v>73</v>
      </c>
      <c r="Q224" s="661">
        <f t="shared" si="33"/>
        <v>0.0340643957069529</v>
      </c>
    </row>
    <row r="225" spans="1:17">
      <c r="A225" s="653">
        <v>45384</v>
      </c>
      <c r="B225" s="589">
        <v>1570.73</v>
      </c>
      <c r="C225" s="589">
        <v>298025</v>
      </c>
      <c r="D225" s="589">
        <v>7404</v>
      </c>
      <c r="E225" s="589">
        <v>2</v>
      </c>
      <c r="F225" s="589">
        <v>14620</v>
      </c>
      <c r="G225" s="589">
        <v>18</v>
      </c>
      <c r="H225" s="589">
        <v>54</v>
      </c>
      <c r="I225" s="589">
        <v>10</v>
      </c>
      <c r="J225" s="649">
        <f t="shared" ref="J225:J231" si="34">D225/C225</f>
        <v>0.0248435533931717</v>
      </c>
      <c r="K225" s="648">
        <f t="shared" ref="K225:K253" si="35">B225/D225</f>
        <v>0.212146137223123</v>
      </c>
      <c r="L225" s="648">
        <f t="shared" ref="L225:L253" si="36">B225/C225*1000</f>
        <v>5.27046388725778</v>
      </c>
      <c r="M225" s="648">
        <f t="shared" ref="M225:M253" si="37">F225/B225</f>
        <v>9.30777409230103</v>
      </c>
      <c r="N225" s="649">
        <f t="shared" ref="N225:N253" si="38">E225/D225</f>
        <v>0.000270124257158293</v>
      </c>
      <c r="O225" s="560">
        <f t="shared" si="31"/>
        <v>21.8156944444444</v>
      </c>
      <c r="P225">
        <f t="shared" si="32"/>
        <v>72</v>
      </c>
      <c r="Q225" s="661">
        <f t="shared" si="33"/>
        <v>0.00972447325769854</v>
      </c>
    </row>
    <row r="226" spans="1:17">
      <c r="A226" s="653">
        <v>45385</v>
      </c>
      <c r="B226" s="589">
        <v>1190.06</v>
      </c>
      <c r="C226" s="589">
        <v>372605</v>
      </c>
      <c r="D226" s="589">
        <v>2105</v>
      </c>
      <c r="E226" s="589">
        <v>0</v>
      </c>
      <c r="F226" s="589">
        <v>0</v>
      </c>
      <c r="G226" s="589">
        <v>21</v>
      </c>
      <c r="H226" s="589">
        <v>50</v>
      </c>
      <c r="I226" s="589">
        <v>6</v>
      </c>
      <c r="J226" s="649">
        <f t="shared" si="34"/>
        <v>0.00564941425906791</v>
      </c>
      <c r="K226" s="648">
        <f t="shared" si="35"/>
        <v>0.565349168646081</v>
      </c>
      <c r="L226" s="648">
        <f t="shared" si="36"/>
        <v>3.19389165470136</v>
      </c>
      <c r="M226" s="648">
        <f t="shared" si="37"/>
        <v>0</v>
      </c>
      <c r="N226" s="649">
        <f t="shared" si="38"/>
        <v>0</v>
      </c>
      <c r="O226" s="560">
        <f t="shared" si="31"/>
        <v>16.7614084507042</v>
      </c>
      <c r="P226">
        <f t="shared" si="32"/>
        <v>71</v>
      </c>
      <c r="Q226" s="661">
        <f t="shared" si="33"/>
        <v>0.033729216152019</v>
      </c>
    </row>
    <row r="227" spans="1:17">
      <c r="A227" s="653">
        <v>45386</v>
      </c>
      <c r="B227" s="589">
        <v>1236.91</v>
      </c>
      <c r="C227" s="589">
        <v>243017</v>
      </c>
      <c r="D227" s="589">
        <v>2166</v>
      </c>
      <c r="E227" s="589">
        <v>2</v>
      </c>
      <c r="F227" s="589">
        <v>10014.48</v>
      </c>
      <c r="G227" s="589">
        <v>20</v>
      </c>
      <c r="H227" s="589">
        <v>59</v>
      </c>
      <c r="I227" s="589">
        <v>10</v>
      </c>
      <c r="J227" s="649">
        <f t="shared" si="34"/>
        <v>0.00891295670673245</v>
      </c>
      <c r="K227" s="648">
        <f t="shared" si="35"/>
        <v>0.571057248384118</v>
      </c>
      <c r="L227" s="648">
        <f t="shared" si="36"/>
        <v>5.08980853191341</v>
      </c>
      <c r="M227" s="648">
        <f t="shared" si="37"/>
        <v>8.09636917803235</v>
      </c>
      <c r="N227" s="649">
        <f t="shared" si="38"/>
        <v>0.000923361034164358</v>
      </c>
      <c r="O227" s="560">
        <f t="shared" si="31"/>
        <v>15.6570886075949</v>
      </c>
      <c r="P227">
        <f t="shared" si="32"/>
        <v>79</v>
      </c>
      <c r="Q227" s="661">
        <f t="shared" si="33"/>
        <v>0.0364727608494922</v>
      </c>
    </row>
    <row r="228" spans="1:17">
      <c r="A228" s="653">
        <v>45387</v>
      </c>
      <c r="B228" s="589">
        <v>1260.69</v>
      </c>
      <c r="C228" s="589">
        <v>292066</v>
      </c>
      <c r="D228" s="589">
        <v>2157</v>
      </c>
      <c r="E228" s="589">
        <v>0</v>
      </c>
      <c r="F228" s="589">
        <v>0</v>
      </c>
      <c r="G228" s="589">
        <v>14</v>
      </c>
      <c r="H228" s="589">
        <v>62</v>
      </c>
      <c r="I228" s="589">
        <v>13</v>
      </c>
      <c r="J228" s="649">
        <f t="shared" si="34"/>
        <v>0.00738531701738648</v>
      </c>
      <c r="K228" s="648">
        <f t="shared" si="35"/>
        <v>0.584464534075104</v>
      </c>
      <c r="L228" s="648">
        <f t="shared" si="36"/>
        <v>4.31645586956373</v>
      </c>
      <c r="M228" s="648">
        <f t="shared" si="37"/>
        <v>0</v>
      </c>
      <c r="N228" s="649">
        <f t="shared" si="38"/>
        <v>0</v>
      </c>
      <c r="O228" s="560">
        <f t="shared" si="31"/>
        <v>16.5880263157895</v>
      </c>
      <c r="P228">
        <f t="shared" si="32"/>
        <v>76</v>
      </c>
      <c r="Q228" s="661">
        <f t="shared" si="33"/>
        <v>0.0352341214649977</v>
      </c>
    </row>
    <row r="229" spans="1:17">
      <c r="A229" s="653">
        <v>45388</v>
      </c>
      <c r="B229" s="589">
        <v>1207.3</v>
      </c>
      <c r="C229" s="589">
        <v>286721</v>
      </c>
      <c r="D229" s="589">
        <v>1999</v>
      </c>
      <c r="E229" s="589">
        <v>1</v>
      </c>
      <c r="F229" s="589">
        <v>12134</v>
      </c>
      <c r="G229" s="589">
        <v>13</v>
      </c>
      <c r="H229" s="589">
        <v>69</v>
      </c>
      <c r="I229" s="589">
        <v>14</v>
      </c>
      <c r="J229" s="649">
        <f t="shared" si="34"/>
        <v>0.00697193438917972</v>
      </c>
      <c r="K229" s="648">
        <f t="shared" si="35"/>
        <v>0.603951975987994</v>
      </c>
      <c r="L229" s="648">
        <f t="shared" si="36"/>
        <v>4.21071355080374</v>
      </c>
      <c r="M229" s="648">
        <f t="shared" si="37"/>
        <v>10.0505259670339</v>
      </c>
      <c r="N229" s="649">
        <f t="shared" si="38"/>
        <v>0.000500250125062531</v>
      </c>
      <c r="O229" s="560">
        <f t="shared" si="31"/>
        <v>14.7231707317073</v>
      </c>
      <c r="P229">
        <f t="shared" si="32"/>
        <v>82</v>
      </c>
      <c r="Q229" s="661">
        <f t="shared" si="33"/>
        <v>0.0410205102551276</v>
      </c>
    </row>
    <row r="230" spans="1:17">
      <c r="A230" s="653">
        <v>45389</v>
      </c>
      <c r="B230" s="589">
        <v>1315.6</v>
      </c>
      <c r="C230" s="589">
        <v>339485</v>
      </c>
      <c r="D230" s="589">
        <v>2176</v>
      </c>
      <c r="E230" s="589">
        <v>0</v>
      </c>
      <c r="F230" s="589">
        <v>0</v>
      </c>
      <c r="G230" s="589">
        <v>32</v>
      </c>
      <c r="H230" s="589">
        <v>62</v>
      </c>
      <c r="I230" s="589">
        <v>13</v>
      </c>
      <c r="J230" s="649">
        <f t="shared" si="34"/>
        <v>0.00640970882365937</v>
      </c>
      <c r="K230" s="648">
        <f t="shared" si="35"/>
        <v>0.604595588235294</v>
      </c>
      <c r="L230" s="648">
        <f t="shared" si="36"/>
        <v>3.87528167665729</v>
      </c>
      <c r="M230" s="648">
        <f t="shared" si="37"/>
        <v>0</v>
      </c>
      <c r="N230" s="649">
        <f t="shared" si="38"/>
        <v>0</v>
      </c>
      <c r="O230" s="560">
        <f t="shared" ref="O230:O253" si="39">B230/(G230+H230)</f>
        <v>13.9957446808511</v>
      </c>
      <c r="P230">
        <f t="shared" ref="P230:P253" si="40">G230+H230</f>
        <v>94</v>
      </c>
      <c r="Q230" s="661">
        <f t="shared" ref="Q230:Q253" si="41">P230/D230</f>
        <v>0.0431985294117647</v>
      </c>
    </row>
    <row r="231" spans="1:17">
      <c r="A231" s="653">
        <v>45390</v>
      </c>
      <c r="B231" s="589">
        <v>1354.4</v>
      </c>
      <c r="C231" s="589">
        <v>340089</v>
      </c>
      <c r="D231" s="589">
        <v>2541</v>
      </c>
      <c r="E231" s="589">
        <v>0</v>
      </c>
      <c r="F231" s="589">
        <v>0</v>
      </c>
      <c r="G231" s="589">
        <v>42</v>
      </c>
      <c r="H231" s="589">
        <v>66</v>
      </c>
      <c r="I231" s="589">
        <v>9</v>
      </c>
      <c r="J231" s="649">
        <f t="shared" si="34"/>
        <v>0.00747157361749424</v>
      </c>
      <c r="K231" s="648">
        <f t="shared" si="35"/>
        <v>0.53301849665486</v>
      </c>
      <c r="L231" s="648">
        <f t="shared" si="36"/>
        <v>3.9824869372429</v>
      </c>
      <c r="M231" s="648">
        <f t="shared" si="37"/>
        <v>0</v>
      </c>
      <c r="N231" s="649">
        <f t="shared" si="38"/>
        <v>0</v>
      </c>
      <c r="O231" s="560">
        <f t="shared" si="39"/>
        <v>12.5407407407407</v>
      </c>
      <c r="P231">
        <f t="shared" si="40"/>
        <v>108</v>
      </c>
      <c r="Q231" s="661">
        <f t="shared" si="41"/>
        <v>0.0425029515938607</v>
      </c>
    </row>
    <row r="232" spans="1:17">
      <c r="A232" s="653">
        <v>45391</v>
      </c>
      <c r="B232" s="589">
        <v>1347.77</v>
      </c>
      <c r="C232" s="589">
        <v>258249</v>
      </c>
      <c r="D232" s="589">
        <v>2073</v>
      </c>
      <c r="E232" s="589">
        <v>4</v>
      </c>
      <c r="F232" s="589">
        <v>57489</v>
      </c>
      <c r="G232" s="589">
        <v>29</v>
      </c>
      <c r="H232" s="589">
        <v>64</v>
      </c>
      <c r="I232" s="589">
        <v>10</v>
      </c>
      <c r="J232" s="649">
        <f t="shared" ref="J232:J253" si="42">D232/C232</f>
        <v>0.00802713660072256</v>
      </c>
      <c r="K232" s="648">
        <f t="shared" si="35"/>
        <v>0.650154365653642</v>
      </c>
      <c r="L232" s="648">
        <f t="shared" si="36"/>
        <v>5.21887790465791</v>
      </c>
      <c r="M232" s="648">
        <f t="shared" si="37"/>
        <v>42.6549040266514</v>
      </c>
      <c r="N232" s="649">
        <f t="shared" si="38"/>
        <v>0.00192957067052581</v>
      </c>
      <c r="O232" s="560">
        <f t="shared" si="39"/>
        <v>14.4921505376344</v>
      </c>
      <c r="P232">
        <f t="shared" si="40"/>
        <v>93</v>
      </c>
      <c r="Q232" s="661">
        <f t="shared" si="41"/>
        <v>0.044862518089725</v>
      </c>
    </row>
    <row r="233" spans="1:17">
      <c r="A233" s="653">
        <v>45392</v>
      </c>
      <c r="B233" s="589">
        <v>2408.5</v>
      </c>
      <c r="C233" s="589">
        <v>285446</v>
      </c>
      <c r="D233" s="589">
        <v>7480</v>
      </c>
      <c r="E233" s="589">
        <v>1</v>
      </c>
      <c r="F233" s="589">
        <v>23028</v>
      </c>
      <c r="G233" s="589">
        <v>28</v>
      </c>
      <c r="H233" s="589">
        <v>109</v>
      </c>
      <c r="I233" s="589">
        <v>11</v>
      </c>
      <c r="J233" s="649">
        <f t="shared" si="42"/>
        <v>0.0262046061251515</v>
      </c>
      <c r="K233" s="648">
        <f t="shared" si="35"/>
        <v>0.321991978609626</v>
      </c>
      <c r="L233" s="648">
        <f t="shared" si="36"/>
        <v>8.43767297492345</v>
      </c>
      <c r="M233" s="648">
        <f t="shared" si="37"/>
        <v>9.56113763753373</v>
      </c>
      <c r="N233" s="649">
        <f t="shared" si="38"/>
        <v>0.000133689839572193</v>
      </c>
      <c r="O233" s="560">
        <f t="shared" si="39"/>
        <v>17.5802919708029</v>
      </c>
      <c r="P233">
        <f t="shared" si="40"/>
        <v>137</v>
      </c>
      <c r="Q233" s="661">
        <f t="shared" si="41"/>
        <v>0.0183155080213904</v>
      </c>
    </row>
    <row r="234" spans="1:17">
      <c r="A234" s="653">
        <v>45393</v>
      </c>
      <c r="B234" s="589">
        <v>1919.48</v>
      </c>
      <c r="C234" s="589">
        <v>386183</v>
      </c>
      <c r="D234" s="589">
        <v>2744</v>
      </c>
      <c r="E234" s="589">
        <v>1</v>
      </c>
      <c r="F234" s="589">
        <v>13767</v>
      </c>
      <c r="G234" s="589">
        <v>41</v>
      </c>
      <c r="H234" s="589">
        <v>104</v>
      </c>
      <c r="I234" s="589">
        <v>5</v>
      </c>
      <c r="J234" s="649">
        <f t="shared" si="42"/>
        <v>0.00710543964907829</v>
      </c>
      <c r="K234" s="648">
        <f t="shared" si="35"/>
        <v>0.699518950437318</v>
      </c>
      <c r="L234" s="648">
        <f t="shared" si="36"/>
        <v>4.97038968571895</v>
      </c>
      <c r="M234" s="648">
        <f t="shared" si="37"/>
        <v>7.1722549857253</v>
      </c>
      <c r="N234" s="649">
        <f t="shared" si="38"/>
        <v>0.000364431486880466</v>
      </c>
      <c r="O234" s="560">
        <f t="shared" si="39"/>
        <v>13.2377931034483</v>
      </c>
      <c r="P234">
        <f t="shared" si="40"/>
        <v>145</v>
      </c>
      <c r="Q234" s="661">
        <f t="shared" si="41"/>
        <v>0.0528425655976676</v>
      </c>
    </row>
    <row r="235" spans="1:17">
      <c r="A235" s="653">
        <v>45394</v>
      </c>
      <c r="B235" s="589">
        <v>1971.98</v>
      </c>
      <c r="C235" s="589">
        <v>654870</v>
      </c>
      <c r="D235" s="589">
        <v>3364</v>
      </c>
      <c r="E235" s="589">
        <v>0</v>
      </c>
      <c r="F235" s="589">
        <v>0</v>
      </c>
      <c r="G235" s="589">
        <v>39</v>
      </c>
      <c r="H235" s="589">
        <v>127</v>
      </c>
      <c r="I235" s="589">
        <v>20</v>
      </c>
      <c r="J235" s="649">
        <f t="shared" si="42"/>
        <v>0.00513689739948387</v>
      </c>
      <c r="K235" s="648">
        <f t="shared" si="35"/>
        <v>0.586200951248514</v>
      </c>
      <c r="L235" s="648">
        <f t="shared" si="36"/>
        <v>3.01125414204346</v>
      </c>
      <c r="M235" s="648">
        <f t="shared" si="37"/>
        <v>0</v>
      </c>
      <c r="N235" s="649">
        <f t="shared" si="38"/>
        <v>0</v>
      </c>
      <c r="O235" s="560">
        <f t="shared" si="39"/>
        <v>11.8793975903614</v>
      </c>
      <c r="P235">
        <f t="shared" si="40"/>
        <v>166</v>
      </c>
      <c r="Q235" s="661">
        <f t="shared" si="41"/>
        <v>0.049346016646849</v>
      </c>
    </row>
    <row r="236" spans="1:17">
      <c r="A236" s="653">
        <v>45395</v>
      </c>
      <c r="B236" s="589">
        <v>1971.6</v>
      </c>
      <c r="C236" s="589">
        <v>906061</v>
      </c>
      <c r="D236" s="589">
        <v>3623</v>
      </c>
      <c r="E236" s="589">
        <v>1</v>
      </c>
      <c r="F236" s="589">
        <v>22508</v>
      </c>
      <c r="G236" s="589">
        <v>31</v>
      </c>
      <c r="H236" s="589">
        <v>130</v>
      </c>
      <c r="I236" s="589">
        <v>16</v>
      </c>
      <c r="J236" s="649">
        <f t="shared" si="42"/>
        <v>0.00399862702400832</v>
      </c>
      <c r="K236" s="648">
        <f t="shared" si="35"/>
        <v>0.544189897874689</v>
      </c>
      <c r="L236" s="648">
        <f t="shared" si="36"/>
        <v>2.17601243183406</v>
      </c>
      <c r="M236" s="648">
        <f t="shared" si="37"/>
        <v>11.4161087441672</v>
      </c>
      <c r="N236" s="649">
        <f t="shared" si="38"/>
        <v>0.000276014352746343</v>
      </c>
      <c r="O236" s="560">
        <f t="shared" si="39"/>
        <v>12.2459627329193</v>
      </c>
      <c r="P236">
        <f t="shared" si="40"/>
        <v>161</v>
      </c>
      <c r="Q236" s="661">
        <f t="shared" si="41"/>
        <v>0.0444383107921612</v>
      </c>
    </row>
    <row r="237" spans="1:17">
      <c r="A237" s="653">
        <v>45396</v>
      </c>
      <c r="B237" s="589">
        <v>1929.23</v>
      </c>
      <c r="C237" s="589">
        <v>871545</v>
      </c>
      <c r="D237" s="589">
        <v>3714</v>
      </c>
      <c r="E237" s="589">
        <v>0</v>
      </c>
      <c r="F237" s="589">
        <v>0</v>
      </c>
      <c r="G237" s="589">
        <v>30</v>
      </c>
      <c r="H237" s="589">
        <v>136</v>
      </c>
      <c r="I237" s="589">
        <v>14</v>
      </c>
      <c r="J237" s="649">
        <f t="shared" si="42"/>
        <v>0.00426139786241674</v>
      </c>
      <c r="K237" s="648">
        <f t="shared" si="35"/>
        <v>0.51944803446419</v>
      </c>
      <c r="L237" s="648">
        <f t="shared" si="36"/>
        <v>2.21357474370228</v>
      </c>
      <c r="M237" s="648">
        <f t="shared" si="37"/>
        <v>0</v>
      </c>
      <c r="N237" s="649">
        <f t="shared" si="38"/>
        <v>0</v>
      </c>
      <c r="O237" s="560">
        <f t="shared" si="39"/>
        <v>11.6218674698795</v>
      </c>
      <c r="P237">
        <f t="shared" si="40"/>
        <v>166</v>
      </c>
      <c r="Q237" s="661">
        <f t="shared" si="41"/>
        <v>0.044695745826602</v>
      </c>
    </row>
    <row r="238" spans="1:17">
      <c r="A238" s="653">
        <v>45397</v>
      </c>
      <c r="B238" s="589">
        <v>2096.15</v>
      </c>
      <c r="C238" s="589">
        <v>900336</v>
      </c>
      <c r="D238" s="589">
        <v>9872</v>
      </c>
      <c r="E238" s="589">
        <v>1</v>
      </c>
      <c r="F238" s="589">
        <v>2308</v>
      </c>
      <c r="G238" s="589">
        <v>28</v>
      </c>
      <c r="H238" s="589">
        <v>105</v>
      </c>
      <c r="I238" s="589">
        <v>9</v>
      </c>
      <c r="J238" s="649">
        <f t="shared" si="42"/>
        <v>0.0109647953652858</v>
      </c>
      <c r="K238" s="648">
        <f t="shared" si="35"/>
        <v>0.212332860615883</v>
      </c>
      <c r="L238" s="648">
        <f t="shared" si="36"/>
        <v>2.32818636597892</v>
      </c>
      <c r="M238" s="648">
        <f t="shared" si="37"/>
        <v>1.10106624048851</v>
      </c>
      <c r="N238" s="649">
        <f t="shared" si="38"/>
        <v>0.00010129659643436</v>
      </c>
      <c r="O238" s="560">
        <f t="shared" si="39"/>
        <v>15.7605263157895</v>
      </c>
      <c r="P238">
        <f t="shared" si="40"/>
        <v>133</v>
      </c>
      <c r="Q238" s="661">
        <f t="shared" si="41"/>
        <v>0.0134724473257699</v>
      </c>
    </row>
    <row r="239" spans="1:17">
      <c r="A239" s="653">
        <v>45398</v>
      </c>
      <c r="B239" s="589">
        <v>1704.61</v>
      </c>
      <c r="C239" s="589">
        <v>846156</v>
      </c>
      <c r="D239" s="589">
        <v>3693</v>
      </c>
      <c r="E239" s="589">
        <v>0</v>
      </c>
      <c r="F239" s="589">
        <v>0</v>
      </c>
      <c r="G239" s="589">
        <v>31</v>
      </c>
      <c r="H239" s="589">
        <v>121</v>
      </c>
      <c r="I239" s="589">
        <v>14</v>
      </c>
      <c r="J239" s="649">
        <f t="shared" si="42"/>
        <v>0.00436444343596216</v>
      </c>
      <c r="K239" s="648">
        <f t="shared" si="35"/>
        <v>0.461578662334146</v>
      </c>
      <c r="L239" s="648">
        <f t="shared" si="36"/>
        <v>2.01453396300446</v>
      </c>
      <c r="M239" s="648">
        <f t="shared" si="37"/>
        <v>0</v>
      </c>
      <c r="N239" s="649">
        <f t="shared" si="38"/>
        <v>0</v>
      </c>
      <c r="O239" s="560">
        <f t="shared" si="39"/>
        <v>11.2145394736842</v>
      </c>
      <c r="P239">
        <f t="shared" si="40"/>
        <v>152</v>
      </c>
      <c r="Q239" s="661">
        <f t="shared" si="41"/>
        <v>0.041158949363661</v>
      </c>
    </row>
    <row r="240" spans="1:17">
      <c r="A240" s="653">
        <v>45399</v>
      </c>
      <c r="B240" s="589">
        <v>2679.25</v>
      </c>
      <c r="C240" s="589">
        <v>1021403</v>
      </c>
      <c r="D240" s="589">
        <v>21281</v>
      </c>
      <c r="E240" s="589">
        <v>2</v>
      </c>
      <c r="F240" s="589">
        <v>49822</v>
      </c>
      <c r="G240" s="589">
        <v>45</v>
      </c>
      <c r="H240" s="589">
        <v>145</v>
      </c>
      <c r="I240" s="589">
        <v>20</v>
      </c>
      <c r="J240" s="649">
        <f t="shared" si="42"/>
        <v>0.0208350670597208</v>
      </c>
      <c r="K240" s="648">
        <f t="shared" si="35"/>
        <v>0.125898688971383</v>
      </c>
      <c r="L240" s="648">
        <f t="shared" si="36"/>
        <v>2.62310762744969</v>
      </c>
      <c r="M240" s="648">
        <f t="shared" si="37"/>
        <v>18.5955024727069</v>
      </c>
      <c r="N240" s="649">
        <f t="shared" si="38"/>
        <v>9.39805460269724e-5</v>
      </c>
      <c r="O240" s="560">
        <f t="shared" si="39"/>
        <v>14.1013157894737</v>
      </c>
      <c r="P240">
        <f t="shared" si="40"/>
        <v>190</v>
      </c>
      <c r="Q240" s="661">
        <f t="shared" si="41"/>
        <v>0.00892815187256238</v>
      </c>
    </row>
    <row r="241" spans="1:17">
      <c r="A241" s="653">
        <v>45400</v>
      </c>
      <c r="B241" s="589">
        <v>2001.46</v>
      </c>
      <c r="C241" s="589">
        <v>848357</v>
      </c>
      <c r="D241" s="589">
        <v>3676</v>
      </c>
      <c r="E241" s="589">
        <v>0</v>
      </c>
      <c r="F241" s="589">
        <v>0</v>
      </c>
      <c r="G241" s="589">
        <v>35</v>
      </c>
      <c r="H241" s="589">
        <v>124</v>
      </c>
      <c r="I241" s="589">
        <v>12</v>
      </c>
      <c r="J241" s="649">
        <f t="shared" si="42"/>
        <v>0.00433308147395495</v>
      </c>
      <c r="K241" s="648">
        <f t="shared" si="35"/>
        <v>0.544466811751904</v>
      </c>
      <c r="L241" s="648">
        <f t="shared" si="36"/>
        <v>2.35921905518549</v>
      </c>
      <c r="M241" s="648">
        <f t="shared" si="37"/>
        <v>0</v>
      </c>
      <c r="N241" s="649">
        <f t="shared" si="38"/>
        <v>0</v>
      </c>
      <c r="O241" s="560">
        <f t="shared" si="39"/>
        <v>12.5877987421384</v>
      </c>
      <c r="P241">
        <f t="shared" si="40"/>
        <v>159</v>
      </c>
      <c r="Q241" s="661">
        <f t="shared" si="41"/>
        <v>0.0432535364526659</v>
      </c>
    </row>
    <row r="242" spans="1:17">
      <c r="A242" s="653">
        <v>45401</v>
      </c>
      <c r="B242" s="589">
        <v>2021.98</v>
      </c>
      <c r="C242" s="589">
        <v>899182</v>
      </c>
      <c r="D242" s="589">
        <v>4379</v>
      </c>
      <c r="E242" s="589">
        <v>1</v>
      </c>
      <c r="F242" s="589">
        <v>23400</v>
      </c>
      <c r="G242" s="589">
        <v>38</v>
      </c>
      <c r="H242" s="589">
        <v>108</v>
      </c>
      <c r="I242" s="589">
        <v>11</v>
      </c>
      <c r="J242" s="649">
        <f t="shared" si="42"/>
        <v>0.00486998182792805</v>
      </c>
      <c r="K242" s="648">
        <f t="shared" si="35"/>
        <v>0.461744690568623</v>
      </c>
      <c r="L242" s="648">
        <f t="shared" si="36"/>
        <v>2.24868825221145</v>
      </c>
      <c r="M242" s="648">
        <f t="shared" si="37"/>
        <v>11.5728147657247</v>
      </c>
      <c r="N242" s="649">
        <f t="shared" si="38"/>
        <v>0.000228362639872117</v>
      </c>
      <c r="O242" s="560">
        <f t="shared" si="39"/>
        <v>13.8491780821918</v>
      </c>
      <c r="P242">
        <f t="shared" si="40"/>
        <v>146</v>
      </c>
      <c r="Q242" s="661">
        <f t="shared" si="41"/>
        <v>0.0333409454213291</v>
      </c>
    </row>
    <row r="243" spans="1:17">
      <c r="A243" s="653">
        <v>45402</v>
      </c>
      <c r="B243" s="589">
        <v>2042.6</v>
      </c>
      <c r="C243" s="589">
        <v>795738</v>
      </c>
      <c r="D243" s="589">
        <v>3933</v>
      </c>
      <c r="E243" s="589">
        <v>0</v>
      </c>
      <c r="F243" s="589">
        <v>0</v>
      </c>
      <c r="G243" s="589">
        <v>33</v>
      </c>
      <c r="H243" s="589">
        <v>158</v>
      </c>
      <c r="I243" s="589">
        <v>13</v>
      </c>
      <c r="J243" s="649">
        <f t="shared" si="42"/>
        <v>0.00494258160349261</v>
      </c>
      <c r="K243" s="648">
        <f t="shared" si="35"/>
        <v>0.519349097381134</v>
      </c>
      <c r="L243" s="648">
        <f t="shared" si="36"/>
        <v>2.56692529450648</v>
      </c>
      <c r="M243" s="648">
        <f t="shared" si="37"/>
        <v>0</v>
      </c>
      <c r="N243" s="649">
        <f t="shared" si="38"/>
        <v>0</v>
      </c>
      <c r="O243" s="560">
        <f t="shared" si="39"/>
        <v>10.6942408376963</v>
      </c>
      <c r="P243">
        <f t="shared" si="40"/>
        <v>191</v>
      </c>
      <c r="Q243" s="661">
        <f t="shared" si="41"/>
        <v>0.0485634375794559</v>
      </c>
    </row>
    <row r="244" spans="1:17">
      <c r="A244" s="653">
        <v>45403</v>
      </c>
      <c r="B244" s="589">
        <v>2001.08</v>
      </c>
      <c r="C244" s="589">
        <v>668776</v>
      </c>
      <c r="D244" s="589">
        <v>3346</v>
      </c>
      <c r="E244" s="589">
        <v>5</v>
      </c>
      <c r="F244" s="589">
        <v>72631</v>
      </c>
      <c r="G244" s="589">
        <v>40</v>
      </c>
      <c r="H244" s="589">
        <v>155</v>
      </c>
      <c r="I244" s="589">
        <v>8</v>
      </c>
      <c r="J244" s="649">
        <f t="shared" si="42"/>
        <v>0.00500316997021424</v>
      </c>
      <c r="K244" s="648">
        <f t="shared" si="35"/>
        <v>0.598051404662283</v>
      </c>
      <c r="L244" s="648">
        <f t="shared" si="36"/>
        <v>2.99215282845078</v>
      </c>
      <c r="M244" s="648">
        <f t="shared" si="37"/>
        <v>36.2959002138845</v>
      </c>
      <c r="N244" s="649">
        <f t="shared" si="38"/>
        <v>0.00149432157800359</v>
      </c>
      <c r="O244" s="560">
        <f t="shared" si="39"/>
        <v>10.2619487179487</v>
      </c>
      <c r="P244">
        <f t="shared" si="40"/>
        <v>195</v>
      </c>
      <c r="Q244" s="661">
        <f t="shared" si="41"/>
        <v>0.0582785415421399</v>
      </c>
    </row>
    <row r="245" spans="1:17">
      <c r="A245" s="653">
        <v>45404</v>
      </c>
      <c r="B245" s="589">
        <v>2764.74</v>
      </c>
      <c r="C245" s="589">
        <v>687894</v>
      </c>
      <c r="D245" s="589">
        <v>21244</v>
      </c>
      <c r="E245" s="589">
        <v>4</v>
      </c>
      <c r="F245" s="589">
        <v>9000</v>
      </c>
      <c r="G245" s="589">
        <v>83</v>
      </c>
      <c r="H245" s="589">
        <v>137</v>
      </c>
      <c r="I245" s="589">
        <v>14</v>
      </c>
      <c r="J245" s="649">
        <f t="shared" si="42"/>
        <v>0.0308826650617682</v>
      </c>
      <c r="K245" s="648">
        <f t="shared" si="35"/>
        <v>0.130142157785728</v>
      </c>
      <c r="L245" s="648">
        <f t="shared" si="36"/>
        <v>4.01913666931242</v>
      </c>
      <c r="M245" s="648">
        <f t="shared" si="37"/>
        <v>3.25527897740836</v>
      </c>
      <c r="N245" s="649">
        <f t="shared" si="38"/>
        <v>0.00018828845791753</v>
      </c>
      <c r="O245" s="560">
        <f t="shared" si="39"/>
        <v>12.567</v>
      </c>
      <c r="P245">
        <f t="shared" si="40"/>
        <v>220</v>
      </c>
      <c r="Q245" s="661">
        <f t="shared" si="41"/>
        <v>0.0103558651854641</v>
      </c>
    </row>
    <row r="246" spans="1:17">
      <c r="A246" s="653">
        <v>45405</v>
      </c>
      <c r="B246" s="589">
        <v>2004.9</v>
      </c>
      <c r="C246" s="589">
        <v>661377</v>
      </c>
      <c r="D246" s="589">
        <v>3593</v>
      </c>
      <c r="E246" s="589">
        <v>0</v>
      </c>
      <c r="F246" s="589">
        <v>0</v>
      </c>
      <c r="G246" s="589">
        <v>40</v>
      </c>
      <c r="H246" s="589">
        <v>130</v>
      </c>
      <c r="I246" s="589">
        <v>13</v>
      </c>
      <c r="J246" s="649">
        <f t="shared" si="42"/>
        <v>0.00543260500440747</v>
      </c>
      <c r="K246" s="648">
        <f t="shared" si="35"/>
        <v>0.558001669913721</v>
      </c>
      <c r="L246" s="648">
        <f t="shared" si="36"/>
        <v>3.03140266444101</v>
      </c>
      <c r="M246" s="648">
        <f t="shared" si="37"/>
        <v>0</v>
      </c>
      <c r="N246" s="649">
        <f t="shared" si="38"/>
        <v>0</v>
      </c>
      <c r="O246" s="560">
        <f t="shared" si="39"/>
        <v>11.7935294117647</v>
      </c>
      <c r="P246">
        <f t="shared" si="40"/>
        <v>170</v>
      </c>
      <c r="Q246" s="661">
        <f t="shared" si="41"/>
        <v>0.0473142220985249</v>
      </c>
    </row>
    <row r="247" spans="1:17">
      <c r="A247" s="653">
        <v>45406</v>
      </c>
      <c r="B247" s="589">
        <v>2417.58</v>
      </c>
      <c r="C247" s="589">
        <v>677786</v>
      </c>
      <c r="D247" s="589">
        <v>13424</v>
      </c>
      <c r="E247" s="589">
        <v>0</v>
      </c>
      <c r="F247" s="589">
        <v>0</v>
      </c>
      <c r="G247" s="589">
        <v>37</v>
      </c>
      <c r="H247" s="589">
        <v>117</v>
      </c>
      <c r="I247" s="589">
        <v>23</v>
      </c>
      <c r="J247" s="649">
        <f t="shared" si="42"/>
        <v>0.019805661373944</v>
      </c>
      <c r="K247" s="648">
        <f t="shared" si="35"/>
        <v>0.180093861740167</v>
      </c>
      <c r="L247" s="648">
        <f t="shared" si="36"/>
        <v>3.56687804115163</v>
      </c>
      <c r="M247" s="648">
        <f t="shared" si="37"/>
        <v>0</v>
      </c>
      <c r="N247" s="649">
        <f t="shared" si="38"/>
        <v>0</v>
      </c>
      <c r="O247" s="560">
        <f t="shared" si="39"/>
        <v>15.6985714285714</v>
      </c>
      <c r="P247">
        <f t="shared" si="40"/>
        <v>154</v>
      </c>
      <c r="Q247" s="661">
        <f t="shared" si="41"/>
        <v>0.0114719904648391</v>
      </c>
    </row>
    <row r="248" spans="1:17">
      <c r="A248" s="653">
        <v>45407</v>
      </c>
      <c r="B248" s="589">
        <v>2026.43</v>
      </c>
      <c r="C248" s="589">
        <v>756855</v>
      </c>
      <c r="D248" s="589">
        <v>3847</v>
      </c>
      <c r="E248" s="589">
        <v>0</v>
      </c>
      <c r="F248" s="589">
        <v>0</v>
      </c>
      <c r="G248" s="589">
        <v>30</v>
      </c>
      <c r="H248" s="589">
        <v>139</v>
      </c>
      <c r="I248" s="589">
        <v>15</v>
      </c>
      <c r="J248" s="649">
        <f t="shared" si="42"/>
        <v>0.00508287584808186</v>
      </c>
      <c r="K248" s="648">
        <f t="shared" si="35"/>
        <v>0.526755913698986</v>
      </c>
      <c r="L248" s="648">
        <f t="shared" si="36"/>
        <v>2.67743491157487</v>
      </c>
      <c r="M248" s="648">
        <f t="shared" si="37"/>
        <v>0</v>
      </c>
      <c r="N248" s="649">
        <f t="shared" si="38"/>
        <v>0</v>
      </c>
      <c r="O248" s="560">
        <f t="shared" si="39"/>
        <v>11.9907100591716</v>
      </c>
      <c r="P248">
        <f t="shared" si="40"/>
        <v>169</v>
      </c>
      <c r="Q248" s="661">
        <f t="shared" si="41"/>
        <v>0.0439303353262282</v>
      </c>
    </row>
    <row r="249" spans="1:17">
      <c r="A249" s="653">
        <v>45408</v>
      </c>
      <c r="B249" s="589">
        <v>7661.35</v>
      </c>
      <c r="C249" s="589">
        <v>894431</v>
      </c>
      <c r="D249" s="589">
        <v>66917</v>
      </c>
      <c r="E249" s="589">
        <v>1</v>
      </c>
      <c r="F249" s="589">
        <v>27140</v>
      </c>
      <c r="G249" s="589">
        <v>57</v>
      </c>
      <c r="H249" s="589">
        <v>150</v>
      </c>
      <c r="I249" s="589">
        <v>23</v>
      </c>
      <c r="J249" s="649">
        <f t="shared" si="42"/>
        <v>0.0748151618179602</v>
      </c>
      <c r="K249" s="648">
        <f t="shared" si="35"/>
        <v>0.114490338777889</v>
      </c>
      <c r="L249" s="648">
        <f t="shared" si="36"/>
        <v>8.56561322226086</v>
      </c>
      <c r="M249" s="648">
        <f t="shared" si="37"/>
        <v>3.54245661665372</v>
      </c>
      <c r="N249" s="649">
        <f t="shared" si="38"/>
        <v>1.49438857091621e-5</v>
      </c>
      <c r="O249" s="560">
        <f t="shared" si="39"/>
        <v>37.0113526570048</v>
      </c>
      <c r="P249">
        <f t="shared" si="40"/>
        <v>207</v>
      </c>
      <c r="Q249" s="661">
        <f t="shared" si="41"/>
        <v>0.00309338434179655</v>
      </c>
    </row>
    <row r="250" spans="1:17">
      <c r="A250" s="653">
        <v>45409</v>
      </c>
      <c r="B250" s="589">
        <v>2009.47</v>
      </c>
      <c r="C250" s="589">
        <v>812918</v>
      </c>
      <c r="D250" s="589">
        <v>3743</v>
      </c>
      <c r="E250" s="589">
        <v>0</v>
      </c>
      <c r="F250" s="589">
        <v>0</v>
      </c>
      <c r="G250" s="589">
        <v>45</v>
      </c>
      <c r="H250" s="589">
        <v>170</v>
      </c>
      <c r="I250" s="589">
        <v>19</v>
      </c>
      <c r="J250" s="649">
        <f t="shared" si="42"/>
        <v>0.0046044004438332</v>
      </c>
      <c r="K250" s="648">
        <f t="shared" si="35"/>
        <v>0.536860806839434</v>
      </c>
      <c r="L250" s="648">
        <f t="shared" si="36"/>
        <v>2.47192213728814</v>
      </c>
      <c r="M250" s="648">
        <f t="shared" si="37"/>
        <v>0</v>
      </c>
      <c r="N250" s="649">
        <f t="shared" si="38"/>
        <v>0</v>
      </c>
      <c r="O250" s="560">
        <f t="shared" si="39"/>
        <v>9.34637209302326</v>
      </c>
      <c r="P250">
        <f t="shared" si="40"/>
        <v>215</v>
      </c>
      <c r="Q250" s="661">
        <f t="shared" si="41"/>
        <v>0.0574405557039808</v>
      </c>
    </row>
    <row r="251" spans="1:17">
      <c r="A251" s="653">
        <v>45410</v>
      </c>
      <c r="B251" s="589">
        <v>1979.11</v>
      </c>
      <c r="C251" s="589">
        <v>894456</v>
      </c>
      <c r="D251" s="589">
        <v>4025</v>
      </c>
      <c r="E251" s="589">
        <v>1</v>
      </c>
      <c r="F251" s="589">
        <v>18780</v>
      </c>
      <c r="G251" s="589">
        <v>56</v>
      </c>
      <c r="H251" s="589">
        <v>141</v>
      </c>
      <c r="I251" s="589">
        <v>14</v>
      </c>
      <c r="J251" s="649">
        <f t="shared" si="42"/>
        <v>0.00449994186410511</v>
      </c>
      <c r="K251" s="648">
        <f t="shared" si="35"/>
        <v>0.491704347826087</v>
      </c>
      <c r="L251" s="648">
        <f t="shared" si="36"/>
        <v>2.21264097954511</v>
      </c>
      <c r="M251" s="648">
        <f t="shared" si="37"/>
        <v>9.48911379357388</v>
      </c>
      <c r="N251" s="649">
        <f t="shared" si="38"/>
        <v>0.000248447204968944</v>
      </c>
      <c r="O251" s="560">
        <f t="shared" si="39"/>
        <v>10.0462436548223</v>
      </c>
      <c r="P251">
        <f t="shared" si="40"/>
        <v>197</v>
      </c>
      <c r="Q251" s="661">
        <f t="shared" si="41"/>
        <v>0.048944099378882</v>
      </c>
    </row>
    <row r="252" spans="1:17">
      <c r="A252" s="653">
        <v>45411</v>
      </c>
      <c r="B252" s="589">
        <v>1997.75</v>
      </c>
      <c r="C252" s="589">
        <v>823090</v>
      </c>
      <c r="D252" s="589">
        <v>3666</v>
      </c>
      <c r="E252" s="589">
        <v>1</v>
      </c>
      <c r="F252" s="589">
        <v>30196</v>
      </c>
      <c r="G252" s="589">
        <v>31</v>
      </c>
      <c r="H252" s="589">
        <v>124</v>
      </c>
      <c r="I252" s="589">
        <v>15</v>
      </c>
      <c r="J252" s="649">
        <f t="shared" si="42"/>
        <v>0.00445394792793012</v>
      </c>
      <c r="K252" s="648">
        <f t="shared" si="35"/>
        <v>0.544939989088925</v>
      </c>
      <c r="L252" s="648">
        <f t="shared" si="36"/>
        <v>2.42713433524888</v>
      </c>
      <c r="M252" s="648">
        <f t="shared" si="37"/>
        <v>15.1150043799274</v>
      </c>
      <c r="N252" s="649">
        <f t="shared" si="38"/>
        <v>0.000272776868521549</v>
      </c>
      <c r="O252" s="560">
        <f t="shared" si="39"/>
        <v>12.8887096774194</v>
      </c>
      <c r="P252">
        <f t="shared" si="40"/>
        <v>155</v>
      </c>
      <c r="Q252" s="661">
        <f t="shared" si="41"/>
        <v>0.0422804146208402</v>
      </c>
    </row>
    <row r="253" spans="1:17">
      <c r="A253" s="653">
        <v>45412</v>
      </c>
      <c r="B253" s="589">
        <v>2016.62</v>
      </c>
      <c r="C253" s="589">
        <v>814715</v>
      </c>
      <c r="D253" s="589">
        <v>3571</v>
      </c>
      <c r="E253" s="589">
        <v>1</v>
      </c>
      <c r="F253" s="589">
        <v>23400</v>
      </c>
      <c r="G253" s="589">
        <v>30</v>
      </c>
      <c r="H253" s="589">
        <v>94</v>
      </c>
      <c r="I253" s="589">
        <v>11</v>
      </c>
      <c r="J253" s="649">
        <f t="shared" si="42"/>
        <v>0.00438312784225158</v>
      </c>
      <c r="K253" s="648">
        <f t="shared" si="35"/>
        <v>0.564721366563988</v>
      </c>
      <c r="L253" s="648">
        <f t="shared" si="36"/>
        <v>2.47524594490098</v>
      </c>
      <c r="M253" s="648">
        <f t="shared" si="37"/>
        <v>11.6035742975871</v>
      </c>
      <c r="N253" s="649">
        <f t="shared" si="38"/>
        <v>0.000280033604032484</v>
      </c>
      <c r="O253" s="560">
        <f t="shared" si="39"/>
        <v>16.263064516129</v>
      </c>
      <c r="P253">
        <f t="shared" si="40"/>
        <v>124</v>
      </c>
      <c r="Q253" s="661">
        <f t="shared" si="41"/>
        <v>0.034724166900028</v>
      </c>
    </row>
    <row r="254" spans="1:17">
      <c r="A254" s="653">
        <v>45413</v>
      </c>
      <c r="B254" s="589">
        <v>2038.61</v>
      </c>
      <c r="C254" s="589">
        <v>835851</v>
      </c>
      <c r="D254" s="589">
        <v>3550</v>
      </c>
      <c r="E254" s="589">
        <v>0</v>
      </c>
      <c r="F254" s="589">
        <v>0</v>
      </c>
      <c r="G254" s="589">
        <v>60</v>
      </c>
      <c r="H254" s="589">
        <v>146</v>
      </c>
      <c r="I254" s="589">
        <v>19</v>
      </c>
      <c r="J254" s="649">
        <f t="shared" ref="J254:J263" si="43">D254/C254</f>
        <v>0.00424716845466477</v>
      </c>
      <c r="K254" s="648">
        <f t="shared" ref="K254:K263" si="44">B254/D254</f>
        <v>0.574256338028169</v>
      </c>
      <c r="L254" s="648">
        <f t="shared" ref="L254:L263" si="45">B254/C254*1000</f>
        <v>2.43896340376455</v>
      </c>
      <c r="M254" s="648">
        <f t="shared" ref="M254:M263" si="46">F254/B254</f>
        <v>0</v>
      </c>
      <c r="N254" s="649">
        <f t="shared" ref="N254:N263" si="47">E254/D254</f>
        <v>0</v>
      </c>
      <c r="O254" s="560">
        <f t="shared" ref="O254:O263" si="48">B254/(G254+H254)</f>
        <v>9.89616504854369</v>
      </c>
      <c r="P254">
        <f t="shared" ref="P254:P263" si="49">G254+H254</f>
        <v>206</v>
      </c>
      <c r="Q254" s="661">
        <f t="shared" ref="Q254:Q263" si="50">P254/D254</f>
        <v>0.0580281690140845</v>
      </c>
    </row>
    <row r="255" spans="1:17">
      <c r="A255" s="653">
        <v>45414</v>
      </c>
      <c r="B255" s="589">
        <v>2043.83</v>
      </c>
      <c r="C255" s="589">
        <v>789269</v>
      </c>
      <c r="D255" s="589">
        <v>3772</v>
      </c>
      <c r="E255" s="589">
        <v>0</v>
      </c>
      <c r="F255" s="589">
        <v>0</v>
      </c>
      <c r="G255" s="589">
        <v>30</v>
      </c>
      <c r="H255" s="589">
        <v>171</v>
      </c>
      <c r="I255" s="589">
        <v>18</v>
      </c>
      <c r="J255" s="649">
        <f t="shared" si="43"/>
        <v>0.0047791057294788</v>
      </c>
      <c r="K255" s="648">
        <f t="shared" si="44"/>
        <v>0.541842523860021</v>
      </c>
      <c r="L255" s="648">
        <f t="shared" si="45"/>
        <v>2.58952271025468</v>
      </c>
      <c r="M255" s="648">
        <f t="shared" si="46"/>
        <v>0</v>
      </c>
      <c r="N255" s="649">
        <f t="shared" si="47"/>
        <v>0</v>
      </c>
      <c r="O255" s="560">
        <f t="shared" si="48"/>
        <v>10.1683084577114</v>
      </c>
      <c r="P255">
        <f t="shared" si="49"/>
        <v>201</v>
      </c>
      <c r="Q255" s="661">
        <f t="shared" si="50"/>
        <v>0.053287380699894</v>
      </c>
    </row>
    <row r="256" spans="1:17">
      <c r="A256" s="653">
        <v>45415</v>
      </c>
      <c r="B256" s="589">
        <v>2008.19</v>
      </c>
      <c r="C256" s="589">
        <v>836079</v>
      </c>
      <c r="D256" s="589">
        <v>3820</v>
      </c>
      <c r="E256" s="589">
        <v>0</v>
      </c>
      <c r="F256" s="589">
        <v>0</v>
      </c>
      <c r="G256" s="589">
        <v>22</v>
      </c>
      <c r="H256" s="589">
        <v>157</v>
      </c>
      <c r="I256" s="589">
        <v>12</v>
      </c>
      <c r="J256" s="649">
        <f t="shared" si="43"/>
        <v>0.00456894623594182</v>
      </c>
      <c r="K256" s="648">
        <f t="shared" si="44"/>
        <v>0.525704188481675</v>
      </c>
      <c r="L256" s="648">
        <f t="shared" si="45"/>
        <v>2.4019141731822</v>
      </c>
      <c r="M256" s="648">
        <f t="shared" si="46"/>
        <v>0</v>
      </c>
      <c r="N256" s="649">
        <f t="shared" si="47"/>
        <v>0</v>
      </c>
      <c r="O256" s="560">
        <f t="shared" si="48"/>
        <v>11.218938547486</v>
      </c>
      <c r="P256">
        <f t="shared" si="49"/>
        <v>179</v>
      </c>
      <c r="Q256" s="661">
        <f t="shared" si="50"/>
        <v>0.0468586387434555</v>
      </c>
    </row>
    <row r="257" spans="1:17">
      <c r="A257" s="653">
        <v>45416</v>
      </c>
      <c r="B257" s="589">
        <v>2048.11</v>
      </c>
      <c r="C257" s="589">
        <v>1139522</v>
      </c>
      <c r="D257" s="589">
        <v>4796</v>
      </c>
      <c r="E257" s="589">
        <v>0</v>
      </c>
      <c r="F257" s="589">
        <v>0</v>
      </c>
      <c r="G257" s="589">
        <v>39</v>
      </c>
      <c r="H257" s="589">
        <v>178</v>
      </c>
      <c r="I257" s="589">
        <v>18</v>
      </c>
      <c r="J257" s="649">
        <f t="shared" si="43"/>
        <v>0.00420878227888536</v>
      </c>
      <c r="K257" s="648">
        <f t="shared" si="44"/>
        <v>0.427045454545455</v>
      </c>
      <c r="L257" s="648">
        <f t="shared" si="45"/>
        <v>1.79734134136945</v>
      </c>
      <c r="M257" s="648">
        <f t="shared" si="46"/>
        <v>0</v>
      </c>
      <c r="N257" s="649">
        <f t="shared" si="47"/>
        <v>0</v>
      </c>
      <c r="O257" s="560">
        <f t="shared" si="48"/>
        <v>9.43829493087558</v>
      </c>
      <c r="P257">
        <f t="shared" si="49"/>
        <v>217</v>
      </c>
      <c r="Q257" s="661">
        <f t="shared" si="50"/>
        <v>0.0452460383653044</v>
      </c>
    </row>
    <row r="258" spans="1:17">
      <c r="A258" s="653">
        <v>45417</v>
      </c>
      <c r="B258" s="589">
        <v>2006.1</v>
      </c>
      <c r="C258" s="589">
        <v>986088</v>
      </c>
      <c r="D258" s="589">
        <v>4166</v>
      </c>
      <c r="E258" s="589">
        <v>0</v>
      </c>
      <c r="F258" s="589">
        <v>0</v>
      </c>
      <c r="G258" s="589">
        <v>51</v>
      </c>
      <c r="H258" s="589">
        <v>203</v>
      </c>
      <c r="I258" s="589">
        <v>13</v>
      </c>
      <c r="J258" s="649">
        <f t="shared" si="43"/>
        <v>0.00422477507078476</v>
      </c>
      <c r="K258" s="648">
        <f t="shared" si="44"/>
        <v>0.481541046567451</v>
      </c>
      <c r="L258" s="648">
        <f t="shared" si="45"/>
        <v>2.03440260909777</v>
      </c>
      <c r="M258" s="648">
        <f t="shared" si="46"/>
        <v>0</v>
      </c>
      <c r="N258" s="649">
        <f t="shared" si="47"/>
        <v>0</v>
      </c>
      <c r="O258" s="560">
        <f t="shared" si="48"/>
        <v>7.89803149606299</v>
      </c>
      <c r="P258">
        <f t="shared" si="49"/>
        <v>254</v>
      </c>
      <c r="Q258" s="661">
        <f t="shared" si="50"/>
        <v>0.0609697551608257</v>
      </c>
    </row>
    <row r="259" spans="1:17">
      <c r="A259" s="653">
        <v>45418</v>
      </c>
      <c r="B259" s="589">
        <v>2468.55</v>
      </c>
      <c r="C259" s="589">
        <v>1025964</v>
      </c>
      <c r="D259" s="589">
        <v>9294</v>
      </c>
      <c r="E259" s="589">
        <v>1</v>
      </c>
      <c r="F259" s="589">
        <v>9798</v>
      </c>
      <c r="G259" s="589">
        <v>65</v>
      </c>
      <c r="H259" s="589">
        <v>152</v>
      </c>
      <c r="I259" s="589">
        <v>11</v>
      </c>
      <c r="J259" s="649">
        <f t="shared" si="43"/>
        <v>0.00905879738470356</v>
      </c>
      <c r="K259" s="648">
        <f t="shared" si="44"/>
        <v>0.265606843124597</v>
      </c>
      <c r="L259" s="648">
        <f t="shared" si="45"/>
        <v>2.40607857585646</v>
      </c>
      <c r="M259" s="648">
        <f t="shared" si="46"/>
        <v>3.96913167649025</v>
      </c>
      <c r="N259" s="649">
        <f t="shared" si="47"/>
        <v>0.000107596298687325</v>
      </c>
      <c r="O259" s="560">
        <f t="shared" si="48"/>
        <v>11.3758064516129</v>
      </c>
      <c r="P259">
        <f t="shared" si="49"/>
        <v>217</v>
      </c>
      <c r="Q259" s="661">
        <f t="shared" si="50"/>
        <v>0.0233483968151496</v>
      </c>
    </row>
    <row r="260" spans="1:17">
      <c r="A260" s="653">
        <v>45419</v>
      </c>
      <c r="B260" s="589">
        <v>2016.67</v>
      </c>
      <c r="C260" s="589">
        <v>764901</v>
      </c>
      <c r="D260" s="589">
        <v>3599</v>
      </c>
      <c r="E260" s="589">
        <v>3</v>
      </c>
      <c r="F260" s="589">
        <v>51510</v>
      </c>
      <c r="G260" s="589">
        <v>56</v>
      </c>
      <c r="H260" s="589">
        <v>165</v>
      </c>
      <c r="I260" s="589">
        <v>15</v>
      </c>
      <c r="J260" s="649">
        <f t="shared" si="43"/>
        <v>0.0047051840695724</v>
      </c>
      <c r="K260" s="648">
        <f t="shared" si="44"/>
        <v>0.560341761600445</v>
      </c>
      <c r="L260" s="648">
        <f t="shared" si="45"/>
        <v>2.63651113019855</v>
      </c>
      <c r="M260" s="648">
        <f t="shared" si="46"/>
        <v>25.5421065419727</v>
      </c>
      <c r="N260" s="649">
        <f t="shared" si="47"/>
        <v>0.000833564879133093</v>
      </c>
      <c r="O260" s="560">
        <f t="shared" si="48"/>
        <v>9.1252036199095</v>
      </c>
      <c r="P260">
        <f t="shared" si="49"/>
        <v>221</v>
      </c>
      <c r="Q260" s="661">
        <f t="shared" si="50"/>
        <v>0.0614059460961378</v>
      </c>
    </row>
    <row r="261" spans="1:17">
      <c r="A261" s="653">
        <v>45420</v>
      </c>
      <c r="B261" s="589">
        <v>2494.6</v>
      </c>
      <c r="C261" s="589">
        <v>886334</v>
      </c>
      <c r="D261" s="589">
        <v>17967</v>
      </c>
      <c r="E261" s="589">
        <v>4</v>
      </c>
      <c r="F261" s="589">
        <v>50025</v>
      </c>
      <c r="G261" s="589">
        <v>31</v>
      </c>
      <c r="H261" s="589">
        <v>169</v>
      </c>
      <c r="I261" s="589">
        <v>6</v>
      </c>
      <c r="J261" s="649">
        <f t="shared" si="43"/>
        <v>0.0202711393221968</v>
      </c>
      <c r="K261" s="648">
        <f t="shared" si="44"/>
        <v>0.138843435186731</v>
      </c>
      <c r="L261" s="648">
        <f t="shared" si="45"/>
        <v>2.81451461864263</v>
      </c>
      <c r="M261" s="648">
        <f t="shared" si="46"/>
        <v>20.0533151607472</v>
      </c>
      <c r="N261" s="649">
        <f t="shared" si="47"/>
        <v>0.000222630377915067</v>
      </c>
      <c r="O261" s="560">
        <f t="shared" si="48"/>
        <v>12.473</v>
      </c>
      <c r="P261">
        <f t="shared" si="49"/>
        <v>200</v>
      </c>
      <c r="Q261" s="661">
        <f t="shared" si="50"/>
        <v>0.0111315188957533</v>
      </c>
    </row>
    <row r="262" spans="1:17">
      <c r="A262" s="653">
        <v>45421</v>
      </c>
      <c r="B262" s="589">
        <v>2490.21</v>
      </c>
      <c r="C262" s="589">
        <v>1079620</v>
      </c>
      <c r="D262" s="589">
        <v>23860</v>
      </c>
      <c r="E262" s="589">
        <v>4</v>
      </c>
      <c r="F262" s="589">
        <v>38083</v>
      </c>
      <c r="G262" s="589">
        <v>43</v>
      </c>
      <c r="H262" s="589">
        <v>147</v>
      </c>
      <c r="I262" s="589">
        <v>13</v>
      </c>
      <c r="J262" s="649">
        <f t="shared" si="43"/>
        <v>0.0221003686482281</v>
      </c>
      <c r="K262" s="648">
        <f t="shared" si="44"/>
        <v>0.104367560771165</v>
      </c>
      <c r="L262" s="648">
        <f t="shared" si="45"/>
        <v>2.3065615679591</v>
      </c>
      <c r="M262" s="648">
        <f t="shared" si="46"/>
        <v>15.2930877315568</v>
      </c>
      <c r="N262" s="649">
        <f t="shared" si="47"/>
        <v>0.000167644593461861</v>
      </c>
      <c r="O262" s="560">
        <f t="shared" si="48"/>
        <v>13.1063684210526</v>
      </c>
      <c r="P262">
        <f t="shared" si="49"/>
        <v>190</v>
      </c>
      <c r="Q262" s="661">
        <f t="shared" si="50"/>
        <v>0.00796311818943839</v>
      </c>
    </row>
    <row r="263" spans="1:17">
      <c r="A263" s="653">
        <v>45422</v>
      </c>
      <c r="B263" s="589">
        <v>2537.81</v>
      </c>
      <c r="C263" s="589">
        <v>882748</v>
      </c>
      <c r="D263" s="589">
        <v>15944</v>
      </c>
      <c r="E263" s="589">
        <v>1</v>
      </c>
      <c r="F263" s="589">
        <v>11997</v>
      </c>
      <c r="G263" s="589">
        <v>39</v>
      </c>
      <c r="H263" s="589">
        <v>165</v>
      </c>
      <c r="I263" s="589">
        <v>6</v>
      </c>
      <c r="J263" s="649">
        <f t="shared" si="43"/>
        <v>0.0180617798057883</v>
      </c>
      <c r="K263" s="648">
        <f t="shared" si="44"/>
        <v>0.159170220772704</v>
      </c>
      <c r="L263" s="648">
        <f t="shared" si="45"/>
        <v>2.8748974792353</v>
      </c>
      <c r="M263" s="648">
        <f t="shared" si="46"/>
        <v>4.72730425051521</v>
      </c>
      <c r="N263" s="649">
        <f t="shared" si="47"/>
        <v>6.27195183140993e-5</v>
      </c>
      <c r="O263" s="560">
        <f t="shared" si="48"/>
        <v>12.4402450980392</v>
      </c>
      <c r="P263">
        <f t="shared" si="49"/>
        <v>204</v>
      </c>
      <c r="Q263" s="661">
        <f t="shared" si="50"/>
        <v>0.0127947817360763</v>
      </c>
    </row>
    <row r="264" spans="1:17">
      <c r="A264" s="653">
        <v>45423</v>
      </c>
      <c r="B264" s="589">
        <v>2019.63</v>
      </c>
      <c r="C264" s="589">
        <v>998036</v>
      </c>
      <c r="D264" s="589">
        <v>3470</v>
      </c>
      <c r="E264" s="589">
        <v>3</v>
      </c>
      <c r="F264" s="589">
        <v>48405</v>
      </c>
      <c r="G264" s="589">
        <v>55</v>
      </c>
      <c r="H264" s="589">
        <v>160</v>
      </c>
      <c r="I264" s="589">
        <v>16</v>
      </c>
      <c r="J264" s="649">
        <f t="shared" ref="J264:J269" si="51">D264/C264</f>
        <v>0.00347682849115663</v>
      </c>
      <c r="K264" s="648">
        <f t="shared" ref="K264:K269" si="52">B264/D264</f>
        <v>0.582025936599424</v>
      </c>
      <c r="L264" s="648">
        <f t="shared" ref="L264:L269" si="53">B264/C264*1000</f>
        <v>2.023604358961</v>
      </c>
      <c r="M264" s="648">
        <f t="shared" ref="M264:M269" si="54">F264/B264</f>
        <v>23.9672613300456</v>
      </c>
      <c r="N264" s="649">
        <f t="shared" ref="N264:N269" si="55">E264/D264</f>
        <v>0.000864553314121037</v>
      </c>
      <c r="O264" s="560">
        <f t="shared" ref="O264:O269" si="56">B264/(G264+H264)</f>
        <v>9.39362790697674</v>
      </c>
      <c r="P264">
        <f t="shared" ref="P264:P269" si="57">G264+H264</f>
        <v>215</v>
      </c>
      <c r="Q264" s="661">
        <f t="shared" ref="Q264:Q269" si="58">P264/D264</f>
        <v>0.0619596541786743</v>
      </c>
    </row>
    <row r="265" spans="1:17">
      <c r="A265" s="653">
        <v>45424</v>
      </c>
      <c r="B265" s="589">
        <v>1985.57</v>
      </c>
      <c r="C265" s="589">
        <v>978296</v>
      </c>
      <c r="D265" s="589">
        <v>3518</v>
      </c>
      <c r="E265" s="589">
        <v>1</v>
      </c>
      <c r="F265" s="589">
        <v>9897</v>
      </c>
      <c r="G265" s="589">
        <v>29</v>
      </c>
      <c r="H265" s="589">
        <v>171</v>
      </c>
      <c r="I265" s="589">
        <v>14</v>
      </c>
      <c r="J265" s="649">
        <f t="shared" si="51"/>
        <v>0.00359604863967552</v>
      </c>
      <c r="K265" s="648">
        <f t="shared" si="52"/>
        <v>0.564403069926094</v>
      </c>
      <c r="L265" s="648">
        <f t="shared" si="53"/>
        <v>2.02962089183642</v>
      </c>
      <c r="M265" s="648">
        <f t="shared" si="54"/>
        <v>4.98446289982222</v>
      </c>
      <c r="N265" s="649">
        <f t="shared" si="55"/>
        <v>0.000284252416145537</v>
      </c>
      <c r="O265" s="560">
        <f t="shared" si="56"/>
        <v>9.92785</v>
      </c>
      <c r="P265">
        <f t="shared" si="57"/>
        <v>200</v>
      </c>
      <c r="Q265" s="661">
        <f t="shared" si="58"/>
        <v>0.0568504832291074</v>
      </c>
    </row>
    <row r="266" spans="1:17">
      <c r="A266" s="653">
        <v>45425</v>
      </c>
      <c r="B266" s="589">
        <v>2456.83</v>
      </c>
      <c r="C266" s="589">
        <v>1184553</v>
      </c>
      <c r="D266" s="589">
        <v>17491</v>
      </c>
      <c r="E266" s="589">
        <v>1</v>
      </c>
      <c r="F266" s="589">
        <v>23994</v>
      </c>
      <c r="G266" s="589">
        <v>65</v>
      </c>
      <c r="H266" s="589">
        <v>145</v>
      </c>
      <c r="I266" s="589">
        <v>8</v>
      </c>
      <c r="J266" s="649">
        <f t="shared" si="51"/>
        <v>0.0147659074773353</v>
      </c>
      <c r="K266" s="648">
        <f t="shared" si="52"/>
        <v>0.140462523583557</v>
      </c>
      <c r="L266" s="648">
        <f t="shared" si="53"/>
        <v>2.07405662726784</v>
      </c>
      <c r="M266" s="648">
        <f t="shared" si="54"/>
        <v>9.76624349263075</v>
      </c>
      <c r="N266" s="649">
        <f t="shared" si="55"/>
        <v>5.71722600194386e-5</v>
      </c>
      <c r="O266" s="560">
        <f t="shared" si="56"/>
        <v>11.6991904761905</v>
      </c>
      <c r="P266">
        <f t="shared" si="57"/>
        <v>210</v>
      </c>
      <c r="Q266" s="661">
        <f t="shared" si="58"/>
        <v>0.0120061746040821</v>
      </c>
    </row>
    <row r="267" spans="1:17">
      <c r="A267" s="653">
        <v>45426</v>
      </c>
      <c r="B267" s="589">
        <v>2459.7</v>
      </c>
      <c r="C267" s="589">
        <v>1119097</v>
      </c>
      <c r="D267" s="589">
        <v>12449</v>
      </c>
      <c r="E267" s="589">
        <v>0</v>
      </c>
      <c r="F267" s="589">
        <v>0</v>
      </c>
      <c r="G267" s="589">
        <v>43</v>
      </c>
      <c r="H267" s="589">
        <v>166</v>
      </c>
      <c r="I267" s="589">
        <v>16</v>
      </c>
      <c r="J267" s="649">
        <f t="shared" si="51"/>
        <v>0.0111241474152821</v>
      </c>
      <c r="K267" s="648">
        <f t="shared" si="52"/>
        <v>0.197582135111254</v>
      </c>
      <c r="L267" s="648">
        <f t="shared" si="53"/>
        <v>2.19793279760378</v>
      </c>
      <c r="M267" s="648">
        <f t="shared" si="54"/>
        <v>0</v>
      </c>
      <c r="N267" s="649">
        <f t="shared" si="55"/>
        <v>0</v>
      </c>
      <c r="O267" s="560">
        <f t="shared" si="56"/>
        <v>11.7688995215311</v>
      </c>
      <c r="P267">
        <f t="shared" si="57"/>
        <v>209</v>
      </c>
      <c r="Q267" s="661">
        <f t="shared" si="58"/>
        <v>0.0167884970680376</v>
      </c>
    </row>
    <row r="268" spans="1:17">
      <c r="A268" s="653">
        <v>45427</v>
      </c>
      <c r="B268" s="589">
        <v>2032.33</v>
      </c>
      <c r="C268" s="589">
        <v>1098822</v>
      </c>
      <c r="D268" s="589">
        <v>3545</v>
      </c>
      <c r="E268" s="589">
        <v>3</v>
      </c>
      <c r="F268" s="589">
        <v>33792</v>
      </c>
      <c r="G268" s="589">
        <v>44</v>
      </c>
      <c r="H268" s="589">
        <v>180</v>
      </c>
      <c r="I268" s="589">
        <v>8</v>
      </c>
      <c r="J268" s="649">
        <f t="shared" si="51"/>
        <v>0.00322618222059624</v>
      </c>
      <c r="K268" s="648">
        <f t="shared" si="52"/>
        <v>0.573294781382228</v>
      </c>
      <c r="L268" s="648">
        <f t="shared" si="53"/>
        <v>1.84955343085595</v>
      </c>
      <c r="M268" s="648">
        <f t="shared" si="54"/>
        <v>16.6272209729719</v>
      </c>
      <c r="N268" s="649">
        <f t="shared" si="55"/>
        <v>0.000846262341325811</v>
      </c>
      <c r="O268" s="560">
        <f t="shared" si="56"/>
        <v>9.07290178571428</v>
      </c>
      <c r="P268">
        <f t="shared" si="57"/>
        <v>224</v>
      </c>
      <c r="Q268" s="661">
        <f t="shared" si="58"/>
        <v>0.0631875881523272</v>
      </c>
    </row>
    <row r="269" spans="1:17">
      <c r="A269" s="653">
        <v>45428</v>
      </c>
      <c r="B269" s="589">
        <v>2194.93</v>
      </c>
      <c r="C269" s="589">
        <v>1018359</v>
      </c>
      <c r="D269" s="589">
        <v>3727</v>
      </c>
      <c r="E269" s="589">
        <v>3</v>
      </c>
      <c r="F269" s="589">
        <v>71314</v>
      </c>
      <c r="G269" s="589">
        <v>51</v>
      </c>
      <c r="H269" s="589">
        <v>151</v>
      </c>
      <c r="I269" s="589">
        <v>15</v>
      </c>
      <c r="J269" s="649">
        <f t="shared" si="51"/>
        <v>0.00365980955635488</v>
      </c>
      <c r="K269" s="648">
        <f t="shared" si="52"/>
        <v>0.588926750737859</v>
      </c>
      <c r="L269" s="648">
        <f t="shared" si="53"/>
        <v>2.15535975034344</v>
      </c>
      <c r="M269" s="648">
        <f t="shared" si="54"/>
        <v>32.4903299877445</v>
      </c>
      <c r="N269" s="649">
        <f t="shared" si="55"/>
        <v>0.000804936946605849</v>
      </c>
      <c r="O269" s="560">
        <f t="shared" si="56"/>
        <v>10.8659900990099</v>
      </c>
      <c r="P269">
        <f t="shared" si="57"/>
        <v>202</v>
      </c>
      <c r="Q269" s="661">
        <f t="shared" si="58"/>
        <v>0.0541990877381272</v>
      </c>
    </row>
    <row r="270" spans="1:17">
      <c r="A270" s="653">
        <v>45429</v>
      </c>
      <c r="B270" s="589">
        <v>1797.89</v>
      </c>
      <c r="C270" s="589">
        <v>780932</v>
      </c>
      <c r="D270" s="589">
        <v>3289</v>
      </c>
      <c r="E270" s="589">
        <v>5</v>
      </c>
      <c r="F270" s="589">
        <v>49587</v>
      </c>
      <c r="G270" s="589">
        <v>36</v>
      </c>
      <c r="H270" s="589">
        <v>134</v>
      </c>
      <c r="I270" s="589">
        <v>11</v>
      </c>
      <c r="J270" s="649">
        <f t="shared" ref="J270:J311" si="59">D270/C270</f>
        <v>0.00421163430362695</v>
      </c>
      <c r="K270" s="648">
        <f t="shared" ref="K270:K311" si="60">B270/D270</f>
        <v>0.546637275767711</v>
      </c>
      <c r="L270" s="648">
        <f t="shared" ref="L270:L311" si="61">B270/C270*1000</f>
        <v>2.30223630226447</v>
      </c>
      <c r="M270" s="648">
        <f t="shared" ref="M270:M311" si="62">F270/B270</f>
        <v>27.5806640005785</v>
      </c>
      <c r="N270" s="649">
        <f t="shared" ref="N270:N311" si="63">E270/D270</f>
        <v>0.00152021891152326</v>
      </c>
      <c r="O270" s="560">
        <f t="shared" ref="O270:O311" si="64">B270/(G270+H270)</f>
        <v>10.5758235294118</v>
      </c>
      <c r="P270">
        <f t="shared" ref="P270:P311" si="65">G270+H270</f>
        <v>170</v>
      </c>
      <c r="Q270" s="661">
        <f t="shared" ref="Q270:Q311" si="66">P270/D270</f>
        <v>0.0516874429917908</v>
      </c>
    </row>
    <row r="271" spans="1:17">
      <c r="A271" s="653">
        <v>45430</v>
      </c>
      <c r="B271" s="589">
        <v>1815.99</v>
      </c>
      <c r="C271" s="589">
        <v>693993</v>
      </c>
      <c r="D271" s="589">
        <v>2892</v>
      </c>
      <c r="E271" s="589">
        <v>6</v>
      </c>
      <c r="F271" s="589">
        <v>80975</v>
      </c>
      <c r="G271" s="589">
        <v>24</v>
      </c>
      <c r="H271" s="589">
        <v>176</v>
      </c>
      <c r="I271" s="589">
        <v>6</v>
      </c>
      <c r="J271" s="649">
        <f t="shared" si="59"/>
        <v>0.00416718900622917</v>
      </c>
      <c r="K271" s="648">
        <f t="shared" si="60"/>
        <v>0.627935684647303</v>
      </c>
      <c r="L271" s="648">
        <f t="shared" si="61"/>
        <v>2.61672668168123</v>
      </c>
      <c r="M271" s="648">
        <f t="shared" si="62"/>
        <v>44.5900032489166</v>
      </c>
      <c r="N271" s="649">
        <f t="shared" si="63"/>
        <v>0.0020746887966805</v>
      </c>
      <c r="O271" s="560">
        <f t="shared" si="64"/>
        <v>9.07995</v>
      </c>
      <c r="P271">
        <f t="shared" si="65"/>
        <v>200</v>
      </c>
      <c r="Q271" s="661">
        <f t="shared" si="66"/>
        <v>0.0691562932226833</v>
      </c>
    </row>
    <row r="272" spans="1:17">
      <c r="A272" s="653">
        <v>45431</v>
      </c>
      <c r="B272" s="589">
        <v>1756</v>
      </c>
      <c r="C272" s="589">
        <v>621608</v>
      </c>
      <c r="D272" s="589">
        <v>2573</v>
      </c>
      <c r="E272" s="589">
        <v>1</v>
      </c>
      <c r="F272" s="589">
        <v>9798</v>
      </c>
      <c r="G272" s="589">
        <v>46</v>
      </c>
      <c r="H272" s="589">
        <v>113</v>
      </c>
      <c r="I272" s="589">
        <v>13</v>
      </c>
      <c r="J272" s="649">
        <f t="shared" si="59"/>
        <v>0.004139264616929</v>
      </c>
      <c r="K272" s="648">
        <f t="shared" si="60"/>
        <v>0.682471822774971</v>
      </c>
      <c r="L272" s="648">
        <f t="shared" si="61"/>
        <v>2.82493146806347</v>
      </c>
      <c r="M272" s="648">
        <f t="shared" si="62"/>
        <v>5.57972665148064</v>
      </c>
      <c r="N272" s="649">
        <f t="shared" si="63"/>
        <v>0.000388651379712398</v>
      </c>
      <c r="O272" s="560">
        <f t="shared" si="64"/>
        <v>11.0440251572327</v>
      </c>
      <c r="P272">
        <f t="shared" si="65"/>
        <v>159</v>
      </c>
      <c r="Q272" s="661">
        <f t="shared" si="66"/>
        <v>0.0617955693742713</v>
      </c>
    </row>
    <row r="273" spans="1:17">
      <c r="A273" s="653">
        <v>45432</v>
      </c>
      <c r="B273" s="589">
        <v>2135.37</v>
      </c>
      <c r="C273" s="589">
        <v>624823</v>
      </c>
      <c r="D273" s="589">
        <v>2620</v>
      </c>
      <c r="E273" s="589">
        <v>8</v>
      </c>
      <c r="F273" s="589">
        <v>79258</v>
      </c>
      <c r="G273" s="589">
        <v>62</v>
      </c>
      <c r="H273" s="589">
        <v>104</v>
      </c>
      <c r="I273" s="589">
        <v>11</v>
      </c>
      <c r="J273" s="649">
        <f t="shared" si="59"/>
        <v>0.00419318751070303</v>
      </c>
      <c r="K273" s="648">
        <f t="shared" si="60"/>
        <v>0.815026717557252</v>
      </c>
      <c r="L273" s="648">
        <f t="shared" si="61"/>
        <v>3.41755985295036</v>
      </c>
      <c r="M273" s="648">
        <f t="shared" si="62"/>
        <v>37.1167526002519</v>
      </c>
      <c r="N273" s="649">
        <f t="shared" si="63"/>
        <v>0.00305343511450382</v>
      </c>
      <c r="O273" s="560">
        <f t="shared" si="64"/>
        <v>12.8636746987952</v>
      </c>
      <c r="P273">
        <f t="shared" si="65"/>
        <v>166</v>
      </c>
      <c r="Q273" s="661">
        <f t="shared" si="66"/>
        <v>0.0633587786259542</v>
      </c>
    </row>
    <row r="274" spans="1:17">
      <c r="A274" s="653">
        <v>45433</v>
      </c>
      <c r="B274" s="589">
        <v>2209.72</v>
      </c>
      <c r="C274" s="589">
        <v>692294</v>
      </c>
      <c r="D274" s="589">
        <v>3048</v>
      </c>
      <c r="E274" s="589">
        <v>15</v>
      </c>
      <c r="F274" s="589">
        <v>164082</v>
      </c>
      <c r="G274" s="589">
        <v>65</v>
      </c>
      <c r="H274" s="589">
        <v>133</v>
      </c>
      <c r="I274" s="589">
        <v>8</v>
      </c>
      <c r="J274" s="649">
        <f t="shared" si="59"/>
        <v>0.00440275374335181</v>
      </c>
      <c r="K274" s="648">
        <f t="shared" si="60"/>
        <v>0.72497375328084</v>
      </c>
      <c r="L274" s="648">
        <f t="shared" si="61"/>
        <v>3.19188090608903</v>
      </c>
      <c r="M274" s="648">
        <f t="shared" si="62"/>
        <v>74.2546566985863</v>
      </c>
      <c r="N274" s="649">
        <f t="shared" si="63"/>
        <v>0.00492125984251968</v>
      </c>
      <c r="O274" s="560">
        <f t="shared" si="64"/>
        <v>11.160202020202</v>
      </c>
      <c r="P274">
        <f t="shared" si="65"/>
        <v>198</v>
      </c>
      <c r="Q274" s="661">
        <f t="shared" si="66"/>
        <v>0.0649606299212598</v>
      </c>
    </row>
    <row r="275" spans="1:17">
      <c r="A275" s="653">
        <v>45434</v>
      </c>
      <c r="B275" s="589">
        <v>2288.24</v>
      </c>
      <c r="C275" s="589">
        <v>792853</v>
      </c>
      <c r="D275" s="589">
        <v>3675</v>
      </c>
      <c r="E275" s="589">
        <v>7</v>
      </c>
      <c r="F275" s="589">
        <v>82563</v>
      </c>
      <c r="G275" s="589">
        <v>59</v>
      </c>
      <c r="H275" s="589">
        <v>132</v>
      </c>
      <c r="I275" s="589">
        <v>15</v>
      </c>
      <c r="J275" s="649">
        <f t="shared" si="59"/>
        <v>0.00463515935488672</v>
      </c>
      <c r="K275" s="648">
        <f t="shared" si="60"/>
        <v>0.622650340136054</v>
      </c>
      <c r="L275" s="648">
        <f t="shared" si="61"/>
        <v>2.88608354890503</v>
      </c>
      <c r="M275" s="648">
        <f t="shared" si="62"/>
        <v>36.0814425060308</v>
      </c>
      <c r="N275" s="649">
        <f t="shared" si="63"/>
        <v>0.0019047619047619</v>
      </c>
      <c r="O275" s="560">
        <f t="shared" si="64"/>
        <v>11.9803141361257</v>
      </c>
      <c r="P275">
        <f t="shared" si="65"/>
        <v>191</v>
      </c>
      <c r="Q275" s="661">
        <f t="shared" si="66"/>
        <v>0.0519727891156463</v>
      </c>
    </row>
    <row r="276" spans="1:17">
      <c r="A276" s="653">
        <v>45435</v>
      </c>
      <c r="B276" s="589">
        <v>2308.29</v>
      </c>
      <c r="C276" s="589">
        <v>742847</v>
      </c>
      <c r="D276" s="589">
        <v>3528</v>
      </c>
      <c r="E276" s="589">
        <v>10</v>
      </c>
      <c r="F276" s="589">
        <v>112948</v>
      </c>
      <c r="G276" s="589">
        <v>69</v>
      </c>
      <c r="H276" s="589">
        <v>160</v>
      </c>
      <c r="I276" s="589">
        <v>11</v>
      </c>
      <c r="J276" s="649">
        <f t="shared" si="59"/>
        <v>0.00474929561538244</v>
      </c>
      <c r="K276" s="648">
        <f t="shared" si="60"/>
        <v>0.654277210884354</v>
      </c>
      <c r="L276" s="648">
        <f t="shared" si="61"/>
        <v>3.10735588889771</v>
      </c>
      <c r="M276" s="648">
        <f t="shared" si="62"/>
        <v>48.9314600851713</v>
      </c>
      <c r="N276" s="649">
        <f t="shared" si="63"/>
        <v>0.00283446712018141</v>
      </c>
      <c r="O276" s="560">
        <f t="shared" si="64"/>
        <v>10.0798689956332</v>
      </c>
      <c r="P276">
        <f t="shared" si="65"/>
        <v>229</v>
      </c>
      <c r="Q276" s="661">
        <f t="shared" si="66"/>
        <v>0.0649092970521542</v>
      </c>
    </row>
    <row r="277" spans="1:17">
      <c r="A277" s="653">
        <v>45436</v>
      </c>
      <c r="B277" s="589">
        <v>1985.27</v>
      </c>
      <c r="C277" s="589">
        <v>361194</v>
      </c>
      <c r="D277" s="589">
        <v>2052</v>
      </c>
      <c r="E277" s="589">
        <v>0</v>
      </c>
      <c r="F277" s="589">
        <v>0</v>
      </c>
      <c r="G277" s="589">
        <v>40</v>
      </c>
      <c r="H277" s="589">
        <v>163</v>
      </c>
      <c r="I277" s="589">
        <v>6</v>
      </c>
      <c r="J277" s="649">
        <f t="shared" si="59"/>
        <v>0.00568115749431054</v>
      </c>
      <c r="K277" s="648">
        <f t="shared" si="60"/>
        <v>0.967480506822612</v>
      </c>
      <c r="L277" s="648">
        <f t="shared" si="61"/>
        <v>5.49640913193464</v>
      </c>
      <c r="M277" s="648">
        <f t="shared" si="62"/>
        <v>0</v>
      </c>
      <c r="N277" s="649">
        <f t="shared" si="63"/>
        <v>0</v>
      </c>
      <c r="O277" s="560">
        <f t="shared" si="64"/>
        <v>9.77965517241379</v>
      </c>
      <c r="P277">
        <f t="shared" si="65"/>
        <v>203</v>
      </c>
      <c r="Q277" s="661">
        <f t="shared" si="66"/>
        <v>0.0989278752436647</v>
      </c>
    </row>
    <row r="278" spans="1:17">
      <c r="A278" s="653">
        <v>45437</v>
      </c>
      <c r="B278" s="589">
        <v>2180.56</v>
      </c>
      <c r="C278" s="589">
        <v>634624</v>
      </c>
      <c r="D278" s="589">
        <v>2787</v>
      </c>
      <c r="E278" s="589">
        <v>1</v>
      </c>
      <c r="F278" s="589">
        <v>9798</v>
      </c>
      <c r="G278" s="589">
        <v>37</v>
      </c>
      <c r="H278" s="589">
        <v>272</v>
      </c>
      <c r="I278" s="589">
        <v>10</v>
      </c>
      <c r="J278" s="649">
        <f t="shared" si="59"/>
        <v>0.0043915767446551</v>
      </c>
      <c r="K278" s="648">
        <f t="shared" si="60"/>
        <v>0.782404018658055</v>
      </c>
      <c r="L278" s="648">
        <f t="shared" si="61"/>
        <v>3.43598729326341</v>
      </c>
      <c r="M278" s="648">
        <f t="shared" si="62"/>
        <v>4.49334116006897</v>
      </c>
      <c r="N278" s="649">
        <f t="shared" si="63"/>
        <v>0.00035880875493362</v>
      </c>
      <c r="O278" s="560">
        <f t="shared" si="64"/>
        <v>7.0568284789644</v>
      </c>
      <c r="P278">
        <f t="shared" si="65"/>
        <v>309</v>
      </c>
      <c r="Q278" s="661">
        <f t="shared" si="66"/>
        <v>0.110871905274489</v>
      </c>
    </row>
    <row r="279" spans="1:17">
      <c r="A279" s="653">
        <v>45438</v>
      </c>
      <c r="B279" s="589">
        <v>2059</v>
      </c>
      <c r="C279" s="589">
        <v>695579</v>
      </c>
      <c r="D279" s="589">
        <v>2528</v>
      </c>
      <c r="E279" s="589">
        <v>3</v>
      </c>
      <c r="F279" s="589">
        <v>30314</v>
      </c>
      <c r="G279" s="589">
        <v>26</v>
      </c>
      <c r="H279" s="589">
        <v>246</v>
      </c>
      <c r="I279" s="589">
        <v>6</v>
      </c>
      <c r="J279" s="649">
        <f t="shared" si="59"/>
        <v>0.0036343822915873</v>
      </c>
      <c r="K279" s="648">
        <f t="shared" si="60"/>
        <v>0.814477848101266</v>
      </c>
      <c r="L279" s="648">
        <f t="shared" si="61"/>
        <v>2.96012386802937</v>
      </c>
      <c r="M279" s="648">
        <f t="shared" si="62"/>
        <v>14.7226809130646</v>
      </c>
      <c r="N279" s="649">
        <f t="shared" si="63"/>
        <v>0.00118670886075949</v>
      </c>
      <c r="O279" s="560">
        <f t="shared" si="64"/>
        <v>7.56985294117647</v>
      </c>
      <c r="P279">
        <f t="shared" si="65"/>
        <v>272</v>
      </c>
      <c r="Q279" s="661">
        <f t="shared" si="66"/>
        <v>0.107594936708861</v>
      </c>
    </row>
    <row r="280" spans="1:17">
      <c r="A280" s="653">
        <v>45439</v>
      </c>
      <c r="B280" s="589">
        <v>2649.44</v>
      </c>
      <c r="C280" s="589">
        <v>573269</v>
      </c>
      <c r="D280" s="589">
        <v>2411</v>
      </c>
      <c r="E280" s="589">
        <v>1</v>
      </c>
      <c r="F280" s="589">
        <v>6798</v>
      </c>
      <c r="G280" s="589">
        <v>24</v>
      </c>
      <c r="H280" s="589">
        <v>147</v>
      </c>
      <c r="I280" s="589">
        <v>10</v>
      </c>
      <c r="J280" s="649">
        <f t="shared" si="59"/>
        <v>0.00420570447730472</v>
      </c>
      <c r="K280" s="648">
        <f t="shared" si="60"/>
        <v>1.09889672335131</v>
      </c>
      <c r="L280" s="648">
        <f t="shared" si="61"/>
        <v>4.62163486949408</v>
      </c>
      <c r="M280" s="648">
        <f t="shared" si="62"/>
        <v>2.56582523099221</v>
      </c>
      <c r="N280" s="649">
        <f t="shared" si="63"/>
        <v>0.000414765657403567</v>
      </c>
      <c r="O280" s="560">
        <f t="shared" si="64"/>
        <v>15.4938011695906</v>
      </c>
      <c r="P280">
        <f t="shared" si="65"/>
        <v>171</v>
      </c>
      <c r="Q280" s="661">
        <f t="shared" si="66"/>
        <v>0.0709249274160099</v>
      </c>
    </row>
    <row r="281" spans="1:17">
      <c r="A281" s="653">
        <v>45440</v>
      </c>
      <c r="B281" s="589">
        <v>2960.44</v>
      </c>
      <c r="C281" s="589">
        <v>623698</v>
      </c>
      <c r="D281" s="589">
        <v>2408</v>
      </c>
      <c r="E281" s="589">
        <v>3</v>
      </c>
      <c r="F281" s="589">
        <v>33792</v>
      </c>
      <c r="G281" s="589">
        <v>38</v>
      </c>
      <c r="H281" s="589">
        <v>169</v>
      </c>
      <c r="I281" s="589">
        <v>22</v>
      </c>
      <c r="J281" s="649">
        <f t="shared" si="59"/>
        <v>0.00386084290794583</v>
      </c>
      <c r="K281" s="648">
        <f t="shared" si="60"/>
        <v>1.22941860465116</v>
      </c>
      <c r="L281" s="648">
        <f t="shared" si="61"/>
        <v>4.7465921006641</v>
      </c>
      <c r="M281" s="648">
        <f t="shared" si="62"/>
        <v>11.414519463323</v>
      </c>
      <c r="N281" s="649">
        <f t="shared" si="63"/>
        <v>0.00124584717607973</v>
      </c>
      <c r="O281" s="560">
        <f t="shared" si="64"/>
        <v>14.3016425120773</v>
      </c>
      <c r="P281">
        <f t="shared" si="65"/>
        <v>207</v>
      </c>
      <c r="Q281" s="661">
        <f t="shared" si="66"/>
        <v>0.0859634551495017</v>
      </c>
    </row>
    <row r="282" spans="1:17">
      <c r="A282" s="653">
        <v>45441</v>
      </c>
      <c r="B282" s="589">
        <v>5013.03</v>
      </c>
      <c r="C282" s="589">
        <v>648533</v>
      </c>
      <c r="D282" s="589">
        <v>4165</v>
      </c>
      <c r="E282" s="589">
        <v>3</v>
      </c>
      <c r="F282" s="589">
        <v>26394</v>
      </c>
      <c r="G282" s="589">
        <v>76</v>
      </c>
      <c r="H282" s="589">
        <v>154</v>
      </c>
      <c r="I282" s="589">
        <v>19</v>
      </c>
      <c r="J282" s="649">
        <f t="shared" si="59"/>
        <v>0.0064221866890351</v>
      </c>
      <c r="K282" s="648">
        <f t="shared" si="60"/>
        <v>1.20360864345738</v>
      </c>
      <c r="L282" s="648">
        <f t="shared" si="61"/>
        <v>7.7297994088196</v>
      </c>
      <c r="M282" s="648">
        <f t="shared" si="62"/>
        <v>5.26507920359543</v>
      </c>
      <c r="N282" s="649">
        <f t="shared" si="63"/>
        <v>0.000720288115246098</v>
      </c>
      <c r="O282" s="560">
        <f t="shared" si="64"/>
        <v>21.7957826086956</v>
      </c>
      <c r="P282">
        <f t="shared" si="65"/>
        <v>230</v>
      </c>
      <c r="Q282" s="661">
        <f t="shared" si="66"/>
        <v>0.0552220888355342</v>
      </c>
    </row>
    <row r="283" spans="1:17">
      <c r="A283" s="653">
        <v>45442</v>
      </c>
      <c r="B283" s="589">
        <v>3005.08</v>
      </c>
      <c r="C283" s="589">
        <v>553609</v>
      </c>
      <c r="D283" s="589">
        <v>2555</v>
      </c>
      <c r="E283" s="589">
        <v>5</v>
      </c>
      <c r="F283" s="589">
        <v>57786</v>
      </c>
      <c r="G283" s="589">
        <v>64</v>
      </c>
      <c r="H283" s="589">
        <v>198</v>
      </c>
      <c r="I283" s="589">
        <v>18</v>
      </c>
      <c r="J283" s="649">
        <f t="shared" si="59"/>
        <v>0.00461517063487046</v>
      </c>
      <c r="K283" s="648">
        <f t="shared" si="60"/>
        <v>1.17615655577299</v>
      </c>
      <c r="L283" s="648">
        <f t="shared" si="61"/>
        <v>5.4281631982139</v>
      </c>
      <c r="M283" s="648">
        <f t="shared" si="62"/>
        <v>19.229438151397</v>
      </c>
      <c r="N283" s="649">
        <f t="shared" si="63"/>
        <v>0.00195694716242661</v>
      </c>
      <c r="O283" s="560">
        <f t="shared" si="64"/>
        <v>11.4697709923664</v>
      </c>
      <c r="P283">
        <f t="shared" si="65"/>
        <v>262</v>
      </c>
      <c r="Q283" s="661">
        <f t="shared" si="66"/>
        <v>0.102544031311155</v>
      </c>
    </row>
    <row r="284" spans="1:17">
      <c r="A284" s="653">
        <v>45443</v>
      </c>
      <c r="B284" s="589">
        <v>5915.58</v>
      </c>
      <c r="C284" s="589">
        <v>596441</v>
      </c>
      <c r="D284" s="589">
        <v>6372</v>
      </c>
      <c r="E284" s="589">
        <v>11</v>
      </c>
      <c r="F284" s="589">
        <v>153140</v>
      </c>
      <c r="G284" s="589">
        <v>53</v>
      </c>
      <c r="H284" s="589">
        <v>172</v>
      </c>
      <c r="I284" s="589">
        <v>16</v>
      </c>
      <c r="J284" s="649">
        <f t="shared" si="59"/>
        <v>0.0106833701908487</v>
      </c>
      <c r="K284" s="648">
        <f t="shared" si="60"/>
        <v>0.928370998116761</v>
      </c>
      <c r="L284" s="648">
        <f t="shared" si="61"/>
        <v>9.91813104732907</v>
      </c>
      <c r="M284" s="648">
        <f t="shared" si="62"/>
        <v>25.8875714638294</v>
      </c>
      <c r="N284" s="649">
        <f t="shared" si="63"/>
        <v>0.0017263025737602</v>
      </c>
      <c r="O284" s="560">
        <f t="shared" si="64"/>
        <v>26.2914666666667</v>
      </c>
      <c r="P284">
        <f t="shared" si="65"/>
        <v>225</v>
      </c>
      <c r="Q284" s="661">
        <f t="shared" si="66"/>
        <v>0.0353107344632768</v>
      </c>
    </row>
    <row r="285" spans="1:17">
      <c r="A285" s="653">
        <v>45444</v>
      </c>
      <c r="B285" s="589">
        <v>3746.32</v>
      </c>
      <c r="C285" s="589">
        <v>861714</v>
      </c>
      <c r="D285" s="589">
        <v>3261</v>
      </c>
      <c r="E285" s="589">
        <v>0</v>
      </c>
      <c r="F285" s="589">
        <v>0</v>
      </c>
      <c r="G285" s="589">
        <v>49</v>
      </c>
      <c r="H285" s="589">
        <v>307</v>
      </c>
      <c r="I285" s="589">
        <v>19</v>
      </c>
      <c r="J285" s="649">
        <f t="shared" si="59"/>
        <v>0.00378431823087475</v>
      </c>
      <c r="K285" s="648">
        <f t="shared" si="60"/>
        <v>1.14882551364612</v>
      </c>
      <c r="L285" s="648">
        <f t="shared" si="61"/>
        <v>4.34752133538506</v>
      </c>
      <c r="M285" s="648">
        <f t="shared" si="62"/>
        <v>0</v>
      </c>
      <c r="N285" s="649">
        <f t="shared" si="63"/>
        <v>0</v>
      </c>
      <c r="O285" s="560">
        <f t="shared" si="64"/>
        <v>10.5233707865169</v>
      </c>
      <c r="P285">
        <f t="shared" si="65"/>
        <v>356</v>
      </c>
      <c r="Q285" s="661">
        <f t="shared" si="66"/>
        <v>0.10916896657467</v>
      </c>
    </row>
    <row r="286" spans="1:17">
      <c r="A286" s="653">
        <v>45445</v>
      </c>
      <c r="B286" s="589">
        <v>3845.58</v>
      </c>
      <c r="C286" s="589">
        <v>713347</v>
      </c>
      <c r="D286" s="589">
        <v>3284</v>
      </c>
      <c r="E286" s="589">
        <v>1</v>
      </c>
      <c r="F286" s="589">
        <v>27988</v>
      </c>
      <c r="G286" s="589">
        <v>46</v>
      </c>
      <c r="H286" s="589">
        <v>273</v>
      </c>
      <c r="I286" s="589">
        <v>26</v>
      </c>
      <c r="J286" s="649">
        <f t="shared" si="59"/>
        <v>0.00460365011698374</v>
      </c>
      <c r="K286" s="648">
        <f t="shared" si="60"/>
        <v>1.17100487210719</v>
      </c>
      <c r="L286" s="648">
        <f t="shared" si="61"/>
        <v>5.39089671646478</v>
      </c>
      <c r="M286" s="648">
        <f t="shared" si="62"/>
        <v>7.27796587250818</v>
      </c>
      <c r="N286" s="649">
        <f t="shared" si="63"/>
        <v>0.000304506699147381</v>
      </c>
      <c r="O286" s="560">
        <f t="shared" si="64"/>
        <v>12.0551097178683</v>
      </c>
      <c r="P286">
        <f t="shared" si="65"/>
        <v>319</v>
      </c>
      <c r="Q286" s="661">
        <f t="shared" si="66"/>
        <v>0.0971376370280146</v>
      </c>
    </row>
    <row r="287" spans="1:17">
      <c r="A287" s="653">
        <v>45446</v>
      </c>
      <c r="B287" s="589">
        <v>4759.84</v>
      </c>
      <c r="C287" s="589">
        <v>824820</v>
      </c>
      <c r="D287" s="589">
        <v>5341</v>
      </c>
      <c r="E287" s="589">
        <v>8</v>
      </c>
      <c r="F287" s="589">
        <v>114376</v>
      </c>
      <c r="G287" s="589">
        <v>64</v>
      </c>
      <c r="H287" s="589">
        <v>151</v>
      </c>
      <c r="I287" s="589">
        <v>20</v>
      </c>
      <c r="J287" s="649">
        <f t="shared" si="59"/>
        <v>0.00647535219805533</v>
      </c>
      <c r="K287" s="648">
        <f t="shared" si="60"/>
        <v>0.891188915933346</v>
      </c>
      <c r="L287" s="648">
        <f t="shared" si="61"/>
        <v>5.77076210567154</v>
      </c>
      <c r="M287" s="648">
        <f t="shared" si="62"/>
        <v>24.0293791387946</v>
      </c>
      <c r="N287" s="649">
        <f t="shared" si="63"/>
        <v>0.00149784684516008</v>
      </c>
      <c r="O287" s="560">
        <f t="shared" si="64"/>
        <v>22.1387906976744</v>
      </c>
      <c r="P287">
        <f t="shared" si="65"/>
        <v>215</v>
      </c>
      <c r="Q287" s="661">
        <f t="shared" si="66"/>
        <v>0.0402546339636772</v>
      </c>
    </row>
    <row r="288" spans="1:17">
      <c r="A288" s="653">
        <v>45447</v>
      </c>
      <c r="B288" s="589">
        <v>3771.49</v>
      </c>
      <c r="C288" s="589">
        <v>863943</v>
      </c>
      <c r="D288" s="589">
        <v>3706</v>
      </c>
      <c r="E288" s="589">
        <v>5</v>
      </c>
      <c r="F288" s="589">
        <v>53522</v>
      </c>
      <c r="G288" s="589">
        <v>78</v>
      </c>
      <c r="H288" s="589">
        <v>145</v>
      </c>
      <c r="I288" s="589">
        <v>17</v>
      </c>
      <c r="J288" s="649">
        <f t="shared" si="59"/>
        <v>0.00428963484859534</v>
      </c>
      <c r="K288" s="648">
        <f t="shared" si="60"/>
        <v>1.01767134376686</v>
      </c>
      <c r="L288" s="648">
        <f t="shared" si="61"/>
        <v>4.36543846063919</v>
      </c>
      <c r="M288" s="648">
        <f t="shared" si="62"/>
        <v>14.1912082492596</v>
      </c>
      <c r="N288" s="649">
        <f t="shared" si="63"/>
        <v>0.00134916351861846</v>
      </c>
      <c r="O288" s="560">
        <f t="shared" si="64"/>
        <v>16.9125112107623</v>
      </c>
      <c r="P288">
        <f t="shared" si="65"/>
        <v>223</v>
      </c>
      <c r="Q288" s="661">
        <f t="shared" si="66"/>
        <v>0.0601726929303832</v>
      </c>
    </row>
    <row r="289" spans="1:17">
      <c r="A289" s="653">
        <v>45448</v>
      </c>
      <c r="B289" s="589">
        <v>3643.75</v>
      </c>
      <c r="C289" s="589">
        <v>829860</v>
      </c>
      <c r="D289" s="589">
        <v>5214</v>
      </c>
      <c r="E289" s="589">
        <v>3</v>
      </c>
      <c r="F289" s="589">
        <v>41391</v>
      </c>
      <c r="G289" s="589">
        <v>76</v>
      </c>
      <c r="H289" s="589">
        <v>123</v>
      </c>
      <c r="I289" s="589">
        <v>21</v>
      </c>
      <c r="J289" s="649">
        <f t="shared" si="59"/>
        <v>0.0062829874918661</v>
      </c>
      <c r="K289" s="648">
        <f t="shared" si="60"/>
        <v>0.698839662447257</v>
      </c>
      <c r="L289" s="648">
        <f t="shared" si="61"/>
        <v>4.39080085797604</v>
      </c>
      <c r="M289" s="648">
        <f t="shared" si="62"/>
        <v>11.3594511149228</v>
      </c>
      <c r="N289" s="649">
        <f t="shared" si="63"/>
        <v>0.000575373993095512</v>
      </c>
      <c r="O289" s="560">
        <f t="shared" si="64"/>
        <v>18.3103015075377</v>
      </c>
      <c r="P289">
        <f t="shared" si="65"/>
        <v>199</v>
      </c>
      <c r="Q289" s="661">
        <f t="shared" si="66"/>
        <v>0.0381664748753356</v>
      </c>
    </row>
    <row r="290" spans="1:17">
      <c r="A290" s="653">
        <v>45449</v>
      </c>
      <c r="B290" s="589">
        <v>2280.92</v>
      </c>
      <c r="C290" s="589">
        <v>942667</v>
      </c>
      <c r="D290" s="589">
        <v>3296</v>
      </c>
      <c r="E290" s="589">
        <v>3</v>
      </c>
      <c r="F290" s="589">
        <v>52823</v>
      </c>
      <c r="G290" s="589">
        <v>39</v>
      </c>
      <c r="H290" s="589">
        <v>77</v>
      </c>
      <c r="I290" s="589">
        <v>16</v>
      </c>
      <c r="J290" s="649">
        <f t="shared" si="59"/>
        <v>0.00349646269573455</v>
      </c>
      <c r="K290" s="648">
        <f t="shared" si="60"/>
        <v>0.692026699029126</v>
      </c>
      <c r="L290" s="648">
        <f t="shared" si="61"/>
        <v>2.41964553760766</v>
      </c>
      <c r="M290" s="648">
        <f t="shared" si="62"/>
        <v>23.1586377426652</v>
      </c>
      <c r="N290" s="649">
        <f t="shared" si="63"/>
        <v>0.000910194174757282</v>
      </c>
      <c r="O290" s="560">
        <f t="shared" si="64"/>
        <v>19.6631034482759</v>
      </c>
      <c r="P290">
        <f t="shared" si="65"/>
        <v>116</v>
      </c>
      <c r="Q290" s="661">
        <f t="shared" si="66"/>
        <v>0.0351941747572816</v>
      </c>
    </row>
    <row r="291" spans="1:17">
      <c r="A291" s="653">
        <v>45450</v>
      </c>
      <c r="B291" s="589">
        <v>2140.67</v>
      </c>
      <c r="C291" s="589">
        <v>511512</v>
      </c>
      <c r="D291" s="589">
        <v>2415</v>
      </c>
      <c r="E291" s="589">
        <v>4</v>
      </c>
      <c r="F291" s="589">
        <v>42546</v>
      </c>
      <c r="G291" s="589">
        <v>31</v>
      </c>
      <c r="H291" s="589">
        <v>61</v>
      </c>
      <c r="I291" s="589">
        <v>8</v>
      </c>
      <c r="J291" s="649">
        <f t="shared" si="59"/>
        <v>0.00472129686107071</v>
      </c>
      <c r="K291" s="648">
        <f t="shared" si="60"/>
        <v>0.886405797101449</v>
      </c>
      <c r="L291" s="648">
        <f t="shared" si="61"/>
        <v>4.18498490748995</v>
      </c>
      <c r="M291" s="648">
        <f t="shared" si="62"/>
        <v>19.8750858376116</v>
      </c>
      <c r="N291" s="649">
        <f t="shared" si="63"/>
        <v>0.00165631469979296</v>
      </c>
      <c r="O291" s="560">
        <f t="shared" si="64"/>
        <v>23.268152173913</v>
      </c>
      <c r="P291">
        <f t="shared" si="65"/>
        <v>92</v>
      </c>
      <c r="Q291" s="661">
        <f t="shared" si="66"/>
        <v>0.0380952380952381</v>
      </c>
    </row>
    <row r="292" spans="1:17">
      <c r="A292" s="653">
        <v>45451</v>
      </c>
      <c r="B292" s="589">
        <v>2542.42</v>
      </c>
      <c r="C292" s="589">
        <v>799356</v>
      </c>
      <c r="D292" s="589">
        <v>3230</v>
      </c>
      <c r="E292" s="589">
        <v>0</v>
      </c>
      <c r="F292" s="589">
        <v>0</v>
      </c>
      <c r="G292" s="589">
        <v>34</v>
      </c>
      <c r="H292" s="589">
        <v>112</v>
      </c>
      <c r="I292" s="589">
        <v>8</v>
      </c>
      <c r="J292" s="649">
        <f t="shared" si="59"/>
        <v>0.00404075280600884</v>
      </c>
      <c r="K292" s="648">
        <f t="shared" si="60"/>
        <v>0.78712693498452</v>
      </c>
      <c r="L292" s="648">
        <f t="shared" si="61"/>
        <v>3.18058537122383</v>
      </c>
      <c r="M292" s="648">
        <f t="shared" si="62"/>
        <v>0</v>
      </c>
      <c r="N292" s="649">
        <f t="shared" si="63"/>
        <v>0</v>
      </c>
      <c r="O292" s="560">
        <f t="shared" si="64"/>
        <v>17.4138356164384</v>
      </c>
      <c r="P292">
        <f t="shared" si="65"/>
        <v>146</v>
      </c>
      <c r="Q292" s="661">
        <f t="shared" si="66"/>
        <v>0.0452012383900929</v>
      </c>
    </row>
    <row r="293" spans="1:17">
      <c r="A293" s="653">
        <v>45452</v>
      </c>
      <c r="B293" s="589">
        <v>2496.56</v>
      </c>
      <c r="C293" s="589">
        <v>704540</v>
      </c>
      <c r="D293" s="589">
        <v>3269</v>
      </c>
      <c r="E293" s="589">
        <v>1</v>
      </c>
      <c r="F293" s="589">
        <v>6798</v>
      </c>
      <c r="G293" s="589">
        <v>34</v>
      </c>
      <c r="H293" s="589">
        <v>158</v>
      </c>
      <c r="I293" s="589">
        <v>9</v>
      </c>
      <c r="J293" s="649">
        <f t="shared" si="59"/>
        <v>0.00463990688960173</v>
      </c>
      <c r="K293" s="648">
        <f t="shared" si="60"/>
        <v>0.76370755582747</v>
      </c>
      <c r="L293" s="648">
        <f t="shared" si="61"/>
        <v>3.54353194992477</v>
      </c>
      <c r="M293" s="648">
        <f t="shared" si="62"/>
        <v>2.72294677476207</v>
      </c>
      <c r="N293" s="649">
        <f t="shared" si="63"/>
        <v>0.000305903946160905</v>
      </c>
      <c r="O293" s="560">
        <f t="shared" si="64"/>
        <v>13.0029166666667</v>
      </c>
      <c r="P293">
        <f t="shared" si="65"/>
        <v>192</v>
      </c>
      <c r="Q293" s="661">
        <f t="shared" si="66"/>
        <v>0.0587335576628938</v>
      </c>
    </row>
    <row r="294" spans="1:17">
      <c r="A294" s="653">
        <v>45453</v>
      </c>
      <c r="B294" s="589">
        <v>2510.78</v>
      </c>
      <c r="C294" s="589">
        <v>803441</v>
      </c>
      <c r="D294" s="589">
        <v>3554</v>
      </c>
      <c r="E294" s="589">
        <v>6</v>
      </c>
      <c r="F294" s="589">
        <v>83234</v>
      </c>
      <c r="G294" s="589">
        <v>53</v>
      </c>
      <c r="H294" s="589">
        <v>158</v>
      </c>
      <c r="I294" s="589">
        <v>21</v>
      </c>
      <c r="J294" s="649">
        <f t="shared" si="59"/>
        <v>0.0044234735344599</v>
      </c>
      <c r="K294" s="648">
        <f t="shared" si="60"/>
        <v>0.706465953854812</v>
      </c>
      <c r="L294" s="648">
        <f t="shared" si="61"/>
        <v>3.12503344987373</v>
      </c>
      <c r="M294" s="648">
        <f t="shared" si="62"/>
        <v>33.1506543783207</v>
      </c>
      <c r="N294" s="649">
        <f t="shared" si="63"/>
        <v>0.00168823860438942</v>
      </c>
      <c r="O294" s="560">
        <f t="shared" si="64"/>
        <v>11.8994312796209</v>
      </c>
      <c r="P294">
        <f t="shared" si="65"/>
        <v>211</v>
      </c>
      <c r="Q294" s="661">
        <f t="shared" si="66"/>
        <v>0.0593697242543613</v>
      </c>
    </row>
    <row r="295" spans="1:17">
      <c r="A295" s="653">
        <v>45454</v>
      </c>
      <c r="B295" s="589">
        <v>3527.88</v>
      </c>
      <c r="C295" s="589">
        <v>737536</v>
      </c>
      <c r="D295" s="589">
        <v>5715</v>
      </c>
      <c r="E295" s="589">
        <v>7</v>
      </c>
      <c r="F295" s="589">
        <v>90393</v>
      </c>
      <c r="G295" s="589">
        <v>65</v>
      </c>
      <c r="H295" s="589">
        <v>131</v>
      </c>
      <c r="I295" s="589">
        <v>15</v>
      </c>
      <c r="J295" s="649">
        <f t="shared" si="59"/>
        <v>0.00774877429711906</v>
      </c>
      <c r="K295" s="648">
        <f t="shared" si="60"/>
        <v>0.617301837270341</v>
      </c>
      <c r="L295" s="648">
        <f t="shared" si="61"/>
        <v>4.78333261020479</v>
      </c>
      <c r="M295" s="648">
        <f t="shared" si="62"/>
        <v>25.622470152046</v>
      </c>
      <c r="N295" s="649">
        <f t="shared" si="63"/>
        <v>0.00122484689413823</v>
      </c>
      <c r="O295" s="560">
        <f t="shared" si="64"/>
        <v>17.999387755102</v>
      </c>
      <c r="P295">
        <f t="shared" si="65"/>
        <v>196</v>
      </c>
      <c r="Q295" s="661">
        <f t="shared" si="66"/>
        <v>0.0342957130358705</v>
      </c>
    </row>
    <row r="296" spans="1:17">
      <c r="A296" s="653">
        <v>45455</v>
      </c>
      <c r="B296" s="589">
        <v>3497.7</v>
      </c>
      <c r="C296" s="589">
        <v>757859</v>
      </c>
      <c r="D296" s="589">
        <v>5126</v>
      </c>
      <c r="E296" s="589">
        <v>4</v>
      </c>
      <c r="F296" s="589">
        <v>67121</v>
      </c>
      <c r="G296" s="589">
        <v>53</v>
      </c>
      <c r="H296" s="589">
        <v>144</v>
      </c>
      <c r="I296" s="589">
        <v>14</v>
      </c>
      <c r="J296" s="649">
        <f t="shared" si="59"/>
        <v>0.00676379115376343</v>
      </c>
      <c r="K296" s="648">
        <f t="shared" si="60"/>
        <v>0.682344908310573</v>
      </c>
      <c r="L296" s="648">
        <f t="shared" si="61"/>
        <v>4.61523845464658</v>
      </c>
      <c r="M296" s="648">
        <f t="shared" si="62"/>
        <v>19.1900391685965</v>
      </c>
      <c r="N296" s="649">
        <f t="shared" si="63"/>
        <v>0.000780335544284042</v>
      </c>
      <c r="O296" s="560">
        <f t="shared" si="64"/>
        <v>17.7548223350254</v>
      </c>
      <c r="P296">
        <f t="shared" si="65"/>
        <v>197</v>
      </c>
      <c r="Q296" s="661">
        <f t="shared" si="66"/>
        <v>0.0384315255559891</v>
      </c>
    </row>
    <row r="297" spans="1:17">
      <c r="A297" s="653">
        <v>45456</v>
      </c>
      <c r="B297" s="589">
        <v>2458.55</v>
      </c>
      <c r="C297" s="589">
        <v>744782</v>
      </c>
      <c r="D297" s="589">
        <v>3407</v>
      </c>
      <c r="E297" s="589">
        <v>4</v>
      </c>
      <c r="F297" s="589">
        <v>61144</v>
      </c>
      <c r="G297" s="589">
        <v>46</v>
      </c>
      <c r="H297" s="589">
        <v>135</v>
      </c>
      <c r="I297" s="589">
        <v>14</v>
      </c>
      <c r="J297" s="649">
        <f t="shared" si="59"/>
        <v>0.00457449293887339</v>
      </c>
      <c r="K297" s="648">
        <f t="shared" si="60"/>
        <v>0.721617258585266</v>
      </c>
      <c r="L297" s="648">
        <f t="shared" si="61"/>
        <v>3.30103305396747</v>
      </c>
      <c r="M297" s="648">
        <f t="shared" si="62"/>
        <v>24.869943665982</v>
      </c>
      <c r="N297" s="649">
        <f t="shared" si="63"/>
        <v>0.00117405341943058</v>
      </c>
      <c r="O297" s="560">
        <f t="shared" si="64"/>
        <v>13.5831491712707</v>
      </c>
      <c r="P297">
        <f t="shared" si="65"/>
        <v>181</v>
      </c>
      <c r="Q297" s="661">
        <f t="shared" si="66"/>
        <v>0.0531259172292339</v>
      </c>
    </row>
    <row r="298" spans="1:17">
      <c r="A298" s="653">
        <v>45457</v>
      </c>
      <c r="B298" s="589">
        <v>2505.75</v>
      </c>
      <c r="C298" s="589">
        <v>617806</v>
      </c>
      <c r="D298" s="589">
        <v>2712</v>
      </c>
      <c r="E298" s="589">
        <v>4</v>
      </c>
      <c r="F298" s="589">
        <v>63036</v>
      </c>
      <c r="G298" s="589">
        <v>34</v>
      </c>
      <c r="H298" s="589">
        <v>141</v>
      </c>
      <c r="I298" s="589">
        <v>12</v>
      </c>
      <c r="J298" s="649">
        <f t="shared" si="59"/>
        <v>0.00438972751964209</v>
      </c>
      <c r="K298" s="648">
        <f t="shared" si="60"/>
        <v>0.923949115044248</v>
      </c>
      <c r="L298" s="648">
        <f t="shared" si="61"/>
        <v>4.05588485705869</v>
      </c>
      <c r="M298" s="648">
        <f t="shared" si="62"/>
        <v>25.1565399580964</v>
      </c>
      <c r="N298" s="649">
        <f t="shared" si="63"/>
        <v>0.00147492625368732</v>
      </c>
      <c r="O298" s="560">
        <f t="shared" si="64"/>
        <v>14.3185714285714</v>
      </c>
      <c r="P298">
        <f t="shared" si="65"/>
        <v>175</v>
      </c>
      <c r="Q298" s="661">
        <f t="shared" si="66"/>
        <v>0.0645280235988201</v>
      </c>
    </row>
    <row r="299" spans="1:17">
      <c r="A299" s="653">
        <v>45458</v>
      </c>
      <c r="B299" s="589">
        <v>3832.81</v>
      </c>
      <c r="C299" s="589">
        <v>660581</v>
      </c>
      <c r="D299" s="589">
        <v>3357</v>
      </c>
      <c r="E299" s="589">
        <v>10</v>
      </c>
      <c r="F299" s="589">
        <v>78378</v>
      </c>
      <c r="G299" s="589">
        <v>58</v>
      </c>
      <c r="H299" s="589">
        <v>233</v>
      </c>
      <c r="I299" s="589">
        <v>10</v>
      </c>
      <c r="J299" s="649">
        <f t="shared" si="59"/>
        <v>0.00508189003316777</v>
      </c>
      <c r="K299" s="648">
        <f t="shared" si="60"/>
        <v>1.14173666964552</v>
      </c>
      <c r="L299" s="648">
        <f t="shared" si="61"/>
        <v>5.80218020197372</v>
      </c>
      <c r="M299" s="648">
        <f t="shared" si="62"/>
        <v>20.4492265465807</v>
      </c>
      <c r="N299" s="649">
        <f t="shared" si="63"/>
        <v>0.00297885016383676</v>
      </c>
      <c r="O299" s="560">
        <f t="shared" si="64"/>
        <v>13.1711683848797</v>
      </c>
      <c r="P299">
        <f t="shared" si="65"/>
        <v>291</v>
      </c>
      <c r="Q299" s="661">
        <f t="shared" si="66"/>
        <v>0.0866845397676497</v>
      </c>
    </row>
    <row r="300" spans="1:17">
      <c r="A300" s="653">
        <v>45459</v>
      </c>
      <c r="B300" s="589">
        <v>3798.99</v>
      </c>
      <c r="C300" s="589">
        <v>673682</v>
      </c>
      <c r="D300" s="589">
        <v>3254</v>
      </c>
      <c r="E300" s="589">
        <v>4</v>
      </c>
      <c r="F300" s="589">
        <v>48977</v>
      </c>
      <c r="G300" s="589">
        <v>54</v>
      </c>
      <c r="H300" s="589">
        <v>272</v>
      </c>
      <c r="I300" s="589">
        <v>16</v>
      </c>
      <c r="J300" s="649">
        <f t="shared" si="59"/>
        <v>0.0048301720990022</v>
      </c>
      <c r="K300" s="648">
        <f t="shared" si="60"/>
        <v>1.16748309772588</v>
      </c>
      <c r="L300" s="648">
        <f t="shared" si="61"/>
        <v>5.63914428469218</v>
      </c>
      <c r="M300" s="648">
        <f t="shared" si="62"/>
        <v>12.89211079787</v>
      </c>
      <c r="N300" s="649">
        <f t="shared" si="63"/>
        <v>0.00122925629993854</v>
      </c>
      <c r="O300" s="560">
        <f t="shared" si="64"/>
        <v>11.6533435582822</v>
      </c>
      <c r="P300">
        <f t="shared" si="65"/>
        <v>326</v>
      </c>
      <c r="Q300" s="661">
        <f t="shared" si="66"/>
        <v>0.100184388444991</v>
      </c>
    </row>
    <row r="301" spans="1:17">
      <c r="A301" s="653">
        <v>45460</v>
      </c>
      <c r="B301" s="589">
        <v>5953.39</v>
      </c>
      <c r="C301" s="589">
        <v>921048</v>
      </c>
      <c r="D301" s="589">
        <v>5609</v>
      </c>
      <c r="E301" s="589">
        <v>1</v>
      </c>
      <c r="F301" s="589">
        <v>11997</v>
      </c>
      <c r="G301" s="589">
        <v>62</v>
      </c>
      <c r="H301" s="589">
        <v>261</v>
      </c>
      <c r="I301" s="589">
        <v>11</v>
      </c>
      <c r="J301" s="649">
        <f t="shared" si="59"/>
        <v>0.00608980205157603</v>
      </c>
      <c r="K301" s="648">
        <f t="shared" si="60"/>
        <v>1.06139953645926</v>
      </c>
      <c r="L301" s="648">
        <f t="shared" si="61"/>
        <v>6.46371307467146</v>
      </c>
      <c r="M301" s="648">
        <f t="shared" si="62"/>
        <v>2.01515439102763</v>
      </c>
      <c r="N301" s="649">
        <f t="shared" si="63"/>
        <v>0.000178284899269032</v>
      </c>
      <c r="O301" s="560">
        <f t="shared" si="64"/>
        <v>18.4315479876161</v>
      </c>
      <c r="P301">
        <f t="shared" si="65"/>
        <v>323</v>
      </c>
      <c r="Q301" s="661">
        <f t="shared" si="66"/>
        <v>0.0575860224638973</v>
      </c>
    </row>
    <row r="302" spans="1:17">
      <c r="A302" s="653">
        <v>45461</v>
      </c>
      <c r="B302" s="589">
        <v>7057.96</v>
      </c>
      <c r="C302" s="589">
        <v>838650</v>
      </c>
      <c r="D302" s="589">
        <v>8069</v>
      </c>
      <c r="E302" s="589">
        <v>8</v>
      </c>
      <c r="F302" s="589">
        <v>86379</v>
      </c>
      <c r="G302" s="589">
        <v>84</v>
      </c>
      <c r="H302" s="589">
        <v>301</v>
      </c>
      <c r="I302" s="589">
        <v>15</v>
      </c>
      <c r="J302" s="649">
        <f t="shared" si="59"/>
        <v>0.00962141536993978</v>
      </c>
      <c r="K302" s="648">
        <f t="shared" si="60"/>
        <v>0.874700706407238</v>
      </c>
      <c r="L302" s="648">
        <f t="shared" si="61"/>
        <v>8.41585882072378</v>
      </c>
      <c r="M302" s="648">
        <f t="shared" si="62"/>
        <v>12.2385221792133</v>
      </c>
      <c r="N302" s="649">
        <f t="shared" si="63"/>
        <v>0.000991448754492502</v>
      </c>
      <c r="O302" s="560">
        <f t="shared" si="64"/>
        <v>18.3323636363636</v>
      </c>
      <c r="P302">
        <f t="shared" si="65"/>
        <v>385</v>
      </c>
      <c r="Q302" s="661">
        <f t="shared" si="66"/>
        <v>0.0477134713099517</v>
      </c>
    </row>
    <row r="303" spans="1:17">
      <c r="A303" s="653">
        <v>45462</v>
      </c>
      <c r="B303" s="589">
        <v>5030.31</v>
      </c>
      <c r="C303" s="589">
        <v>436109</v>
      </c>
      <c r="D303" s="589">
        <v>3404</v>
      </c>
      <c r="E303" s="589">
        <v>0</v>
      </c>
      <c r="F303" s="589">
        <v>0</v>
      </c>
      <c r="G303" s="589">
        <v>75</v>
      </c>
      <c r="H303" s="589">
        <v>293</v>
      </c>
      <c r="I303" s="589">
        <v>14</v>
      </c>
      <c r="J303" s="649">
        <f t="shared" si="59"/>
        <v>0.00780538810251566</v>
      </c>
      <c r="K303" s="648">
        <f t="shared" si="60"/>
        <v>1.47776439482961</v>
      </c>
      <c r="L303" s="648">
        <f t="shared" si="61"/>
        <v>11.5345246257243</v>
      </c>
      <c r="M303" s="648">
        <f t="shared" si="62"/>
        <v>0</v>
      </c>
      <c r="N303" s="649">
        <f t="shared" si="63"/>
        <v>0</v>
      </c>
      <c r="O303" s="560">
        <f t="shared" si="64"/>
        <v>13.6693206521739</v>
      </c>
      <c r="P303">
        <f t="shared" si="65"/>
        <v>368</v>
      </c>
      <c r="Q303" s="661">
        <f t="shared" si="66"/>
        <v>0.108108108108108</v>
      </c>
    </row>
    <row r="304" spans="1:17">
      <c r="A304" s="653">
        <v>45463</v>
      </c>
      <c r="B304" s="589">
        <v>5193.05</v>
      </c>
      <c r="C304" s="589">
        <v>613093</v>
      </c>
      <c r="D304" s="589">
        <v>3916</v>
      </c>
      <c r="E304" s="589">
        <v>3</v>
      </c>
      <c r="F304" s="589">
        <v>26394</v>
      </c>
      <c r="G304" s="589">
        <v>44</v>
      </c>
      <c r="H304" s="589">
        <v>289</v>
      </c>
      <c r="I304" s="589">
        <v>10</v>
      </c>
      <c r="J304" s="649">
        <f t="shared" si="59"/>
        <v>0.00638728545261486</v>
      </c>
      <c r="K304" s="648">
        <f t="shared" si="60"/>
        <v>1.32611082737487</v>
      </c>
      <c r="L304" s="648">
        <f t="shared" si="61"/>
        <v>8.47024839624657</v>
      </c>
      <c r="M304" s="648">
        <f t="shared" si="62"/>
        <v>5.08256227072722</v>
      </c>
      <c r="N304" s="649">
        <f t="shared" si="63"/>
        <v>0.00076608784473953</v>
      </c>
      <c r="O304" s="560">
        <f t="shared" si="64"/>
        <v>15.5947447447447</v>
      </c>
      <c r="P304">
        <f t="shared" si="65"/>
        <v>333</v>
      </c>
      <c r="Q304" s="661">
        <f t="shared" si="66"/>
        <v>0.0850357507660878</v>
      </c>
    </row>
    <row r="305" spans="1:17">
      <c r="A305" s="653">
        <v>45464</v>
      </c>
      <c r="B305" s="589">
        <v>3166.38</v>
      </c>
      <c r="C305" s="589">
        <v>938194</v>
      </c>
      <c r="D305" s="589">
        <v>4400</v>
      </c>
      <c r="E305" s="589">
        <v>0</v>
      </c>
      <c r="F305" s="589">
        <v>0</v>
      </c>
      <c r="G305" s="589">
        <v>35</v>
      </c>
      <c r="H305" s="589">
        <v>296</v>
      </c>
      <c r="I305" s="589">
        <v>7</v>
      </c>
      <c r="J305" s="649">
        <f t="shared" si="59"/>
        <v>0.00468986158513058</v>
      </c>
      <c r="K305" s="648">
        <f t="shared" si="60"/>
        <v>0.719631818181818</v>
      </c>
      <c r="L305" s="648">
        <f t="shared" si="61"/>
        <v>3.37497361952858</v>
      </c>
      <c r="M305" s="648">
        <f t="shared" si="62"/>
        <v>0</v>
      </c>
      <c r="N305" s="649">
        <f t="shared" si="63"/>
        <v>0</v>
      </c>
      <c r="O305" s="560">
        <f t="shared" si="64"/>
        <v>9.56610271903323</v>
      </c>
      <c r="P305">
        <f t="shared" si="65"/>
        <v>331</v>
      </c>
      <c r="Q305" s="661">
        <f t="shared" si="66"/>
        <v>0.0752272727272727</v>
      </c>
    </row>
    <row r="306" spans="1:17">
      <c r="A306" s="653">
        <v>45465</v>
      </c>
      <c r="B306" s="589">
        <v>2704.4</v>
      </c>
      <c r="C306" s="589">
        <v>814693</v>
      </c>
      <c r="D306" s="589">
        <v>3614</v>
      </c>
      <c r="E306" s="589">
        <v>0</v>
      </c>
      <c r="F306" s="589">
        <v>0</v>
      </c>
      <c r="G306" s="589">
        <v>36</v>
      </c>
      <c r="H306" s="589">
        <v>276</v>
      </c>
      <c r="I306" s="589">
        <v>4</v>
      </c>
      <c r="J306" s="649">
        <f t="shared" si="59"/>
        <v>0.00443602682237358</v>
      </c>
      <c r="K306" s="648">
        <f t="shared" si="60"/>
        <v>0.748312119535141</v>
      </c>
      <c r="L306" s="648">
        <f t="shared" si="61"/>
        <v>3.31953263376511</v>
      </c>
      <c r="M306" s="648">
        <f t="shared" si="62"/>
        <v>0</v>
      </c>
      <c r="N306" s="649">
        <f t="shared" si="63"/>
        <v>0</v>
      </c>
      <c r="O306" s="560">
        <f t="shared" si="64"/>
        <v>8.66794871794872</v>
      </c>
      <c r="P306">
        <f t="shared" si="65"/>
        <v>312</v>
      </c>
      <c r="Q306" s="661">
        <f t="shared" si="66"/>
        <v>0.0863309352517986</v>
      </c>
    </row>
    <row r="307" spans="1:17">
      <c r="A307" s="653">
        <v>45466</v>
      </c>
      <c r="B307" s="589">
        <v>2735.8</v>
      </c>
      <c r="C307" s="589">
        <v>611688</v>
      </c>
      <c r="D307" s="589">
        <v>3374</v>
      </c>
      <c r="E307" s="589">
        <v>0</v>
      </c>
      <c r="F307" s="589">
        <v>0</v>
      </c>
      <c r="G307" s="589">
        <v>35</v>
      </c>
      <c r="H307" s="589">
        <v>307</v>
      </c>
      <c r="I307" s="589">
        <v>5</v>
      </c>
      <c r="J307" s="649">
        <f t="shared" si="59"/>
        <v>0.00551588391467546</v>
      </c>
      <c r="K307" s="648">
        <f t="shared" si="60"/>
        <v>0.810847658565501</v>
      </c>
      <c r="L307" s="648">
        <f t="shared" si="61"/>
        <v>4.4725415571337</v>
      </c>
      <c r="M307" s="648">
        <f t="shared" si="62"/>
        <v>0</v>
      </c>
      <c r="N307" s="649">
        <f t="shared" si="63"/>
        <v>0</v>
      </c>
      <c r="O307" s="560">
        <f t="shared" si="64"/>
        <v>7.99941520467836</v>
      </c>
      <c r="P307">
        <f t="shared" si="65"/>
        <v>342</v>
      </c>
      <c r="Q307" s="661">
        <f t="shared" si="66"/>
        <v>0.101363366923533</v>
      </c>
    </row>
    <row r="308" spans="1:17">
      <c r="A308" s="653">
        <v>45467</v>
      </c>
      <c r="B308" s="589">
        <v>4053.17</v>
      </c>
      <c r="C308" s="589">
        <v>887019</v>
      </c>
      <c r="D308" s="589">
        <v>4755</v>
      </c>
      <c r="E308" s="589">
        <v>0</v>
      </c>
      <c r="F308" s="589">
        <v>0</v>
      </c>
      <c r="G308" s="589">
        <v>35</v>
      </c>
      <c r="H308" s="589">
        <v>378</v>
      </c>
      <c r="I308" s="589">
        <v>8</v>
      </c>
      <c r="J308" s="649">
        <f t="shared" si="59"/>
        <v>0.00536065180114518</v>
      </c>
      <c r="K308" s="648">
        <f t="shared" si="60"/>
        <v>0.852401682439537</v>
      </c>
      <c r="L308" s="648">
        <f t="shared" si="61"/>
        <v>4.56942861426869</v>
      </c>
      <c r="M308" s="648">
        <f t="shared" si="62"/>
        <v>0</v>
      </c>
      <c r="N308" s="649">
        <f t="shared" si="63"/>
        <v>0</v>
      </c>
      <c r="O308" s="560">
        <f t="shared" si="64"/>
        <v>9.81397094430993</v>
      </c>
      <c r="P308">
        <f t="shared" si="65"/>
        <v>413</v>
      </c>
      <c r="Q308" s="661">
        <f t="shared" si="66"/>
        <v>0.0868559411146162</v>
      </c>
    </row>
    <row r="309" spans="1:17">
      <c r="A309" s="653">
        <v>45468</v>
      </c>
      <c r="B309" s="557">
        <v>4259</v>
      </c>
      <c r="C309" s="37">
        <v>1436388</v>
      </c>
      <c r="D309" s="37">
        <v>6139</v>
      </c>
      <c r="E309" s="37">
        <v>1</v>
      </c>
      <c r="F309" s="37">
        <v>19114</v>
      </c>
      <c r="G309" s="37">
        <v>50</v>
      </c>
      <c r="H309" s="37">
        <v>353</v>
      </c>
      <c r="I309" s="558">
        <v>17</v>
      </c>
      <c r="J309" s="649">
        <f t="shared" si="59"/>
        <v>0.00427391484752031</v>
      </c>
      <c r="K309" s="648">
        <f t="shared" si="60"/>
        <v>0.693761198892328</v>
      </c>
      <c r="L309" s="648">
        <f t="shared" si="61"/>
        <v>2.96507628857941</v>
      </c>
      <c r="M309" s="648">
        <f t="shared" si="62"/>
        <v>4.48790795961493</v>
      </c>
      <c r="N309" s="649">
        <f t="shared" si="63"/>
        <v>0.000162892979312592</v>
      </c>
      <c r="O309" s="560">
        <f t="shared" si="64"/>
        <v>10.5682382133995</v>
      </c>
      <c r="P309">
        <f t="shared" si="65"/>
        <v>403</v>
      </c>
      <c r="Q309" s="661">
        <f t="shared" si="66"/>
        <v>0.0656458706629744</v>
      </c>
    </row>
    <row r="310" spans="1:17">
      <c r="A310" s="653">
        <v>45469</v>
      </c>
      <c r="B310" s="557">
        <v>4826.12</v>
      </c>
      <c r="C310" s="37">
        <v>1402427</v>
      </c>
      <c r="D310" s="37">
        <v>7692</v>
      </c>
      <c r="E310" s="37">
        <v>2</v>
      </c>
      <c r="F310" s="37">
        <v>12254</v>
      </c>
      <c r="G310" s="37">
        <v>58</v>
      </c>
      <c r="H310" s="37">
        <v>408</v>
      </c>
      <c r="I310" s="558">
        <v>13</v>
      </c>
      <c r="J310" s="649">
        <f t="shared" si="59"/>
        <v>0.00548477746078762</v>
      </c>
      <c r="K310" s="648">
        <f t="shared" si="60"/>
        <v>0.627420696827873</v>
      </c>
      <c r="L310" s="648">
        <f t="shared" si="61"/>
        <v>3.44126289639318</v>
      </c>
      <c r="M310" s="648">
        <f t="shared" si="62"/>
        <v>2.53909973229012</v>
      </c>
      <c r="N310" s="649">
        <f t="shared" si="63"/>
        <v>0.000260010400416017</v>
      </c>
      <c r="O310" s="560">
        <f t="shared" si="64"/>
        <v>10.3564806866953</v>
      </c>
      <c r="P310">
        <f t="shared" si="65"/>
        <v>466</v>
      </c>
      <c r="Q310" s="661">
        <f t="shared" si="66"/>
        <v>0.0605824232969319</v>
      </c>
    </row>
    <row r="311" spans="1:17">
      <c r="A311" s="653">
        <v>45470</v>
      </c>
      <c r="B311" s="557">
        <v>4347.65</v>
      </c>
      <c r="C311" s="37">
        <v>1377618</v>
      </c>
      <c r="D311" s="37">
        <v>6203</v>
      </c>
      <c r="E311" s="37">
        <v>0</v>
      </c>
      <c r="F311" s="37">
        <v>0</v>
      </c>
      <c r="G311" s="37">
        <v>73</v>
      </c>
      <c r="H311" s="37">
        <v>355</v>
      </c>
      <c r="I311" s="558">
        <v>10</v>
      </c>
      <c r="J311" s="649">
        <f t="shared" si="59"/>
        <v>0.00450269958725859</v>
      </c>
      <c r="K311" s="648">
        <f t="shared" si="60"/>
        <v>0.700894728357246</v>
      </c>
      <c r="L311" s="648">
        <f t="shared" si="61"/>
        <v>3.15591840408589</v>
      </c>
      <c r="M311" s="648">
        <f t="shared" si="62"/>
        <v>0</v>
      </c>
      <c r="N311" s="649">
        <f t="shared" si="63"/>
        <v>0</v>
      </c>
      <c r="O311" s="560">
        <f t="shared" si="64"/>
        <v>10.1580607476636</v>
      </c>
      <c r="P311">
        <f t="shared" si="65"/>
        <v>428</v>
      </c>
      <c r="Q311" s="661">
        <f t="shared" si="66"/>
        <v>0.0689988715137837</v>
      </c>
    </row>
    <row r="312" spans="1:17">
      <c r="A312" s="653">
        <v>45471</v>
      </c>
      <c r="B312" s="557">
        <v>4362.21</v>
      </c>
      <c r="C312" s="37">
        <v>1245721</v>
      </c>
      <c r="D312" s="37">
        <v>7572</v>
      </c>
      <c r="E312" s="37">
        <v>0</v>
      </c>
      <c r="F312" s="37">
        <v>0</v>
      </c>
      <c r="G312" s="37">
        <v>55</v>
      </c>
      <c r="H312" s="37">
        <v>344</v>
      </c>
      <c r="I312" s="558">
        <v>9</v>
      </c>
      <c r="J312" s="649">
        <f t="shared" ref="J312:J320" si="67">D312/C312</f>
        <v>0.00607840760491314</v>
      </c>
      <c r="K312" s="648">
        <f t="shared" ref="K312:K320" si="68">B312/D312</f>
        <v>0.576097464342314</v>
      </c>
      <c r="L312" s="648">
        <f t="shared" ref="L312:L320" si="69">B312/C312*1000</f>
        <v>3.5017552084295</v>
      </c>
      <c r="M312" s="648">
        <f t="shared" ref="M312:M320" si="70">F312/B312</f>
        <v>0</v>
      </c>
      <c r="N312" s="649">
        <f t="shared" ref="N312:N320" si="71">E312/D312</f>
        <v>0</v>
      </c>
      <c r="O312" s="560">
        <f t="shared" ref="O312:O320" si="72">B312/(G312+H312)</f>
        <v>10.9328571428571</v>
      </c>
      <c r="P312">
        <f t="shared" ref="P312:P320" si="73">G312+H312</f>
        <v>399</v>
      </c>
      <c r="Q312" s="661">
        <f t="shared" ref="Q312:Q320" si="74">P312/D312</f>
        <v>0.0526941362916006</v>
      </c>
    </row>
    <row r="313" spans="1:17">
      <c r="A313" s="653">
        <v>45472</v>
      </c>
      <c r="B313" s="557">
        <v>4290.71</v>
      </c>
      <c r="C313" s="37">
        <v>1886413</v>
      </c>
      <c r="D313" s="37">
        <v>8024</v>
      </c>
      <c r="E313" s="37">
        <v>0</v>
      </c>
      <c r="F313" s="37">
        <v>0</v>
      </c>
      <c r="G313" s="37">
        <v>51</v>
      </c>
      <c r="H313" s="37">
        <v>322</v>
      </c>
      <c r="I313" s="558">
        <v>25</v>
      </c>
      <c r="J313" s="649">
        <f t="shared" si="67"/>
        <v>0.00425357543655605</v>
      </c>
      <c r="K313" s="648">
        <f t="shared" si="68"/>
        <v>0.534734546360917</v>
      </c>
      <c r="L313" s="648">
        <f t="shared" si="69"/>
        <v>2.27453373147874</v>
      </c>
      <c r="M313" s="648">
        <f t="shared" si="70"/>
        <v>0</v>
      </c>
      <c r="N313" s="649">
        <f t="shared" si="71"/>
        <v>0</v>
      </c>
      <c r="O313" s="560">
        <f t="shared" si="72"/>
        <v>11.5032439678284</v>
      </c>
      <c r="P313">
        <f t="shared" si="73"/>
        <v>373</v>
      </c>
      <c r="Q313" s="661">
        <f t="shared" si="74"/>
        <v>0.0464855433698903</v>
      </c>
    </row>
    <row r="314" spans="1:17">
      <c r="A314" s="653">
        <v>45473</v>
      </c>
      <c r="B314" s="557">
        <v>4371.67</v>
      </c>
      <c r="C314" s="37">
        <v>1934098</v>
      </c>
      <c r="D314" s="37">
        <v>7992</v>
      </c>
      <c r="E314" s="37">
        <v>1</v>
      </c>
      <c r="F314" s="37">
        <v>16454</v>
      </c>
      <c r="G314" s="37">
        <v>66</v>
      </c>
      <c r="H314" s="37">
        <v>382</v>
      </c>
      <c r="I314" s="558">
        <v>29</v>
      </c>
      <c r="J314" s="649">
        <f t="shared" si="67"/>
        <v>0.00413215876341323</v>
      </c>
      <c r="K314" s="648">
        <f t="shared" si="68"/>
        <v>0.547005755755756</v>
      </c>
      <c r="L314" s="648">
        <f t="shared" si="69"/>
        <v>2.26031462728362</v>
      </c>
      <c r="M314" s="648">
        <f t="shared" si="70"/>
        <v>3.76377905926111</v>
      </c>
      <c r="N314" s="649">
        <f t="shared" si="71"/>
        <v>0.000125125125125125</v>
      </c>
      <c r="O314" s="560">
        <f t="shared" si="72"/>
        <v>9.75819196428571</v>
      </c>
      <c r="P314">
        <f t="shared" si="73"/>
        <v>448</v>
      </c>
      <c r="Q314" s="661">
        <f t="shared" si="74"/>
        <v>0.0560560560560561</v>
      </c>
    </row>
    <row r="315" spans="1:17">
      <c r="A315" s="653">
        <v>45474</v>
      </c>
      <c r="B315" s="557">
        <v>3876.52</v>
      </c>
      <c r="C315" s="37">
        <v>1612814</v>
      </c>
      <c r="D315" s="37">
        <v>6922</v>
      </c>
      <c r="E315" s="37">
        <v>2</v>
      </c>
      <c r="F315" s="37">
        <v>38444</v>
      </c>
      <c r="G315" s="37">
        <v>72</v>
      </c>
      <c r="H315" s="37">
        <v>330</v>
      </c>
      <c r="I315" s="558">
        <v>15</v>
      </c>
      <c r="J315" s="649">
        <f t="shared" si="67"/>
        <v>0.00429187742665924</v>
      </c>
      <c r="K315" s="648">
        <f t="shared" si="68"/>
        <v>0.560028893383415</v>
      </c>
      <c r="L315" s="648">
        <f t="shared" si="69"/>
        <v>2.40357536578924</v>
      </c>
      <c r="M315" s="648">
        <f t="shared" si="70"/>
        <v>9.91714217906782</v>
      </c>
      <c r="N315" s="649">
        <f t="shared" si="71"/>
        <v>0.000288933834151979</v>
      </c>
      <c r="O315" s="560">
        <f t="shared" si="72"/>
        <v>9.64308457711443</v>
      </c>
      <c r="P315">
        <f t="shared" si="73"/>
        <v>402</v>
      </c>
      <c r="Q315" s="661">
        <f t="shared" si="74"/>
        <v>0.0580757006645478</v>
      </c>
    </row>
    <row r="316" spans="1:17">
      <c r="A316" s="653">
        <v>45475</v>
      </c>
      <c r="B316" s="557">
        <v>3165.44</v>
      </c>
      <c r="C316" s="37">
        <v>1587109</v>
      </c>
      <c r="D316" s="37">
        <v>6476</v>
      </c>
      <c r="E316" s="37">
        <v>0</v>
      </c>
      <c r="F316" s="37">
        <v>0</v>
      </c>
      <c r="G316" s="37">
        <v>63</v>
      </c>
      <c r="H316" s="37">
        <v>314</v>
      </c>
      <c r="I316" s="558">
        <v>20</v>
      </c>
      <c r="J316" s="649">
        <f t="shared" si="67"/>
        <v>0.00408037507190747</v>
      </c>
      <c r="K316" s="648">
        <f t="shared" si="68"/>
        <v>0.488795552810377</v>
      </c>
      <c r="L316" s="648">
        <f t="shared" si="69"/>
        <v>1.9944691889467</v>
      </c>
      <c r="M316" s="648">
        <f t="shared" si="70"/>
        <v>0</v>
      </c>
      <c r="N316" s="649">
        <f t="shared" si="71"/>
        <v>0</v>
      </c>
      <c r="O316" s="560">
        <f t="shared" si="72"/>
        <v>8.3963925729443</v>
      </c>
      <c r="P316">
        <f t="shared" si="73"/>
        <v>377</v>
      </c>
      <c r="Q316" s="661">
        <f t="shared" si="74"/>
        <v>0.0582149474984558</v>
      </c>
    </row>
    <row r="317" spans="1:17">
      <c r="A317" s="653">
        <v>45476</v>
      </c>
      <c r="B317" s="557">
        <v>3681.99</v>
      </c>
      <c r="C317" s="37">
        <v>1586996</v>
      </c>
      <c r="D317" s="37">
        <v>8294</v>
      </c>
      <c r="E317" s="37">
        <v>2</v>
      </c>
      <c r="F317" s="37">
        <v>35416</v>
      </c>
      <c r="G317" s="37">
        <v>75</v>
      </c>
      <c r="H317" s="37">
        <v>310</v>
      </c>
      <c r="I317" s="558">
        <v>20</v>
      </c>
      <c r="J317" s="649">
        <f t="shared" si="67"/>
        <v>0.00522622615305899</v>
      </c>
      <c r="K317" s="648">
        <f t="shared" si="68"/>
        <v>0.443934169278997</v>
      </c>
      <c r="L317" s="648">
        <f t="shared" si="69"/>
        <v>2.32010036572241</v>
      </c>
      <c r="M317" s="648">
        <f t="shared" si="70"/>
        <v>9.6187116206182</v>
      </c>
      <c r="N317" s="649">
        <f t="shared" si="71"/>
        <v>0.000241138172172655</v>
      </c>
      <c r="O317" s="560">
        <f t="shared" si="72"/>
        <v>9.56361038961039</v>
      </c>
      <c r="P317">
        <f t="shared" si="73"/>
        <v>385</v>
      </c>
      <c r="Q317" s="661">
        <f t="shared" si="74"/>
        <v>0.0464190981432361</v>
      </c>
    </row>
    <row r="318" spans="1:17">
      <c r="A318" s="653">
        <v>45477</v>
      </c>
      <c r="B318" s="557">
        <v>2526.03</v>
      </c>
      <c r="C318" s="37">
        <v>917084</v>
      </c>
      <c r="D318" s="37">
        <v>5086</v>
      </c>
      <c r="E318" s="37">
        <v>0</v>
      </c>
      <c r="F318" s="37">
        <v>0</v>
      </c>
      <c r="G318" s="37">
        <v>43</v>
      </c>
      <c r="H318" s="37">
        <v>269</v>
      </c>
      <c r="I318" s="558">
        <v>13</v>
      </c>
      <c r="J318" s="649">
        <f t="shared" si="67"/>
        <v>0.00554583876722307</v>
      </c>
      <c r="K318" s="648">
        <f t="shared" si="68"/>
        <v>0.496663389697208</v>
      </c>
      <c r="L318" s="648">
        <f t="shared" si="69"/>
        <v>2.75441508084319</v>
      </c>
      <c r="M318" s="648">
        <f t="shared" si="70"/>
        <v>0</v>
      </c>
      <c r="N318" s="649">
        <f t="shared" si="71"/>
        <v>0</v>
      </c>
      <c r="O318" s="560">
        <f t="shared" si="72"/>
        <v>8.09625</v>
      </c>
      <c r="P318">
        <f t="shared" si="73"/>
        <v>312</v>
      </c>
      <c r="Q318" s="661">
        <f t="shared" si="74"/>
        <v>0.0613448682658278</v>
      </c>
    </row>
    <row r="319" spans="1:17">
      <c r="A319" s="653">
        <v>45478</v>
      </c>
      <c r="B319" s="557">
        <v>2544.71</v>
      </c>
      <c r="C319" s="37">
        <v>1123911</v>
      </c>
      <c r="D319" s="37">
        <v>5278</v>
      </c>
      <c r="E319" s="37">
        <v>0</v>
      </c>
      <c r="F319" s="37">
        <v>0</v>
      </c>
      <c r="G319" s="37">
        <v>59</v>
      </c>
      <c r="H319" s="37">
        <v>290</v>
      </c>
      <c r="I319" s="558">
        <v>14</v>
      </c>
      <c r="J319" s="649">
        <f t="shared" si="67"/>
        <v>0.00469610138169303</v>
      </c>
      <c r="K319" s="648">
        <f t="shared" si="68"/>
        <v>0.482135278514589</v>
      </c>
      <c r="L319" s="648">
        <f t="shared" si="69"/>
        <v>2.26415614759532</v>
      </c>
      <c r="M319" s="648">
        <f t="shared" si="70"/>
        <v>0</v>
      </c>
      <c r="N319" s="649">
        <f t="shared" si="71"/>
        <v>0</v>
      </c>
      <c r="O319" s="560">
        <f t="shared" si="72"/>
        <v>7.29143266475645</v>
      </c>
      <c r="P319">
        <f t="shared" si="73"/>
        <v>349</v>
      </c>
      <c r="Q319" s="661">
        <f t="shared" si="74"/>
        <v>0.066123531640773</v>
      </c>
    </row>
    <row r="320" spans="1:17">
      <c r="A320" s="653">
        <v>45479</v>
      </c>
      <c r="B320" s="557">
        <v>2537.97</v>
      </c>
      <c r="C320" s="37">
        <v>962684</v>
      </c>
      <c r="D320" s="37">
        <v>5541</v>
      </c>
      <c r="E320" s="37">
        <v>3</v>
      </c>
      <c r="F320" s="37">
        <v>79138</v>
      </c>
      <c r="G320" s="37">
        <v>47</v>
      </c>
      <c r="H320" s="37">
        <v>330</v>
      </c>
      <c r="I320" s="558">
        <v>13</v>
      </c>
      <c r="J320" s="649">
        <f t="shared" si="67"/>
        <v>0.00575578279061457</v>
      </c>
      <c r="K320" s="648">
        <f t="shared" si="68"/>
        <v>0.458034650785057</v>
      </c>
      <c r="L320" s="648">
        <f t="shared" si="69"/>
        <v>2.63634796049379</v>
      </c>
      <c r="M320" s="648">
        <f t="shared" si="70"/>
        <v>31.1816136518556</v>
      </c>
      <c r="N320" s="649">
        <f t="shared" si="71"/>
        <v>0.000541418516513265</v>
      </c>
      <c r="O320" s="560">
        <f t="shared" si="72"/>
        <v>6.73201591511936</v>
      </c>
      <c r="P320">
        <f t="shared" si="73"/>
        <v>377</v>
      </c>
      <c r="Q320" s="661">
        <f t="shared" si="74"/>
        <v>0.0680382602418336</v>
      </c>
    </row>
    <row r="321" spans="1:17">
      <c r="A321" s="653">
        <v>45480</v>
      </c>
      <c r="B321" s="557">
        <v>2503.55</v>
      </c>
      <c r="C321" s="37">
        <v>1128481</v>
      </c>
      <c r="D321" s="37">
        <v>5299</v>
      </c>
      <c r="E321" s="37">
        <v>2</v>
      </c>
      <c r="F321" s="37">
        <v>23994</v>
      </c>
      <c r="G321" s="37">
        <v>51</v>
      </c>
      <c r="H321" s="37">
        <v>285</v>
      </c>
      <c r="I321" s="558">
        <v>13</v>
      </c>
      <c r="J321" s="649">
        <f t="shared" ref="J321:J349" si="75">D321/C321</f>
        <v>0.00469569270550412</v>
      </c>
      <c r="K321" s="648">
        <f t="shared" ref="K321:K349" si="76">B321/D321</f>
        <v>0.472457067371202</v>
      </c>
      <c r="L321" s="648">
        <f t="shared" ref="L321:L349" si="77">B321/C321*1000</f>
        <v>2.21851320491882</v>
      </c>
      <c r="M321" s="648">
        <f t="shared" ref="M321:M349" si="78">F321/B321</f>
        <v>9.58399073315891</v>
      </c>
      <c r="N321" s="649">
        <f t="shared" ref="N321:N349" si="79">E321/D321</f>
        <v>0.000377429703717683</v>
      </c>
      <c r="O321" s="560">
        <f t="shared" ref="O321:O349" si="80">B321/(G321+H321)</f>
        <v>7.45104166666667</v>
      </c>
      <c r="P321">
        <f t="shared" ref="P321:P349" si="81">G321+H321</f>
        <v>336</v>
      </c>
      <c r="Q321" s="661">
        <f t="shared" ref="Q321:Q349" si="82">P321/D321</f>
        <v>0.0634081902245707</v>
      </c>
    </row>
    <row r="322" spans="1:17">
      <c r="A322" s="653">
        <v>45481</v>
      </c>
      <c r="B322" s="557">
        <v>2795.4</v>
      </c>
      <c r="C322" s="37">
        <v>894298</v>
      </c>
      <c r="D322" s="37">
        <v>5334</v>
      </c>
      <c r="E322" s="37">
        <v>0</v>
      </c>
      <c r="F322" s="37">
        <v>0</v>
      </c>
      <c r="G322" s="37">
        <v>65</v>
      </c>
      <c r="H322" s="37">
        <v>267</v>
      </c>
      <c r="I322" s="558">
        <v>5</v>
      </c>
      <c r="J322" s="649">
        <f t="shared" si="75"/>
        <v>0.00596445480141966</v>
      </c>
      <c r="K322" s="648">
        <f t="shared" si="76"/>
        <v>0.524071991001125</v>
      </c>
      <c r="L322" s="648">
        <f t="shared" si="77"/>
        <v>3.12580370301622</v>
      </c>
      <c r="M322" s="648">
        <f t="shared" si="78"/>
        <v>0</v>
      </c>
      <c r="N322" s="649">
        <f t="shared" si="79"/>
        <v>0</v>
      </c>
      <c r="O322" s="560">
        <f t="shared" si="80"/>
        <v>8.41987951807229</v>
      </c>
      <c r="P322">
        <f t="shared" si="81"/>
        <v>332</v>
      </c>
      <c r="Q322" s="661">
        <f t="shared" si="82"/>
        <v>0.0622422197225347</v>
      </c>
    </row>
    <row r="323" spans="1:17">
      <c r="A323" s="653">
        <v>45482</v>
      </c>
      <c r="B323" s="557">
        <v>2663.51</v>
      </c>
      <c r="C323" s="37">
        <v>1036940</v>
      </c>
      <c r="D323" s="37">
        <v>4663</v>
      </c>
      <c r="E323" s="37">
        <v>0</v>
      </c>
      <c r="F323" s="37">
        <v>0</v>
      </c>
      <c r="G323" s="37">
        <v>52</v>
      </c>
      <c r="H323" s="37">
        <v>281</v>
      </c>
      <c r="I323" s="558">
        <v>16</v>
      </c>
      <c r="J323" s="649">
        <f t="shared" si="75"/>
        <v>0.004496885065674</v>
      </c>
      <c r="K323" s="648">
        <f t="shared" si="76"/>
        <v>0.571200943598542</v>
      </c>
      <c r="L323" s="648">
        <f t="shared" si="77"/>
        <v>2.56862499276718</v>
      </c>
      <c r="M323" s="648">
        <f t="shared" si="78"/>
        <v>0</v>
      </c>
      <c r="N323" s="649">
        <f t="shared" si="79"/>
        <v>0</v>
      </c>
      <c r="O323" s="560">
        <f t="shared" si="80"/>
        <v>7.99852852852853</v>
      </c>
      <c r="P323">
        <f t="shared" si="81"/>
        <v>333</v>
      </c>
      <c r="Q323" s="661">
        <f t="shared" si="82"/>
        <v>0.0714132532704268</v>
      </c>
    </row>
    <row r="324" spans="1:17">
      <c r="A324" s="653">
        <v>45483</v>
      </c>
      <c r="B324" s="557">
        <v>3285.86</v>
      </c>
      <c r="C324" s="37">
        <v>1290338</v>
      </c>
      <c r="D324" s="37">
        <v>6032</v>
      </c>
      <c r="E324" s="37">
        <v>0</v>
      </c>
      <c r="F324" s="37">
        <v>0</v>
      </c>
      <c r="G324" s="37">
        <v>58</v>
      </c>
      <c r="H324" s="37">
        <v>331</v>
      </c>
      <c r="I324" s="558">
        <v>14</v>
      </c>
      <c r="J324" s="649">
        <f t="shared" si="75"/>
        <v>0.00467474413680757</v>
      </c>
      <c r="K324" s="648">
        <f t="shared" si="76"/>
        <v>0.544738063660478</v>
      </c>
      <c r="L324" s="648">
        <f t="shared" si="77"/>
        <v>2.54651106919272</v>
      </c>
      <c r="M324" s="648">
        <f t="shared" si="78"/>
        <v>0</v>
      </c>
      <c r="N324" s="649">
        <f t="shared" si="79"/>
        <v>0</v>
      </c>
      <c r="O324" s="560">
        <f t="shared" si="80"/>
        <v>8.44694087403599</v>
      </c>
      <c r="P324">
        <f t="shared" si="81"/>
        <v>389</v>
      </c>
      <c r="Q324" s="661">
        <f t="shared" si="82"/>
        <v>0.0644893899204244</v>
      </c>
    </row>
    <row r="325" spans="1:17">
      <c r="A325" s="653">
        <v>45484</v>
      </c>
      <c r="B325" s="557">
        <v>2739.29</v>
      </c>
      <c r="C325" s="37">
        <v>772268</v>
      </c>
      <c r="D325" s="37">
        <v>4147</v>
      </c>
      <c r="E325" s="37">
        <v>2</v>
      </c>
      <c r="F325" s="37">
        <v>26376</v>
      </c>
      <c r="G325" s="37">
        <v>50</v>
      </c>
      <c r="H325" s="37">
        <v>343</v>
      </c>
      <c r="I325" s="558">
        <v>12</v>
      </c>
      <c r="J325" s="649">
        <f t="shared" si="75"/>
        <v>0.00536989749672394</v>
      </c>
      <c r="K325" s="648">
        <f t="shared" si="76"/>
        <v>0.660547383650832</v>
      </c>
      <c r="L325" s="648">
        <f t="shared" si="77"/>
        <v>3.54707174193415</v>
      </c>
      <c r="M325" s="648">
        <f t="shared" si="78"/>
        <v>9.6287724191305</v>
      </c>
      <c r="N325" s="649">
        <f t="shared" si="79"/>
        <v>0.00048227634434531</v>
      </c>
      <c r="O325" s="560">
        <f t="shared" si="80"/>
        <v>6.97020356234097</v>
      </c>
      <c r="P325">
        <f t="shared" si="81"/>
        <v>393</v>
      </c>
      <c r="Q325" s="661">
        <f t="shared" si="82"/>
        <v>0.0947673016638534</v>
      </c>
    </row>
    <row r="326" spans="1:17">
      <c r="A326" s="653">
        <v>45485</v>
      </c>
      <c r="B326" s="557">
        <v>2823.66</v>
      </c>
      <c r="C326" s="37">
        <v>703362</v>
      </c>
      <c r="D326" s="37">
        <v>4485</v>
      </c>
      <c r="E326" s="37">
        <v>0</v>
      </c>
      <c r="F326" s="37">
        <v>0</v>
      </c>
      <c r="G326" s="37">
        <v>60</v>
      </c>
      <c r="H326" s="37">
        <v>339</v>
      </c>
      <c r="I326" s="558">
        <v>18</v>
      </c>
      <c r="J326" s="649">
        <f t="shared" si="75"/>
        <v>0.0063765173552168</v>
      </c>
      <c r="K326" s="648">
        <f t="shared" si="76"/>
        <v>0.629578595317726</v>
      </c>
      <c r="L326" s="648">
        <f t="shared" si="77"/>
        <v>4.01451883951649</v>
      </c>
      <c r="M326" s="648">
        <f t="shared" si="78"/>
        <v>0</v>
      </c>
      <c r="N326" s="649">
        <f t="shared" si="79"/>
        <v>0</v>
      </c>
      <c r="O326" s="560">
        <f t="shared" si="80"/>
        <v>7.07684210526316</v>
      </c>
      <c r="P326">
        <f t="shared" si="81"/>
        <v>399</v>
      </c>
      <c r="Q326" s="661">
        <f t="shared" si="82"/>
        <v>0.0889632107023411</v>
      </c>
    </row>
    <row r="327" spans="1:17">
      <c r="A327" s="653">
        <v>45486</v>
      </c>
      <c r="B327" s="557">
        <v>3251.02</v>
      </c>
      <c r="C327" s="37">
        <v>989633</v>
      </c>
      <c r="D327" s="37">
        <v>5981</v>
      </c>
      <c r="E327" s="37">
        <v>5</v>
      </c>
      <c r="F327" s="37">
        <v>50214</v>
      </c>
      <c r="G327" s="37">
        <v>114</v>
      </c>
      <c r="H327" s="37">
        <v>371</v>
      </c>
      <c r="I327" s="558">
        <v>21</v>
      </c>
      <c r="J327" s="649">
        <f t="shared" si="75"/>
        <v>0.006043654566895</v>
      </c>
      <c r="K327" s="648">
        <f t="shared" si="76"/>
        <v>0.543557933455944</v>
      </c>
      <c r="L327" s="648">
        <f t="shared" si="77"/>
        <v>3.28507638690302</v>
      </c>
      <c r="M327" s="648">
        <f t="shared" si="78"/>
        <v>15.4456139919164</v>
      </c>
      <c r="N327" s="649">
        <f t="shared" si="79"/>
        <v>0.000835980605249958</v>
      </c>
      <c r="O327" s="560">
        <f t="shared" si="80"/>
        <v>6.70313402061856</v>
      </c>
      <c r="P327">
        <f t="shared" si="81"/>
        <v>485</v>
      </c>
      <c r="Q327" s="661">
        <f t="shared" si="82"/>
        <v>0.0810901187092459</v>
      </c>
    </row>
    <row r="328" spans="1:17">
      <c r="A328" s="653">
        <v>45487</v>
      </c>
      <c r="B328" s="557">
        <v>3096.3</v>
      </c>
      <c r="C328" s="37">
        <v>1371079</v>
      </c>
      <c r="D328" s="37">
        <v>5869</v>
      </c>
      <c r="E328" s="37">
        <v>3</v>
      </c>
      <c r="F328" s="37">
        <v>35991</v>
      </c>
      <c r="G328" s="37">
        <v>84</v>
      </c>
      <c r="H328" s="37">
        <v>360</v>
      </c>
      <c r="I328" s="558">
        <v>7</v>
      </c>
      <c r="J328" s="649">
        <f t="shared" si="75"/>
        <v>0.00428057026619181</v>
      </c>
      <c r="K328" s="648">
        <f t="shared" si="76"/>
        <v>0.527568580678139</v>
      </c>
      <c r="L328" s="648">
        <f t="shared" si="77"/>
        <v>2.25829437982786</v>
      </c>
      <c r="M328" s="648">
        <f t="shared" si="78"/>
        <v>11.6238736556535</v>
      </c>
      <c r="N328" s="649">
        <f t="shared" si="79"/>
        <v>0.000511160333958085</v>
      </c>
      <c r="O328" s="560">
        <f t="shared" si="80"/>
        <v>6.97364864864865</v>
      </c>
      <c r="P328">
        <f t="shared" si="81"/>
        <v>444</v>
      </c>
      <c r="Q328" s="661">
        <f t="shared" si="82"/>
        <v>0.0756517294257966</v>
      </c>
    </row>
    <row r="329" spans="1:17">
      <c r="A329" s="653">
        <v>45488</v>
      </c>
      <c r="B329" s="557">
        <v>2406.93</v>
      </c>
      <c r="C329" s="37">
        <v>1618946</v>
      </c>
      <c r="D329" s="37">
        <v>5130</v>
      </c>
      <c r="E329" s="37">
        <v>1</v>
      </c>
      <c r="F329" s="37">
        <v>11997</v>
      </c>
      <c r="G329" s="37">
        <v>60</v>
      </c>
      <c r="H329" s="37">
        <v>260</v>
      </c>
      <c r="I329" s="558">
        <v>24</v>
      </c>
      <c r="J329" s="649">
        <f t="shared" si="75"/>
        <v>0.00316872829606423</v>
      </c>
      <c r="K329" s="648">
        <f t="shared" si="76"/>
        <v>0.469187134502924</v>
      </c>
      <c r="L329" s="648">
        <f t="shared" si="77"/>
        <v>1.48672654924871</v>
      </c>
      <c r="M329" s="648">
        <f t="shared" si="78"/>
        <v>4.98435766723586</v>
      </c>
      <c r="N329" s="649">
        <f t="shared" si="79"/>
        <v>0.000194931773879142</v>
      </c>
      <c r="O329" s="560">
        <f t="shared" si="80"/>
        <v>7.52165625</v>
      </c>
      <c r="P329">
        <f t="shared" si="81"/>
        <v>320</v>
      </c>
      <c r="Q329" s="661">
        <f t="shared" si="82"/>
        <v>0.0623781676413255</v>
      </c>
    </row>
    <row r="330" spans="1:17">
      <c r="A330" s="653">
        <v>45489</v>
      </c>
      <c r="B330" s="557">
        <v>2025.13</v>
      </c>
      <c r="C330" s="37">
        <v>450861</v>
      </c>
      <c r="D330" s="37">
        <v>2882</v>
      </c>
      <c r="E330" s="37">
        <v>1</v>
      </c>
      <c r="F330" s="37">
        <v>21110</v>
      </c>
      <c r="G330" s="37">
        <v>55</v>
      </c>
      <c r="H330" s="37">
        <v>227</v>
      </c>
      <c r="I330" s="558">
        <v>7</v>
      </c>
      <c r="J330" s="649">
        <f t="shared" si="75"/>
        <v>0.00639221400830855</v>
      </c>
      <c r="K330" s="648">
        <f t="shared" si="76"/>
        <v>0.702682165163081</v>
      </c>
      <c r="L330" s="648">
        <f t="shared" si="77"/>
        <v>4.49169477954403</v>
      </c>
      <c r="M330" s="648">
        <f t="shared" si="78"/>
        <v>10.4240221615402</v>
      </c>
      <c r="N330" s="649">
        <f t="shared" si="79"/>
        <v>0.000346981263011797</v>
      </c>
      <c r="O330" s="560">
        <f t="shared" si="80"/>
        <v>7.18131205673759</v>
      </c>
      <c r="P330">
        <f t="shared" si="81"/>
        <v>282</v>
      </c>
      <c r="Q330" s="661">
        <f t="shared" si="82"/>
        <v>0.0978487161693269</v>
      </c>
    </row>
    <row r="331" spans="1:17">
      <c r="A331" s="653">
        <v>45490</v>
      </c>
      <c r="B331" s="557">
        <v>1936.3</v>
      </c>
      <c r="C331" s="37">
        <v>389425</v>
      </c>
      <c r="D331" s="37">
        <v>2533</v>
      </c>
      <c r="E331" s="37">
        <v>0</v>
      </c>
      <c r="F331" s="37">
        <v>0</v>
      </c>
      <c r="G331" s="37">
        <v>60</v>
      </c>
      <c r="H331" s="37">
        <v>244</v>
      </c>
      <c r="I331" s="558">
        <v>13</v>
      </c>
      <c r="J331" s="649">
        <f t="shared" si="75"/>
        <v>0.00650446170636194</v>
      </c>
      <c r="K331" s="648">
        <f t="shared" si="76"/>
        <v>0.764429530201342</v>
      </c>
      <c r="L331" s="648">
        <f t="shared" si="77"/>
        <v>4.97220260640688</v>
      </c>
      <c r="M331" s="648">
        <f t="shared" si="78"/>
        <v>0</v>
      </c>
      <c r="N331" s="649">
        <f t="shared" si="79"/>
        <v>0</v>
      </c>
      <c r="O331" s="560">
        <f t="shared" si="80"/>
        <v>6.36940789473684</v>
      </c>
      <c r="P331">
        <f t="shared" si="81"/>
        <v>304</v>
      </c>
      <c r="Q331" s="661">
        <f t="shared" si="82"/>
        <v>0.12001579155152</v>
      </c>
    </row>
    <row r="332" spans="1:17">
      <c r="A332" s="653">
        <v>45491</v>
      </c>
      <c r="B332" s="557">
        <v>1894.33</v>
      </c>
      <c r="C332" s="37">
        <v>220892</v>
      </c>
      <c r="D332" s="37">
        <v>1816</v>
      </c>
      <c r="E332" s="37">
        <v>3</v>
      </c>
      <c r="F332" s="37">
        <v>36759</v>
      </c>
      <c r="G332" s="37">
        <v>54</v>
      </c>
      <c r="H332" s="37">
        <v>239</v>
      </c>
      <c r="I332" s="558">
        <v>11</v>
      </c>
      <c r="J332" s="649">
        <f t="shared" si="75"/>
        <v>0.00822121217608605</v>
      </c>
      <c r="K332" s="648">
        <f t="shared" si="76"/>
        <v>1.04313325991189</v>
      </c>
      <c r="L332" s="648">
        <f t="shared" si="77"/>
        <v>8.575819857668</v>
      </c>
      <c r="M332" s="648">
        <f t="shared" si="78"/>
        <v>19.4047499643674</v>
      </c>
      <c r="N332" s="649">
        <f t="shared" si="79"/>
        <v>0.00165198237885463</v>
      </c>
      <c r="O332" s="560">
        <f t="shared" si="80"/>
        <v>6.46529010238908</v>
      </c>
      <c r="P332">
        <f t="shared" si="81"/>
        <v>293</v>
      </c>
      <c r="Q332" s="661">
        <f t="shared" si="82"/>
        <v>0.161343612334802</v>
      </c>
    </row>
    <row r="333" spans="1:17">
      <c r="A333" s="653">
        <v>45492</v>
      </c>
      <c r="B333" s="557">
        <v>1965.6</v>
      </c>
      <c r="C333" s="37">
        <v>239850</v>
      </c>
      <c r="D333" s="37">
        <v>2005</v>
      </c>
      <c r="E333" s="37">
        <v>2</v>
      </c>
      <c r="F333" s="37">
        <v>23953</v>
      </c>
      <c r="G333" s="37">
        <v>63</v>
      </c>
      <c r="H333" s="37">
        <v>270</v>
      </c>
      <c r="I333" s="558">
        <v>11</v>
      </c>
      <c r="J333" s="649">
        <f t="shared" si="75"/>
        <v>0.00835939128622055</v>
      </c>
      <c r="K333" s="648">
        <f t="shared" si="76"/>
        <v>0.980349127182045</v>
      </c>
      <c r="L333" s="648">
        <f t="shared" si="77"/>
        <v>8.19512195121951</v>
      </c>
      <c r="M333" s="648">
        <f t="shared" si="78"/>
        <v>12.1861009361009</v>
      </c>
      <c r="N333" s="649">
        <f t="shared" si="79"/>
        <v>0.000997506234413965</v>
      </c>
      <c r="O333" s="560">
        <f t="shared" si="80"/>
        <v>5.9027027027027</v>
      </c>
      <c r="P333">
        <f t="shared" si="81"/>
        <v>333</v>
      </c>
      <c r="Q333" s="661">
        <f t="shared" si="82"/>
        <v>0.166084788029925</v>
      </c>
    </row>
    <row r="334" spans="1:17">
      <c r="A334" s="653">
        <v>45493</v>
      </c>
      <c r="B334" s="557">
        <v>1960.32</v>
      </c>
      <c r="C334" s="37">
        <v>187410</v>
      </c>
      <c r="D334" s="37">
        <v>2063</v>
      </c>
      <c r="E334" s="37">
        <v>4</v>
      </c>
      <c r="F334" s="37">
        <v>41490</v>
      </c>
      <c r="G334" s="37">
        <v>57</v>
      </c>
      <c r="H334" s="37">
        <v>282</v>
      </c>
      <c r="I334" s="558">
        <v>15</v>
      </c>
      <c r="J334" s="649">
        <f t="shared" si="75"/>
        <v>0.0110079504828985</v>
      </c>
      <c r="K334" s="648">
        <f t="shared" si="76"/>
        <v>0.950227823557925</v>
      </c>
      <c r="L334" s="648">
        <f t="shared" si="77"/>
        <v>10.460060829198</v>
      </c>
      <c r="M334" s="648">
        <f t="shared" si="78"/>
        <v>21.1649118511263</v>
      </c>
      <c r="N334" s="649">
        <f t="shared" si="79"/>
        <v>0.00193892389723703</v>
      </c>
      <c r="O334" s="560">
        <f t="shared" si="80"/>
        <v>5.78265486725664</v>
      </c>
      <c r="P334">
        <f t="shared" si="81"/>
        <v>339</v>
      </c>
      <c r="Q334" s="661">
        <f t="shared" si="82"/>
        <v>0.164323800290839</v>
      </c>
    </row>
    <row r="335" spans="1:17">
      <c r="A335" s="653">
        <v>45494</v>
      </c>
      <c r="B335" s="557">
        <v>2541.46</v>
      </c>
      <c r="C335" s="37">
        <v>238699</v>
      </c>
      <c r="D335" s="37">
        <v>3888</v>
      </c>
      <c r="E335" s="37">
        <v>23</v>
      </c>
      <c r="F335" s="37">
        <v>235056</v>
      </c>
      <c r="G335" s="37">
        <v>95</v>
      </c>
      <c r="H335" s="37">
        <v>282</v>
      </c>
      <c r="I335" s="558">
        <v>18</v>
      </c>
      <c r="J335" s="649">
        <f t="shared" si="75"/>
        <v>0.0162882961386516</v>
      </c>
      <c r="K335" s="648">
        <f t="shared" si="76"/>
        <v>0.653667695473251</v>
      </c>
      <c r="L335" s="648">
        <f t="shared" si="77"/>
        <v>10.6471330001383</v>
      </c>
      <c r="M335" s="648">
        <f t="shared" si="78"/>
        <v>92.4885695623775</v>
      </c>
      <c r="N335" s="649">
        <f t="shared" si="79"/>
        <v>0.0059156378600823</v>
      </c>
      <c r="O335" s="560">
        <f t="shared" si="80"/>
        <v>6.74127320954907</v>
      </c>
      <c r="P335">
        <f t="shared" si="81"/>
        <v>377</v>
      </c>
      <c r="Q335" s="661">
        <f t="shared" si="82"/>
        <v>0.0969650205761317</v>
      </c>
    </row>
    <row r="336" spans="1:17">
      <c r="A336" s="653">
        <v>45495</v>
      </c>
      <c r="B336" s="557">
        <v>2456.3</v>
      </c>
      <c r="C336" s="37">
        <v>252032</v>
      </c>
      <c r="D336" s="37">
        <v>3368</v>
      </c>
      <c r="E336" s="37">
        <v>3</v>
      </c>
      <c r="F336" s="37">
        <v>34385</v>
      </c>
      <c r="G336" s="37">
        <v>54</v>
      </c>
      <c r="H336" s="37">
        <v>254</v>
      </c>
      <c r="I336" s="558">
        <v>12</v>
      </c>
      <c r="J336" s="649">
        <f t="shared" si="75"/>
        <v>0.0133633824276282</v>
      </c>
      <c r="K336" s="648">
        <f t="shared" si="76"/>
        <v>0.729305225653207</v>
      </c>
      <c r="L336" s="648">
        <f t="shared" si="77"/>
        <v>9.74598463687151</v>
      </c>
      <c r="M336" s="648">
        <f t="shared" si="78"/>
        <v>13.9986972275374</v>
      </c>
      <c r="N336" s="649">
        <f t="shared" si="79"/>
        <v>0.000890736342042755</v>
      </c>
      <c r="O336" s="560">
        <f t="shared" si="80"/>
        <v>7.975</v>
      </c>
      <c r="P336">
        <f t="shared" si="81"/>
        <v>308</v>
      </c>
      <c r="Q336" s="661">
        <f t="shared" si="82"/>
        <v>0.0914489311163895</v>
      </c>
    </row>
    <row r="337" spans="1:17">
      <c r="A337" s="653">
        <v>45496</v>
      </c>
      <c r="B337" s="557">
        <v>1984.08</v>
      </c>
      <c r="C337" s="37">
        <v>187831</v>
      </c>
      <c r="D337" s="37">
        <v>2331</v>
      </c>
      <c r="E337" s="37">
        <v>0</v>
      </c>
      <c r="F337" s="37">
        <v>0</v>
      </c>
      <c r="G337" s="37">
        <v>39</v>
      </c>
      <c r="H337" s="37">
        <v>184</v>
      </c>
      <c r="I337" s="558">
        <v>21</v>
      </c>
      <c r="J337" s="649">
        <f t="shared" si="75"/>
        <v>0.0124100920508329</v>
      </c>
      <c r="K337" s="648">
        <f t="shared" si="76"/>
        <v>0.851171171171171</v>
      </c>
      <c r="L337" s="648">
        <f t="shared" si="77"/>
        <v>10.5631125852495</v>
      </c>
      <c r="M337" s="648">
        <f t="shared" si="78"/>
        <v>0</v>
      </c>
      <c r="N337" s="649">
        <f t="shared" si="79"/>
        <v>0</v>
      </c>
      <c r="O337" s="560">
        <f t="shared" si="80"/>
        <v>8.8972197309417</v>
      </c>
      <c r="P337">
        <f t="shared" si="81"/>
        <v>223</v>
      </c>
      <c r="Q337" s="661">
        <f t="shared" si="82"/>
        <v>0.0956670956670957</v>
      </c>
    </row>
    <row r="338" spans="1:17">
      <c r="A338" s="653">
        <v>45497</v>
      </c>
      <c r="B338" s="557">
        <v>1958.34</v>
      </c>
      <c r="C338" s="37">
        <v>185653</v>
      </c>
      <c r="D338" s="37">
        <v>2016</v>
      </c>
      <c r="E338" s="37">
        <v>0</v>
      </c>
      <c r="F338" s="37">
        <v>0</v>
      </c>
      <c r="G338" s="37">
        <v>33</v>
      </c>
      <c r="H338" s="37">
        <v>234</v>
      </c>
      <c r="I338" s="558">
        <v>17</v>
      </c>
      <c r="J338" s="649">
        <f t="shared" si="75"/>
        <v>0.0108589680748493</v>
      </c>
      <c r="K338" s="648">
        <f t="shared" si="76"/>
        <v>0.97139880952381</v>
      </c>
      <c r="L338" s="648">
        <f t="shared" si="77"/>
        <v>10.5483886605657</v>
      </c>
      <c r="M338" s="648">
        <f t="shared" si="78"/>
        <v>0</v>
      </c>
      <c r="N338" s="649">
        <f t="shared" si="79"/>
        <v>0</v>
      </c>
      <c r="O338" s="560">
        <f t="shared" si="80"/>
        <v>7.33460674157303</v>
      </c>
      <c r="P338">
        <f t="shared" si="81"/>
        <v>267</v>
      </c>
      <c r="Q338" s="661">
        <f t="shared" si="82"/>
        <v>0.132440476190476</v>
      </c>
    </row>
    <row r="339" spans="1:17">
      <c r="A339" s="653">
        <v>45498</v>
      </c>
      <c r="B339" s="557">
        <v>1997.92</v>
      </c>
      <c r="C339" s="37">
        <v>236073</v>
      </c>
      <c r="D339" s="37">
        <v>2313</v>
      </c>
      <c r="E339" s="37">
        <v>0</v>
      </c>
      <c r="F339" s="37">
        <v>0</v>
      </c>
      <c r="G339" s="37">
        <v>45</v>
      </c>
      <c r="H339" s="37">
        <v>205</v>
      </c>
      <c r="I339" s="558">
        <v>18</v>
      </c>
      <c r="J339" s="649">
        <f t="shared" si="75"/>
        <v>0.00979781677701389</v>
      </c>
      <c r="K339" s="648">
        <f t="shared" si="76"/>
        <v>0.863778642455685</v>
      </c>
      <c r="L339" s="648">
        <f t="shared" si="77"/>
        <v>8.4631448746786</v>
      </c>
      <c r="M339" s="648">
        <f t="shared" si="78"/>
        <v>0</v>
      </c>
      <c r="N339" s="649">
        <f t="shared" si="79"/>
        <v>0</v>
      </c>
      <c r="O339" s="560">
        <f t="shared" si="80"/>
        <v>7.99168</v>
      </c>
      <c r="P339">
        <f t="shared" si="81"/>
        <v>250</v>
      </c>
      <c r="Q339" s="661">
        <f t="shared" si="82"/>
        <v>0.108084738434933</v>
      </c>
    </row>
    <row r="340" spans="1:17">
      <c r="A340" s="653">
        <v>45499</v>
      </c>
      <c r="B340" s="557">
        <v>1978.65</v>
      </c>
      <c r="C340" s="37">
        <v>210047</v>
      </c>
      <c r="D340" s="37">
        <v>2019</v>
      </c>
      <c r="E340" s="37">
        <v>3</v>
      </c>
      <c r="F340" s="37">
        <v>42440</v>
      </c>
      <c r="G340" s="37">
        <v>38</v>
      </c>
      <c r="H340" s="37">
        <v>213</v>
      </c>
      <c r="I340" s="558">
        <v>11</v>
      </c>
      <c r="J340" s="649">
        <f t="shared" si="75"/>
        <v>0.0096121344270568</v>
      </c>
      <c r="K340" s="648">
        <f t="shared" si="76"/>
        <v>0.98001485884101</v>
      </c>
      <c r="L340" s="648">
        <f t="shared" si="77"/>
        <v>9.42003456369289</v>
      </c>
      <c r="M340" s="648">
        <f t="shared" si="78"/>
        <v>21.4489677305233</v>
      </c>
      <c r="N340" s="649">
        <f t="shared" si="79"/>
        <v>0.00148588410104012</v>
      </c>
      <c r="O340" s="560">
        <f t="shared" si="80"/>
        <v>7.88306772908367</v>
      </c>
      <c r="P340">
        <f t="shared" si="81"/>
        <v>251</v>
      </c>
      <c r="Q340" s="661">
        <f t="shared" si="82"/>
        <v>0.124318969787023</v>
      </c>
    </row>
    <row r="341" spans="1:17">
      <c r="A341" s="653">
        <v>45500</v>
      </c>
      <c r="B341" s="557">
        <v>1991.8</v>
      </c>
      <c r="C341" s="37">
        <v>167666</v>
      </c>
      <c r="D341" s="37">
        <v>1932</v>
      </c>
      <c r="E341" s="37">
        <v>0</v>
      </c>
      <c r="F341" s="37">
        <v>0</v>
      </c>
      <c r="G341" s="37">
        <v>36</v>
      </c>
      <c r="H341" s="37">
        <v>198</v>
      </c>
      <c r="I341" s="558">
        <v>13</v>
      </c>
      <c r="J341" s="649">
        <f t="shared" si="75"/>
        <v>0.0115229086397958</v>
      </c>
      <c r="K341" s="648">
        <f t="shared" si="76"/>
        <v>1.03095238095238</v>
      </c>
      <c r="L341" s="648">
        <f t="shared" si="77"/>
        <v>11.8795700976942</v>
      </c>
      <c r="M341" s="648">
        <f t="shared" si="78"/>
        <v>0</v>
      </c>
      <c r="N341" s="649">
        <f t="shared" si="79"/>
        <v>0</v>
      </c>
      <c r="O341" s="560">
        <f t="shared" si="80"/>
        <v>8.51196581196581</v>
      </c>
      <c r="P341">
        <f t="shared" si="81"/>
        <v>234</v>
      </c>
      <c r="Q341" s="661">
        <f t="shared" si="82"/>
        <v>0.12111801242236</v>
      </c>
    </row>
    <row r="342" spans="1:17">
      <c r="A342" s="653">
        <v>45501</v>
      </c>
      <c r="B342" s="557">
        <v>1951.13</v>
      </c>
      <c r="C342" s="37">
        <v>186467</v>
      </c>
      <c r="D342" s="37">
        <v>1964</v>
      </c>
      <c r="E342" s="37">
        <v>0</v>
      </c>
      <c r="F342" s="37">
        <v>0</v>
      </c>
      <c r="G342" s="37">
        <v>54</v>
      </c>
      <c r="H342" s="37">
        <v>228</v>
      </c>
      <c r="I342" s="558">
        <v>18</v>
      </c>
      <c r="J342" s="649">
        <f t="shared" si="75"/>
        <v>0.0105326947931806</v>
      </c>
      <c r="K342" s="648">
        <f t="shared" si="76"/>
        <v>0.993447046843177</v>
      </c>
      <c r="L342" s="648">
        <f t="shared" si="77"/>
        <v>10.4636745375857</v>
      </c>
      <c r="M342" s="648">
        <f t="shared" si="78"/>
        <v>0</v>
      </c>
      <c r="N342" s="649">
        <f t="shared" si="79"/>
        <v>0</v>
      </c>
      <c r="O342" s="560">
        <f t="shared" si="80"/>
        <v>6.91890070921986</v>
      </c>
      <c r="P342">
        <f t="shared" si="81"/>
        <v>282</v>
      </c>
      <c r="Q342" s="661">
        <f t="shared" si="82"/>
        <v>0.143584521384929</v>
      </c>
    </row>
    <row r="343" spans="1:17">
      <c r="A343" s="653">
        <v>45502</v>
      </c>
      <c r="B343" s="557">
        <v>1950.29</v>
      </c>
      <c r="C343" s="37">
        <v>198520</v>
      </c>
      <c r="D343" s="37">
        <v>1909</v>
      </c>
      <c r="E343" s="37">
        <v>0</v>
      </c>
      <c r="F343" s="37">
        <v>0</v>
      </c>
      <c r="G343" s="37">
        <v>25</v>
      </c>
      <c r="H343" s="37">
        <v>198</v>
      </c>
      <c r="I343" s="558">
        <v>16</v>
      </c>
      <c r="J343" s="649">
        <f t="shared" si="75"/>
        <v>0.00961615958089865</v>
      </c>
      <c r="K343" s="648">
        <f t="shared" si="76"/>
        <v>1.02162912519644</v>
      </c>
      <c r="L343" s="648">
        <f t="shared" si="77"/>
        <v>9.82414870038283</v>
      </c>
      <c r="M343" s="648">
        <f t="shared" si="78"/>
        <v>0</v>
      </c>
      <c r="N343" s="649">
        <f t="shared" si="79"/>
        <v>0</v>
      </c>
      <c r="O343" s="560">
        <f t="shared" si="80"/>
        <v>8.74569506726457</v>
      </c>
      <c r="P343">
        <f t="shared" si="81"/>
        <v>223</v>
      </c>
      <c r="Q343" s="661">
        <f t="shared" si="82"/>
        <v>0.116815086432687</v>
      </c>
    </row>
    <row r="344" spans="1:17">
      <c r="A344" s="653">
        <v>45503</v>
      </c>
      <c r="B344" s="557">
        <v>1458.94</v>
      </c>
      <c r="C344" s="37">
        <v>123573</v>
      </c>
      <c r="D344" s="37">
        <v>1510</v>
      </c>
      <c r="E344" s="37">
        <v>2</v>
      </c>
      <c r="F344" s="37">
        <v>11284</v>
      </c>
      <c r="G344" s="37">
        <v>24</v>
      </c>
      <c r="H344" s="37">
        <v>161</v>
      </c>
      <c r="I344" s="558">
        <v>9</v>
      </c>
      <c r="J344" s="649">
        <f t="shared" si="75"/>
        <v>0.0122194977867333</v>
      </c>
      <c r="K344" s="648">
        <f t="shared" si="76"/>
        <v>0.966185430463576</v>
      </c>
      <c r="L344" s="648">
        <f t="shared" si="77"/>
        <v>11.8063007291237</v>
      </c>
      <c r="M344" s="648">
        <f t="shared" si="78"/>
        <v>7.7343824968813</v>
      </c>
      <c r="N344" s="649">
        <f t="shared" si="79"/>
        <v>0.00132450331125828</v>
      </c>
      <c r="O344" s="560">
        <f t="shared" si="80"/>
        <v>7.88616216216216</v>
      </c>
      <c r="P344">
        <f t="shared" si="81"/>
        <v>185</v>
      </c>
      <c r="Q344" s="661">
        <f t="shared" si="82"/>
        <v>0.122516556291391</v>
      </c>
    </row>
    <row r="345" spans="1:17">
      <c r="A345" s="653">
        <v>45504</v>
      </c>
      <c r="B345" s="557">
        <v>2228.42</v>
      </c>
      <c r="C345" s="37">
        <v>106370</v>
      </c>
      <c r="D345" s="37">
        <v>2851</v>
      </c>
      <c r="E345" s="37">
        <v>0</v>
      </c>
      <c r="F345" s="37">
        <v>0</v>
      </c>
      <c r="G345" s="37">
        <v>22</v>
      </c>
      <c r="H345" s="37">
        <v>165</v>
      </c>
      <c r="I345" s="558">
        <v>11</v>
      </c>
      <c r="J345" s="649">
        <f t="shared" si="75"/>
        <v>0.0268026699257309</v>
      </c>
      <c r="K345" s="648">
        <f t="shared" si="76"/>
        <v>0.781627499123115</v>
      </c>
      <c r="L345" s="648">
        <f t="shared" si="77"/>
        <v>20.9497038638714</v>
      </c>
      <c r="M345" s="648">
        <f t="shared" si="78"/>
        <v>0</v>
      </c>
      <c r="N345" s="649">
        <f t="shared" si="79"/>
        <v>0</v>
      </c>
      <c r="O345" s="560">
        <f t="shared" si="80"/>
        <v>11.9166844919786</v>
      </c>
      <c r="P345">
        <f t="shared" si="81"/>
        <v>187</v>
      </c>
      <c r="Q345" s="661">
        <f t="shared" si="82"/>
        <v>0.0655910206944932</v>
      </c>
    </row>
    <row r="346" spans="1:17">
      <c r="A346" s="653">
        <v>45505</v>
      </c>
      <c r="B346" s="557">
        <v>1949.98</v>
      </c>
      <c r="C346" s="37">
        <v>103692</v>
      </c>
      <c r="D346" s="37">
        <v>1628</v>
      </c>
      <c r="E346" s="37">
        <v>2</v>
      </c>
      <c r="F346" s="37">
        <v>9942</v>
      </c>
      <c r="G346" s="37">
        <v>22</v>
      </c>
      <c r="H346" s="37">
        <v>249</v>
      </c>
      <c r="I346" s="558">
        <v>5</v>
      </c>
      <c r="J346" s="649">
        <f t="shared" si="75"/>
        <v>0.0157003433244609</v>
      </c>
      <c r="K346" s="648">
        <f t="shared" si="76"/>
        <v>1.19777641277641</v>
      </c>
      <c r="L346" s="648">
        <f t="shared" si="77"/>
        <v>18.8055009065309</v>
      </c>
      <c r="M346" s="648">
        <f t="shared" si="78"/>
        <v>5.09851383091109</v>
      </c>
      <c r="N346" s="649">
        <f t="shared" si="79"/>
        <v>0.00122850122850123</v>
      </c>
      <c r="O346" s="560">
        <f t="shared" si="80"/>
        <v>7.19549815498155</v>
      </c>
      <c r="P346">
        <f t="shared" si="81"/>
        <v>271</v>
      </c>
      <c r="Q346" s="661">
        <f t="shared" si="82"/>
        <v>0.166461916461916</v>
      </c>
    </row>
    <row r="347" spans="1:17">
      <c r="A347" s="653">
        <v>45506</v>
      </c>
      <c r="B347" s="557">
        <v>1999.65</v>
      </c>
      <c r="C347" s="37">
        <v>111366</v>
      </c>
      <c r="D347" s="37">
        <v>1696</v>
      </c>
      <c r="E347" s="37">
        <v>0</v>
      </c>
      <c r="F347" s="37">
        <v>0</v>
      </c>
      <c r="G347" s="37">
        <v>35</v>
      </c>
      <c r="H347" s="37">
        <v>232</v>
      </c>
      <c r="I347" s="558">
        <v>13</v>
      </c>
      <c r="J347" s="649">
        <f t="shared" si="75"/>
        <v>0.0152290645259774</v>
      </c>
      <c r="K347" s="648">
        <f t="shared" si="76"/>
        <v>1.17903891509434</v>
      </c>
      <c r="L347" s="648">
        <f t="shared" si="77"/>
        <v>17.9556597166101</v>
      </c>
      <c r="M347" s="648">
        <f t="shared" si="78"/>
        <v>0</v>
      </c>
      <c r="N347" s="649">
        <f t="shared" si="79"/>
        <v>0</v>
      </c>
      <c r="O347" s="560">
        <f t="shared" si="80"/>
        <v>7.48932584269663</v>
      </c>
      <c r="P347">
        <f t="shared" si="81"/>
        <v>267</v>
      </c>
      <c r="Q347" s="661">
        <f t="shared" si="82"/>
        <v>0.157429245283019</v>
      </c>
    </row>
    <row r="348" spans="1:17">
      <c r="A348" s="653">
        <v>45507</v>
      </c>
      <c r="B348" s="557">
        <v>2036.28</v>
      </c>
      <c r="C348" s="37">
        <v>176308</v>
      </c>
      <c r="D348" s="37">
        <v>2179</v>
      </c>
      <c r="E348" s="37">
        <v>0</v>
      </c>
      <c r="F348" s="37">
        <v>0</v>
      </c>
      <c r="G348" s="37">
        <v>34</v>
      </c>
      <c r="H348" s="37">
        <v>220</v>
      </c>
      <c r="I348" s="558">
        <v>7</v>
      </c>
      <c r="J348" s="649">
        <f t="shared" si="75"/>
        <v>0.0123590534746013</v>
      </c>
      <c r="K348" s="648">
        <f t="shared" si="76"/>
        <v>0.934502065167508</v>
      </c>
      <c r="L348" s="648">
        <f t="shared" si="77"/>
        <v>11.5495609955305</v>
      </c>
      <c r="M348" s="648">
        <f t="shared" si="78"/>
        <v>0</v>
      </c>
      <c r="N348" s="649">
        <f t="shared" si="79"/>
        <v>0</v>
      </c>
      <c r="O348" s="560">
        <f t="shared" si="80"/>
        <v>8.01685039370079</v>
      </c>
      <c r="P348">
        <f t="shared" si="81"/>
        <v>254</v>
      </c>
      <c r="Q348" s="661">
        <f t="shared" si="82"/>
        <v>0.116567232675539</v>
      </c>
    </row>
    <row r="349" spans="1:17">
      <c r="A349" s="653">
        <v>45508</v>
      </c>
      <c r="B349" s="557">
        <v>2000.98</v>
      </c>
      <c r="C349" s="37">
        <v>111338</v>
      </c>
      <c r="D349" s="37">
        <v>2137</v>
      </c>
      <c r="E349" s="37">
        <v>1</v>
      </c>
      <c r="F349" s="37">
        <v>13154</v>
      </c>
      <c r="G349" s="37">
        <v>27</v>
      </c>
      <c r="H349" s="37">
        <v>288</v>
      </c>
      <c r="I349" s="558">
        <v>6</v>
      </c>
      <c r="J349" s="649">
        <f t="shared" si="75"/>
        <v>0.0191938062476423</v>
      </c>
      <c r="K349" s="648">
        <f t="shared" si="76"/>
        <v>0.936350023397286</v>
      </c>
      <c r="L349" s="648">
        <f t="shared" si="77"/>
        <v>17.9721209290629</v>
      </c>
      <c r="M349" s="648">
        <f t="shared" si="78"/>
        <v>6.5737788483643</v>
      </c>
      <c r="N349" s="649">
        <f t="shared" si="79"/>
        <v>0.000467945718296678</v>
      </c>
      <c r="O349" s="560">
        <f t="shared" si="80"/>
        <v>6.35231746031746</v>
      </c>
      <c r="P349">
        <f t="shared" si="81"/>
        <v>315</v>
      </c>
      <c r="Q349" s="661">
        <f t="shared" si="82"/>
        <v>0.147402901263453</v>
      </c>
    </row>
    <row r="350" spans="1:17">
      <c r="A350" s="653">
        <v>45509</v>
      </c>
      <c r="B350" s="557">
        <v>2428.59</v>
      </c>
      <c r="C350" s="37">
        <v>118813</v>
      </c>
      <c r="D350" s="37">
        <v>2769</v>
      </c>
      <c r="E350" s="37">
        <v>0</v>
      </c>
      <c r="F350" s="37">
        <v>0</v>
      </c>
      <c r="G350" s="37">
        <v>31</v>
      </c>
      <c r="H350" s="37">
        <v>232</v>
      </c>
      <c r="I350" s="558">
        <v>14</v>
      </c>
      <c r="J350" s="649">
        <f t="shared" ref="J350:J369" si="83">D350/C350</f>
        <v>0.0233055305395874</v>
      </c>
      <c r="K350" s="648">
        <f t="shared" ref="K350:K369" si="84">B350/D350</f>
        <v>0.877063921993499</v>
      </c>
      <c r="L350" s="648">
        <f t="shared" ref="L350:L369" si="85">B350/C350*1000</f>
        <v>20.4404400191898</v>
      </c>
      <c r="M350" s="648">
        <f t="shared" ref="M350:M369" si="86">F350/B350</f>
        <v>0</v>
      </c>
      <c r="N350" s="649">
        <f t="shared" ref="N350:N369" si="87">E350/D350</f>
        <v>0</v>
      </c>
      <c r="O350" s="560">
        <f t="shared" ref="O350:O369" si="88">B350/(G350+H350)</f>
        <v>9.2341825095057</v>
      </c>
      <c r="P350">
        <f t="shared" ref="P350:P369" si="89">G350+H350</f>
        <v>263</v>
      </c>
      <c r="Q350" s="661">
        <f t="shared" ref="Q350:Q369" si="90">P350/D350</f>
        <v>0.0949801372336584</v>
      </c>
    </row>
    <row r="351" spans="1:17">
      <c r="A351" s="653">
        <v>45510</v>
      </c>
      <c r="B351" s="557">
        <v>2088.17</v>
      </c>
      <c r="C351" s="37">
        <v>92062</v>
      </c>
      <c r="D351" s="37">
        <v>1708</v>
      </c>
      <c r="E351" s="37">
        <v>1</v>
      </c>
      <c r="F351" s="37">
        <v>24788</v>
      </c>
      <c r="G351" s="37">
        <v>19</v>
      </c>
      <c r="H351" s="37">
        <v>211</v>
      </c>
      <c r="I351" s="558">
        <v>14</v>
      </c>
      <c r="J351" s="649">
        <f t="shared" si="83"/>
        <v>0.0185527144750277</v>
      </c>
      <c r="K351" s="648">
        <f t="shared" si="84"/>
        <v>1.22258196721311</v>
      </c>
      <c r="L351" s="648">
        <f t="shared" si="85"/>
        <v>22.6822141600226</v>
      </c>
      <c r="M351" s="648">
        <f t="shared" si="86"/>
        <v>11.8706810269279</v>
      </c>
      <c r="N351" s="649">
        <f t="shared" si="87"/>
        <v>0.000585480093676815</v>
      </c>
      <c r="O351" s="560">
        <f t="shared" si="88"/>
        <v>9.079</v>
      </c>
      <c r="P351">
        <f t="shared" si="89"/>
        <v>230</v>
      </c>
      <c r="Q351" s="661">
        <f t="shared" si="90"/>
        <v>0.134660421545667</v>
      </c>
    </row>
    <row r="352" spans="1:17">
      <c r="A352" s="653">
        <v>45511</v>
      </c>
      <c r="B352" s="557">
        <v>2027.89</v>
      </c>
      <c r="C352" s="37">
        <v>82072</v>
      </c>
      <c r="D352" s="37">
        <v>1553</v>
      </c>
      <c r="E352" s="37">
        <v>1</v>
      </c>
      <c r="F352" s="37">
        <v>11554</v>
      </c>
      <c r="G352" s="37">
        <v>26</v>
      </c>
      <c r="H352" s="37">
        <v>209</v>
      </c>
      <c r="I352" s="558">
        <v>7</v>
      </c>
      <c r="J352" s="649">
        <f t="shared" si="83"/>
        <v>0.0189224095915781</v>
      </c>
      <c r="K352" s="648">
        <f t="shared" si="84"/>
        <v>1.30578879587894</v>
      </c>
      <c r="L352" s="648">
        <f t="shared" si="85"/>
        <v>24.708670435715</v>
      </c>
      <c r="M352" s="648">
        <f t="shared" si="86"/>
        <v>5.69754769736031</v>
      </c>
      <c r="N352" s="649">
        <f t="shared" si="87"/>
        <v>0.000643915003219575</v>
      </c>
      <c r="O352" s="560">
        <f t="shared" si="88"/>
        <v>8.62931914893617</v>
      </c>
      <c r="P352">
        <f t="shared" si="89"/>
        <v>235</v>
      </c>
      <c r="Q352" s="661">
        <f t="shared" si="90"/>
        <v>0.1513200257566</v>
      </c>
    </row>
    <row r="353" spans="1:17">
      <c r="A353" s="653">
        <v>45512</v>
      </c>
      <c r="B353" s="557">
        <v>2009.04</v>
      </c>
      <c r="C353" s="37">
        <v>91080</v>
      </c>
      <c r="D353" s="37">
        <v>1439</v>
      </c>
      <c r="E353" s="37">
        <v>2</v>
      </c>
      <c r="F353" s="37">
        <v>22128</v>
      </c>
      <c r="G353" s="37">
        <v>42</v>
      </c>
      <c r="H353" s="37">
        <v>171</v>
      </c>
      <c r="I353" s="558">
        <v>10</v>
      </c>
      <c r="J353" s="649">
        <f t="shared" si="83"/>
        <v>0.0157992973210365</v>
      </c>
      <c r="K353" s="648">
        <f t="shared" si="84"/>
        <v>1.3961362056984</v>
      </c>
      <c r="L353" s="648">
        <f t="shared" si="85"/>
        <v>22.0579710144928</v>
      </c>
      <c r="M353" s="648">
        <f t="shared" si="86"/>
        <v>11.0142157448334</v>
      </c>
      <c r="N353" s="649">
        <f t="shared" si="87"/>
        <v>0.00138985406532314</v>
      </c>
      <c r="O353" s="560">
        <f t="shared" si="88"/>
        <v>9.43211267605634</v>
      </c>
      <c r="P353">
        <f t="shared" si="89"/>
        <v>213</v>
      </c>
      <c r="Q353" s="661">
        <f t="shared" si="90"/>
        <v>0.148019457956915</v>
      </c>
    </row>
    <row r="354" spans="1:17">
      <c r="A354" s="653">
        <v>45513</v>
      </c>
      <c r="B354" s="557">
        <v>1810.5</v>
      </c>
      <c r="C354" s="37">
        <v>80816</v>
      </c>
      <c r="D354" s="37">
        <v>1396</v>
      </c>
      <c r="E354" s="37">
        <v>0</v>
      </c>
      <c r="F354" s="37">
        <v>0</v>
      </c>
      <c r="G354" s="37">
        <v>34</v>
      </c>
      <c r="H354" s="37">
        <v>150</v>
      </c>
      <c r="I354" s="558">
        <v>9</v>
      </c>
      <c r="J354" s="649">
        <f t="shared" si="83"/>
        <v>0.0172738071668976</v>
      </c>
      <c r="K354" s="648">
        <f t="shared" si="84"/>
        <v>1.29691977077364</v>
      </c>
      <c r="L354" s="648">
        <f t="shared" si="85"/>
        <v>22.4027420312809</v>
      </c>
      <c r="M354" s="648">
        <f t="shared" si="86"/>
        <v>0</v>
      </c>
      <c r="N354" s="649">
        <f t="shared" si="87"/>
        <v>0</v>
      </c>
      <c r="O354" s="560">
        <f t="shared" si="88"/>
        <v>9.83967391304348</v>
      </c>
      <c r="P354">
        <f t="shared" si="89"/>
        <v>184</v>
      </c>
      <c r="Q354" s="661">
        <f t="shared" si="90"/>
        <v>0.131805157593123</v>
      </c>
    </row>
    <row r="355" spans="1:17">
      <c r="A355" s="653">
        <v>45514</v>
      </c>
      <c r="B355" s="557">
        <v>1818.08</v>
      </c>
      <c r="C355" s="37">
        <v>167336</v>
      </c>
      <c r="D355" s="37">
        <v>1728</v>
      </c>
      <c r="E355" s="37">
        <v>0</v>
      </c>
      <c r="F355" s="37">
        <v>0</v>
      </c>
      <c r="G355" s="37">
        <v>40</v>
      </c>
      <c r="H355" s="37">
        <v>143</v>
      </c>
      <c r="I355" s="558">
        <v>9</v>
      </c>
      <c r="J355" s="649">
        <f t="shared" si="83"/>
        <v>0.0103265286608978</v>
      </c>
      <c r="K355" s="648">
        <f t="shared" si="84"/>
        <v>1.05212962962963</v>
      </c>
      <c r="L355" s="648">
        <f t="shared" si="85"/>
        <v>10.8648467753502</v>
      </c>
      <c r="M355" s="648">
        <f t="shared" si="86"/>
        <v>0</v>
      </c>
      <c r="N355" s="649">
        <f t="shared" si="87"/>
        <v>0</v>
      </c>
      <c r="O355" s="560">
        <f t="shared" si="88"/>
        <v>9.93486338797814</v>
      </c>
      <c r="P355">
        <f t="shared" si="89"/>
        <v>183</v>
      </c>
      <c r="Q355" s="661">
        <f t="shared" si="90"/>
        <v>0.105902777777778</v>
      </c>
    </row>
    <row r="356" spans="1:17">
      <c r="A356" s="653">
        <v>45515</v>
      </c>
      <c r="B356" s="557">
        <v>1818.03</v>
      </c>
      <c r="C356" s="37">
        <v>118085</v>
      </c>
      <c r="D356" s="37">
        <v>2159</v>
      </c>
      <c r="E356" s="37">
        <v>0</v>
      </c>
      <c r="F356" s="37">
        <v>0</v>
      </c>
      <c r="G356" s="37">
        <v>48</v>
      </c>
      <c r="H356" s="37">
        <v>170</v>
      </c>
      <c r="I356" s="558">
        <v>18</v>
      </c>
      <c r="J356" s="649">
        <f t="shared" si="83"/>
        <v>0.0182834398949909</v>
      </c>
      <c r="K356" s="648">
        <f t="shared" si="84"/>
        <v>0.842070402964335</v>
      </c>
      <c r="L356" s="648">
        <f t="shared" si="85"/>
        <v>15.3959435999492</v>
      </c>
      <c r="M356" s="648">
        <f t="shared" si="86"/>
        <v>0</v>
      </c>
      <c r="N356" s="649">
        <f t="shared" si="87"/>
        <v>0</v>
      </c>
      <c r="O356" s="560">
        <f t="shared" si="88"/>
        <v>8.3395871559633</v>
      </c>
      <c r="P356">
        <f t="shared" si="89"/>
        <v>218</v>
      </c>
      <c r="Q356" s="661">
        <f t="shared" si="90"/>
        <v>0.10097267253358</v>
      </c>
    </row>
    <row r="357" spans="1:17">
      <c r="A357" s="653">
        <v>45516</v>
      </c>
      <c r="B357" s="557">
        <v>1835.54</v>
      </c>
      <c r="C357" s="37">
        <v>120270</v>
      </c>
      <c r="D357" s="37">
        <v>2008</v>
      </c>
      <c r="E357" s="37">
        <v>1</v>
      </c>
      <c r="F357" s="37">
        <v>9798</v>
      </c>
      <c r="G357" s="37">
        <v>44</v>
      </c>
      <c r="H357" s="37">
        <v>173</v>
      </c>
      <c r="I357" s="558">
        <v>11</v>
      </c>
      <c r="J357" s="649">
        <f t="shared" si="83"/>
        <v>0.0166957678556581</v>
      </c>
      <c r="K357" s="648">
        <f t="shared" si="84"/>
        <v>0.914113545816733</v>
      </c>
      <c r="L357" s="648">
        <f t="shared" si="85"/>
        <v>15.2618275546687</v>
      </c>
      <c r="M357" s="648">
        <f t="shared" si="86"/>
        <v>5.33793869923837</v>
      </c>
      <c r="N357" s="649">
        <f t="shared" si="87"/>
        <v>0.00049800796812749</v>
      </c>
      <c r="O357" s="560">
        <f t="shared" si="88"/>
        <v>8.45870967741936</v>
      </c>
      <c r="P357">
        <f t="shared" si="89"/>
        <v>217</v>
      </c>
      <c r="Q357" s="661">
        <f t="shared" si="90"/>
        <v>0.108067729083665</v>
      </c>
    </row>
    <row r="358" spans="1:17">
      <c r="A358" s="653">
        <v>45517</v>
      </c>
      <c r="B358" s="557">
        <v>1993.8</v>
      </c>
      <c r="C358" s="37">
        <v>157226</v>
      </c>
      <c r="D358" s="37">
        <v>2318</v>
      </c>
      <c r="E358" s="37">
        <v>0</v>
      </c>
      <c r="F358" s="37">
        <v>0</v>
      </c>
      <c r="G358" s="37">
        <v>64</v>
      </c>
      <c r="H358" s="37">
        <v>188</v>
      </c>
      <c r="I358" s="558">
        <v>12</v>
      </c>
      <c r="J358" s="649">
        <f t="shared" si="83"/>
        <v>0.0147431086461527</v>
      </c>
      <c r="K358" s="648">
        <f t="shared" si="84"/>
        <v>0.860138050043141</v>
      </c>
      <c r="L358" s="648">
        <f t="shared" si="85"/>
        <v>12.6811087224759</v>
      </c>
      <c r="M358" s="648">
        <f t="shared" si="86"/>
        <v>0</v>
      </c>
      <c r="N358" s="649">
        <f t="shared" si="87"/>
        <v>0</v>
      </c>
      <c r="O358" s="560">
        <f t="shared" si="88"/>
        <v>7.91190476190476</v>
      </c>
      <c r="P358">
        <f t="shared" si="89"/>
        <v>252</v>
      </c>
      <c r="Q358" s="661">
        <f t="shared" si="90"/>
        <v>0.108714408973253</v>
      </c>
    </row>
    <row r="359" spans="1:17">
      <c r="A359" s="653">
        <v>45518</v>
      </c>
      <c r="B359" s="557">
        <v>2496.7</v>
      </c>
      <c r="C359" s="37">
        <v>189778</v>
      </c>
      <c r="D359" s="37">
        <v>3253</v>
      </c>
      <c r="E359" s="37">
        <v>1</v>
      </c>
      <c r="F359" s="37">
        <v>10894</v>
      </c>
      <c r="G359" s="37">
        <v>82</v>
      </c>
      <c r="H359" s="37">
        <v>192</v>
      </c>
      <c r="I359" s="558">
        <v>17</v>
      </c>
      <c r="J359" s="649">
        <f t="shared" si="83"/>
        <v>0.0171410806310531</v>
      </c>
      <c r="K359" s="648">
        <f t="shared" si="84"/>
        <v>0.767506916692284</v>
      </c>
      <c r="L359" s="648">
        <f t="shared" si="85"/>
        <v>13.1558979439134</v>
      </c>
      <c r="M359" s="648">
        <f t="shared" si="86"/>
        <v>4.36335963471783</v>
      </c>
      <c r="N359" s="649">
        <f t="shared" si="87"/>
        <v>0.000307408545957578</v>
      </c>
      <c r="O359" s="560">
        <f t="shared" si="88"/>
        <v>9.11204379562044</v>
      </c>
      <c r="P359">
        <f t="shared" si="89"/>
        <v>274</v>
      </c>
      <c r="Q359" s="661">
        <f t="shared" si="90"/>
        <v>0.0842299415923763</v>
      </c>
    </row>
    <row r="360" spans="1:17">
      <c r="A360" s="653">
        <v>45519</v>
      </c>
      <c r="B360" s="557">
        <v>2028.79</v>
      </c>
      <c r="C360" s="37">
        <v>158488</v>
      </c>
      <c r="D360" s="37">
        <v>2303</v>
      </c>
      <c r="E360" s="37">
        <v>0</v>
      </c>
      <c r="F360" s="37">
        <v>0</v>
      </c>
      <c r="G360" s="37">
        <v>58</v>
      </c>
      <c r="H360" s="37">
        <v>191</v>
      </c>
      <c r="I360" s="558">
        <v>9</v>
      </c>
      <c r="J360" s="649">
        <f t="shared" si="83"/>
        <v>0.0145310685982535</v>
      </c>
      <c r="K360" s="648">
        <f t="shared" si="84"/>
        <v>0.880933564915328</v>
      </c>
      <c r="L360" s="648">
        <f t="shared" si="85"/>
        <v>12.8009060622886</v>
      </c>
      <c r="M360" s="648">
        <f t="shared" si="86"/>
        <v>0</v>
      </c>
      <c r="N360" s="649">
        <f t="shared" si="87"/>
        <v>0</v>
      </c>
      <c r="O360" s="560">
        <f t="shared" si="88"/>
        <v>8.14775100401606</v>
      </c>
      <c r="P360">
        <f t="shared" si="89"/>
        <v>249</v>
      </c>
      <c r="Q360" s="661">
        <f t="shared" si="90"/>
        <v>0.108119843682154</v>
      </c>
    </row>
    <row r="361" spans="1:17">
      <c r="A361" s="653">
        <v>45520</v>
      </c>
      <c r="B361" s="557">
        <v>2028.92</v>
      </c>
      <c r="C361" s="37">
        <v>265889</v>
      </c>
      <c r="D361" s="37">
        <v>2604</v>
      </c>
      <c r="E361" s="37">
        <v>2</v>
      </c>
      <c r="F361" s="37">
        <v>22732</v>
      </c>
      <c r="G361" s="37">
        <v>55</v>
      </c>
      <c r="H361" s="37">
        <v>210</v>
      </c>
      <c r="I361" s="558">
        <v>11</v>
      </c>
      <c r="J361" s="649">
        <f t="shared" si="83"/>
        <v>0.00979356047072275</v>
      </c>
      <c r="K361" s="648">
        <f t="shared" si="84"/>
        <v>0.77915514592934</v>
      </c>
      <c r="L361" s="648">
        <f t="shared" si="85"/>
        <v>7.63070303773379</v>
      </c>
      <c r="M361" s="648">
        <f t="shared" si="86"/>
        <v>11.2039903002583</v>
      </c>
      <c r="N361" s="649">
        <f t="shared" si="87"/>
        <v>0.000768049155145929</v>
      </c>
      <c r="O361" s="560">
        <f t="shared" si="88"/>
        <v>7.65630188679245</v>
      </c>
      <c r="P361">
        <f t="shared" si="89"/>
        <v>265</v>
      </c>
      <c r="Q361" s="661">
        <f t="shared" si="90"/>
        <v>0.101766513056836</v>
      </c>
    </row>
    <row r="362" spans="1:17">
      <c r="A362" s="653">
        <v>45521</v>
      </c>
      <c r="B362" s="557">
        <v>2074.93</v>
      </c>
      <c r="C362" s="37">
        <v>276988</v>
      </c>
      <c r="D362" s="37">
        <v>2491</v>
      </c>
      <c r="E362" s="37">
        <v>2</v>
      </c>
      <c r="F362" s="37">
        <v>19.8</v>
      </c>
      <c r="G362" s="37">
        <v>56</v>
      </c>
      <c r="H362" s="37">
        <v>166</v>
      </c>
      <c r="I362" s="558">
        <v>15</v>
      </c>
      <c r="J362" s="649">
        <f t="shared" si="83"/>
        <v>0.00899316937917888</v>
      </c>
      <c r="K362" s="648">
        <f t="shared" si="84"/>
        <v>0.832970694500201</v>
      </c>
      <c r="L362" s="648">
        <f t="shared" si="85"/>
        <v>7.49104654353257</v>
      </c>
      <c r="M362" s="648">
        <f t="shared" si="86"/>
        <v>0.009542490590044</v>
      </c>
      <c r="N362" s="649">
        <f t="shared" si="87"/>
        <v>0.000802890405459655</v>
      </c>
      <c r="O362" s="560">
        <f t="shared" si="88"/>
        <v>9.34653153153153</v>
      </c>
      <c r="P362">
        <f t="shared" si="89"/>
        <v>222</v>
      </c>
      <c r="Q362" s="661">
        <f t="shared" si="90"/>
        <v>0.0891208350060217</v>
      </c>
    </row>
    <row r="363" spans="1:17">
      <c r="A363" s="653">
        <v>45522</v>
      </c>
      <c r="B363" s="557">
        <v>2029.48</v>
      </c>
      <c r="C363" s="37">
        <v>294988</v>
      </c>
      <c r="D363" s="37">
        <v>2550</v>
      </c>
      <c r="E363" s="37">
        <v>2</v>
      </c>
      <c r="F363" s="37">
        <v>49629</v>
      </c>
      <c r="G363" s="37">
        <v>69</v>
      </c>
      <c r="H363" s="37">
        <v>178</v>
      </c>
      <c r="I363" s="558">
        <v>16</v>
      </c>
      <c r="J363" s="649">
        <f t="shared" si="83"/>
        <v>0.00864441943401087</v>
      </c>
      <c r="K363" s="648">
        <f t="shared" si="84"/>
        <v>0.795874509803922</v>
      </c>
      <c r="L363" s="648">
        <f t="shared" si="85"/>
        <v>6.8798730795829</v>
      </c>
      <c r="M363" s="648">
        <f t="shared" si="86"/>
        <v>24.4540473421763</v>
      </c>
      <c r="N363" s="649">
        <f t="shared" si="87"/>
        <v>0.000784313725490196</v>
      </c>
      <c r="O363" s="560">
        <f t="shared" si="88"/>
        <v>8.21651821862348</v>
      </c>
      <c r="P363">
        <f t="shared" si="89"/>
        <v>247</v>
      </c>
      <c r="Q363" s="661">
        <f t="shared" si="90"/>
        <v>0.0968627450980392</v>
      </c>
    </row>
    <row r="364" spans="1:17">
      <c r="A364" s="653">
        <v>45523</v>
      </c>
      <c r="B364" s="557">
        <v>2010.81</v>
      </c>
      <c r="C364" s="37">
        <v>322387</v>
      </c>
      <c r="D364" s="37">
        <v>2503</v>
      </c>
      <c r="E364" s="37">
        <v>2</v>
      </c>
      <c r="F364" s="37">
        <v>38298</v>
      </c>
      <c r="G364" s="37">
        <v>78</v>
      </c>
      <c r="H364" s="37">
        <v>184</v>
      </c>
      <c r="I364" s="558">
        <v>18</v>
      </c>
      <c r="J364" s="649">
        <f t="shared" si="83"/>
        <v>0.00776396070561158</v>
      </c>
      <c r="K364" s="648">
        <f t="shared" si="84"/>
        <v>0.803359968038354</v>
      </c>
      <c r="L364" s="648">
        <f t="shared" si="85"/>
        <v>6.23725522431115</v>
      </c>
      <c r="M364" s="648">
        <f t="shared" si="86"/>
        <v>19.0460560669581</v>
      </c>
      <c r="N364" s="649">
        <f t="shared" si="87"/>
        <v>0.000799041150619257</v>
      </c>
      <c r="O364" s="560">
        <f t="shared" si="88"/>
        <v>7.67484732824427</v>
      </c>
      <c r="P364">
        <f t="shared" si="89"/>
        <v>262</v>
      </c>
      <c r="Q364" s="661">
        <f t="shared" si="90"/>
        <v>0.104674390731123</v>
      </c>
    </row>
    <row r="365" spans="1:17">
      <c r="A365" s="653">
        <v>45524</v>
      </c>
      <c r="B365" s="557">
        <v>2023.41</v>
      </c>
      <c r="C365" s="37">
        <v>292807</v>
      </c>
      <c r="D365" s="37">
        <v>2227</v>
      </c>
      <c r="E365" s="37">
        <v>2</v>
      </c>
      <c r="F365" s="37">
        <v>21525</v>
      </c>
      <c r="G365" s="37">
        <v>50</v>
      </c>
      <c r="H365" s="37">
        <v>165</v>
      </c>
      <c r="I365" s="558">
        <v>5</v>
      </c>
      <c r="J365" s="649">
        <f t="shared" si="83"/>
        <v>0.00760569248685995</v>
      </c>
      <c r="K365" s="648">
        <f t="shared" si="84"/>
        <v>0.908581050740907</v>
      </c>
      <c r="L365" s="648">
        <f t="shared" si="85"/>
        <v>6.91038807132343</v>
      </c>
      <c r="M365" s="648">
        <f t="shared" si="86"/>
        <v>10.6379824158228</v>
      </c>
      <c r="N365" s="649">
        <f t="shared" si="87"/>
        <v>0.000898069151324652</v>
      </c>
      <c r="O365" s="560">
        <f t="shared" si="88"/>
        <v>9.41120930232558</v>
      </c>
      <c r="P365">
        <f t="shared" si="89"/>
        <v>215</v>
      </c>
      <c r="Q365" s="661">
        <f t="shared" si="90"/>
        <v>0.0965424337674001</v>
      </c>
    </row>
    <row r="366" spans="1:17">
      <c r="A366" s="653">
        <v>45525</v>
      </c>
      <c r="B366" s="557">
        <v>2018.13</v>
      </c>
      <c r="C366" s="37">
        <v>233787</v>
      </c>
      <c r="D366" s="37">
        <v>2198</v>
      </c>
      <c r="E366" s="37">
        <v>0</v>
      </c>
      <c r="F366" s="37">
        <v>0</v>
      </c>
      <c r="G366" s="37">
        <v>42</v>
      </c>
      <c r="H366" s="37">
        <v>149</v>
      </c>
      <c r="I366" s="558">
        <v>17</v>
      </c>
      <c r="J366" s="649">
        <f t="shared" si="83"/>
        <v>0.00940172036939608</v>
      </c>
      <c r="K366" s="648">
        <f t="shared" si="84"/>
        <v>0.918166515013649</v>
      </c>
      <c r="L366" s="648">
        <f t="shared" si="85"/>
        <v>8.63234482670123</v>
      </c>
      <c r="M366" s="648">
        <f t="shared" si="86"/>
        <v>0</v>
      </c>
      <c r="N366" s="649">
        <f t="shared" si="87"/>
        <v>0</v>
      </c>
      <c r="O366" s="560">
        <f t="shared" si="88"/>
        <v>10.5661256544503</v>
      </c>
      <c r="P366">
        <f t="shared" si="89"/>
        <v>191</v>
      </c>
      <c r="Q366" s="661">
        <f t="shared" si="90"/>
        <v>0.0868971792538672</v>
      </c>
    </row>
    <row r="367" spans="1:17">
      <c r="A367" s="653">
        <v>45526</v>
      </c>
      <c r="B367" s="557">
        <v>2018.93</v>
      </c>
      <c r="C367" s="37">
        <v>310965</v>
      </c>
      <c r="D367" s="37">
        <v>2429</v>
      </c>
      <c r="E367" s="37">
        <v>2</v>
      </c>
      <c r="F367" s="37">
        <v>23951</v>
      </c>
      <c r="G367" s="37">
        <v>69</v>
      </c>
      <c r="H367" s="37">
        <v>169</v>
      </c>
      <c r="I367" s="558">
        <v>14</v>
      </c>
      <c r="J367" s="649">
        <f t="shared" si="83"/>
        <v>0.00781116845947293</v>
      </c>
      <c r="K367" s="648">
        <f t="shared" si="84"/>
        <v>0.831177439275422</v>
      </c>
      <c r="L367" s="648">
        <f t="shared" si="85"/>
        <v>6.49246699789365</v>
      </c>
      <c r="M367" s="648">
        <f t="shared" si="86"/>
        <v>11.8632146731189</v>
      </c>
      <c r="N367" s="649">
        <f t="shared" si="87"/>
        <v>0.000823384108686702</v>
      </c>
      <c r="O367" s="560">
        <f t="shared" si="88"/>
        <v>8.48289915966387</v>
      </c>
      <c r="P367">
        <f t="shared" si="89"/>
        <v>238</v>
      </c>
      <c r="Q367" s="661">
        <f t="shared" si="90"/>
        <v>0.0979827089337176</v>
      </c>
    </row>
    <row r="368" spans="1:17">
      <c r="A368" s="653">
        <v>45527</v>
      </c>
      <c r="B368" s="557">
        <v>2059.99</v>
      </c>
      <c r="C368" s="37">
        <v>275204</v>
      </c>
      <c r="D368" s="37">
        <v>2276</v>
      </c>
      <c r="E368" s="37">
        <v>9</v>
      </c>
      <c r="F368" s="37">
        <v>54279.98</v>
      </c>
      <c r="G368" s="37">
        <v>46</v>
      </c>
      <c r="H368" s="37">
        <v>160</v>
      </c>
      <c r="I368" s="558">
        <v>12</v>
      </c>
      <c r="J368" s="649">
        <f t="shared" si="83"/>
        <v>0.00827022863039781</v>
      </c>
      <c r="K368" s="648">
        <f t="shared" si="84"/>
        <v>0.905092267135325</v>
      </c>
      <c r="L368" s="648">
        <f t="shared" si="85"/>
        <v>7.48531998081423</v>
      </c>
      <c r="M368" s="648">
        <f t="shared" si="86"/>
        <v>26.3496327652076</v>
      </c>
      <c r="N368" s="649">
        <f t="shared" si="87"/>
        <v>0.00395430579964851</v>
      </c>
      <c r="O368" s="560">
        <f t="shared" si="88"/>
        <v>9.99995145631068</v>
      </c>
      <c r="P368">
        <f t="shared" si="89"/>
        <v>206</v>
      </c>
      <c r="Q368" s="661">
        <f t="shared" si="90"/>
        <v>0.0905096660808436</v>
      </c>
    </row>
    <row r="369" spans="1:17">
      <c r="A369" s="653">
        <v>45528</v>
      </c>
      <c r="B369" s="557">
        <v>2096.22</v>
      </c>
      <c r="C369" s="37">
        <v>279692</v>
      </c>
      <c r="D369" s="37">
        <v>2746</v>
      </c>
      <c r="E369" s="37">
        <v>3</v>
      </c>
      <c r="F369" s="37">
        <v>33612</v>
      </c>
      <c r="G369" s="37">
        <v>58</v>
      </c>
      <c r="H369" s="37">
        <v>211</v>
      </c>
      <c r="I369" s="558">
        <v>12</v>
      </c>
      <c r="J369" s="649">
        <f t="shared" si="83"/>
        <v>0.00981794259399625</v>
      </c>
      <c r="K369" s="648">
        <f t="shared" si="84"/>
        <v>0.763372177713037</v>
      </c>
      <c r="L369" s="648">
        <f t="shared" si="85"/>
        <v>7.4947442186405</v>
      </c>
      <c r="M369" s="648">
        <f t="shared" si="86"/>
        <v>16.0345765234565</v>
      </c>
      <c r="N369" s="649">
        <f t="shared" si="87"/>
        <v>0.0010924981791697</v>
      </c>
      <c r="O369" s="560">
        <f t="shared" si="88"/>
        <v>7.79263940520446</v>
      </c>
      <c r="P369">
        <f t="shared" si="89"/>
        <v>269</v>
      </c>
      <c r="Q369" s="661">
        <f t="shared" si="90"/>
        <v>0.0979606700655499</v>
      </c>
    </row>
    <row r="370" spans="1:17">
      <c r="A370" s="653">
        <v>45529</v>
      </c>
      <c r="B370" s="557">
        <v>2071.88</v>
      </c>
      <c r="C370" s="37">
        <v>289047</v>
      </c>
      <c r="D370" s="37">
        <v>2493</v>
      </c>
      <c r="E370" s="37">
        <v>0</v>
      </c>
      <c r="F370" s="37">
        <v>0</v>
      </c>
      <c r="G370" s="37">
        <v>56</v>
      </c>
      <c r="H370" s="37">
        <v>229</v>
      </c>
      <c r="I370" s="558">
        <v>11</v>
      </c>
      <c r="J370" s="649">
        <f t="shared" ref="J370:J402" si="91">D370/C370</f>
        <v>0.008624894913284</v>
      </c>
      <c r="K370" s="648">
        <f t="shared" ref="K370:K402" si="92">B370/D370</f>
        <v>0.831079021259527</v>
      </c>
      <c r="L370" s="648">
        <f t="shared" ref="L370:L402" si="93">B370/C370*1000</f>
        <v>7.16796922299834</v>
      </c>
      <c r="M370" s="648">
        <f t="shared" ref="M370:M402" si="94">F370/B370</f>
        <v>0</v>
      </c>
      <c r="N370" s="649">
        <f t="shared" ref="N370:N402" si="95">E370/D370</f>
        <v>0</v>
      </c>
      <c r="O370" s="560">
        <f t="shared" ref="O370:O402" si="96">B370/(G370+H370)</f>
        <v>7.26975438596491</v>
      </c>
      <c r="P370">
        <f t="shared" ref="P370:P402" si="97">G370+H370</f>
        <v>285</v>
      </c>
      <c r="Q370" s="661">
        <f t="shared" ref="Q370:Q402" si="98">P370/D370</f>
        <v>0.114320096269555</v>
      </c>
    </row>
    <row r="371" spans="1:17">
      <c r="A371" s="653">
        <v>45530</v>
      </c>
      <c r="B371" s="557">
        <v>3250.79</v>
      </c>
      <c r="C371" s="37">
        <v>630574</v>
      </c>
      <c r="D371" s="37">
        <v>5372</v>
      </c>
      <c r="E371" s="37">
        <v>4</v>
      </c>
      <c r="F371" s="37">
        <v>41391</v>
      </c>
      <c r="G371" s="37">
        <v>68</v>
      </c>
      <c r="H371" s="37">
        <v>241</v>
      </c>
      <c r="I371" s="558">
        <v>16</v>
      </c>
      <c r="J371" s="649">
        <f t="shared" si="91"/>
        <v>0.00851922216900792</v>
      </c>
      <c r="K371" s="648">
        <f t="shared" si="92"/>
        <v>0.605135889798958</v>
      </c>
      <c r="L371" s="648">
        <f t="shared" si="93"/>
        <v>5.15528708763761</v>
      </c>
      <c r="M371" s="648">
        <f t="shared" si="94"/>
        <v>12.7325973071161</v>
      </c>
      <c r="N371" s="649">
        <f t="shared" si="95"/>
        <v>0.000744601638123604</v>
      </c>
      <c r="O371" s="560">
        <f t="shared" si="96"/>
        <v>10.520355987055</v>
      </c>
      <c r="P371">
        <f t="shared" si="97"/>
        <v>309</v>
      </c>
      <c r="Q371" s="661">
        <f t="shared" si="98"/>
        <v>0.0575204765450484</v>
      </c>
    </row>
    <row r="372" spans="1:17">
      <c r="A372" s="653">
        <v>45531</v>
      </c>
      <c r="B372" s="557">
        <v>2909.4</v>
      </c>
      <c r="C372" s="37">
        <v>1173922</v>
      </c>
      <c r="D372" s="37">
        <v>5895</v>
      </c>
      <c r="E372" s="37">
        <v>0</v>
      </c>
      <c r="F372" s="37">
        <v>0</v>
      </c>
      <c r="G372" s="37">
        <v>64</v>
      </c>
      <c r="H372" s="37">
        <v>209</v>
      </c>
      <c r="I372" s="558">
        <v>17</v>
      </c>
      <c r="J372" s="649">
        <f t="shared" si="91"/>
        <v>0.00502162835350219</v>
      </c>
      <c r="K372" s="648">
        <f t="shared" si="92"/>
        <v>0.4935368956743</v>
      </c>
      <c r="L372" s="648">
        <f t="shared" si="93"/>
        <v>2.47835886881752</v>
      </c>
      <c r="M372" s="648">
        <f t="shared" si="94"/>
        <v>0</v>
      </c>
      <c r="N372" s="649">
        <f t="shared" si="95"/>
        <v>0</v>
      </c>
      <c r="O372" s="560">
        <f t="shared" si="96"/>
        <v>10.6571428571429</v>
      </c>
      <c r="P372">
        <f t="shared" si="97"/>
        <v>273</v>
      </c>
      <c r="Q372" s="661">
        <f t="shared" si="98"/>
        <v>0.0463104325699746</v>
      </c>
    </row>
    <row r="373" spans="1:17">
      <c r="A373" s="653">
        <v>45532</v>
      </c>
      <c r="B373" s="557">
        <v>3405.01</v>
      </c>
      <c r="C373" s="37">
        <v>796156</v>
      </c>
      <c r="D373" s="37">
        <v>5486</v>
      </c>
      <c r="E373" s="37">
        <v>3</v>
      </c>
      <c r="F373" s="37">
        <v>60710</v>
      </c>
      <c r="G373" s="37">
        <v>55</v>
      </c>
      <c r="H373" s="37">
        <v>208</v>
      </c>
      <c r="I373" s="558">
        <v>10</v>
      </c>
      <c r="J373" s="649">
        <f t="shared" si="91"/>
        <v>0.00689060937806159</v>
      </c>
      <c r="K373" s="648">
        <f t="shared" si="92"/>
        <v>0.620672621217645</v>
      </c>
      <c r="L373" s="648">
        <f t="shared" si="93"/>
        <v>4.27681258446837</v>
      </c>
      <c r="M373" s="648">
        <f t="shared" si="94"/>
        <v>17.8296098983557</v>
      </c>
      <c r="N373" s="649">
        <f t="shared" si="95"/>
        <v>0.000546846518410499</v>
      </c>
      <c r="O373" s="560">
        <f t="shared" si="96"/>
        <v>12.9468060836502</v>
      </c>
      <c r="P373">
        <f t="shared" si="97"/>
        <v>263</v>
      </c>
      <c r="Q373" s="661">
        <f t="shared" si="98"/>
        <v>0.0479402114473205</v>
      </c>
    </row>
    <row r="374" spans="1:17">
      <c r="A374" s="653">
        <v>45533</v>
      </c>
      <c r="B374" s="557">
        <v>2879.27</v>
      </c>
      <c r="C374" s="37">
        <v>506631</v>
      </c>
      <c r="D374" s="37">
        <v>3942</v>
      </c>
      <c r="E374" s="37">
        <v>2</v>
      </c>
      <c r="F374" s="37">
        <v>19.8</v>
      </c>
      <c r="G374" s="37">
        <v>61</v>
      </c>
      <c r="H374" s="37">
        <v>212</v>
      </c>
      <c r="I374" s="558">
        <v>17</v>
      </c>
      <c r="J374" s="649">
        <f t="shared" si="91"/>
        <v>0.00778081088602948</v>
      </c>
      <c r="K374" s="648">
        <f t="shared" si="92"/>
        <v>0.730408422120751</v>
      </c>
      <c r="L374" s="648">
        <f t="shared" si="93"/>
        <v>5.68316980208475</v>
      </c>
      <c r="M374" s="648">
        <f t="shared" si="94"/>
        <v>0.00687674306334592</v>
      </c>
      <c r="N374" s="649">
        <f t="shared" si="95"/>
        <v>0.000507356671740233</v>
      </c>
      <c r="O374" s="560">
        <f t="shared" si="96"/>
        <v>10.5467765567766</v>
      </c>
      <c r="P374">
        <f t="shared" si="97"/>
        <v>273</v>
      </c>
      <c r="Q374" s="661">
        <f t="shared" si="98"/>
        <v>0.0692541856925419</v>
      </c>
    </row>
    <row r="375" spans="1:17">
      <c r="A375" s="653">
        <v>45534</v>
      </c>
      <c r="B375" s="557">
        <v>2918.51</v>
      </c>
      <c r="C375" s="37">
        <v>303695</v>
      </c>
      <c r="D375" s="37">
        <v>2902</v>
      </c>
      <c r="E375" s="37">
        <v>0</v>
      </c>
      <c r="F375" s="37">
        <v>0</v>
      </c>
      <c r="G375" s="37">
        <v>63</v>
      </c>
      <c r="H375" s="37">
        <v>178</v>
      </c>
      <c r="I375" s="558">
        <v>16</v>
      </c>
      <c r="J375" s="649">
        <f t="shared" si="91"/>
        <v>0.0095556397043086</v>
      </c>
      <c r="K375" s="648">
        <f t="shared" si="92"/>
        <v>1.00568917987595</v>
      </c>
      <c r="L375" s="648">
        <f t="shared" si="93"/>
        <v>9.61000345741616</v>
      </c>
      <c r="M375" s="648">
        <f t="shared" si="94"/>
        <v>0</v>
      </c>
      <c r="N375" s="649">
        <f t="shared" si="95"/>
        <v>0</v>
      </c>
      <c r="O375" s="560">
        <f t="shared" si="96"/>
        <v>12.11</v>
      </c>
      <c r="P375">
        <f t="shared" si="97"/>
        <v>241</v>
      </c>
      <c r="Q375" s="661">
        <f t="shared" si="98"/>
        <v>0.0830461750516885</v>
      </c>
    </row>
    <row r="376" spans="1:17">
      <c r="A376" s="653">
        <v>45535</v>
      </c>
      <c r="B376" s="557">
        <v>4894.85</v>
      </c>
      <c r="C376" s="37">
        <v>673377</v>
      </c>
      <c r="D376" s="37">
        <v>5438</v>
      </c>
      <c r="E376" s="37">
        <v>1</v>
      </c>
      <c r="F376" s="37">
        <v>14067</v>
      </c>
      <c r="G376" s="37">
        <v>104</v>
      </c>
      <c r="H376" s="37">
        <v>287</v>
      </c>
      <c r="I376" s="558">
        <v>21</v>
      </c>
      <c r="J376" s="649">
        <f t="shared" si="91"/>
        <v>0.00807571390172221</v>
      </c>
      <c r="K376" s="648">
        <f t="shared" si="92"/>
        <v>0.900119529238691</v>
      </c>
      <c r="L376" s="648">
        <f t="shared" si="93"/>
        <v>7.26910779548455</v>
      </c>
      <c r="M376" s="648">
        <f t="shared" si="94"/>
        <v>2.87383678764416</v>
      </c>
      <c r="N376" s="649">
        <f t="shared" si="95"/>
        <v>0.000183891136447223</v>
      </c>
      <c r="O376" s="560">
        <f t="shared" si="96"/>
        <v>12.5187979539642</v>
      </c>
      <c r="P376">
        <f t="shared" si="97"/>
        <v>391</v>
      </c>
      <c r="Q376" s="661">
        <f t="shared" si="98"/>
        <v>0.0719014343508643</v>
      </c>
    </row>
    <row r="377" spans="1:17">
      <c r="A377" s="653">
        <v>45536</v>
      </c>
      <c r="B377" s="557">
        <v>5016.32</v>
      </c>
      <c r="C377" s="37">
        <v>673699</v>
      </c>
      <c r="D377" s="37">
        <v>5848</v>
      </c>
      <c r="E377" s="37">
        <v>1</v>
      </c>
      <c r="F377" s="37">
        <v>9.9</v>
      </c>
      <c r="G377" s="37">
        <v>121</v>
      </c>
      <c r="H377" s="37">
        <v>283</v>
      </c>
      <c r="I377" s="558">
        <v>20</v>
      </c>
      <c r="J377" s="649">
        <f t="shared" si="91"/>
        <v>0.00868043443733774</v>
      </c>
      <c r="K377" s="648">
        <f t="shared" si="92"/>
        <v>0.857783857729138</v>
      </c>
      <c r="L377" s="648">
        <f t="shared" si="93"/>
        <v>7.44593653842443</v>
      </c>
      <c r="M377" s="648">
        <f t="shared" si="94"/>
        <v>0.00197355830569023</v>
      </c>
      <c r="N377" s="649">
        <f t="shared" si="95"/>
        <v>0.000170998632010944</v>
      </c>
      <c r="O377" s="560">
        <f t="shared" si="96"/>
        <v>12.4166336633663</v>
      </c>
      <c r="P377">
        <f t="shared" si="97"/>
        <v>404</v>
      </c>
      <c r="Q377" s="661">
        <f t="shared" si="98"/>
        <v>0.0690834473324213</v>
      </c>
    </row>
    <row r="378" spans="1:17">
      <c r="A378" s="653">
        <v>45537</v>
      </c>
      <c r="B378" s="557">
        <v>5162.59</v>
      </c>
      <c r="C378" s="37">
        <v>854988</v>
      </c>
      <c r="D378" s="37">
        <v>6048</v>
      </c>
      <c r="E378" s="37">
        <v>5</v>
      </c>
      <c r="F378" s="37">
        <v>24964.7</v>
      </c>
      <c r="G378" s="37">
        <v>108</v>
      </c>
      <c r="H378" s="37">
        <v>262</v>
      </c>
      <c r="I378" s="558">
        <v>24</v>
      </c>
      <c r="J378" s="649">
        <f t="shared" si="91"/>
        <v>0.00707378349169813</v>
      </c>
      <c r="K378" s="648">
        <f t="shared" si="92"/>
        <v>0.853602843915344</v>
      </c>
      <c r="L378" s="648">
        <f t="shared" si="93"/>
        <v>6.03820170575493</v>
      </c>
      <c r="M378" s="648">
        <f t="shared" si="94"/>
        <v>4.83569293707228</v>
      </c>
      <c r="N378" s="649">
        <f t="shared" si="95"/>
        <v>0.000826719576719577</v>
      </c>
      <c r="O378" s="560">
        <f t="shared" si="96"/>
        <v>13.9529459459459</v>
      </c>
      <c r="P378">
        <f t="shared" si="97"/>
        <v>370</v>
      </c>
      <c r="Q378" s="661">
        <f t="shared" si="98"/>
        <v>0.0611772486772487</v>
      </c>
    </row>
    <row r="379" spans="1:17">
      <c r="A379" s="653">
        <v>45538</v>
      </c>
      <c r="B379" s="557">
        <v>5662.32</v>
      </c>
      <c r="C379" s="37">
        <v>982775</v>
      </c>
      <c r="D379" s="37">
        <v>7451</v>
      </c>
      <c r="E379" s="37">
        <v>2</v>
      </c>
      <c r="F379" s="37">
        <v>9283.9</v>
      </c>
      <c r="G379" s="37">
        <v>99</v>
      </c>
      <c r="H379" s="37">
        <v>263</v>
      </c>
      <c r="I379" s="558">
        <v>29</v>
      </c>
      <c r="J379" s="649">
        <f t="shared" si="91"/>
        <v>0.00758159293836331</v>
      </c>
      <c r="K379" s="648">
        <f t="shared" si="92"/>
        <v>0.759940947523822</v>
      </c>
      <c r="L379" s="648">
        <f t="shared" si="93"/>
        <v>5.76156292131973</v>
      </c>
      <c r="M379" s="648">
        <f t="shared" si="94"/>
        <v>1.63959295836336</v>
      </c>
      <c r="N379" s="649">
        <f t="shared" si="95"/>
        <v>0.000268420346262247</v>
      </c>
      <c r="O379" s="560">
        <f t="shared" si="96"/>
        <v>15.6417679558011</v>
      </c>
      <c r="P379">
        <f t="shared" si="97"/>
        <v>362</v>
      </c>
      <c r="Q379" s="661">
        <f t="shared" si="98"/>
        <v>0.0485840826734667</v>
      </c>
    </row>
    <row r="380" spans="1:17">
      <c r="A380" s="653">
        <v>45539</v>
      </c>
      <c r="B380" s="557">
        <v>4628</v>
      </c>
      <c r="C380" s="37">
        <v>1010861</v>
      </c>
      <c r="D380" s="37">
        <v>6884</v>
      </c>
      <c r="E380" s="37">
        <v>2</v>
      </c>
      <c r="F380" s="37">
        <v>14123.9</v>
      </c>
      <c r="G380" s="37">
        <v>86</v>
      </c>
      <c r="H380" s="37">
        <v>256</v>
      </c>
      <c r="I380" s="558">
        <v>22</v>
      </c>
      <c r="J380" s="649">
        <f t="shared" si="91"/>
        <v>0.00681003619686584</v>
      </c>
      <c r="K380" s="648">
        <f t="shared" si="92"/>
        <v>0.672283556072051</v>
      </c>
      <c r="L380" s="648">
        <f t="shared" si="93"/>
        <v>4.57827535140835</v>
      </c>
      <c r="M380" s="648">
        <f t="shared" si="94"/>
        <v>3.05183664649957</v>
      </c>
      <c r="N380" s="649">
        <f t="shared" si="95"/>
        <v>0.000290528762347472</v>
      </c>
      <c r="O380" s="560">
        <f t="shared" si="96"/>
        <v>13.5321637426901</v>
      </c>
      <c r="P380">
        <f t="shared" si="97"/>
        <v>342</v>
      </c>
      <c r="Q380" s="661">
        <f t="shared" si="98"/>
        <v>0.0496804183614178</v>
      </c>
    </row>
    <row r="381" spans="1:17">
      <c r="A381" s="653">
        <v>45540</v>
      </c>
      <c r="B381" s="557">
        <v>4678.11</v>
      </c>
      <c r="C381" s="37">
        <v>597299</v>
      </c>
      <c r="D381" s="37">
        <v>4706</v>
      </c>
      <c r="E381" s="37">
        <v>3</v>
      </c>
      <c r="F381" s="37">
        <v>23257.9</v>
      </c>
      <c r="G381" s="37">
        <v>88</v>
      </c>
      <c r="H381" s="37">
        <v>268</v>
      </c>
      <c r="I381" s="558">
        <v>16</v>
      </c>
      <c r="J381" s="649">
        <f t="shared" si="91"/>
        <v>0.00787880106948111</v>
      </c>
      <c r="K381" s="648">
        <f t="shared" si="92"/>
        <v>0.994073523161921</v>
      </c>
      <c r="L381" s="648">
        <f t="shared" si="93"/>
        <v>7.832107537431</v>
      </c>
      <c r="M381" s="648">
        <f t="shared" si="94"/>
        <v>4.97164453165915</v>
      </c>
      <c r="N381" s="649">
        <f t="shared" si="95"/>
        <v>0.000637484062898428</v>
      </c>
      <c r="O381" s="560">
        <f t="shared" si="96"/>
        <v>13.1407584269663</v>
      </c>
      <c r="P381">
        <f t="shared" si="97"/>
        <v>356</v>
      </c>
      <c r="Q381" s="661">
        <f t="shared" si="98"/>
        <v>0.0756481087972801</v>
      </c>
    </row>
    <row r="382" spans="1:17">
      <c r="A382" s="653">
        <v>45541</v>
      </c>
      <c r="B382" s="557">
        <v>4665.3</v>
      </c>
      <c r="C382" s="37">
        <v>679536</v>
      </c>
      <c r="D382" s="37">
        <v>5093</v>
      </c>
      <c r="E382" s="37">
        <v>0</v>
      </c>
      <c r="F382" s="37">
        <v>0</v>
      </c>
      <c r="G382" s="37">
        <v>112</v>
      </c>
      <c r="H382" s="37">
        <v>274</v>
      </c>
      <c r="I382" s="558">
        <v>18</v>
      </c>
      <c r="J382" s="649">
        <f t="shared" si="91"/>
        <v>0.00749481999481999</v>
      </c>
      <c r="K382" s="648">
        <f t="shared" si="92"/>
        <v>0.916021990967995</v>
      </c>
      <c r="L382" s="648">
        <f t="shared" si="93"/>
        <v>6.86541993360175</v>
      </c>
      <c r="M382" s="648">
        <f t="shared" si="94"/>
        <v>0</v>
      </c>
      <c r="N382" s="649">
        <f t="shared" si="95"/>
        <v>0</v>
      </c>
      <c r="O382" s="560">
        <f t="shared" si="96"/>
        <v>12.0862694300518</v>
      </c>
      <c r="P382">
        <f t="shared" si="97"/>
        <v>386</v>
      </c>
      <c r="Q382" s="661">
        <f t="shared" si="98"/>
        <v>0.0757903004123306</v>
      </c>
    </row>
    <row r="383" spans="1:17">
      <c r="A383" s="653">
        <v>45542</v>
      </c>
      <c r="B383" s="557">
        <v>4695.88</v>
      </c>
      <c r="C383" s="37">
        <v>519692</v>
      </c>
      <c r="D383" s="37">
        <v>4943</v>
      </c>
      <c r="E383" s="37">
        <v>0</v>
      </c>
      <c r="F383" s="37">
        <v>0</v>
      </c>
      <c r="G383" s="37">
        <v>78</v>
      </c>
      <c r="H383" s="37">
        <v>364</v>
      </c>
      <c r="I383" s="558">
        <v>17</v>
      </c>
      <c r="J383" s="649">
        <f t="shared" si="91"/>
        <v>0.0095114029078762</v>
      </c>
      <c r="K383" s="648">
        <f t="shared" si="92"/>
        <v>0.950006069188752</v>
      </c>
      <c r="L383" s="648">
        <f t="shared" si="93"/>
        <v>9.03589048898194</v>
      </c>
      <c r="M383" s="648">
        <f t="shared" si="94"/>
        <v>0</v>
      </c>
      <c r="N383" s="649">
        <f t="shared" si="95"/>
        <v>0</v>
      </c>
      <c r="O383" s="560">
        <f t="shared" si="96"/>
        <v>10.6241628959276</v>
      </c>
      <c r="P383">
        <f t="shared" si="97"/>
        <v>442</v>
      </c>
      <c r="Q383" s="661">
        <f t="shared" si="98"/>
        <v>0.0894193809427473</v>
      </c>
    </row>
    <row r="384" spans="1:17">
      <c r="A384" s="653">
        <v>45543</v>
      </c>
      <c r="B384" s="557">
        <v>2894.91</v>
      </c>
      <c r="C384" s="37">
        <v>349861</v>
      </c>
      <c r="D384" s="37">
        <v>3157</v>
      </c>
      <c r="E384" s="37">
        <v>0</v>
      </c>
      <c r="F384" s="37">
        <v>0</v>
      </c>
      <c r="G384" s="37">
        <v>53</v>
      </c>
      <c r="H384" s="37">
        <v>182</v>
      </c>
      <c r="I384" s="558">
        <v>15</v>
      </c>
      <c r="J384" s="649">
        <f t="shared" si="91"/>
        <v>0.00902358365179314</v>
      </c>
      <c r="K384" s="648">
        <f t="shared" si="92"/>
        <v>0.916981311371555</v>
      </c>
      <c r="L384" s="648">
        <f t="shared" si="93"/>
        <v>8.2744575702922</v>
      </c>
      <c r="M384" s="648">
        <f t="shared" si="94"/>
        <v>0</v>
      </c>
      <c r="N384" s="649">
        <f t="shared" si="95"/>
        <v>0</v>
      </c>
      <c r="O384" s="560">
        <f t="shared" si="96"/>
        <v>12.3187659574468</v>
      </c>
      <c r="P384">
        <f t="shared" si="97"/>
        <v>235</v>
      </c>
      <c r="Q384" s="661">
        <f t="shared" si="98"/>
        <v>0.0744377573645866</v>
      </c>
    </row>
    <row r="385" spans="1:17">
      <c r="A385" s="653">
        <v>45544</v>
      </c>
      <c r="B385" s="557">
        <v>4437.44</v>
      </c>
      <c r="C385" s="37">
        <v>470435</v>
      </c>
      <c r="D385" s="37">
        <v>3798</v>
      </c>
      <c r="E385" s="37">
        <v>2</v>
      </c>
      <c r="F385" s="37">
        <v>11163.9</v>
      </c>
      <c r="G385" s="37">
        <v>72</v>
      </c>
      <c r="H385" s="37">
        <v>163</v>
      </c>
      <c r="I385" s="558">
        <v>11</v>
      </c>
      <c r="J385" s="649">
        <f t="shared" si="91"/>
        <v>0.00807337889400236</v>
      </c>
      <c r="K385" s="648">
        <f t="shared" si="92"/>
        <v>1.16836229594523</v>
      </c>
      <c r="L385" s="648">
        <f t="shared" si="93"/>
        <v>9.43263150063239</v>
      </c>
      <c r="M385" s="648">
        <f t="shared" si="94"/>
        <v>2.51584246772914</v>
      </c>
      <c r="N385" s="649">
        <f t="shared" si="95"/>
        <v>0.000526592943654555</v>
      </c>
      <c r="O385" s="560">
        <f t="shared" si="96"/>
        <v>18.8827234042553</v>
      </c>
      <c r="P385">
        <f t="shared" si="97"/>
        <v>235</v>
      </c>
      <c r="Q385" s="661">
        <f t="shared" si="98"/>
        <v>0.0618746708794102</v>
      </c>
    </row>
    <row r="386" spans="1:17">
      <c r="A386" s="653">
        <v>45545</v>
      </c>
      <c r="B386" s="557">
        <v>4094.18</v>
      </c>
      <c r="C386" s="37">
        <v>412207</v>
      </c>
      <c r="D386" s="37">
        <v>3242</v>
      </c>
      <c r="E386" s="37">
        <v>2</v>
      </c>
      <c r="F386" s="37">
        <v>51118</v>
      </c>
      <c r="G386" s="37">
        <v>65</v>
      </c>
      <c r="H386" s="37">
        <v>159</v>
      </c>
      <c r="I386" s="558">
        <v>11</v>
      </c>
      <c r="J386" s="649">
        <f t="shared" si="91"/>
        <v>0.00786498045884713</v>
      </c>
      <c r="K386" s="648">
        <f t="shared" si="92"/>
        <v>1.26285626156693</v>
      </c>
      <c r="L386" s="648">
        <f t="shared" si="93"/>
        <v>9.93233981955668</v>
      </c>
      <c r="M386" s="648">
        <f t="shared" si="94"/>
        <v>12.4855282376447</v>
      </c>
      <c r="N386" s="649">
        <f t="shared" si="95"/>
        <v>0.000616903146206046</v>
      </c>
      <c r="O386" s="560">
        <f t="shared" si="96"/>
        <v>18.2775892857143</v>
      </c>
      <c r="P386">
        <f t="shared" si="97"/>
        <v>224</v>
      </c>
      <c r="Q386" s="661">
        <f t="shared" si="98"/>
        <v>0.0690931523750771</v>
      </c>
    </row>
    <row r="387" spans="1:17">
      <c r="A387" s="653">
        <v>45546</v>
      </c>
      <c r="B387" s="557">
        <v>4393.38</v>
      </c>
      <c r="C387" s="37">
        <v>459244</v>
      </c>
      <c r="D387" s="37">
        <v>3938</v>
      </c>
      <c r="E387" s="37">
        <v>4</v>
      </c>
      <c r="F387" s="37">
        <v>36871</v>
      </c>
      <c r="G387" s="37">
        <v>70</v>
      </c>
      <c r="H387" s="37">
        <v>166</v>
      </c>
      <c r="I387" s="558">
        <v>15</v>
      </c>
      <c r="J387" s="649">
        <f t="shared" si="91"/>
        <v>0.00857496232939352</v>
      </c>
      <c r="K387" s="648">
        <f t="shared" si="92"/>
        <v>1.1156373793804</v>
      </c>
      <c r="L387" s="648">
        <f t="shared" si="93"/>
        <v>9.56654850145021</v>
      </c>
      <c r="M387" s="648">
        <f t="shared" si="94"/>
        <v>8.39239947375369</v>
      </c>
      <c r="N387" s="649">
        <f t="shared" si="95"/>
        <v>0.00101574403250381</v>
      </c>
      <c r="O387" s="560">
        <f t="shared" si="96"/>
        <v>18.6160169491525</v>
      </c>
      <c r="P387">
        <f t="shared" si="97"/>
        <v>236</v>
      </c>
      <c r="Q387" s="661">
        <f t="shared" si="98"/>
        <v>0.0599288979177247</v>
      </c>
    </row>
    <row r="388" spans="1:17">
      <c r="A388" s="653">
        <v>45547</v>
      </c>
      <c r="B388" s="557">
        <v>3948.18</v>
      </c>
      <c r="C388" s="37">
        <v>766712</v>
      </c>
      <c r="D388" s="37">
        <v>5439</v>
      </c>
      <c r="E388" s="37">
        <v>0</v>
      </c>
      <c r="F388" s="37">
        <v>0</v>
      </c>
      <c r="G388" s="37">
        <v>70</v>
      </c>
      <c r="H388" s="37">
        <v>156</v>
      </c>
      <c r="I388" s="558">
        <v>17</v>
      </c>
      <c r="J388" s="649">
        <f t="shared" si="91"/>
        <v>0.00709392835901877</v>
      </c>
      <c r="K388" s="648">
        <f t="shared" si="92"/>
        <v>0.725901820187534</v>
      </c>
      <c r="L388" s="648">
        <f t="shared" si="93"/>
        <v>5.14949550809169</v>
      </c>
      <c r="M388" s="648">
        <f t="shared" si="94"/>
        <v>0</v>
      </c>
      <c r="N388" s="649">
        <f t="shared" si="95"/>
        <v>0</v>
      </c>
      <c r="O388" s="560">
        <f t="shared" si="96"/>
        <v>17.4698230088496</v>
      </c>
      <c r="P388">
        <f t="shared" si="97"/>
        <v>226</v>
      </c>
      <c r="Q388" s="661">
        <f t="shared" si="98"/>
        <v>0.0415517558374701</v>
      </c>
    </row>
    <row r="389" spans="1:17">
      <c r="A389" s="653">
        <v>45548</v>
      </c>
      <c r="B389" s="557">
        <v>4124</v>
      </c>
      <c r="C389" s="37">
        <v>499056</v>
      </c>
      <c r="D389" s="37">
        <v>3941</v>
      </c>
      <c r="E389" s="37">
        <v>2</v>
      </c>
      <c r="F389" s="37">
        <v>14656</v>
      </c>
      <c r="G389" s="37">
        <v>48</v>
      </c>
      <c r="H389" s="37">
        <v>169</v>
      </c>
      <c r="I389" s="558">
        <v>11</v>
      </c>
      <c r="J389" s="649">
        <f t="shared" si="91"/>
        <v>0.0078969093648809</v>
      </c>
      <c r="K389" s="648">
        <f t="shared" si="92"/>
        <v>1.04643491499619</v>
      </c>
      <c r="L389" s="648">
        <f t="shared" si="93"/>
        <v>8.26360167997179</v>
      </c>
      <c r="M389" s="648">
        <f t="shared" si="94"/>
        <v>3.55383123181377</v>
      </c>
      <c r="N389" s="649">
        <f t="shared" si="95"/>
        <v>0.000507485409794468</v>
      </c>
      <c r="O389" s="560">
        <f t="shared" si="96"/>
        <v>19.0046082949309</v>
      </c>
      <c r="P389">
        <f t="shared" si="97"/>
        <v>217</v>
      </c>
      <c r="Q389" s="661">
        <f t="shared" si="98"/>
        <v>0.0550621669626998</v>
      </c>
    </row>
    <row r="390" spans="1:17">
      <c r="A390" s="653">
        <v>45549</v>
      </c>
      <c r="B390" s="557">
        <v>4095.21</v>
      </c>
      <c r="C390" s="37">
        <v>428905</v>
      </c>
      <c r="D390" s="37">
        <v>3763</v>
      </c>
      <c r="E390" s="37">
        <v>1</v>
      </c>
      <c r="F390" s="37">
        <v>8907</v>
      </c>
      <c r="G390" s="37">
        <v>65</v>
      </c>
      <c r="H390" s="37">
        <v>167</v>
      </c>
      <c r="I390" s="558">
        <v>16</v>
      </c>
      <c r="J390" s="649">
        <f t="shared" si="91"/>
        <v>0.00877350462223569</v>
      </c>
      <c r="K390" s="648">
        <f t="shared" si="92"/>
        <v>1.08828328461334</v>
      </c>
      <c r="L390" s="648">
        <f t="shared" si="93"/>
        <v>9.54805842785698</v>
      </c>
      <c r="M390" s="648">
        <f t="shared" si="94"/>
        <v>2.17498003765375</v>
      </c>
      <c r="N390" s="649">
        <f t="shared" si="95"/>
        <v>0.000265745415891576</v>
      </c>
      <c r="O390" s="560">
        <f t="shared" si="96"/>
        <v>17.6517672413793</v>
      </c>
      <c r="P390">
        <f t="shared" si="97"/>
        <v>232</v>
      </c>
      <c r="Q390" s="661">
        <f t="shared" si="98"/>
        <v>0.0616529364868456</v>
      </c>
    </row>
    <row r="391" spans="1:17">
      <c r="A391" s="653">
        <v>45550</v>
      </c>
      <c r="B391" s="557">
        <v>4328.09</v>
      </c>
      <c r="C391" s="37">
        <v>296531</v>
      </c>
      <c r="D391" s="37">
        <v>3983</v>
      </c>
      <c r="E391" s="37">
        <v>0</v>
      </c>
      <c r="F391" s="37">
        <v>0</v>
      </c>
      <c r="G391" s="37">
        <v>45</v>
      </c>
      <c r="H391" s="37">
        <v>163</v>
      </c>
      <c r="I391" s="558">
        <v>9</v>
      </c>
      <c r="J391" s="649">
        <f t="shared" si="91"/>
        <v>0.0134319851887324</v>
      </c>
      <c r="K391" s="648">
        <f t="shared" si="92"/>
        <v>1.08664072307306</v>
      </c>
      <c r="L391" s="648">
        <f t="shared" si="93"/>
        <v>14.5957420977908</v>
      </c>
      <c r="M391" s="648">
        <f t="shared" si="94"/>
        <v>0</v>
      </c>
      <c r="N391" s="649">
        <f t="shared" si="95"/>
        <v>0</v>
      </c>
      <c r="O391" s="560">
        <f t="shared" si="96"/>
        <v>20.808125</v>
      </c>
      <c r="P391">
        <f t="shared" si="97"/>
        <v>208</v>
      </c>
      <c r="Q391" s="661">
        <f t="shared" si="98"/>
        <v>0.0522219432588501</v>
      </c>
    </row>
    <row r="392" spans="1:17">
      <c r="A392" s="653">
        <v>45551</v>
      </c>
      <c r="B392" s="557">
        <v>3820.78</v>
      </c>
      <c r="C392" s="37">
        <v>386142</v>
      </c>
      <c r="D392" s="37">
        <v>3808</v>
      </c>
      <c r="E392" s="37">
        <v>0</v>
      </c>
      <c r="F392" s="37">
        <v>0</v>
      </c>
      <c r="G392" s="37">
        <v>74</v>
      </c>
      <c r="H392" s="37">
        <v>180</v>
      </c>
      <c r="I392" s="558">
        <v>6</v>
      </c>
      <c r="J392" s="649">
        <f t="shared" si="91"/>
        <v>0.00986165711059662</v>
      </c>
      <c r="K392" s="648">
        <f t="shared" si="92"/>
        <v>1.00335609243697</v>
      </c>
      <c r="L392" s="648">
        <f t="shared" si="93"/>
        <v>9.89475374344153</v>
      </c>
      <c r="M392" s="648">
        <f t="shared" si="94"/>
        <v>0</v>
      </c>
      <c r="N392" s="649">
        <f t="shared" si="95"/>
        <v>0</v>
      </c>
      <c r="O392" s="560">
        <f t="shared" si="96"/>
        <v>15.0424409448819</v>
      </c>
      <c r="P392">
        <f t="shared" si="97"/>
        <v>254</v>
      </c>
      <c r="Q392" s="661">
        <f t="shared" si="98"/>
        <v>0.0667016806722689</v>
      </c>
    </row>
    <row r="393" spans="1:17">
      <c r="A393" s="653">
        <v>45552</v>
      </c>
      <c r="B393" s="557">
        <v>3504.79</v>
      </c>
      <c r="C393" s="37">
        <v>425727</v>
      </c>
      <c r="D393" s="37">
        <v>3513</v>
      </c>
      <c r="E393" s="37">
        <v>1</v>
      </c>
      <c r="F393" s="37">
        <v>20468</v>
      </c>
      <c r="G393" s="37">
        <v>44</v>
      </c>
      <c r="H393" s="37">
        <v>109</v>
      </c>
      <c r="I393" s="558">
        <v>7</v>
      </c>
      <c r="J393" s="649">
        <f t="shared" si="91"/>
        <v>0.0082517669774292</v>
      </c>
      <c r="K393" s="648">
        <f t="shared" si="92"/>
        <v>0.997662966125818</v>
      </c>
      <c r="L393" s="648">
        <f t="shared" si="93"/>
        <v>8.23248231848109</v>
      </c>
      <c r="M393" s="648">
        <f t="shared" si="94"/>
        <v>5.84000753254831</v>
      </c>
      <c r="N393" s="649">
        <f t="shared" si="95"/>
        <v>0.000284656988329063</v>
      </c>
      <c r="O393" s="560">
        <f t="shared" si="96"/>
        <v>22.9071241830065</v>
      </c>
      <c r="P393">
        <f t="shared" si="97"/>
        <v>153</v>
      </c>
      <c r="Q393" s="661">
        <f t="shared" si="98"/>
        <v>0.0435525192143467</v>
      </c>
    </row>
    <row r="394" spans="1:17">
      <c r="A394" s="653">
        <v>45553</v>
      </c>
      <c r="B394" s="557">
        <v>3795.47</v>
      </c>
      <c r="C394" s="37">
        <v>400107</v>
      </c>
      <c r="D394" s="37">
        <v>3602</v>
      </c>
      <c r="E394" s="37">
        <v>0</v>
      </c>
      <c r="F394" s="37">
        <v>0</v>
      </c>
      <c r="G394" s="37">
        <v>45</v>
      </c>
      <c r="H394" s="37">
        <v>113</v>
      </c>
      <c r="I394" s="558">
        <v>6</v>
      </c>
      <c r="J394" s="649">
        <f t="shared" si="91"/>
        <v>0.00900259180669171</v>
      </c>
      <c r="K394" s="648">
        <f t="shared" si="92"/>
        <v>1.05371182676291</v>
      </c>
      <c r="L394" s="648">
        <f t="shared" si="93"/>
        <v>9.48613745822992</v>
      </c>
      <c r="M394" s="648">
        <f t="shared" si="94"/>
        <v>0</v>
      </c>
      <c r="N394" s="649">
        <f t="shared" si="95"/>
        <v>0</v>
      </c>
      <c r="O394" s="560">
        <f t="shared" si="96"/>
        <v>24.0219620253165</v>
      </c>
      <c r="P394">
        <f t="shared" si="97"/>
        <v>158</v>
      </c>
      <c r="Q394" s="661">
        <f t="shared" si="98"/>
        <v>0.0438645197112715</v>
      </c>
    </row>
    <row r="395" spans="1:17">
      <c r="A395" s="653">
        <v>45554</v>
      </c>
      <c r="B395" s="557">
        <v>3752.26</v>
      </c>
      <c r="C395" s="37">
        <v>464379</v>
      </c>
      <c r="D395" s="37">
        <v>3318</v>
      </c>
      <c r="E395" s="37">
        <v>1</v>
      </c>
      <c r="F395" s="37">
        <v>14367</v>
      </c>
      <c r="G395" s="37">
        <v>66</v>
      </c>
      <c r="H395" s="37">
        <v>120</v>
      </c>
      <c r="I395" s="558">
        <v>11</v>
      </c>
      <c r="J395" s="649">
        <f t="shared" si="91"/>
        <v>0.00714502593786541</v>
      </c>
      <c r="K395" s="648">
        <f t="shared" si="92"/>
        <v>1.13088004822182</v>
      </c>
      <c r="L395" s="648">
        <f t="shared" si="93"/>
        <v>8.08016727715939</v>
      </c>
      <c r="M395" s="648">
        <f t="shared" si="94"/>
        <v>3.82889245414763</v>
      </c>
      <c r="N395" s="649">
        <f t="shared" si="95"/>
        <v>0.000301386377335744</v>
      </c>
      <c r="O395" s="560">
        <f t="shared" si="96"/>
        <v>20.1734408602151</v>
      </c>
      <c r="P395">
        <f t="shared" si="97"/>
        <v>186</v>
      </c>
      <c r="Q395" s="661">
        <f t="shared" si="98"/>
        <v>0.0560578661844485</v>
      </c>
    </row>
    <row r="396" spans="1:17">
      <c r="A396" s="653">
        <v>45555</v>
      </c>
      <c r="B396" s="557">
        <v>3782.65</v>
      </c>
      <c r="C396" s="37">
        <v>370833</v>
      </c>
      <c r="D396" s="37">
        <v>3112</v>
      </c>
      <c r="E396" s="37">
        <v>1</v>
      </c>
      <c r="F396" s="37">
        <v>14256</v>
      </c>
      <c r="G396" s="37">
        <v>65</v>
      </c>
      <c r="H396" s="37">
        <v>141</v>
      </c>
      <c r="I396" s="558">
        <v>17</v>
      </c>
      <c r="J396" s="649">
        <f t="shared" si="91"/>
        <v>0.00839191765565632</v>
      </c>
      <c r="K396" s="648">
        <f t="shared" si="92"/>
        <v>1.21550449871465</v>
      </c>
      <c r="L396" s="648">
        <f t="shared" si="93"/>
        <v>10.2004136632932</v>
      </c>
      <c r="M396" s="648">
        <f t="shared" si="94"/>
        <v>3.76878643279183</v>
      </c>
      <c r="N396" s="649">
        <f t="shared" si="95"/>
        <v>0.00032133676092545</v>
      </c>
      <c r="O396" s="560">
        <f t="shared" si="96"/>
        <v>18.3623786407767</v>
      </c>
      <c r="P396">
        <f t="shared" si="97"/>
        <v>206</v>
      </c>
      <c r="Q396" s="661">
        <f t="shared" si="98"/>
        <v>0.0661953727506427</v>
      </c>
    </row>
    <row r="397" spans="1:17">
      <c r="A397" s="653">
        <v>45556</v>
      </c>
      <c r="B397" s="557">
        <v>3851.8</v>
      </c>
      <c r="C397" s="37">
        <v>224015</v>
      </c>
      <c r="D397" s="37">
        <v>2485</v>
      </c>
      <c r="E397" s="37">
        <v>0</v>
      </c>
      <c r="F397" s="37">
        <v>0</v>
      </c>
      <c r="G397" s="37">
        <v>53</v>
      </c>
      <c r="H397" s="37">
        <v>119</v>
      </c>
      <c r="I397" s="558">
        <v>10</v>
      </c>
      <c r="J397" s="649">
        <f t="shared" si="91"/>
        <v>0.0110930071646988</v>
      </c>
      <c r="K397" s="648">
        <f t="shared" si="92"/>
        <v>1.55002012072435</v>
      </c>
      <c r="L397" s="648">
        <f t="shared" si="93"/>
        <v>17.1943843046225</v>
      </c>
      <c r="M397" s="648">
        <f t="shared" si="94"/>
        <v>0</v>
      </c>
      <c r="N397" s="649">
        <f t="shared" si="95"/>
        <v>0</v>
      </c>
      <c r="O397" s="560">
        <f t="shared" si="96"/>
        <v>22.3941860465116</v>
      </c>
      <c r="P397">
        <f t="shared" si="97"/>
        <v>172</v>
      </c>
      <c r="Q397" s="661">
        <f t="shared" si="98"/>
        <v>0.069215291750503</v>
      </c>
    </row>
    <row r="398" spans="1:17">
      <c r="A398" s="653">
        <v>45557</v>
      </c>
      <c r="B398" s="557">
        <v>1738.32</v>
      </c>
      <c r="C398" s="37">
        <v>310672</v>
      </c>
      <c r="D398" s="37">
        <v>2133</v>
      </c>
      <c r="E398" s="37">
        <v>1</v>
      </c>
      <c r="F398" s="37">
        <v>13954</v>
      </c>
      <c r="G398" s="37">
        <v>33</v>
      </c>
      <c r="H398" s="37">
        <v>95</v>
      </c>
      <c r="I398" s="558">
        <v>9</v>
      </c>
      <c r="J398" s="649">
        <f t="shared" si="91"/>
        <v>0.00686576196116805</v>
      </c>
      <c r="K398" s="648">
        <f t="shared" si="92"/>
        <v>0.814964838255977</v>
      </c>
      <c r="L398" s="648">
        <f t="shared" si="93"/>
        <v>5.59535458618736</v>
      </c>
      <c r="M398" s="648">
        <f t="shared" si="94"/>
        <v>8.02729071747434</v>
      </c>
      <c r="N398" s="649">
        <f t="shared" si="95"/>
        <v>0.00046882325363338</v>
      </c>
      <c r="O398" s="560">
        <f t="shared" si="96"/>
        <v>13.580625</v>
      </c>
      <c r="P398">
        <f t="shared" si="97"/>
        <v>128</v>
      </c>
      <c r="Q398" s="661">
        <f t="shared" si="98"/>
        <v>0.0600093764650727</v>
      </c>
    </row>
    <row r="399" spans="1:17">
      <c r="A399" s="653">
        <v>45558</v>
      </c>
      <c r="B399" s="557">
        <v>1554.44</v>
      </c>
      <c r="C399" s="37">
        <v>276401</v>
      </c>
      <c r="D399" s="37">
        <v>1969</v>
      </c>
      <c r="E399" s="37">
        <v>0</v>
      </c>
      <c r="F399" s="37">
        <v>0</v>
      </c>
      <c r="G399" s="37">
        <v>47</v>
      </c>
      <c r="H399" s="37">
        <v>77</v>
      </c>
      <c r="I399" s="558">
        <v>6</v>
      </c>
      <c r="J399" s="649">
        <f t="shared" si="91"/>
        <v>0.00712370794606387</v>
      </c>
      <c r="K399" s="648">
        <f t="shared" si="92"/>
        <v>0.789456576942611</v>
      </c>
      <c r="L399" s="648">
        <f t="shared" si="93"/>
        <v>5.62385809023846</v>
      </c>
      <c r="M399" s="648">
        <f t="shared" si="94"/>
        <v>0</v>
      </c>
      <c r="N399" s="649">
        <f t="shared" si="95"/>
        <v>0</v>
      </c>
      <c r="O399" s="560">
        <f t="shared" si="96"/>
        <v>12.5358064516129</v>
      </c>
      <c r="P399">
        <f t="shared" si="97"/>
        <v>124</v>
      </c>
      <c r="Q399" s="661">
        <f t="shared" si="98"/>
        <v>0.0629761300152362</v>
      </c>
    </row>
    <row r="400" spans="1:17">
      <c r="A400" s="653">
        <v>45559</v>
      </c>
      <c r="B400" s="557">
        <v>1766.99</v>
      </c>
      <c r="C400" s="37">
        <v>230963</v>
      </c>
      <c r="D400" s="37">
        <v>1741</v>
      </c>
      <c r="E400" s="37">
        <v>0</v>
      </c>
      <c r="F400" s="37">
        <v>0</v>
      </c>
      <c r="G400" s="37">
        <v>34</v>
      </c>
      <c r="H400" s="37">
        <v>75</v>
      </c>
      <c r="I400" s="558">
        <v>6</v>
      </c>
      <c r="J400" s="649">
        <f t="shared" si="91"/>
        <v>0.00753800392270623</v>
      </c>
      <c r="K400" s="648">
        <f t="shared" si="92"/>
        <v>1.01492820218265</v>
      </c>
      <c r="L400" s="648">
        <f t="shared" si="93"/>
        <v>7.65053276931803</v>
      </c>
      <c r="M400" s="648">
        <f t="shared" si="94"/>
        <v>0</v>
      </c>
      <c r="N400" s="649">
        <f t="shared" si="95"/>
        <v>0</v>
      </c>
      <c r="O400" s="560">
        <f t="shared" si="96"/>
        <v>16.2109174311927</v>
      </c>
      <c r="P400">
        <f t="shared" si="97"/>
        <v>109</v>
      </c>
      <c r="Q400" s="661">
        <f t="shared" si="98"/>
        <v>0.0626076967260195</v>
      </c>
    </row>
    <row r="401" spans="1:17">
      <c r="A401" s="653">
        <v>45560</v>
      </c>
      <c r="B401" s="557">
        <v>1972.33</v>
      </c>
      <c r="C401" s="37">
        <v>149551</v>
      </c>
      <c r="D401" s="37">
        <v>1474</v>
      </c>
      <c r="E401" s="37">
        <v>2</v>
      </c>
      <c r="F401" s="37">
        <v>20151</v>
      </c>
      <c r="G401" s="37">
        <v>56</v>
      </c>
      <c r="H401" s="37">
        <v>45</v>
      </c>
      <c r="I401" s="558">
        <v>4</v>
      </c>
      <c r="J401" s="649">
        <f t="shared" si="91"/>
        <v>0.00985616946727203</v>
      </c>
      <c r="K401" s="648">
        <f t="shared" si="92"/>
        <v>1.33808005427408</v>
      </c>
      <c r="L401" s="648">
        <f t="shared" si="93"/>
        <v>13.1883437757019</v>
      </c>
      <c r="M401" s="648">
        <f t="shared" si="94"/>
        <v>10.21685012143</v>
      </c>
      <c r="N401" s="649">
        <f t="shared" si="95"/>
        <v>0.00135685210312076</v>
      </c>
      <c r="O401" s="560">
        <f t="shared" si="96"/>
        <v>19.5280198019802</v>
      </c>
      <c r="P401">
        <f t="shared" si="97"/>
        <v>101</v>
      </c>
      <c r="Q401" s="661">
        <f t="shared" si="98"/>
        <v>0.0685210312075984</v>
      </c>
    </row>
    <row r="402" spans="1:17">
      <c r="A402" s="653">
        <v>45561</v>
      </c>
      <c r="B402" s="557">
        <v>2216.6</v>
      </c>
      <c r="C402" s="37">
        <v>184914</v>
      </c>
      <c r="D402" s="37">
        <v>2459</v>
      </c>
      <c r="E402" s="37">
        <v>2</v>
      </c>
      <c r="F402" s="37">
        <v>21819</v>
      </c>
      <c r="G402" s="37">
        <v>57</v>
      </c>
      <c r="H402" s="37">
        <v>66</v>
      </c>
      <c r="I402" s="558">
        <v>9</v>
      </c>
      <c r="J402" s="649">
        <f t="shared" si="91"/>
        <v>0.013298073699125</v>
      </c>
      <c r="K402" s="648">
        <f t="shared" si="92"/>
        <v>0.901423342822285</v>
      </c>
      <c r="L402" s="648">
        <f t="shared" si="93"/>
        <v>11.9871940469624</v>
      </c>
      <c r="M402" s="648">
        <f t="shared" si="94"/>
        <v>9.84345393846431</v>
      </c>
      <c r="N402" s="649">
        <f t="shared" si="95"/>
        <v>0.000813338755591704</v>
      </c>
      <c r="O402" s="560">
        <f t="shared" si="96"/>
        <v>18.0211382113821</v>
      </c>
      <c r="P402">
        <f t="shared" si="97"/>
        <v>123</v>
      </c>
      <c r="Q402" s="661">
        <f t="shared" si="98"/>
        <v>0.0500203334688898</v>
      </c>
    </row>
    <row r="403" spans="1:17">
      <c r="A403" s="653">
        <v>45562</v>
      </c>
      <c r="B403" s="557">
        <v>1534.33</v>
      </c>
      <c r="C403" s="37">
        <v>188681</v>
      </c>
      <c r="D403" s="37">
        <v>1324</v>
      </c>
      <c r="E403" s="37">
        <v>0</v>
      </c>
      <c r="F403" s="37">
        <v>0</v>
      </c>
      <c r="G403" s="37">
        <v>44</v>
      </c>
      <c r="H403" s="37">
        <v>85</v>
      </c>
      <c r="I403" s="558">
        <v>7</v>
      </c>
      <c r="J403" s="649">
        <f>D404/C404</f>
        <v>0.00878863336751135</v>
      </c>
      <c r="K403" s="648">
        <f>B404/D404</f>
        <v>1.18055303030303</v>
      </c>
      <c r="L403" s="648">
        <f>B404/C404*1000</f>
        <v>10.3754477542379</v>
      </c>
      <c r="M403" s="648">
        <f>F404/B404</f>
        <v>0</v>
      </c>
      <c r="N403" s="649">
        <f>E404/D404</f>
        <v>0</v>
      </c>
      <c r="O403" s="560">
        <f>B404/(G404+H404)</f>
        <v>9.44442424242424</v>
      </c>
      <c r="P403">
        <f>G404+H404</f>
        <v>165</v>
      </c>
      <c r="Q403" s="661">
        <f>P403/D404</f>
        <v>0.125</v>
      </c>
    </row>
    <row r="404" spans="1:17">
      <c r="A404" s="653">
        <v>45563</v>
      </c>
      <c r="B404" s="557">
        <v>1558.33</v>
      </c>
      <c r="C404" s="37">
        <v>150194</v>
      </c>
      <c r="D404" s="37">
        <v>1320</v>
      </c>
      <c r="E404" s="37">
        <v>0</v>
      </c>
      <c r="F404" s="37">
        <v>0</v>
      </c>
      <c r="G404" s="37">
        <v>44</v>
      </c>
      <c r="H404" s="37">
        <v>121</v>
      </c>
      <c r="I404" s="558">
        <v>6</v>
      </c>
      <c r="J404" s="649">
        <f>D405/C405</f>
        <v>0.00677181591826994</v>
      </c>
      <c r="K404" s="648">
        <f>B405/D405</f>
        <v>1.02356382978723</v>
      </c>
      <c r="L404" s="648">
        <f>B405/C405*1000</f>
        <v>6.93138583591854</v>
      </c>
      <c r="M404" s="648">
        <f>F405/B405</f>
        <v>0</v>
      </c>
      <c r="N404" s="649">
        <f>E405/D405</f>
        <v>0</v>
      </c>
      <c r="O404" s="560">
        <f>B405/(G405+H405)</f>
        <v>12.4148387096774</v>
      </c>
      <c r="P404">
        <f>G405+H405</f>
        <v>124</v>
      </c>
      <c r="Q404" s="661">
        <f>P404/D405</f>
        <v>0.0824468085106383</v>
      </c>
    </row>
    <row r="405" spans="1:17">
      <c r="A405" s="653">
        <v>45564</v>
      </c>
      <c r="B405" s="557">
        <v>1539.44</v>
      </c>
      <c r="C405" s="37">
        <v>222097</v>
      </c>
      <c r="D405" s="37">
        <v>1504</v>
      </c>
      <c r="E405" s="37">
        <v>0</v>
      </c>
      <c r="F405" s="37">
        <v>0</v>
      </c>
      <c r="G405" s="37">
        <v>42</v>
      </c>
      <c r="H405" s="37">
        <v>82</v>
      </c>
      <c r="I405" s="558">
        <v>5</v>
      </c>
      <c r="J405" s="649">
        <f t="shared" ref="J405:J423" si="99">D405/C405</f>
        <v>0.00677181591826994</v>
      </c>
      <c r="K405" s="648">
        <f t="shared" ref="K405:K423" si="100">B405/D405</f>
        <v>1.02356382978723</v>
      </c>
      <c r="L405" s="648">
        <f t="shared" ref="L405:L423" si="101">B405/C405*1000</f>
        <v>6.93138583591854</v>
      </c>
      <c r="M405" s="648">
        <f t="shared" ref="M405:M423" si="102">F405/B405</f>
        <v>0</v>
      </c>
      <c r="N405" s="649">
        <f t="shared" ref="N405:N423" si="103">E405/D405</f>
        <v>0</v>
      </c>
      <c r="O405" s="560">
        <f t="shared" ref="O405:O423" si="104">B405/(G405+H405)</f>
        <v>12.4148387096774</v>
      </c>
      <c r="P405">
        <f t="shared" ref="P405:P423" si="105">G405+H405</f>
        <v>124</v>
      </c>
      <c r="Q405" s="661">
        <f t="shared" ref="Q405:Q423" si="106">P405/D405</f>
        <v>0.0824468085106383</v>
      </c>
    </row>
    <row r="406" spans="1:17">
      <c r="A406" s="653">
        <v>45565</v>
      </c>
      <c r="B406" s="557">
        <v>1466.21</v>
      </c>
      <c r="C406" s="37">
        <v>206676</v>
      </c>
      <c r="D406" s="37">
        <v>1242</v>
      </c>
      <c r="E406" s="37">
        <v>1</v>
      </c>
      <c r="F406" s="37">
        <v>6934</v>
      </c>
      <c r="G406" s="37">
        <v>41</v>
      </c>
      <c r="H406" s="37">
        <v>82</v>
      </c>
      <c r="I406" s="558">
        <v>6</v>
      </c>
      <c r="J406" s="649">
        <f t="shared" si="99"/>
        <v>0.00600940602682459</v>
      </c>
      <c r="K406" s="648">
        <f t="shared" si="100"/>
        <v>1.18052334943639</v>
      </c>
      <c r="L406" s="648">
        <f t="shared" si="101"/>
        <v>7.09424413091022</v>
      </c>
      <c r="M406" s="648">
        <f t="shared" si="102"/>
        <v>4.72919977356586</v>
      </c>
      <c r="N406" s="649">
        <f t="shared" si="103"/>
        <v>0.000805152979066023</v>
      </c>
      <c r="O406" s="560">
        <f t="shared" si="104"/>
        <v>11.920406504065</v>
      </c>
      <c r="P406">
        <f t="shared" si="105"/>
        <v>123</v>
      </c>
      <c r="Q406" s="661">
        <f t="shared" si="106"/>
        <v>0.0990338164251208</v>
      </c>
    </row>
    <row r="407" spans="1:17">
      <c r="A407" s="653">
        <v>45566</v>
      </c>
      <c r="B407" s="557">
        <v>1437.39</v>
      </c>
      <c r="C407" s="37">
        <v>181711</v>
      </c>
      <c r="D407" s="37">
        <v>1403</v>
      </c>
      <c r="E407" s="37">
        <v>2</v>
      </c>
      <c r="F407" s="37">
        <v>7346</v>
      </c>
      <c r="G407" s="37">
        <v>52</v>
      </c>
      <c r="H407" s="37">
        <v>115</v>
      </c>
      <c r="I407" s="558">
        <v>8</v>
      </c>
      <c r="J407" s="649">
        <f t="shared" si="99"/>
        <v>0.00772105155989456</v>
      </c>
      <c r="K407" s="648">
        <f t="shared" si="100"/>
        <v>1.02451176051319</v>
      </c>
      <c r="L407" s="648">
        <f t="shared" si="101"/>
        <v>7.91030812664066</v>
      </c>
      <c r="M407" s="648">
        <f t="shared" si="102"/>
        <v>5.11065194554018</v>
      </c>
      <c r="N407" s="649">
        <f t="shared" si="103"/>
        <v>0.00142551674982181</v>
      </c>
      <c r="O407" s="560">
        <f t="shared" si="104"/>
        <v>8.60712574850299</v>
      </c>
      <c r="P407">
        <f t="shared" si="105"/>
        <v>167</v>
      </c>
      <c r="Q407" s="661">
        <f t="shared" si="106"/>
        <v>0.119030648610121</v>
      </c>
    </row>
    <row r="408" spans="1:17">
      <c r="A408" s="653">
        <v>45567</v>
      </c>
      <c r="B408" s="557">
        <v>1317.7</v>
      </c>
      <c r="C408" s="37">
        <v>178377</v>
      </c>
      <c r="D408" s="37">
        <v>1271</v>
      </c>
      <c r="E408" s="37">
        <v>0</v>
      </c>
      <c r="F408" s="37">
        <v>0</v>
      </c>
      <c r="G408" s="37">
        <v>44</v>
      </c>
      <c r="H408" s="37">
        <v>89</v>
      </c>
      <c r="I408" s="558">
        <v>7</v>
      </c>
      <c r="J408" s="649">
        <f t="shared" si="99"/>
        <v>0.00712535808988827</v>
      </c>
      <c r="K408" s="648">
        <f t="shared" si="100"/>
        <v>1.03674272226593</v>
      </c>
      <c r="L408" s="648">
        <f t="shared" si="101"/>
        <v>7.38716314323035</v>
      </c>
      <c r="M408" s="648">
        <f t="shared" si="102"/>
        <v>0</v>
      </c>
      <c r="N408" s="649">
        <f t="shared" si="103"/>
        <v>0</v>
      </c>
      <c r="O408" s="560">
        <f t="shared" si="104"/>
        <v>9.90751879699248</v>
      </c>
      <c r="P408">
        <f t="shared" si="105"/>
        <v>133</v>
      </c>
      <c r="Q408" s="661">
        <f t="shared" si="106"/>
        <v>0.104642014162077</v>
      </c>
    </row>
    <row r="409" spans="1:17">
      <c r="A409" s="653">
        <v>45568</v>
      </c>
      <c r="B409" s="557">
        <v>1367.69</v>
      </c>
      <c r="C409" s="37">
        <v>168788</v>
      </c>
      <c r="D409" s="37">
        <v>1428</v>
      </c>
      <c r="E409" s="37">
        <v>0</v>
      </c>
      <c r="F409" s="37">
        <v>0</v>
      </c>
      <c r="G409" s="37">
        <v>42</v>
      </c>
      <c r="H409" s="37">
        <v>104</v>
      </c>
      <c r="I409" s="558">
        <v>5</v>
      </c>
      <c r="J409" s="649">
        <f t="shared" si="99"/>
        <v>0.0084603170841529</v>
      </c>
      <c r="K409" s="648">
        <f t="shared" si="100"/>
        <v>0.957766106442577</v>
      </c>
      <c r="L409" s="648">
        <f t="shared" si="101"/>
        <v>8.10300495295874</v>
      </c>
      <c r="M409" s="648">
        <f t="shared" si="102"/>
        <v>0</v>
      </c>
      <c r="N409" s="649">
        <f t="shared" si="103"/>
        <v>0</v>
      </c>
      <c r="O409" s="560">
        <f t="shared" si="104"/>
        <v>9.3677397260274</v>
      </c>
      <c r="P409">
        <f t="shared" si="105"/>
        <v>146</v>
      </c>
      <c r="Q409" s="661">
        <f t="shared" si="106"/>
        <v>0.102240896358543</v>
      </c>
    </row>
    <row r="410" spans="1:17">
      <c r="A410" s="653">
        <v>45569</v>
      </c>
      <c r="B410" s="557">
        <v>1355.78</v>
      </c>
      <c r="C410" s="37">
        <v>161428</v>
      </c>
      <c r="D410" s="37">
        <v>1808</v>
      </c>
      <c r="E410" s="37">
        <v>0</v>
      </c>
      <c r="F410" s="37">
        <v>0</v>
      </c>
      <c r="G410" s="37">
        <v>49</v>
      </c>
      <c r="H410" s="37">
        <v>103</v>
      </c>
      <c r="I410" s="558">
        <v>6</v>
      </c>
      <c r="J410" s="649">
        <f t="shared" si="99"/>
        <v>0.011200039646158</v>
      </c>
      <c r="K410" s="648">
        <f t="shared" si="100"/>
        <v>0.749878318584071</v>
      </c>
      <c r="L410" s="648">
        <f t="shared" si="101"/>
        <v>8.39866689793592</v>
      </c>
      <c r="M410" s="648">
        <f t="shared" si="102"/>
        <v>0</v>
      </c>
      <c r="N410" s="649">
        <f t="shared" si="103"/>
        <v>0</v>
      </c>
      <c r="O410" s="560">
        <f t="shared" si="104"/>
        <v>8.91960526315789</v>
      </c>
      <c r="P410">
        <f t="shared" si="105"/>
        <v>152</v>
      </c>
      <c r="Q410" s="661">
        <f t="shared" si="106"/>
        <v>0.084070796460177</v>
      </c>
    </row>
    <row r="411" spans="1:17">
      <c r="A411" s="653">
        <v>45570</v>
      </c>
      <c r="B411" s="557">
        <v>1402.77</v>
      </c>
      <c r="C411" s="37">
        <v>138911</v>
      </c>
      <c r="D411" s="37">
        <v>1434</v>
      </c>
      <c r="E411" s="37">
        <v>0</v>
      </c>
      <c r="F411" s="37">
        <v>0</v>
      </c>
      <c r="G411" s="37">
        <v>54</v>
      </c>
      <c r="H411" s="37">
        <v>91</v>
      </c>
      <c r="I411" s="558">
        <v>6</v>
      </c>
      <c r="J411" s="649">
        <f t="shared" si="99"/>
        <v>0.0103231565534767</v>
      </c>
      <c r="K411" s="648">
        <f t="shared" si="100"/>
        <v>0.978221757322176</v>
      </c>
      <c r="L411" s="648">
        <f t="shared" si="101"/>
        <v>10.0983363448539</v>
      </c>
      <c r="M411" s="648">
        <f t="shared" si="102"/>
        <v>0</v>
      </c>
      <c r="N411" s="649">
        <f t="shared" si="103"/>
        <v>0</v>
      </c>
      <c r="O411" s="560">
        <f t="shared" si="104"/>
        <v>9.67427586206897</v>
      </c>
      <c r="P411">
        <f t="shared" si="105"/>
        <v>145</v>
      </c>
      <c r="Q411" s="661">
        <f t="shared" si="106"/>
        <v>0.101115760111576</v>
      </c>
    </row>
    <row r="412" spans="1:17">
      <c r="A412" s="653">
        <v>45571</v>
      </c>
      <c r="B412" s="557">
        <v>1307.33</v>
      </c>
      <c r="C412" s="37">
        <v>103618</v>
      </c>
      <c r="D412" s="37">
        <v>1389</v>
      </c>
      <c r="E412" s="37">
        <v>0</v>
      </c>
      <c r="F412" s="37">
        <v>0</v>
      </c>
      <c r="G412" s="37">
        <v>64</v>
      </c>
      <c r="H412" s="37">
        <v>98</v>
      </c>
      <c r="I412" s="558">
        <v>10</v>
      </c>
      <c r="J412" s="649">
        <f t="shared" si="99"/>
        <v>0.0134050068520913</v>
      </c>
      <c r="K412" s="648">
        <f t="shared" si="100"/>
        <v>0.941202303815695</v>
      </c>
      <c r="L412" s="648">
        <f t="shared" si="101"/>
        <v>12.6168233318535</v>
      </c>
      <c r="M412" s="648">
        <f t="shared" si="102"/>
        <v>0</v>
      </c>
      <c r="N412" s="649">
        <f t="shared" si="103"/>
        <v>0</v>
      </c>
      <c r="O412" s="560">
        <f t="shared" si="104"/>
        <v>8.06993827160494</v>
      </c>
      <c r="P412">
        <f t="shared" si="105"/>
        <v>162</v>
      </c>
      <c r="Q412" s="661">
        <f t="shared" si="106"/>
        <v>0.116630669546436</v>
      </c>
    </row>
    <row r="413" spans="1:17">
      <c r="A413" s="653">
        <v>45572</v>
      </c>
      <c r="B413" s="557">
        <v>1355.52</v>
      </c>
      <c r="C413" s="37">
        <v>104397</v>
      </c>
      <c r="D413" s="37">
        <v>1613</v>
      </c>
      <c r="E413" s="37">
        <v>4</v>
      </c>
      <c r="F413" s="37">
        <v>48018</v>
      </c>
      <c r="G413" s="37">
        <v>79</v>
      </c>
      <c r="H413" s="37">
        <v>117</v>
      </c>
      <c r="I413" s="558">
        <v>16</v>
      </c>
      <c r="J413" s="649">
        <f t="shared" si="99"/>
        <v>0.0154506355546615</v>
      </c>
      <c r="K413" s="648">
        <f t="shared" si="100"/>
        <v>0.840371977681339</v>
      </c>
      <c r="L413" s="648">
        <f t="shared" si="101"/>
        <v>12.9842811575045</v>
      </c>
      <c r="M413" s="648">
        <f t="shared" si="102"/>
        <v>35.4240439093484</v>
      </c>
      <c r="N413" s="649">
        <f t="shared" si="103"/>
        <v>0.00247985120892746</v>
      </c>
      <c r="O413" s="560">
        <f t="shared" si="104"/>
        <v>6.91591836734694</v>
      </c>
      <c r="P413">
        <f t="shared" si="105"/>
        <v>196</v>
      </c>
      <c r="Q413" s="661">
        <f t="shared" si="106"/>
        <v>0.121512709237446</v>
      </c>
    </row>
    <row r="414" spans="1:17">
      <c r="A414" s="653">
        <v>45573</v>
      </c>
      <c r="B414" s="557">
        <v>1316.97</v>
      </c>
      <c r="C414" s="37">
        <v>128177</v>
      </c>
      <c r="D414" s="37">
        <v>1163</v>
      </c>
      <c r="E414" s="37">
        <v>7</v>
      </c>
      <c r="F414" s="37">
        <v>66933</v>
      </c>
      <c r="G414" s="37">
        <v>70</v>
      </c>
      <c r="H414" s="37">
        <v>89</v>
      </c>
      <c r="I414" s="558">
        <v>7</v>
      </c>
      <c r="J414" s="649">
        <f t="shared" si="99"/>
        <v>0.00907339070192</v>
      </c>
      <c r="K414" s="648">
        <f t="shared" si="100"/>
        <v>1.13239036973345</v>
      </c>
      <c r="L414" s="648">
        <f t="shared" si="101"/>
        <v>10.2746202516832</v>
      </c>
      <c r="M414" s="648">
        <f t="shared" si="102"/>
        <v>50.8234811726919</v>
      </c>
      <c r="N414" s="649">
        <f t="shared" si="103"/>
        <v>0.0060189165950129</v>
      </c>
      <c r="O414" s="560">
        <f t="shared" si="104"/>
        <v>8.28283018867925</v>
      </c>
      <c r="P414">
        <f t="shared" si="105"/>
        <v>159</v>
      </c>
      <c r="Q414" s="661">
        <f t="shared" si="106"/>
        <v>0.136715391229579</v>
      </c>
    </row>
    <row r="415" spans="1:17">
      <c r="A415" s="653">
        <v>45574</v>
      </c>
      <c r="B415" s="557">
        <v>1246.44</v>
      </c>
      <c r="C415" s="37">
        <v>149675</v>
      </c>
      <c r="D415" s="37">
        <v>1188</v>
      </c>
      <c r="E415" s="37">
        <v>6</v>
      </c>
      <c r="F415" s="37">
        <v>59065</v>
      </c>
      <c r="G415" s="37">
        <v>43</v>
      </c>
      <c r="H415" s="37">
        <v>90</v>
      </c>
      <c r="I415" s="558">
        <v>9</v>
      </c>
      <c r="J415" s="649">
        <f t="shared" si="99"/>
        <v>0.00793719726073159</v>
      </c>
      <c r="K415" s="648">
        <f t="shared" si="100"/>
        <v>1.04919191919192</v>
      </c>
      <c r="L415" s="648">
        <f t="shared" si="101"/>
        <v>8.32764322699182</v>
      </c>
      <c r="M415" s="648">
        <f t="shared" si="102"/>
        <v>47.386958056545</v>
      </c>
      <c r="N415" s="649">
        <f t="shared" si="103"/>
        <v>0.00505050505050505</v>
      </c>
      <c r="O415" s="560">
        <f t="shared" si="104"/>
        <v>9.37172932330827</v>
      </c>
      <c r="P415">
        <f t="shared" si="105"/>
        <v>133</v>
      </c>
      <c r="Q415" s="661">
        <f t="shared" si="106"/>
        <v>0.111952861952862</v>
      </c>
    </row>
    <row r="416" spans="1:17">
      <c r="A416" s="653">
        <v>45575</v>
      </c>
      <c r="B416" s="557">
        <v>1291.59</v>
      </c>
      <c r="C416" s="37">
        <v>277557</v>
      </c>
      <c r="D416" s="37">
        <v>1594</v>
      </c>
      <c r="E416" s="37">
        <v>6</v>
      </c>
      <c r="F416" s="37">
        <v>75774</v>
      </c>
      <c r="G416" s="37">
        <v>65</v>
      </c>
      <c r="H416" s="37">
        <v>68</v>
      </c>
      <c r="I416" s="558">
        <v>9</v>
      </c>
      <c r="J416" s="649">
        <f t="shared" si="99"/>
        <v>0.00574296450819111</v>
      </c>
      <c r="K416" s="648">
        <f t="shared" si="100"/>
        <v>0.810282308657465</v>
      </c>
      <c r="L416" s="648">
        <f t="shared" si="101"/>
        <v>4.65342254023498</v>
      </c>
      <c r="M416" s="648">
        <f t="shared" si="102"/>
        <v>58.667224119109</v>
      </c>
      <c r="N416" s="649">
        <f t="shared" si="103"/>
        <v>0.00376411543287327</v>
      </c>
      <c r="O416" s="560">
        <f t="shared" si="104"/>
        <v>9.7112030075188</v>
      </c>
      <c r="P416">
        <f t="shared" si="105"/>
        <v>133</v>
      </c>
      <c r="Q416" s="661">
        <f t="shared" si="106"/>
        <v>0.0834378920953576</v>
      </c>
    </row>
    <row r="417" spans="1:17">
      <c r="A417" s="653">
        <v>45576</v>
      </c>
      <c r="B417" s="557">
        <v>1533.03</v>
      </c>
      <c r="C417" s="37">
        <v>185936</v>
      </c>
      <c r="D417" s="37">
        <v>1308</v>
      </c>
      <c r="E417" s="37">
        <v>3</v>
      </c>
      <c r="F417" s="37">
        <v>28992</v>
      </c>
      <c r="G417" s="37">
        <v>84</v>
      </c>
      <c r="H417" s="37">
        <v>111</v>
      </c>
      <c r="I417" s="558">
        <v>12</v>
      </c>
      <c r="J417" s="649">
        <f t="shared" si="99"/>
        <v>0.00703467859908786</v>
      </c>
      <c r="K417" s="648">
        <f t="shared" si="100"/>
        <v>1.17204128440367</v>
      </c>
      <c r="L417" s="648">
        <f t="shared" si="101"/>
        <v>8.24493374064194</v>
      </c>
      <c r="M417" s="648">
        <f t="shared" si="102"/>
        <v>18.9115672883114</v>
      </c>
      <c r="N417" s="649">
        <f t="shared" si="103"/>
        <v>0.00229357798165138</v>
      </c>
      <c r="O417" s="560">
        <f t="shared" si="104"/>
        <v>7.86169230769231</v>
      </c>
      <c r="P417">
        <f t="shared" si="105"/>
        <v>195</v>
      </c>
      <c r="Q417" s="661">
        <f t="shared" si="106"/>
        <v>0.149082568807339</v>
      </c>
    </row>
    <row r="418" spans="1:17">
      <c r="A418" s="653">
        <v>45577</v>
      </c>
      <c r="B418" s="557">
        <v>1608.29</v>
      </c>
      <c r="C418" s="37">
        <v>172490</v>
      </c>
      <c r="D418" s="37">
        <v>1380</v>
      </c>
      <c r="E418" s="37">
        <v>5</v>
      </c>
      <c r="F418" s="37">
        <v>48973</v>
      </c>
      <c r="G418" s="37">
        <v>109</v>
      </c>
      <c r="H418" s="37">
        <v>94</v>
      </c>
      <c r="I418" s="558">
        <v>15</v>
      </c>
      <c r="J418" s="649">
        <f t="shared" si="99"/>
        <v>0.00800046379500261</v>
      </c>
      <c r="K418" s="648">
        <f t="shared" si="100"/>
        <v>1.16542753623188</v>
      </c>
      <c r="L418" s="648">
        <f t="shared" si="101"/>
        <v>9.32396080932228</v>
      </c>
      <c r="M418" s="648">
        <f t="shared" si="102"/>
        <v>30.4503541028048</v>
      </c>
      <c r="N418" s="649">
        <f t="shared" si="103"/>
        <v>0.0036231884057971</v>
      </c>
      <c r="O418" s="560">
        <f t="shared" si="104"/>
        <v>7.92261083743842</v>
      </c>
      <c r="P418">
        <f t="shared" si="105"/>
        <v>203</v>
      </c>
      <c r="Q418" s="661">
        <f t="shared" si="106"/>
        <v>0.147101449275362</v>
      </c>
    </row>
    <row r="419" spans="1:17">
      <c r="A419" s="653">
        <v>45578</v>
      </c>
      <c r="B419" s="557">
        <v>1551.44</v>
      </c>
      <c r="C419" s="37">
        <v>278435</v>
      </c>
      <c r="D419" s="37">
        <v>1860</v>
      </c>
      <c r="E419" s="37">
        <v>8</v>
      </c>
      <c r="F419" s="37">
        <v>86208</v>
      </c>
      <c r="G419" s="37">
        <v>92</v>
      </c>
      <c r="H419" s="37">
        <v>104</v>
      </c>
      <c r="I419" s="558">
        <v>14</v>
      </c>
      <c r="J419" s="649">
        <f t="shared" si="99"/>
        <v>0.00668019465943577</v>
      </c>
      <c r="K419" s="648">
        <f t="shared" si="100"/>
        <v>0.83410752688172</v>
      </c>
      <c r="L419" s="648">
        <f t="shared" si="101"/>
        <v>5.57200064647045</v>
      </c>
      <c r="M419" s="648">
        <f t="shared" si="102"/>
        <v>55.5664414995101</v>
      </c>
      <c r="N419" s="649">
        <f t="shared" si="103"/>
        <v>0.0043010752688172</v>
      </c>
      <c r="O419" s="560">
        <f t="shared" si="104"/>
        <v>7.91551020408163</v>
      </c>
      <c r="P419">
        <f t="shared" si="105"/>
        <v>196</v>
      </c>
      <c r="Q419" s="661">
        <f t="shared" si="106"/>
        <v>0.105376344086022</v>
      </c>
    </row>
    <row r="420" spans="1:17">
      <c r="A420" s="653">
        <v>45579</v>
      </c>
      <c r="B420" s="557">
        <v>5442.06</v>
      </c>
      <c r="C420" s="37">
        <v>366721</v>
      </c>
      <c r="D420" s="37">
        <v>2988</v>
      </c>
      <c r="E420" s="37">
        <v>39</v>
      </c>
      <c r="F420" s="37">
        <v>357867</v>
      </c>
      <c r="G420" s="37">
        <v>192</v>
      </c>
      <c r="H420" s="37">
        <v>155</v>
      </c>
      <c r="I420" s="558">
        <v>21</v>
      </c>
      <c r="J420" s="649">
        <f t="shared" si="99"/>
        <v>0.00814788354089349</v>
      </c>
      <c r="K420" s="648">
        <f t="shared" si="100"/>
        <v>1.82130522088353</v>
      </c>
      <c r="L420" s="648">
        <f t="shared" si="101"/>
        <v>14.8397828321803</v>
      </c>
      <c r="M420" s="648">
        <f t="shared" si="102"/>
        <v>65.759473434692</v>
      </c>
      <c r="N420" s="649">
        <f t="shared" si="103"/>
        <v>0.0130522088353414</v>
      </c>
      <c r="O420" s="560">
        <f t="shared" si="104"/>
        <v>15.6831700288184</v>
      </c>
      <c r="P420">
        <f t="shared" si="105"/>
        <v>347</v>
      </c>
      <c r="Q420" s="661">
        <f t="shared" si="106"/>
        <v>0.116131191432396</v>
      </c>
    </row>
    <row r="421" spans="1:17">
      <c r="A421" s="653">
        <v>45580</v>
      </c>
      <c r="B421" s="557">
        <v>6088.3</v>
      </c>
      <c r="C421" s="37">
        <v>572836</v>
      </c>
      <c r="D421" s="37">
        <v>6962</v>
      </c>
      <c r="E421" s="37">
        <v>63</v>
      </c>
      <c r="F421" s="37">
        <v>582685</v>
      </c>
      <c r="G421" s="37">
        <v>245</v>
      </c>
      <c r="H421" s="37">
        <v>227</v>
      </c>
      <c r="I421" s="558">
        <v>37</v>
      </c>
      <c r="J421" s="649">
        <f t="shared" si="99"/>
        <v>0.0121535657675146</v>
      </c>
      <c r="K421" s="648">
        <f t="shared" si="100"/>
        <v>0.874504452743465</v>
      </c>
      <c r="L421" s="648">
        <f t="shared" si="101"/>
        <v>10.6283473804021</v>
      </c>
      <c r="M421" s="648">
        <f t="shared" si="102"/>
        <v>95.7056978138397</v>
      </c>
      <c r="N421" s="649">
        <f t="shared" si="103"/>
        <v>0.00904912381499569</v>
      </c>
      <c r="O421" s="560">
        <f t="shared" si="104"/>
        <v>12.8989406779661</v>
      </c>
      <c r="P421">
        <f t="shared" si="105"/>
        <v>472</v>
      </c>
      <c r="Q421" s="661">
        <f t="shared" si="106"/>
        <v>0.0677966101694915</v>
      </c>
    </row>
    <row r="422" spans="1:17">
      <c r="A422" s="653">
        <v>45581</v>
      </c>
      <c r="B422" s="557">
        <v>4090.47</v>
      </c>
      <c r="C422" s="37">
        <v>462331</v>
      </c>
      <c r="D422" s="37">
        <v>3579</v>
      </c>
      <c r="E422" s="37">
        <v>6</v>
      </c>
      <c r="F422" s="37">
        <v>70423</v>
      </c>
      <c r="G422" s="37">
        <v>210</v>
      </c>
      <c r="H422" s="37">
        <v>185</v>
      </c>
      <c r="I422" s="558">
        <v>30</v>
      </c>
      <c r="J422" s="649">
        <f t="shared" si="99"/>
        <v>0.00774120705728147</v>
      </c>
      <c r="K422" s="648">
        <f t="shared" si="100"/>
        <v>1.14290863369656</v>
      </c>
      <c r="L422" s="648">
        <f t="shared" si="101"/>
        <v>8.84749238099976</v>
      </c>
      <c r="M422" s="648">
        <f t="shared" si="102"/>
        <v>17.2163590003105</v>
      </c>
      <c r="N422" s="649">
        <f t="shared" si="103"/>
        <v>0.00167644593461861</v>
      </c>
      <c r="O422" s="560">
        <f t="shared" si="104"/>
        <v>10.3556202531646</v>
      </c>
      <c r="P422">
        <f t="shared" si="105"/>
        <v>395</v>
      </c>
      <c r="Q422" s="661">
        <f t="shared" si="106"/>
        <v>0.110366024029058</v>
      </c>
    </row>
    <row r="423" spans="1:17">
      <c r="A423" s="653">
        <v>45582</v>
      </c>
      <c r="B423" s="557">
        <v>1878.06</v>
      </c>
      <c r="C423" s="37">
        <v>41325</v>
      </c>
      <c r="D423" s="37">
        <v>979</v>
      </c>
      <c r="E423" s="37">
        <v>5</v>
      </c>
      <c r="F423" s="37">
        <v>50151</v>
      </c>
      <c r="G423" s="37">
        <v>98</v>
      </c>
      <c r="H423" s="37">
        <v>60</v>
      </c>
      <c r="I423" s="558">
        <v>11</v>
      </c>
      <c r="J423" s="649">
        <f t="shared" si="99"/>
        <v>0.0236902601330913</v>
      </c>
      <c r="K423" s="648">
        <f t="shared" si="100"/>
        <v>1.91834525025536</v>
      </c>
      <c r="L423" s="648">
        <f t="shared" si="101"/>
        <v>45.4460980036298</v>
      </c>
      <c r="M423" s="648">
        <f t="shared" si="102"/>
        <v>26.7036196926616</v>
      </c>
      <c r="N423" s="649">
        <f t="shared" si="103"/>
        <v>0.00510725229826353</v>
      </c>
      <c r="O423" s="560">
        <f t="shared" si="104"/>
        <v>11.8864556962025</v>
      </c>
      <c r="P423">
        <f t="shared" si="105"/>
        <v>158</v>
      </c>
      <c r="Q423" s="661">
        <f t="shared" si="106"/>
        <v>0.161389172625128</v>
      </c>
    </row>
    <row r="424" spans="1:17">
      <c r="A424" s="653">
        <v>45583</v>
      </c>
      <c r="B424" s="557">
        <v>3450.77</v>
      </c>
      <c r="C424" s="37">
        <v>101889</v>
      </c>
      <c r="D424" s="37">
        <v>1815</v>
      </c>
      <c r="E424" s="37">
        <v>12</v>
      </c>
      <c r="F424" s="37">
        <v>123795.32</v>
      </c>
      <c r="G424" s="37">
        <v>141</v>
      </c>
      <c r="H424" s="37">
        <v>135</v>
      </c>
      <c r="I424" s="558">
        <v>27</v>
      </c>
      <c r="J424" s="649">
        <f t="shared" ref="J424:J452" si="107">D424/C424</f>
        <v>0.0178135029296587</v>
      </c>
      <c r="K424" s="648">
        <f t="shared" ref="K424:K452" si="108">B424/D424</f>
        <v>1.90125068870523</v>
      </c>
      <c r="L424" s="648">
        <f t="shared" ref="L424:L452" si="109">B424/C424*1000</f>
        <v>33.8679347132664</v>
      </c>
      <c r="M424" s="648">
        <f t="shared" ref="M424:M452" si="110">F424/B424</f>
        <v>35.8746946333717</v>
      </c>
      <c r="N424" s="649">
        <f t="shared" ref="N424:N452" si="111">E424/D424</f>
        <v>0.00661157024793388</v>
      </c>
      <c r="O424" s="560">
        <f t="shared" ref="O424:O452" si="112">B424/(G424+H424)</f>
        <v>12.5027898550725</v>
      </c>
      <c r="P424">
        <f t="shared" ref="P424:P452" si="113">G424+H424</f>
        <v>276</v>
      </c>
      <c r="Q424" s="661">
        <f t="shared" ref="Q424:Q452" si="114">P424/D424</f>
        <v>0.152066115702479</v>
      </c>
    </row>
    <row r="425" spans="1:17">
      <c r="A425" s="653">
        <v>45584</v>
      </c>
      <c r="B425" s="557">
        <v>3480.51</v>
      </c>
      <c r="C425" s="37">
        <v>53819</v>
      </c>
      <c r="D425" s="37">
        <v>2107</v>
      </c>
      <c r="E425" s="37">
        <v>21</v>
      </c>
      <c r="F425" s="37">
        <v>225332</v>
      </c>
      <c r="G425" s="37">
        <v>163</v>
      </c>
      <c r="H425" s="37">
        <v>216</v>
      </c>
      <c r="I425" s="558">
        <v>20</v>
      </c>
      <c r="J425" s="649">
        <f t="shared" si="107"/>
        <v>0.0391497426559394</v>
      </c>
      <c r="K425" s="648">
        <f t="shared" si="108"/>
        <v>1.6518794494542</v>
      </c>
      <c r="L425" s="648">
        <f t="shared" si="109"/>
        <v>64.6706553447667</v>
      </c>
      <c r="M425" s="648">
        <f t="shared" si="110"/>
        <v>64.7410867947513</v>
      </c>
      <c r="N425" s="649">
        <f t="shared" si="111"/>
        <v>0.00996677740863787</v>
      </c>
      <c r="O425" s="560">
        <f t="shared" si="112"/>
        <v>9.1834036939314</v>
      </c>
      <c r="P425">
        <f t="shared" si="113"/>
        <v>379</v>
      </c>
      <c r="Q425" s="661">
        <f t="shared" si="114"/>
        <v>0.179876601803512</v>
      </c>
    </row>
    <row r="426" spans="1:17">
      <c r="A426" s="653">
        <v>45585</v>
      </c>
      <c r="B426" s="557">
        <v>3321</v>
      </c>
      <c r="C426" s="37">
        <v>65699</v>
      </c>
      <c r="D426" s="37">
        <v>2197</v>
      </c>
      <c r="E426" s="37">
        <v>18</v>
      </c>
      <c r="F426" s="37">
        <v>255934</v>
      </c>
      <c r="G426" s="37">
        <v>170</v>
      </c>
      <c r="H426" s="37">
        <v>178</v>
      </c>
      <c r="I426" s="558">
        <v>22</v>
      </c>
      <c r="J426" s="649">
        <f t="shared" si="107"/>
        <v>0.0334403872205056</v>
      </c>
      <c r="K426" s="648">
        <f t="shared" si="108"/>
        <v>1.51160673645881</v>
      </c>
      <c r="L426" s="648">
        <f t="shared" si="109"/>
        <v>50.5487145923073</v>
      </c>
      <c r="M426" s="648">
        <f t="shared" si="110"/>
        <v>77.0653417645288</v>
      </c>
      <c r="N426" s="649">
        <f t="shared" si="111"/>
        <v>0.00819299044151115</v>
      </c>
      <c r="O426" s="560">
        <f t="shared" si="112"/>
        <v>9.54310344827586</v>
      </c>
      <c r="P426">
        <f t="shared" si="113"/>
        <v>348</v>
      </c>
      <c r="Q426" s="661">
        <f t="shared" si="114"/>
        <v>0.158397815202549</v>
      </c>
    </row>
    <row r="427" spans="1:17">
      <c r="A427" s="653">
        <v>45586</v>
      </c>
      <c r="B427" s="557">
        <v>6621.3</v>
      </c>
      <c r="C427" s="37">
        <v>124165</v>
      </c>
      <c r="D427" s="37">
        <v>3324</v>
      </c>
      <c r="E427" s="37">
        <v>19</v>
      </c>
      <c r="F427" s="37">
        <v>208478.48</v>
      </c>
      <c r="G427" s="37">
        <v>165</v>
      </c>
      <c r="H427" s="37">
        <v>120</v>
      </c>
      <c r="I427" s="558">
        <v>22</v>
      </c>
      <c r="J427" s="649">
        <f t="shared" si="107"/>
        <v>0.0267708291386462</v>
      </c>
      <c r="K427" s="648">
        <f t="shared" si="108"/>
        <v>1.99196750902527</v>
      </c>
      <c r="L427" s="648">
        <f t="shared" si="109"/>
        <v>53.3266218338501</v>
      </c>
      <c r="M427" s="648">
        <f t="shared" si="110"/>
        <v>31.4860344645311</v>
      </c>
      <c r="N427" s="649">
        <f t="shared" si="111"/>
        <v>0.00571600481347774</v>
      </c>
      <c r="O427" s="560">
        <f t="shared" si="112"/>
        <v>23.2326315789474</v>
      </c>
      <c r="P427">
        <f t="shared" si="113"/>
        <v>285</v>
      </c>
      <c r="Q427" s="661">
        <f t="shared" si="114"/>
        <v>0.0857400722021661</v>
      </c>
    </row>
    <row r="428" spans="1:17">
      <c r="A428" s="653">
        <v>45587</v>
      </c>
      <c r="B428" s="557">
        <v>4452.19</v>
      </c>
      <c r="C428" s="37">
        <v>312009</v>
      </c>
      <c r="D428" s="37">
        <v>3706</v>
      </c>
      <c r="E428" s="37">
        <v>9</v>
      </c>
      <c r="F428" s="37">
        <v>88550</v>
      </c>
      <c r="G428" s="37">
        <v>135</v>
      </c>
      <c r="H428" s="37">
        <v>139</v>
      </c>
      <c r="I428" s="558">
        <v>11</v>
      </c>
      <c r="J428" s="649">
        <f t="shared" si="107"/>
        <v>0.0118778624975562</v>
      </c>
      <c r="K428" s="648">
        <f t="shared" si="108"/>
        <v>1.20134646519158</v>
      </c>
      <c r="L428" s="648">
        <f t="shared" si="109"/>
        <v>14.2694281254707</v>
      </c>
      <c r="M428" s="648">
        <f t="shared" si="110"/>
        <v>19.8890882913802</v>
      </c>
      <c r="N428" s="649">
        <f t="shared" si="111"/>
        <v>0.00242849433351322</v>
      </c>
      <c r="O428" s="560">
        <f t="shared" si="112"/>
        <v>16.2488686131387</v>
      </c>
      <c r="P428">
        <f t="shared" si="113"/>
        <v>274</v>
      </c>
      <c r="Q428" s="661">
        <f t="shared" si="114"/>
        <v>0.0739341608202914</v>
      </c>
    </row>
    <row r="429" spans="1:17">
      <c r="A429" s="653">
        <v>45588</v>
      </c>
      <c r="B429" s="557">
        <v>6147.26</v>
      </c>
      <c r="C429" s="37">
        <v>386044</v>
      </c>
      <c r="D429" s="37">
        <v>4441</v>
      </c>
      <c r="E429" s="37">
        <v>15</v>
      </c>
      <c r="F429" s="37">
        <v>119502.8</v>
      </c>
      <c r="G429" s="37">
        <v>184</v>
      </c>
      <c r="H429" s="37">
        <v>222</v>
      </c>
      <c r="I429" s="558">
        <v>23</v>
      </c>
      <c r="J429" s="649">
        <f t="shared" si="107"/>
        <v>0.0115038700251785</v>
      </c>
      <c r="K429" s="648">
        <f t="shared" si="108"/>
        <v>1.38420625985138</v>
      </c>
      <c r="L429" s="648">
        <f t="shared" si="109"/>
        <v>15.9237289013688</v>
      </c>
      <c r="M429" s="648">
        <f t="shared" si="110"/>
        <v>19.4400106714211</v>
      </c>
      <c r="N429" s="649">
        <f t="shared" si="111"/>
        <v>0.0033776176536816</v>
      </c>
      <c r="O429" s="560">
        <f t="shared" si="112"/>
        <v>15.1410344827586</v>
      </c>
      <c r="P429">
        <f t="shared" si="113"/>
        <v>406</v>
      </c>
      <c r="Q429" s="661">
        <f t="shared" si="114"/>
        <v>0.0914208511596487</v>
      </c>
    </row>
    <row r="430" spans="1:17">
      <c r="A430" s="653">
        <v>45589</v>
      </c>
      <c r="B430" s="557">
        <v>5308.93</v>
      </c>
      <c r="C430" s="37">
        <v>594384</v>
      </c>
      <c r="D430" s="37">
        <v>4249</v>
      </c>
      <c r="E430" s="37">
        <v>9</v>
      </c>
      <c r="F430" s="37">
        <v>83679</v>
      </c>
      <c r="G430" s="37">
        <v>156</v>
      </c>
      <c r="H430" s="37">
        <v>206</v>
      </c>
      <c r="I430" s="558">
        <v>19</v>
      </c>
      <c r="J430" s="649">
        <f t="shared" si="107"/>
        <v>0.00714857735066893</v>
      </c>
      <c r="K430" s="648">
        <f t="shared" si="108"/>
        <v>1.24945398917392</v>
      </c>
      <c r="L430" s="648">
        <f t="shared" si="109"/>
        <v>8.93181848771165</v>
      </c>
      <c r="M430" s="648">
        <f t="shared" si="110"/>
        <v>15.761933195578</v>
      </c>
      <c r="N430" s="649">
        <f t="shared" si="111"/>
        <v>0.00211814544598729</v>
      </c>
      <c r="O430" s="560">
        <f t="shared" si="112"/>
        <v>14.6655524861878</v>
      </c>
      <c r="P430">
        <f t="shared" si="113"/>
        <v>362</v>
      </c>
      <c r="Q430" s="661">
        <f t="shared" si="114"/>
        <v>0.0851965168274888</v>
      </c>
    </row>
    <row r="431" spans="1:17">
      <c r="A431" s="653">
        <v>45590</v>
      </c>
      <c r="B431" s="557">
        <v>5776.48</v>
      </c>
      <c r="C431" s="37">
        <v>420691</v>
      </c>
      <c r="D431" s="37">
        <v>5131</v>
      </c>
      <c r="E431" s="37">
        <v>11</v>
      </c>
      <c r="F431" s="37">
        <v>123844</v>
      </c>
      <c r="G431" s="37">
        <v>190</v>
      </c>
      <c r="H431" s="37">
        <v>251</v>
      </c>
      <c r="I431" s="558">
        <v>18</v>
      </c>
      <c r="J431" s="649">
        <f t="shared" si="107"/>
        <v>0.01219660035513</v>
      </c>
      <c r="K431" s="648">
        <f t="shared" si="108"/>
        <v>1.12580003897876</v>
      </c>
      <c r="L431" s="648">
        <f t="shared" si="109"/>
        <v>13.7309331552137</v>
      </c>
      <c r="M431" s="648">
        <f t="shared" si="110"/>
        <v>21.4393540702989</v>
      </c>
      <c r="N431" s="649">
        <f t="shared" si="111"/>
        <v>0.00214383161177158</v>
      </c>
      <c r="O431" s="560">
        <f t="shared" si="112"/>
        <v>13.0985941043084</v>
      </c>
      <c r="P431">
        <f t="shared" si="113"/>
        <v>441</v>
      </c>
      <c r="Q431" s="661">
        <f t="shared" si="114"/>
        <v>0.0859481582537517</v>
      </c>
    </row>
    <row r="432" spans="1:17">
      <c r="A432" s="653">
        <v>45591</v>
      </c>
      <c r="B432" s="557">
        <v>4921.32</v>
      </c>
      <c r="C432" s="37">
        <v>293304</v>
      </c>
      <c r="D432" s="37">
        <v>3717</v>
      </c>
      <c r="E432" s="37">
        <v>5</v>
      </c>
      <c r="F432" s="37">
        <v>56602</v>
      </c>
      <c r="G432" s="37">
        <v>251</v>
      </c>
      <c r="H432" s="37">
        <v>275</v>
      </c>
      <c r="I432" s="558">
        <v>17</v>
      </c>
      <c r="J432" s="649">
        <f t="shared" si="107"/>
        <v>0.0126728581949104</v>
      </c>
      <c r="K432" s="648">
        <f t="shared" si="108"/>
        <v>1.32400322841001</v>
      </c>
      <c r="L432" s="648">
        <f t="shared" si="109"/>
        <v>16.7789051632436</v>
      </c>
      <c r="M432" s="648">
        <f t="shared" si="110"/>
        <v>11.5013858070599</v>
      </c>
      <c r="N432" s="649">
        <f t="shared" si="111"/>
        <v>0.00134517083669626</v>
      </c>
      <c r="O432" s="560">
        <f t="shared" si="112"/>
        <v>9.3561216730038</v>
      </c>
      <c r="P432">
        <f t="shared" si="113"/>
        <v>526</v>
      </c>
      <c r="Q432" s="661">
        <f t="shared" si="114"/>
        <v>0.141511972020447</v>
      </c>
    </row>
    <row r="433" spans="1:17">
      <c r="A433" s="653">
        <v>45592</v>
      </c>
      <c r="B433" s="557">
        <v>4845.46</v>
      </c>
      <c r="C433" s="37">
        <v>228027</v>
      </c>
      <c r="D433" s="37">
        <v>2932</v>
      </c>
      <c r="E433" s="37">
        <v>4</v>
      </c>
      <c r="F433" s="37">
        <v>48503</v>
      </c>
      <c r="G433" s="37">
        <v>227</v>
      </c>
      <c r="H433" s="37">
        <v>223</v>
      </c>
      <c r="I433" s="558">
        <v>21</v>
      </c>
      <c r="J433" s="649">
        <f t="shared" si="107"/>
        <v>0.0128581264499379</v>
      </c>
      <c r="K433" s="648">
        <f t="shared" si="108"/>
        <v>1.65261255115962</v>
      </c>
      <c r="L433" s="648">
        <f t="shared" si="109"/>
        <v>21.2495011555649</v>
      </c>
      <c r="M433" s="648">
        <f t="shared" si="110"/>
        <v>10.00998873172</v>
      </c>
      <c r="N433" s="649">
        <f t="shared" si="111"/>
        <v>0.00136425648021828</v>
      </c>
      <c r="O433" s="560">
        <f t="shared" si="112"/>
        <v>10.7676888888889</v>
      </c>
      <c r="P433">
        <f t="shared" si="113"/>
        <v>450</v>
      </c>
      <c r="Q433" s="661">
        <f t="shared" si="114"/>
        <v>0.153478854024557</v>
      </c>
    </row>
    <row r="434" spans="1:17">
      <c r="A434" s="653">
        <v>45593</v>
      </c>
      <c r="B434" s="557">
        <v>5358.5</v>
      </c>
      <c r="C434" s="37">
        <v>481099</v>
      </c>
      <c r="D434" s="37">
        <v>3612</v>
      </c>
      <c r="E434" s="37">
        <v>16</v>
      </c>
      <c r="F434" s="37">
        <v>156913</v>
      </c>
      <c r="G434" s="37">
        <v>188</v>
      </c>
      <c r="H434" s="37">
        <v>168</v>
      </c>
      <c r="I434" s="558">
        <v>18</v>
      </c>
      <c r="J434" s="649">
        <f t="shared" si="107"/>
        <v>0.00750781024279826</v>
      </c>
      <c r="K434" s="648">
        <f t="shared" si="108"/>
        <v>1.48352713178295</v>
      </c>
      <c r="L434" s="648">
        <f t="shared" si="109"/>
        <v>11.1380401954691</v>
      </c>
      <c r="M434" s="648">
        <f t="shared" si="110"/>
        <v>29.2830083045628</v>
      </c>
      <c r="N434" s="649">
        <f t="shared" si="111"/>
        <v>0.0044296788482835</v>
      </c>
      <c r="O434" s="560">
        <f t="shared" si="112"/>
        <v>15.0519662921348</v>
      </c>
      <c r="P434">
        <f t="shared" si="113"/>
        <v>356</v>
      </c>
      <c r="Q434" s="661">
        <f t="shared" si="114"/>
        <v>0.0985603543743079</v>
      </c>
    </row>
    <row r="435" spans="1:17">
      <c r="A435" s="653">
        <v>45594</v>
      </c>
      <c r="B435" s="557">
        <v>4224.88</v>
      </c>
      <c r="C435" s="37">
        <v>180675</v>
      </c>
      <c r="D435" s="37">
        <v>2727</v>
      </c>
      <c r="E435" s="37">
        <v>12</v>
      </c>
      <c r="F435" s="37">
        <v>122006</v>
      </c>
      <c r="G435" s="37">
        <v>142</v>
      </c>
      <c r="H435" s="37">
        <v>119</v>
      </c>
      <c r="I435" s="558">
        <v>23</v>
      </c>
      <c r="J435" s="649">
        <f t="shared" si="107"/>
        <v>0.015093399750934</v>
      </c>
      <c r="K435" s="648">
        <f t="shared" si="108"/>
        <v>1.54927759442611</v>
      </c>
      <c r="L435" s="648">
        <f t="shared" si="109"/>
        <v>23.3838660578387</v>
      </c>
      <c r="M435" s="648">
        <f t="shared" si="110"/>
        <v>28.8779799662949</v>
      </c>
      <c r="N435" s="649">
        <f t="shared" si="111"/>
        <v>0.0044004400440044</v>
      </c>
      <c r="O435" s="560">
        <f t="shared" si="112"/>
        <v>16.1872796934866</v>
      </c>
      <c r="P435">
        <f t="shared" si="113"/>
        <v>261</v>
      </c>
      <c r="Q435" s="661">
        <f t="shared" si="114"/>
        <v>0.0957095709570957</v>
      </c>
    </row>
    <row r="436" spans="1:17">
      <c r="A436" s="653">
        <v>45595</v>
      </c>
      <c r="B436" s="557">
        <v>3778.92</v>
      </c>
      <c r="C436" s="37">
        <v>279315</v>
      </c>
      <c r="D436" s="37">
        <v>3075</v>
      </c>
      <c r="E436" s="37">
        <v>9</v>
      </c>
      <c r="F436" s="37">
        <v>80258</v>
      </c>
      <c r="G436" s="37">
        <v>162</v>
      </c>
      <c r="H436" s="37">
        <v>128</v>
      </c>
      <c r="I436" s="558">
        <v>20</v>
      </c>
      <c r="J436" s="649">
        <f t="shared" si="107"/>
        <v>0.011009075774663</v>
      </c>
      <c r="K436" s="648">
        <f t="shared" si="108"/>
        <v>1.22891707317073</v>
      </c>
      <c r="L436" s="648">
        <f t="shared" si="109"/>
        <v>13.5292411793137</v>
      </c>
      <c r="M436" s="648">
        <f t="shared" si="110"/>
        <v>21.2383432303409</v>
      </c>
      <c r="N436" s="649">
        <f t="shared" si="111"/>
        <v>0.00292682926829268</v>
      </c>
      <c r="O436" s="560">
        <f t="shared" si="112"/>
        <v>13.0307586206897</v>
      </c>
      <c r="P436">
        <f t="shared" si="113"/>
        <v>290</v>
      </c>
      <c r="Q436" s="661">
        <f t="shared" si="114"/>
        <v>0.0943089430894309</v>
      </c>
    </row>
    <row r="437" spans="1:17">
      <c r="A437" s="653">
        <v>45596</v>
      </c>
      <c r="B437" s="557">
        <v>4222.3</v>
      </c>
      <c r="C437" s="37">
        <v>304728</v>
      </c>
      <c r="D437" s="37">
        <v>3394</v>
      </c>
      <c r="E437" s="37">
        <v>9</v>
      </c>
      <c r="F437" s="37">
        <v>101692</v>
      </c>
      <c r="G437" s="37">
        <v>119</v>
      </c>
      <c r="H437" s="37">
        <v>124</v>
      </c>
      <c r="I437" s="558">
        <v>19</v>
      </c>
      <c r="J437" s="649">
        <f t="shared" si="107"/>
        <v>0.0111378015804258</v>
      </c>
      <c r="K437" s="648">
        <f t="shared" si="108"/>
        <v>1.2440483205657</v>
      </c>
      <c r="L437" s="648">
        <f t="shared" si="109"/>
        <v>13.8559633509228</v>
      </c>
      <c r="M437" s="648">
        <f t="shared" si="110"/>
        <v>24.0845037065107</v>
      </c>
      <c r="N437" s="649">
        <f t="shared" si="111"/>
        <v>0.00265173836181497</v>
      </c>
      <c r="O437" s="560">
        <f t="shared" si="112"/>
        <v>17.3757201646091</v>
      </c>
      <c r="P437">
        <f t="shared" si="113"/>
        <v>243</v>
      </c>
      <c r="Q437" s="661">
        <f t="shared" si="114"/>
        <v>0.0715969357690041</v>
      </c>
    </row>
    <row r="438" spans="1:17">
      <c r="A438" s="653">
        <v>45597</v>
      </c>
      <c r="B438" s="664">
        <v>7077.53</v>
      </c>
      <c r="C438" s="664">
        <v>374727</v>
      </c>
      <c r="D438" s="664">
        <v>5907</v>
      </c>
      <c r="E438" s="664">
        <v>11</v>
      </c>
      <c r="F438" s="664">
        <v>97093</v>
      </c>
      <c r="G438" s="664">
        <v>248</v>
      </c>
      <c r="H438" s="664">
        <v>213</v>
      </c>
      <c r="I438" s="664">
        <v>28</v>
      </c>
      <c r="J438" s="649">
        <f t="shared" si="107"/>
        <v>0.01576347581039</v>
      </c>
      <c r="K438" s="648">
        <f t="shared" si="108"/>
        <v>1.19815981039445</v>
      </c>
      <c r="L438" s="648">
        <f t="shared" si="109"/>
        <v>18.8871631881343</v>
      </c>
      <c r="M438" s="648">
        <f t="shared" si="110"/>
        <v>13.718486534144</v>
      </c>
      <c r="N438" s="649">
        <f t="shared" si="111"/>
        <v>0.00186219739292365</v>
      </c>
      <c r="O438" s="560">
        <f t="shared" si="112"/>
        <v>15.3525596529284</v>
      </c>
      <c r="P438">
        <f t="shared" si="113"/>
        <v>461</v>
      </c>
      <c r="Q438" s="661">
        <f t="shared" si="114"/>
        <v>0.0780429998307093</v>
      </c>
    </row>
    <row r="439" spans="1:17">
      <c r="A439" s="653">
        <v>45598</v>
      </c>
      <c r="B439" s="664">
        <v>5290.85</v>
      </c>
      <c r="C439" s="664">
        <v>200211</v>
      </c>
      <c r="D439" s="664">
        <v>3263</v>
      </c>
      <c r="E439" s="664">
        <v>5</v>
      </c>
      <c r="F439" s="664">
        <v>48840</v>
      </c>
      <c r="G439" s="664">
        <v>302</v>
      </c>
      <c r="H439" s="664">
        <v>271</v>
      </c>
      <c r="I439" s="664">
        <v>24</v>
      </c>
      <c r="J439" s="649">
        <f t="shared" si="107"/>
        <v>0.0162978058148653</v>
      </c>
      <c r="K439" s="648">
        <f t="shared" si="108"/>
        <v>1.62146797425682</v>
      </c>
      <c r="L439" s="648">
        <f t="shared" si="109"/>
        <v>26.4263701794607</v>
      </c>
      <c r="M439" s="648">
        <f t="shared" si="110"/>
        <v>9.23103093075782</v>
      </c>
      <c r="N439" s="649">
        <f t="shared" si="111"/>
        <v>0.00153233220962305</v>
      </c>
      <c r="O439" s="560">
        <f t="shared" si="112"/>
        <v>9.23359511343805</v>
      </c>
      <c r="P439">
        <f t="shared" si="113"/>
        <v>573</v>
      </c>
      <c r="Q439" s="661">
        <f t="shared" si="114"/>
        <v>0.175605271222801</v>
      </c>
    </row>
    <row r="440" spans="1:17">
      <c r="A440" s="653">
        <v>45599</v>
      </c>
      <c r="B440" s="664">
        <v>5299.52</v>
      </c>
      <c r="C440" s="664">
        <v>306490</v>
      </c>
      <c r="D440" s="664">
        <v>3746</v>
      </c>
      <c r="E440" s="664">
        <v>4</v>
      </c>
      <c r="F440" s="664">
        <v>48716</v>
      </c>
      <c r="G440" s="664">
        <v>288</v>
      </c>
      <c r="H440" s="664">
        <v>305</v>
      </c>
      <c r="I440" s="664">
        <v>23</v>
      </c>
      <c r="J440" s="649">
        <f t="shared" si="107"/>
        <v>0.012222258474991</v>
      </c>
      <c r="K440" s="648">
        <f t="shared" si="108"/>
        <v>1.41471436198612</v>
      </c>
      <c r="L440" s="648">
        <f t="shared" si="109"/>
        <v>17.2910046004764</v>
      </c>
      <c r="M440" s="648">
        <f t="shared" si="110"/>
        <v>9.19253064428476</v>
      </c>
      <c r="N440" s="649">
        <f t="shared" si="111"/>
        <v>0.00106780565936999</v>
      </c>
      <c r="O440" s="560">
        <f t="shared" si="112"/>
        <v>8.93679595278246</v>
      </c>
      <c r="P440">
        <f t="shared" si="113"/>
        <v>593</v>
      </c>
      <c r="Q440" s="661">
        <f t="shared" si="114"/>
        <v>0.158302189001602</v>
      </c>
    </row>
    <row r="441" spans="1:17">
      <c r="A441" s="653">
        <v>45600</v>
      </c>
      <c r="B441" s="664">
        <v>6569.22</v>
      </c>
      <c r="C441" s="664">
        <v>472232</v>
      </c>
      <c r="D441" s="664">
        <v>5408</v>
      </c>
      <c r="E441" s="664">
        <v>8</v>
      </c>
      <c r="F441" s="664">
        <v>82637</v>
      </c>
      <c r="G441" s="664">
        <v>281</v>
      </c>
      <c r="H441" s="664">
        <v>266</v>
      </c>
      <c r="I441" s="664">
        <v>27</v>
      </c>
      <c r="J441" s="649">
        <f t="shared" si="107"/>
        <v>0.0114519981703908</v>
      </c>
      <c r="K441" s="648">
        <f t="shared" si="108"/>
        <v>1.21472263313609</v>
      </c>
      <c r="L441" s="648">
        <f t="shared" si="109"/>
        <v>13.9110013722069</v>
      </c>
      <c r="M441" s="648">
        <f t="shared" si="110"/>
        <v>12.5794234323101</v>
      </c>
      <c r="N441" s="649">
        <f t="shared" si="111"/>
        <v>0.0014792899408284</v>
      </c>
      <c r="O441" s="560">
        <f t="shared" si="112"/>
        <v>12.0095429616088</v>
      </c>
      <c r="P441">
        <f t="shared" si="113"/>
        <v>547</v>
      </c>
      <c r="Q441" s="661">
        <f t="shared" si="114"/>
        <v>0.101146449704142</v>
      </c>
    </row>
    <row r="442" spans="1:17">
      <c r="A442" s="653">
        <v>45601</v>
      </c>
      <c r="B442" s="664">
        <v>5423.56</v>
      </c>
      <c r="C442" s="664">
        <v>333355</v>
      </c>
      <c r="D442" s="664">
        <v>3671</v>
      </c>
      <c r="E442" s="664">
        <v>9</v>
      </c>
      <c r="F442" s="664">
        <v>117444.1</v>
      </c>
      <c r="G442" s="664">
        <v>234</v>
      </c>
      <c r="H442" s="664">
        <v>249</v>
      </c>
      <c r="I442" s="664">
        <v>18</v>
      </c>
      <c r="J442" s="649">
        <f t="shared" si="107"/>
        <v>0.0110122842015269</v>
      </c>
      <c r="K442" s="648">
        <f t="shared" si="108"/>
        <v>1.47740670117134</v>
      </c>
      <c r="L442" s="648">
        <f t="shared" si="109"/>
        <v>16.2696224745392</v>
      </c>
      <c r="M442" s="648">
        <f t="shared" si="110"/>
        <v>21.6544299316316</v>
      </c>
      <c r="N442" s="649">
        <f t="shared" si="111"/>
        <v>0.00245164805230183</v>
      </c>
      <c r="O442" s="560">
        <f t="shared" si="112"/>
        <v>11.2289026915114</v>
      </c>
      <c r="P442">
        <f t="shared" si="113"/>
        <v>483</v>
      </c>
      <c r="Q442" s="661">
        <f t="shared" si="114"/>
        <v>0.131571778806865</v>
      </c>
    </row>
    <row r="443" spans="1:17">
      <c r="A443" s="653">
        <v>45602</v>
      </c>
      <c r="B443" s="664">
        <v>6438.08</v>
      </c>
      <c r="C443" s="664">
        <v>528275</v>
      </c>
      <c r="D443" s="664">
        <v>7360</v>
      </c>
      <c r="E443" s="664">
        <v>2</v>
      </c>
      <c r="F443" s="664">
        <v>17895</v>
      </c>
      <c r="G443" s="664">
        <v>185</v>
      </c>
      <c r="H443" s="664">
        <v>262</v>
      </c>
      <c r="I443" s="664">
        <v>27</v>
      </c>
      <c r="J443" s="649">
        <f t="shared" si="107"/>
        <v>0.013932137617718</v>
      </c>
      <c r="K443" s="648">
        <f t="shared" si="108"/>
        <v>0.874739130434783</v>
      </c>
      <c r="L443" s="648">
        <f t="shared" si="109"/>
        <v>12.1869859448204</v>
      </c>
      <c r="M443" s="648">
        <f t="shared" si="110"/>
        <v>2.77955539539739</v>
      </c>
      <c r="N443" s="649">
        <f t="shared" si="111"/>
        <v>0.000271739130434783</v>
      </c>
      <c r="O443" s="560">
        <f t="shared" si="112"/>
        <v>14.4028635346756</v>
      </c>
      <c r="P443">
        <f t="shared" si="113"/>
        <v>447</v>
      </c>
      <c r="Q443" s="661">
        <f t="shared" si="114"/>
        <v>0.0607336956521739</v>
      </c>
    </row>
    <row r="444" spans="1:17">
      <c r="A444" s="653">
        <v>45603</v>
      </c>
      <c r="B444" s="664">
        <v>7277.92</v>
      </c>
      <c r="C444" s="664">
        <v>889640</v>
      </c>
      <c r="D444" s="664">
        <v>9327</v>
      </c>
      <c r="E444" s="664">
        <v>7</v>
      </c>
      <c r="F444" s="664">
        <v>42390</v>
      </c>
      <c r="G444" s="664">
        <v>237</v>
      </c>
      <c r="H444" s="664">
        <v>412</v>
      </c>
      <c r="I444" s="664">
        <v>32</v>
      </c>
      <c r="J444" s="649">
        <f t="shared" si="107"/>
        <v>0.0104840160064745</v>
      </c>
      <c r="K444" s="648">
        <f t="shared" si="108"/>
        <v>0.780306636646296</v>
      </c>
      <c r="L444" s="648">
        <f t="shared" si="109"/>
        <v>8.18074726855807</v>
      </c>
      <c r="M444" s="648">
        <f t="shared" si="110"/>
        <v>5.82446633103964</v>
      </c>
      <c r="N444" s="649">
        <f t="shared" si="111"/>
        <v>0.000750509274150316</v>
      </c>
      <c r="O444" s="560">
        <f t="shared" si="112"/>
        <v>11.2140523882897</v>
      </c>
      <c r="P444">
        <f t="shared" si="113"/>
        <v>649</v>
      </c>
      <c r="Q444" s="661">
        <f t="shared" si="114"/>
        <v>0.0695829312747936</v>
      </c>
    </row>
    <row r="445" spans="1:17">
      <c r="A445" s="653">
        <v>45604</v>
      </c>
      <c r="B445" s="664">
        <v>9690.52</v>
      </c>
      <c r="C445" s="664">
        <v>509629</v>
      </c>
      <c r="D445" s="664">
        <v>7671</v>
      </c>
      <c r="E445" s="664">
        <v>6</v>
      </c>
      <c r="F445" s="664">
        <v>66213</v>
      </c>
      <c r="G445" s="664">
        <v>250</v>
      </c>
      <c r="H445" s="664">
        <v>435</v>
      </c>
      <c r="I445" s="664">
        <v>41</v>
      </c>
      <c r="J445" s="649">
        <f t="shared" si="107"/>
        <v>0.0150521261545163</v>
      </c>
      <c r="K445" s="648">
        <f t="shared" si="108"/>
        <v>1.26326684917221</v>
      </c>
      <c r="L445" s="648">
        <f t="shared" si="109"/>
        <v>19.0148519805584</v>
      </c>
      <c r="M445" s="648">
        <f t="shared" si="110"/>
        <v>6.83276026467104</v>
      </c>
      <c r="N445" s="649">
        <f t="shared" si="111"/>
        <v>0.000782166601486116</v>
      </c>
      <c r="O445" s="560">
        <f t="shared" si="112"/>
        <v>14.1467445255474</v>
      </c>
      <c r="P445">
        <f t="shared" si="113"/>
        <v>685</v>
      </c>
      <c r="Q445" s="661">
        <f t="shared" si="114"/>
        <v>0.089297353669665</v>
      </c>
    </row>
    <row r="446" spans="1:17">
      <c r="A446" s="653">
        <v>45605</v>
      </c>
      <c r="B446" s="664">
        <v>8903.72</v>
      </c>
      <c r="C446" s="664">
        <v>638753</v>
      </c>
      <c r="D446" s="664">
        <v>7284</v>
      </c>
      <c r="E446" s="664">
        <v>11</v>
      </c>
      <c r="F446" s="664">
        <v>123773</v>
      </c>
      <c r="G446" s="664">
        <v>313</v>
      </c>
      <c r="H446" s="664">
        <v>481</v>
      </c>
      <c r="I446" s="664">
        <v>30</v>
      </c>
      <c r="J446" s="649">
        <f t="shared" si="107"/>
        <v>0.0114034689465255</v>
      </c>
      <c r="K446" s="648">
        <f t="shared" si="108"/>
        <v>1.22236683141131</v>
      </c>
      <c r="L446" s="648">
        <f t="shared" si="109"/>
        <v>13.9392222032617</v>
      </c>
      <c r="M446" s="648">
        <f t="shared" si="110"/>
        <v>13.9012682339517</v>
      </c>
      <c r="N446" s="649">
        <f t="shared" si="111"/>
        <v>0.00151015925315761</v>
      </c>
      <c r="O446" s="560">
        <f t="shared" si="112"/>
        <v>11.2137531486146</v>
      </c>
      <c r="P446">
        <f t="shared" si="113"/>
        <v>794</v>
      </c>
      <c r="Q446" s="661">
        <f t="shared" si="114"/>
        <v>0.109006040637013</v>
      </c>
    </row>
    <row r="447" spans="1:17">
      <c r="A447" s="653">
        <v>45606</v>
      </c>
      <c r="B447" s="664">
        <v>9757.46</v>
      </c>
      <c r="C447" s="664">
        <v>474464</v>
      </c>
      <c r="D447" s="664">
        <v>7330</v>
      </c>
      <c r="E447" s="664">
        <v>14</v>
      </c>
      <c r="F447" s="664">
        <v>163935</v>
      </c>
      <c r="G447" s="664">
        <v>226</v>
      </c>
      <c r="H447" s="664">
        <v>429</v>
      </c>
      <c r="I447" s="664">
        <v>34</v>
      </c>
      <c r="J447" s="649">
        <f t="shared" si="107"/>
        <v>0.0154490119376813</v>
      </c>
      <c r="K447" s="648">
        <f t="shared" si="108"/>
        <v>1.33116780354707</v>
      </c>
      <c r="L447" s="648">
        <f t="shared" si="109"/>
        <v>20.5652272880556</v>
      </c>
      <c r="M447" s="648">
        <f t="shared" si="110"/>
        <v>16.8009912415731</v>
      </c>
      <c r="N447" s="649">
        <f t="shared" si="111"/>
        <v>0.00190995907230559</v>
      </c>
      <c r="O447" s="560">
        <f t="shared" si="112"/>
        <v>14.8968854961832</v>
      </c>
      <c r="P447">
        <f t="shared" si="113"/>
        <v>655</v>
      </c>
      <c r="Q447" s="661">
        <f t="shared" si="114"/>
        <v>0.0893587994542974</v>
      </c>
    </row>
    <row r="448" spans="1:17">
      <c r="A448" s="653">
        <v>45607</v>
      </c>
      <c r="B448" s="664">
        <v>12374.35</v>
      </c>
      <c r="C448" s="664">
        <v>620161</v>
      </c>
      <c r="D448" s="664">
        <v>8385</v>
      </c>
      <c r="E448" s="664">
        <v>19</v>
      </c>
      <c r="F448" s="664">
        <v>205896</v>
      </c>
      <c r="G448" s="664">
        <v>264</v>
      </c>
      <c r="H448" s="664">
        <v>400</v>
      </c>
      <c r="I448" s="664">
        <v>37</v>
      </c>
      <c r="J448" s="649">
        <f t="shared" si="107"/>
        <v>0.0135206825324392</v>
      </c>
      <c r="K448" s="648">
        <f t="shared" si="108"/>
        <v>1.47577221228384</v>
      </c>
      <c r="L448" s="648">
        <f t="shared" si="109"/>
        <v>19.9534475724852</v>
      </c>
      <c r="M448" s="648">
        <f t="shared" si="110"/>
        <v>16.6389345703007</v>
      </c>
      <c r="N448" s="649">
        <f t="shared" si="111"/>
        <v>0.00226595110316041</v>
      </c>
      <c r="O448" s="560">
        <f t="shared" si="112"/>
        <v>18.6360692771084</v>
      </c>
      <c r="P448">
        <f t="shared" si="113"/>
        <v>664</v>
      </c>
      <c r="Q448" s="661">
        <f t="shared" si="114"/>
        <v>0.0791890280262373</v>
      </c>
    </row>
    <row r="449" spans="1:17">
      <c r="A449" s="653">
        <v>45608</v>
      </c>
      <c r="B449" s="664">
        <v>2876.27</v>
      </c>
      <c r="C449" s="664">
        <v>272659</v>
      </c>
      <c r="D449" s="664">
        <v>2272</v>
      </c>
      <c r="E449" s="664">
        <v>1</v>
      </c>
      <c r="F449" s="664">
        <v>9198</v>
      </c>
      <c r="G449" s="664">
        <v>79</v>
      </c>
      <c r="H449" s="664">
        <v>131</v>
      </c>
      <c r="I449" s="664">
        <v>14</v>
      </c>
      <c r="J449" s="649">
        <f t="shared" si="107"/>
        <v>0.00833275263240898</v>
      </c>
      <c r="K449" s="648">
        <f t="shared" si="108"/>
        <v>1.2659639084507</v>
      </c>
      <c r="L449" s="648">
        <f t="shared" si="109"/>
        <v>10.5489640906774</v>
      </c>
      <c r="M449" s="648">
        <f t="shared" si="110"/>
        <v>3.19789171392115</v>
      </c>
      <c r="N449" s="649">
        <f t="shared" si="111"/>
        <v>0.000440140845070423</v>
      </c>
      <c r="O449" s="560">
        <f t="shared" si="112"/>
        <v>13.6965238095238</v>
      </c>
      <c r="P449">
        <f t="shared" si="113"/>
        <v>210</v>
      </c>
      <c r="Q449" s="661">
        <f t="shared" si="114"/>
        <v>0.0924295774647887</v>
      </c>
    </row>
    <row r="450" spans="1:17">
      <c r="A450" s="653">
        <v>45609</v>
      </c>
      <c r="B450" s="664">
        <v>2823.71</v>
      </c>
      <c r="C450" s="664">
        <v>216945</v>
      </c>
      <c r="D450" s="664">
        <v>2323</v>
      </c>
      <c r="E450" s="664">
        <v>6</v>
      </c>
      <c r="F450" s="664">
        <v>89325</v>
      </c>
      <c r="G450" s="664">
        <v>106</v>
      </c>
      <c r="H450" s="664">
        <v>182</v>
      </c>
      <c r="I450" s="664">
        <v>11</v>
      </c>
      <c r="J450" s="649">
        <f t="shared" si="107"/>
        <v>0.0107077830786605</v>
      </c>
      <c r="K450" s="648">
        <f t="shared" si="108"/>
        <v>1.21554455445545</v>
      </c>
      <c r="L450" s="648">
        <f t="shared" si="109"/>
        <v>13.0157874115559</v>
      </c>
      <c r="M450" s="648">
        <f t="shared" si="110"/>
        <v>31.6339142475679</v>
      </c>
      <c r="N450" s="649">
        <f t="shared" si="111"/>
        <v>0.00258286698235041</v>
      </c>
      <c r="O450" s="560">
        <f t="shared" si="112"/>
        <v>9.80454861111111</v>
      </c>
      <c r="P450">
        <f t="shared" si="113"/>
        <v>288</v>
      </c>
      <c r="Q450" s="661">
        <f t="shared" si="114"/>
        <v>0.12397761515282</v>
      </c>
    </row>
    <row r="451" spans="1:17">
      <c r="A451" s="653">
        <v>45610</v>
      </c>
      <c r="B451" s="664">
        <v>1057.1</v>
      </c>
      <c r="C451" s="664">
        <v>61833</v>
      </c>
      <c r="D451" s="664">
        <v>1123</v>
      </c>
      <c r="E451" s="664">
        <v>1</v>
      </c>
      <c r="F451" s="664">
        <v>22741</v>
      </c>
      <c r="G451" s="664">
        <v>61</v>
      </c>
      <c r="H451" s="664">
        <v>52</v>
      </c>
      <c r="I451" s="664">
        <v>8</v>
      </c>
      <c r="J451" s="649">
        <f t="shared" si="107"/>
        <v>0.0181618229747869</v>
      </c>
      <c r="K451" s="648">
        <f t="shared" si="108"/>
        <v>0.941317898486198</v>
      </c>
      <c r="L451" s="648">
        <f t="shared" si="109"/>
        <v>17.0960490353048</v>
      </c>
      <c r="M451" s="648">
        <f t="shared" si="110"/>
        <v>21.5126288903604</v>
      </c>
      <c r="N451" s="649">
        <f t="shared" si="111"/>
        <v>0.000890471950133571</v>
      </c>
      <c r="O451" s="560">
        <f t="shared" si="112"/>
        <v>9.35486725663717</v>
      </c>
      <c r="P451">
        <f t="shared" si="113"/>
        <v>113</v>
      </c>
      <c r="Q451" s="661">
        <f t="shared" si="114"/>
        <v>0.100623330365093</v>
      </c>
    </row>
    <row r="452" spans="1:17">
      <c r="A452" s="653">
        <v>45611</v>
      </c>
      <c r="B452" s="664">
        <v>2292.49</v>
      </c>
      <c r="C452" s="664">
        <v>172374</v>
      </c>
      <c r="D452" s="664">
        <v>1711</v>
      </c>
      <c r="E452" s="664">
        <v>0</v>
      </c>
      <c r="F452" s="664">
        <v>0</v>
      </c>
      <c r="G452" s="664">
        <v>64</v>
      </c>
      <c r="H452" s="664">
        <v>111</v>
      </c>
      <c r="I452" s="664">
        <v>3</v>
      </c>
      <c r="J452" s="649">
        <f t="shared" si="107"/>
        <v>0.00992609094178937</v>
      </c>
      <c r="K452" s="648">
        <f t="shared" si="108"/>
        <v>1.33985388661601</v>
      </c>
      <c r="L452" s="648">
        <f t="shared" si="109"/>
        <v>13.2995115272605</v>
      </c>
      <c r="M452" s="648">
        <f t="shared" si="110"/>
        <v>0</v>
      </c>
      <c r="N452" s="649">
        <f t="shared" si="111"/>
        <v>0</v>
      </c>
      <c r="O452" s="560">
        <f t="shared" si="112"/>
        <v>13.0999428571429</v>
      </c>
      <c r="P452">
        <f t="shared" si="113"/>
        <v>175</v>
      </c>
      <c r="Q452" s="661">
        <f t="shared" si="114"/>
        <v>0.102279368790181</v>
      </c>
    </row>
    <row r="453" spans="1:17">
      <c r="A453" s="653">
        <v>45612</v>
      </c>
      <c r="B453" s="664">
        <v>2310.13</v>
      </c>
      <c r="C453" s="664">
        <v>135016</v>
      </c>
      <c r="D453" s="664">
        <v>1872</v>
      </c>
      <c r="E453" s="664">
        <v>2</v>
      </c>
      <c r="F453" s="664">
        <v>17965.8</v>
      </c>
      <c r="G453" s="664">
        <v>60</v>
      </c>
      <c r="H453" s="664">
        <v>155</v>
      </c>
      <c r="I453" s="664">
        <v>8</v>
      </c>
      <c r="J453" s="649">
        <f t="shared" ref="J453:J468" si="115">D453/C453</f>
        <v>0.0138650234046335</v>
      </c>
      <c r="K453" s="648">
        <f t="shared" ref="K453:K465" si="116">B453/D453</f>
        <v>1.2340438034188</v>
      </c>
      <c r="L453" s="648">
        <f t="shared" ref="L453:L468" si="117">B453/C453*1000</f>
        <v>17.1100462167447</v>
      </c>
      <c r="M453" s="648">
        <f t="shared" ref="M453:M468" si="118">F453/B453</f>
        <v>7.77696493270941</v>
      </c>
      <c r="N453" s="649">
        <f t="shared" ref="N453:N468" si="119">E453/D453</f>
        <v>0.00106837606837607</v>
      </c>
      <c r="O453" s="560">
        <f t="shared" ref="O453:O464" si="120">B453/(G453+H453)</f>
        <v>10.7447906976744</v>
      </c>
      <c r="P453">
        <f t="shared" ref="P453:P465" si="121">G453+H453</f>
        <v>215</v>
      </c>
      <c r="Q453" s="661">
        <f t="shared" ref="Q453:Q465" si="122">P453/D453</f>
        <v>0.114850427350427</v>
      </c>
    </row>
    <row r="454" spans="1:17">
      <c r="A454" s="653">
        <v>45613</v>
      </c>
      <c r="B454" s="664">
        <v>2277.6</v>
      </c>
      <c r="C454" s="664">
        <v>137827</v>
      </c>
      <c r="D454" s="664">
        <v>1724</v>
      </c>
      <c r="E454" s="664">
        <v>1</v>
      </c>
      <c r="F454" s="664">
        <v>8702</v>
      </c>
      <c r="G454" s="664">
        <v>56</v>
      </c>
      <c r="H454" s="664">
        <v>164</v>
      </c>
      <c r="I454" s="664">
        <v>7</v>
      </c>
      <c r="J454" s="649">
        <f t="shared" si="115"/>
        <v>0.0125084344867116</v>
      </c>
      <c r="K454" s="648">
        <f t="shared" si="116"/>
        <v>1.32111368909513</v>
      </c>
      <c r="L454" s="648">
        <f t="shared" si="117"/>
        <v>16.5250640295443</v>
      </c>
      <c r="M454" s="648">
        <f t="shared" si="118"/>
        <v>3.82068844397612</v>
      </c>
      <c r="N454" s="649">
        <f t="shared" si="119"/>
        <v>0.000580046403712297</v>
      </c>
      <c r="O454" s="560">
        <f t="shared" si="120"/>
        <v>10.3527272727273</v>
      </c>
      <c r="P454">
        <f t="shared" si="121"/>
        <v>220</v>
      </c>
      <c r="Q454" s="661">
        <f t="shared" si="122"/>
        <v>0.127610208816705</v>
      </c>
    </row>
    <row r="455" spans="1:17">
      <c r="A455" s="653">
        <v>45614</v>
      </c>
      <c r="B455" s="664">
        <v>2296.23</v>
      </c>
      <c r="C455" s="664">
        <v>417280</v>
      </c>
      <c r="D455" s="664">
        <v>2255</v>
      </c>
      <c r="E455" s="664">
        <v>0</v>
      </c>
      <c r="F455" s="664">
        <v>0</v>
      </c>
      <c r="G455" s="664">
        <v>60</v>
      </c>
      <c r="H455" s="664">
        <v>92</v>
      </c>
      <c r="I455" s="664">
        <v>6</v>
      </c>
      <c r="J455" s="649">
        <f t="shared" si="115"/>
        <v>0.00540404524539877</v>
      </c>
      <c r="K455" s="648">
        <f t="shared" si="116"/>
        <v>1.01828381374723</v>
      </c>
      <c r="L455" s="648">
        <f t="shared" si="117"/>
        <v>5.50285180214724</v>
      </c>
      <c r="M455" s="648">
        <f t="shared" si="118"/>
        <v>0</v>
      </c>
      <c r="N455" s="649">
        <f t="shared" si="119"/>
        <v>0</v>
      </c>
      <c r="O455" s="560">
        <f t="shared" si="120"/>
        <v>15.1067763157895</v>
      </c>
      <c r="P455">
        <f t="shared" si="121"/>
        <v>152</v>
      </c>
      <c r="Q455" s="661">
        <f t="shared" si="122"/>
        <v>0.0674057649667406</v>
      </c>
    </row>
    <row r="456" spans="1:17">
      <c r="A456" s="653">
        <v>45615</v>
      </c>
      <c r="B456" s="664">
        <v>2301.31</v>
      </c>
      <c r="C456" s="664">
        <v>254870</v>
      </c>
      <c r="D456" s="664">
        <v>2007</v>
      </c>
      <c r="E456" s="664">
        <v>0</v>
      </c>
      <c r="F456" s="664">
        <v>0</v>
      </c>
      <c r="G456" s="664">
        <v>65</v>
      </c>
      <c r="H456" s="664">
        <v>113</v>
      </c>
      <c r="I456" s="664">
        <v>8</v>
      </c>
      <c r="J456" s="649">
        <f t="shared" si="115"/>
        <v>0.00787460273865108</v>
      </c>
      <c r="K456" s="648">
        <f t="shared" si="116"/>
        <v>1.14664175386148</v>
      </c>
      <c r="L456" s="648">
        <f t="shared" si="117"/>
        <v>9.02934829520932</v>
      </c>
      <c r="M456" s="648">
        <f t="shared" si="118"/>
        <v>0</v>
      </c>
      <c r="N456" s="649">
        <f t="shared" si="119"/>
        <v>0</v>
      </c>
      <c r="O456" s="560">
        <f t="shared" si="120"/>
        <v>12.9287078651685</v>
      </c>
      <c r="P456">
        <f t="shared" si="121"/>
        <v>178</v>
      </c>
      <c r="Q456" s="661">
        <f t="shared" si="122"/>
        <v>0.088689586447434</v>
      </c>
    </row>
    <row r="457" spans="1:17">
      <c r="A457" s="653">
        <v>45616</v>
      </c>
      <c r="B457" s="664">
        <v>2094.57</v>
      </c>
      <c r="C457" s="664">
        <v>627906</v>
      </c>
      <c r="D457" s="664">
        <v>3907</v>
      </c>
      <c r="E457" s="664">
        <v>2</v>
      </c>
      <c r="F457" s="664">
        <v>18110</v>
      </c>
      <c r="G457" s="664">
        <v>55</v>
      </c>
      <c r="H457" s="664">
        <v>97</v>
      </c>
      <c r="I457" s="664">
        <v>8</v>
      </c>
      <c r="J457" s="649">
        <f t="shared" si="115"/>
        <v>0.00622226893834427</v>
      </c>
      <c r="K457" s="648">
        <f t="shared" si="116"/>
        <v>0.536106987458408</v>
      </c>
      <c r="L457" s="648">
        <f t="shared" si="117"/>
        <v>3.33580185569178</v>
      </c>
      <c r="M457" s="648">
        <f t="shared" si="118"/>
        <v>8.64616603885284</v>
      </c>
      <c r="N457" s="649">
        <f t="shared" si="119"/>
        <v>0.000511901714870745</v>
      </c>
      <c r="O457" s="560">
        <f t="shared" si="120"/>
        <v>13.7800657894737</v>
      </c>
      <c r="P457">
        <f t="shared" si="121"/>
        <v>152</v>
      </c>
      <c r="Q457" s="661">
        <f t="shared" si="122"/>
        <v>0.0389045303301766</v>
      </c>
    </row>
    <row r="458" spans="1:17">
      <c r="A458" s="653">
        <v>45617</v>
      </c>
      <c r="B458" s="664">
        <v>1801.35</v>
      </c>
      <c r="C458" s="664">
        <v>512514</v>
      </c>
      <c r="D458" s="664">
        <v>2671</v>
      </c>
      <c r="E458" s="664">
        <v>0</v>
      </c>
      <c r="F458" s="664">
        <v>0</v>
      </c>
      <c r="G458" s="664">
        <v>51</v>
      </c>
      <c r="H458" s="664">
        <v>73</v>
      </c>
      <c r="I458" s="664">
        <v>9</v>
      </c>
      <c r="J458" s="649">
        <f t="shared" si="115"/>
        <v>0.00521156495237203</v>
      </c>
      <c r="K458" s="648">
        <f t="shared" si="116"/>
        <v>0.674410333208536</v>
      </c>
      <c r="L458" s="648">
        <f t="shared" si="117"/>
        <v>3.51473325606715</v>
      </c>
      <c r="M458" s="648">
        <f t="shared" si="118"/>
        <v>0</v>
      </c>
      <c r="N458" s="649">
        <f t="shared" si="119"/>
        <v>0</v>
      </c>
      <c r="O458" s="560">
        <f t="shared" si="120"/>
        <v>14.5270161290323</v>
      </c>
      <c r="P458">
        <f t="shared" si="121"/>
        <v>124</v>
      </c>
      <c r="Q458" s="661">
        <f t="shared" si="122"/>
        <v>0.046424560089854</v>
      </c>
    </row>
    <row r="459" spans="1:17">
      <c r="A459" s="653">
        <v>45618</v>
      </c>
      <c r="B459" s="664">
        <v>1817.19</v>
      </c>
      <c r="C459" s="664">
        <v>497094</v>
      </c>
      <c r="D459" s="664">
        <v>3207</v>
      </c>
      <c r="E459" s="664">
        <v>0</v>
      </c>
      <c r="F459" s="664">
        <v>0</v>
      </c>
      <c r="G459" s="664">
        <v>92</v>
      </c>
      <c r="H459" s="664">
        <v>115</v>
      </c>
      <c r="I459" s="664">
        <v>7</v>
      </c>
      <c r="J459" s="649">
        <f t="shared" si="115"/>
        <v>0.00645149609530592</v>
      </c>
      <c r="K459" s="648">
        <f t="shared" si="116"/>
        <v>0.566632366697848</v>
      </c>
      <c r="L459" s="648">
        <f t="shared" si="117"/>
        <v>3.65562650122512</v>
      </c>
      <c r="M459" s="648">
        <f t="shared" si="118"/>
        <v>0</v>
      </c>
      <c r="N459" s="649">
        <f t="shared" si="119"/>
        <v>0</v>
      </c>
      <c r="O459" s="560">
        <f t="shared" si="120"/>
        <v>8.77869565217391</v>
      </c>
      <c r="P459">
        <f t="shared" si="121"/>
        <v>207</v>
      </c>
      <c r="Q459" s="661">
        <f t="shared" si="122"/>
        <v>0.0645463049579046</v>
      </c>
    </row>
    <row r="460" spans="1:17">
      <c r="A460" s="653">
        <v>45619</v>
      </c>
      <c r="B460" s="664">
        <v>1836.3</v>
      </c>
      <c r="C460" s="664">
        <v>528696</v>
      </c>
      <c r="D460" s="664">
        <v>3631</v>
      </c>
      <c r="E460" s="664">
        <v>5</v>
      </c>
      <c r="F460" s="664">
        <v>41504</v>
      </c>
      <c r="G460" s="664">
        <v>52</v>
      </c>
      <c r="H460" s="664">
        <v>119</v>
      </c>
      <c r="I460" s="664">
        <v>7</v>
      </c>
      <c r="J460" s="649">
        <f t="shared" si="115"/>
        <v>0.00686784087642048</v>
      </c>
      <c r="K460" s="648">
        <f t="shared" si="116"/>
        <v>0.505728449462958</v>
      </c>
      <c r="L460" s="648">
        <f t="shared" si="117"/>
        <v>3.47326251759045</v>
      </c>
      <c r="M460" s="648">
        <f t="shared" si="118"/>
        <v>22.601971355443</v>
      </c>
      <c r="N460" s="649">
        <f t="shared" si="119"/>
        <v>0.00137703112090333</v>
      </c>
      <c r="O460" s="560">
        <f t="shared" si="120"/>
        <v>10.7385964912281</v>
      </c>
      <c r="P460">
        <f t="shared" si="121"/>
        <v>171</v>
      </c>
      <c r="Q460" s="661">
        <f t="shared" si="122"/>
        <v>0.047094464334894</v>
      </c>
    </row>
    <row r="461" spans="1:17">
      <c r="A461" s="653">
        <v>45620</v>
      </c>
      <c r="B461" s="664">
        <v>1807.92</v>
      </c>
      <c r="C461" s="664">
        <v>472290</v>
      </c>
      <c r="D461" s="664">
        <v>3354</v>
      </c>
      <c r="E461" s="664">
        <v>0</v>
      </c>
      <c r="F461" s="664">
        <v>0</v>
      </c>
      <c r="G461" s="664">
        <v>59</v>
      </c>
      <c r="H461" s="664">
        <v>138</v>
      </c>
      <c r="I461" s="664">
        <v>4</v>
      </c>
      <c r="J461" s="649">
        <f t="shared" si="115"/>
        <v>0.00710156895127993</v>
      </c>
      <c r="K461" s="648">
        <f t="shared" si="116"/>
        <v>0.539033989266547</v>
      </c>
      <c r="L461" s="648">
        <f t="shared" si="117"/>
        <v>3.82798704185987</v>
      </c>
      <c r="M461" s="648">
        <f t="shared" si="118"/>
        <v>0</v>
      </c>
      <c r="N461" s="649">
        <f t="shared" si="119"/>
        <v>0</v>
      </c>
      <c r="O461" s="560">
        <f t="shared" si="120"/>
        <v>9.17725888324873</v>
      </c>
      <c r="P461">
        <f t="shared" si="121"/>
        <v>197</v>
      </c>
      <c r="Q461" s="661">
        <f t="shared" si="122"/>
        <v>0.0587358378056052</v>
      </c>
    </row>
    <row r="462" spans="1:17">
      <c r="A462" s="653">
        <v>45621</v>
      </c>
      <c r="B462" s="664">
        <v>1766.44</v>
      </c>
      <c r="C462" s="664">
        <v>420474</v>
      </c>
      <c r="D462" s="664">
        <v>2883</v>
      </c>
      <c r="E462" s="664">
        <v>2</v>
      </c>
      <c r="F462" s="664">
        <v>22697</v>
      </c>
      <c r="G462" s="664">
        <v>51</v>
      </c>
      <c r="H462" s="664">
        <v>106</v>
      </c>
      <c r="I462" s="664">
        <v>6</v>
      </c>
      <c r="J462" s="649">
        <f t="shared" si="115"/>
        <v>0.0068565476105538</v>
      </c>
      <c r="K462" s="648">
        <f t="shared" si="116"/>
        <v>0.612708983697537</v>
      </c>
      <c r="L462" s="648">
        <f t="shared" si="117"/>
        <v>4.2010683181362</v>
      </c>
      <c r="M462" s="648">
        <f t="shared" si="118"/>
        <v>12.849007042413</v>
      </c>
      <c r="N462" s="649">
        <f t="shared" si="119"/>
        <v>0.000693721817551162</v>
      </c>
      <c r="O462" s="560">
        <f t="shared" si="120"/>
        <v>11.2512101910828</v>
      </c>
      <c r="P462">
        <f t="shared" si="121"/>
        <v>157</v>
      </c>
      <c r="Q462" s="661">
        <f t="shared" si="122"/>
        <v>0.0544571626777662</v>
      </c>
    </row>
    <row r="463" spans="1:17">
      <c r="A463" s="653">
        <v>45622</v>
      </c>
      <c r="B463" s="664">
        <v>1808.65</v>
      </c>
      <c r="C463" s="664">
        <v>494904</v>
      </c>
      <c r="D463" s="664">
        <v>4256</v>
      </c>
      <c r="E463" s="664">
        <v>0</v>
      </c>
      <c r="F463" s="664">
        <v>0</v>
      </c>
      <c r="G463" s="664">
        <v>45</v>
      </c>
      <c r="H463" s="664">
        <v>120</v>
      </c>
      <c r="I463" s="664">
        <v>7</v>
      </c>
      <c r="J463" s="649">
        <f t="shared" si="115"/>
        <v>0.00859964760842507</v>
      </c>
      <c r="K463" s="648">
        <f t="shared" si="116"/>
        <v>0.424964755639098</v>
      </c>
      <c r="L463" s="648">
        <f t="shared" si="117"/>
        <v>3.65454714449671</v>
      </c>
      <c r="M463" s="648">
        <f t="shared" si="118"/>
        <v>0</v>
      </c>
      <c r="N463" s="649">
        <f t="shared" si="119"/>
        <v>0</v>
      </c>
      <c r="O463" s="560">
        <f t="shared" si="120"/>
        <v>10.9615151515152</v>
      </c>
      <c r="P463">
        <f t="shared" si="121"/>
        <v>165</v>
      </c>
      <c r="Q463" s="661">
        <f t="shared" si="122"/>
        <v>0.0387687969924812</v>
      </c>
    </row>
    <row r="464" spans="1:17">
      <c r="A464" s="653">
        <v>45623</v>
      </c>
      <c r="B464" s="664">
        <v>1807.51</v>
      </c>
      <c r="C464" s="664">
        <v>451368</v>
      </c>
      <c r="D464" s="664">
        <v>3871</v>
      </c>
      <c r="E464" s="664">
        <v>0</v>
      </c>
      <c r="F464" s="664">
        <v>0</v>
      </c>
      <c r="G464" s="664">
        <v>31</v>
      </c>
      <c r="H464" s="664">
        <v>105</v>
      </c>
      <c r="I464" s="664">
        <v>4</v>
      </c>
      <c r="J464" s="649">
        <f t="shared" si="115"/>
        <v>0.0085761507240212</v>
      </c>
      <c r="K464" s="648">
        <f t="shared" si="116"/>
        <v>0.466936192198398</v>
      </c>
      <c r="L464" s="648">
        <f t="shared" si="117"/>
        <v>4.004515162794</v>
      </c>
      <c r="M464" s="648">
        <f t="shared" si="118"/>
        <v>0</v>
      </c>
      <c r="N464" s="649">
        <f t="shared" si="119"/>
        <v>0</v>
      </c>
      <c r="O464" s="560">
        <f t="shared" si="120"/>
        <v>13.2905147058824</v>
      </c>
      <c r="P464">
        <f t="shared" si="121"/>
        <v>136</v>
      </c>
      <c r="Q464" s="661">
        <f t="shared" si="122"/>
        <v>0.0351330405579953</v>
      </c>
    </row>
    <row r="465" spans="1:17">
      <c r="A465" s="653">
        <v>45624</v>
      </c>
      <c r="B465" s="664">
        <v>1810.19</v>
      </c>
      <c r="C465" s="664">
        <v>333311</v>
      </c>
      <c r="D465" s="664">
        <v>2468</v>
      </c>
      <c r="E465" s="664">
        <v>0</v>
      </c>
      <c r="F465" s="664">
        <v>0</v>
      </c>
      <c r="G465" s="664">
        <v>54</v>
      </c>
      <c r="H465" s="664">
        <v>136</v>
      </c>
      <c r="I465" s="664">
        <v>13</v>
      </c>
      <c r="J465" s="649">
        <f t="shared" si="115"/>
        <v>0.00740449610123878</v>
      </c>
      <c r="K465" s="648">
        <f t="shared" si="116"/>
        <v>0.733464343598055</v>
      </c>
      <c r="L465" s="648">
        <f t="shared" si="117"/>
        <v>5.43093387256946</v>
      </c>
      <c r="M465" s="648">
        <f t="shared" si="118"/>
        <v>0</v>
      </c>
      <c r="N465" s="649">
        <f t="shared" si="119"/>
        <v>0</v>
      </c>
      <c r="O465" s="560">
        <f t="shared" ref="O465:O482" si="123">B465/(G465+H465)</f>
        <v>9.52731578947368</v>
      </c>
      <c r="P465">
        <f t="shared" si="121"/>
        <v>190</v>
      </c>
      <c r="Q465" s="661">
        <f t="shared" si="122"/>
        <v>0.0769854132901134</v>
      </c>
    </row>
    <row r="466" spans="1:17">
      <c r="A466" s="653">
        <v>45625</v>
      </c>
      <c r="B466" s="664">
        <v>1828</v>
      </c>
      <c r="C466" s="664">
        <v>317534</v>
      </c>
      <c r="D466" s="664">
        <v>3146</v>
      </c>
      <c r="E466" s="664">
        <v>2</v>
      </c>
      <c r="F466" s="664">
        <v>30214</v>
      </c>
      <c r="G466" s="664">
        <v>51</v>
      </c>
      <c r="H466" s="664">
        <v>120</v>
      </c>
      <c r="I466" s="664">
        <v>9</v>
      </c>
      <c r="J466" s="649">
        <f t="shared" si="115"/>
        <v>0.0099076004459365</v>
      </c>
      <c r="K466" s="648">
        <f t="shared" ref="K466:K482" si="124">B466/D466</f>
        <v>0.581055308328036</v>
      </c>
      <c r="L466" s="648">
        <f t="shared" si="117"/>
        <v>5.75686383190461</v>
      </c>
      <c r="M466" s="648">
        <f t="shared" si="118"/>
        <v>16.5284463894967</v>
      </c>
      <c r="N466" s="649">
        <f t="shared" si="119"/>
        <v>0.000635727908455181</v>
      </c>
      <c r="O466" s="560">
        <f t="shared" si="123"/>
        <v>10.6900584795322</v>
      </c>
      <c r="P466">
        <f t="shared" ref="P466:P482" si="125">G466+H466</f>
        <v>171</v>
      </c>
      <c r="Q466" s="661">
        <f t="shared" ref="Q466:Q483" si="126">P466/D466</f>
        <v>0.054354736172918</v>
      </c>
    </row>
    <row r="467" spans="1:17">
      <c r="A467" s="653">
        <v>45626</v>
      </c>
      <c r="B467" s="665">
        <v>1770.3</v>
      </c>
      <c r="C467" s="665">
        <v>189207</v>
      </c>
      <c r="D467" s="665">
        <v>2153</v>
      </c>
      <c r="E467" s="665">
        <v>2</v>
      </c>
      <c r="F467" s="665">
        <v>13626</v>
      </c>
      <c r="G467" s="665">
        <v>56</v>
      </c>
      <c r="H467" s="665">
        <v>184</v>
      </c>
      <c r="I467" s="665">
        <v>11</v>
      </c>
      <c r="J467" s="649">
        <f t="shared" si="115"/>
        <v>0.0113790715988309</v>
      </c>
      <c r="K467" s="648">
        <f t="shared" si="124"/>
        <v>0.822248026010218</v>
      </c>
      <c r="L467" s="648">
        <f t="shared" si="117"/>
        <v>9.35641915996765</v>
      </c>
      <c r="M467" s="648">
        <f t="shared" si="118"/>
        <v>7.69700050838841</v>
      </c>
      <c r="N467" s="649">
        <f t="shared" si="119"/>
        <v>0.000928936367858802</v>
      </c>
      <c r="O467" s="560">
        <f t="shared" si="123"/>
        <v>7.37625</v>
      </c>
      <c r="P467">
        <f t="shared" si="125"/>
        <v>240</v>
      </c>
      <c r="Q467" s="661">
        <f t="shared" si="126"/>
        <v>0.111472364143056</v>
      </c>
    </row>
    <row r="468" spans="1:17">
      <c r="A468" s="653">
        <v>45627</v>
      </c>
      <c r="B468" s="557">
        <v>1807</v>
      </c>
      <c r="C468" s="37">
        <v>293388</v>
      </c>
      <c r="D468" s="37">
        <v>2629</v>
      </c>
      <c r="E468" s="37">
        <v>0</v>
      </c>
      <c r="F468" s="37">
        <v>0</v>
      </c>
      <c r="G468" s="37">
        <v>80</v>
      </c>
      <c r="H468" s="37">
        <v>167</v>
      </c>
      <c r="I468" s="558">
        <v>12</v>
      </c>
      <c r="J468" s="649">
        <f t="shared" si="115"/>
        <v>0.00896083002713131</v>
      </c>
      <c r="K468" s="648">
        <f t="shared" si="124"/>
        <v>0.687333586915177</v>
      </c>
      <c r="L468" s="648">
        <f t="shared" si="117"/>
        <v>6.15907944428538</v>
      </c>
      <c r="M468" s="648">
        <f t="shared" si="118"/>
        <v>0</v>
      </c>
      <c r="N468" s="649">
        <f t="shared" si="119"/>
        <v>0</v>
      </c>
      <c r="O468" s="560">
        <f t="shared" si="123"/>
        <v>7.31578947368421</v>
      </c>
      <c r="P468">
        <f t="shared" si="125"/>
        <v>247</v>
      </c>
      <c r="Q468" s="661">
        <f t="shared" si="126"/>
        <v>0.0939520730315709</v>
      </c>
    </row>
    <row r="469" spans="1:17">
      <c r="A469" s="653">
        <v>45628</v>
      </c>
      <c r="B469" s="557">
        <v>1907</v>
      </c>
      <c r="C469" s="37">
        <v>128774</v>
      </c>
      <c r="D469" s="37">
        <v>1888</v>
      </c>
      <c r="E469" s="37">
        <v>0</v>
      </c>
      <c r="F469" s="37">
        <v>0</v>
      </c>
      <c r="G469" s="37">
        <v>70</v>
      </c>
      <c r="H469" s="37">
        <v>122</v>
      </c>
      <c r="I469" s="558">
        <v>12</v>
      </c>
      <c r="J469" s="649">
        <f t="shared" ref="J469:J479" si="127">D469/C469</f>
        <v>0.0146613446813798</v>
      </c>
      <c r="K469" s="559">
        <f t="shared" si="124"/>
        <v>1.01006355932203</v>
      </c>
      <c r="L469" s="648">
        <f t="shared" ref="L469:L479" si="128">B469/C469*1000</f>
        <v>14.8088899933216</v>
      </c>
      <c r="M469" s="648">
        <f t="shared" ref="M469:M473" si="129">F469/B469</f>
        <v>0</v>
      </c>
      <c r="N469" s="649">
        <f t="shared" ref="N469:N482" si="130">E469/D469</f>
        <v>0</v>
      </c>
      <c r="O469" s="560">
        <f t="shared" si="123"/>
        <v>9.93229166666667</v>
      </c>
      <c r="P469">
        <f t="shared" si="125"/>
        <v>192</v>
      </c>
      <c r="Q469" s="666">
        <f t="shared" si="126"/>
        <v>0.101694915254237</v>
      </c>
    </row>
    <row r="470" spans="1:17">
      <c r="A470" s="653">
        <v>45629</v>
      </c>
      <c r="B470" s="557">
        <v>1907</v>
      </c>
      <c r="C470" s="37">
        <v>148877</v>
      </c>
      <c r="D470" s="37">
        <v>2066</v>
      </c>
      <c r="E470" s="37">
        <v>0</v>
      </c>
      <c r="F470" s="37">
        <v>0</v>
      </c>
      <c r="G470" s="37">
        <v>76</v>
      </c>
      <c r="H470" s="37">
        <v>115</v>
      </c>
      <c r="I470" s="558">
        <v>12</v>
      </c>
      <c r="J470" s="649">
        <f t="shared" si="127"/>
        <v>0.0138772275099579</v>
      </c>
      <c r="K470" s="559">
        <f t="shared" si="124"/>
        <v>0.923039690222652</v>
      </c>
      <c r="L470" s="648">
        <f t="shared" si="128"/>
        <v>12.8092317819408</v>
      </c>
      <c r="M470" s="648">
        <f t="shared" si="129"/>
        <v>0</v>
      </c>
      <c r="N470" s="649">
        <f t="shared" si="130"/>
        <v>0</v>
      </c>
      <c r="O470" s="560">
        <f t="shared" si="123"/>
        <v>9.98429319371728</v>
      </c>
      <c r="P470">
        <f t="shared" si="125"/>
        <v>191</v>
      </c>
      <c r="Q470" s="666">
        <f t="shared" si="126"/>
        <v>0.0924491771539206</v>
      </c>
    </row>
    <row r="471" spans="1:17">
      <c r="A471" s="653">
        <v>45630</v>
      </c>
      <c r="B471" s="557">
        <v>2121</v>
      </c>
      <c r="C471" s="37">
        <v>367682</v>
      </c>
      <c r="D471" s="37">
        <v>3155</v>
      </c>
      <c r="E471" s="37">
        <v>1</v>
      </c>
      <c r="F471" s="37">
        <v>7586</v>
      </c>
      <c r="G471" s="37">
        <v>66</v>
      </c>
      <c r="H471" s="37">
        <v>121</v>
      </c>
      <c r="I471" s="558">
        <v>13</v>
      </c>
      <c r="J471" s="39">
        <f t="shared" si="127"/>
        <v>0.00858078448224281</v>
      </c>
      <c r="K471" s="559">
        <f t="shared" si="124"/>
        <v>0.672266244057052</v>
      </c>
      <c r="L471" s="559">
        <f t="shared" si="128"/>
        <v>5.76857175494041</v>
      </c>
      <c r="M471" s="559">
        <f t="shared" si="129"/>
        <v>3.57661480433758</v>
      </c>
      <c r="N471" s="39">
        <f t="shared" si="130"/>
        <v>0.000316957210776545</v>
      </c>
      <c r="O471" s="560">
        <f t="shared" si="123"/>
        <v>11.3422459893048</v>
      </c>
      <c r="P471">
        <f t="shared" si="125"/>
        <v>187</v>
      </c>
      <c r="Q471" s="666">
        <f t="shared" si="126"/>
        <v>0.0592709984152139</v>
      </c>
    </row>
    <row r="472" spans="1:17">
      <c r="A472" s="653">
        <v>45631</v>
      </c>
      <c r="B472" s="557">
        <v>1401</v>
      </c>
      <c r="C472" s="37">
        <v>386224</v>
      </c>
      <c r="D472" s="37">
        <v>3772</v>
      </c>
      <c r="E472" s="37">
        <v>0</v>
      </c>
      <c r="F472" s="37">
        <v>0</v>
      </c>
      <c r="G472" s="37">
        <v>42</v>
      </c>
      <c r="H472" s="37">
        <v>54</v>
      </c>
      <c r="I472" s="558">
        <v>5</v>
      </c>
      <c r="J472" s="39">
        <f t="shared" si="127"/>
        <v>0.00976635320435809</v>
      </c>
      <c r="K472" s="559">
        <f t="shared" si="124"/>
        <v>0.371420996818664</v>
      </c>
      <c r="L472" s="559">
        <f t="shared" si="128"/>
        <v>3.62742864244583</v>
      </c>
      <c r="M472" s="559">
        <f t="shared" si="129"/>
        <v>0</v>
      </c>
      <c r="N472" s="39">
        <f t="shared" si="130"/>
        <v>0</v>
      </c>
      <c r="O472" s="560">
        <f t="shared" si="123"/>
        <v>14.59375</v>
      </c>
      <c r="P472">
        <f t="shared" si="125"/>
        <v>96</v>
      </c>
      <c r="Q472" s="666">
        <f t="shared" si="126"/>
        <v>0.0254506892895016</v>
      </c>
    </row>
    <row r="473" spans="1:17">
      <c r="A473" s="653">
        <v>45632</v>
      </c>
      <c r="B473" s="557">
        <v>1450</v>
      </c>
      <c r="C473" s="37">
        <v>319032</v>
      </c>
      <c r="D473" s="37">
        <v>3715</v>
      </c>
      <c r="E473" s="37">
        <v>0</v>
      </c>
      <c r="F473" s="37">
        <v>0</v>
      </c>
      <c r="G473" s="37">
        <v>51</v>
      </c>
      <c r="H473" s="37">
        <v>65</v>
      </c>
      <c r="I473" s="558">
        <v>7</v>
      </c>
      <c r="J473" s="39">
        <f t="shared" si="127"/>
        <v>0.0116445999147421</v>
      </c>
      <c r="K473" s="559">
        <f t="shared" si="124"/>
        <v>0.390309555854643</v>
      </c>
      <c r="L473" s="559">
        <f t="shared" si="128"/>
        <v>4.544998620828</v>
      </c>
      <c r="M473" s="559">
        <f t="shared" si="129"/>
        <v>0</v>
      </c>
      <c r="N473" s="39">
        <f t="shared" si="130"/>
        <v>0</v>
      </c>
      <c r="O473" s="560">
        <f t="shared" si="123"/>
        <v>12.5</v>
      </c>
      <c r="P473">
        <f t="shared" si="125"/>
        <v>116</v>
      </c>
      <c r="Q473" s="666">
        <f t="shared" si="126"/>
        <v>0.0312247644683715</v>
      </c>
    </row>
    <row r="474" spans="1:17">
      <c r="A474" s="653">
        <v>45633</v>
      </c>
      <c r="B474" s="557">
        <v>1516</v>
      </c>
      <c r="C474" s="37">
        <v>171266</v>
      </c>
      <c r="D474" s="37">
        <v>2741</v>
      </c>
      <c r="E474" s="37">
        <v>0</v>
      </c>
      <c r="F474" s="37">
        <v>0</v>
      </c>
      <c r="G474" s="37">
        <v>48</v>
      </c>
      <c r="H474" s="37">
        <v>89</v>
      </c>
      <c r="I474" s="558">
        <v>5</v>
      </c>
      <c r="J474" s="39">
        <f t="shared" si="127"/>
        <v>0.0160043441196735</v>
      </c>
      <c r="K474" s="559">
        <f t="shared" si="124"/>
        <v>0.553082816490332</v>
      </c>
      <c r="L474" s="559">
        <f t="shared" si="128"/>
        <v>8.8517277217895</v>
      </c>
      <c r="M474" s="559">
        <f t="shared" ref="M474:M485" si="131">F474/B474</f>
        <v>0</v>
      </c>
      <c r="N474" s="39">
        <f t="shared" si="130"/>
        <v>0</v>
      </c>
      <c r="O474" s="560">
        <f t="shared" si="123"/>
        <v>11.0656934306569</v>
      </c>
      <c r="P474">
        <f t="shared" si="125"/>
        <v>137</v>
      </c>
      <c r="Q474" s="666">
        <f t="shared" si="126"/>
        <v>0.0499817584823057</v>
      </c>
    </row>
    <row r="475" spans="1:17">
      <c r="A475" s="653">
        <v>45634</v>
      </c>
      <c r="B475" s="557">
        <v>1693</v>
      </c>
      <c r="C475" s="37">
        <v>167777</v>
      </c>
      <c r="D475" s="37">
        <v>2942</v>
      </c>
      <c r="E475" s="37">
        <v>0</v>
      </c>
      <c r="F475" s="37">
        <v>0</v>
      </c>
      <c r="G475" s="37">
        <v>100</v>
      </c>
      <c r="H475" s="37">
        <v>111</v>
      </c>
      <c r="I475" s="558">
        <v>10</v>
      </c>
      <c r="J475" s="39">
        <f t="shared" si="127"/>
        <v>0.0175351806266652</v>
      </c>
      <c r="K475" s="559">
        <f t="shared" si="124"/>
        <v>0.575458871515976</v>
      </c>
      <c r="L475" s="559">
        <f t="shared" si="128"/>
        <v>10.0907752552495</v>
      </c>
      <c r="M475" s="559">
        <f t="shared" si="131"/>
        <v>0</v>
      </c>
      <c r="N475" s="39">
        <f t="shared" si="130"/>
        <v>0</v>
      </c>
      <c r="O475" s="560">
        <f t="shared" si="123"/>
        <v>8.02369668246446</v>
      </c>
      <c r="P475">
        <f t="shared" si="125"/>
        <v>211</v>
      </c>
      <c r="Q475" s="666">
        <f t="shared" si="126"/>
        <v>0.0717199184228416</v>
      </c>
    </row>
    <row r="476" spans="1:17">
      <c r="A476" s="653">
        <v>45635</v>
      </c>
      <c r="B476" s="557">
        <v>1765</v>
      </c>
      <c r="C476" s="37">
        <v>171050</v>
      </c>
      <c r="D476" s="37">
        <v>2126</v>
      </c>
      <c r="E476" s="37">
        <v>0</v>
      </c>
      <c r="F476" s="37">
        <v>0</v>
      </c>
      <c r="G476" s="37">
        <v>57</v>
      </c>
      <c r="H476" s="37">
        <v>97</v>
      </c>
      <c r="I476" s="558">
        <v>6</v>
      </c>
      <c r="J476" s="39">
        <f t="shared" si="127"/>
        <v>0.0124291142940661</v>
      </c>
      <c r="K476" s="559">
        <f t="shared" si="124"/>
        <v>0.830197554092192</v>
      </c>
      <c r="L476" s="559">
        <f t="shared" si="128"/>
        <v>10.3186202864659</v>
      </c>
      <c r="M476" s="559">
        <f t="shared" si="131"/>
        <v>0</v>
      </c>
      <c r="N476" s="39">
        <f t="shared" si="130"/>
        <v>0</v>
      </c>
      <c r="O476" s="560">
        <f t="shared" si="123"/>
        <v>11.461038961039</v>
      </c>
      <c r="P476">
        <f t="shared" si="125"/>
        <v>154</v>
      </c>
      <c r="Q476" s="666">
        <f t="shared" si="126"/>
        <v>0.0724365004703669</v>
      </c>
    </row>
    <row r="477" spans="1:17">
      <c r="A477" s="653">
        <v>45636</v>
      </c>
      <c r="B477" s="557">
        <v>2989</v>
      </c>
      <c r="C477" s="37">
        <v>221581</v>
      </c>
      <c r="D477" s="37">
        <v>3426</v>
      </c>
      <c r="E477" s="37">
        <v>1</v>
      </c>
      <c r="F477" s="37">
        <v>8842</v>
      </c>
      <c r="G477" s="37">
        <v>56</v>
      </c>
      <c r="H477" s="37">
        <v>111</v>
      </c>
      <c r="I477" s="558">
        <v>6</v>
      </c>
      <c r="J477" s="39">
        <f t="shared" si="127"/>
        <v>0.0154616144886069</v>
      </c>
      <c r="K477" s="559">
        <f t="shared" si="124"/>
        <v>0.872446001167542</v>
      </c>
      <c r="L477" s="559">
        <f t="shared" si="128"/>
        <v>13.4894237321792</v>
      </c>
      <c r="M477" s="559">
        <f t="shared" si="131"/>
        <v>2.9581799933088</v>
      </c>
      <c r="N477" s="39">
        <f t="shared" si="130"/>
        <v>0.000291885580852306</v>
      </c>
      <c r="O477" s="560">
        <f t="shared" si="123"/>
        <v>17.8982035928144</v>
      </c>
      <c r="P477">
        <f t="shared" si="125"/>
        <v>167</v>
      </c>
      <c r="Q477" s="666">
        <f t="shared" si="126"/>
        <v>0.0487448920023351</v>
      </c>
    </row>
    <row r="478" spans="1:17">
      <c r="A478" s="653">
        <v>45637</v>
      </c>
      <c r="B478" s="557">
        <v>2222</v>
      </c>
      <c r="C478" s="37">
        <v>135500</v>
      </c>
      <c r="D478" s="37">
        <v>1920</v>
      </c>
      <c r="E478" s="37">
        <v>3</v>
      </c>
      <c r="F478" s="37">
        <v>28192</v>
      </c>
      <c r="G478" s="37">
        <v>74</v>
      </c>
      <c r="H478" s="37">
        <v>118</v>
      </c>
      <c r="I478" s="558">
        <v>6</v>
      </c>
      <c r="J478" s="39">
        <f t="shared" si="127"/>
        <v>0.014169741697417</v>
      </c>
      <c r="K478" s="559">
        <f t="shared" si="124"/>
        <v>1.15729166666667</v>
      </c>
      <c r="L478" s="559">
        <f t="shared" si="128"/>
        <v>16.3985239852399</v>
      </c>
      <c r="M478" s="559">
        <f t="shared" si="131"/>
        <v>12.6876687668767</v>
      </c>
      <c r="N478" s="39">
        <f t="shared" si="130"/>
        <v>0.0015625</v>
      </c>
      <c r="O478" s="560">
        <f t="shared" si="123"/>
        <v>11.5729166666667</v>
      </c>
      <c r="P478">
        <f t="shared" si="125"/>
        <v>192</v>
      </c>
      <c r="Q478" s="666">
        <f t="shared" si="126"/>
        <v>0.1</v>
      </c>
    </row>
    <row r="479" spans="1:17">
      <c r="A479" s="653">
        <v>45638</v>
      </c>
      <c r="B479" s="557">
        <v>2927</v>
      </c>
      <c r="C479" s="37">
        <v>138084</v>
      </c>
      <c r="D479" s="37">
        <v>3526</v>
      </c>
      <c r="E479" s="37">
        <v>7</v>
      </c>
      <c r="F479" s="37">
        <v>67538</v>
      </c>
      <c r="G479" s="37">
        <v>110</v>
      </c>
      <c r="H479" s="37">
        <v>151</v>
      </c>
      <c r="I479" s="558">
        <v>7</v>
      </c>
      <c r="J479" s="39">
        <f t="shared" si="127"/>
        <v>0.0255351814837345</v>
      </c>
      <c r="K479" s="559">
        <f t="shared" si="124"/>
        <v>0.83011911514464</v>
      </c>
      <c r="L479" s="559">
        <f t="shared" si="128"/>
        <v>21.1972422583355</v>
      </c>
      <c r="M479" s="559">
        <f t="shared" si="131"/>
        <v>23.0741373419884</v>
      </c>
      <c r="N479" s="39">
        <f t="shared" si="130"/>
        <v>0.00198525241066364</v>
      </c>
      <c r="O479" s="560">
        <f t="shared" si="123"/>
        <v>11.2145593869732</v>
      </c>
      <c r="P479">
        <f t="shared" si="125"/>
        <v>261</v>
      </c>
      <c r="Q479" s="666">
        <f t="shared" si="126"/>
        <v>0.0740215541690301</v>
      </c>
    </row>
    <row r="480" spans="1:17">
      <c r="A480" s="653">
        <v>45639</v>
      </c>
      <c r="B480" s="557">
        <v>1289</v>
      </c>
      <c r="C480" s="37">
        <v>77041</v>
      </c>
      <c r="D480" s="37">
        <v>1183</v>
      </c>
      <c r="E480" s="37">
        <v>0</v>
      </c>
      <c r="F480" s="37">
        <v>0</v>
      </c>
      <c r="G480" s="37">
        <v>64</v>
      </c>
      <c r="H480" s="37">
        <v>57</v>
      </c>
      <c r="I480" s="558">
        <v>3</v>
      </c>
      <c r="J480" s="39">
        <f t="shared" ref="J480:J486" si="132">D480/C480</f>
        <v>0.0153554600796978</v>
      </c>
      <c r="K480" s="559">
        <f t="shared" si="124"/>
        <v>1.08960270498732</v>
      </c>
      <c r="L480" s="559">
        <f t="shared" ref="L480:L486" si="133">B480/C480*1000</f>
        <v>16.7313508391636</v>
      </c>
      <c r="M480" s="559">
        <f t="shared" si="131"/>
        <v>0</v>
      </c>
      <c r="N480" s="39">
        <f t="shared" si="130"/>
        <v>0</v>
      </c>
      <c r="O480" s="560">
        <f t="shared" si="123"/>
        <v>10.6528925619835</v>
      </c>
      <c r="P480">
        <f t="shared" si="125"/>
        <v>121</v>
      </c>
      <c r="Q480" s="666">
        <f t="shared" si="126"/>
        <v>0.102282333051564</v>
      </c>
    </row>
    <row r="481" spans="1:17">
      <c r="A481" s="653">
        <v>45640</v>
      </c>
      <c r="B481" s="557">
        <v>1164</v>
      </c>
      <c r="C481" s="37">
        <v>234643</v>
      </c>
      <c r="D481" s="37">
        <v>1901</v>
      </c>
      <c r="E481" s="37">
        <v>2</v>
      </c>
      <c r="F481" s="37">
        <v>8042</v>
      </c>
      <c r="G481" s="37">
        <v>40</v>
      </c>
      <c r="H481" s="37">
        <v>67</v>
      </c>
      <c r="I481" s="558">
        <v>7</v>
      </c>
      <c r="J481" s="39">
        <f t="shared" si="132"/>
        <v>0.00810166934449355</v>
      </c>
      <c r="K481" s="559">
        <f t="shared" si="124"/>
        <v>0.612309310889006</v>
      </c>
      <c r="L481" s="559">
        <f t="shared" si="133"/>
        <v>4.96072757337743</v>
      </c>
      <c r="M481" s="559">
        <f t="shared" si="131"/>
        <v>6.90893470790378</v>
      </c>
      <c r="N481" s="39">
        <f t="shared" si="130"/>
        <v>0.00105207785376118</v>
      </c>
      <c r="O481" s="560">
        <f t="shared" si="123"/>
        <v>10.8785046728972</v>
      </c>
      <c r="P481">
        <f t="shared" si="125"/>
        <v>107</v>
      </c>
      <c r="Q481" s="667">
        <f t="shared" si="126"/>
        <v>0.056286165176223</v>
      </c>
    </row>
    <row r="482" spans="1:17">
      <c r="A482" s="653">
        <v>45641</v>
      </c>
      <c r="B482" s="557">
        <v>1557</v>
      </c>
      <c r="C482" s="37">
        <v>96113</v>
      </c>
      <c r="D482" s="37">
        <v>1957</v>
      </c>
      <c r="E482" s="37">
        <v>3</v>
      </c>
      <c r="F482" s="37">
        <v>24394</v>
      </c>
      <c r="G482" s="37">
        <v>64</v>
      </c>
      <c r="H482" s="37">
        <v>69</v>
      </c>
      <c r="I482" s="558">
        <v>4</v>
      </c>
      <c r="J482" s="39">
        <f t="shared" si="132"/>
        <v>0.0203614495437662</v>
      </c>
      <c r="K482" s="559">
        <f t="shared" si="124"/>
        <v>0.795605518650996</v>
      </c>
      <c r="L482" s="559">
        <f t="shared" si="133"/>
        <v>16.1996816247542</v>
      </c>
      <c r="M482" s="559">
        <f t="shared" si="131"/>
        <v>15.6673089274245</v>
      </c>
      <c r="N482" s="39">
        <f t="shared" si="130"/>
        <v>0.00153295861011753</v>
      </c>
      <c r="O482" s="560">
        <f t="shared" si="123"/>
        <v>11.7067669172932</v>
      </c>
      <c r="P482">
        <f t="shared" si="125"/>
        <v>133</v>
      </c>
      <c r="Q482" s="667">
        <f t="shared" si="126"/>
        <v>0.0679611650485437</v>
      </c>
    </row>
    <row r="483" spans="1:17">
      <c r="A483" s="653">
        <v>45642</v>
      </c>
      <c r="B483" s="557">
        <v>1607</v>
      </c>
      <c r="C483" s="37">
        <v>95500</v>
      </c>
      <c r="D483" s="37">
        <v>1908</v>
      </c>
      <c r="E483" s="37">
        <v>0</v>
      </c>
      <c r="F483" s="37">
        <v>0</v>
      </c>
      <c r="G483" s="37">
        <v>44</v>
      </c>
      <c r="H483" s="37">
        <v>62</v>
      </c>
      <c r="I483" s="558">
        <v>9</v>
      </c>
      <c r="J483" s="39">
        <f t="shared" si="132"/>
        <v>0.019979057591623</v>
      </c>
      <c r="K483" s="559">
        <f t="shared" ref="K483:K496" si="134">B483/D483</f>
        <v>0.842243186582809</v>
      </c>
      <c r="L483" s="559">
        <f t="shared" si="133"/>
        <v>16.8272251308901</v>
      </c>
      <c r="M483" s="559">
        <f t="shared" si="131"/>
        <v>0</v>
      </c>
      <c r="N483" s="39">
        <f t="shared" ref="N483:N496" si="135">E483/D483</f>
        <v>0</v>
      </c>
      <c r="O483" s="560">
        <f t="shared" ref="O483:O496" si="136">B483/(G483+H483)</f>
        <v>15.1603773584906</v>
      </c>
      <c r="P483">
        <f t="shared" ref="P483:P496" si="137">G483+H483</f>
        <v>106</v>
      </c>
      <c r="Q483" s="667">
        <f t="shared" si="126"/>
        <v>0.0555555555555556</v>
      </c>
    </row>
    <row r="484" spans="1:17">
      <c r="A484" s="653">
        <v>45643</v>
      </c>
      <c r="B484" s="557">
        <v>1002</v>
      </c>
      <c r="C484" s="37">
        <v>44184</v>
      </c>
      <c r="D484" s="37">
        <v>866</v>
      </c>
      <c r="E484" s="37">
        <v>0</v>
      </c>
      <c r="F484" s="37">
        <v>0</v>
      </c>
      <c r="G484" s="37">
        <v>26</v>
      </c>
      <c r="H484" s="37">
        <v>28</v>
      </c>
      <c r="I484" s="558">
        <v>4</v>
      </c>
      <c r="J484" s="39">
        <f t="shared" si="132"/>
        <v>0.0195998551511859</v>
      </c>
      <c r="K484" s="559">
        <f t="shared" si="134"/>
        <v>1.15704387990762</v>
      </c>
      <c r="L484" s="559">
        <f t="shared" si="133"/>
        <v>22.6778924497556</v>
      </c>
      <c r="M484" s="559">
        <f t="shared" si="131"/>
        <v>0</v>
      </c>
      <c r="N484" s="39">
        <f t="shared" si="135"/>
        <v>0</v>
      </c>
      <c r="O484" s="560">
        <f t="shared" si="136"/>
        <v>18.5555555555556</v>
      </c>
      <c r="P484">
        <f t="shared" si="137"/>
        <v>54</v>
      </c>
      <c r="Q484" s="667">
        <f t="shared" ref="Q484:Q496" si="138">P484/D484</f>
        <v>0.0623556581986143</v>
      </c>
    </row>
    <row r="485" spans="1:17">
      <c r="A485" s="653">
        <v>45644</v>
      </c>
      <c r="B485" s="557">
        <v>895</v>
      </c>
      <c r="C485" s="37">
        <v>48652</v>
      </c>
      <c r="D485" s="37">
        <v>920</v>
      </c>
      <c r="E485" s="37">
        <v>4</v>
      </c>
      <c r="F485" s="37">
        <v>78478</v>
      </c>
      <c r="G485" s="37">
        <v>35</v>
      </c>
      <c r="H485" s="37">
        <v>25</v>
      </c>
      <c r="I485" s="558">
        <v>3</v>
      </c>
      <c r="J485" s="39">
        <f t="shared" si="132"/>
        <v>0.0189098084354189</v>
      </c>
      <c r="K485" s="559">
        <f t="shared" si="134"/>
        <v>0.972826086956522</v>
      </c>
      <c r="L485" s="559">
        <f t="shared" si="133"/>
        <v>18.395954945326</v>
      </c>
      <c r="M485" s="559">
        <f t="shared" si="131"/>
        <v>87.6849162011173</v>
      </c>
      <c r="N485" s="39">
        <f t="shared" si="135"/>
        <v>0.00434782608695652</v>
      </c>
      <c r="O485" s="560">
        <f t="shared" si="136"/>
        <v>14.9166666666667</v>
      </c>
      <c r="P485">
        <f t="shared" si="137"/>
        <v>60</v>
      </c>
      <c r="Q485" s="667">
        <f t="shared" si="138"/>
        <v>0.0652173913043478</v>
      </c>
    </row>
    <row r="486" spans="1:17">
      <c r="A486" s="653">
        <v>45645</v>
      </c>
      <c r="B486" s="557">
        <v>984</v>
      </c>
      <c r="C486" s="37">
        <v>57179</v>
      </c>
      <c r="D486" s="37">
        <v>964</v>
      </c>
      <c r="E486" s="37">
        <v>0</v>
      </c>
      <c r="F486" s="37">
        <v>0</v>
      </c>
      <c r="G486" s="37">
        <v>16</v>
      </c>
      <c r="H486" s="37">
        <v>25</v>
      </c>
      <c r="I486" s="558">
        <v>2</v>
      </c>
      <c r="J486" s="39">
        <f t="shared" si="132"/>
        <v>0.0168593364696829</v>
      </c>
      <c r="K486" s="559">
        <f t="shared" si="134"/>
        <v>1.0207468879668</v>
      </c>
      <c r="L486" s="559">
        <f t="shared" si="133"/>
        <v>17.2091152346141</v>
      </c>
      <c r="M486" s="559">
        <f t="shared" ref="M486:M491" si="139">F486/B486</f>
        <v>0</v>
      </c>
      <c r="N486" s="39">
        <f t="shared" si="135"/>
        <v>0</v>
      </c>
      <c r="O486" s="560">
        <f t="shared" si="136"/>
        <v>24</v>
      </c>
      <c r="P486">
        <f t="shared" si="137"/>
        <v>41</v>
      </c>
      <c r="Q486" s="667">
        <f t="shared" si="138"/>
        <v>0.0425311203319502</v>
      </c>
    </row>
    <row r="487" spans="1:17">
      <c r="A487" s="653">
        <v>45646</v>
      </c>
      <c r="B487" s="557">
        <v>985</v>
      </c>
      <c r="C487" s="37">
        <v>55313</v>
      </c>
      <c r="D487" s="37">
        <v>956</v>
      </c>
      <c r="E487" s="37">
        <v>0</v>
      </c>
      <c r="F487" s="37">
        <v>0</v>
      </c>
      <c r="G487" s="37">
        <v>20</v>
      </c>
      <c r="H487" s="37">
        <v>32</v>
      </c>
      <c r="I487" s="558">
        <v>1</v>
      </c>
      <c r="J487" s="39">
        <f t="shared" ref="J487:J493" si="140">D487/C487</f>
        <v>0.0172834595845461</v>
      </c>
      <c r="K487" s="559">
        <f t="shared" si="134"/>
        <v>1.03033472803347</v>
      </c>
      <c r="L487" s="559">
        <f t="shared" ref="L487:L493" si="141">B487/C487*1000</f>
        <v>17.8077486305209</v>
      </c>
      <c r="M487" s="559">
        <f t="shared" si="139"/>
        <v>0</v>
      </c>
      <c r="N487" s="39">
        <f t="shared" si="135"/>
        <v>0</v>
      </c>
      <c r="O487" s="560">
        <f t="shared" si="136"/>
        <v>18.9423076923077</v>
      </c>
      <c r="P487">
        <f t="shared" si="137"/>
        <v>52</v>
      </c>
      <c r="Q487" s="667">
        <f t="shared" si="138"/>
        <v>0.0543933054393305</v>
      </c>
    </row>
    <row r="488" spans="1:17">
      <c r="A488" s="653">
        <v>45647</v>
      </c>
      <c r="B488" s="557">
        <v>967</v>
      </c>
      <c r="C488" s="37">
        <v>70386</v>
      </c>
      <c r="D488" s="37">
        <v>1060</v>
      </c>
      <c r="E488" s="37">
        <v>0</v>
      </c>
      <c r="F488" s="37">
        <v>0</v>
      </c>
      <c r="G488" s="37">
        <v>50</v>
      </c>
      <c r="H488" s="37">
        <v>35</v>
      </c>
      <c r="I488" s="558">
        <v>3</v>
      </c>
      <c r="J488" s="39">
        <f t="shared" si="140"/>
        <v>0.0150598130310005</v>
      </c>
      <c r="K488" s="559">
        <f t="shared" si="134"/>
        <v>0.912264150943396</v>
      </c>
      <c r="L488" s="559">
        <f t="shared" si="141"/>
        <v>13.7385275480919</v>
      </c>
      <c r="M488" s="559">
        <f t="shared" si="139"/>
        <v>0</v>
      </c>
      <c r="N488" s="39">
        <f t="shared" si="135"/>
        <v>0</v>
      </c>
      <c r="O488" s="560">
        <f t="shared" si="136"/>
        <v>11.3764705882353</v>
      </c>
      <c r="P488">
        <f t="shared" si="137"/>
        <v>85</v>
      </c>
      <c r="Q488" s="667">
        <f t="shared" si="138"/>
        <v>0.080188679245283</v>
      </c>
    </row>
    <row r="489" spans="1:17">
      <c r="A489" s="653">
        <v>45648</v>
      </c>
      <c r="B489" s="557">
        <v>974</v>
      </c>
      <c r="C489" s="37">
        <v>66265</v>
      </c>
      <c r="D489" s="37">
        <v>1095</v>
      </c>
      <c r="E489" s="37">
        <v>0</v>
      </c>
      <c r="F489" s="37">
        <v>0</v>
      </c>
      <c r="G489" s="37">
        <v>30</v>
      </c>
      <c r="H489" s="37">
        <v>30</v>
      </c>
      <c r="I489" s="558">
        <v>5</v>
      </c>
      <c r="J489" s="39">
        <f t="shared" si="140"/>
        <v>0.0165245604768732</v>
      </c>
      <c r="K489" s="559">
        <f t="shared" si="134"/>
        <v>0.889497716894977</v>
      </c>
      <c r="L489" s="559">
        <f t="shared" si="141"/>
        <v>14.6985588168717</v>
      </c>
      <c r="M489" s="559">
        <f t="shared" si="139"/>
        <v>0</v>
      </c>
      <c r="N489" s="39">
        <f t="shared" si="135"/>
        <v>0</v>
      </c>
      <c r="O489" s="560">
        <f t="shared" si="136"/>
        <v>16.2333333333333</v>
      </c>
      <c r="P489">
        <f t="shared" si="137"/>
        <v>60</v>
      </c>
      <c r="Q489" s="667">
        <f t="shared" si="138"/>
        <v>0.0547945205479452</v>
      </c>
    </row>
    <row r="490" spans="1:17">
      <c r="A490" s="653">
        <v>45649</v>
      </c>
      <c r="B490" s="557">
        <v>1072</v>
      </c>
      <c r="C490" s="37">
        <v>71326</v>
      </c>
      <c r="D490" s="37">
        <v>1161</v>
      </c>
      <c r="E490" s="37">
        <v>0</v>
      </c>
      <c r="F490" s="37">
        <v>0</v>
      </c>
      <c r="G490" s="37">
        <v>33</v>
      </c>
      <c r="H490" s="37">
        <v>26</v>
      </c>
      <c r="I490" s="558">
        <v>5</v>
      </c>
      <c r="J490" s="39">
        <f t="shared" si="140"/>
        <v>0.0162773743095085</v>
      </c>
      <c r="K490" s="559">
        <f t="shared" si="134"/>
        <v>0.923341946597761</v>
      </c>
      <c r="L490" s="559">
        <f t="shared" si="141"/>
        <v>15.0295824804419</v>
      </c>
      <c r="M490" s="559">
        <f t="shared" si="139"/>
        <v>0</v>
      </c>
      <c r="N490" s="39">
        <f t="shared" si="135"/>
        <v>0</v>
      </c>
      <c r="O490" s="560">
        <f t="shared" si="136"/>
        <v>18.1694915254237</v>
      </c>
      <c r="P490">
        <f t="shared" si="137"/>
        <v>59</v>
      </c>
      <c r="Q490" s="667">
        <f t="shared" si="138"/>
        <v>0.0508182601205857</v>
      </c>
    </row>
    <row r="491" spans="1:17">
      <c r="A491" s="653">
        <v>45650</v>
      </c>
      <c r="B491" s="557">
        <v>1066</v>
      </c>
      <c r="C491" s="37">
        <v>98568</v>
      </c>
      <c r="D491" s="37">
        <v>1202</v>
      </c>
      <c r="E491" s="37">
        <v>2</v>
      </c>
      <c r="F491" s="37">
        <v>15188</v>
      </c>
      <c r="G491" s="37">
        <v>45</v>
      </c>
      <c r="H491" s="37">
        <v>6</v>
      </c>
      <c r="I491" s="558">
        <v>24</v>
      </c>
      <c r="J491" s="39">
        <f t="shared" si="140"/>
        <v>0.0121946270594919</v>
      </c>
      <c r="K491" s="559">
        <f t="shared" si="134"/>
        <v>0.886855241264559</v>
      </c>
      <c r="L491" s="559">
        <f t="shared" si="141"/>
        <v>10.814868922977</v>
      </c>
      <c r="M491" s="559">
        <f t="shared" si="139"/>
        <v>14.2476547842402</v>
      </c>
      <c r="N491" s="39">
        <f t="shared" si="135"/>
        <v>0.00166389351081531</v>
      </c>
      <c r="O491" s="560">
        <f t="shared" si="136"/>
        <v>20.9019607843137</v>
      </c>
      <c r="P491">
        <f t="shared" si="137"/>
        <v>51</v>
      </c>
      <c r="Q491" s="667">
        <f t="shared" si="138"/>
        <v>0.0424292845257903</v>
      </c>
    </row>
    <row r="492" spans="1:17">
      <c r="A492" s="653">
        <v>45651</v>
      </c>
      <c r="B492" s="557">
        <v>1050</v>
      </c>
      <c r="C492" s="37">
        <v>71662</v>
      </c>
      <c r="D492" s="37">
        <v>1128</v>
      </c>
      <c r="E492" s="37">
        <v>0</v>
      </c>
      <c r="F492" s="37">
        <v>0</v>
      </c>
      <c r="G492" s="37">
        <v>29</v>
      </c>
      <c r="H492" s="37">
        <v>21</v>
      </c>
      <c r="I492" s="558">
        <v>8</v>
      </c>
      <c r="J492" s="39">
        <f t="shared" si="140"/>
        <v>0.0157405598504089</v>
      </c>
      <c r="K492" s="559">
        <f t="shared" si="134"/>
        <v>0.930851063829787</v>
      </c>
      <c r="L492" s="559">
        <f t="shared" si="141"/>
        <v>14.6521168820295</v>
      </c>
      <c r="M492" s="559">
        <f t="shared" ref="M492:M555" si="142">F492/B492</f>
        <v>0</v>
      </c>
      <c r="N492" s="39">
        <f t="shared" si="135"/>
        <v>0</v>
      </c>
      <c r="O492" s="560">
        <f t="shared" si="136"/>
        <v>21</v>
      </c>
      <c r="P492">
        <f t="shared" si="137"/>
        <v>50</v>
      </c>
      <c r="Q492" s="667">
        <f t="shared" si="138"/>
        <v>0.0443262411347518</v>
      </c>
    </row>
    <row r="493" spans="1:17">
      <c r="A493" s="653">
        <v>45652</v>
      </c>
      <c r="B493" s="557">
        <v>1059</v>
      </c>
      <c r="C493" s="37">
        <v>105293</v>
      </c>
      <c r="D493" s="37">
        <v>1318</v>
      </c>
      <c r="E493" s="37">
        <v>0</v>
      </c>
      <c r="F493" s="37">
        <v>0</v>
      </c>
      <c r="G493" s="37">
        <v>39</v>
      </c>
      <c r="H493" s="37">
        <v>28</v>
      </c>
      <c r="I493" s="558">
        <v>5</v>
      </c>
      <c r="J493" s="39">
        <f t="shared" si="140"/>
        <v>0.0125174513025557</v>
      </c>
      <c r="K493" s="559">
        <f t="shared" si="134"/>
        <v>0.803490136570561</v>
      </c>
      <c r="L493" s="559">
        <f t="shared" si="141"/>
        <v>10.0576486566059</v>
      </c>
      <c r="M493" s="559">
        <f t="shared" si="142"/>
        <v>0</v>
      </c>
      <c r="N493" s="39">
        <f t="shared" si="135"/>
        <v>0</v>
      </c>
      <c r="O493" s="560">
        <f t="shared" si="136"/>
        <v>15.8059701492537</v>
      </c>
      <c r="P493">
        <f t="shared" si="137"/>
        <v>67</v>
      </c>
      <c r="Q493" s="667">
        <f t="shared" si="138"/>
        <v>0.050834597875569</v>
      </c>
    </row>
    <row r="494" spans="1:17">
      <c r="A494" s="653">
        <v>45653</v>
      </c>
      <c r="B494" s="557">
        <v>1069</v>
      </c>
      <c r="C494" s="37">
        <v>146092</v>
      </c>
      <c r="D494" s="37">
        <v>1427</v>
      </c>
      <c r="E494" s="37">
        <v>0</v>
      </c>
      <c r="F494" s="37">
        <v>0</v>
      </c>
      <c r="G494" s="37">
        <v>46</v>
      </c>
      <c r="H494" s="37">
        <v>28</v>
      </c>
      <c r="I494" s="558">
        <v>11</v>
      </c>
      <c r="J494" s="39">
        <f t="shared" ref="J494:J497" si="143">D494/C494</f>
        <v>0.00976781753963256</v>
      </c>
      <c r="K494" s="559">
        <f t="shared" si="134"/>
        <v>0.749124036440084</v>
      </c>
      <c r="L494" s="559">
        <f t="shared" ref="L494:L497" si="144">B494/C494*1000</f>
        <v>7.31730690249979</v>
      </c>
      <c r="M494" s="559">
        <f t="shared" si="142"/>
        <v>0</v>
      </c>
      <c r="N494" s="39">
        <f t="shared" si="135"/>
        <v>0</v>
      </c>
      <c r="O494" s="560">
        <f t="shared" si="136"/>
        <v>14.4459459459459</v>
      </c>
      <c r="P494">
        <f t="shared" si="137"/>
        <v>74</v>
      </c>
      <c r="Q494" s="667">
        <f t="shared" si="138"/>
        <v>0.0518570427470217</v>
      </c>
    </row>
    <row r="495" spans="1:17">
      <c r="A495" s="653">
        <v>45654</v>
      </c>
      <c r="B495" s="557">
        <v>1081</v>
      </c>
      <c r="C495" s="37">
        <v>155807</v>
      </c>
      <c r="D495" s="37">
        <v>1664</v>
      </c>
      <c r="E495" s="37">
        <v>0</v>
      </c>
      <c r="F495" s="37">
        <v>0</v>
      </c>
      <c r="G495" s="37">
        <v>44</v>
      </c>
      <c r="H495" s="37">
        <v>50</v>
      </c>
      <c r="I495" s="558">
        <v>5</v>
      </c>
      <c r="J495" s="39">
        <f t="shared" si="143"/>
        <v>0.0106798795946267</v>
      </c>
      <c r="K495" s="559">
        <f t="shared" si="134"/>
        <v>0.649639423076923</v>
      </c>
      <c r="L495" s="559">
        <f t="shared" si="144"/>
        <v>6.93807081838428</v>
      </c>
      <c r="M495" s="559">
        <f t="shared" si="142"/>
        <v>0</v>
      </c>
      <c r="N495" s="39">
        <f t="shared" si="135"/>
        <v>0</v>
      </c>
      <c r="O495" s="560">
        <f t="shared" si="136"/>
        <v>11.5</v>
      </c>
      <c r="P495">
        <f t="shared" si="137"/>
        <v>94</v>
      </c>
      <c r="Q495" s="667">
        <f t="shared" si="138"/>
        <v>0.0564903846153846</v>
      </c>
    </row>
    <row r="496" spans="1:17">
      <c r="A496" s="653">
        <v>45655</v>
      </c>
      <c r="B496" s="557">
        <v>1092</v>
      </c>
      <c r="C496" s="37">
        <v>108128</v>
      </c>
      <c r="D496" s="37">
        <v>1504</v>
      </c>
      <c r="E496" s="37">
        <v>0</v>
      </c>
      <c r="F496" s="37">
        <v>0</v>
      </c>
      <c r="G496" s="37">
        <v>40</v>
      </c>
      <c r="H496" s="37">
        <v>39</v>
      </c>
      <c r="I496" s="558">
        <v>4</v>
      </c>
      <c r="J496" s="39">
        <f t="shared" si="143"/>
        <v>0.013909440662918</v>
      </c>
      <c r="K496" s="559">
        <f t="shared" si="134"/>
        <v>0.726063829787234</v>
      </c>
      <c r="L496" s="559">
        <f t="shared" si="144"/>
        <v>10.0991417579165</v>
      </c>
      <c r="M496" s="559">
        <f t="shared" si="142"/>
        <v>0</v>
      </c>
      <c r="N496" s="39">
        <f t="shared" si="135"/>
        <v>0</v>
      </c>
      <c r="O496" s="560">
        <f t="shared" si="136"/>
        <v>13.8227848101266</v>
      </c>
      <c r="P496">
        <f t="shared" si="137"/>
        <v>79</v>
      </c>
      <c r="Q496" s="667">
        <f t="shared" si="138"/>
        <v>0.0525265957446809</v>
      </c>
    </row>
    <row r="497" spans="1:17">
      <c r="A497" s="653">
        <v>45656</v>
      </c>
      <c r="B497" s="557">
        <v>1048</v>
      </c>
      <c r="C497" s="37">
        <v>107963</v>
      </c>
      <c r="D497" s="37">
        <v>1190</v>
      </c>
      <c r="E497" s="37">
        <v>3</v>
      </c>
      <c r="F497" s="37">
        <v>3900</v>
      </c>
      <c r="G497" s="37">
        <v>59</v>
      </c>
      <c r="H497" s="37">
        <v>27</v>
      </c>
      <c r="I497" s="558">
        <v>4</v>
      </c>
      <c r="J497" s="39">
        <f t="shared" si="143"/>
        <v>0.0110222946750276</v>
      </c>
      <c r="K497" s="559">
        <f t="shared" ref="K497:K560" si="145">B497/D497</f>
        <v>0.880672268907563</v>
      </c>
      <c r="L497" s="559">
        <f t="shared" si="144"/>
        <v>9.70702926002427</v>
      </c>
      <c r="M497" s="559">
        <f t="shared" si="142"/>
        <v>3.72137404580153</v>
      </c>
      <c r="N497" s="39">
        <f t="shared" ref="N497:N560" si="146">E497/D497</f>
        <v>0.00252100840336134</v>
      </c>
      <c r="O497" s="560">
        <f t="shared" ref="O497:O560" si="147">B497/(G497+H497)</f>
        <v>12.1860465116279</v>
      </c>
      <c r="P497">
        <f t="shared" ref="P497:P560" si="148">G497+H497</f>
        <v>86</v>
      </c>
      <c r="Q497" s="667">
        <f t="shared" ref="Q497:Q560" si="149">P497/D497</f>
        <v>0.0722689075630252</v>
      </c>
    </row>
    <row r="498" spans="1:17">
      <c r="A498" s="653">
        <v>45657</v>
      </c>
      <c r="B498" s="557">
        <v>967</v>
      </c>
      <c r="C498" s="37">
        <v>334295</v>
      </c>
      <c r="D498" s="37">
        <v>1725</v>
      </c>
      <c r="E498" s="37">
        <v>0</v>
      </c>
      <c r="F498" s="37">
        <v>0</v>
      </c>
      <c r="G498" s="37">
        <v>29</v>
      </c>
      <c r="H498" s="37">
        <v>25</v>
      </c>
      <c r="I498" s="558">
        <v>2</v>
      </c>
      <c r="J498" s="39">
        <f t="shared" ref="J498:J514" si="150">D498/C498</f>
        <v>0.00516011307378214</v>
      </c>
      <c r="K498" s="559">
        <f t="shared" si="145"/>
        <v>0.560579710144928</v>
      </c>
      <c r="L498" s="559">
        <f t="shared" ref="L498:L561" si="151">B498/C498*1000</f>
        <v>2.89265469121584</v>
      </c>
      <c r="M498" s="559">
        <f t="shared" si="142"/>
        <v>0</v>
      </c>
      <c r="N498" s="39">
        <f t="shared" si="146"/>
        <v>0</v>
      </c>
      <c r="O498" s="560">
        <f t="shared" si="147"/>
        <v>17.9074074074074</v>
      </c>
      <c r="P498">
        <f t="shared" si="148"/>
        <v>54</v>
      </c>
      <c r="Q498" s="667">
        <f t="shared" si="149"/>
        <v>0.031304347826087</v>
      </c>
    </row>
    <row r="499" spans="1:17">
      <c r="A499" s="653">
        <v>45658</v>
      </c>
      <c r="B499" s="557">
        <v>898</v>
      </c>
      <c r="C499" s="37">
        <v>85762</v>
      </c>
      <c r="D499" s="37">
        <v>1168</v>
      </c>
      <c r="E499" s="37">
        <v>0</v>
      </c>
      <c r="F499" s="37">
        <v>0</v>
      </c>
      <c r="G499" s="37">
        <v>36</v>
      </c>
      <c r="H499" s="37">
        <v>39</v>
      </c>
      <c r="I499" s="558">
        <v>1</v>
      </c>
      <c r="J499" s="39">
        <f t="shared" si="150"/>
        <v>0.0136190853758075</v>
      </c>
      <c r="K499" s="559">
        <f t="shared" si="145"/>
        <v>0.768835616438356</v>
      </c>
      <c r="L499" s="559">
        <f t="shared" si="151"/>
        <v>10.4708379002355</v>
      </c>
      <c r="M499" s="559">
        <f t="shared" si="142"/>
        <v>0</v>
      </c>
      <c r="N499" s="39">
        <f t="shared" si="146"/>
        <v>0</v>
      </c>
      <c r="O499" s="560">
        <f t="shared" si="147"/>
        <v>11.9733333333333</v>
      </c>
      <c r="P499">
        <f t="shared" si="148"/>
        <v>75</v>
      </c>
      <c r="Q499" s="667">
        <f t="shared" si="149"/>
        <v>0.0642123287671233</v>
      </c>
    </row>
    <row r="500" spans="1:17">
      <c r="A500" s="653">
        <v>45659</v>
      </c>
      <c r="B500" s="557">
        <v>788</v>
      </c>
      <c r="C500" s="37">
        <v>103674</v>
      </c>
      <c r="D500" s="37">
        <v>922</v>
      </c>
      <c r="E500" s="37">
        <v>0</v>
      </c>
      <c r="F500" s="37">
        <v>0</v>
      </c>
      <c r="G500" s="37">
        <v>38</v>
      </c>
      <c r="H500" s="37">
        <v>18</v>
      </c>
      <c r="I500" s="558">
        <v>0</v>
      </c>
      <c r="J500" s="39">
        <f t="shared" si="150"/>
        <v>0.0088932615699211</v>
      </c>
      <c r="K500" s="559">
        <f t="shared" si="145"/>
        <v>0.854663774403471</v>
      </c>
      <c r="L500" s="559">
        <f t="shared" si="151"/>
        <v>7.6007485001061</v>
      </c>
      <c r="M500" s="559">
        <f t="shared" si="142"/>
        <v>0</v>
      </c>
      <c r="N500" s="39">
        <f t="shared" si="146"/>
        <v>0</v>
      </c>
      <c r="O500" s="560">
        <f t="shared" si="147"/>
        <v>14.0714285714286</v>
      </c>
      <c r="P500">
        <f t="shared" si="148"/>
        <v>56</v>
      </c>
      <c r="Q500" s="667">
        <f t="shared" si="149"/>
        <v>0.0607375271149675</v>
      </c>
    </row>
    <row r="501" spans="1:17">
      <c r="A501" s="653">
        <v>45660</v>
      </c>
      <c r="B501" s="557">
        <v>707</v>
      </c>
      <c r="C501" s="37">
        <v>31110</v>
      </c>
      <c r="D501" s="37">
        <v>617</v>
      </c>
      <c r="E501" s="37">
        <v>0</v>
      </c>
      <c r="F501" s="37">
        <v>0</v>
      </c>
      <c r="G501" s="37">
        <v>22</v>
      </c>
      <c r="H501" s="37">
        <v>28</v>
      </c>
      <c r="I501" s="558">
        <v>2</v>
      </c>
      <c r="J501" s="39">
        <f t="shared" si="150"/>
        <v>0.0198328511732562</v>
      </c>
      <c r="K501" s="559">
        <f t="shared" si="145"/>
        <v>1.14586709886548</v>
      </c>
      <c r="L501" s="559">
        <f t="shared" si="151"/>
        <v>22.7258116361299</v>
      </c>
      <c r="M501" s="559">
        <f t="shared" si="142"/>
        <v>0</v>
      </c>
      <c r="N501" s="39">
        <f t="shared" si="146"/>
        <v>0</v>
      </c>
      <c r="O501" s="560">
        <f t="shared" si="147"/>
        <v>14.14</v>
      </c>
      <c r="P501">
        <f t="shared" si="148"/>
        <v>50</v>
      </c>
      <c r="Q501" s="667">
        <f t="shared" si="149"/>
        <v>0.0810372771474878</v>
      </c>
    </row>
    <row r="502" spans="1:17">
      <c r="A502" s="653">
        <v>45661</v>
      </c>
      <c r="B502" s="557">
        <v>710</v>
      </c>
      <c r="C502" s="37">
        <v>72283</v>
      </c>
      <c r="D502" s="37">
        <v>820</v>
      </c>
      <c r="E502" s="37">
        <v>0</v>
      </c>
      <c r="F502" s="37">
        <v>0</v>
      </c>
      <c r="G502" s="37">
        <v>23</v>
      </c>
      <c r="H502" s="37">
        <v>41</v>
      </c>
      <c r="I502" s="558">
        <v>5</v>
      </c>
      <c r="J502" s="39">
        <f t="shared" si="150"/>
        <v>0.0113442994895065</v>
      </c>
      <c r="K502" s="559">
        <f t="shared" si="145"/>
        <v>0.865853658536585</v>
      </c>
      <c r="L502" s="559">
        <f t="shared" si="151"/>
        <v>9.82250321652394</v>
      </c>
      <c r="M502" s="559">
        <f t="shared" si="142"/>
        <v>0</v>
      </c>
      <c r="N502" s="39">
        <f t="shared" si="146"/>
        <v>0</v>
      </c>
      <c r="O502" s="560">
        <f t="shared" si="147"/>
        <v>11.09375</v>
      </c>
      <c r="P502">
        <f t="shared" si="148"/>
        <v>64</v>
      </c>
      <c r="Q502" s="667">
        <f t="shared" si="149"/>
        <v>0.0780487804878049</v>
      </c>
    </row>
    <row r="503" spans="1:17">
      <c r="A503" s="653">
        <v>45662</v>
      </c>
      <c r="B503" s="557">
        <v>733</v>
      </c>
      <c r="C503" s="37">
        <v>31542</v>
      </c>
      <c r="D503" s="37">
        <v>711</v>
      </c>
      <c r="E503" s="37">
        <v>0</v>
      </c>
      <c r="F503" s="37">
        <v>0</v>
      </c>
      <c r="G503" s="37">
        <v>24</v>
      </c>
      <c r="H503" s="37">
        <v>31</v>
      </c>
      <c r="I503" s="558">
        <v>3</v>
      </c>
      <c r="J503" s="39">
        <f t="shared" si="150"/>
        <v>0.0225413734068861</v>
      </c>
      <c r="K503" s="559">
        <f t="shared" si="145"/>
        <v>1.0309423347398</v>
      </c>
      <c r="L503" s="559">
        <f t="shared" si="151"/>
        <v>23.2388561283368</v>
      </c>
      <c r="M503" s="559">
        <f t="shared" si="142"/>
        <v>0</v>
      </c>
      <c r="N503" s="39">
        <f t="shared" si="146"/>
        <v>0</v>
      </c>
      <c r="O503" s="560">
        <f t="shared" si="147"/>
        <v>13.3272727272727</v>
      </c>
      <c r="P503">
        <f t="shared" si="148"/>
        <v>55</v>
      </c>
      <c r="Q503" s="667">
        <f t="shared" si="149"/>
        <v>0.0773558368495077</v>
      </c>
    </row>
    <row r="504" spans="1:17">
      <c r="A504" s="653">
        <v>45663</v>
      </c>
      <c r="B504" s="557">
        <v>894</v>
      </c>
      <c r="C504" s="37">
        <v>39530</v>
      </c>
      <c r="D504" s="37">
        <v>724</v>
      </c>
      <c r="E504" s="37">
        <v>2</v>
      </c>
      <c r="F504" s="37">
        <v>26266</v>
      </c>
      <c r="G504" s="37">
        <v>30</v>
      </c>
      <c r="H504" s="37">
        <v>27</v>
      </c>
      <c r="I504" s="558">
        <v>4</v>
      </c>
      <c r="J504" s="39">
        <f t="shared" si="150"/>
        <v>0.0183152036428029</v>
      </c>
      <c r="K504" s="559">
        <f t="shared" si="145"/>
        <v>1.23480662983425</v>
      </c>
      <c r="L504" s="559">
        <f t="shared" si="151"/>
        <v>22.6157348848975</v>
      </c>
      <c r="M504" s="559">
        <f t="shared" si="142"/>
        <v>29.3803131991051</v>
      </c>
      <c r="N504" s="39">
        <f t="shared" si="146"/>
        <v>0.00276243093922652</v>
      </c>
      <c r="O504" s="560">
        <f t="shared" si="147"/>
        <v>15.6842105263158</v>
      </c>
      <c r="P504">
        <f t="shared" si="148"/>
        <v>57</v>
      </c>
      <c r="Q504" s="667">
        <f t="shared" si="149"/>
        <v>0.0787292817679558</v>
      </c>
    </row>
    <row r="505" spans="1:17">
      <c r="A505" s="653">
        <v>45664</v>
      </c>
      <c r="B505" s="557">
        <v>889</v>
      </c>
      <c r="C505" s="37">
        <v>38774</v>
      </c>
      <c r="D505" s="37">
        <v>815</v>
      </c>
      <c r="E505" s="37">
        <v>0</v>
      </c>
      <c r="F505" s="37">
        <v>0</v>
      </c>
      <c r="G505" s="37">
        <v>24</v>
      </c>
      <c r="H505" s="37">
        <v>30</v>
      </c>
      <c r="I505" s="558">
        <v>2</v>
      </c>
      <c r="J505" s="39">
        <f t="shared" si="150"/>
        <v>0.021019239696704</v>
      </c>
      <c r="K505" s="559">
        <f t="shared" si="145"/>
        <v>1.09079754601227</v>
      </c>
      <c r="L505" s="559">
        <f t="shared" si="151"/>
        <v>22.9277350802084</v>
      </c>
      <c r="M505" s="559">
        <f t="shared" si="142"/>
        <v>0</v>
      </c>
      <c r="N505" s="39">
        <f t="shared" si="146"/>
        <v>0</v>
      </c>
      <c r="O505" s="560">
        <f t="shared" si="147"/>
        <v>16.462962962963</v>
      </c>
      <c r="P505">
        <f t="shared" si="148"/>
        <v>54</v>
      </c>
      <c r="Q505" s="667">
        <f t="shared" si="149"/>
        <v>0.0662576687116564</v>
      </c>
    </row>
    <row r="506" spans="1:17">
      <c r="A506" s="653">
        <v>45665</v>
      </c>
      <c r="B506" s="557">
        <v>866</v>
      </c>
      <c r="C506" s="37">
        <v>40812</v>
      </c>
      <c r="D506" s="37">
        <v>963</v>
      </c>
      <c r="E506" s="37">
        <v>0</v>
      </c>
      <c r="F506" s="37">
        <v>0</v>
      </c>
      <c r="G506" s="37">
        <v>20</v>
      </c>
      <c r="H506" s="37">
        <v>26</v>
      </c>
      <c r="I506" s="558">
        <v>1</v>
      </c>
      <c r="J506" s="39">
        <f t="shared" si="150"/>
        <v>0.0235960011761247</v>
      </c>
      <c r="K506" s="559">
        <f t="shared" si="145"/>
        <v>0.899273104880582</v>
      </c>
      <c r="L506" s="559">
        <f t="shared" si="151"/>
        <v>21.2192492404195</v>
      </c>
      <c r="M506" s="559">
        <f t="shared" si="142"/>
        <v>0</v>
      </c>
      <c r="N506" s="39">
        <f t="shared" si="146"/>
        <v>0</v>
      </c>
      <c r="O506" s="560">
        <f t="shared" si="147"/>
        <v>18.8260869565217</v>
      </c>
      <c r="P506">
        <f t="shared" si="148"/>
        <v>46</v>
      </c>
      <c r="Q506" s="667">
        <f t="shared" si="149"/>
        <v>0.0477673935617861</v>
      </c>
    </row>
    <row r="507" spans="1:17">
      <c r="A507" s="653">
        <v>45666</v>
      </c>
      <c r="B507" s="557">
        <v>738</v>
      </c>
      <c r="C507" s="37">
        <v>39087</v>
      </c>
      <c r="D507" s="37">
        <v>840</v>
      </c>
      <c r="E507" s="37">
        <v>0</v>
      </c>
      <c r="F507" s="37">
        <v>0</v>
      </c>
      <c r="G507" s="37">
        <v>21</v>
      </c>
      <c r="H507" s="37">
        <v>15</v>
      </c>
      <c r="I507" s="558">
        <v>1</v>
      </c>
      <c r="J507" s="39">
        <f t="shared" si="150"/>
        <v>0.0214905211451378</v>
      </c>
      <c r="K507" s="559">
        <f t="shared" si="145"/>
        <v>0.878571428571429</v>
      </c>
      <c r="L507" s="559">
        <f t="shared" si="151"/>
        <v>18.8809578632282</v>
      </c>
      <c r="M507" s="559">
        <f t="shared" si="142"/>
        <v>0</v>
      </c>
      <c r="N507" s="39">
        <f t="shared" si="146"/>
        <v>0</v>
      </c>
      <c r="O507" s="560">
        <f t="shared" si="147"/>
        <v>20.5</v>
      </c>
      <c r="P507">
        <f t="shared" si="148"/>
        <v>36</v>
      </c>
      <c r="Q507" s="667">
        <f t="shared" si="149"/>
        <v>0.0428571428571429</v>
      </c>
    </row>
    <row r="508" spans="1:17">
      <c r="A508" s="653">
        <v>45667</v>
      </c>
      <c r="B508" s="557">
        <v>736</v>
      </c>
      <c r="C508" s="37">
        <v>74452</v>
      </c>
      <c r="D508" s="37">
        <v>1043</v>
      </c>
      <c r="E508" s="37">
        <v>0</v>
      </c>
      <c r="F508" s="37">
        <v>0</v>
      </c>
      <c r="G508" s="37">
        <v>22</v>
      </c>
      <c r="H508" s="37">
        <v>17</v>
      </c>
      <c r="I508" s="558">
        <v>2</v>
      </c>
      <c r="J508" s="39">
        <f t="shared" si="150"/>
        <v>0.0140090259496051</v>
      </c>
      <c r="K508" s="559">
        <f t="shared" si="145"/>
        <v>0.705656759348035</v>
      </c>
      <c r="L508" s="559">
        <f t="shared" si="151"/>
        <v>9.88556385322087</v>
      </c>
      <c r="M508" s="559">
        <f t="shared" si="142"/>
        <v>0</v>
      </c>
      <c r="N508" s="39">
        <f t="shared" si="146"/>
        <v>0</v>
      </c>
      <c r="O508" s="560">
        <f t="shared" si="147"/>
        <v>18.8717948717949</v>
      </c>
      <c r="P508">
        <f t="shared" si="148"/>
        <v>39</v>
      </c>
      <c r="Q508" s="667">
        <f t="shared" si="149"/>
        <v>0.037392138063279</v>
      </c>
    </row>
    <row r="509" spans="1:17">
      <c r="A509" s="653">
        <v>45668</v>
      </c>
      <c r="B509" s="557">
        <v>1333</v>
      </c>
      <c r="C509" s="37">
        <v>107682</v>
      </c>
      <c r="D509" s="37">
        <v>1833</v>
      </c>
      <c r="E509" s="37">
        <v>0</v>
      </c>
      <c r="F509" s="37">
        <v>0</v>
      </c>
      <c r="G509" s="37">
        <v>28</v>
      </c>
      <c r="H509" s="37">
        <v>26</v>
      </c>
      <c r="I509" s="558">
        <v>5</v>
      </c>
      <c r="J509" s="39">
        <f t="shared" si="150"/>
        <v>0.01702234356717</v>
      </c>
      <c r="K509" s="559">
        <f t="shared" si="145"/>
        <v>0.727223131478451</v>
      </c>
      <c r="L509" s="559">
        <f t="shared" si="151"/>
        <v>12.3790419940194</v>
      </c>
      <c r="M509" s="559">
        <f t="shared" si="142"/>
        <v>0</v>
      </c>
      <c r="N509" s="39">
        <f t="shared" si="146"/>
        <v>0</v>
      </c>
      <c r="O509" s="560">
        <f t="shared" si="147"/>
        <v>24.6851851851852</v>
      </c>
      <c r="P509">
        <f t="shared" si="148"/>
        <v>54</v>
      </c>
      <c r="Q509" s="667">
        <f t="shared" si="149"/>
        <v>0.0294599018003273</v>
      </c>
    </row>
    <row r="510" spans="1:17">
      <c r="A510" s="653">
        <v>45669</v>
      </c>
      <c r="B510" s="557">
        <v>747</v>
      </c>
      <c r="C510" s="37">
        <v>72061</v>
      </c>
      <c r="D510" s="37">
        <v>1016</v>
      </c>
      <c r="E510" s="37">
        <v>3</v>
      </c>
      <c r="F510" s="37">
        <v>64564</v>
      </c>
      <c r="G510" s="37">
        <v>28</v>
      </c>
      <c r="H510" s="37">
        <v>27</v>
      </c>
      <c r="I510" s="558">
        <v>2</v>
      </c>
      <c r="J510" s="39">
        <f t="shared" si="150"/>
        <v>0.0140991659843743</v>
      </c>
      <c r="K510" s="559">
        <f t="shared" si="145"/>
        <v>0.735236220472441</v>
      </c>
      <c r="L510" s="559">
        <f t="shared" si="151"/>
        <v>10.366217510165</v>
      </c>
      <c r="M510" s="559">
        <f t="shared" si="142"/>
        <v>86.4310575635877</v>
      </c>
      <c r="N510" s="39">
        <f t="shared" si="146"/>
        <v>0.00295275590551181</v>
      </c>
      <c r="O510" s="560">
        <f t="shared" si="147"/>
        <v>13.5818181818182</v>
      </c>
      <c r="P510">
        <f t="shared" si="148"/>
        <v>55</v>
      </c>
      <c r="Q510" s="667">
        <f t="shared" si="149"/>
        <v>0.0541338582677165</v>
      </c>
    </row>
    <row r="511" spans="1:17">
      <c r="A511" s="653">
        <v>45670</v>
      </c>
      <c r="B511" s="557">
        <v>856</v>
      </c>
      <c r="C511" s="37">
        <v>131354</v>
      </c>
      <c r="D511" s="37">
        <v>1202</v>
      </c>
      <c r="E511" s="37">
        <v>5</v>
      </c>
      <c r="F511" s="37">
        <v>40090</v>
      </c>
      <c r="G511" s="37">
        <v>22</v>
      </c>
      <c r="H511" s="37">
        <v>43</v>
      </c>
      <c r="I511" s="558">
        <v>1</v>
      </c>
      <c r="J511" s="39">
        <f t="shared" si="150"/>
        <v>0.00915084428338688</v>
      </c>
      <c r="K511" s="559">
        <f t="shared" si="145"/>
        <v>0.712146422628952</v>
      </c>
      <c r="L511" s="559">
        <f t="shared" si="151"/>
        <v>6.51674102044856</v>
      </c>
      <c r="M511" s="559">
        <f t="shared" si="142"/>
        <v>46.8341121495327</v>
      </c>
      <c r="N511" s="39">
        <f t="shared" si="146"/>
        <v>0.00415973377703827</v>
      </c>
      <c r="O511" s="560">
        <f t="shared" si="147"/>
        <v>13.1692307692308</v>
      </c>
      <c r="P511">
        <f t="shared" si="148"/>
        <v>65</v>
      </c>
      <c r="Q511" s="667">
        <f t="shared" si="149"/>
        <v>0.0540765391014975</v>
      </c>
    </row>
    <row r="512" spans="1:17">
      <c r="A512" s="653">
        <v>45671</v>
      </c>
      <c r="B512" s="557">
        <v>1414</v>
      </c>
      <c r="C512" s="37">
        <v>67813</v>
      </c>
      <c r="D512" s="37">
        <v>1368</v>
      </c>
      <c r="E512" s="37">
        <v>0</v>
      </c>
      <c r="F512" s="37">
        <v>0</v>
      </c>
      <c r="G512" s="37">
        <v>22</v>
      </c>
      <c r="H512" s="37">
        <v>16</v>
      </c>
      <c r="I512" s="558">
        <v>1</v>
      </c>
      <c r="J512" s="39">
        <f t="shared" si="150"/>
        <v>0.0201731231474791</v>
      </c>
      <c r="K512" s="559">
        <f t="shared" si="145"/>
        <v>1.03362573099415</v>
      </c>
      <c r="L512" s="559">
        <f t="shared" si="151"/>
        <v>20.8514591597481</v>
      </c>
      <c r="M512" s="559">
        <f t="shared" si="142"/>
        <v>0</v>
      </c>
      <c r="N512" s="39">
        <f t="shared" si="146"/>
        <v>0</v>
      </c>
      <c r="O512" s="560">
        <f t="shared" si="147"/>
        <v>37.2105263157895</v>
      </c>
      <c r="P512">
        <f t="shared" si="148"/>
        <v>38</v>
      </c>
      <c r="Q512" s="667">
        <f t="shared" si="149"/>
        <v>0.0277777777777778</v>
      </c>
    </row>
    <row r="513" spans="1:17">
      <c r="A513" s="653">
        <v>45672</v>
      </c>
      <c r="B513" s="557">
        <v>877</v>
      </c>
      <c r="C513" s="37">
        <v>79684</v>
      </c>
      <c r="D513" s="37">
        <v>1106</v>
      </c>
      <c r="E513" s="37">
        <v>0</v>
      </c>
      <c r="F513" s="37">
        <v>0</v>
      </c>
      <c r="G513" s="37">
        <v>25</v>
      </c>
      <c r="H513" s="37">
        <v>18</v>
      </c>
      <c r="I513" s="558">
        <v>4</v>
      </c>
      <c r="J513" s="39">
        <f t="shared" si="150"/>
        <v>0.0138798253099744</v>
      </c>
      <c r="K513" s="559">
        <f t="shared" si="145"/>
        <v>0.792947558770344</v>
      </c>
      <c r="L513" s="559">
        <f t="shared" si="151"/>
        <v>11.005973595703</v>
      </c>
      <c r="M513" s="559">
        <f t="shared" si="142"/>
        <v>0</v>
      </c>
      <c r="N513" s="39">
        <f t="shared" si="146"/>
        <v>0</v>
      </c>
      <c r="O513" s="560">
        <f t="shared" si="147"/>
        <v>20.3953488372093</v>
      </c>
      <c r="P513">
        <f t="shared" si="148"/>
        <v>43</v>
      </c>
      <c r="Q513" s="667">
        <f t="shared" si="149"/>
        <v>0.038878842676311</v>
      </c>
    </row>
    <row r="514" spans="1:17">
      <c r="A514" s="653">
        <v>45673</v>
      </c>
      <c r="B514" s="557">
        <v>900</v>
      </c>
      <c r="C514" s="37">
        <v>212340</v>
      </c>
      <c r="D514" s="37">
        <v>1477</v>
      </c>
      <c r="E514" s="37">
        <v>0</v>
      </c>
      <c r="F514" s="37">
        <v>0</v>
      </c>
      <c r="G514" s="37">
        <v>13</v>
      </c>
      <c r="H514" s="37">
        <v>11</v>
      </c>
      <c r="I514" s="558">
        <v>5</v>
      </c>
      <c r="J514" s="39">
        <f t="shared" si="150"/>
        <v>0.00695582556277668</v>
      </c>
      <c r="K514" s="559">
        <f t="shared" si="145"/>
        <v>0.609343263371699</v>
      </c>
      <c r="L514" s="559">
        <f t="shared" si="151"/>
        <v>4.23848544786663</v>
      </c>
      <c r="M514" s="559">
        <f t="shared" si="142"/>
        <v>0</v>
      </c>
      <c r="N514" s="39">
        <f t="shared" si="146"/>
        <v>0</v>
      </c>
      <c r="O514" s="560">
        <f t="shared" si="147"/>
        <v>37.5</v>
      </c>
      <c r="P514">
        <f t="shared" si="148"/>
        <v>24</v>
      </c>
      <c r="Q514" s="667">
        <f t="shared" si="149"/>
        <v>0.016249153689912</v>
      </c>
    </row>
    <row r="515" spans="1:17">
      <c r="A515" s="653">
        <v>45674</v>
      </c>
      <c r="B515" s="557">
        <v>1437</v>
      </c>
      <c r="C515" s="37">
        <v>140246</v>
      </c>
      <c r="D515" s="37">
        <v>1797</v>
      </c>
      <c r="E515" s="37">
        <v>1</v>
      </c>
      <c r="F515" s="37">
        <v>5998</v>
      </c>
      <c r="G515" s="37">
        <v>21</v>
      </c>
      <c r="H515" s="37">
        <v>9</v>
      </c>
      <c r="I515" s="558">
        <v>6</v>
      </c>
      <c r="J515" s="39">
        <f t="shared" ref="J515:J578" si="152">D515/C515</f>
        <v>0.0128131996634485</v>
      </c>
      <c r="K515" s="559">
        <f t="shared" si="145"/>
        <v>0.799666110183639</v>
      </c>
      <c r="L515" s="559">
        <f t="shared" si="151"/>
        <v>10.2462815338762</v>
      </c>
      <c r="M515" s="559">
        <f t="shared" si="142"/>
        <v>4.17397355601948</v>
      </c>
      <c r="N515" s="39">
        <f t="shared" si="146"/>
        <v>0.000556483027267668</v>
      </c>
      <c r="O515" s="560">
        <f t="shared" si="147"/>
        <v>47.9</v>
      </c>
      <c r="P515">
        <f t="shared" si="148"/>
        <v>30</v>
      </c>
      <c r="Q515" s="667">
        <f t="shared" si="149"/>
        <v>0.01669449081803</v>
      </c>
    </row>
    <row r="516" spans="1:17">
      <c r="A516" s="653">
        <v>45675</v>
      </c>
      <c r="B516" s="557">
        <v>888</v>
      </c>
      <c r="C516" s="37">
        <v>210682</v>
      </c>
      <c r="D516" s="37">
        <v>1756</v>
      </c>
      <c r="E516" s="37">
        <v>0</v>
      </c>
      <c r="F516" s="37">
        <v>0</v>
      </c>
      <c r="G516" s="37">
        <v>12</v>
      </c>
      <c r="H516" s="37">
        <v>12</v>
      </c>
      <c r="I516" s="558">
        <v>0</v>
      </c>
      <c r="J516" s="39">
        <f t="shared" si="152"/>
        <v>0.00833483638849071</v>
      </c>
      <c r="K516" s="559">
        <f t="shared" si="145"/>
        <v>0.505694760820046</v>
      </c>
      <c r="L516" s="559">
        <f t="shared" si="151"/>
        <v>4.21488309395202</v>
      </c>
      <c r="M516" s="559">
        <f t="shared" si="142"/>
        <v>0</v>
      </c>
      <c r="N516" s="39">
        <f t="shared" si="146"/>
        <v>0</v>
      </c>
      <c r="O516" s="560">
        <f t="shared" si="147"/>
        <v>37</v>
      </c>
      <c r="P516">
        <f t="shared" si="148"/>
        <v>24</v>
      </c>
      <c r="Q516" s="667">
        <f t="shared" si="149"/>
        <v>0.0136674259681093</v>
      </c>
    </row>
    <row r="517" spans="1:17">
      <c r="A517" s="653">
        <v>45676</v>
      </c>
      <c r="B517" s="557">
        <v>896</v>
      </c>
      <c r="C517" s="37">
        <v>158333</v>
      </c>
      <c r="D517" s="37">
        <v>2031</v>
      </c>
      <c r="E517" s="37">
        <v>2</v>
      </c>
      <c r="F517" s="37">
        <v>17254</v>
      </c>
      <c r="G517" s="37">
        <v>12</v>
      </c>
      <c r="H517" s="37">
        <v>11</v>
      </c>
      <c r="I517" s="558">
        <v>4</v>
      </c>
      <c r="J517" s="39">
        <f t="shared" si="152"/>
        <v>0.0128273954260956</v>
      </c>
      <c r="K517" s="559">
        <f t="shared" si="145"/>
        <v>0.441161989167898</v>
      </c>
      <c r="L517" s="559">
        <f t="shared" si="151"/>
        <v>5.65895928201954</v>
      </c>
      <c r="M517" s="559">
        <f t="shared" si="142"/>
        <v>19.2566964285714</v>
      </c>
      <c r="N517" s="39">
        <f t="shared" si="146"/>
        <v>0.000984736582964057</v>
      </c>
      <c r="O517" s="560">
        <f t="shared" si="147"/>
        <v>38.9565217391304</v>
      </c>
      <c r="P517">
        <f t="shared" si="148"/>
        <v>23</v>
      </c>
      <c r="Q517" s="667">
        <f t="shared" si="149"/>
        <v>0.0113244707040867</v>
      </c>
    </row>
    <row r="518" spans="1:17">
      <c r="A518" s="653">
        <v>45677</v>
      </c>
      <c r="B518" s="557">
        <v>1284</v>
      </c>
      <c r="C518" s="37">
        <v>352881</v>
      </c>
      <c r="D518" s="37">
        <v>3234</v>
      </c>
      <c r="E518" s="37">
        <v>1</v>
      </c>
      <c r="F518" s="37">
        <v>400</v>
      </c>
      <c r="G518" s="37">
        <v>11</v>
      </c>
      <c r="H518" s="37">
        <v>10</v>
      </c>
      <c r="I518" s="558">
        <v>0</v>
      </c>
      <c r="J518" s="39">
        <f t="shared" si="152"/>
        <v>0.00916456255791612</v>
      </c>
      <c r="K518" s="559">
        <f t="shared" si="145"/>
        <v>0.397031539888683</v>
      </c>
      <c r="L518" s="559">
        <f t="shared" si="151"/>
        <v>3.6386203847756</v>
      </c>
      <c r="M518" s="559">
        <f t="shared" si="142"/>
        <v>0.311526479750779</v>
      </c>
      <c r="N518" s="39">
        <f t="shared" si="146"/>
        <v>0.000309214594928881</v>
      </c>
      <c r="O518" s="560">
        <f t="shared" si="147"/>
        <v>61.1428571428571</v>
      </c>
      <c r="P518">
        <f t="shared" si="148"/>
        <v>21</v>
      </c>
      <c r="Q518" s="667">
        <f t="shared" si="149"/>
        <v>0.00649350649350649</v>
      </c>
    </row>
    <row r="519" spans="1:17">
      <c r="A519" s="653">
        <v>45678</v>
      </c>
      <c r="B519" s="557">
        <v>894</v>
      </c>
      <c r="C519" s="37">
        <v>325269</v>
      </c>
      <c r="D519" s="37">
        <v>2540</v>
      </c>
      <c r="E519" s="37">
        <v>1</v>
      </c>
      <c r="F519" s="37">
        <v>7802</v>
      </c>
      <c r="G519" s="37">
        <v>15</v>
      </c>
      <c r="H519" s="37">
        <v>13</v>
      </c>
      <c r="I519" s="558">
        <v>1</v>
      </c>
      <c r="J519" s="39">
        <f t="shared" si="152"/>
        <v>0.00780892123135005</v>
      </c>
      <c r="K519" s="559">
        <f t="shared" si="145"/>
        <v>0.351968503937008</v>
      </c>
      <c r="L519" s="559">
        <f t="shared" si="151"/>
        <v>2.74849432316021</v>
      </c>
      <c r="M519" s="559">
        <f t="shared" si="142"/>
        <v>8.72706935123042</v>
      </c>
      <c r="N519" s="39">
        <f t="shared" si="146"/>
        <v>0.000393700787401575</v>
      </c>
      <c r="O519" s="560">
        <f t="shared" si="147"/>
        <v>31.9285714285714</v>
      </c>
      <c r="P519">
        <f t="shared" si="148"/>
        <v>28</v>
      </c>
      <c r="Q519" s="667">
        <f t="shared" si="149"/>
        <v>0.0110236220472441</v>
      </c>
    </row>
    <row r="520" spans="1:17">
      <c r="A520" s="653">
        <v>45679</v>
      </c>
      <c r="B520" s="557">
        <v>899</v>
      </c>
      <c r="C520" s="37">
        <v>384822</v>
      </c>
      <c r="D520" s="37">
        <v>2690</v>
      </c>
      <c r="E520" s="37">
        <v>0</v>
      </c>
      <c r="F520" s="37">
        <v>0</v>
      </c>
      <c r="G520" s="37">
        <v>8</v>
      </c>
      <c r="H520" s="37">
        <v>13</v>
      </c>
      <c r="I520" s="558">
        <v>2</v>
      </c>
      <c r="J520" s="39">
        <f t="shared" si="152"/>
        <v>0.0069902448404717</v>
      </c>
      <c r="K520" s="559">
        <f t="shared" si="145"/>
        <v>0.334200743494424</v>
      </c>
      <c r="L520" s="559">
        <f t="shared" si="151"/>
        <v>2.3361450228937</v>
      </c>
      <c r="M520" s="559">
        <f t="shared" si="142"/>
        <v>0</v>
      </c>
      <c r="N520" s="39">
        <f t="shared" si="146"/>
        <v>0</v>
      </c>
      <c r="O520" s="560">
        <f t="shared" si="147"/>
        <v>42.8095238095238</v>
      </c>
      <c r="P520">
        <f t="shared" si="148"/>
        <v>21</v>
      </c>
      <c r="Q520" s="667">
        <f t="shared" si="149"/>
        <v>0.00780669144981413</v>
      </c>
    </row>
    <row r="521" spans="1:17">
      <c r="A521" s="653">
        <v>45680</v>
      </c>
      <c r="B521" s="557">
        <v>899</v>
      </c>
      <c r="C521" s="37">
        <v>412679</v>
      </c>
      <c r="D521" s="37">
        <v>2386</v>
      </c>
      <c r="E521" s="37">
        <v>0</v>
      </c>
      <c r="F521" s="37">
        <v>0</v>
      </c>
      <c r="G521" s="37">
        <v>32</v>
      </c>
      <c r="H521" s="37">
        <v>17</v>
      </c>
      <c r="I521" s="558">
        <v>1</v>
      </c>
      <c r="J521" s="39">
        <f t="shared" si="152"/>
        <v>0.00578173350231051</v>
      </c>
      <c r="K521" s="559">
        <f t="shared" si="145"/>
        <v>0.376781223805532</v>
      </c>
      <c r="L521" s="559">
        <f t="shared" si="151"/>
        <v>2.178448624718</v>
      </c>
      <c r="M521" s="559">
        <f t="shared" si="142"/>
        <v>0</v>
      </c>
      <c r="N521" s="39">
        <f t="shared" si="146"/>
        <v>0</v>
      </c>
      <c r="O521" s="560">
        <f t="shared" si="147"/>
        <v>18.3469387755102</v>
      </c>
      <c r="P521">
        <f t="shared" si="148"/>
        <v>49</v>
      </c>
      <c r="Q521" s="667">
        <f t="shared" si="149"/>
        <v>0.020536462699078</v>
      </c>
    </row>
    <row r="522" spans="1:17">
      <c r="A522" s="653">
        <v>45681</v>
      </c>
      <c r="B522" s="557">
        <v>896</v>
      </c>
      <c r="C522" s="37">
        <v>519192</v>
      </c>
      <c r="D522" s="37">
        <v>2485</v>
      </c>
      <c r="E522" s="37">
        <v>0</v>
      </c>
      <c r="F522" s="37">
        <v>0</v>
      </c>
      <c r="G522" s="37">
        <v>15</v>
      </c>
      <c r="H522" s="37">
        <v>12</v>
      </c>
      <c r="I522" s="558">
        <v>4</v>
      </c>
      <c r="J522" s="39">
        <f t="shared" si="152"/>
        <v>0.00478628330174579</v>
      </c>
      <c r="K522" s="559">
        <f t="shared" si="145"/>
        <v>0.36056338028169</v>
      </c>
      <c r="L522" s="559">
        <f t="shared" si="151"/>
        <v>1.72575848626327</v>
      </c>
      <c r="M522" s="559">
        <f t="shared" si="142"/>
        <v>0</v>
      </c>
      <c r="N522" s="39">
        <f t="shared" si="146"/>
        <v>0</v>
      </c>
      <c r="O522" s="560">
        <f t="shared" si="147"/>
        <v>33.1851851851852</v>
      </c>
      <c r="P522">
        <f t="shared" si="148"/>
        <v>27</v>
      </c>
      <c r="Q522" s="667">
        <f t="shared" si="149"/>
        <v>0.0108651911468813</v>
      </c>
    </row>
    <row r="523" spans="1:17">
      <c r="A523" s="653">
        <v>45682</v>
      </c>
      <c r="B523" s="557">
        <v>900</v>
      </c>
      <c r="C523" s="37">
        <v>238392</v>
      </c>
      <c r="D523" s="37">
        <v>2661</v>
      </c>
      <c r="E523" s="37">
        <v>0</v>
      </c>
      <c r="F523" s="37">
        <v>0</v>
      </c>
      <c r="G523" s="37">
        <v>38</v>
      </c>
      <c r="H523" s="37">
        <v>20</v>
      </c>
      <c r="I523" s="558">
        <v>6</v>
      </c>
      <c r="J523" s="39">
        <f t="shared" si="152"/>
        <v>0.011162287325078</v>
      </c>
      <c r="K523" s="559">
        <f t="shared" si="145"/>
        <v>0.338218714768884</v>
      </c>
      <c r="L523" s="559">
        <f t="shared" si="151"/>
        <v>3.77529447296889</v>
      </c>
      <c r="M523" s="559">
        <f t="shared" si="142"/>
        <v>0</v>
      </c>
      <c r="N523" s="39">
        <f t="shared" si="146"/>
        <v>0</v>
      </c>
      <c r="O523" s="560">
        <f t="shared" si="147"/>
        <v>15.5172413793103</v>
      </c>
      <c r="P523">
        <f t="shared" si="148"/>
        <v>58</v>
      </c>
      <c r="Q523" s="667">
        <f t="shared" si="149"/>
        <v>0.0217963171739947</v>
      </c>
    </row>
    <row r="524" spans="1:17">
      <c r="A524" s="653">
        <v>45683</v>
      </c>
      <c r="B524" s="557">
        <v>900</v>
      </c>
      <c r="C524" s="37">
        <v>307255</v>
      </c>
      <c r="D524" s="37">
        <v>2785</v>
      </c>
      <c r="E524" s="37">
        <v>4</v>
      </c>
      <c r="F524" s="37">
        <v>26853</v>
      </c>
      <c r="G524" s="37">
        <v>35</v>
      </c>
      <c r="H524" s="37">
        <v>30</v>
      </c>
      <c r="I524" s="558">
        <v>5</v>
      </c>
      <c r="J524" s="39">
        <f t="shared" si="152"/>
        <v>0.0090641323981709</v>
      </c>
      <c r="K524" s="559">
        <f t="shared" si="145"/>
        <v>0.323159784560144</v>
      </c>
      <c r="L524" s="559">
        <f t="shared" si="151"/>
        <v>2.92916307301753</v>
      </c>
      <c r="M524" s="559">
        <f t="shared" si="142"/>
        <v>29.8366666666667</v>
      </c>
      <c r="N524" s="39">
        <f t="shared" si="146"/>
        <v>0.00143626570915619</v>
      </c>
      <c r="O524" s="560">
        <f t="shared" si="147"/>
        <v>13.8461538461538</v>
      </c>
      <c r="P524">
        <f t="shared" si="148"/>
        <v>65</v>
      </c>
      <c r="Q524" s="667">
        <f t="shared" si="149"/>
        <v>0.0233393177737881</v>
      </c>
    </row>
    <row r="525" spans="1:17">
      <c r="A525" s="653">
        <v>45684</v>
      </c>
      <c r="B525" s="557">
        <v>898</v>
      </c>
      <c r="C525" s="37">
        <v>321189</v>
      </c>
      <c r="D525" s="37">
        <v>2691</v>
      </c>
      <c r="E525" s="37">
        <v>2</v>
      </c>
      <c r="F525" s="37">
        <v>25254</v>
      </c>
      <c r="G525" s="37">
        <v>29</v>
      </c>
      <c r="H525" s="37">
        <v>22</v>
      </c>
      <c r="I525" s="558">
        <v>4</v>
      </c>
      <c r="J525" s="39">
        <f t="shared" si="152"/>
        <v>0.00837824458496399</v>
      </c>
      <c r="K525" s="559">
        <f t="shared" si="145"/>
        <v>0.333704942400595</v>
      </c>
      <c r="L525" s="559">
        <f t="shared" si="151"/>
        <v>2.7958616266435</v>
      </c>
      <c r="M525" s="559">
        <f t="shared" si="142"/>
        <v>28.1224944320713</v>
      </c>
      <c r="N525" s="39">
        <f t="shared" si="146"/>
        <v>0.000743218134522482</v>
      </c>
      <c r="O525" s="560">
        <f t="shared" si="147"/>
        <v>17.6078431372549</v>
      </c>
      <c r="P525">
        <f t="shared" si="148"/>
        <v>51</v>
      </c>
      <c r="Q525" s="667">
        <f t="shared" si="149"/>
        <v>0.0189520624303233</v>
      </c>
    </row>
    <row r="526" spans="1:17">
      <c r="A526" s="653">
        <v>45685</v>
      </c>
      <c r="B526" s="557">
        <v>899</v>
      </c>
      <c r="C526" s="37">
        <v>367005</v>
      </c>
      <c r="D526" s="37">
        <v>2844</v>
      </c>
      <c r="E526" s="37">
        <v>1</v>
      </c>
      <c r="F526" s="37">
        <v>7194</v>
      </c>
      <c r="G526" s="37">
        <v>14</v>
      </c>
      <c r="H526" s="37">
        <v>28</v>
      </c>
      <c r="I526" s="558">
        <v>4</v>
      </c>
      <c r="J526" s="39">
        <f t="shared" si="152"/>
        <v>0.00774921322597785</v>
      </c>
      <c r="K526" s="559">
        <f t="shared" si="145"/>
        <v>0.316104078762307</v>
      </c>
      <c r="L526" s="559">
        <f t="shared" si="151"/>
        <v>2.44955790793041</v>
      </c>
      <c r="M526" s="559">
        <f t="shared" si="142"/>
        <v>8.00222469410456</v>
      </c>
      <c r="N526" s="39">
        <f t="shared" si="146"/>
        <v>0.000351617440225035</v>
      </c>
      <c r="O526" s="560">
        <f t="shared" si="147"/>
        <v>21.4047619047619</v>
      </c>
      <c r="P526">
        <f t="shared" si="148"/>
        <v>42</v>
      </c>
      <c r="Q526" s="667">
        <f t="shared" si="149"/>
        <v>0.0147679324894515</v>
      </c>
    </row>
    <row r="527" spans="1:17">
      <c r="A527" s="653">
        <v>45686</v>
      </c>
      <c r="B527" s="557">
        <v>899</v>
      </c>
      <c r="C527" s="37">
        <v>552187</v>
      </c>
      <c r="D527" s="37">
        <v>4062</v>
      </c>
      <c r="E527" s="37">
        <v>0</v>
      </c>
      <c r="F527" s="37">
        <v>0</v>
      </c>
      <c r="G527" s="37">
        <v>35</v>
      </c>
      <c r="H527" s="37">
        <v>40</v>
      </c>
      <c r="I527" s="558">
        <v>6</v>
      </c>
      <c r="J527" s="39">
        <f t="shared" si="152"/>
        <v>0.00735620360493818</v>
      </c>
      <c r="K527" s="559">
        <f t="shared" si="145"/>
        <v>0.221319547021172</v>
      </c>
      <c r="L527" s="559">
        <f t="shared" si="151"/>
        <v>1.62807164964043</v>
      </c>
      <c r="M527" s="559">
        <f t="shared" si="142"/>
        <v>0</v>
      </c>
      <c r="N527" s="39">
        <f t="shared" si="146"/>
        <v>0</v>
      </c>
      <c r="O527" s="560">
        <f t="shared" si="147"/>
        <v>11.9866666666667</v>
      </c>
      <c r="P527">
        <f t="shared" si="148"/>
        <v>75</v>
      </c>
      <c r="Q527" s="667">
        <f t="shared" si="149"/>
        <v>0.0184638109305761</v>
      </c>
    </row>
    <row r="528" spans="1:17">
      <c r="A528" s="653">
        <v>45687</v>
      </c>
      <c r="B528" s="557">
        <v>898</v>
      </c>
      <c r="C528" s="37">
        <v>391105</v>
      </c>
      <c r="D528" s="37">
        <v>2821</v>
      </c>
      <c r="E528" s="37">
        <v>0</v>
      </c>
      <c r="F528" s="37">
        <v>0</v>
      </c>
      <c r="G528" s="37">
        <v>42</v>
      </c>
      <c r="H528" s="37">
        <v>24</v>
      </c>
      <c r="I528" s="558">
        <v>6</v>
      </c>
      <c r="J528" s="39">
        <f t="shared" si="152"/>
        <v>0.00721289679242147</v>
      </c>
      <c r="K528" s="559">
        <f t="shared" si="145"/>
        <v>0.318326834455867</v>
      </c>
      <c r="L528" s="559">
        <f t="shared" si="151"/>
        <v>2.2960586031884</v>
      </c>
      <c r="M528" s="559">
        <f t="shared" si="142"/>
        <v>0</v>
      </c>
      <c r="N528" s="39">
        <f t="shared" si="146"/>
        <v>0</v>
      </c>
      <c r="O528" s="560">
        <f t="shared" si="147"/>
        <v>13.6060606060606</v>
      </c>
      <c r="P528">
        <f t="shared" si="148"/>
        <v>66</v>
      </c>
      <c r="Q528" s="667">
        <f t="shared" si="149"/>
        <v>0.0233959588798298</v>
      </c>
    </row>
    <row r="529" spans="1:17">
      <c r="A529" s="653">
        <v>45688</v>
      </c>
      <c r="B529" s="557">
        <v>900</v>
      </c>
      <c r="C529" s="37">
        <v>369261</v>
      </c>
      <c r="D529" s="37">
        <v>2491</v>
      </c>
      <c r="E529" s="37">
        <v>0</v>
      </c>
      <c r="F529" s="37">
        <v>0</v>
      </c>
      <c r="G529" s="37">
        <v>45</v>
      </c>
      <c r="H529" s="37">
        <v>23</v>
      </c>
      <c r="I529" s="558">
        <v>5</v>
      </c>
      <c r="J529" s="39">
        <f t="shared" si="152"/>
        <v>0.00674590601227858</v>
      </c>
      <c r="K529" s="559">
        <f t="shared" si="145"/>
        <v>0.361300682456845</v>
      </c>
      <c r="L529" s="559">
        <f t="shared" si="151"/>
        <v>2.43730044602598</v>
      </c>
      <c r="M529" s="559">
        <f t="shared" si="142"/>
        <v>0</v>
      </c>
      <c r="N529" s="39">
        <f t="shared" si="146"/>
        <v>0</v>
      </c>
      <c r="O529" s="560">
        <f t="shared" si="147"/>
        <v>13.2352941176471</v>
      </c>
      <c r="P529">
        <f t="shared" si="148"/>
        <v>68</v>
      </c>
      <c r="Q529" s="667">
        <f t="shared" si="149"/>
        <v>0.0272982737856283</v>
      </c>
    </row>
    <row r="530" spans="1:17">
      <c r="A530" s="653">
        <v>45689</v>
      </c>
      <c r="B530" s="557">
        <v>898</v>
      </c>
      <c r="C530" s="37">
        <v>295854</v>
      </c>
      <c r="D530" s="37">
        <v>2262</v>
      </c>
      <c r="E530" s="37">
        <v>0</v>
      </c>
      <c r="F530" s="37">
        <v>0</v>
      </c>
      <c r="G530" s="37">
        <v>50</v>
      </c>
      <c r="H530" s="37">
        <v>41</v>
      </c>
      <c r="I530" s="558">
        <v>7</v>
      </c>
      <c r="J530" s="39">
        <f t="shared" si="152"/>
        <v>0.0076456630635381</v>
      </c>
      <c r="K530" s="559">
        <f t="shared" si="145"/>
        <v>0.396993810786914</v>
      </c>
      <c r="L530" s="559">
        <f t="shared" si="151"/>
        <v>3.03528091558674</v>
      </c>
      <c r="M530" s="559">
        <f t="shared" si="142"/>
        <v>0</v>
      </c>
      <c r="N530" s="39">
        <f t="shared" si="146"/>
        <v>0</v>
      </c>
      <c r="O530" s="560">
        <f t="shared" si="147"/>
        <v>9.86813186813187</v>
      </c>
      <c r="P530">
        <f t="shared" si="148"/>
        <v>91</v>
      </c>
      <c r="Q530" s="667">
        <f t="shared" si="149"/>
        <v>0.0402298850574713</v>
      </c>
    </row>
    <row r="531" spans="1:17">
      <c r="A531" s="653">
        <v>45690</v>
      </c>
      <c r="B531" s="557">
        <v>899</v>
      </c>
      <c r="C531" s="37">
        <v>469901</v>
      </c>
      <c r="D531" s="37">
        <v>2891</v>
      </c>
      <c r="E531" s="37">
        <v>0</v>
      </c>
      <c r="F531" s="37">
        <v>0</v>
      </c>
      <c r="G531" s="37">
        <v>53</v>
      </c>
      <c r="H531" s="37">
        <v>38</v>
      </c>
      <c r="I531" s="558">
        <v>3</v>
      </c>
      <c r="J531" s="39">
        <f t="shared" si="152"/>
        <v>0.00615235975237337</v>
      </c>
      <c r="K531" s="559">
        <f t="shared" si="145"/>
        <v>0.310965063991698</v>
      </c>
      <c r="L531" s="559">
        <f t="shared" si="151"/>
        <v>1.91316894409674</v>
      </c>
      <c r="M531" s="559">
        <f t="shared" si="142"/>
        <v>0</v>
      </c>
      <c r="N531" s="39">
        <f t="shared" si="146"/>
        <v>0</v>
      </c>
      <c r="O531" s="560">
        <f t="shared" si="147"/>
        <v>9.87912087912088</v>
      </c>
      <c r="P531">
        <f t="shared" si="148"/>
        <v>91</v>
      </c>
      <c r="Q531" s="667">
        <f t="shared" si="149"/>
        <v>0.0314769975786925</v>
      </c>
    </row>
    <row r="532" spans="1:17">
      <c r="A532" s="653">
        <v>45691</v>
      </c>
      <c r="B532" s="557">
        <v>898</v>
      </c>
      <c r="C532" s="37">
        <v>700659</v>
      </c>
      <c r="D532" s="37">
        <v>2767</v>
      </c>
      <c r="E532" s="37">
        <v>0</v>
      </c>
      <c r="F532" s="37">
        <v>0</v>
      </c>
      <c r="G532" s="37">
        <v>38</v>
      </c>
      <c r="H532" s="37">
        <v>34</v>
      </c>
      <c r="I532" s="558">
        <v>4</v>
      </c>
      <c r="J532" s="39">
        <f t="shared" si="152"/>
        <v>0.0039491393102779</v>
      </c>
      <c r="K532" s="559">
        <f t="shared" si="145"/>
        <v>0.324539212143115</v>
      </c>
      <c r="L532" s="559">
        <f t="shared" si="151"/>
        <v>1.28165056040099</v>
      </c>
      <c r="M532" s="559">
        <f t="shared" si="142"/>
        <v>0</v>
      </c>
      <c r="N532" s="39">
        <f t="shared" si="146"/>
        <v>0</v>
      </c>
      <c r="O532" s="560">
        <f t="shared" si="147"/>
        <v>12.4722222222222</v>
      </c>
      <c r="P532">
        <f t="shared" si="148"/>
        <v>72</v>
      </c>
      <c r="Q532" s="667">
        <f t="shared" si="149"/>
        <v>0.0260209613299602</v>
      </c>
    </row>
    <row r="533" spans="1:17">
      <c r="A533" s="653">
        <v>45692</v>
      </c>
      <c r="B533" s="557">
        <v>750</v>
      </c>
      <c r="C533" s="37">
        <v>1068618</v>
      </c>
      <c r="D533" s="37">
        <v>3000</v>
      </c>
      <c r="E533" s="37">
        <v>0</v>
      </c>
      <c r="F533" s="37">
        <v>0</v>
      </c>
      <c r="G533" s="37">
        <v>57</v>
      </c>
      <c r="H533" s="37">
        <v>29</v>
      </c>
      <c r="I533" s="558">
        <v>6</v>
      </c>
      <c r="J533" s="39">
        <f t="shared" si="152"/>
        <v>0.00280736427797398</v>
      </c>
      <c r="K533" s="559">
        <f t="shared" si="145"/>
        <v>0.25</v>
      </c>
      <c r="L533" s="559">
        <f t="shared" si="151"/>
        <v>0.701841069493495</v>
      </c>
      <c r="M533" s="559">
        <f t="shared" si="142"/>
        <v>0</v>
      </c>
      <c r="N533" s="39">
        <f t="shared" si="146"/>
        <v>0</v>
      </c>
      <c r="O533" s="560">
        <f t="shared" si="147"/>
        <v>8.72093023255814</v>
      </c>
      <c r="P533">
        <f t="shared" si="148"/>
        <v>86</v>
      </c>
      <c r="Q533" s="667">
        <f t="shared" si="149"/>
        <v>0.0286666666666667</v>
      </c>
    </row>
    <row r="534" spans="1:17">
      <c r="A534" s="653">
        <v>45693</v>
      </c>
      <c r="B534" s="557">
        <v>599</v>
      </c>
      <c r="C534" s="37">
        <v>432067</v>
      </c>
      <c r="D534" s="37">
        <v>1533</v>
      </c>
      <c r="E534" s="37">
        <v>0</v>
      </c>
      <c r="F534" s="37">
        <v>0</v>
      </c>
      <c r="G534" s="37">
        <v>32</v>
      </c>
      <c r="H534" s="37">
        <v>14</v>
      </c>
      <c r="I534" s="558">
        <v>3</v>
      </c>
      <c r="J534" s="39">
        <f t="shared" si="152"/>
        <v>0.00354806083315782</v>
      </c>
      <c r="K534" s="559">
        <f t="shared" si="145"/>
        <v>0.390737116764514</v>
      </c>
      <c r="L534" s="559">
        <f t="shared" si="151"/>
        <v>1.38635906005319</v>
      </c>
      <c r="M534" s="559">
        <f t="shared" si="142"/>
        <v>0</v>
      </c>
      <c r="N534" s="39">
        <f t="shared" si="146"/>
        <v>0</v>
      </c>
      <c r="O534" s="560">
        <f t="shared" si="147"/>
        <v>13.0217391304348</v>
      </c>
      <c r="P534">
        <f t="shared" si="148"/>
        <v>46</v>
      </c>
      <c r="Q534" s="667">
        <f t="shared" si="149"/>
        <v>0.0300065231572081</v>
      </c>
    </row>
    <row r="535" spans="1:17">
      <c r="A535" s="653">
        <v>45694</v>
      </c>
      <c r="B535" s="557">
        <v>1197</v>
      </c>
      <c r="C535" s="37">
        <v>209730</v>
      </c>
      <c r="D535" s="37">
        <v>1488</v>
      </c>
      <c r="E535" s="37">
        <v>2</v>
      </c>
      <c r="F535" s="37">
        <v>11223</v>
      </c>
      <c r="G535" s="37">
        <v>49</v>
      </c>
      <c r="H535" s="37">
        <v>8</v>
      </c>
      <c r="I535" s="558">
        <v>6</v>
      </c>
      <c r="J535" s="39">
        <f t="shared" si="152"/>
        <v>0.00709483621799456</v>
      </c>
      <c r="K535" s="559">
        <f t="shared" si="145"/>
        <v>0.804435483870968</v>
      </c>
      <c r="L535" s="559">
        <f t="shared" si="151"/>
        <v>5.70733800600772</v>
      </c>
      <c r="M535" s="559">
        <f t="shared" si="142"/>
        <v>9.37593984962406</v>
      </c>
      <c r="N535" s="39">
        <f t="shared" si="146"/>
        <v>0.00134408602150538</v>
      </c>
      <c r="O535" s="560">
        <f t="shared" si="147"/>
        <v>21</v>
      </c>
      <c r="P535">
        <f t="shared" si="148"/>
        <v>57</v>
      </c>
      <c r="Q535" s="667">
        <f t="shared" si="149"/>
        <v>0.0383064516129032</v>
      </c>
    </row>
    <row r="536" spans="1:17">
      <c r="A536" s="653">
        <v>45695</v>
      </c>
      <c r="B536" s="557">
        <v>1196</v>
      </c>
      <c r="C536" s="37">
        <v>202301</v>
      </c>
      <c r="D536" s="37">
        <v>1414</v>
      </c>
      <c r="E536" s="37">
        <v>1</v>
      </c>
      <c r="F536" s="37">
        <v>10844</v>
      </c>
      <c r="G536" s="37">
        <v>49</v>
      </c>
      <c r="H536" s="37">
        <v>15</v>
      </c>
      <c r="I536" s="558">
        <v>7</v>
      </c>
      <c r="J536" s="39">
        <f t="shared" si="152"/>
        <v>0.00698958482657031</v>
      </c>
      <c r="K536" s="559">
        <f t="shared" si="145"/>
        <v>0.845827439886846</v>
      </c>
      <c r="L536" s="559">
        <f t="shared" si="151"/>
        <v>5.91198263972991</v>
      </c>
      <c r="M536" s="559">
        <f t="shared" si="142"/>
        <v>9.06688963210702</v>
      </c>
      <c r="N536" s="39">
        <f t="shared" si="146"/>
        <v>0.000707213578500707</v>
      </c>
      <c r="O536" s="560">
        <f t="shared" si="147"/>
        <v>18.6875</v>
      </c>
      <c r="P536">
        <f t="shared" si="148"/>
        <v>64</v>
      </c>
      <c r="Q536" s="667">
        <f t="shared" si="149"/>
        <v>0.0452616690240453</v>
      </c>
    </row>
    <row r="537" spans="1:17">
      <c r="A537" s="653">
        <v>45696</v>
      </c>
      <c r="B537" s="557">
        <v>596</v>
      </c>
      <c r="C537" s="37">
        <v>154966</v>
      </c>
      <c r="D537" s="37">
        <v>967</v>
      </c>
      <c r="E537" s="37">
        <v>0</v>
      </c>
      <c r="F537" s="37">
        <v>0</v>
      </c>
      <c r="G537" s="37">
        <v>30</v>
      </c>
      <c r="H537" s="37">
        <v>7</v>
      </c>
      <c r="I537" s="558">
        <v>3</v>
      </c>
      <c r="J537" s="39">
        <f t="shared" si="152"/>
        <v>0.00624007846882542</v>
      </c>
      <c r="K537" s="559">
        <f t="shared" si="145"/>
        <v>0.616339193381593</v>
      </c>
      <c r="L537" s="559">
        <f t="shared" si="151"/>
        <v>3.8460049301137</v>
      </c>
      <c r="M537" s="559">
        <f t="shared" si="142"/>
        <v>0</v>
      </c>
      <c r="N537" s="39">
        <f t="shared" si="146"/>
        <v>0</v>
      </c>
      <c r="O537" s="560">
        <f t="shared" si="147"/>
        <v>16.1081081081081</v>
      </c>
      <c r="P537">
        <f t="shared" si="148"/>
        <v>37</v>
      </c>
      <c r="Q537" s="667">
        <f t="shared" si="149"/>
        <v>0.0382626680455016</v>
      </c>
    </row>
    <row r="538" spans="1:17">
      <c r="A538" s="653">
        <v>45697</v>
      </c>
      <c r="B538" s="557">
        <v>600</v>
      </c>
      <c r="C538" s="37">
        <v>168285</v>
      </c>
      <c r="D538" s="37">
        <v>1018</v>
      </c>
      <c r="E538" s="37">
        <v>3</v>
      </c>
      <c r="F538" s="37">
        <v>44176</v>
      </c>
      <c r="G538" s="37">
        <v>37</v>
      </c>
      <c r="H538" s="37">
        <v>16</v>
      </c>
      <c r="I538" s="558">
        <v>6</v>
      </c>
      <c r="J538" s="39">
        <f t="shared" si="152"/>
        <v>0.00604926166919214</v>
      </c>
      <c r="K538" s="559">
        <f t="shared" si="145"/>
        <v>0.589390962671906</v>
      </c>
      <c r="L538" s="559">
        <f t="shared" si="151"/>
        <v>3.56538015865942</v>
      </c>
      <c r="M538" s="559">
        <f t="shared" si="142"/>
        <v>73.6266666666667</v>
      </c>
      <c r="N538" s="39">
        <f t="shared" si="146"/>
        <v>0.00294695481335953</v>
      </c>
      <c r="O538" s="560">
        <f t="shared" si="147"/>
        <v>11.3207547169811</v>
      </c>
      <c r="P538">
        <f t="shared" si="148"/>
        <v>53</v>
      </c>
      <c r="Q538" s="667">
        <f t="shared" si="149"/>
        <v>0.0520628683693517</v>
      </c>
    </row>
    <row r="539" spans="1:17">
      <c r="A539" s="653">
        <v>45698</v>
      </c>
      <c r="B539" s="557">
        <v>698</v>
      </c>
      <c r="C539" s="37">
        <v>209466</v>
      </c>
      <c r="D539" s="37">
        <v>1102</v>
      </c>
      <c r="E539" s="37">
        <v>0</v>
      </c>
      <c r="F539" s="37">
        <v>0</v>
      </c>
      <c r="G539" s="37">
        <v>48</v>
      </c>
      <c r="H539" s="37">
        <v>9</v>
      </c>
      <c r="I539" s="558">
        <v>5</v>
      </c>
      <c r="J539" s="39">
        <f t="shared" si="152"/>
        <v>0.00526099701144816</v>
      </c>
      <c r="K539" s="559">
        <f t="shared" si="145"/>
        <v>0.633393829401089</v>
      </c>
      <c r="L539" s="559">
        <f t="shared" si="151"/>
        <v>3.33228304354883</v>
      </c>
      <c r="M539" s="559">
        <f t="shared" si="142"/>
        <v>0</v>
      </c>
      <c r="N539" s="39">
        <f t="shared" si="146"/>
        <v>0</v>
      </c>
      <c r="O539" s="560">
        <f t="shared" si="147"/>
        <v>12.2456140350877</v>
      </c>
      <c r="P539">
        <f t="shared" si="148"/>
        <v>57</v>
      </c>
      <c r="Q539" s="667">
        <f t="shared" si="149"/>
        <v>0.0517241379310345</v>
      </c>
    </row>
    <row r="540" spans="1:17">
      <c r="A540" s="653">
        <v>45699</v>
      </c>
      <c r="B540" s="557">
        <v>699</v>
      </c>
      <c r="C540" s="37">
        <v>187794</v>
      </c>
      <c r="D540" s="37">
        <v>1133</v>
      </c>
      <c r="E540" s="37">
        <v>0</v>
      </c>
      <c r="F540" s="37">
        <v>0</v>
      </c>
      <c r="G540" s="37">
        <v>36</v>
      </c>
      <c r="H540" s="37">
        <v>15</v>
      </c>
      <c r="I540" s="558">
        <v>2</v>
      </c>
      <c r="J540" s="39">
        <f t="shared" si="152"/>
        <v>0.00603320659871987</v>
      </c>
      <c r="K540" s="559">
        <f t="shared" si="145"/>
        <v>0.616946160635481</v>
      </c>
      <c r="L540" s="559">
        <f t="shared" si="151"/>
        <v>3.72216364740088</v>
      </c>
      <c r="M540" s="559">
        <f t="shared" si="142"/>
        <v>0</v>
      </c>
      <c r="N540" s="39">
        <f t="shared" si="146"/>
        <v>0</v>
      </c>
      <c r="O540" s="560">
        <f t="shared" si="147"/>
        <v>13.7058823529412</v>
      </c>
      <c r="P540">
        <f t="shared" si="148"/>
        <v>51</v>
      </c>
      <c r="Q540" s="667">
        <f t="shared" si="149"/>
        <v>0.0450132391879965</v>
      </c>
    </row>
    <row r="541" spans="1:17">
      <c r="A541" s="653">
        <v>45700</v>
      </c>
      <c r="B541" s="557">
        <v>697</v>
      </c>
      <c r="C541" s="37">
        <v>113466</v>
      </c>
      <c r="D541" s="37">
        <v>899</v>
      </c>
      <c r="E541" s="37">
        <v>0</v>
      </c>
      <c r="F541" s="37">
        <v>0</v>
      </c>
      <c r="G541" s="37">
        <v>28</v>
      </c>
      <c r="H541" s="37">
        <v>8</v>
      </c>
      <c r="I541" s="558">
        <v>3</v>
      </c>
      <c r="J541" s="39">
        <f t="shared" si="152"/>
        <v>0.00792307827895581</v>
      </c>
      <c r="K541" s="559">
        <f t="shared" si="145"/>
        <v>0.775305895439377</v>
      </c>
      <c r="L541" s="559">
        <f t="shared" si="151"/>
        <v>6.14280929970211</v>
      </c>
      <c r="M541" s="559">
        <f t="shared" si="142"/>
        <v>0</v>
      </c>
      <c r="N541" s="39">
        <f t="shared" si="146"/>
        <v>0</v>
      </c>
      <c r="O541" s="560">
        <f t="shared" si="147"/>
        <v>19.3611111111111</v>
      </c>
      <c r="P541">
        <f t="shared" si="148"/>
        <v>36</v>
      </c>
      <c r="Q541" s="667">
        <f t="shared" si="149"/>
        <v>0.0400444938820912</v>
      </c>
    </row>
    <row r="542" spans="1:17">
      <c r="A542" s="653">
        <v>45701</v>
      </c>
      <c r="B542" s="557">
        <v>700</v>
      </c>
      <c r="C542" s="37">
        <v>255382</v>
      </c>
      <c r="D542" s="37">
        <v>1271</v>
      </c>
      <c r="E542" s="37">
        <v>0</v>
      </c>
      <c r="F542" s="37">
        <v>0</v>
      </c>
      <c r="G542" s="37">
        <v>21</v>
      </c>
      <c r="H542" s="37">
        <v>11</v>
      </c>
      <c r="I542" s="558">
        <v>2</v>
      </c>
      <c r="J542" s="39">
        <f t="shared" si="152"/>
        <v>0.00497685819674057</v>
      </c>
      <c r="K542" s="559">
        <f t="shared" si="145"/>
        <v>0.550747442958301</v>
      </c>
      <c r="L542" s="559">
        <f t="shared" si="151"/>
        <v>2.74099192582093</v>
      </c>
      <c r="M542" s="559">
        <f t="shared" si="142"/>
        <v>0</v>
      </c>
      <c r="N542" s="39">
        <f t="shared" si="146"/>
        <v>0</v>
      </c>
      <c r="O542" s="560">
        <f t="shared" si="147"/>
        <v>21.875</v>
      </c>
      <c r="P542">
        <f t="shared" si="148"/>
        <v>32</v>
      </c>
      <c r="Q542" s="667">
        <f t="shared" si="149"/>
        <v>0.025177025963808</v>
      </c>
    </row>
    <row r="543" spans="1:17">
      <c r="A543" s="653">
        <v>45702</v>
      </c>
      <c r="B543" s="557">
        <v>692</v>
      </c>
      <c r="C543" s="37">
        <v>229899</v>
      </c>
      <c r="D543" s="37">
        <v>1461</v>
      </c>
      <c r="E543" s="37">
        <v>0</v>
      </c>
      <c r="F543" s="37">
        <v>0</v>
      </c>
      <c r="G543" s="37">
        <v>21</v>
      </c>
      <c r="H543" s="37">
        <v>9</v>
      </c>
      <c r="I543" s="558">
        <v>4</v>
      </c>
      <c r="J543" s="39">
        <f t="shared" si="152"/>
        <v>0.00635496457139874</v>
      </c>
      <c r="K543" s="559">
        <f t="shared" si="145"/>
        <v>0.473648186173854</v>
      </c>
      <c r="L543" s="559">
        <f t="shared" si="151"/>
        <v>3.01001744244212</v>
      </c>
      <c r="M543" s="559">
        <f t="shared" si="142"/>
        <v>0</v>
      </c>
      <c r="N543" s="39">
        <f t="shared" si="146"/>
        <v>0</v>
      </c>
      <c r="O543" s="560">
        <f t="shared" si="147"/>
        <v>23.0666666666667</v>
      </c>
      <c r="P543">
        <f t="shared" si="148"/>
        <v>30</v>
      </c>
      <c r="Q543" s="667">
        <f t="shared" si="149"/>
        <v>0.0205338809034908</v>
      </c>
    </row>
    <row r="544" spans="1:17">
      <c r="A544" s="653">
        <v>45703</v>
      </c>
      <c r="B544" s="557">
        <v>696</v>
      </c>
      <c r="C544" s="37">
        <v>293375</v>
      </c>
      <c r="D544" s="37">
        <v>1715</v>
      </c>
      <c r="E544" s="37">
        <v>0</v>
      </c>
      <c r="F544" s="37">
        <v>0</v>
      </c>
      <c r="G544" s="37">
        <v>23</v>
      </c>
      <c r="H544" s="37">
        <v>9</v>
      </c>
      <c r="I544" s="558">
        <v>2</v>
      </c>
      <c r="J544" s="39">
        <f t="shared" si="152"/>
        <v>0.00584576054537708</v>
      </c>
      <c r="K544" s="559">
        <f t="shared" si="145"/>
        <v>0.405830903790087</v>
      </c>
      <c r="L544" s="559">
        <f t="shared" si="151"/>
        <v>2.37239028547081</v>
      </c>
      <c r="M544" s="559">
        <f t="shared" si="142"/>
        <v>0</v>
      </c>
      <c r="N544" s="39">
        <f t="shared" si="146"/>
        <v>0</v>
      </c>
      <c r="O544" s="560">
        <f t="shared" si="147"/>
        <v>21.75</v>
      </c>
      <c r="P544">
        <f t="shared" si="148"/>
        <v>32</v>
      </c>
      <c r="Q544" s="667">
        <f t="shared" si="149"/>
        <v>0.0186588921282799</v>
      </c>
    </row>
    <row r="545" spans="1:17">
      <c r="A545" s="653">
        <v>45704</v>
      </c>
      <c r="B545" s="557">
        <v>699</v>
      </c>
      <c r="C545" s="37">
        <v>533666</v>
      </c>
      <c r="D545" s="37">
        <v>2563</v>
      </c>
      <c r="E545" s="37">
        <v>0</v>
      </c>
      <c r="F545" s="37">
        <v>0</v>
      </c>
      <c r="G545" s="37">
        <v>32</v>
      </c>
      <c r="H545" s="37">
        <v>13</v>
      </c>
      <c r="I545" s="558">
        <v>2</v>
      </c>
      <c r="J545" s="39">
        <f t="shared" si="152"/>
        <v>0.00480262935993674</v>
      </c>
      <c r="K545" s="559">
        <f t="shared" si="145"/>
        <v>0.272727272727273</v>
      </c>
      <c r="L545" s="559">
        <f t="shared" si="151"/>
        <v>1.30980800725547</v>
      </c>
      <c r="M545" s="559">
        <f t="shared" si="142"/>
        <v>0</v>
      </c>
      <c r="N545" s="39">
        <f t="shared" si="146"/>
        <v>0</v>
      </c>
      <c r="O545" s="560">
        <f t="shared" si="147"/>
        <v>15.5333333333333</v>
      </c>
      <c r="P545">
        <f t="shared" si="148"/>
        <v>45</v>
      </c>
      <c r="Q545" s="667">
        <f t="shared" si="149"/>
        <v>0.0175575497463909</v>
      </c>
    </row>
    <row r="546" spans="1:17">
      <c r="A546" s="653">
        <v>45705</v>
      </c>
      <c r="B546" s="557">
        <v>1300</v>
      </c>
      <c r="C546" s="37">
        <v>475721</v>
      </c>
      <c r="D546" s="37">
        <v>2217</v>
      </c>
      <c r="E546" s="37">
        <v>1</v>
      </c>
      <c r="F546" s="37">
        <v>10203</v>
      </c>
      <c r="G546" s="37">
        <v>53</v>
      </c>
      <c r="H546" s="37">
        <v>18</v>
      </c>
      <c r="I546" s="558">
        <v>9</v>
      </c>
      <c r="J546" s="39">
        <f t="shared" si="152"/>
        <v>0.00466029458443079</v>
      </c>
      <c r="K546" s="559">
        <f t="shared" si="145"/>
        <v>0.58637798827244</v>
      </c>
      <c r="L546" s="559">
        <f t="shared" si="151"/>
        <v>2.73269416317547</v>
      </c>
      <c r="M546" s="559">
        <f t="shared" si="142"/>
        <v>7.84846153846154</v>
      </c>
      <c r="N546" s="39">
        <f t="shared" si="146"/>
        <v>0.0004510599909788</v>
      </c>
      <c r="O546" s="560">
        <f t="shared" si="147"/>
        <v>18.3098591549296</v>
      </c>
      <c r="P546">
        <f t="shared" si="148"/>
        <v>71</v>
      </c>
      <c r="Q546" s="667">
        <f t="shared" si="149"/>
        <v>0.0320252593594948</v>
      </c>
    </row>
    <row r="547" spans="1:17">
      <c r="A547" s="653">
        <v>45706</v>
      </c>
      <c r="B547" s="557">
        <v>547</v>
      </c>
      <c r="C547" s="37">
        <v>185294</v>
      </c>
      <c r="D547" s="37">
        <v>990</v>
      </c>
      <c r="E547" s="37">
        <v>2</v>
      </c>
      <c r="F547" s="37">
        <v>35408</v>
      </c>
      <c r="G547" s="37">
        <v>43</v>
      </c>
      <c r="H547" s="37">
        <v>8</v>
      </c>
      <c r="I547" s="558">
        <v>3</v>
      </c>
      <c r="J547" s="39">
        <f t="shared" si="152"/>
        <v>0.00534286053514955</v>
      </c>
      <c r="K547" s="559">
        <f t="shared" si="145"/>
        <v>0.552525252525253</v>
      </c>
      <c r="L547" s="559">
        <f t="shared" si="151"/>
        <v>2.95206536639071</v>
      </c>
      <c r="M547" s="559">
        <f t="shared" si="142"/>
        <v>64.7312614259598</v>
      </c>
      <c r="N547" s="39">
        <f t="shared" si="146"/>
        <v>0.00202020202020202</v>
      </c>
      <c r="O547" s="560">
        <f t="shared" si="147"/>
        <v>10.7254901960784</v>
      </c>
      <c r="P547">
        <f t="shared" si="148"/>
        <v>51</v>
      </c>
      <c r="Q547" s="667">
        <f t="shared" si="149"/>
        <v>0.0515151515151515</v>
      </c>
    </row>
    <row r="548" spans="1:17">
      <c r="A548" s="653">
        <v>45707</v>
      </c>
      <c r="B548" s="557">
        <v>547</v>
      </c>
      <c r="C548" s="37">
        <v>68963</v>
      </c>
      <c r="D548" s="37">
        <v>728</v>
      </c>
      <c r="E548" s="37">
        <v>2</v>
      </c>
      <c r="F548" s="37">
        <v>17108</v>
      </c>
      <c r="G548" s="37">
        <v>41</v>
      </c>
      <c r="H548" s="37">
        <v>7</v>
      </c>
      <c r="I548" s="558">
        <v>2</v>
      </c>
      <c r="J548" s="39">
        <f t="shared" si="152"/>
        <v>0.0105563853080637</v>
      </c>
      <c r="K548" s="559">
        <f t="shared" si="145"/>
        <v>0.751373626373626</v>
      </c>
      <c r="L548" s="559">
        <f t="shared" si="151"/>
        <v>7.93178951031713</v>
      </c>
      <c r="M548" s="559">
        <f t="shared" si="142"/>
        <v>31.2760511882998</v>
      </c>
      <c r="N548" s="39">
        <f t="shared" si="146"/>
        <v>0.00274725274725275</v>
      </c>
      <c r="O548" s="560">
        <f t="shared" si="147"/>
        <v>11.3958333333333</v>
      </c>
      <c r="P548">
        <f t="shared" si="148"/>
        <v>48</v>
      </c>
      <c r="Q548" s="667">
        <f t="shared" si="149"/>
        <v>0.0659340659340659</v>
      </c>
    </row>
    <row r="549" spans="1:17">
      <c r="A549" s="653">
        <v>45708</v>
      </c>
      <c r="B549" s="557">
        <v>548</v>
      </c>
      <c r="C549" s="37">
        <v>34821</v>
      </c>
      <c r="D549" s="37">
        <v>716</v>
      </c>
      <c r="E549" s="37">
        <v>0</v>
      </c>
      <c r="F549" s="37">
        <v>0</v>
      </c>
      <c r="G549" s="37">
        <v>26</v>
      </c>
      <c r="H549" s="37">
        <v>5</v>
      </c>
      <c r="I549" s="558">
        <v>8</v>
      </c>
      <c r="J549" s="39">
        <f t="shared" si="152"/>
        <v>0.0205623043565664</v>
      </c>
      <c r="K549" s="559">
        <f t="shared" si="145"/>
        <v>0.76536312849162</v>
      </c>
      <c r="L549" s="559">
        <f t="shared" si="151"/>
        <v>15.7376295913386</v>
      </c>
      <c r="M549" s="559">
        <f t="shared" si="142"/>
        <v>0</v>
      </c>
      <c r="N549" s="39">
        <f t="shared" si="146"/>
        <v>0</v>
      </c>
      <c r="O549" s="560">
        <f t="shared" si="147"/>
        <v>17.6774193548387</v>
      </c>
      <c r="P549">
        <f t="shared" si="148"/>
        <v>31</v>
      </c>
      <c r="Q549" s="667">
        <f t="shared" si="149"/>
        <v>0.0432960893854749</v>
      </c>
    </row>
    <row r="550" spans="1:17">
      <c r="A550" s="653">
        <v>45709</v>
      </c>
      <c r="B550" s="557">
        <v>1648</v>
      </c>
      <c r="C550" s="37">
        <v>110560</v>
      </c>
      <c r="D550" s="37">
        <v>1587</v>
      </c>
      <c r="E550" s="37">
        <v>8</v>
      </c>
      <c r="F550" s="37">
        <v>128628</v>
      </c>
      <c r="G550" s="37">
        <v>75</v>
      </c>
      <c r="H550" s="37">
        <v>15</v>
      </c>
      <c r="I550" s="558">
        <v>9</v>
      </c>
      <c r="J550" s="39">
        <f t="shared" si="152"/>
        <v>0.0143541968162084</v>
      </c>
      <c r="K550" s="559">
        <f t="shared" si="145"/>
        <v>1.03843730308759</v>
      </c>
      <c r="L550" s="559">
        <f t="shared" si="151"/>
        <v>14.9059334298119</v>
      </c>
      <c r="M550" s="559">
        <f t="shared" si="142"/>
        <v>78.0509708737864</v>
      </c>
      <c r="N550" s="39">
        <f t="shared" si="146"/>
        <v>0.00504095778197858</v>
      </c>
      <c r="O550" s="560">
        <f t="shared" si="147"/>
        <v>18.3111111111111</v>
      </c>
      <c r="P550">
        <f t="shared" si="148"/>
        <v>90</v>
      </c>
      <c r="Q550" s="667">
        <f t="shared" si="149"/>
        <v>0.056710775047259</v>
      </c>
    </row>
    <row r="551" spans="1:17">
      <c r="A551" s="653">
        <v>45710</v>
      </c>
      <c r="B551" s="557">
        <v>648</v>
      </c>
      <c r="C551" s="37">
        <v>41958</v>
      </c>
      <c r="D551" s="37">
        <v>653</v>
      </c>
      <c r="E551" s="37">
        <v>0</v>
      </c>
      <c r="F551" s="37">
        <v>0</v>
      </c>
      <c r="G551" s="37">
        <v>50</v>
      </c>
      <c r="H551" s="37">
        <v>16</v>
      </c>
      <c r="I551" s="558">
        <v>3</v>
      </c>
      <c r="J551" s="39">
        <f t="shared" si="152"/>
        <v>0.0155631822298489</v>
      </c>
      <c r="K551" s="559">
        <f t="shared" si="145"/>
        <v>0.992343032159265</v>
      </c>
      <c r="L551" s="559">
        <f t="shared" si="151"/>
        <v>15.4440154440154</v>
      </c>
      <c r="M551" s="559">
        <f t="shared" si="142"/>
        <v>0</v>
      </c>
      <c r="N551" s="39">
        <f t="shared" si="146"/>
        <v>0</v>
      </c>
      <c r="O551" s="560">
        <f t="shared" si="147"/>
        <v>9.81818181818182</v>
      </c>
      <c r="P551">
        <f t="shared" si="148"/>
        <v>66</v>
      </c>
      <c r="Q551" s="667">
        <f t="shared" si="149"/>
        <v>0.101071975497703</v>
      </c>
    </row>
    <row r="552" spans="1:17">
      <c r="A552" s="653">
        <v>45711</v>
      </c>
      <c r="B552" s="557">
        <v>650</v>
      </c>
      <c r="C552" s="37">
        <v>47199</v>
      </c>
      <c r="D552" s="37">
        <v>790</v>
      </c>
      <c r="E552" s="37">
        <v>0</v>
      </c>
      <c r="F552" s="37">
        <v>0</v>
      </c>
      <c r="G552" s="37">
        <v>56</v>
      </c>
      <c r="H552" s="37">
        <v>15</v>
      </c>
      <c r="I552" s="558">
        <v>5</v>
      </c>
      <c r="J552" s="39">
        <f t="shared" si="152"/>
        <v>0.0167376427466684</v>
      </c>
      <c r="K552" s="559">
        <f t="shared" si="145"/>
        <v>0.822784810126582</v>
      </c>
      <c r="L552" s="559">
        <f t="shared" si="151"/>
        <v>13.7714782092841</v>
      </c>
      <c r="M552" s="559">
        <f t="shared" si="142"/>
        <v>0</v>
      </c>
      <c r="N552" s="39">
        <f t="shared" si="146"/>
        <v>0</v>
      </c>
      <c r="O552" s="560">
        <f t="shared" si="147"/>
        <v>9.15492957746479</v>
      </c>
      <c r="P552">
        <f t="shared" si="148"/>
        <v>71</v>
      </c>
      <c r="Q552" s="667">
        <f t="shared" si="149"/>
        <v>0.089873417721519</v>
      </c>
    </row>
    <row r="553" spans="1:17">
      <c r="A553" s="653">
        <v>45712</v>
      </c>
      <c r="B553" s="557">
        <v>1248</v>
      </c>
      <c r="C553" s="37">
        <v>69018</v>
      </c>
      <c r="D553" s="37">
        <v>1047</v>
      </c>
      <c r="E553" s="37">
        <v>0</v>
      </c>
      <c r="F553" s="37">
        <v>0</v>
      </c>
      <c r="G553" s="37">
        <v>53</v>
      </c>
      <c r="H553" s="37">
        <v>16</v>
      </c>
      <c r="I553" s="558">
        <v>6</v>
      </c>
      <c r="J553" s="39">
        <f t="shared" si="152"/>
        <v>0.0151699556637399</v>
      </c>
      <c r="K553" s="559">
        <f t="shared" si="145"/>
        <v>1.1919770773639</v>
      </c>
      <c r="L553" s="559">
        <f t="shared" si="151"/>
        <v>18.0822394158046</v>
      </c>
      <c r="M553" s="559">
        <f t="shared" si="142"/>
        <v>0</v>
      </c>
      <c r="N553" s="39">
        <f t="shared" si="146"/>
        <v>0</v>
      </c>
      <c r="O553" s="560">
        <f t="shared" si="147"/>
        <v>18.0869565217391</v>
      </c>
      <c r="P553">
        <f t="shared" si="148"/>
        <v>69</v>
      </c>
      <c r="Q553" s="667">
        <f t="shared" si="149"/>
        <v>0.0659025787965616</v>
      </c>
    </row>
    <row r="554" spans="1:17">
      <c r="A554" s="653">
        <v>45713</v>
      </c>
      <c r="B554" s="557">
        <v>645</v>
      </c>
      <c r="C554" s="37">
        <v>91500</v>
      </c>
      <c r="D554" s="37">
        <v>772</v>
      </c>
      <c r="E554" s="37">
        <v>0</v>
      </c>
      <c r="F554" s="37">
        <v>0</v>
      </c>
      <c r="G554" s="37">
        <v>31</v>
      </c>
      <c r="H554" s="37">
        <v>5</v>
      </c>
      <c r="I554" s="558">
        <v>2</v>
      </c>
      <c r="J554" s="39">
        <f t="shared" si="152"/>
        <v>0.00843715846994536</v>
      </c>
      <c r="K554" s="559">
        <f t="shared" si="145"/>
        <v>0.835492227979275</v>
      </c>
      <c r="L554" s="559">
        <f t="shared" si="151"/>
        <v>7.04918032786885</v>
      </c>
      <c r="M554" s="559">
        <f t="shared" si="142"/>
        <v>0</v>
      </c>
      <c r="N554" s="39">
        <f t="shared" si="146"/>
        <v>0</v>
      </c>
      <c r="O554" s="560">
        <f t="shared" si="147"/>
        <v>17.9166666666667</v>
      </c>
      <c r="P554">
        <f t="shared" si="148"/>
        <v>36</v>
      </c>
      <c r="Q554" s="667">
        <f t="shared" si="149"/>
        <v>0.0466321243523316</v>
      </c>
    </row>
    <row r="555" spans="1:17">
      <c r="A555" s="653">
        <v>45714</v>
      </c>
      <c r="B555" s="557">
        <v>1190</v>
      </c>
      <c r="C555" s="37">
        <v>69803</v>
      </c>
      <c r="D555" s="37">
        <v>958</v>
      </c>
      <c r="E555" s="37">
        <v>0</v>
      </c>
      <c r="F555" s="37">
        <v>0</v>
      </c>
      <c r="G555" s="37">
        <v>29</v>
      </c>
      <c r="H555" s="37">
        <v>10</v>
      </c>
      <c r="I555" s="558">
        <v>4</v>
      </c>
      <c r="J555" s="39">
        <f t="shared" si="152"/>
        <v>0.0137243384954801</v>
      </c>
      <c r="K555" s="559">
        <f t="shared" si="145"/>
        <v>1.24217118997912</v>
      </c>
      <c r="L555" s="559">
        <f t="shared" si="151"/>
        <v>17.0479778806069</v>
      </c>
      <c r="M555" s="559">
        <f t="shared" si="142"/>
        <v>0</v>
      </c>
      <c r="N555" s="39">
        <f t="shared" si="146"/>
        <v>0</v>
      </c>
      <c r="O555" s="560">
        <f t="shared" si="147"/>
        <v>30.5128205128205</v>
      </c>
      <c r="P555">
        <f t="shared" si="148"/>
        <v>39</v>
      </c>
      <c r="Q555" s="667">
        <f t="shared" si="149"/>
        <v>0.0407098121085595</v>
      </c>
    </row>
    <row r="556" spans="1:17">
      <c r="A556" s="653">
        <v>45715</v>
      </c>
      <c r="B556" s="557">
        <v>1185</v>
      </c>
      <c r="C556" s="37">
        <v>135255</v>
      </c>
      <c r="D556" s="37">
        <v>979</v>
      </c>
      <c r="E556" s="37">
        <v>5</v>
      </c>
      <c r="F556" s="37">
        <v>39808</v>
      </c>
      <c r="G556" s="37">
        <v>30</v>
      </c>
      <c r="H556" s="37">
        <v>15</v>
      </c>
      <c r="I556" s="558">
        <v>5</v>
      </c>
      <c r="J556" s="39">
        <f t="shared" si="152"/>
        <v>0.00723817973457543</v>
      </c>
      <c r="K556" s="559">
        <f t="shared" si="145"/>
        <v>1.21041879468846</v>
      </c>
      <c r="L556" s="559">
        <f t="shared" si="151"/>
        <v>8.76122879006321</v>
      </c>
      <c r="M556" s="559">
        <f>F556/B556</f>
        <v>33.5932489451477</v>
      </c>
      <c r="N556" s="39">
        <f t="shared" si="146"/>
        <v>0.00510725229826353</v>
      </c>
      <c r="O556" s="560">
        <f t="shared" si="147"/>
        <v>26.3333333333333</v>
      </c>
      <c r="P556">
        <f t="shared" si="148"/>
        <v>45</v>
      </c>
      <c r="Q556" s="667">
        <f t="shared" si="149"/>
        <v>0.0459652706843718</v>
      </c>
    </row>
    <row r="557" spans="1:17">
      <c r="A557" s="653">
        <v>45716</v>
      </c>
      <c r="B557" s="557">
        <v>2342</v>
      </c>
      <c r="C557" s="37">
        <v>96412</v>
      </c>
      <c r="D557" s="37">
        <v>1073</v>
      </c>
      <c r="E557" s="37">
        <v>4</v>
      </c>
      <c r="F557" s="37">
        <v>32689</v>
      </c>
      <c r="G557" s="37">
        <v>43</v>
      </c>
      <c r="H557" s="37">
        <v>8</v>
      </c>
      <c r="I557" s="558">
        <v>5</v>
      </c>
      <c r="J557" s="39">
        <f t="shared" si="152"/>
        <v>0.0111293200016595</v>
      </c>
      <c r="K557" s="559">
        <f t="shared" si="145"/>
        <v>2.18266542404473</v>
      </c>
      <c r="L557" s="559">
        <f t="shared" si="151"/>
        <v>24.2915819607518</v>
      </c>
      <c r="M557" s="559">
        <f>F557/B557</f>
        <v>13.9577284372331</v>
      </c>
      <c r="N557" s="39">
        <f t="shared" si="146"/>
        <v>0.00372786579683131</v>
      </c>
      <c r="O557" s="560">
        <f t="shared" si="147"/>
        <v>45.921568627451</v>
      </c>
      <c r="P557">
        <f t="shared" si="148"/>
        <v>51</v>
      </c>
      <c r="Q557" s="667">
        <f t="shared" si="149"/>
        <v>0.0475302889095993</v>
      </c>
    </row>
    <row r="558" spans="1:17">
      <c r="A558" s="653">
        <v>45717</v>
      </c>
      <c r="B558" s="557">
        <v>1599</v>
      </c>
      <c r="C558" s="37">
        <v>73598</v>
      </c>
      <c r="D558" s="37">
        <v>914</v>
      </c>
      <c r="E558" s="37">
        <v>0</v>
      </c>
      <c r="F558" s="37">
        <v>0</v>
      </c>
      <c r="G558" s="37">
        <v>38</v>
      </c>
      <c r="H558" s="37">
        <v>8</v>
      </c>
      <c r="I558" s="558">
        <v>1</v>
      </c>
      <c r="J558" s="39">
        <f t="shared" si="152"/>
        <v>0.0124188157286883</v>
      </c>
      <c r="K558" s="559">
        <f t="shared" si="145"/>
        <v>1.74945295404814</v>
      </c>
      <c r="L558" s="559">
        <f t="shared" si="151"/>
        <v>21.7261338623332</v>
      </c>
      <c r="M558" s="559">
        <f t="shared" ref="M558:M621" si="153">F558/B558</f>
        <v>0</v>
      </c>
      <c r="N558" s="39">
        <f t="shared" si="146"/>
        <v>0</v>
      </c>
      <c r="O558" s="560">
        <f t="shared" si="147"/>
        <v>34.7608695652174</v>
      </c>
      <c r="P558">
        <f t="shared" si="148"/>
        <v>46</v>
      </c>
      <c r="Q558" s="667">
        <f t="shared" si="149"/>
        <v>0.050328227571116</v>
      </c>
    </row>
    <row r="559" spans="1:17">
      <c r="A559" s="653">
        <v>45718</v>
      </c>
      <c r="B559" s="557">
        <v>1754</v>
      </c>
      <c r="C559" s="37">
        <v>77567</v>
      </c>
      <c r="D559" s="37">
        <v>1267</v>
      </c>
      <c r="E559" s="37">
        <v>5</v>
      </c>
      <c r="F559" s="37">
        <v>32257</v>
      </c>
      <c r="G559" s="37">
        <v>70</v>
      </c>
      <c r="H559" s="37">
        <v>11</v>
      </c>
      <c r="I559" s="558">
        <v>7</v>
      </c>
      <c r="J559" s="39">
        <f t="shared" si="152"/>
        <v>0.0163342658604819</v>
      </c>
      <c r="K559" s="559">
        <f t="shared" si="145"/>
        <v>1.3843725335438</v>
      </c>
      <c r="L559" s="559">
        <f t="shared" si="151"/>
        <v>22.6127090128534</v>
      </c>
      <c r="M559" s="559">
        <f t="shared" si="153"/>
        <v>18.3905359179019</v>
      </c>
      <c r="N559" s="39">
        <f t="shared" si="146"/>
        <v>0.00394632991318074</v>
      </c>
      <c r="O559" s="560">
        <f t="shared" si="147"/>
        <v>21.6543209876543</v>
      </c>
      <c r="P559">
        <f t="shared" si="148"/>
        <v>81</v>
      </c>
      <c r="Q559" s="667">
        <f t="shared" si="149"/>
        <v>0.063930544593528</v>
      </c>
    </row>
    <row r="560" spans="1:17">
      <c r="A560" s="653">
        <v>45719</v>
      </c>
      <c r="B560" s="557">
        <v>1894</v>
      </c>
      <c r="C560" s="37">
        <v>110675</v>
      </c>
      <c r="D560" s="37">
        <v>1234</v>
      </c>
      <c r="E560" s="37">
        <v>1</v>
      </c>
      <c r="F560" s="37">
        <v>9297</v>
      </c>
      <c r="G560" s="37">
        <v>70</v>
      </c>
      <c r="H560" s="37">
        <v>12</v>
      </c>
      <c r="I560" s="558">
        <v>6</v>
      </c>
      <c r="J560" s="39">
        <f t="shared" si="152"/>
        <v>0.0111497628190648</v>
      </c>
      <c r="K560" s="559">
        <f t="shared" si="145"/>
        <v>1.53484602917342</v>
      </c>
      <c r="L560" s="559">
        <f t="shared" si="151"/>
        <v>17.1131691890671</v>
      </c>
      <c r="M560" s="559">
        <f t="shared" si="153"/>
        <v>4.90865892291447</v>
      </c>
      <c r="N560" s="39">
        <f t="shared" si="146"/>
        <v>0.000810372771474878</v>
      </c>
      <c r="O560" s="560">
        <f t="shared" si="147"/>
        <v>23.0975609756098</v>
      </c>
      <c r="P560">
        <f t="shared" si="148"/>
        <v>82</v>
      </c>
      <c r="Q560" s="667">
        <f t="shared" si="149"/>
        <v>0.06645056726094</v>
      </c>
    </row>
    <row r="561" spans="1:17">
      <c r="A561" s="653">
        <v>45720</v>
      </c>
      <c r="B561" s="557">
        <v>2478</v>
      </c>
      <c r="C561" s="37">
        <v>127858</v>
      </c>
      <c r="D561" s="37">
        <v>1809</v>
      </c>
      <c r="E561" s="37">
        <v>10</v>
      </c>
      <c r="F561" s="37">
        <v>100149</v>
      </c>
      <c r="G561" s="37">
        <v>74</v>
      </c>
      <c r="H561" s="37">
        <v>13</v>
      </c>
      <c r="I561" s="558">
        <v>7</v>
      </c>
      <c r="J561" s="39">
        <f t="shared" si="152"/>
        <v>0.014148508501619</v>
      </c>
      <c r="K561" s="559">
        <f t="shared" ref="K561:K624" si="154">B561/D561</f>
        <v>1.3698175787728</v>
      </c>
      <c r="L561" s="559">
        <f t="shared" si="151"/>
        <v>19.3808756589341</v>
      </c>
      <c r="M561" s="559">
        <f t="shared" si="153"/>
        <v>40.4152542372881</v>
      </c>
      <c r="N561" s="39">
        <f t="shared" ref="N561:N624" si="155">E561/D561</f>
        <v>0.00552791597567717</v>
      </c>
      <c r="O561" s="560">
        <f t="shared" ref="O561:O624" si="156">B561/(G561+H561)</f>
        <v>28.4827586206897</v>
      </c>
      <c r="P561">
        <f t="shared" ref="P561:P624" si="157">G561+H561</f>
        <v>87</v>
      </c>
      <c r="Q561" s="667">
        <f t="shared" ref="Q561:Q624" si="158">P561/D561</f>
        <v>0.0480928689883914</v>
      </c>
    </row>
    <row r="562" spans="1:17">
      <c r="A562" s="653">
        <v>45721</v>
      </c>
      <c r="B562" s="557">
        <v>2204</v>
      </c>
      <c r="C562" s="37">
        <v>84901</v>
      </c>
      <c r="D562" s="37">
        <v>1508</v>
      </c>
      <c r="E562" s="37">
        <v>3</v>
      </c>
      <c r="F562" s="37">
        <v>32156</v>
      </c>
      <c r="G562" s="37">
        <v>71</v>
      </c>
      <c r="H562" s="37">
        <v>10</v>
      </c>
      <c r="I562" s="558">
        <v>9</v>
      </c>
      <c r="J562" s="39">
        <f t="shared" si="152"/>
        <v>0.0177618638178584</v>
      </c>
      <c r="K562" s="559">
        <f t="shared" si="154"/>
        <v>1.46153846153846</v>
      </c>
      <c r="L562" s="559">
        <f t="shared" ref="L562:L625" si="159">B562/C562*1000</f>
        <v>25.9596471184085</v>
      </c>
      <c r="M562" s="559">
        <f t="shared" si="153"/>
        <v>14.5898366606171</v>
      </c>
      <c r="N562" s="39">
        <f t="shared" si="155"/>
        <v>0.0019893899204244</v>
      </c>
      <c r="O562" s="560">
        <f t="shared" si="156"/>
        <v>27.2098765432099</v>
      </c>
      <c r="P562">
        <f t="shared" si="157"/>
        <v>81</v>
      </c>
      <c r="Q562" s="667">
        <f t="shared" si="158"/>
        <v>0.0537135278514589</v>
      </c>
    </row>
    <row r="563" spans="1:17">
      <c r="A563" s="653">
        <v>45722</v>
      </c>
      <c r="B563" s="557">
        <v>1911</v>
      </c>
      <c r="C563" s="37">
        <v>113252</v>
      </c>
      <c r="D563" s="37">
        <v>1426</v>
      </c>
      <c r="E563" s="37">
        <v>8</v>
      </c>
      <c r="F563" s="37">
        <v>71078</v>
      </c>
      <c r="G563" s="37">
        <v>52</v>
      </c>
      <c r="H563" s="37">
        <v>17</v>
      </c>
      <c r="I563" s="558">
        <v>5</v>
      </c>
      <c r="J563" s="39">
        <f t="shared" si="152"/>
        <v>0.012591389114541</v>
      </c>
      <c r="K563" s="559">
        <f t="shared" si="154"/>
        <v>1.34011220196353</v>
      </c>
      <c r="L563" s="559">
        <f t="shared" si="159"/>
        <v>16.8738741920672</v>
      </c>
      <c r="M563" s="559">
        <f t="shared" si="153"/>
        <v>37.1941391941392</v>
      </c>
      <c r="N563" s="39">
        <f t="shared" si="155"/>
        <v>0.00561009817671809</v>
      </c>
      <c r="O563" s="560">
        <f t="shared" si="156"/>
        <v>27.695652173913</v>
      </c>
      <c r="P563">
        <f t="shared" si="157"/>
        <v>69</v>
      </c>
      <c r="Q563" s="667">
        <f t="shared" si="158"/>
        <v>0.0483870967741935</v>
      </c>
    </row>
    <row r="564" spans="1:17">
      <c r="A564" s="653">
        <v>45723</v>
      </c>
      <c r="B564" s="557">
        <v>2774</v>
      </c>
      <c r="C564" s="37">
        <v>128711</v>
      </c>
      <c r="D564" s="37">
        <v>1936</v>
      </c>
      <c r="E564" s="37">
        <v>5</v>
      </c>
      <c r="F564" s="37">
        <v>52397</v>
      </c>
      <c r="G564" s="37">
        <v>51</v>
      </c>
      <c r="H564" s="37">
        <v>22</v>
      </c>
      <c r="I564" s="558">
        <v>6</v>
      </c>
      <c r="J564" s="39">
        <f t="shared" si="152"/>
        <v>0.0150414494487651</v>
      </c>
      <c r="K564" s="559">
        <f t="shared" si="154"/>
        <v>1.43285123966942</v>
      </c>
      <c r="L564" s="559">
        <f t="shared" si="159"/>
        <v>21.552159489088</v>
      </c>
      <c r="M564" s="559">
        <f t="shared" si="153"/>
        <v>18.8886085075703</v>
      </c>
      <c r="N564" s="39">
        <f t="shared" si="155"/>
        <v>0.00258264462809917</v>
      </c>
      <c r="O564" s="560">
        <f t="shared" si="156"/>
        <v>38</v>
      </c>
      <c r="P564">
        <f t="shared" si="157"/>
        <v>73</v>
      </c>
      <c r="Q564" s="667">
        <f t="shared" si="158"/>
        <v>0.0377066115702479</v>
      </c>
    </row>
    <row r="565" spans="1:17">
      <c r="A565" s="653">
        <v>45724</v>
      </c>
      <c r="B565" s="557">
        <v>2290</v>
      </c>
      <c r="C565" s="37">
        <v>72867</v>
      </c>
      <c r="D565" s="37">
        <v>1466</v>
      </c>
      <c r="E565" s="37">
        <v>4</v>
      </c>
      <c r="F565" s="37">
        <v>41221</v>
      </c>
      <c r="G565" s="37">
        <v>52</v>
      </c>
      <c r="H565" s="37">
        <v>19</v>
      </c>
      <c r="I565" s="558">
        <v>5</v>
      </c>
      <c r="J565" s="39">
        <f t="shared" si="152"/>
        <v>0.0201188466658432</v>
      </c>
      <c r="K565" s="559">
        <f t="shared" si="154"/>
        <v>1.56207366984993</v>
      </c>
      <c r="L565" s="559">
        <f t="shared" si="159"/>
        <v>31.4271206444618</v>
      </c>
      <c r="M565" s="559">
        <f t="shared" si="153"/>
        <v>18.0004366812227</v>
      </c>
      <c r="N565" s="39">
        <f t="shared" si="155"/>
        <v>0.00272851296043656</v>
      </c>
      <c r="O565" s="560">
        <f t="shared" si="156"/>
        <v>32.2535211267606</v>
      </c>
      <c r="P565">
        <f t="shared" si="157"/>
        <v>71</v>
      </c>
      <c r="Q565" s="667">
        <f t="shared" si="158"/>
        <v>0.048431105047749</v>
      </c>
    </row>
    <row r="566" spans="1:17">
      <c r="A566" s="653">
        <v>45725</v>
      </c>
      <c r="B566" s="557">
        <v>2145</v>
      </c>
      <c r="C566" s="37">
        <v>97548</v>
      </c>
      <c r="D566" s="37">
        <v>1799</v>
      </c>
      <c r="E566" s="37">
        <v>1</v>
      </c>
      <c r="F566" s="37">
        <v>11554</v>
      </c>
      <c r="G566" s="37">
        <v>59</v>
      </c>
      <c r="H566" s="37">
        <v>22</v>
      </c>
      <c r="I566" s="558">
        <v>9</v>
      </c>
      <c r="J566" s="39">
        <f t="shared" si="152"/>
        <v>0.0184422028129741</v>
      </c>
      <c r="K566" s="559">
        <f t="shared" si="154"/>
        <v>1.1923290717065</v>
      </c>
      <c r="L566" s="559">
        <f t="shared" si="159"/>
        <v>21.9891745602165</v>
      </c>
      <c r="M566" s="559">
        <f t="shared" si="153"/>
        <v>5.38648018648019</v>
      </c>
      <c r="N566" s="39">
        <f t="shared" si="155"/>
        <v>0.000555864369093941</v>
      </c>
      <c r="O566" s="560">
        <f t="shared" si="156"/>
        <v>26.4814814814815</v>
      </c>
      <c r="P566">
        <f t="shared" si="157"/>
        <v>81</v>
      </c>
      <c r="Q566" s="667">
        <f t="shared" si="158"/>
        <v>0.0450250138966092</v>
      </c>
    </row>
    <row r="567" spans="1:17">
      <c r="A567" s="653">
        <v>45726</v>
      </c>
      <c r="B567" s="557">
        <v>2060</v>
      </c>
      <c r="C567" s="37">
        <v>102092</v>
      </c>
      <c r="D567" s="37">
        <v>1575</v>
      </c>
      <c r="E567" s="37">
        <v>2</v>
      </c>
      <c r="F567" s="37">
        <v>20919</v>
      </c>
      <c r="G567" s="37">
        <v>63</v>
      </c>
      <c r="H567" s="37">
        <v>15</v>
      </c>
      <c r="I567" s="558">
        <v>7</v>
      </c>
      <c r="J567" s="39">
        <f t="shared" si="152"/>
        <v>0.0154272616855385</v>
      </c>
      <c r="K567" s="559">
        <f t="shared" si="154"/>
        <v>1.30793650793651</v>
      </c>
      <c r="L567" s="559">
        <f t="shared" si="159"/>
        <v>20.177878776006</v>
      </c>
      <c r="M567" s="559">
        <f t="shared" si="153"/>
        <v>10.154854368932</v>
      </c>
      <c r="N567" s="39">
        <f t="shared" si="155"/>
        <v>0.00126984126984127</v>
      </c>
      <c r="O567" s="560">
        <f t="shared" si="156"/>
        <v>26.4102564102564</v>
      </c>
      <c r="P567">
        <f t="shared" si="157"/>
        <v>78</v>
      </c>
      <c r="Q567" s="667">
        <f t="shared" si="158"/>
        <v>0.0495238095238095</v>
      </c>
    </row>
    <row r="568" spans="1:17">
      <c r="A568" s="653">
        <v>45727</v>
      </c>
      <c r="B568" s="557">
        <v>2076</v>
      </c>
      <c r="C568" s="37">
        <v>115159</v>
      </c>
      <c r="D568" s="37">
        <v>1641</v>
      </c>
      <c r="E568" s="37">
        <v>6</v>
      </c>
      <c r="F568" s="37">
        <v>70128</v>
      </c>
      <c r="G568" s="37">
        <v>64</v>
      </c>
      <c r="H568" s="37">
        <v>20</v>
      </c>
      <c r="I568" s="558">
        <v>5</v>
      </c>
      <c r="J568" s="39">
        <f t="shared" si="152"/>
        <v>0.0142498632325741</v>
      </c>
      <c r="K568" s="559">
        <f t="shared" si="154"/>
        <v>1.26508226691042</v>
      </c>
      <c r="L568" s="559">
        <f t="shared" si="159"/>
        <v>18.0272492814283</v>
      </c>
      <c r="M568" s="559">
        <f t="shared" si="153"/>
        <v>33.7803468208092</v>
      </c>
      <c r="N568" s="39">
        <f t="shared" si="155"/>
        <v>0.0036563071297989</v>
      </c>
      <c r="O568" s="560">
        <f t="shared" si="156"/>
        <v>24.7142857142857</v>
      </c>
      <c r="P568">
        <f t="shared" si="157"/>
        <v>84</v>
      </c>
      <c r="Q568" s="667">
        <f t="shared" si="158"/>
        <v>0.0511882998171846</v>
      </c>
    </row>
    <row r="569" spans="1:17">
      <c r="A569" s="653">
        <v>45728</v>
      </c>
      <c r="B569" s="557">
        <v>2205</v>
      </c>
      <c r="C569" s="37">
        <v>108724</v>
      </c>
      <c r="D569" s="37">
        <v>1796</v>
      </c>
      <c r="E569" s="37">
        <v>7</v>
      </c>
      <c r="F569" s="37">
        <v>50974</v>
      </c>
      <c r="G569" s="37">
        <v>55</v>
      </c>
      <c r="H569" s="37">
        <v>18</v>
      </c>
      <c r="I569" s="558">
        <v>11</v>
      </c>
      <c r="J569" s="39">
        <f t="shared" si="152"/>
        <v>0.0165188918729995</v>
      </c>
      <c r="K569" s="559">
        <f t="shared" si="154"/>
        <v>1.22772828507795</v>
      </c>
      <c r="L569" s="559">
        <f t="shared" si="159"/>
        <v>20.2807107906258</v>
      </c>
      <c r="M569" s="559">
        <f t="shared" si="153"/>
        <v>23.1174603174603</v>
      </c>
      <c r="N569" s="39">
        <f t="shared" si="155"/>
        <v>0.00389755011135857</v>
      </c>
      <c r="O569" s="560">
        <f t="shared" si="156"/>
        <v>30.2054794520548</v>
      </c>
      <c r="P569">
        <f t="shared" si="157"/>
        <v>73</v>
      </c>
      <c r="Q569" s="667">
        <f t="shared" si="158"/>
        <v>0.0406458797327394</v>
      </c>
    </row>
    <row r="570" spans="1:17">
      <c r="A570" s="653">
        <v>45729</v>
      </c>
      <c r="B570" s="557">
        <v>1900</v>
      </c>
      <c r="C570" s="37">
        <v>114704</v>
      </c>
      <c r="D570" s="37">
        <v>1928</v>
      </c>
      <c r="E570" s="37">
        <v>3</v>
      </c>
      <c r="F570" s="37">
        <v>22752</v>
      </c>
      <c r="G570" s="37">
        <v>89</v>
      </c>
      <c r="H570" s="37">
        <v>30</v>
      </c>
      <c r="I570" s="558">
        <v>7</v>
      </c>
      <c r="J570" s="39">
        <f t="shared" si="152"/>
        <v>0.0168084809596875</v>
      </c>
      <c r="K570" s="559">
        <f t="shared" si="154"/>
        <v>0.985477178423237</v>
      </c>
      <c r="L570" s="559">
        <f t="shared" si="159"/>
        <v>16.5643743897336</v>
      </c>
      <c r="M570" s="559">
        <f t="shared" si="153"/>
        <v>11.9747368421053</v>
      </c>
      <c r="N570" s="39">
        <f t="shared" si="155"/>
        <v>0.00155601659751037</v>
      </c>
      <c r="O570" s="560">
        <f t="shared" si="156"/>
        <v>15.9663865546218</v>
      </c>
      <c r="P570">
        <f t="shared" si="157"/>
        <v>119</v>
      </c>
      <c r="Q570" s="667">
        <f t="shared" si="158"/>
        <v>0.0617219917012448</v>
      </c>
    </row>
    <row r="571" spans="1:17">
      <c r="A571" s="653">
        <v>45730</v>
      </c>
      <c r="B571" s="557">
        <v>2715</v>
      </c>
      <c r="C571" s="37">
        <v>114243</v>
      </c>
      <c r="D571" s="37">
        <v>2237</v>
      </c>
      <c r="E571" s="37">
        <v>6</v>
      </c>
      <c r="F571" s="37">
        <v>76378</v>
      </c>
      <c r="G571" s="37">
        <v>77</v>
      </c>
      <c r="H571" s="37">
        <v>27</v>
      </c>
      <c r="I571" s="558">
        <v>9</v>
      </c>
      <c r="J571" s="39">
        <f t="shared" si="152"/>
        <v>0.0195810684243236</v>
      </c>
      <c r="K571" s="559">
        <f t="shared" si="154"/>
        <v>1.2136790344211</v>
      </c>
      <c r="L571" s="559">
        <f t="shared" si="159"/>
        <v>23.7651322181665</v>
      </c>
      <c r="M571" s="559">
        <f t="shared" si="153"/>
        <v>28.1318600368324</v>
      </c>
      <c r="N571" s="39">
        <f t="shared" si="155"/>
        <v>0.00268216361198033</v>
      </c>
      <c r="O571" s="560">
        <f t="shared" si="156"/>
        <v>26.1057692307692</v>
      </c>
      <c r="P571">
        <f t="shared" si="157"/>
        <v>104</v>
      </c>
      <c r="Q571" s="667">
        <f t="shared" si="158"/>
        <v>0.0464908359409924</v>
      </c>
    </row>
    <row r="572" spans="1:17">
      <c r="A572" s="653">
        <v>45731</v>
      </c>
      <c r="B572" s="557">
        <v>2214</v>
      </c>
      <c r="C572" s="37">
        <v>149565</v>
      </c>
      <c r="D572" s="37">
        <v>2020</v>
      </c>
      <c r="E572" s="37">
        <v>4</v>
      </c>
      <c r="F572" s="37">
        <v>24750</v>
      </c>
      <c r="G572" s="37">
        <v>80</v>
      </c>
      <c r="H572" s="37">
        <v>35</v>
      </c>
      <c r="I572" s="558">
        <v>5</v>
      </c>
      <c r="J572" s="39">
        <f t="shared" si="152"/>
        <v>0.0135058335840604</v>
      </c>
      <c r="K572" s="559">
        <f t="shared" si="154"/>
        <v>1.0960396039604</v>
      </c>
      <c r="L572" s="559">
        <f t="shared" si="159"/>
        <v>14.8029284926286</v>
      </c>
      <c r="M572" s="559">
        <f t="shared" si="153"/>
        <v>11.1788617886179</v>
      </c>
      <c r="N572" s="39">
        <f t="shared" si="155"/>
        <v>0.00198019801980198</v>
      </c>
      <c r="O572" s="560">
        <f t="shared" si="156"/>
        <v>19.2521739130435</v>
      </c>
      <c r="P572">
        <f t="shared" si="157"/>
        <v>115</v>
      </c>
      <c r="Q572" s="667">
        <f t="shared" si="158"/>
        <v>0.0569306930693069</v>
      </c>
    </row>
    <row r="573" spans="1:17">
      <c r="A573" s="653">
        <v>45732</v>
      </c>
      <c r="B573" s="557">
        <v>2177</v>
      </c>
      <c r="C573" s="37">
        <v>128703</v>
      </c>
      <c r="D573" s="37">
        <v>2068</v>
      </c>
      <c r="E573" s="37">
        <v>2</v>
      </c>
      <c r="F573" s="37">
        <v>18610</v>
      </c>
      <c r="G573" s="37">
        <v>74</v>
      </c>
      <c r="H573" s="37">
        <v>34</v>
      </c>
      <c r="I573" s="558">
        <v>6</v>
      </c>
      <c r="J573" s="39">
        <f t="shared" si="152"/>
        <v>0.016068001522886</v>
      </c>
      <c r="K573" s="559">
        <f t="shared" si="154"/>
        <v>1.0527079303675</v>
      </c>
      <c r="L573" s="559">
        <f t="shared" si="159"/>
        <v>16.9149126282993</v>
      </c>
      <c r="M573" s="559">
        <f t="shared" si="153"/>
        <v>8.54846118511713</v>
      </c>
      <c r="N573" s="39">
        <f t="shared" si="155"/>
        <v>0.000967117988394584</v>
      </c>
      <c r="O573" s="560">
        <f t="shared" si="156"/>
        <v>20.1574074074074</v>
      </c>
      <c r="P573">
        <f t="shared" si="157"/>
        <v>108</v>
      </c>
      <c r="Q573" s="667">
        <f t="shared" si="158"/>
        <v>0.0522243713733075</v>
      </c>
    </row>
    <row r="574" spans="1:17">
      <c r="A574" s="653">
        <v>45733</v>
      </c>
      <c r="B574" s="557">
        <v>2234</v>
      </c>
      <c r="C574" s="37">
        <v>117097</v>
      </c>
      <c r="D574" s="37">
        <v>2190</v>
      </c>
      <c r="E574" s="37">
        <v>2</v>
      </c>
      <c r="F574" s="37">
        <v>19448</v>
      </c>
      <c r="G574" s="37">
        <v>78</v>
      </c>
      <c r="H574" s="37">
        <v>26</v>
      </c>
      <c r="I574" s="558">
        <v>12</v>
      </c>
      <c r="J574" s="39">
        <f t="shared" si="152"/>
        <v>0.0187024432735254</v>
      </c>
      <c r="K574" s="559">
        <f t="shared" si="154"/>
        <v>1.02009132420091</v>
      </c>
      <c r="L574" s="559">
        <f t="shared" si="159"/>
        <v>19.078200124683</v>
      </c>
      <c r="M574" s="559">
        <f t="shared" si="153"/>
        <v>8.70546105640107</v>
      </c>
      <c r="N574" s="39">
        <f t="shared" si="155"/>
        <v>0.00091324200913242</v>
      </c>
      <c r="O574" s="560">
        <f t="shared" si="156"/>
        <v>21.4807692307692</v>
      </c>
      <c r="P574">
        <f t="shared" si="157"/>
        <v>104</v>
      </c>
      <c r="Q574" s="667">
        <f t="shared" si="158"/>
        <v>0.0474885844748858</v>
      </c>
    </row>
    <row r="575" spans="1:17">
      <c r="A575" s="653">
        <v>45734</v>
      </c>
      <c r="B575" s="557">
        <v>2793</v>
      </c>
      <c r="C575" s="37">
        <v>157420</v>
      </c>
      <c r="D575" s="37">
        <v>4020</v>
      </c>
      <c r="E575" s="37">
        <v>6</v>
      </c>
      <c r="F575" s="37">
        <v>39604</v>
      </c>
      <c r="G575" s="37">
        <v>101</v>
      </c>
      <c r="H575" s="37">
        <v>36</v>
      </c>
      <c r="I575" s="558">
        <v>5</v>
      </c>
      <c r="J575" s="39">
        <f t="shared" si="152"/>
        <v>0.0255367805869648</v>
      </c>
      <c r="K575" s="559">
        <f t="shared" si="154"/>
        <v>0.694776119402985</v>
      </c>
      <c r="L575" s="559">
        <f t="shared" si="159"/>
        <v>17.7423453182569</v>
      </c>
      <c r="M575" s="559">
        <f t="shared" si="153"/>
        <v>14.1797350519155</v>
      </c>
      <c r="N575" s="39">
        <f t="shared" si="155"/>
        <v>0.00149253731343284</v>
      </c>
      <c r="O575" s="560">
        <f t="shared" si="156"/>
        <v>20.3868613138686</v>
      </c>
      <c r="P575">
        <f t="shared" si="157"/>
        <v>137</v>
      </c>
      <c r="Q575" s="667">
        <f t="shared" si="158"/>
        <v>0.0340796019900498</v>
      </c>
    </row>
    <row r="576" spans="1:17">
      <c r="A576" s="653">
        <v>45735</v>
      </c>
      <c r="B576" s="557">
        <v>2906</v>
      </c>
      <c r="C576" s="37">
        <v>130100</v>
      </c>
      <c r="D576" s="37">
        <v>2775</v>
      </c>
      <c r="E576" s="37">
        <v>5</v>
      </c>
      <c r="F576" s="37">
        <v>35491</v>
      </c>
      <c r="G576" s="37">
        <v>77</v>
      </c>
      <c r="H576" s="37">
        <v>38</v>
      </c>
      <c r="I576" s="558">
        <v>5</v>
      </c>
      <c r="J576" s="39">
        <f t="shared" si="152"/>
        <v>0.0213297463489623</v>
      </c>
      <c r="K576" s="559">
        <f t="shared" si="154"/>
        <v>1.04720720720721</v>
      </c>
      <c r="L576" s="559">
        <f t="shared" si="159"/>
        <v>22.336664104535</v>
      </c>
      <c r="M576" s="559">
        <f t="shared" si="153"/>
        <v>12.2130075705437</v>
      </c>
      <c r="N576" s="39">
        <f t="shared" si="155"/>
        <v>0.0018018018018018</v>
      </c>
      <c r="O576" s="560">
        <f t="shared" si="156"/>
        <v>25.2695652173913</v>
      </c>
      <c r="P576">
        <f t="shared" si="157"/>
        <v>115</v>
      </c>
      <c r="Q576" s="667">
        <f t="shared" si="158"/>
        <v>0.0414414414414414</v>
      </c>
    </row>
    <row r="577" spans="1:17">
      <c r="A577" s="653">
        <v>45736</v>
      </c>
      <c r="B577" s="557">
        <v>2908</v>
      </c>
      <c r="C577" s="37">
        <v>120776</v>
      </c>
      <c r="D577" s="37">
        <v>2348</v>
      </c>
      <c r="E577" s="37">
        <v>4</v>
      </c>
      <c r="F577" s="37">
        <v>29137</v>
      </c>
      <c r="G577" s="37">
        <v>77</v>
      </c>
      <c r="H577" s="37">
        <v>25</v>
      </c>
      <c r="I577" s="558">
        <v>14</v>
      </c>
      <c r="J577" s="39">
        <f t="shared" si="152"/>
        <v>0.0194409485328211</v>
      </c>
      <c r="K577" s="559">
        <f t="shared" si="154"/>
        <v>1.23850085178876</v>
      </c>
      <c r="L577" s="559">
        <f t="shared" si="159"/>
        <v>24.0776313174803</v>
      </c>
      <c r="M577" s="559">
        <f t="shared" si="153"/>
        <v>10.0196011004127</v>
      </c>
      <c r="N577" s="39">
        <f t="shared" si="155"/>
        <v>0.00170357751277683</v>
      </c>
      <c r="O577" s="560">
        <f t="shared" si="156"/>
        <v>28.5098039215686</v>
      </c>
      <c r="P577">
        <f t="shared" si="157"/>
        <v>102</v>
      </c>
      <c r="Q577" s="667">
        <f t="shared" si="158"/>
        <v>0.0434412265758092</v>
      </c>
    </row>
    <row r="578" spans="1:17">
      <c r="A578" s="653">
        <v>45737</v>
      </c>
      <c r="B578" s="557">
        <v>2593</v>
      </c>
      <c r="C578" s="37">
        <v>122139</v>
      </c>
      <c r="D578" s="37">
        <v>2166</v>
      </c>
      <c r="E578" s="37">
        <v>5</v>
      </c>
      <c r="F578" s="37">
        <v>54927</v>
      </c>
      <c r="G578" s="37">
        <v>66</v>
      </c>
      <c r="H578" s="37">
        <v>33</v>
      </c>
      <c r="I578" s="558">
        <v>9</v>
      </c>
      <c r="J578" s="39">
        <f t="shared" si="152"/>
        <v>0.0177338933510181</v>
      </c>
      <c r="K578" s="559">
        <f t="shared" si="154"/>
        <v>1.19713758079409</v>
      </c>
      <c r="L578" s="559">
        <f t="shared" si="159"/>
        <v>21.2299101842982</v>
      </c>
      <c r="M578" s="559">
        <f t="shared" si="153"/>
        <v>21.1827998457385</v>
      </c>
      <c r="N578" s="39">
        <f t="shared" si="155"/>
        <v>0.0023084025854109</v>
      </c>
      <c r="O578" s="560">
        <f t="shared" si="156"/>
        <v>26.1919191919192</v>
      </c>
      <c r="P578">
        <f t="shared" si="157"/>
        <v>99</v>
      </c>
      <c r="Q578" s="667">
        <f t="shared" si="158"/>
        <v>0.0457063711911357</v>
      </c>
    </row>
    <row r="579" spans="1:17">
      <c r="A579" s="653">
        <v>45738</v>
      </c>
      <c r="B579" s="557">
        <v>2203</v>
      </c>
      <c r="C579" s="37">
        <v>102335</v>
      </c>
      <c r="D579" s="37">
        <v>1778</v>
      </c>
      <c r="E579" s="37">
        <v>1</v>
      </c>
      <c r="F579" s="37">
        <v>13173</v>
      </c>
      <c r="G579" s="37">
        <v>60</v>
      </c>
      <c r="H579" s="37">
        <v>32</v>
      </c>
      <c r="I579" s="558">
        <v>8</v>
      </c>
      <c r="J579" s="39">
        <f t="shared" ref="J579:J586" si="160">D579/C579</f>
        <v>0.0173743098646602</v>
      </c>
      <c r="K579" s="559">
        <f t="shared" si="154"/>
        <v>1.23903262092238</v>
      </c>
      <c r="L579" s="559">
        <f t="shared" si="159"/>
        <v>21.5273366883276</v>
      </c>
      <c r="M579" s="559">
        <f t="shared" si="153"/>
        <v>5.97957330912392</v>
      </c>
      <c r="N579" s="39">
        <f t="shared" si="155"/>
        <v>0.000562429696287964</v>
      </c>
      <c r="O579" s="560">
        <f t="shared" si="156"/>
        <v>23.945652173913</v>
      </c>
      <c r="P579">
        <f t="shared" si="157"/>
        <v>92</v>
      </c>
      <c r="Q579" s="667">
        <f t="shared" si="158"/>
        <v>0.0517435320584927</v>
      </c>
    </row>
    <row r="580" spans="1:17">
      <c r="A580" s="653">
        <v>45739</v>
      </c>
      <c r="B580" s="557">
        <v>2150</v>
      </c>
      <c r="C580" s="37">
        <v>102210</v>
      </c>
      <c r="D580" s="37">
        <v>1747</v>
      </c>
      <c r="E580" s="37">
        <v>2</v>
      </c>
      <c r="F580" s="37">
        <v>31849</v>
      </c>
      <c r="G580" s="37">
        <v>73</v>
      </c>
      <c r="H580" s="37">
        <v>25</v>
      </c>
      <c r="I580" s="558">
        <v>7</v>
      </c>
      <c r="J580" s="39">
        <f t="shared" si="160"/>
        <v>0.0170922610312103</v>
      </c>
      <c r="K580" s="559">
        <f t="shared" si="154"/>
        <v>1.23068116771608</v>
      </c>
      <c r="L580" s="559">
        <f t="shared" si="159"/>
        <v>21.035123764798</v>
      </c>
      <c r="M580" s="559">
        <f t="shared" si="153"/>
        <v>14.813488372093</v>
      </c>
      <c r="N580" s="39">
        <f t="shared" si="155"/>
        <v>0.00114481969089868</v>
      </c>
      <c r="O580" s="560">
        <f t="shared" si="156"/>
        <v>21.9387755102041</v>
      </c>
      <c r="P580">
        <f t="shared" si="157"/>
        <v>98</v>
      </c>
      <c r="Q580" s="667">
        <f t="shared" si="158"/>
        <v>0.0560961648540355</v>
      </c>
    </row>
    <row r="581" spans="1:17">
      <c r="A581" s="653">
        <v>45740</v>
      </c>
      <c r="B581" s="557">
        <v>2203</v>
      </c>
      <c r="C581" s="37">
        <v>103300</v>
      </c>
      <c r="D581" s="37">
        <v>1761</v>
      </c>
      <c r="E581" s="37">
        <v>3</v>
      </c>
      <c r="F581" s="37">
        <v>35293</v>
      </c>
      <c r="G581" s="37">
        <v>78</v>
      </c>
      <c r="H581" s="37">
        <v>28</v>
      </c>
      <c r="I581" s="558">
        <v>11</v>
      </c>
      <c r="J581" s="39">
        <f t="shared" si="160"/>
        <v>0.0170474346563408</v>
      </c>
      <c r="K581" s="559">
        <f t="shared" si="154"/>
        <v>1.25099375354912</v>
      </c>
      <c r="L581" s="559">
        <f t="shared" si="159"/>
        <v>21.3262342691191</v>
      </c>
      <c r="M581" s="559">
        <f t="shared" si="153"/>
        <v>16.0204266908761</v>
      </c>
      <c r="N581" s="39">
        <f t="shared" si="155"/>
        <v>0.00170357751277683</v>
      </c>
      <c r="O581" s="560">
        <f t="shared" si="156"/>
        <v>20.7830188679245</v>
      </c>
      <c r="P581">
        <f t="shared" si="157"/>
        <v>106</v>
      </c>
      <c r="Q581" s="667">
        <f t="shared" si="158"/>
        <v>0.0601930721181147</v>
      </c>
    </row>
    <row r="582" spans="1:17">
      <c r="A582" s="653">
        <v>45741</v>
      </c>
      <c r="B582" s="557">
        <v>2694</v>
      </c>
      <c r="C582" s="37">
        <v>188739</v>
      </c>
      <c r="D582" s="37">
        <v>2417</v>
      </c>
      <c r="E582" s="37">
        <v>6</v>
      </c>
      <c r="F582" s="37">
        <v>58965</v>
      </c>
      <c r="G582" s="37">
        <v>70</v>
      </c>
      <c r="H582" s="37">
        <v>51</v>
      </c>
      <c r="I582" s="558">
        <v>4</v>
      </c>
      <c r="J582" s="39">
        <f t="shared" si="160"/>
        <v>0.012806044325762</v>
      </c>
      <c r="K582" s="559">
        <f t="shared" si="154"/>
        <v>1.11460488208523</v>
      </c>
      <c r="L582" s="559">
        <f t="shared" si="159"/>
        <v>14.2736795256942</v>
      </c>
      <c r="M582" s="559">
        <f t="shared" si="153"/>
        <v>21.8875278396437</v>
      </c>
      <c r="N582" s="39">
        <f t="shared" si="155"/>
        <v>0.00248241621845263</v>
      </c>
      <c r="O582" s="560">
        <f t="shared" si="156"/>
        <v>22.2644628099174</v>
      </c>
      <c r="P582">
        <f t="shared" si="157"/>
        <v>121</v>
      </c>
      <c r="Q582" s="667">
        <f t="shared" si="158"/>
        <v>0.0500620604054613</v>
      </c>
    </row>
    <row r="583" spans="1:17">
      <c r="A583" s="653">
        <v>45742</v>
      </c>
      <c r="B583" s="557">
        <v>2878</v>
      </c>
      <c r="C583" s="37">
        <v>261430</v>
      </c>
      <c r="D583" s="37">
        <v>2824</v>
      </c>
      <c r="E583" s="37">
        <v>12</v>
      </c>
      <c r="F583" s="37">
        <v>187327</v>
      </c>
      <c r="G583" s="37">
        <v>74</v>
      </c>
      <c r="H583" s="37">
        <v>54</v>
      </c>
      <c r="I583" s="558">
        <v>2</v>
      </c>
      <c r="J583" s="39">
        <f t="shared" si="160"/>
        <v>0.0108021267643346</v>
      </c>
      <c r="K583" s="559">
        <f t="shared" si="154"/>
        <v>1.01912181303116</v>
      </c>
      <c r="L583" s="559">
        <f t="shared" si="159"/>
        <v>11.0086830126611</v>
      </c>
      <c r="M583" s="559">
        <f t="shared" si="153"/>
        <v>65.089298123697</v>
      </c>
      <c r="N583" s="39">
        <f t="shared" si="155"/>
        <v>0.00424929178470255</v>
      </c>
      <c r="O583" s="560">
        <f t="shared" si="156"/>
        <v>22.484375</v>
      </c>
      <c r="P583">
        <f t="shared" si="157"/>
        <v>128</v>
      </c>
      <c r="Q583" s="667">
        <f t="shared" si="158"/>
        <v>0.0453257790368272</v>
      </c>
    </row>
    <row r="584" spans="1:17">
      <c r="A584" s="653">
        <v>45743</v>
      </c>
      <c r="B584" s="557">
        <v>2830</v>
      </c>
      <c r="C584" s="37">
        <v>222922</v>
      </c>
      <c r="D584" s="37">
        <v>2151</v>
      </c>
      <c r="E584" s="37">
        <v>4</v>
      </c>
      <c r="F584" s="37">
        <v>61554</v>
      </c>
      <c r="G584" s="37">
        <v>58</v>
      </c>
      <c r="H584" s="37">
        <v>42</v>
      </c>
      <c r="I584" s="558">
        <v>5</v>
      </c>
      <c r="J584" s="39">
        <f t="shared" si="160"/>
        <v>0.00964911493706319</v>
      </c>
      <c r="K584" s="559">
        <f t="shared" si="154"/>
        <v>1.31566713156671</v>
      </c>
      <c r="L584" s="559">
        <f t="shared" si="159"/>
        <v>12.6950233714035</v>
      </c>
      <c r="M584" s="559">
        <f t="shared" si="153"/>
        <v>21.7505300353357</v>
      </c>
      <c r="N584" s="39">
        <f t="shared" si="155"/>
        <v>0.00185960018596002</v>
      </c>
      <c r="O584" s="560">
        <f t="shared" si="156"/>
        <v>28.3</v>
      </c>
      <c r="P584">
        <f t="shared" si="157"/>
        <v>100</v>
      </c>
      <c r="Q584" s="667">
        <f t="shared" si="158"/>
        <v>0.0464900046490005</v>
      </c>
    </row>
    <row r="585" spans="1:17">
      <c r="A585" s="653">
        <v>45744</v>
      </c>
      <c r="B585" s="557">
        <v>2811</v>
      </c>
      <c r="C585" s="37">
        <v>195958</v>
      </c>
      <c r="D585" s="37">
        <v>2001</v>
      </c>
      <c r="E585" s="37">
        <v>1</v>
      </c>
      <c r="F585" s="37">
        <v>7523</v>
      </c>
      <c r="G585" s="37">
        <v>74</v>
      </c>
      <c r="H585" s="37">
        <v>47</v>
      </c>
      <c r="I585" s="558">
        <v>6</v>
      </c>
      <c r="J585" s="39">
        <f t="shared" si="160"/>
        <v>0.0102113718245747</v>
      </c>
      <c r="K585" s="559">
        <f t="shared" si="154"/>
        <v>1.4047976011994</v>
      </c>
      <c r="L585" s="559">
        <f t="shared" si="159"/>
        <v>14.3449106441176</v>
      </c>
      <c r="M585" s="559">
        <f t="shared" si="153"/>
        <v>2.67627178939879</v>
      </c>
      <c r="N585" s="39">
        <f t="shared" si="155"/>
        <v>0.000499750124937531</v>
      </c>
      <c r="O585" s="560">
        <f t="shared" si="156"/>
        <v>23.2314049586777</v>
      </c>
      <c r="P585">
        <f t="shared" si="157"/>
        <v>121</v>
      </c>
      <c r="Q585" s="667">
        <f t="shared" si="158"/>
        <v>0.0604697651174413</v>
      </c>
    </row>
    <row r="586" spans="1:17">
      <c r="A586" s="653">
        <v>45745</v>
      </c>
      <c r="B586" s="557">
        <v>2788</v>
      </c>
      <c r="C586" s="37">
        <v>312682</v>
      </c>
      <c r="D586" s="37">
        <v>2731</v>
      </c>
      <c r="E586" s="37">
        <v>8</v>
      </c>
      <c r="F586" s="37">
        <v>134015</v>
      </c>
      <c r="G586" s="37">
        <v>69</v>
      </c>
      <c r="H586" s="37">
        <v>63</v>
      </c>
      <c r="I586" s="558">
        <v>5</v>
      </c>
      <c r="J586" s="39">
        <f t="shared" si="160"/>
        <v>0.00873411325244178</v>
      </c>
      <c r="K586" s="559">
        <f t="shared" si="154"/>
        <v>1.02087147564995</v>
      </c>
      <c r="L586" s="559">
        <f t="shared" si="159"/>
        <v>8.91640708451398</v>
      </c>
      <c r="M586" s="559">
        <f t="shared" si="153"/>
        <v>48.0685078909613</v>
      </c>
      <c r="N586" s="39">
        <f t="shared" si="155"/>
        <v>0.00292932991578177</v>
      </c>
      <c r="O586" s="560">
        <f t="shared" si="156"/>
        <v>21.1212121212121</v>
      </c>
      <c r="P586">
        <f t="shared" si="157"/>
        <v>132</v>
      </c>
      <c r="Q586" s="667">
        <f t="shared" si="158"/>
        <v>0.0483339436103991</v>
      </c>
    </row>
    <row r="587" spans="1:17">
      <c r="A587" s="653">
        <v>45746</v>
      </c>
      <c r="B587" s="557">
        <v>2890</v>
      </c>
      <c r="C587" s="37">
        <v>368766</v>
      </c>
      <c r="D587" s="37">
        <v>2684</v>
      </c>
      <c r="E587" s="37">
        <v>4</v>
      </c>
      <c r="F587" s="37">
        <v>66255</v>
      </c>
      <c r="G587" s="37">
        <v>72</v>
      </c>
      <c r="H587" s="37">
        <v>43</v>
      </c>
      <c r="I587" s="558">
        <v>8</v>
      </c>
      <c r="J587" s="39">
        <f t="shared" ref="J587:J630" si="161">D587/C587</f>
        <v>0.00727832826236692</v>
      </c>
      <c r="K587" s="559">
        <f t="shared" si="154"/>
        <v>1.07675111773472</v>
      </c>
      <c r="L587" s="559">
        <f t="shared" si="159"/>
        <v>7.83694809174382</v>
      </c>
      <c r="M587" s="559">
        <f t="shared" si="153"/>
        <v>22.9256055363322</v>
      </c>
      <c r="N587" s="39">
        <f t="shared" si="155"/>
        <v>0.0014903129657228</v>
      </c>
      <c r="O587" s="560">
        <f t="shared" si="156"/>
        <v>25.1304347826087</v>
      </c>
      <c r="P587">
        <f t="shared" si="157"/>
        <v>115</v>
      </c>
      <c r="Q587" s="667">
        <f t="shared" si="158"/>
        <v>0.0428464977645306</v>
      </c>
    </row>
    <row r="588" ht="12" customHeight="1" spans="1:17">
      <c r="A588" s="653">
        <v>45747</v>
      </c>
      <c r="B588" s="557">
        <v>4172</v>
      </c>
      <c r="C588" s="37">
        <v>591173</v>
      </c>
      <c r="D588" s="37">
        <v>3771</v>
      </c>
      <c r="E588" s="37">
        <v>1</v>
      </c>
      <c r="F588" s="37">
        <v>4798</v>
      </c>
      <c r="G588" s="37">
        <v>85</v>
      </c>
      <c r="H588" s="37">
        <v>70</v>
      </c>
      <c r="I588" s="558">
        <v>9</v>
      </c>
      <c r="J588" s="39">
        <f t="shared" si="161"/>
        <v>0.00637884341808574</v>
      </c>
      <c r="K588" s="559">
        <f t="shared" si="154"/>
        <v>1.10633784142137</v>
      </c>
      <c r="L588" s="559">
        <f t="shared" si="159"/>
        <v>7.05715585792991</v>
      </c>
      <c r="M588" s="559">
        <f t="shared" si="153"/>
        <v>1.15004793863854</v>
      </c>
      <c r="N588" s="39">
        <f t="shared" si="155"/>
        <v>0.000265181649429859</v>
      </c>
      <c r="O588" s="560">
        <f t="shared" si="156"/>
        <v>26.9161290322581</v>
      </c>
      <c r="P588">
        <f t="shared" si="157"/>
        <v>155</v>
      </c>
      <c r="Q588" s="667">
        <f t="shared" si="158"/>
        <v>0.0411031556616282</v>
      </c>
    </row>
    <row r="589" spans="1:17">
      <c r="A589" s="653">
        <v>45748</v>
      </c>
      <c r="B589" s="557">
        <v>1375</v>
      </c>
      <c r="C589" s="37">
        <v>129641</v>
      </c>
      <c r="D589" s="37">
        <v>1210</v>
      </c>
      <c r="E589" s="37">
        <v>2</v>
      </c>
      <c r="F589" s="37">
        <v>25472</v>
      </c>
      <c r="G589" s="37">
        <v>30</v>
      </c>
      <c r="H589" s="37">
        <v>15</v>
      </c>
      <c r="I589" s="558">
        <v>7</v>
      </c>
      <c r="J589" s="39">
        <f t="shared" si="161"/>
        <v>0.00933346703589142</v>
      </c>
      <c r="K589" s="559">
        <f t="shared" si="154"/>
        <v>1.13636363636364</v>
      </c>
      <c r="L589" s="559">
        <f t="shared" si="159"/>
        <v>10.6062125407857</v>
      </c>
      <c r="M589" s="559">
        <f t="shared" si="153"/>
        <v>18.5250909090909</v>
      </c>
      <c r="N589" s="39">
        <f t="shared" si="155"/>
        <v>0.00165289256198347</v>
      </c>
      <c r="O589" s="560">
        <f t="shared" si="156"/>
        <v>30.5555555555556</v>
      </c>
      <c r="P589">
        <f t="shared" si="157"/>
        <v>45</v>
      </c>
      <c r="Q589" s="667">
        <f t="shared" si="158"/>
        <v>0.0371900826446281</v>
      </c>
    </row>
    <row r="590" spans="1:17">
      <c r="A590" s="653">
        <v>45749</v>
      </c>
      <c r="B590" s="557">
        <v>1187</v>
      </c>
      <c r="C590" s="37">
        <v>136654</v>
      </c>
      <c r="D590" s="37">
        <v>1110</v>
      </c>
      <c r="E590" s="37">
        <v>0</v>
      </c>
      <c r="F590" s="37">
        <v>0</v>
      </c>
      <c r="G590" s="37">
        <v>23</v>
      </c>
      <c r="H590" s="37">
        <v>19</v>
      </c>
      <c r="I590" s="558">
        <v>2</v>
      </c>
      <c r="J590" s="39">
        <f t="shared" si="161"/>
        <v>0.00812270405549783</v>
      </c>
      <c r="K590" s="559">
        <f t="shared" si="154"/>
        <v>1.06936936936937</v>
      </c>
      <c r="L590" s="559">
        <f t="shared" si="159"/>
        <v>8.68617091340173</v>
      </c>
      <c r="M590" s="559">
        <f t="shared" si="153"/>
        <v>0</v>
      </c>
      <c r="N590" s="39">
        <f t="shared" si="155"/>
        <v>0</v>
      </c>
      <c r="O590" s="560">
        <f t="shared" si="156"/>
        <v>28.2619047619048</v>
      </c>
      <c r="P590">
        <f t="shared" si="157"/>
        <v>42</v>
      </c>
      <c r="Q590" s="667">
        <f t="shared" si="158"/>
        <v>0.0378378378378378</v>
      </c>
    </row>
    <row r="591" spans="1:17">
      <c r="A591" s="653">
        <v>45750</v>
      </c>
      <c r="B591" s="557">
        <v>1080</v>
      </c>
      <c r="C591" s="37">
        <v>99606</v>
      </c>
      <c r="D591" s="37">
        <v>788</v>
      </c>
      <c r="E591" s="37">
        <v>1</v>
      </c>
      <c r="F591" s="37">
        <v>7420</v>
      </c>
      <c r="G591" s="37">
        <v>36</v>
      </c>
      <c r="H591" s="37">
        <v>16</v>
      </c>
      <c r="I591" s="558">
        <v>1</v>
      </c>
      <c r="J591" s="39">
        <f t="shared" si="161"/>
        <v>0.00791117000983877</v>
      </c>
      <c r="K591" s="559">
        <f t="shared" si="154"/>
        <v>1.37055837563452</v>
      </c>
      <c r="L591" s="559">
        <f t="shared" si="159"/>
        <v>10.8427203180531</v>
      </c>
      <c r="M591" s="559">
        <f t="shared" si="153"/>
        <v>6.87037037037037</v>
      </c>
      <c r="N591" s="39">
        <f t="shared" si="155"/>
        <v>0.00126903553299492</v>
      </c>
      <c r="O591" s="560">
        <f t="shared" si="156"/>
        <v>20.7692307692308</v>
      </c>
      <c r="P591">
        <f t="shared" si="157"/>
        <v>52</v>
      </c>
      <c r="Q591" s="667">
        <f t="shared" si="158"/>
        <v>0.065989847715736</v>
      </c>
    </row>
    <row r="592" spans="1:17">
      <c r="A592" s="653">
        <v>45751</v>
      </c>
      <c r="B592" s="557">
        <v>1100</v>
      </c>
      <c r="C592" s="37">
        <v>72425</v>
      </c>
      <c r="D592" s="37">
        <v>862</v>
      </c>
      <c r="E592" s="37">
        <v>4</v>
      </c>
      <c r="F592" s="37">
        <v>65950</v>
      </c>
      <c r="G592" s="37">
        <v>25</v>
      </c>
      <c r="H592" s="37">
        <v>14</v>
      </c>
      <c r="I592" s="558">
        <v>9</v>
      </c>
      <c r="J592" s="39">
        <f t="shared" si="161"/>
        <v>0.0119019675526407</v>
      </c>
      <c r="K592" s="559">
        <f t="shared" si="154"/>
        <v>1.27610208816705</v>
      </c>
      <c r="L592" s="559">
        <f t="shared" si="159"/>
        <v>15.1881256472213</v>
      </c>
      <c r="M592" s="559">
        <f t="shared" si="153"/>
        <v>59.9545454545455</v>
      </c>
      <c r="N592" s="39">
        <f t="shared" si="155"/>
        <v>0.00464037122969838</v>
      </c>
      <c r="O592" s="560">
        <f t="shared" si="156"/>
        <v>28.2051282051282</v>
      </c>
      <c r="P592">
        <f t="shared" si="157"/>
        <v>39</v>
      </c>
      <c r="Q592" s="667">
        <f t="shared" si="158"/>
        <v>0.0452436194895592</v>
      </c>
    </row>
    <row r="593" spans="1:17">
      <c r="A593" s="653">
        <v>45752</v>
      </c>
      <c r="B593" s="557">
        <v>1082</v>
      </c>
      <c r="C593" s="37">
        <v>58746</v>
      </c>
      <c r="D593" s="37">
        <v>782</v>
      </c>
      <c r="E593" s="37">
        <v>1</v>
      </c>
      <c r="F593" s="37">
        <v>9756</v>
      </c>
      <c r="G593" s="37">
        <v>33</v>
      </c>
      <c r="H593" s="37">
        <v>18</v>
      </c>
      <c r="I593" s="558">
        <v>4</v>
      </c>
      <c r="J593" s="39">
        <f t="shared" si="161"/>
        <v>0.0133115446158036</v>
      </c>
      <c r="K593" s="559">
        <f t="shared" si="154"/>
        <v>1.38363171355499</v>
      </c>
      <c r="L593" s="559">
        <f t="shared" si="159"/>
        <v>18.418275286828</v>
      </c>
      <c r="M593" s="559">
        <f t="shared" si="153"/>
        <v>9.01663585951941</v>
      </c>
      <c r="N593" s="39">
        <f t="shared" si="155"/>
        <v>0.00127877237851662</v>
      </c>
      <c r="O593" s="560">
        <f t="shared" si="156"/>
        <v>21.2156862745098</v>
      </c>
      <c r="P593">
        <f t="shared" si="157"/>
        <v>51</v>
      </c>
      <c r="Q593" s="667">
        <f t="shared" si="158"/>
        <v>0.0652173913043478</v>
      </c>
    </row>
    <row r="594" spans="1:17">
      <c r="A594" s="653">
        <v>45753</v>
      </c>
      <c r="B594" s="557">
        <v>1075</v>
      </c>
      <c r="C594" s="37">
        <v>40612</v>
      </c>
      <c r="D594" s="37">
        <v>792</v>
      </c>
      <c r="E594" s="37">
        <v>2</v>
      </c>
      <c r="F594" s="37">
        <v>50536</v>
      </c>
      <c r="G594" s="37">
        <v>51</v>
      </c>
      <c r="H594" s="37">
        <v>17</v>
      </c>
      <c r="I594" s="558">
        <v>1</v>
      </c>
      <c r="J594" s="39">
        <f t="shared" si="161"/>
        <v>0.019501625135428</v>
      </c>
      <c r="K594" s="559">
        <f t="shared" si="154"/>
        <v>1.35732323232323</v>
      </c>
      <c r="L594" s="559">
        <f t="shared" si="159"/>
        <v>26.4700088643751</v>
      </c>
      <c r="M594" s="559">
        <f t="shared" si="153"/>
        <v>47.0102325581395</v>
      </c>
      <c r="N594" s="39">
        <f t="shared" si="155"/>
        <v>0.00252525252525253</v>
      </c>
      <c r="O594" s="560">
        <f t="shared" si="156"/>
        <v>15.8088235294118</v>
      </c>
      <c r="P594">
        <f t="shared" si="157"/>
        <v>68</v>
      </c>
      <c r="Q594" s="667">
        <f t="shared" si="158"/>
        <v>0.0858585858585859</v>
      </c>
    </row>
    <row r="595" spans="1:17">
      <c r="A595" s="653">
        <v>45754</v>
      </c>
      <c r="B595" s="557">
        <v>1566</v>
      </c>
      <c r="C595" s="37">
        <v>44699</v>
      </c>
      <c r="D595" s="37">
        <v>1200</v>
      </c>
      <c r="E595" s="37">
        <v>2</v>
      </c>
      <c r="F595" s="37">
        <v>29241</v>
      </c>
      <c r="G595" s="37">
        <v>55</v>
      </c>
      <c r="H595" s="37">
        <v>10</v>
      </c>
      <c r="I595" s="558">
        <v>10</v>
      </c>
      <c r="J595" s="39">
        <f t="shared" si="161"/>
        <v>0.0268462381708763</v>
      </c>
      <c r="K595" s="559">
        <f t="shared" si="154"/>
        <v>1.305</v>
      </c>
      <c r="L595" s="559">
        <f t="shared" si="159"/>
        <v>35.0343408129936</v>
      </c>
      <c r="M595" s="559">
        <f t="shared" si="153"/>
        <v>18.6724137931034</v>
      </c>
      <c r="N595" s="39">
        <f t="shared" si="155"/>
        <v>0.00166666666666667</v>
      </c>
      <c r="O595" s="560">
        <f t="shared" si="156"/>
        <v>24.0923076923077</v>
      </c>
      <c r="P595">
        <f t="shared" si="157"/>
        <v>65</v>
      </c>
      <c r="Q595" s="667">
        <f t="shared" si="158"/>
        <v>0.0541666666666667</v>
      </c>
    </row>
    <row r="596" spans="1:17">
      <c r="A596" s="653">
        <v>45755</v>
      </c>
      <c r="B596" s="557">
        <v>1096</v>
      </c>
      <c r="C596" s="37">
        <v>44527</v>
      </c>
      <c r="D596" s="37">
        <v>747</v>
      </c>
      <c r="E596" s="37">
        <v>0</v>
      </c>
      <c r="F596" s="37">
        <v>0</v>
      </c>
      <c r="G596" s="37">
        <v>24</v>
      </c>
      <c r="H596" s="37">
        <v>9</v>
      </c>
      <c r="I596" s="558">
        <v>2</v>
      </c>
      <c r="J596" s="39">
        <f t="shared" si="161"/>
        <v>0.0167763379522537</v>
      </c>
      <c r="K596" s="559">
        <f t="shared" si="154"/>
        <v>1.46720214190094</v>
      </c>
      <c r="L596" s="559">
        <f t="shared" si="159"/>
        <v>24.6142789768006</v>
      </c>
      <c r="M596" s="559">
        <f t="shared" si="153"/>
        <v>0</v>
      </c>
      <c r="N596" s="39">
        <f t="shared" si="155"/>
        <v>0</v>
      </c>
      <c r="O596" s="560">
        <f t="shared" si="156"/>
        <v>33.2121212121212</v>
      </c>
      <c r="P596">
        <f t="shared" si="157"/>
        <v>33</v>
      </c>
      <c r="Q596" s="667">
        <f t="shared" si="158"/>
        <v>0.0441767068273092</v>
      </c>
    </row>
    <row r="597" spans="1:17">
      <c r="A597" s="653">
        <v>45756</v>
      </c>
      <c r="B597" s="557">
        <v>1091</v>
      </c>
      <c r="C597" s="37">
        <v>51487</v>
      </c>
      <c r="D597" s="37">
        <v>887</v>
      </c>
      <c r="E597" s="37">
        <v>2</v>
      </c>
      <c r="F597" s="37">
        <v>27628</v>
      </c>
      <c r="G597" s="37">
        <v>24</v>
      </c>
      <c r="H597" s="37">
        <v>10</v>
      </c>
      <c r="I597" s="558">
        <v>5</v>
      </c>
      <c r="J597" s="39">
        <f t="shared" si="161"/>
        <v>0.017227649697982</v>
      </c>
      <c r="K597" s="559">
        <f t="shared" si="154"/>
        <v>1.22998872604284</v>
      </c>
      <c r="L597" s="559">
        <f t="shared" si="159"/>
        <v>21.1898149047332</v>
      </c>
      <c r="M597" s="559">
        <f t="shared" si="153"/>
        <v>25.3235563703025</v>
      </c>
      <c r="N597" s="39">
        <f t="shared" si="155"/>
        <v>0.00225479143179256</v>
      </c>
      <c r="O597" s="560">
        <f t="shared" si="156"/>
        <v>32.0882352941176</v>
      </c>
      <c r="P597">
        <f t="shared" si="157"/>
        <v>34</v>
      </c>
      <c r="Q597" s="667">
        <f t="shared" si="158"/>
        <v>0.0383314543404735</v>
      </c>
    </row>
    <row r="598" spans="1:17">
      <c r="A598" s="653">
        <v>45757</v>
      </c>
      <c r="B598" s="557">
        <v>1091</v>
      </c>
      <c r="C598" s="37">
        <v>48556</v>
      </c>
      <c r="D598" s="37">
        <v>705</v>
      </c>
      <c r="E598" s="37">
        <v>3</v>
      </c>
      <c r="F598" s="37">
        <v>50712</v>
      </c>
      <c r="G598" s="37">
        <v>35</v>
      </c>
      <c r="H598" s="37">
        <v>20</v>
      </c>
      <c r="I598" s="558">
        <v>3</v>
      </c>
      <c r="J598" s="39">
        <f t="shared" si="161"/>
        <v>0.0145193179009803</v>
      </c>
      <c r="K598" s="559">
        <f t="shared" si="154"/>
        <v>1.54751773049645</v>
      </c>
      <c r="L598" s="559">
        <f t="shared" si="159"/>
        <v>22.4689018864816</v>
      </c>
      <c r="M598" s="559">
        <f t="shared" si="153"/>
        <v>46.4821264894592</v>
      </c>
      <c r="N598" s="39">
        <f t="shared" si="155"/>
        <v>0.00425531914893617</v>
      </c>
      <c r="O598" s="560">
        <f t="shared" si="156"/>
        <v>19.8363636363636</v>
      </c>
      <c r="P598">
        <f t="shared" si="157"/>
        <v>55</v>
      </c>
      <c r="Q598" s="667">
        <f t="shared" si="158"/>
        <v>0.0780141843971631</v>
      </c>
    </row>
    <row r="599" spans="1:17">
      <c r="A599" s="653">
        <v>45758</v>
      </c>
      <c r="B599" s="557">
        <v>1405</v>
      </c>
      <c r="C599" s="37">
        <v>69579</v>
      </c>
      <c r="D599" s="37">
        <v>1033</v>
      </c>
      <c r="E599" s="37">
        <v>0</v>
      </c>
      <c r="F599" s="37">
        <v>0</v>
      </c>
      <c r="G599" s="37">
        <v>52</v>
      </c>
      <c r="H599" s="37">
        <v>14</v>
      </c>
      <c r="I599" s="558">
        <v>1</v>
      </c>
      <c r="J599" s="39">
        <f t="shared" si="161"/>
        <v>0.0148464335503528</v>
      </c>
      <c r="K599" s="559">
        <f t="shared" si="154"/>
        <v>1.36011616650532</v>
      </c>
      <c r="L599" s="559">
        <f t="shared" si="159"/>
        <v>20.1928742867819</v>
      </c>
      <c r="M599" s="559">
        <f t="shared" si="153"/>
        <v>0</v>
      </c>
      <c r="N599" s="39">
        <f t="shared" si="155"/>
        <v>0</v>
      </c>
      <c r="O599" s="560">
        <f t="shared" si="156"/>
        <v>21.2878787878788</v>
      </c>
      <c r="P599">
        <f t="shared" si="157"/>
        <v>66</v>
      </c>
      <c r="Q599" s="667">
        <f t="shared" si="158"/>
        <v>0.063891577928364</v>
      </c>
    </row>
    <row r="600" spans="1:17">
      <c r="A600" s="653">
        <v>45759</v>
      </c>
      <c r="B600" s="557">
        <v>1447</v>
      </c>
      <c r="C600" s="37">
        <v>99741</v>
      </c>
      <c r="D600" s="37">
        <v>1430</v>
      </c>
      <c r="E600" s="37">
        <v>2</v>
      </c>
      <c r="F600" s="37">
        <v>40264</v>
      </c>
      <c r="G600" s="37">
        <v>36</v>
      </c>
      <c r="H600" s="37">
        <v>8</v>
      </c>
      <c r="I600" s="558">
        <v>3</v>
      </c>
      <c r="J600" s="39">
        <f t="shared" si="161"/>
        <v>0.0143371331749231</v>
      </c>
      <c r="K600" s="559">
        <f t="shared" si="154"/>
        <v>1.01188811188811</v>
      </c>
      <c r="L600" s="559">
        <f t="shared" si="159"/>
        <v>14.5075746182613</v>
      </c>
      <c r="M600" s="559">
        <f t="shared" si="153"/>
        <v>27.8258465791292</v>
      </c>
      <c r="N600" s="39">
        <f t="shared" si="155"/>
        <v>0.0013986013986014</v>
      </c>
      <c r="O600" s="560">
        <f t="shared" si="156"/>
        <v>32.8863636363636</v>
      </c>
      <c r="P600">
        <f t="shared" si="157"/>
        <v>44</v>
      </c>
      <c r="Q600" s="667">
        <f t="shared" si="158"/>
        <v>0.0307692307692308</v>
      </c>
    </row>
    <row r="601" spans="1:17">
      <c r="A601" s="653">
        <v>45760</v>
      </c>
      <c r="B601" s="557">
        <v>1469</v>
      </c>
      <c r="C601" s="37">
        <v>88860</v>
      </c>
      <c r="D601" s="37">
        <v>1253</v>
      </c>
      <c r="E601" s="37">
        <v>1</v>
      </c>
      <c r="F601" s="37">
        <v>9074</v>
      </c>
      <c r="G601" s="37">
        <v>50</v>
      </c>
      <c r="H601" s="37">
        <v>13</v>
      </c>
      <c r="I601" s="558">
        <v>4</v>
      </c>
      <c r="J601" s="39">
        <f t="shared" si="161"/>
        <v>0.0141008327706505</v>
      </c>
      <c r="K601" s="559">
        <f t="shared" si="154"/>
        <v>1.17238627294493</v>
      </c>
      <c r="L601" s="559">
        <f t="shared" si="159"/>
        <v>16.5316227774027</v>
      </c>
      <c r="M601" s="559">
        <f t="shared" si="153"/>
        <v>6.17699115044248</v>
      </c>
      <c r="N601" s="39">
        <f t="shared" si="155"/>
        <v>0.000798084596967279</v>
      </c>
      <c r="O601" s="560">
        <f t="shared" si="156"/>
        <v>23.3174603174603</v>
      </c>
      <c r="P601">
        <f t="shared" si="157"/>
        <v>63</v>
      </c>
      <c r="Q601" s="667">
        <f t="shared" si="158"/>
        <v>0.0502793296089385</v>
      </c>
    </row>
    <row r="602" spans="1:17">
      <c r="A602" s="653">
        <v>45761</v>
      </c>
      <c r="B602" s="557">
        <v>1695</v>
      </c>
      <c r="C602" s="37">
        <v>77873</v>
      </c>
      <c r="D602" s="37">
        <v>1213</v>
      </c>
      <c r="E602" s="37">
        <v>2</v>
      </c>
      <c r="F602" s="37">
        <v>14588</v>
      </c>
      <c r="G602" s="37">
        <v>31</v>
      </c>
      <c r="H602" s="37">
        <v>16</v>
      </c>
      <c r="I602" s="558">
        <v>2</v>
      </c>
      <c r="J602" s="39">
        <f t="shared" si="161"/>
        <v>0.0155766440229605</v>
      </c>
      <c r="K602" s="559">
        <f t="shared" si="154"/>
        <v>1.39736191261336</v>
      </c>
      <c r="L602" s="559">
        <f t="shared" si="159"/>
        <v>21.7662090840214</v>
      </c>
      <c r="M602" s="559">
        <f t="shared" si="153"/>
        <v>8.60648967551622</v>
      </c>
      <c r="N602" s="39">
        <f t="shared" si="155"/>
        <v>0.00164880461665293</v>
      </c>
      <c r="O602" s="560">
        <f t="shared" si="156"/>
        <v>36.063829787234</v>
      </c>
      <c r="P602">
        <f t="shared" si="157"/>
        <v>47</v>
      </c>
      <c r="Q602" s="667">
        <f t="shared" si="158"/>
        <v>0.0387469084913438</v>
      </c>
    </row>
    <row r="603" spans="1:17">
      <c r="A603" s="653">
        <v>45762</v>
      </c>
      <c r="B603" s="557">
        <v>1381</v>
      </c>
      <c r="C603" s="37">
        <v>80789</v>
      </c>
      <c r="D603" s="37">
        <v>1030</v>
      </c>
      <c r="E603" s="37">
        <v>5</v>
      </c>
      <c r="F603" s="37">
        <v>62299</v>
      </c>
      <c r="G603" s="37">
        <v>28</v>
      </c>
      <c r="H603" s="37">
        <v>7</v>
      </c>
      <c r="I603" s="558">
        <v>4</v>
      </c>
      <c r="J603" s="39">
        <f t="shared" si="161"/>
        <v>0.0127492604191165</v>
      </c>
      <c r="K603" s="559">
        <f t="shared" si="154"/>
        <v>1.34077669902913</v>
      </c>
      <c r="L603" s="559">
        <f t="shared" si="159"/>
        <v>17.0939112998057</v>
      </c>
      <c r="M603" s="559">
        <f t="shared" si="153"/>
        <v>45.1115133960898</v>
      </c>
      <c r="N603" s="39">
        <f t="shared" si="155"/>
        <v>0.00485436893203883</v>
      </c>
      <c r="O603" s="560">
        <f t="shared" si="156"/>
        <v>39.4571428571429</v>
      </c>
      <c r="P603">
        <f t="shared" si="157"/>
        <v>35</v>
      </c>
      <c r="Q603" s="667">
        <f t="shared" si="158"/>
        <v>0.0339805825242718</v>
      </c>
    </row>
    <row r="604" spans="1:17">
      <c r="A604" s="653">
        <v>45763</v>
      </c>
      <c r="B604" s="557">
        <v>2239</v>
      </c>
      <c r="C604" s="37">
        <v>80921</v>
      </c>
      <c r="D604" s="37">
        <v>1436</v>
      </c>
      <c r="E604" s="37">
        <v>3</v>
      </c>
      <c r="F604" s="37">
        <v>50586</v>
      </c>
      <c r="G604" s="37">
        <v>36</v>
      </c>
      <c r="H604" s="37">
        <v>20</v>
      </c>
      <c r="I604" s="558">
        <v>8</v>
      </c>
      <c r="J604" s="39">
        <f t="shared" si="161"/>
        <v>0.017745702598831</v>
      </c>
      <c r="K604" s="559">
        <f t="shared" si="154"/>
        <v>1.5591922005571</v>
      </c>
      <c r="L604" s="559">
        <f t="shared" si="159"/>
        <v>27.6689610855031</v>
      </c>
      <c r="M604" s="559">
        <f t="shared" si="153"/>
        <v>22.5931219294328</v>
      </c>
      <c r="N604" s="39">
        <f t="shared" si="155"/>
        <v>0.0020891364902507</v>
      </c>
      <c r="O604" s="560">
        <f t="shared" si="156"/>
        <v>39.9821428571429</v>
      </c>
      <c r="P604">
        <f t="shared" si="157"/>
        <v>56</v>
      </c>
      <c r="Q604" s="667">
        <f t="shared" si="158"/>
        <v>0.0389972144846797</v>
      </c>
    </row>
    <row r="605" spans="1:17">
      <c r="A605" s="653">
        <v>45764</v>
      </c>
      <c r="B605" s="557">
        <v>2843</v>
      </c>
      <c r="C605" s="37">
        <v>202022</v>
      </c>
      <c r="D605" s="37">
        <v>2034</v>
      </c>
      <c r="E605" s="37">
        <v>4</v>
      </c>
      <c r="F605" s="37">
        <v>76317</v>
      </c>
      <c r="G605" s="37">
        <v>54</v>
      </c>
      <c r="H605" s="37">
        <v>19</v>
      </c>
      <c r="I605" s="558">
        <v>10</v>
      </c>
      <c r="J605" s="39">
        <f t="shared" si="161"/>
        <v>0.0100682103929275</v>
      </c>
      <c r="K605" s="559">
        <f t="shared" si="154"/>
        <v>1.39773844641101</v>
      </c>
      <c r="L605" s="559">
        <f t="shared" si="159"/>
        <v>14.0727247527497</v>
      </c>
      <c r="M605" s="559">
        <f t="shared" si="153"/>
        <v>26.8438269433697</v>
      </c>
      <c r="N605" s="39">
        <f t="shared" si="155"/>
        <v>0.00196656833824975</v>
      </c>
      <c r="O605" s="560">
        <f t="shared" si="156"/>
        <v>38.9452054794521</v>
      </c>
      <c r="P605">
        <f t="shared" si="157"/>
        <v>73</v>
      </c>
      <c r="Q605" s="667">
        <f t="shared" si="158"/>
        <v>0.035889872173058</v>
      </c>
    </row>
    <row r="606" spans="1:17">
      <c r="A606" s="653">
        <v>45765</v>
      </c>
      <c r="B606" s="557">
        <v>2761</v>
      </c>
      <c r="C606" s="37">
        <v>154522</v>
      </c>
      <c r="D606" s="37">
        <v>1742</v>
      </c>
      <c r="E606" s="37">
        <v>3</v>
      </c>
      <c r="F606" s="37">
        <v>42324</v>
      </c>
      <c r="G606" s="37">
        <v>32</v>
      </c>
      <c r="H606" s="37">
        <v>18</v>
      </c>
      <c r="I606" s="558">
        <v>5</v>
      </c>
      <c r="J606" s="39">
        <f t="shared" si="161"/>
        <v>0.0112734756215943</v>
      </c>
      <c r="K606" s="559">
        <f t="shared" si="154"/>
        <v>1.5849598163031</v>
      </c>
      <c r="L606" s="559">
        <f t="shared" si="159"/>
        <v>17.8680058502996</v>
      </c>
      <c r="M606" s="559">
        <f t="shared" si="153"/>
        <v>15.3292285403839</v>
      </c>
      <c r="N606" s="39">
        <f t="shared" si="155"/>
        <v>0.00172215843857635</v>
      </c>
      <c r="O606" s="560">
        <f t="shared" si="156"/>
        <v>55.22</v>
      </c>
      <c r="P606">
        <f t="shared" si="157"/>
        <v>50</v>
      </c>
      <c r="Q606" s="667">
        <f t="shared" si="158"/>
        <v>0.0287026406429392</v>
      </c>
    </row>
    <row r="607" spans="1:17">
      <c r="A607" s="653">
        <v>45766</v>
      </c>
      <c r="B607" s="557">
        <v>2759</v>
      </c>
      <c r="C607" s="37">
        <v>40790</v>
      </c>
      <c r="D607" s="37">
        <v>1885</v>
      </c>
      <c r="E607" s="37">
        <v>2</v>
      </c>
      <c r="F607" s="37">
        <v>21712</v>
      </c>
      <c r="G607" s="37">
        <v>58</v>
      </c>
      <c r="H607" s="37">
        <v>32</v>
      </c>
      <c r="I607" s="558">
        <v>6</v>
      </c>
      <c r="J607" s="39">
        <f t="shared" si="161"/>
        <v>0.046212306937975</v>
      </c>
      <c r="K607" s="559">
        <f t="shared" si="154"/>
        <v>1.46366047745358</v>
      </c>
      <c r="L607" s="559">
        <f t="shared" si="159"/>
        <v>67.6391272370679</v>
      </c>
      <c r="M607" s="559">
        <f t="shared" si="153"/>
        <v>7.86951794128307</v>
      </c>
      <c r="N607" s="39">
        <f t="shared" si="155"/>
        <v>0.00106100795755968</v>
      </c>
      <c r="O607" s="560">
        <f t="shared" si="156"/>
        <v>30.6555555555556</v>
      </c>
      <c r="P607">
        <f t="shared" si="157"/>
        <v>90</v>
      </c>
      <c r="Q607" s="667">
        <f t="shared" si="158"/>
        <v>0.0477453580901857</v>
      </c>
    </row>
    <row r="608" spans="1:17">
      <c r="A608" s="653">
        <v>45767</v>
      </c>
      <c r="B608" s="557">
        <v>1984</v>
      </c>
      <c r="C608" s="37">
        <v>93146</v>
      </c>
      <c r="D608" s="37">
        <v>1439</v>
      </c>
      <c r="E608" s="37">
        <v>1</v>
      </c>
      <c r="F608" s="37">
        <v>14032</v>
      </c>
      <c r="G608" s="37">
        <v>41</v>
      </c>
      <c r="H608" s="37">
        <v>13</v>
      </c>
      <c r="I608" s="558">
        <v>5</v>
      </c>
      <c r="J608" s="39">
        <f t="shared" si="161"/>
        <v>0.0154488652223391</v>
      </c>
      <c r="K608" s="559">
        <f t="shared" si="154"/>
        <v>1.37873523280056</v>
      </c>
      <c r="L608" s="559">
        <f t="shared" si="159"/>
        <v>21.2998947888261</v>
      </c>
      <c r="M608" s="559">
        <f t="shared" si="153"/>
        <v>7.07258064516129</v>
      </c>
      <c r="N608" s="39">
        <f t="shared" si="155"/>
        <v>0.000694927032661571</v>
      </c>
      <c r="O608" s="560">
        <f t="shared" si="156"/>
        <v>36.7407407407407</v>
      </c>
      <c r="P608">
        <f t="shared" si="157"/>
        <v>54</v>
      </c>
      <c r="Q608" s="667">
        <f t="shared" si="158"/>
        <v>0.0375260597637248</v>
      </c>
    </row>
    <row r="609" spans="1:17">
      <c r="A609" s="653">
        <v>45768</v>
      </c>
      <c r="B609" s="557">
        <v>1645</v>
      </c>
      <c r="C609" s="37">
        <v>75773</v>
      </c>
      <c r="D609" s="37">
        <v>1367</v>
      </c>
      <c r="E609" s="37">
        <v>0</v>
      </c>
      <c r="F609" s="37">
        <v>0</v>
      </c>
      <c r="G609" s="37">
        <v>36</v>
      </c>
      <c r="H609" s="37">
        <v>6</v>
      </c>
      <c r="I609" s="558">
        <v>10</v>
      </c>
      <c r="J609" s="39">
        <f t="shared" si="161"/>
        <v>0.0180407269080015</v>
      </c>
      <c r="K609" s="559">
        <f t="shared" si="154"/>
        <v>1.2033650329188</v>
      </c>
      <c r="L609" s="559">
        <f t="shared" si="159"/>
        <v>21.7095799295263</v>
      </c>
      <c r="M609" s="559">
        <f t="shared" si="153"/>
        <v>0</v>
      </c>
      <c r="N609" s="39">
        <f t="shared" si="155"/>
        <v>0</v>
      </c>
      <c r="O609" s="560">
        <f t="shared" si="156"/>
        <v>39.1666666666667</v>
      </c>
      <c r="P609">
        <f t="shared" si="157"/>
        <v>42</v>
      </c>
      <c r="Q609" s="667">
        <f t="shared" si="158"/>
        <v>0.0307242136064375</v>
      </c>
    </row>
    <row r="610" spans="1:17">
      <c r="A610" s="653">
        <v>45769</v>
      </c>
      <c r="B610" s="557">
        <v>1646</v>
      </c>
      <c r="C610" s="37">
        <v>63539</v>
      </c>
      <c r="D610" s="37">
        <v>1172</v>
      </c>
      <c r="E610" s="37">
        <v>4</v>
      </c>
      <c r="F610" s="37">
        <v>52469</v>
      </c>
      <c r="G610" s="37">
        <v>28</v>
      </c>
      <c r="H610" s="37">
        <v>8</v>
      </c>
      <c r="I610" s="558">
        <v>6</v>
      </c>
      <c r="J610" s="39">
        <f t="shared" si="161"/>
        <v>0.0184453642644675</v>
      </c>
      <c r="K610" s="559">
        <f t="shared" si="154"/>
        <v>1.40443686006826</v>
      </c>
      <c r="L610" s="559">
        <f t="shared" si="159"/>
        <v>25.905349470404</v>
      </c>
      <c r="M610" s="559">
        <f t="shared" si="153"/>
        <v>31.8766707168894</v>
      </c>
      <c r="N610" s="39">
        <f t="shared" si="155"/>
        <v>0.00341296928327645</v>
      </c>
      <c r="O610" s="560">
        <f t="shared" si="156"/>
        <v>45.7222222222222</v>
      </c>
      <c r="P610">
        <f t="shared" si="157"/>
        <v>36</v>
      </c>
      <c r="Q610" s="667">
        <f t="shared" si="158"/>
        <v>0.0307167235494881</v>
      </c>
    </row>
    <row r="611" spans="1:17">
      <c r="A611" s="653">
        <v>45770</v>
      </c>
      <c r="B611" s="557">
        <v>1309</v>
      </c>
      <c r="C611" s="37">
        <v>49570</v>
      </c>
      <c r="D611" s="37">
        <v>1033</v>
      </c>
      <c r="E611" s="37">
        <v>0</v>
      </c>
      <c r="F611" s="37">
        <v>0</v>
      </c>
      <c r="G611" s="37">
        <v>37</v>
      </c>
      <c r="H611" s="37">
        <v>5</v>
      </c>
      <c r="I611" s="558">
        <v>3</v>
      </c>
      <c r="J611" s="39">
        <f t="shared" si="161"/>
        <v>0.0208392172685092</v>
      </c>
      <c r="K611" s="559">
        <f t="shared" si="154"/>
        <v>1.26718296224589</v>
      </c>
      <c r="L611" s="559">
        <f t="shared" si="159"/>
        <v>26.4071010691951</v>
      </c>
      <c r="M611" s="559">
        <f t="shared" si="153"/>
        <v>0</v>
      </c>
      <c r="N611" s="39">
        <f t="shared" si="155"/>
        <v>0</v>
      </c>
      <c r="O611" s="560">
        <f t="shared" si="156"/>
        <v>31.1666666666667</v>
      </c>
      <c r="P611">
        <f t="shared" si="157"/>
        <v>42</v>
      </c>
      <c r="Q611" s="667">
        <f t="shared" si="158"/>
        <v>0.0406582768635044</v>
      </c>
    </row>
    <row r="612" spans="1:17">
      <c r="A612" s="653">
        <v>45771</v>
      </c>
      <c r="B612" s="557">
        <v>1216</v>
      </c>
      <c r="C612" s="37">
        <v>28205</v>
      </c>
      <c r="D612" s="37">
        <v>894</v>
      </c>
      <c r="E612" s="37">
        <v>2</v>
      </c>
      <c r="F612" s="37">
        <v>13343</v>
      </c>
      <c r="G612" s="37">
        <v>17</v>
      </c>
      <c r="H612" s="37">
        <v>7</v>
      </c>
      <c r="I612" s="558">
        <v>1</v>
      </c>
      <c r="J612" s="39">
        <f t="shared" si="161"/>
        <v>0.0316965077113987</v>
      </c>
      <c r="K612" s="559">
        <f t="shared" si="154"/>
        <v>1.36017897091723</v>
      </c>
      <c r="L612" s="559">
        <f t="shared" si="159"/>
        <v>43.1129232405602</v>
      </c>
      <c r="M612" s="559">
        <f t="shared" si="153"/>
        <v>10.9728618421053</v>
      </c>
      <c r="N612" s="39">
        <f t="shared" si="155"/>
        <v>0.00223713646532438</v>
      </c>
      <c r="O612" s="560">
        <f t="shared" si="156"/>
        <v>50.6666666666667</v>
      </c>
      <c r="P612">
        <f t="shared" si="157"/>
        <v>24</v>
      </c>
      <c r="Q612" s="667">
        <f t="shared" si="158"/>
        <v>0.0268456375838926</v>
      </c>
    </row>
    <row r="613" spans="1:17">
      <c r="A613" s="653">
        <v>45772</v>
      </c>
      <c r="B613" s="557">
        <v>1430</v>
      </c>
      <c r="C613" s="37">
        <v>43147</v>
      </c>
      <c r="D613" s="37">
        <v>998</v>
      </c>
      <c r="E613" s="37">
        <v>4</v>
      </c>
      <c r="F613" s="37">
        <v>24406</v>
      </c>
      <c r="G613" s="37">
        <v>25</v>
      </c>
      <c r="H613" s="37">
        <v>7</v>
      </c>
      <c r="I613" s="558">
        <v>1</v>
      </c>
      <c r="J613" s="39">
        <f t="shared" si="161"/>
        <v>0.0231302292163998</v>
      </c>
      <c r="K613" s="559">
        <f t="shared" si="154"/>
        <v>1.43286573146293</v>
      </c>
      <c r="L613" s="559">
        <f t="shared" si="159"/>
        <v>33.1425128050618</v>
      </c>
      <c r="M613" s="559">
        <f t="shared" si="153"/>
        <v>17.0671328671329</v>
      </c>
      <c r="N613" s="39">
        <f t="shared" si="155"/>
        <v>0.00400801603206413</v>
      </c>
      <c r="O613" s="560">
        <f t="shared" si="156"/>
        <v>44.6875</v>
      </c>
      <c r="P613">
        <f t="shared" si="157"/>
        <v>32</v>
      </c>
      <c r="Q613" s="667">
        <f t="shared" si="158"/>
        <v>0.032064128256513</v>
      </c>
    </row>
    <row r="614" spans="1:17">
      <c r="A614" s="653">
        <v>45773</v>
      </c>
      <c r="B614" s="557">
        <v>1424</v>
      </c>
      <c r="C614" s="37">
        <v>38818</v>
      </c>
      <c r="D614" s="37">
        <v>1040</v>
      </c>
      <c r="E614" s="37">
        <v>1</v>
      </c>
      <c r="F614" s="37">
        <v>6934</v>
      </c>
      <c r="G614" s="37">
        <v>25</v>
      </c>
      <c r="H614" s="37">
        <v>8</v>
      </c>
      <c r="I614" s="558">
        <v>3</v>
      </c>
      <c r="J614" s="39">
        <f t="shared" si="161"/>
        <v>0.0267916945746818</v>
      </c>
      <c r="K614" s="559">
        <f t="shared" si="154"/>
        <v>1.36923076923077</v>
      </c>
      <c r="L614" s="559">
        <f t="shared" si="159"/>
        <v>36.6840125714875</v>
      </c>
      <c r="M614" s="559">
        <f t="shared" si="153"/>
        <v>4.86938202247191</v>
      </c>
      <c r="N614" s="39">
        <f t="shared" si="155"/>
        <v>0.000961538461538462</v>
      </c>
      <c r="O614" s="560">
        <f t="shared" si="156"/>
        <v>43.1515151515151</v>
      </c>
      <c r="P614">
        <f t="shared" si="157"/>
        <v>33</v>
      </c>
      <c r="Q614" s="667">
        <f t="shared" si="158"/>
        <v>0.0317307692307692</v>
      </c>
    </row>
    <row r="615" spans="1:17">
      <c r="A615" s="653">
        <v>45774</v>
      </c>
      <c r="B615" s="557">
        <v>1444</v>
      </c>
      <c r="C615" s="37">
        <v>64677</v>
      </c>
      <c r="D615" s="37">
        <v>1101</v>
      </c>
      <c r="E615" s="37">
        <v>2</v>
      </c>
      <c r="F615" s="37">
        <v>44758</v>
      </c>
      <c r="G615" s="37">
        <v>23</v>
      </c>
      <c r="H615" s="37">
        <v>6</v>
      </c>
      <c r="I615" s="558">
        <v>8</v>
      </c>
      <c r="J615" s="39">
        <f t="shared" si="161"/>
        <v>0.0170230530173014</v>
      </c>
      <c r="K615" s="559">
        <f t="shared" si="154"/>
        <v>1.31153496821072</v>
      </c>
      <c r="L615" s="559">
        <f t="shared" si="159"/>
        <v>22.3263292978957</v>
      </c>
      <c r="M615" s="559">
        <f t="shared" si="153"/>
        <v>30.9958448753463</v>
      </c>
      <c r="N615" s="39">
        <f t="shared" si="155"/>
        <v>0.00181653042688465</v>
      </c>
      <c r="O615" s="560">
        <f t="shared" si="156"/>
        <v>49.7931034482759</v>
      </c>
      <c r="P615">
        <f t="shared" si="157"/>
        <v>29</v>
      </c>
      <c r="Q615" s="667">
        <f t="shared" si="158"/>
        <v>0.0263396911898274</v>
      </c>
    </row>
    <row r="616" spans="1:17">
      <c r="A616" s="653">
        <v>45775</v>
      </c>
      <c r="B616" s="557">
        <v>1437</v>
      </c>
      <c r="C616" s="37">
        <v>50425</v>
      </c>
      <c r="D616" s="37">
        <v>917</v>
      </c>
      <c r="E616" s="37">
        <v>0</v>
      </c>
      <c r="F616" s="37">
        <v>0</v>
      </c>
      <c r="G616" s="37">
        <v>27</v>
      </c>
      <c r="H616" s="37">
        <v>6</v>
      </c>
      <c r="I616" s="558">
        <v>2</v>
      </c>
      <c r="J616" s="39">
        <f t="shared" si="161"/>
        <v>0.0181854238968765</v>
      </c>
      <c r="K616" s="559">
        <f t="shared" si="154"/>
        <v>1.56706652126499</v>
      </c>
      <c r="L616" s="559">
        <f t="shared" si="159"/>
        <v>28.4977689638076</v>
      </c>
      <c r="M616" s="559">
        <f t="shared" si="153"/>
        <v>0</v>
      </c>
      <c r="N616" s="39">
        <f t="shared" si="155"/>
        <v>0</v>
      </c>
      <c r="O616" s="560">
        <f t="shared" si="156"/>
        <v>43.5454545454545</v>
      </c>
      <c r="P616">
        <f t="shared" si="157"/>
        <v>33</v>
      </c>
      <c r="Q616" s="667">
        <f t="shared" si="158"/>
        <v>0.0359869138495093</v>
      </c>
    </row>
    <row r="617" spans="1:17">
      <c r="A617" s="653">
        <v>45776</v>
      </c>
      <c r="B617" s="557">
        <v>938</v>
      </c>
      <c r="C617" s="37">
        <v>32832</v>
      </c>
      <c r="D617" s="37">
        <v>585</v>
      </c>
      <c r="E617" s="37">
        <v>0</v>
      </c>
      <c r="F617" s="37">
        <v>0</v>
      </c>
      <c r="G617" s="37">
        <v>31</v>
      </c>
      <c r="H617" s="37">
        <v>7</v>
      </c>
      <c r="I617" s="558">
        <v>1</v>
      </c>
      <c r="J617" s="39">
        <f t="shared" si="161"/>
        <v>0.0178179824561404</v>
      </c>
      <c r="K617" s="559">
        <f t="shared" si="154"/>
        <v>1.6034188034188</v>
      </c>
      <c r="L617" s="559">
        <f t="shared" si="159"/>
        <v>28.5696881091618</v>
      </c>
      <c r="M617" s="559">
        <f t="shared" si="153"/>
        <v>0</v>
      </c>
      <c r="N617" s="39">
        <f t="shared" si="155"/>
        <v>0</v>
      </c>
      <c r="O617" s="560">
        <f t="shared" si="156"/>
        <v>24.6842105263158</v>
      </c>
      <c r="P617">
        <f t="shared" si="157"/>
        <v>38</v>
      </c>
      <c r="Q617" s="667">
        <f t="shared" si="158"/>
        <v>0.064957264957265</v>
      </c>
    </row>
    <row r="618" spans="1:17">
      <c r="A618" s="653">
        <v>45777</v>
      </c>
      <c r="B618" s="557">
        <v>940</v>
      </c>
      <c r="C618" s="37">
        <v>36544</v>
      </c>
      <c r="D618" s="37">
        <v>633</v>
      </c>
      <c r="E618" s="37">
        <v>0</v>
      </c>
      <c r="F618" s="37">
        <v>0</v>
      </c>
      <c r="G618" s="37">
        <v>27</v>
      </c>
      <c r="H618" s="37">
        <v>9</v>
      </c>
      <c r="I618" s="558">
        <v>1</v>
      </c>
      <c r="J618" s="39">
        <f t="shared" si="161"/>
        <v>0.017321584938704</v>
      </c>
      <c r="K618" s="559">
        <f t="shared" si="154"/>
        <v>1.48499210110585</v>
      </c>
      <c r="L618" s="559">
        <f t="shared" si="159"/>
        <v>25.7224168126095</v>
      </c>
      <c r="M618" s="559">
        <f t="shared" si="153"/>
        <v>0</v>
      </c>
      <c r="N618" s="39">
        <f t="shared" si="155"/>
        <v>0</v>
      </c>
      <c r="O618" s="560">
        <f t="shared" si="156"/>
        <v>26.1111111111111</v>
      </c>
      <c r="P618">
        <f t="shared" si="157"/>
        <v>36</v>
      </c>
      <c r="Q618" s="667">
        <f t="shared" si="158"/>
        <v>0.0568720379146919</v>
      </c>
    </row>
    <row r="619" spans="1:17">
      <c r="A619" s="653">
        <v>45778</v>
      </c>
      <c r="B619" s="557">
        <v>933</v>
      </c>
      <c r="C619" s="37">
        <v>33466</v>
      </c>
      <c r="D619" s="37">
        <v>593</v>
      </c>
      <c r="E619" s="37">
        <v>0</v>
      </c>
      <c r="F619" s="37">
        <v>0</v>
      </c>
      <c r="G619" s="37">
        <v>22</v>
      </c>
      <c r="H619" s="37">
        <v>11</v>
      </c>
      <c r="I619" s="558">
        <v>1</v>
      </c>
      <c r="J619" s="39">
        <f t="shared" si="161"/>
        <v>0.0177194764835953</v>
      </c>
      <c r="K619" s="559">
        <f t="shared" si="154"/>
        <v>1.57335581787521</v>
      </c>
      <c r="L619" s="559">
        <f t="shared" si="159"/>
        <v>27.8790414151676</v>
      </c>
      <c r="M619" s="559">
        <f t="shared" si="153"/>
        <v>0</v>
      </c>
      <c r="N619" s="39">
        <f t="shared" si="155"/>
        <v>0</v>
      </c>
      <c r="O619" s="560">
        <f t="shared" si="156"/>
        <v>28.2727272727273</v>
      </c>
      <c r="P619">
        <f t="shared" si="157"/>
        <v>33</v>
      </c>
      <c r="Q619" s="667">
        <f t="shared" si="158"/>
        <v>0.0556492411467116</v>
      </c>
    </row>
    <row r="620" spans="1:17">
      <c r="A620" s="653">
        <v>45779</v>
      </c>
      <c r="B620" s="557">
        <v>939</v>
      </c>
      <c r="C620" s="37">
        <v>44108</v>
      </c>
      <c r="D620" s="37">
        <v>710</v>
      </c>
      <c r="E620" s="37">
        <v>0</v>
      </c>
      <c r="F620" s="37">
        <v>0</v>
      </c>
      <c r="G620" s="37">
        <v>10</v>
      </c>
      <c r="H620" s="37">
        <v>13</v>
      </c>
      <c r="I620" s="558">
        <v>1</v>
      </c>
      <c r="J620" s="39">
        <f t="shared" si="161"/>
        <v>0.0160968531785617</v>
      </c>
      <c r="K620" s="559">
        <f t="shared" si="154"/>
        <v>1.32253521126761</v>
      </c>
      <c r="L620" s="559">
        <f t="shared" si="159"/>
        <v>21.2886551192527</v>
      </c>
      <c r="M620" s="559">
        <f t="shared" si="153"/>
        <v>0</v>
      </c>
      <c r="N620" s="39">
        <f t="shared" si="155"/>
        <v>0</v>
      </c>
      <c r="O620" s="560">
        <f t="shared" si="156"/>
        <v>40.8260869565217</v>
      </c>
      <c r="P620">
        <f t="shared" si="157"/>
        <v>23</v>
      </c>
      <c r="Q620" s="667">
        <f t="shared" si="158"/>
        <v>0.0323943661971831</v>
      </c>
    </row>
    <row r="621" spans="1:17">
      <c r="A621" s="653">
        <v>45780</v>
      </c>
      <c r="B621" s="557">
        <v>942</v>
      </c>
      <c r="C621" s="37">
        <v>49731</v>
      </c>
      <c r="D621" s="37">
        <v>679</v>
      </c>
      <c r="E621" s="37">
        <v>1</v>
      </c>
      <c r="F621" s="37">
        <v>47048</v>
      </c>
      <c r="G621" s="37">
        <v>18</v>
      </c>
      <c r="H621" s="37">
        <v>5</v>
      </c>
      <c r="I621" s="558">
        <v>1</v>
      </c>
      <c r="J621" s="39">
        <f t="shared" si="161"/>
        <v>0.01365345559108</v>
      </c>
      <c r="K621" s="559">
        <f t="shared" si="154"/>
        <v>1.38733431516937</v>
      </c>
      <c r="L621" s="559">
        <f t="shared" si="159"/>
        <v>18.9419074621463</v>
      </c>
      <c r="M621" s="559">
        <f t="shared" si="153"/>
        <v>49.9447983014862</v>
      </c>
      <c r="N621" s="39">
        <f t="shared" si="155"/>
        <v>0.00147275405007364</v>
      </c>
      <c r="O621" s="560">
        <f t="shared" si="156"/>
        <v>40.9565217391304</v>
      </c>
      <c r="P621">
        <f t="shared" si="157"/>
        <v>23</v>
      </c>
      <c r="Q621" s="667">
        <f t="shared" si="158"/>
        <v>0.0338733431516937</v>
      </c>
    </row>
    <row r="622" spans="1:17">
      <c r="A622" s="653">
        <v>45781</v>
      </c>
      <c r="B622" s="557">
        <v>937</v>
      </c>
      <c r="C622" s="37">
        <v>44499</v>
      </c>
      <c r="D622" s="37">
        <v>721</v>
      </c>
      <c r="E622" s="37">
        <v>0</v>
      </c>
      <c r="F622" s="37">
        <v>0</v>
      </c>
      <c r="G622" s="37">
        <v>26</v>
      </c>
      <c r="H622" s="37">
        <v>7</v>
      </c>
      <c r="I622" s="558">
        <v>3</v>
      </c>
      <c r="J622" s="39">
        <f t="shared" si="161"/>
        <v>0.0162026112946358</v>
      </c>
      <c r="K622" s="559">
        <f t="shared" si="154"/>
        <v>1.2995839112344</v>
      </c>
      <c r="L622" s="559">
        <f t="shared" si="159"/>
        <v>21.0566529584935</v>
      </c>
      <c r="M622" s="559">
        <f t="shared" ref="M622:M628" si="162">F622/B622</f>
        <v>0</v>
      </c>
      <c r="N622" s="39">
        <f t="shared" si="155"/>
        <v>0</v>
      </c>
      <c r="O622" s="560">
        <f t="shared" si="156"/>
        <v>28.3939393939394</v>
      </c>
      <c r="P622">
        <f t="shared" si="157"/>
        <v>33</v>
      </c>
      <c r="Q622" s="667">
        <f t="shared" si="158"/>
        <v>0.0457697642163662</v>
      </c>
    </row>
    <row r="623" spans="1:17">
      <c r="A623" s="653">
        <v>45782</v>
      </c>
      <c r="B623" s="557">
        <v>931</v>
      </c>
      <c r="C623" s="37">
        <v>64744</v>
      </c>
      <c r="D623" s="37">
        <v>738</v>
      </c>
      <c r="E623" s="37">
        <v>0</v>
      </c>
      <c r="F623" s="37">
        <v>0</v>
      </c>
      <c r="G623" s="37">
        <v>48</v>
      </c>
      <c r="H623" s="37">
        <v>12</v>
      </c>
      <c r="I623" s="558">
        <v>5</v>
      </c>
      <c r="J623" s="39">
        <f t="shared" si="161"/>
        <v>0.0113987396515507</v>
      </c>
      <c r="K623" s="559">
        <f t="shared" si="154"/>
        <v>1.26151761517615</v>
      </c>
      <c r="L623" s="559">
        <f t="shared" si="159"/>
        <v>14.3797108612381</v>
      </c>
      <c r="M623" s="559">
        <f t="shared" si="162"/>
        <v>0</v>
      </c>
      <c r="N623" s="39">
        <f t="shared" si="155"/>
        <v>0</v>
      </c>
      <c r="O623" s="560">
        <f t="shared" si="156"/>
        <v>15.5166666666667</v>
      </c>
      <c r="P623">
        <f t="shared" si="157"/>
        <v>60</v>
      </c>
      <c r="Q623" s="667">
        <f t="shared" si="158"/>
        <v>0.0813008130081301</v>
      </c>
    </row>
    <row r="624" spans="1:17">
      <c r="A624" s="653">
        <v>45783</v>
      </c>
      <c r="B624" s="557">
        <v>1756</v>
      </c>
      <c r="C624" s="37">
        <v>67332</v>
      </c>
      <c r="D624" s="37">
        <v>1731</v>
      </c>
      <c r="E624" s="37">
        <v>4</v>
      </c>
      <c r="F624" s="37">
        <v>23679</v>
      </c>
      <c r="G624" s="37">
        <v>51</v>
      </c>
      <c r="H624" s="37">
        <v>15</v>
      </c>
      <c r="I624" s="558">
        <v>8</v>
      </c>
      <c r="J624" s="39">
        <f t="shared" si="161"/>
        <v>0.0257084298698984</v>
      </c>
      <c r="K624" s="559">
        <f t="shared" si="154"/>
        <v>1.01444251877527</v>
      </c>
      <c r="L624" s="559">
        <f t="shared" si="159"/>
        <v>26.0797243509772</v>
      </c>
      <c r="M624" s="559">
        <f t="shared" si="162"/>
        <v>13.4846241457859</v>
      </c>
      <c r="N624" s="39">
        <f t="shared" si="155"/>
        <v>0.00231080300404391</v>
      </c>
      <c r="O624" s="560">
        <f t="shared" si="156"/>
        <v>26.6060606060606</v>
      </c>
      <c r="P624">
        <f t="shared" si="157"/>
        <v>66</v>
      </c>
      <c r="Q624" s="667">
        <f t="shared" si="158"/>
        <v>0.0381282495667244</v>
      </c>
    </row>
    <row r="625" spans="1:17">
      <c r="A625" s="653">
        <v>45784</v>
      </c>
      <c r="B625" s="557">
        <v>1346</v>
      </c>
      <c r="C625" s="37">
        <v>86268</v>
      </c>
      <c r="D625" s="37">
        <v>1814</v>
      </c>
      <c r="E625" s="37">
        <v>1</v>
      </c>
      <c r="F625" s="37">
        <v>27708</v>
      </c>
      <c r="G625" s="37">
        <v>43</v>
      </c>
      <c r="H625" s="37">
        <v>11</v>
      </c>
      <c r="I625" s="558">
        <v>5</v>
      </c>
      <c r="J625" s="39">
        <f t="shared" si="161"/>
        <v>0.02102749571104</v>
      </c>
      <c r="K625" s="559">
        <f t="shared" ref="K625:K688" si="163">B625/D625</f>
        <v>0.742006615214994</v>
      </c>
      <c r="L625" s="559">
        <f t="shared" si="159"/>
        <v>15.6025409189966</v>
      </c>
      <c r="M625" s="559">
        <f t="shared" si="162"/>
        <v>20.5854383358098</v>
      </c>
      <c r="N625" s="39">
        <f t="shared" ref="N625:N688" si="164">E625/D625</f>
        <v>0.000551267916207277</v>
      </c>
      <c r="O625" s="560">
        <f t="shared" ref="O625:O688" si="165">B625/(G625+H625)</f>
        <v>24.9259259259259</v>
      </c>
      <c r="P625">
        <f t="shared" ref="P625:P688" si="166">G625+H625</f>
        <v>54</v>
      </c>
      <c r="Q625" s="667">
        <f t="shared" ref="Q625:Q688" si="167">P625/D625</f>
        <v>0.0297684674751929</v>
      </c>
    </row>
    <row r="626" spans="1:17">
      <c r="A626" s="653">
        <v>45785</v>
      </c>
      <c r="B626" s="557">
        <v>1329</v>
      </c>
      <c r="C626" s="37">
        <v>95574</v>
      </c>
      <c r="D626" s="37">
        <v>1795</v>
      </c>
      <c r="E626" s="37">
        <v>3</v>
      </c>
      <c r="F626" s="37">
        <v>23806</v>
      </c>
      <c r="G626" s="37">
        <v>39</v>
      </c>
      <c r="H626" s="37">
        <v>12</v>
      </c>
      <c r="I626" s="558">
        <v>6</v>
      </c>
      <c r="J626" s="39">
        <f t="shared" si="161"/>
        <v>0.018781258501266</v>
      </c>
      <c r="K626" s="559">
        <f t="shared" si="163"/>
        <v>0.740389972144847</v>
      </c>
      <c r="L626" s="559">
        <f t="shared" ref="L626:L689" si="168">B626/C626*1000</f>
        <v>13.9054554585975</v>
      </c>
      <c r="M626" s="559">
        <f t="shared" si="162"/>
        <v>17.9127163280662</v>
      </c>
      <c r="N626" s="39">
        <f t="shared" si="164"/>
        <v>0.00167130919220056</v>
      </c>
      <c r="O626" s="560">
        <f t="shared" si="165"/>
        <v>26.0588235294118</v>
      </c>
      <c r="P626">
        <f t="shared" si="166"/>
        <v>51</v>
      </c>
      <c r="Q626" s="667">
        <f t="shared" si="167"/>
        <v>0.0284122562674095</v>
      </c>
    </row>
    <row r="627" spans="1:17">
      <c r="A627" s="653">
        <v>45786</v>
      </c>
      <c r="B627" s="557">
        <v>1609</v>
      </c>
      <c r="C627" s="37">
        <v>87273</v>
      </c>
      <c r="D627" s="37">
        <v>2436</v>
      </c>
      <c r="E627" s="37">
        <v>3</v>
      </c>
      <c r="F627" s="37">
        <v>31992</v>
      </c>
      <c r="G627" s="37">
        <v>25</v>
      </c>
      <c r="H627" s="37">
        <v>5</v>
      </c>
      <c r="I627" s="558">
        <v>3</v>
      </c>
      <c r="J627" s="39">
        <f t="shared" si="161"/>
        <v>0.0279124127737101</v>
      </c>
      <c r="K627" s="559">
        <f t="shared" si="163"/>
        <v>0.660509031198686</v>
      </c>
      <c r="L627" s="559">
        <f t="shared" si="168"/>
        <v>18.4364007195811</v>
      </c>
      <c r="M627" s="559">
        <f t="shared" si="162"/>
        <v>19.8831572405221</v>
      </c>
      <c r="N627" s="39">
        <f t="shared" si="164"/>
        <v>0.00123152709359606</v>
      </c>
      <c r="O627" s="560">
        <f t="shared" si="165"/>
        <v>53.6333333333333</v>
      </c>
      <c r="P627">
        <f t="shared" si="166"/>
        <v>30</v>
      </c>
      <c r="Q627" s="667">
        <f t="shared" si="167"/>
        <v>0.0123152709359606</v>
      </c>
    </row>
    <row r="628" spans="1:17">
      <c r="A628" s="653">
        <v>45787</v>
      </c>
      <c r="B628" s="557">
        <v>1306</v>
      </c>
      <c r="C628" s="37">
        <v>87754</v>
      </c>
      <c r="D628" s="37">
        <v>1641</v>
      </c>
      <c r="E628" s="37">
        <v>9</v>
      </c>
      <c r="F628" s="37">
        <v>63747</v>
      </c>
      <c r="G628" s="37">
        <v>28</v>
      </c>
      <c r="H628" s="37">
        <v>11</v>
      </c>
      <c r="I628" s="558">
        <v>2</v>
      </c>
      <c r="J628" s="39">
        <f t="shared" si="161"/>
        <v>0.0187000022790984</v>
      </c>
      <c r="K628" s="559">
        <f t="shared" si="163"/>
        <v>0.795856185252895</v>
      </c>
      <c r="L628" s="559">
        <f t="shared" si="168"/>
        <v>14.8825124780637</v>
      </c>
      <c r="M628" s="559">
        <f t="shared" si="162"/>
        <v>48.8108728943338</v>
      </c>
      <c r="N628" s="39">
        <f t="shared" si="164"/>
        <v>0.00548446069469835</v>
      </c>
      <c r="O628" s="560">
        <f t="shared" si="165"/>
        <v>33.4871794871795</v>
      </c>
      <c r="P628">
        <f t="shared" si="166"/>
        <v>39</v>
      </c>
      <c r="Q628" s="667">
        <f t="shared" si="167"/>
        <v>0.0237659963436929</v>
      </c>
    </row>
    <row r="629" spans="1:17">
      <c r="A629" s="653">
        <v>45788</v>
      </c>
      <c r="B629" s="557">
        <v>1835</v>
      </c>
      <c r="C629" s="37">
        <v>116336</v>
      </c>
      <c r="D629" s="37">
        <v>1905</v>
      </c>
      <c r="E629" s="37">
        <v>12</v>
      </c>
      <c r="F629" s="37">
        <v>122459</v>
      </c>
      <c r="G629" s="37">
        <v>62</v>
      </c>
      <c r="H629" s="37">
        <v>23</v>
      </c>
      <c r="I629" s="558">
        <v>3</v>
      </c>
      <c r="J629" s="39">
        <f t="shared" si="161"/>
        <v>0.016374982808417</v>
      </c>
      <c r="K629" s="559">
        <f t="shared" si="163"/>
        <v>0.963254593175853</v>
      </c>
      <c r="L629" s="559">
        <f t="shared" si="168"/>
        <v>15.7732774033833</v>
      </c>
      <c r="M629" s="559">
        <f t="shared" ref="M629:M692" si="169">F629/B629</f>
        <v>66.7351498637602</v>
      </c>
      <c r="N629" s="39">
        <f t="shared" si="164"/>
        <v>0.0062992125984252</v>
      </c>
      <c r="O629" s="560">
        <f t="shared" si="165"/>
        <v>21.5882352941176</v>
      </c>
      <c r="P629">
        <f t="shared" si="166"/>
        <v>85</v>
      </c>
      <c r="Q629" s="667">
        <f t="shared" si="167"/>
        <v>0.0446194225721785</v>
      </c>
    </row>
    <row r="630" spans="1:17">
      <c r="A630" s="653">
        <v>45789</v>
      </c>
      <c r="B630" s="557">
        <v>2384</v>
      </c>
      <c r="C630" s="37">
        <v>90910</v>
      </c>
      <c r="D630" s="37">
        <v>1591</v>
      </c>
      <c r="E630" s="37">
        <v>12</v>
      </c>
      <c r="F630" s="37">
        <v>154782</v>
      </c>
      <c r="G630" s="37">
        <v>58</v>
      </c>
      <c r="H630" s="37">
        <v>24</v>
      </c>
      <c r="I630" s="558">
        <v>15</v>
      </c>
      <c r="J630" s="39">
        <f t="shared" si="161"/>
        <v>0.0175008249917501</v>
      </c>
      <c r="K630" s="559">
        <f t="shared" si="163"/>
        <v>1.49842866121936</v>
      </c>
      <c r="L630" s="559">
        <f t="shared" si="168"/>
        <v>26.2237377626224</v>
      </c>
      <c r="M630" s="559">
        <f t="shared" si="169"/>
        <v>64.9253355704698</v>
      </c>
      <c r="N630" s="39">
        <f t="shared" si="164"/>
        <v>0.00754242614707731</v>
      </c>
      <c r="O630" s="560">
        <f t="shared" si="165"/>
        <v>29.0731707317073</v>
      </c>
      <c r="P630">
        <f t="shared" si="166"/>
        <v>82</v>
      </c>
      <c r="Q630" s="667">
        <f t="shared" si="167"/>
        <v>0.0515399120050283</v>
      </c>
    </row>
    <row r="631" spans="1:17">
      <c r="A631" s="653">
        <v>45790</v>
      </c>
      <c r="B631" s="557">
        <v>2514</v>
      </c>
      <c r="C631" s="37">
        <v>80840</v>
      </c>
      <c r="D631" s="37">
        <v>1262</v>
      </c>
      <c r="E631" s="37">
        <v>21</v>
      </c>
      <c r="F631" s="37">
        <v>211846</v>
      </c>
      <c r="G631" s="37">
        <v>77</v>
      </c>
      <c r="H631" s="37">
        <v>22</v>
      </c>
      <c r="I631" s="558">
        <v>2</v>
      </c>
      <c r="J631" s="39">
        <f t="shared" ref="J631:J692" si="170">D631/C631</f>
        <v>0.0156110836219693</v>
      </c>
      <c r="K631" s="559">
        <f t="shared" si="163"/>
        <v>1.99207606973059</v>
      </c>
      <c r="L631" s="559">
        <f t="shared" si="168"/>
        <v>31.0984661058882</v>
      </c>
      <c r="M631" s="559">
        <f t="shared" si="169"/>
        <v>84.266507557677</v>
      </c>
      <c r="N631" s="39">
        <f t="shared" si="164"/>
        <v>0.0166402535657686</v>
      </c>
      <c r="O631" s="560">
        <f t="shared" si="165"/>
        <v>25.3939393939394</v>
      </c>
      <c r="P631">
        <f t="shared" si="166"/>
        <v>99</v>
      </c>
      <c r="Q631" s="667">
        <f t="shared" si="167"/>
        <v>0.0784469096671949</v>
      </c>
    </row>
    <row r="632" spans="1:17">
      <c r="A632" s="653">
        <v>45791</v>
      </c>
      <c r="B632" s="557">
        <v>4214</v>
      </c>
      <c r="C632" s="37">
        <v>96636</v>
      </c>
      <c r="D632" s="37">
        <v>2058</v>
      </c>
      <c r="E632" s="37">
        <v>26</v>
      </c>
      <c r="F632" s="37">
        <v>268593</v>
      </c>
      <c r="G632" s="37">
        <v>94</v>
      </c>
      <c r="H632" s="37">
        <v>29</v>
      </c>
      <c r="I632" s="558">
        <v>12</v>
      </c>
      <c r="J632" s="39">
        <f t="shared" si="170"/>
        <v>0.0212964112753011</v>
      </c>
      <c r="K632" s="559">
        <f t="shared" si="163"/>
        <v>2.04761904761905</v>
      </c>
      <c r="L632" s="559">
        <f t="shared" si="168"/>
        <v>43.6069373732357</v>
      </c>
      <c r="M632" s="559">
        <f t="shared" si="169"/>
        <v>63.7382534409113</v>
      </c>
      <c r="N632" s="39">
        <f t="shared" si="164"/>
        <v>0.0126336248785228</v>
      </c>
      <c r="O632" s="560">
        <f t="shared" si="165"/>
        <v>34.260162601626</v>
      </c>
      <c r="P632">
        <f t="shared" si="166"/>
        <v>123</v>
      </c>
      <c r="Q632" s="667">
        <f t="shared" si="167"/>
        <v>0.0597667638483965</v>
      </c>
    </row>
    <row r="633" spans="1:17">
      <c r="A633" s="653">
        <v>45792</v>
      </c>
      <c r="B633" s="557">
        <v>7144</v>
      </c>
      <c r="C633" s="37">
        <v>47417</v>
      </c>
      <c r="D633" s="37">
        <v>2494</v>
      </c>
      <c r="E633" s="37">
        <v>23</v>
      </c>
      <c r="F633" s="37">
        <v>239644</v>
      </c>
      <c r="G633" s="37">
        <v>105</v>
      </c>
      <c r="H633" s="37">
        <v>20</v>
      </c>
      <c r="I633" s="558">
        <v>12</v>
      </c>
      <c r="J633" s="39">
        <f t="shared" si="170"/>
        <v>0.052597169791425</v>
      </c>
      <c r="K633" s="559">
        <f t="shared" si="163"/>
        <v>2.8644747393745</v>
      </c>
      <c r="L633" s="559">
        <f t="shared" si="168"/>
        <v>150.663264230128</v>
      </c>
      <c r="M633" s="559">
        <f t="shared" si="169"/>
        <v>33.5447928331467</v>
      </c>
      <c r="N633" s="39">
        <f t="shared" si="164"/>
        <v>0.00922213311948677</v>
      </c>
      <c r="O633" s="560">
        <f t="shared" si="165"/>
        <v>57.152</v>
      </c>
      <c r="P633">
        <f t="shared" si="166"/>
        <v>125</v>
      </c>
      <c r="Q633" s="667">
        <f t="shared" si="167"/>
        <v>0.0501202886928629</v>
      </c>
    </row>
    <row r="634" spans="1:17">
      <c r="A634" s="653">
        <v>45793</v>
      </c>
      <c r="B634" s="557">
        <v>4955</v>
      </c>
      <c r="C634" s="37">
        <v>110862</v>
      </c>
      <c r="D634" s="37">
        <v>1782</v>
      </c>
      <c r="E634" s="37">
        <v>21</v>
      </c>
      <c r="F634" s="37">
        <v>221982</v>
      </c>
      <c r="G634" s="37">
        <v>78</v>
      </c>
      <c r="H634" s="37">
        <v>24</v>
      </c>
      <c r="I634" s="558">
        <v>3</v>
      </c>
      <c r="J634" s="39">
        <f t="shared" si="170"/>
        <v>0.0160740379931807</v>
      </c>
      <c r="K634" s="559">
        <f t="shared" si="163"/>
        <v>2.78058361391695</v>
      </c>
      <c r="L634" s="559">
        <f t="shared" si="168"/>
        <v>44.6952066533167</v>
      </c>
      <c r="M634" s="559">
        <f t="shared" si="169"/>
        <v>44.7995963673058</v>
      </c>
      <c r="N634" s="39">
        <f t="shared" si="164"/>
        <v>0.0117845117845118</v>
      </c>
      <c r="O634" s="560">
        <f t="shared" si="165"/>
        <v>48.578431372549</v>
      </c>
      <c r="P634">
        <f t="shared" si="166"/>
        <v>102</v>
      </c>
      <c r="Q634" s="667">
        <f t="shared" si="167"/>
        <v>0.0572390572390572</v>
      </c>
    </row>
    <row r="635" spans="1:17">
      <c r="A635" s="653">
        <v>45794</v>
      </c>
      <c r="B635" s="557">
        <v>3830</v>
      </c>
      <c r="C635" s="37">
        <v>114903</v>
      </c>
      <c r="D635" s="37">
        <v>2056</v>
      </c>
      <c r="E635" s="37">
        <v>10</v>
      </c>
      <c r="F635" s="37">
        <v>129474</v>
      </c>
      <c r="G635" s="37">
        <v>97</v>
      </c>
      <c r="H635" s="37">
        <v>35</v>
      </c>
      <c r="I635" s="558">
        <v>5</v>
      </c>
      <c r="J635" s="39">
        <f t="shared" si="170"/>
        <v>0.017893353524277</v>
      </c>
      <c r="K635" s="559">
        <f t="shared" si="163"/>
        <v>1.86284046692607</v>
      </c>
      <c r="L635" s="559">
        <f t="shared" si="168"/>
        <v>33.3324630340374</v>
      </c>
      <c r="M635" s="559">
        <f t="shared" si="169"/>
        <v>33.8052219321149</v>
      </c>
      <c r="N635" s="39">
        <f t="shared" si="164"/>
        <v>0.00486381322957198</v>
      </c>
      <c r="O635" s="560">
        <f t="shared" si="165"/>
        <v>29.0151515151515</v>
      </c>
      <c r="P635">
        <f t="shared" si="166"/>
        <v>132</v>
      </c>
      <c r="Q635" s="667">
        <f t="shared" si="167"/>
        <v>0.0642023346303502</v>
      </c>
    </row>
    <row r="636" spans="1:17">
      <c r="A636" s="653">
        <v>45795</v>
      </c>
      <c r="B636" s="557">
        <v>3639</v>
      </c>
      <c r="C636" s="37">
        <v>120124</v>
      </c>
      <c r="D636" s="37">
        <v>2041</v>
      </c>
      <c r="E636" s="37">
        <v>14</v>
      </c>
      <c r="F636" s="37">
        <v>148775</v>
      </c>
      <c r="G636" s="37">
        <v>119</v>
      </c>
      <c r="H636" s="37">
        <v>27</v>
      </c>
      <c r="I636" s="558">
        <v>7</v>
      </c>
      <c r="J636" s="39">
        <f t="shared" si="170"/>
        <v>0.0169907761979288</v>
      </c>
      <c r="K636" s="559">
        <f t="shared" si="163"/>
        <v>1.78294953454189</v>
      </c>
      <c r="L636" s="559">
        <f t="shared" si="168"/>
        <v>30.2936965136026</v>
      </c>
      <c r="M636" s="559">
        <f t="shared" si="169"/>
        <v>40.8834844737565</v>
      </c>
      <c r="N636" s="39">
        <f t="shared" si="164"/>
        <v>0.006859382655561</v>
      </c>
      <c r="O636" s="560">
        <f t="shared" si="165"/>
        <v>24.9246575342466</v>
      </c>
      <c r="P636">
        <f t="shared" si="166"/>
        <v>146</v>
      </c>
      <c r="Q636" s="667">
        <f t="shared" si="167"/>
        <v>0.0715335619794219</v>
      </c>
    </row>
    <row r="637" spans="1:17">
      <c r="A637" s="653">
        <v>45796</v>
      </c>
      <c r="B637" s="557">
        <v>4364</v>
      </c>
      <c r="C637" s="37">
        <v>203817</v>
      </c>
      <c r="D637" s="37">
        <v>3308</v>
      </c>
      <c r="E637" s="37">
        <v>13</v>
      </c>
      <c r="F637" s="37">
        <v>174151</v>
      </c>
      <c r="G637" s="37">
        <v>143</v>
      </c>
      <c r="H637" s="37">
        <v>29</v>
      </c>
      <c r="I637" s="558">
        <v>15</v>
      </c>
      <c r="J637" s="39">
        <f t="shared" si="170"/>
        <v>0.0162302457596766</v>
      </c>
      <c r="K637" s="559">
        <f t="shared" si="163"/>
        <v>1.3192261185006</v>
      </c>
      <c r="L637" s="559">
        <f t="shared" si="168"/>
        <v>21.411364115849</v>
      </c>
      <c r="M637" s="559">
        <f t="shared" si="169"/>
        <v>39.9062786434464</v>
      </c>
      <c r="N637" s="39">
        <f t="shared" si="164"/>
        <v>0.00392986698911729</v>
      </c>
      <c r="O637" s="560">
        <f t="shared" si="165"/>
        <v>25.3720930232558</v>
      </c>
      <c r="P637">
        <f t="shared" si="166"/>
        <v>172</v>
      </c>
      <c r="Q637" s="667">
        <f t="shared" si="167"/>
        <v>0.0519951632406288</v>
      </c>
    </row>
    <row r="638" spans="1:17">
      <c r="A638" s="653">
        <v>45797</v>
      </c>
      <c r="B638" s="557">
        <v>3818</v>
      </c>
      <c r="C638" s="37">
        <v>151944</v>
      </c>
      <c r="D638" s="37">
        <v>2688</v>
      </c>
      <c r="E638" s="37">
        <v>22</v>
      </c>
      <c r="F638" s="37">
        <v>230368</v>
      </c>
      <c r="G638" s="37">
        <v>115</v>
      </c>
      <c r="H638" s="37">
        <v>28</v>
      </c>
      <c r="I638" s="558">
        <v>12</v>
      </c>
      <c r="J638" s="39">
        <f t="shared" si="170"/>
        <v>0.0176907281630074</v>
      </c>
      <c r="K638" s="559">
        <f t="shared" si="163"/>
        <v>1.4203869047619</v>
      </c>
      <c r="L638" s="559">
        <f t="shared" si="168"/>
        <v>25.1276786184384</v>
      </c>
      <c r="M638" s="559">
        <f t="shared" si="169"/>
        <v>60.3373493975904</v>
      </c>
      <c r="N638" s="39">
        <f t="shared" si="164"/>
        <v>0.00818452380952381</v>
      </c>
      <c r="O638" s="560">
        <f t="shared" si="165"/>
        <v>26.6993006993007</v>
      </c>
      <c r="P638">
        <f t="shared" si="166"/>
        <v>143</v>
      </c>
      <c r="Q638" s="667">
        <f t="shared" si="167"/>
        <v>0.0531994047619048</v>
      </c>
    </row>
    <row r="639" spans="1:17">
      <c r="A639" s="653">
        <v>45798</v>
      </c>
      <c r="B639" s="557">
        <v>3661</v>
      </c>
      <c r="C639" s="37">
        <v>75893</v>
      </c>
      <c r="D639" s="37">
        <v>2032</v>
      </c>
      <c r="E639" s="37">
        <v>12</v>
      </c>
      <c r="F639" s="37">
        <v>138561</v>
      </c>
      <c r="G639" s="37">
        <v>115</v>
      </c>
      <c r="H639" s="37">
        <v>28</v>
      </c>
      <c r="I639" s="558">
        <v>11</v>
      </c>
      <c r="J639" s="39">
        <f t="shared" si="170"/>
        <v>0.0267745378361641</v>
      </c>
      <c r="K639" s="559">
        <f t="shared" si="163"/>
        <v>1.80167322834646</v>
      </c>
      <c r="L639" s="559">
        <f t="shared" si="168"/>
        <v>48.2389680207661</v>
      </c>
      <c r="M639" s="559">
        <f t="shared" si="169"/>
        <v>37.8478557771101</v>
      </c>
      <c r="N639" s="39">
        <f t="shared" si="164"/>
        <v>0.00590551181102362</v>
      </c>
      <c r="O639" s="560">
        <f t="shared" si="165"/>
        <v>25.6013986013986</v>
      </c>
      <c r="P639">
        <f t="shared" si="166"/>
        <v>143</v>
      </c>
      <c r="Q639" s="667">
        <f t="shared" si="167"/>
        <v>0.0703740157480315</v>
      </c>
    </row>
    <row r="640" spans="1:17">
      <c r="A640" s="653">
        <v>45799</v>
      </c>
      <c r="B640" s="557">
        <v>3345</v>
      </c>
      <c r="C640" s="37">
        <v>72056</v>
      </c>
      <c r="D640" s="37">
        <v>2021</v>
      </c>
      <c r="E640" s="37">
        <v>8</v>
      </c>
      <c r="F640" s="37">
        <v>105911</v>
      </c>
      <c r="G640" s="37">
        <v>87</v>
      </c>
      <c r="H640" s="37">
        <v>23</v>
      </c>
      <c r="I640" s="558">
        <v>6</v>
      </c>
      <c r="J640" s="39">
        <f t="shared" si="170"/>
        <v>0.0280476296214056</v>
      </c>
      <c r="K640" s="559">
        <f t="shared" si="163"/>
        <v>1.65512122711529</v>
      </c>
      <c r="L640" s="559">
        <f t="shared" si="168"/>
        <v>46.4222271566559</v>
      </c>
      <c r="M640" s="559">
        <f t="shared" si="169"/>
        <v>31.6624813153961</v>
      </c>
      <c r="N640" s="39">
        <f t="shared" si="164"/>
        <v>0.00395843641761504</v>
      </c>
      <c r="O640" s="560">
        <f t="shared" si="165"/>
        <v>30.4090909090909</v>
      </c>
      <c r="P640">
        <f t="shared" si="166"/>
        <v>110</v>
      </c>
      <c r="Q640" s="667">
        <f t="shared" si="167"/>
        <v>0.0544285007422068</v>
      </c>
    </row>
    <row r="641" spans="1:17">
      <c r="A641" s="653">
        <v>45800</v>
      </c>
      <c r="B641" s="557">
        <v>2688</v>
      </c>
      <c r="C641" s="37">
        <v>64034</v>
      </c>
      <c r="D641" s="37">
        <v>1442</v>
      </c>
      <c r="E641" s="37">
        <v>7</v>
      </c>
      <c r="F641" s="37">
        <v>84601</v>
      </c>
      <c r="G641" s="37">
        <v>65</v>
      </c>
      <c r="H641" s="37">
        <v>12</v>
      </c>
      <c r="I641" s="558">
        <v>9</v>
      </c>
      <c r="J641" s="39">
        <f t="shared" si="170"/>
        <v>0.0225192866289784</v>
      </c>
      <c r="K641" s="559">
        <f t="shared" si="163"/>
        <v>1.86407766990291</v>
      </c>
      <c r="L641" s="559">
        <f t="shared" si="168"/>
        <v>41.9776993472218</v>
      </c>
      <c r="M641" s="559">
        <f t="shared" si="169"/>
        <v>31.4735863095238</v>
      </c>
      <c r="N641" s="39">
        <f t="shared" si="164"/>
        <v>0.00485436893203883</v>
      </c>
      <c r="O641" s="560">
        <f t="shared" si="165"/>
        <v>34.9090909090909</v>
      </c>
      <c r="P641">
        <f t="shared" si="166"/>
        <v>77</v>
      </c>
      <c r="Q641" s="667">
        <f t="shared" si="167"/>
        <v>0.0533980582524272</v>
      </c>
    </row>
    <row r="642" spans="1:17">
      <c r="A642" s="653">
        <v>45801</v>
      </c>
      <c r="B642" s="557">
        <v>1613</v>
      </c>
      <c r="C642" s="37">
        <v>48589</v>
      </c>
      <c r="D642" s="37">
        <v>833</v>
      </c>
      <c r="E642" s="37">
        <v>6</v>
      </c>
      <c r="F642" s="37">
        <v>67274</v>
      </c>
      <c r="G642" s="37">
        <v>33</v>
      </c>
      <c r="H642" s="37">
        <v>19</v>
      </c>
      <c r="I642" s="558">
        <v>4</v>
      </c>
      <c r="J642" s="39">
        <f t="shared" si="170"/>
        <v>0.0171437979789664</v>
      </c>
      <c r="K642" s="559">
        <f t="shared" si="163"/>
        <v>1.93637454981993</v>
      </c>
      <c r="L642" s="559">
        <f t="shared" si="168"/>
        <v>33.1968140937249</v>
      </c>
      <c r="M642" s="559">
        <f t="shared" si="169"/>
        <v>41.7073775573466</v>
      </c>
      <c r="N642" s="39">
        <f t="shared" si="164"/>
        <v>0.00720288115246098</v>
      </c>
      <c r="O642" s="560">
        <f t="shared" si="165"/>
        <v>31.0192307692308</v>
      </c>
      <c r="P642">
        <f t="shared" si="166"/>
        <v>52</v>
      </c>
      <c r="Q642" s="667">
        <f t="shared" si="167"/>
        <v>0.0624249699879952</v>
      </c>
    </row>
    <row r="643" spans="1:17">
      <c r="A643" s="653">
        <v>45802</v>
      </c>
      <c r="B643" s="557">
        <v>1605</v>
      </c>
      <c r="C643" s="37">
        <v>44925</v>
      </c>
      <c r="D643" s="37">
        <v>897</v>
      </c>
      <c r="E643" s="37">
        <v>3</v>
      </c>
      <c r="F643" s="37">
        <v>37091</v>
      </c>
      <c r="G643" s="37">
        <v>53</v>
      </c>
      <c r="H643" s="37">
        <v>13</v>
      </c>
      <c r="I643" s="558">
        <v>10</v>
      </c>
      <c r="J643" s="39">
        <f t="shared" si="170"/>
        <v>0.0199666110183639</v>
      </c>
      <c r="K643" s="559">
        <f t="shared" si="163"/>
        <v>1.78929765886288</v>
      </c>
      <c r="L643" s="559">
        <f t="shared" si="168"/>
        <v>35.7262103505843</v>
      </c>
      <c r="M643" s="559">
        <f t="shared" si="169"/>
        <v>23.1096573208723</v>
      </c>
      <c r="N643" s="39">
        <f t="shared" si="164"/>
        <v>0.00334448160535117</v>
      </c>
      <c r="O643" s="560">
        <f t="shared" si="165"/>
        <v>24.3181818181818</v>
      </c>
      <c r="P643">
        <f t="shared" si="166"/>
        <v>66</v>
      </c>
      <c r="Q643" s="667">
        <f t="shared" si="167"/>
        <v>0.0735785953177258</v>
      </c>
    </row>
    <row r="644" spans="1:17">
      <c r="A644" s="653">
        <v>45803</v>
      </c>
      <c r="B644" s="557">
        <v>4000</v>
      </c>
      <c r="C644" s="37">
        <v>47237</v>
      </c>
      <c r="D644" s="37">
        <v>2318</v>
      </c>
      <c r="E644" s="37">
        <v>10</v>
      </c>
      <c r="F644" s="37">
        <v>125191</v>
      </c>
      <c r="G644" s="37">
        <v>71</v>
      </c>
      <c r="H644" s="37">
        <v>15</v>
      </c>
      <c r="I644" s="558">
        <v>8</v>
      </c>
      <c r="J644" s="39">
        <f t="shared" si="170"/>
        <v>0.0490717022672905</v>
      </c>
      <c r="K644" s="559">
        <f t="shared" si="163"/>
        <v>1.72562553925798</v>
      </c>
      <c r="L644" s="559">
        <f t="shared" si="168"/>
        <v>84.6793826873002</v>
      </c>
      <c r="M644" s="559">
        <f t="shared" si="169"/>
        <v>31.29775</v>
      </c>
      <c r="N644" s="39">
        <f t="shared" si="164"/>
        <v>0.00431406384814495</v>
      </c>
      <c r="O644" s="560">
        <f t="shared" si="165"/>
        <v>46.5116279069767</v>
      </c>
      <c r="P644">
        <f t="shared" si="166"/>
        <v>86</v>
      </c>
      <c r="Q644" s="667">
        <f t="shared" si="167"/>
        <v>0.0371009490940466</v>
      </c>
    </row>
    <row r="645" spans="1:17">
      <c r="A645" s="653">
        <v>45804</v>
      </c>
      <c r="B645" s="557">
        <v>3490</v>
      </c>
      <c r="C645" s="37">
        <v>54714</v>
      </c>
      <c r="D645" s="37">
        <v>1818</v>
      </c>
      <c r="E645" s="37">
        <v>6</v>
      </c>
      <c r="F645" s="37">
        <v>60661</v>
      </c>
      <c r="G645" s="37">
        <v>91</v>
      </c>
      <c r="H645" s="37">
        <v>27</v>
      </c>
      <c r="I645" s="558">
        <v>11</v>
      </c>
      <c r="J645" s="39">
        <f t="shared" si="170"/>
        <v>0.0332273275578463</v>
      </c>
      <c r="K645" s="559">
        <f t="shared" si="163"/>
        <v>1.91969196919692</v>
      </c>
      <c r="L645" s="559">
        <f t="shared" si="168"/>
        <v>63.7862338706729</v>
      </c>
      <c r="M645" s="559">
        <f t="shared" si="169"/>
        <v>17.3813753581662</v>
      </c>
      <c r="N645" s="39">
        <f t="shared" si="164"/>
        <v>0.0033003300330033</v>
      </c>
      <c r="O645" s="560">
        <f t="shared" si="165"/>
        <v>29.5762711864407</v>
      </c>
      <c r="P645">
        <f t="shared" si="166"/>
        <v>118</v>
      </c>
      <c r="Q645" s="667">
        <f t="shared" si="167"/>
        <v>0.0649064906490649</v>
      </c>
    </row>
    <row r="646" spans="1:17">
      <c r="A646" s="653">
        <v>45805</v>
      </c>
      <c r="B646" s="557">
        <v>2878</v>
      </c>
      <c r="C646" s="37">
        <v>62462</v>
      </c>
      <c r="D646" s="37">
        <v>1688</v>
      </c>
      <c r="E646" s="37">
        <v>7</v>
      </c>
      <c r="F646" s="37">
        <v>67846</v>
      </c>
      <c r="G646" s="37">
        <v>51</v>
      </c>
      <c r="H646" s="37">
        <v>14</v>
      </c>
      <c r="I646" s="558">
        <v>15</v>
      </c>
      <c r="J646" s="39">
        <f t="shared" si="170"/>
        <v>0.0270244308539592</v>
      </c>
      <c r="K646" s="559">
        <f t="shared" si="163"/>
        <v>1.70497630331754</v>
      </c>
      <c r="L646" s="559">
        <f t="shared" si="168"/>
        <v>46.0760142166437</v>
      </c>
      <c r="M646" s="559">
        <f t="shared" si="169"/>
        <v>23.5740097289785</v>
      </c>
      <c r="N646" s="39">
        <f t="shared" si="164"/>
        <v>0.00414691943127962</v>
      </c>
      <c r="O646" s="560">
        <f t="shared" si="165"/>
        <v>44.2769230769231</v>
      </c>
      <c r="P646">
        <f t="shared" si="166"/>
        <v>65</v>
      </c>
      <c r="Q646" s="667">
        <f t="shared" si="167"/>
        <v>0.0385071090047393</v>
      </c>
    </row>
    <row r="647" spans="1:17">
      <c r="A647" s="653">
        <v>45806</v>
      </c>
      <c r="B647" s="557">
        <v>2943</v>
      </c>
      <c r="C647" s="37">
        <v>72731</v>
      </c>
      <c r="D647" s="37">
        <v>1639</v>
      </c>
      <c r="E647" s="37">
        <v>10</v>
      </c>
      <c r="F647" s="37">
        <v>113158</v>
      </c>
      <c r="G647" s="37">
        <v>87</v>
      </c>
      <c r="H647" s="37">
        <v>12</v>
      </c>
      <c r="I647" s="558">
        <v>6</v>
      </c>
      <c r="J647" s="39">
        <f t="shared" si="170"/>
        <v>0.0225350950763773</v>
      </c>
      <c r="K647" s="559">
        <f t="shared" si="163"/>
        <v>1.79560707748627</v>
      </c>
      <c r="L647" s="559">
        <f t="shared" si="168"/>
        <v>40.4641762109692</v>
      </c>
      <c r="M647" s="559">
        <f t="shared" si="169"/>
        <v>38.4498810737343</v>
      </c>
      <c r="N647" s="39">
        <f t="shared" si="164"/>
        <v>0.0061012812690665</v>
      </c>
      <c r="O647" s="560">
        <f t="shared" si="165"/>
        <v>29.7272727272727</v>
      </c>
      <c r="P647">
        <f t="shared" si="166"/>
        <v>99</v>
      </c>
      <c r="Q647" s="667">
        <f t="shared" si="167"/>
        <v>0.0604026845637584</v>
      </c>
    </row>
    <row r="648" spans="1:17">
      <c r="A648" s="653">
        <v>45807</v>
      </c>
      <c r="B648" s="557">
        <v>2897</v>
      </c>
      <c r="C648" s="37">
        <v>54729</v>
      </c>
      <c r="D648" s="37">
        <v>1735</v>
      </c>
      <c r="E648" s="37">
        <v>9</v>
      </c>
      <c r="F648" s="37">
        <v>98427</v>
      </c>
      <c r="G648" s="37">
        <v>72</v>
      </c>
      <c r="H648" s="37">
        <v>15</v>
      </c>
      <c r="I648" s="558">
        <v>7</v>
      </c>
      <c r="J648" s="39">
        <f t="shared" si="170"/>
        <v>0.0317016572566647</v>
      </c>
      <c r="K648" s="559">
        <f t="shared" si="163"/>
        <v>1.66974063400576</v>
      </c>
      <c r="L648" s="559">
        <f t="shared" si="168"/>
        <v>52.9335452867767</v>
      </c>
      <c r="M648" s="559">
        <f t="shared" si="169"/>
        <v>33.9754918881602</v>
      </c>
      <c r="N648" s="39">
        <f t="shared" si="164"/>
        <v>0.00518731988472622</v>
      </c>
      <c r="O648" s="560">
        <f t="shared" si="165"/>
        <v>33.2988505747126</v>
      </c>
      <c r="P648">
        <f t="shared" si="166"/>
        <v>87</v>
      </c>
      <c r="Q648" s="667">
        <f t="shared" si="167"/>
        <v>0.0501440922190202</v>
      </c>
    </row>
    <row r="649" spans="1:17">
      <c r="A649" s="653">
        <v>45808</v>
      </c>
      <c r="B649" s="557">
        <v>2059</v>
      </c>
      <c r="C649" s="37">
        <v>49890</v>
      </c>
      <c r="D649" s="37">
        <v>1344</v>
      </c>
      <c r="E649" s="37">
        <v>4</v>
      </c>
      <c r="F649" s="37">
        <v>45646</v>
      </c>
      <c r="G649" s="37">
        <v>66</v>
      </c>
      <c r="H649" s="37">
        <v>13</v>
      </c>
      <c r="I649" s="558">
        <v>7</v>
      </c>
      <c r="J649" s="39">
        <f t="shared" si="170"/>
        <v>0.0269392663860493</v>
      </c>
      <c r="K649" s="559">
        <f t="shared" si="163"/>
        <v>1.53199404761905</v>
      </c>
      <c r="L649" s="559">
        <f t="shared" si="168"/>
        <v>41.2707957506514</v>
      </c>
      <c r="M649" s="559">
        <f t="shared" si="169"/>
        <v>22.169014084507</v>
      </c>
      <c r="N649" s="39">
        <f t="shared" si="164"/>
        <v>0.00297619047619048</v>
      </c>
      <c r="O649" s="560">
        <f t="shared" si="165"/>
        <v>26.0632911392405</v>
      </c>
      <c r="P649">
        <f t="shared" si="166"/>
        <v>79</v>
      </c>
      <c r="Q649" s="667">
        <f t="shared" si="167"/>
        <v>0.0587797619047619</v>
      </c>
    </row>
    <row r="650" spans="1:17">
      <c r="A650" s="653">
        <v>45809</v>
      </c>
      <c r="B650" s="557">
        <v>2272</v>
      </c>
      <c r="C650" s="37">
        <v>47106</v>
      </c>
      <c r="D650" s="37">
        <v>1379</v>
      </c>
      <c r="E650" s="37">
        <v>14</v>
      </c>
      <c r="F650" s="37">
        <v>146370</v>
      </c>
      <c r="G650" s="37">
        <v>59</v>
      </c>
      <c r="H650" s="37">
        <v>14</v>
      </c>
      <c r="I650" s="558">
        <v>7</v>
      </c>
      <c r="J650" s="39">
        <f t="shared" si="170"/>
        <v>0.0292744024115824</v>
      </c>
      <c r="K650" s="559">
        <f t="shared" si="163"/>
        <v>1.64757070340827</v>
      </c>
      <c r="L650" s="559">
        <f t="shared" si="168"/>
        <v>48.2316477731075</v>
      </c>
      <c r="M650" s="559">
        <f t="shared" si="169"/>
        <v>64.4234154929577</v>
      </c>
      <c r="N650" s="39">
        <f t="shared" si="164"/>
        <v>0.0101522842639594</v>
      </c>
      <c r="O650" s="560">
        <f t="shared" si="165"/>
        <v>31.1232876712329</v>
      </c>
      <c r="P650">
        <f t="shared" si="166"/>
        <v>73</v>
      </c>
      <c r="Q650" s="667">
        <f t="shared" si="167"/>
        <v>0.0529369108049311</v>
      </c>
    </row>
    <row r="651" spans="1:17">
      <c r="A651" s="653">
        <v>45810</v>
      </c>
      <c r="B651" s="557">
        <v>862</v>
      </c>
      <c r="C651" s="37">
        <v>22116</v>
      </c>
      <c r="D651" s="37">
        <v>450</v>
      </c>
      <c r="E651" s="37">
        <v>0</v>
      </c>
      <c r="F651" s="37">
        <v>0</v>
      </c>
      <c r="G651" s="37">
        <v>28</v>
      </c>
      <c r="H651" s="37">
        <v>6</v>
      </c>
      <c r="I651" s="558">
        <v>1</v>
      </c>
      <c r="J651" s="39">
        <f t="shared" si="170"/>
        <v>0.0203472599023332</v>
      </c>
      <c r="K651" s="559">
        <f t="shared" si="163"/>
        <v>1.91555555555556</v>
      </c>
      <c r="L651" s="559">
        <f t="shared" si="168"/>
        <v>38.9763067462471</v>
      </c>
      <c r="M651" s="559">
        <f t="shared" si="169"/>
        <v>0</v>
      </c>
      <c r="N651" s="39">
        <f t="shared" si="164"/>
        <v>0</v>
      </c>
      <c r="O651" s="560">
        <f t="shared" si="165"/>
        <v>25.3529411764706</v>
      </c>
      <c r="P651">
        <f t="shared" si="166"/>
        <v>34</v>
      </c>
      <c r="Q651" s="667">
        <f t="shared" si="167"/>
        <v>0.0755555555555556</v>
      </c>
    </row>
    <row r="652" spans="1:17">
      <c r="A652" s="653">
        <v>45811</v>
      </c>
      <c r="B652" s="557">
        <v>3319</v>
      </c>
      <c r="C652" s="37">
        <v>93335</v>
      </c>
      <c r="D652" s="37">
        <v>2795</v>
      </c>
      <c r="E652" s="37">
        <v>14</v>
      </c>
      <c r="F652" s="37">
        <v>170194</v>
      </c>
      <c r="G652" s="37">
        <v>77</v>
      </c>
      <c r="H652" s="37">
        <v>16</v>
      </c>
      <c r="I652" s="558">
        <v>6</v>
      </c>
      <c r="J652" s="39">
        <f t="shared" si="170"/>
        <v>0.0299458938233246</v>
      </c>
      <c r="K652" s="559">
        <f t="shared" si="163"/>
        <v>1.18747763864043</v>
      </c>
      <c r="L652" s="559">
        <f t="shared" si="168"/>
        <v>35.5600792842985</v>
      </c>
      <c r="M652" s="559">
        <f t="shared" si="169"/>
        <v>51.2786984031335</v>
      </c>
      <c r="N652" s="39">
        <f t="shared" si="164"/>
        <v>0.00500894454382826</v>
      </c>
      <c r="O652" s="560">
        <f t="shared" si="165"/>
        <v>35.6881720430108</v>
      </c>
      <c r="P652">
        <f t="shared" si="166"/>
        <v>93</v>
      </c>
      <c r="Q652" s="667">
        <f t="shared" si="167"/>
        <v>0.0332737030411449</v>
      </c>
    </row>
    <row r="653" spans="1:17">
      <c r="A653" s="653">
        <v>45812</v>
      </c>
      <c r="B653" s="557">
        <v>3083</v>
      </c>
      <c r="C653" s="37">
        <v>106979</v>
      </c>
      <c r="D653" s="37">
        <v>3063</v>
      </c>
      <c r="E653" s="37">
        <v>16</v>
      </c>
      <c r="F653" s="37">
        <v>155397</v>
      </c>
      <c r="G653" s="37">
        <v>128</v>
      </c>
      <c r="H653" s="37">
        <v>38</v>
      </c>
      <c r="I653" s="558">
        <v>2</v>
      </c>
      <c r="J653" s="39">
        <f t="shared" si="170"/>
        <v>0.0286317875470887</v>
      </c>
      <c r="K653" s="559">
        <f t="shared" si="163"/>
        <v>1.00652954619654</v>
      </c>
      <c r="L653" s="559">
        <f t="shared" si="168"/>
        <v>28.8187401265669</v>
      </c>
      <c r="M653" s="559">
        <f t="shared" si="169"/>
        <v>50.4044761595848</v>
      </c>
      <c r="N653" s="39">
        <f t="shared" si="164"/>
        <v>0.00522363695723147</v>
      </c>
      <c r="O653" s="560">
        <f t="shared" si="165"/>
        <v>18.5722891566265</v>
      </c>
      <c r="P653">
        <f t="shared" si="166"/>
        <v>166</v>
      </c>
      <c r="Q653" s="667">
        <f t="shared" si="167"/>
        <v>0.0541952334312765</v>
      </c>
    </row>
    <row r="654" spans="1:17">
      <c r="A654" s="653">
        <v>45813</v>
      </c>
      <c r="B654" s="557">
        <v>2193</v>
      </c>
      <c r="C654" s="37">
        <v>57957</v>
      </c>
      <c r="D654" s="37">
        <v>1936</v>
      </c>
      <c r="E654" s="37">
        <v>7</v>
      </c>
      <c r="F654" s="37">
        <v>50727</v>
      </c>
      <c r="G654" s="37">
        <v>61</v>
      </c>
      <c r="H654" s="37">
        <v>15</v>
      </c>
      <c r="I654" s="558">
        <v>9</v>
      </c>
      <c r="J654" s="39">
        <f t="shared" si="170"/>
        <v>0.0334040754352365</v>
      </c>
      <c r="K654" s="559">
        <f t="shared" si="163"/>
        <v>1.1327479338843</v>
      </c>
      <c r="L654" s="559">
        <f t="shared" si="168"/>
        <v>37.8383974325793</v>
      </c>
      <c r="M654" s="559">
        <f t="shared" si="169"/>
        <v>23.1313269493844</v>
      </c>
      <c r="N654" s="39">
        <f t="shared" si="164"/>
        <v>0.00361570247933884</v>
      </c>
      <c r="O654" s="560">
        <f t="shared" si="165"/>
        <v>28.8552631578947</v>
      </c>
      <c r="P654">
        <f t="shared" si="166"/>
        <v>76</v>
      </c>
      <c r="Q654" s="667">
        <f t="shared" si="167"/>
        <v>0.0392561983471074</v>
      </c>
    </row>
    <row r="655" spans="1:17">
      <c r="A655" s="653">
        <v>45814</v>
      </c>
      <c r="B655" s="557">
        <v>2475</v>
      </c>
      <c r="C655" s="37">
        <v>55916</v>
      </c>
      <c r="D655" s="37">
        <v>1926</v>
      </c>
      <c r="E655" s="37">
        <v>16</v>
      </c>
      <c r="F655" s="37">
        <v>202924</v>
      </c>
      <c r="G655" s="37">
        <v>78</v>
      </c>
      <c r="H655" s="37">
        <v>19</v>
      </c>
      <c r="I655" s="558">
        <v>8</v>
      </c>
      <c r="J655" s="39">
        <f t="shared" si="170"/>
        <v>0.0344445239287503</v>
      </c>
      <c r="K655" s="559">
        <f t="shared" si="163"/>
        <v>1.28504672897196</v>
      </c>
      <c r="L655" s="559">
        <f t="shared" si="168"/>
        <v>44.262822805637</v>
      </c>
      <c r="M655" s="559">
        <f t="shared" si="169"/>
        <v>81.989494949495</v>
      </c>
      <c r="N655" s="39">
        <f t="shared" si="164"/>
        <v>0.0083073727933541</v>
      </c>
      <c r="O655" s="560">
        <f t="shared" si="165"/>
        <v>25.5154639175258</v>
      </c>
      <c r="P655">
        <f t="shared" si="166"/>
        <v>97</v>
      </c>
      <c r="Q655" s="667">
        <f t="shared" si="167"/>
        <v>0.0503634475597092</v>
      </c>
    </row>
    <row r="656" spans="1:17">
      <c r="A656" s="653">
        <v>45815</v>
      </c>
      <c r="B656" s="557">
        <v>3126</v>
      </c>
      <c r="C656" s="37">
        <v>80036</v>
      </c>
      <c r="D656" s="37">
        <v>2019</v>
      </c>
      <c r="E656" s="37">
        <v>10</v>
      </c>
      <c r="F656" s="37">
        <v>74470</v>
      </c>
      <c r="G656" s="37">
        <v>107</v>
      </c>
      <c r="H656" s="37">
        <v>19</v>
      </c>
      <c r="I656" s="558">
        <v>10</v>
      </c>
      <c r="J656" s="39">
        <f t="shared" si="170"/>
        <v>0.025226148233295</v>
      </c>
      <c r="K656" s="559">
        <f t="shared" si="163"/>
        <v>1.5482912332838</v>
      </c>
      <c r="L656" s="559">
        <f t="shared" si="168"/>
        <v>39.0574241591284</v>
      </c>
      <c r="M656" s="559">
        <f t="shared" si="169"/>
        <v>23.8227767114523</v>
      </c>
      <c r="N656" s="39">
        <f t="shared" si="164"/>
        <v>0.00495294700346706</v>
      </c>
      <c r="O656" s="560">
        <f t="shared" si="165"/>
        <v>24.8095238095238</v>
      </c>
      <c r="P656">
        <f t="shared" si="166"/>
        <v>126</v>
      </c>
      <c r="Q656" s="667">
        <f t="shared" si="167"/>
        <v>0.062407132243685</v>
      </c>
    </row>
    <row r="657" spans="1:17">
      <c r="A657" s="653">
        <v>45816</v>
      </c>
      <c r="B657" s="557">
        <v>2757</v>
      </c>
      <c r="C657" s="37">
        <v>156054</v>
      </c>
      <c r="D657" s="37">
        <v>2425</v>
      </c>
      <c r="E657" s="37">
        <v>12</v>
      </c>
      <c r="F657" s="37">
        <v>142352</v>
      </c>
      <c r="G657" s="37">
        <v>95</v>
      </c>
      <c r="H657" s="37">
        <v>22</v>
      </c>
      <c r="I657" s="558">
        <v>10</v>
      </c>
      <c r="J657" s="39">
        <f t="shared" si="170"/>
        <v>0.0155394927396927</v>
      </c>
      <c r="K657" s="559">
        <f t="shared" si="163"/>
        <v>1.13690721649485</v>
      </c>
      <c r="L657" s="559">
        <f t="shared" si="168"/>
        <v>17.6669614364259</v>
      </c>
      <c r="M657" s="559">
        <f t="shared" si="169"/>
        <v>51.63293434893</v>
      </c>
      <c r="N657" s="39">
        <f t="shared" si="164"/>
        <v>0.00494845360824742</v>
      </c>
      <c r="O657" s="560">
        <f t="shared" si="165"/>
        <v>23.5641025641026</v>
      </c>
      <c r="P657">
        <f t="shared" si="166"/>
        <v>117</v>
      </c>
      <c r="Q657" s="667">
        <f t="shared" si="167"/>
        <v>0.0482474226804124</v>
      </c>
    </row>
    <row r="658" spans="1:17">
      <c r="A658" s="653">
        <v>45817</v>
      </c>
      <c r="B658" s="557">
        <v>3287</v>
      </c>
      <c r="C658" s="37">
        <v>57068</v>
      </c>
      <c r="D658" s="37">
        <v>2486</v>
      </c>
      <c r="E658" s="37">
        <v>13</v>
      </c>
      <c r="F658" s="37">
        <v>142617</v>
      </c>
      <c r="G658" s="37">
        <v>84</v>
      </c>
      <c r="H658" s="37">
        <v>20</v>
      </c>
      <c r="I658" s="558">
        <v>6</v>
      </c>
      <c r="J658" s="39">
        <f t="shared" si="170"/>
        <v>0.043562066306862</v>
      </c>
      <c r="K658" s="559">
        <f t="shared" si="163"/>
        <v>1.32220434432824</v>
      </c>
      <c r="L658" s="559">
        <f t="shared" si="168"/>
        <v>57.5979533188477</v>
      </c>
      <c r="M658" s="559">
        <f t="shared" si="169"/>
        <v>43.3881959233344</v>
      </c>
      <c r="N658" s="39">
        <f t="shared" si="164"/>
        <v>0.00522928399034594</v>
      </c>
      <c r="O658" s="560">
        <f t="shared" si="165"/>
        <v>31.6057692307692</v>
      </c>
      <c r="P658">
        <f t="shared" si="166"/>
        <v>104</v>
      </c>
      <c r="Q658" s="667">
        <f t="shared" si="167"/>
        <v>0.0418342719227675</v>
      </c>
    </row>
    <row r="659" spans="1:17">
      <c r="A659" s="653">
        <v>45818</v>
      </c>
      <c r="B659" s="557">
        <v>2981</v>
      </c>
      <c r="C659" s="37">
        <v>110242</v>
      </c>
      <c r="D659" s="37">
        <v>2244</v>
      </c>
      <c r="E659" s="37">
        <v>13</v>
      </c>
      <c r="F659" s="37">
        <v>146706</v>
      </c>
      <c r="G659" s="37">
        <v>71</v>
      </c>
      <c r="H659" s="37">
        <v>25</v>
      </c>
      <c r="I659" s="558">
        <v>7</v>
      </c>
      <c r="J659" s="39">
        <f t="shared" si="170"/>
        <v>0.0203552185192576</v>
      </c>
      <c r="K659" s="559">
        <f t="shared" si="163"/>
        <v>1.32843137254902</v>
      </c>
      <c r="L659" s="559">
        <f t="shared" si="168"/>
        <v>27.0405108760726</v>
      </c>
      <c r="M659" s="559">
        <f t="shared" si="169"/>
        <v>49.2136866823214</v>
      </c>
      <c r="N659" s="39">
        <f t="shared" si="164"/>
        <v>0.00579322638146168</v>
      </c>
      <c r="O659" s="560">
        <f t="shared" si="165"/>
        <v>31.0520833333333</v>
      </c>
      <c r="P659">
        <f t="shared" si="166"/>
        <v>96</v>
      </c>
      <c r="Q659" s="667">
        <f t="shared" si="167"/>
        <v>0.0427807486631016</v>
      </c>
    </row>
    <row r="660" spans="1:17">
      <c r="A660" s="653">
        <v>45819</v>
      </c>
      <c r="B660" s="557">
        <v>4716</v>
      </c>
      <c r="C660" s="37">
        <v>163442</v>
      </c>
      <c r="D660" s="37">
        <v>3468</v>
      </c>
      <c r="E660" s="37">
        <v>17</v>
      </c>
      <c r="F660" s="37">
        <v>159211</v>
      </c>
      <c r="G660" s="37">
        <v>118</v>
      </c>
      <c r="H660" s="37">
        <v>31</v>
      </c>
      <c r="I660" s="558">
        <v>9</v>
      </c>
      <c r="J660" s="39">
        <f t="shared" si="170"/>
        <v>0.0212185362391552</v>
      </c>
      <c r="K660" s="559">
        <f t="shared" si="163"/>
        <v>1.3598615916955</v>
      </c>
      <c r="L660" s="559">
        <f t="shared" si="168"/>
        <v>28.8542724636262</v>
      </c>
      <c r="M660" s="559">
        <f t="shared" si="169"/>
        <v>33.759754028838</v>
      </c>
      <c r="N660" s="39">
        <f t="shared" si="164"/>
        <v>0.00490196078431373</v>
      </c>
      <c r="O660" s="560">
        <f t="shared" si="165"/>
        <v>31.6510067114094</v>
      </c>
      <c r="P660">
        <f t="shared" si="166"/>
        <v>149</v>
      </c>
      <c r="Q660" s="667">
        <f t="shared" si="167"/>
        <v>0.0429642445213379</v>
      </c>
    </row>
    <row r="661" spans="1:17">
      <c r="A661" s="653">
        <v>45820</v>
      </c>
      <c r="B661" s="557">
        <v>3066</v>
      </c>
      <c r="C661" s="37">
        <v>111396</v>
      </c>
      <c r="D661" s="37">
        <v>2621</v>
      </c>
      <c r="E661" s="37">
        <v>14</v>
      </c>
      <c r="F661" s="37">
        <v>141761</v>
      </c>
      <c r="G661" s="37">
        <v>100</v>
      </c>
      <c r="H661" s="37">
        <v>30</v>
      </c>
      <c r="I661" s="558">
        <v>9</v>
      </c>
      <c r="J661" s="39">
        <f t="shared" si="170"/>
        <v>0.0235286724837517</v>
      </c>
      <c r="K661" s="559">
        <f t="shared" si="163"/>
        <v>1.16978252575353</v>
      </c>
      <c r="L661" s="559">
        <f t="shared" si="168"/>
        <v>27.5234299256706</v>
      </c>
      <c r="M661" s="559">
        <f t="shared" si="169"/>
        <v>46.2364644487932</v>
      </c>
      <c r="N661" s="39">
        <f t="shared" si="164"/>
        <v>0.00534147272033575</v>
      </c>
      <c r="O661" s="560">
        <f t="shared" si="165"/>
        <v>23.5846153846154</v>
      </c>
      <c r="P661">
        <f t="shared" si="166"/>
        <v>130</v>
      </c>
      <c r="Q661" s="667">
        <f t="shared" si="167"/>
        <v>0.0495993895459748</v>
      </c>
    </row>
    <row r="662" spans="1:17">
      <c r="A662" s="653">
        <v>45821</v>
      </c>
      <c r="B662" s="557">
        <v>2060</v>
      </c>
      <c r="C662" s="37">
        <v>82673</v>
      </c>
      <c r="D662" s="37">
        <v>1615</v>
      </c>
      <c r="E662" s="37">
        <v>11</v>
      </c>
      <c r="F662" s="37">
        <v>135397</v>
      </c>
      <c r="G662" s="37">
        <v>44</v>
      </c>
      <c r="H662" s="37">
        <v>26</v>
      </c>
      <c r="I662" s="558">
        <v>7</v>
      </c>
      <c r="J662" s="39">
        <f t="shared" si="170"/>
        <v>0.019534793705321</v>
      </c>
      <c r="K662" s="559">
        <f t="shared" si="163"/>
        <v>1.27554179566563</v>
      </c>
      <c r="L662" s="559">
        <f t="shared" si="168"/>
        <v>24.9174458408428</v>
      </c>
      <c r="M662" s="559">
        <f t="shared" si="169"/>
        <v>65.7266990291262</v>
      </c>
      <c r="N662" s="39">
        <f t="shared" si="164"/>
        <v>0.00681114551083591</v>
      </c>
      <c r="O662" s="560">
        <f t="shared" si="165"/>
        <v>29.4285714285714</v>
      </c>
      <c r="P662">
        <f t="shared" si="166"/>
        <v>70</v>
      </c>
      <c r="Q662" s="667">
        <f t="shared" si="167"/>
        <v>0.043343653250774</v>
      </c>
    </row>
    <row r="663" spans="1:17">
      <c r="A663" s="653">
        <v>45822</v>
      </c>
      <c r="B663" s="557">
        <v>1683</v>
      </c>
      <c r="C663" s="37">
        <v>59004</v>
      </c>
      <c r="D663" s="37">
        <v>1054</v>
      </c>
      <c r="E663" s="37">
        <v>2</v>
      </c>
      <c r="F663" s="37">
        <v>27769</v>
      </c>
      <c r="G663" s="37">
        <v>46</v>
      </c>
      <c r="H663" s="37">
        <v>20</v>
      </c>
      <c r="I663" s="558">
        <v>4</v>
      </c>
      <c r="J663" s="39">
        <f t="shared" si="170"/>
        <v>0.0178631957155447</v>
      </c>
      <c r="K663" s="559">
        <f t="shared" si="163"/>
        <v>1.59677419354839</v>
      </c>
      <c r="L663" s="559">
        <f t="shared" si="168"/>
        <v>28.5234899328859</v>
      </c>
      <c r="M663" s="559">
        <f t="shared" si="169"/>
        <v>16.4997029114676</v>
      </c>
      <c r="N663" s="39">
        <f t="shared" si="164"/>
        <v>0.00189753320683112</v>
      </c>
      <c r="O663" s="560">
        <f t="shared" si="165"/>
        <v>25.5</v>
      </c>
      <c r="P663">
        <f t="shared" si="166"/>
        <v>66</v>
      </c>
      <c r="Q663" s="667">
        <f t="shared" si="167"/>
        <v>0.0626185958254269</v>
      </c>
    </row>
    <row r="664" spans="1:17">
      <c r="A664" s="653">
        <v>45823</v>
      </c>
      <c r="B664" s="557">
        <v>1677</v>
      </c>
      <c r="C664" s="37">
        <v>44039</v>
      </c>
      <c r="D664" s="37">
        <v>983</v>
      </c>
      <c r="E664" s="37">
        <v>3</v>
      </c>
      <c r="F664" s="37">
        <v>69182</v>
      </c>
      <c r="G664" s="37">
        <v>52</v>
      </c>
      <c r="H664" s="37">
        <v>17</v>
      </c>
      <c r="I664" s="558">
        <v>4</v>
      </c>
      <c r="J664" s="39">
        <f t="shared" si="170"/>
        <v>0.0223211244578669</v>
      </c>
      <c r="K664" s="559">
        <f t="shared" si="163"/>
        <v>1.706002034588</v>
      </c>
      <c r="L664" s="559">
        <f t="shared" si="168"/>
        <v>38.0798837394128</v>
      </c>
      <c r="M664" s="559">
        <f t="shared" si="169"/>
        <v>41.2534287418008</v>
      </c>
      <c r="N664" s="39">
        <f t="shared" si="164"/>
        <v>0.00305188199389624</v>
      </c>
      <c r="O664" s="560">
        <f t="shared" si="165"/>
        <v>24.304347826087</v>
      </c>
      <c r="P664">
        <f t="shared" si="166"/>
        <v>69</v>
      </c>
      <c r="Q664" s="667">
        <f t="shared" si="167"/>
        <v>0.0701932858596134</v>
      </c>
    </row>
    <row r="665" spans="1:17">
      <c r="A665" s="653">
        <v>45824</v>
      </c>
      <c r="B665" s="557">
        <v>2297</v>
      </c>
      <c r="C665" s="37">
        <v>60877</v>
      </c>
      <c r="D665" s="37">
        <v>1594</v>
      </c>
      <c r="E665" s="37">
        <v>6</v>
      </c>
      <c r="F665" s="37">
        <v>102031</v>
      </c>
      <c r="G665" s="37">
        <v>33</v>
      </c>
      <c r="H665" s="37">
        <v>23</v>
      </c>
      <c r="I665" s="558">
        <v>6</v>
      </c>
      <c r="J665" s="39">
        <f t="shared" si="170"/>
        <v>0.0261839446753289</v>
      </c>
      <c r="K665" s="559">
        <f t="shared" si="163"/>
        <v>1.44102885821832</v>
      </c>
      <c r="L665" s="559">
        <f t="shared" si="168"/>
        <v>37.7318198991409</v>
      </c>
      <c r="M665" s="559">
        <f t="shared" si="169"/>
        <v>44.4192424902046</v>
      </c>
      <c r="N665" s="39">
        <f t="shared" si="164"/>
        <v>0.00376411543287327</v>
      </c>
      <c r="O665" s="560">
        <f t="shared" si="165"/>
        <v>41.0178571428571</v>
      </c>
      <c r="P665">
        <f t="shared" si="166"/>
        <v>56</v>
      </c>
      <c r="Q665" s="667">
        <f t="shared" si="167"/>
        <v>0.0351317440401506</v>
      </c>
    </row>
    <row r="666" spans="1:17">
      <c r="A666" s="653">
        <v>45825</v>
      </c>
      <c r="B666" s="557">
        <v>2781</v>
      </c>
      <c r="C666" s="37">
        <v>54671</v>
      </c>
      <c r="D666" s="37">
        <v>1479</v>
      </c>
      <c r="E666" s="37">
        <v>14</v>
      </c>
      <c r="F666" s="37">
        <v>157625</v>
      </c>
      <c r="G666" s="37">
        <v>56</v>
      </c>
      <c r="H666" s="37">
        <v>19</v>
      </c>
      <c r="I666" s="558">
        <v>8</v>
      </c>
      <c r="J666" s="39">
        <f t="shared" si="170"/>
        <v>0.0270527336247736</v>
      </c>
      <c r="K666" s="559">
        <f t="shared" si="163"/>
        <v>1.88032454361055</v>
      </c>
      <c r="L666" s="559">
        <f t="shared" si="168"/>
        <v>50.8679190064202</v>
      </c>
      <c r="M666" s="559">
        <f t="shared" si="169"/>
        <v>56.6792520676016</v>
      </c>
      <c r="N666" s="39">
        <f t="shared" si="164"/>
        <v>0.0094658553076403</v>
      </c>
      <c r="O666" s="560">
        <f t="shared" si="165"/>
        <v>37.08</v>
      </c>
      <c r="P666">
        <f t="shared" si="166"/>
        <v>75</v>
      </c>
      <c r="Q666" s="667">
        <f t="shared" si="167"/>
        <v>0.050709939148073</v>
      </c>
    </row>
    <row r="667" spans="1:17">
      <c r="A667" s="653">
        <v>45826</v>
      </c>
      <c r="B667" s="557">
        <v>3785</v>
      </c>
      <c r="C667" s="37">
        <v>55200</v>
      </c>
      <c r="D667" s="37">
        <v>1582</v>
      </c>
      <c r="E667" s="37">
        <v>17</v>
      </c>
      <c r="F667" s="37">
        <v>189657</v>
      </c>
      <c r="G667" s="37">
        <v>68</v>
      </c>
      <c r="H667" s="37">
        <v>21</v>
      </c>
      <c r="I667" s="558">
        <v>10</v>
      </c>
      <c r="J667" s="39">
        <f t="shared" si="170"/>
        <v>0.0286594202898551</v>
      </c>
      <c r="K667" s="559">
        <f t="shared" si="163"/>
        <v>2.39254108723135</v>
      </c>
      <c r="L667" s="559">
        <f t="shared" si="168"/>
        <v>68.5688405797101</v>
      </c>
      <c r="M667" s="559">
        <f t="shared" si="169"/>
        <v>50.1075297225892</v>
      </c>
      <c r="N667" s="39">
        <f t="shared" si="164"/>
        <v>0.0107458912768647</v>
      </c>
      <c r="O667" s="560">
        <f t="shared" si="165"/>
        <v>42.5280898876404</v>
      </c>
      <c r="P667">
        <f t="shared" si="166"/>
        <v>89</v>
      </c>
      <c r="Q667" s="667">
        <f t="shared" si="167"/>
        <v>0.0562579013906448</v>
      </c>
    </row>
    <row r="668" spans="1:17">
      <c r="A668" s="653">
        <v>45827</v>
      </c>
      <c r="B668" s="557">
        <v>5573</v>
      </c>
      <c r="C668" s="37">
        <v>89951</v>
      </c>
      <c r="D668" s="37">
        <v>2413</v>
      </c>
      <c r="E668" s="37">
        <v>23</v>
      </c>
      <c r="F668" s="37">
        <v>283750</v>
      </c>
      <c r="G668" s="37">
        <v>124</v>
      </c>
      <c r="H668" s="37">
        <v>39</v>
      </c>
      <c r="I668" s="558">
        <v>18</v>
      </c>
      <c r="J668" s="39">
        <f t="shared" si="170"/>
        <v>0.0268257162232771</v>
      </c>
      <c r="K668" s="559">
        <f t="shared" si="163"/>
        <v>2.30957314546208</v>
      </c>
      <c r="L668" s="559">
        <f t="shared" si="168"/>
        <v>61.9559537970673</v>
      </c>
      <c r="M668" s="559">
        <f t="shared" si="169"/>
        <v>50.9151265027813</v>
      </c>
      <c r="N668" s="39">
        <f t="shared" si="164"/>
        <v>0.00953170327393286</v>
      </c>
      <c r="O668" s="560">
        <f t="shared" si="165"/>
        <v>34.1901840490798</v>
      </c>
      <c r="P668">
        <f t="shared" si="166"/>
        <v>163</v>
      </c>
      <c r="Q668" s="667">
        <f t="shared" si="167"/>
        <v>0.0675507666804807</v>
      </c>
    </row>
    <row r="669" spans="1:17">
      <c r="A669" s="653">
        <v>45828</v>
      </c>
      <c r="B669" s="557">
        <v>8770</v>
      </c>
      <c r="C669" s="37">
        <v>111924</v>
      </c>
      <c r="D669" s="37">
        <v>2872</v>
      </c>
      <c r="E669" s="37">
        <v>14</v>
      </c>
      <c r="F669" s="37">
        <v>138919</v>
      </c>
      <c r="G669" s="37">
        <v>118</v>
      </c>
      <c r="H669" s="37">
        <v>46</v>
      </c>
      <c r="I669" s="558">
        <v>8</v>
      </c>
      <c r="J669" s="39">
        <f t="shared" si="170"/>
        <v>0.025660269468568</v>
      </c>
      <c r="K669" s="559">
        <f t="shared" si="163"/>
        <v>3.05362116991643</v>
      </c>
      <c r="L669" s="559">
        <f t="shared" si="168"/>
        <v>78.3567420749795</v>
      </c>
      <c r="M669" s="559">
        <f t="shared" si="169"/>
        <v>15.8402508551881</v>
      </c>
      <c r="N669" s="39">
        <f t="shared" si="164"/>
        <v>0.00487465181058496</v>
      </c>
      <c r="O669" s="560">
        <f t="shared" si="165"/>
        <v>53.4756097560976</v>
      </c>
      <c r="P669">
        <f t="shared" si="166"/>
        <v>164</v>
      </c>
      <c r="Q669" s="667">
        <f t="shared" si="167"/>
        <v>0.0571030640668524</v>
      </c>
    </row>
    <row r="670" spans="1:17">
      <c r="A670" s="653">
        <v>45829</v>
      </c>
      <c r="B670" s="557">
        <v>1177</v>
      </c>
      <c r="C670" s="37">
        <v>28430</v>
      </c>
      <c r="D670" s="37">
        <v>721</v>
      </c>
      <c r="E670" s="37">
        <v>4</v>
      </c>
      <c r="F670" s="37">
        <v>43159</v>
      </c>
      <c r="G670" s="37">
        <v>48</v>
      </c>
      <c r="H670" s="37">
        <v>7</v>
      </c>
      <c r="I670" s="558">
        <v>2</v>
      </c>
      <c r="J670" s="39">
        <f t="shared" si="170"/>
        <v>0.0253605346465002</v>
      </c>
      <c r="K670" s="559">
        <f t="shared" si="163"/>
        <v>1.63245492371706</v>
      </c>
      <c r="L670" s="559">
        <f t="shared" si="168"/>
        <v>41.3999296517763</v>
      </c>
      <c r="M670" s="559">
        <f t="shared" si="169"/>
        <v>36.6686491079014</v>
      </c>
      <c r="N670" s="39">
        <f t="shared" si="164"/>
        <v>0.00554785020804438</v>
      </c>
      <c r="O670" s="560">
        <f t="shared" si="165"/>
        <v>21.4</v>
      </c>
      <c r="P670">
        <f t="shared" si="166"/>
        <v>55</v>
      </c>
      <c r="Q670" s="667">
        <f t="shared" si="167"/>
        <v>0.0762829403606103</v>
      </c>
    </row>
    <row r="671" spans="1:17">
      <c r="A671" s="653">
        <v>45830</v>
      </c>
      <c r="B671" s="557">
        <v>1000</v>
      </c>
      <c r="C671" s="37">
        <v>28026</v>
      </c>
      <c r="D671" s="37">
        <v>700</v>
      </c>
      <c r="E671" s="37">
        <v>3</v>
      </c>
      <c r="F671" s="37">
        <v>22824</v>
      </c>
      <c r="G671" s="37">
        <v>29</v>
      </c>
      <c r="H671" s="37">
        <v>6</v>
      </c>
      <c r="I671" s="558">
        <v>4</v>
      </c>
      <c r="J671" s="39">
        <f t="shared" si="170"/>
        <v>0.0249768072504103</v>
      </c>
      <c r="K671" s="559">
        <f t="shared" si="163"/>
        <v>1.42857142857143</v>
      </c>
      <c r="L671" s="559">
        <f t="shared" si="168"/>
        <v>35.6811532148719</v>
      </c>
      <c r="M671" s="559">
        <f t="shared" si="169"/>
        <v>22.824</v>
      </c>
      <c r="N671" s="39">
        <f t="shared" si="164"/>
        <v>0.00428571428571429</v>
      </c>
      <c r="O671" s="560">
        <f t="shared" si="165"/>
        <v>28.5714285714286</v>
      </c>
      <c r="P671">
        <f t="shared" si="166"/>
        <v>35</v>
      </c>
      <c r="Q671" s="667">
        <f t="shared" si="167"/>
        <v>0.05</v>
      </c>
    </row>
    <row r="672" spans="1:17">
      <c r="A672" s="653">
        <v>45831</v>
      </c>
      <c r="B672" s="557">
        <v>1000</v>
      </c>
      <c r="C672" s="37">
        <v>29262</v>
      </c>
      <c r="D672" s="37">
        <v>767</v>
      </c>
      <c r="E672" s="37">
        <v>0</v>
      </c>
      <c r="F672" s="37">
        <v>0</v>
      </c>
      <c r="G672" s="37">
        <v>40</v>
      </c>
      <c r="H672" s="37">
        <v>5</v>
      </c>
      <c r="I672" s="558">
        <v>1</v>
      </c>
      <c r="J672" s="39">
        <f t="shared" si="170"/>
        <v>0.0262114687991251</v>
      </c>
      <c r="K672" s="559">
        <f t="shared" si="163"/>
        <v>1.30378096479791</v>
      </c>
      <c r="L672" s="559">
        <f t="shared" si="168"/>
        <v>34.1740140796938</v>
      </c>
      <c r="M672" s="559">
        <f t="shared" si="169"/>
        <v>0</v>
      </c>
      <c r="N672" s="39">
        <f t="shared" si="164"/>
        <v>0</v>
      </c>
      <c r="O672" s="560">
        <f t="shared" si="165"/>
        <v>22.2222222222222</v>
      </c>
      <c r="P672">
        <f t="shared" si="166"/>
        <v>45</v>
      </c>
      <c r="Q672" s="667">
        <f t="shared" si="167"/>
        <v>0.0586701434159061</v>
      </c>
    </row>
    <row r="673" spans="1:17">
      <c r="A673" s="653">
        <v>45832</v>
      </c>
      <c r="B673" s="557">
        <v>1000</v>
      </c>
      <c r="C673" s="37">
        <v>32832</v>
      </c>
      <c r="D673" s="37">
        <v>818</v>
      </c>
      <c r="E673" s="37">
        <v>1</v>
      </c>
      <c r="F673" s="37">
        <v>3894</v>
      </c>
      <c r="G673" s="37">
        <v>26</v>
      </c>
      <c r="H673" s="37">
        <v>4</v>
      </c>
      <c r="I673" s="558">
        <v>4</v>
      </c>
      <c r="J673" s="39">
        <f t="shared" si="170"/>
        <v>0.0249147173489279</v>
      </c>
      <c r="K673" s="559">
        <f t="shared" si="163"/>
        <v>1.22249388753056</v>
      </c>
      <c r="L673" s="559">
        <f t="shared" si="168"/>
        <v>30.458089668616</v>
      </c>
      <c r="M673" s="559">
        <f t="shared" si="169"/>
        <v>3.894</v>
      </c>
      <c r="N673" s="39">
        <f t="shared" si="164"/>
        <v>0.00122249388753056</v>
      </c>
      <c r="O673" s="560">
        <f t="shared" si="165"/>
        <v>33.3333333333333</v>
      </c>
      <c r="P673">
        <f t="shared" si="166"/>
        <v>30</v>
      </c>
      <c r="Q673" s="667">
        <f t="shared" si="167"/>
        <v>0.0366748166259169</v>
      </c>
    </row>
    <row r="674" spans="1:17">
      <c r="A674" s="653">
        <v>45833</v>
      </c>
      <c r="B674" s="557">
        <v>1097</v>
      </c>
      <c r="C674" s="37">
        <v>32116</v>
      </c>
      <c r="D674" s="37">
        <v>786</v>
      </c>
      <c r="E674" s="37">
        <v>6</v>
      </c>
      <c r="F674" s="37">
        <v>69938</v>
      </c>
      <c r="G674" s="37">
        <v>40</v>
      </c>
      <c r="H674" s="37">
        <v>3</v>
      </c>
      <c r="I674" s="558">
        <v>2</v>
      </c>
      <c r="J674" s="39">
        <f t="shared" si="170"/>
        <v>0.0244737825382987</v>
      </c>
      <c r="K674" s="559">
        <f t="shared" si="163"/>
        <v>1.39567430025445</v>
      </c>
      <c r="L674" s="559">
        <f t="shared" si="168"/>
        <v>34.1574293187196</v>
      </c>
      <c r="M674" s="559">
        <f t="shared" si="169"/>
        <v>63.7538742023701</v>
      </c>
      <c r="N674" s="39">
        <f t="shared" si="164"/>
        <v>0.00763358778625954</v>
      </c>
      <c r="O674" s="560">
        <f t="shared" si="165"/>
        <v>25.5116279069767</v>
      </c>
      <c r="P674">
        <f t="shared" si="166"/>
        <v>43</v>
      </c>
      <c r="Q674" s="667">
        <f t="shared" si="167"/>
        <v>0.0547073791348601</v>
      </c>
    </row>
    <row r="675" spans="1:17">
      <c r="A675" s="653">
        <v>45834</v>
      </c>
      <c r="B675" s="557">
        <v>1633</v>
      </c>
      <c r="C675" s="37">
        <v>57581</v>
      </c>
      <c r="D675" s="37">
        <v>1184</v>
      </c>
      <c r="E675" s="37">
        <v>1</v>
      </c>
      <c r="F675" s="37">
        <v>20172</v>
      </c>
      <c r="G675" s="37">
        <v>43</v>
      </c>
      <c r="H675" s="37">
        <v>4</v>
      </c>
      <c r="I675" s="558">
        <v>8</v>
      </c>
      <c r="J675" s="39">
        <f t="shared" si="170"/>
        <v>0.0205623382713048</v>
      </c>
      <c r="K675" s="559">
        <f t="shared" si="163"/>
        <v>1.37922297297297</v>
      </c>
      <c r="L675" s="559">
        <f t="shared" si="168"/>
        <v>28.3600493218249</v>
      </c>
      <c r="M675" s="559">
        <f t="shared" si="169"/>
        <v>12.3527250459277</v>
      </c>
      <c r="N675" s="39">
        <f t="shared" si="164"/>
        <v>0.000844594594594595</v>
      </c>
      <c r="O675" s="560">
        <f t="shared" si="165"/>
        <v>34.7446808510638</v>
      </c>
      <c r="P675">
        <f t="shared" si="166"/>
        <v>47</v>
      </c>
      <c r="Q675" s="667">
        <f t="shared" si="167"/>
        <v>0.0396959459459459</v>
      </c>
    </row>
    <row r="676" spans="1:17">
      <c r="A676" s="653">
        <v>45835</v>
      </c>
      <c r="B676" s="557">
        <v>2088</v>
      </c>
      <c r="C676" s="37">
        <v>81385</v>
      </c>
      <c r="D676" s="37">
        <v>1627</v>
      </c>
      <c r="E676" s="37">
        <v>0</v>
      </c>
      <c r="F676" s="37">
        <v>0</v>
      </c>
      <c r="G676" s="37">
        <v>72</v>
      </c>
      <c r="H676" s="37">
        <v>32</v>
      </c>
      <c r="I676" s="558">
        <v>4</v>
      </c>
      <c r="J676" s="39">
        <f t="shared" si="170"/>
        <v>0.0199913989064324</v>
      </c>
      <c r="K676" s="559">
        <f t="shared" si="163"/>
        <v>1.28334357713583</v>
      </c>
      <c r="L676" s="559">
        <f t="shared" si="168"/>
        <v>25.6558333845303</v>
      </c>
      <c r="M676" s="559">
        <f t="shared" si="169"/>
        <v>0</v>
      </c>
      <c r="N676" s="39">
        <f t="shared" si="164"/>
        <v>0</v>
      </c>
      <c r="O676" s="560">
        <f t="shared" si="165"/>
        <v>20.0769230769231</v>
      </c>
      <c r="P676">
        <f t="shared" si="166"/>
        <v>104</v>
      </c>
      <c r="Q676" s="667">
        <f t="shared" si="167"/>
        <v>0.0639213275968039</v>
      </c>
    </row>
    <row r="677" spans="1:17">
      <c r="A677" s="653">
        <v>45836</v>
      </c>
      <c r="B677" s="557">
        <v>3431</v>
      </c>
      <c r="C677" s="37">
        <v>129406</v>
      </c>
      <c r="D677" s="37">
        <v>2732</v>
      </c>
      <c r="E677" s="37">
        <v>3</v>
      </c>
      <c r="F677" s="37">
        <v>47242</v>
      </c>
      <c r="G677" s="37">
        <v>86</v>
      </c>
      <c r="H677" s="37">
        <v>35</v>
      </c>
      <c r="I677" s="558">
        <v>8</v>
      </c>
      <c r="J677" s="39">
        <f t="shared" si="170"/>
        <v>0.0211118495278426</v>
      </c>
      <c r="K677" s="559">
        <f t="shared" si="163"/>
        <v>1.25585651537335</v>
      </c>
      <c r="L677" s="559">
        <f t="shared" si="168"/>
        <v>26.513453781123</v>
      </c>
      <c r="M677" s="559">
        <f t="shared" si="169"/>
        <v>13.769163509181</v>
      </c>
      <c r="N677" s="39">
        <f t="shared" si="164"/>
        <v>0.00109809663250366</v>
      </c>
      <c r="O677" s="560">
        <f t="shared" si="165"/>
        <v>28.3553719008264</v>
      </c>
      <c r="P677">
        <f t="shared" si="166"/>
        <v>121</v>
      </c>
      <c r="Q677" s="667">
        <f t="shared" si="167"/>
        <v>0.044289897510981</v>
      </c>
    </row>
    <row r="678" spans="1:17">
      <c r="A678" s="653">
        <v>45837</v>
      </c>
      <c r="B678" s="557">
        <v>3406</v>
      </c>
      <c r="C678" s="37">
        <v>141956</v>
      </c>
      <c r="D678" s="37">
        <v>3111</v>
      </c>
      <c r="E678" s="37">
        <v>10</v>
      </c>
      <c r="F678" s="37">
        <v>275937</v>
      </c>
      <c r="G678" s="37">
        <v>105</v>
      </c>
      <c r="H678" s="37">
        <v>55</v>
      </c>
      <c r="I678" s="558">
        <v>14</v>
      </c>
      <c r="J678" s="39">
        <f t="shared" si="170"/>
        <v>0.0219152413423878</v>
      </c>
      <c r="K678" s="559">
        <f t="shared" si="163"/>
        <v>1.09482481517197</v>
      </c>
      <c r="L678" s="559">
        <f t="shared" si="168"/>
        <v>23.9933500521288</v>
      </c>
      <c r="M678" s="559">
        <f t="shared" si="169"/>
        <v>81.0149735760423</v>
      </c>
      <c r="N678" s="39">
        <f t="shared" si="164"/>
        <v>0.00321440051430408</v>
      </c>
      <c r="O678" s="560">
        <f t="shared" si="165"/>
        <v>21.2875</v>
      </c>
      <c r="P678">
        <f t="shared" si="166"/>
        <v>160</v>
      </c>
      <c r="Q678" s="667">
        <f t="shared" si="167"/>
        <v>0.0514304082288653</v>
      </c>
    </row>
    <row r="679" spans="1:17">
      <c r="A679" s="653">
        <v>45838</v>
      </c>
      <c r="B679" s="557">
        <v>2668</v>
      </c>
      <c r="C679" s="37">
        <v>88703</v>
      </c>
      <c r="D679" s="37">
        <v>2040</v>
      </c>
      <c r="E679" s="37">
        <v>0</v>
      </c>
      <c r="F679" s="37">
        <v>0</v>
      </c>
      <c r="G679" s="37">
        <v>94</v>
      </c>
      <c r="H679" s="37">
        <v>13</v>
      </c>
      <c r="I679" s="558">
        <v>1</v>
      </c>
      <c r="J679" s="39">
        <f t="shared" si="170"/>
        <v>0.0229980947656787</v>
      </c>
      <c r="K679" s="559">
        <f t="shared" si="163"/>
        <v>1.3078431372549</v>
      </c>
      <c r="L679" s="559">
        <f t="shared" si="168"/>
        <v>30.0779004092308</v>
      </c>
      <c r="M679" s="559">
        <f t="shared" si="169"/>
        <v>0</v>
      </c>
      <c r="N679" s="39">
        <f t="shared" si="164"/>
        <v>0</v>
      </c>
      <c r="O679" s="560">
        <f t="shared" si="165"/>
        <v>24.9345794392523</v>
      </c>
      <c r="P679">
        <f t="shared" si="166"/>
        <v>107</v>
      </c>
      <c r="Q679" s="667">
        <f t="shared" si="167"/>
        <v>0.0524509803921569</v>
      </c>
    </row>
    <row r="680" spans="1:17">
      <c r="A680" s="653">
        <v>45839</v>
      </c>
      <c r="B680" s="557">
        <v>2285</v>
      </c>
      <c r="C680" s="37">
        <v>110344</v>
      </c>
      <c r="D680" s="37">
        <v>2082</v>
      </c>
      <c r="E680" s="37">
        <v>2</v>
      </c>
      <c r="F680" s="37">
        <v>29314</v>
      </c>
      <c r="G680" s="37">
        <v>65</v>
      </c>
      <c r="H680" s="37">
        <v>13</v>
      </c>
      <c r="I680" s="558">
        <v>8</v>
      </c>
      <c r="J680" s="39">
        <f t="shared" si="170"/>
        <v>0.0188682665119988</v>
      </c>
      <c r="K680" s="559">
        <f t="shared" si="163"/>
        <v>1.09750240153698</v>
      </c>
      <c r="L680" s="559">
        <f t="shared" si="168"/>
        <v>20.7079678097586</v>
      </c>
      <c r="M680" s="559">
        <f t="shared" si="169"/>
        <v>12.8288840262582</v>
      </c>
      <c r="N680" s="39">
        <f t="shared" si="164"/>
        <v>0.000960614793467819</v>
      </c>
      <c r="O680" s="560">
        <f t="shared" si="165"/>
        <v>29.2948717948718</v>
      </c>
      <c r="P680">
        <f t="shared" si="166"/>
        <v>78</v>
      </c>
      <c r="Q680" s="667">
        <f t="shared" si="167"/>
        <v>0.037463976945245</v>
      </c>
    </row>
    <row r="681" spans="1:17">
      <c r="A681" s="653">
        <v>45840</v>
      </c>
      <c r="B681" s="557">
        <v>1593</v>
      </c>
      <c r="C681" s="37">
        <v>72820</v>
      </c>
      <c r="D681" s="37">
        <v>1495</v>
      </c>
      <c r="E681" s="37">
        <v>3</v>
      </c>
      <c r="F681" s="37">
        <v>53900</v>
      </c>
      <c r="G681" s="37">
        <v>49</v>
      </c>
      <c r="H681" s="37">
        <v>16</v>
      </c>
      <c r="I681" s="558">
        <v>5</v>
      </c>
      <c r="J681" s="39">
        <f t="shared" si="170"/>
        <v>0.0205300741554518</v>
      </c>
      <c r="K681" s="559">
        <f t="shared" si="163"/>
        <v>1.06555183946488</v>
      </c>
      <c r="L681" s="559">
        <f t="shared" si="168"/>
        <v>21.8758582806921</v>
      </c>
      <c r="M681" s="559">
        <f t="shared" si="169"/>
        <v>33.8355304456999</v>
      </c>
      <c r="N681" s="39">
        <f t="shared" si="164"/>
        <v>0.0020066889632107</v>
      </c>
      <c r="O681" s="560">
        <f t="shared" si="165"/>
        <v>24.5076923076923</v>
      </c>
      <c r="P681">
        <f t="shared" si="166"/>
        <v>65</v>
      </c>
      <c r="Q681" s="667">
        <f t="shared" si="167"/>
        <v>0.0434782608695652</v>
      </c>
    </row>
    <row r="682" spans="1:17">
      <c r="A682" s="653">
        <v>45841</v>
      </c>
      <c r="B682" s="557">
        <v>1521</v>
      </c>
      <c r="C682" s="37">
        <v>99116</v>
      </c>
      <c r="D682" s="37">
        <v>1735</v>
      </c>
      <c r="E682" s="37">
        <v>2</v>
      </c>
      <c r="F682" s="37">
        <v>42188</v>
      </c>
      <c r="G682" s="37">
        <v>42</v>
      </c>
      <c r="H682" s="37">
        <v>20</v>
      </c>
      <c r="I682" s="558">
        <v>8</v>
      </c>
      <c r="J682" s="39">
        <f t="shared" si="170"/>
        <v>0.0175047419185601</v>
      </c>
      <c r="K682" s="559">
        <f t="shared" si="163"/>
        <v>0.876657060518732</v>
      </c>
      <c r="L682" s="559">
        <f t="shared" si="168"/>
        <v>15.3456555954639</v>
      </c>
      <c r="M682" s="559">
        <f t="shared" si="169"/>
        <v>27.7370151216305</v>
      </c>
      <c r="N682" s="39">
        <f t="shared" si="164"/>
        <v>0.00115273775216138</v>
      </c>
      <c r="O682" s="560">
        <f t="shared" si="165"/>
        <v>24.5322580645161</v>
      </c>
      <c r="P682">
        <f t="shared" si="166"/>
        <v>62</v>
      </c>
      <c r="Q682" s="667">
        <f t="shared" si="167"/>
        <v>0.0357348703170029</v>
      </c>
    </row>
    <row r="683" spans="1:17">
      <c r="A683" s="653">
        <v>45842</v>
      </c>
      <c r="B683" s="557">
        <v>2059</v>
      </c>
      <c r="C683" s="37">
        <v>81379</v>
      </c>
      <c r="D683" s="37">
        <v>1998</v>
      </c>
      <c r="E683" s="37">
        <v>2</v>
      </c>
      <c r="F683" s="37">
        <v>9868</v>
      </c>
      <c r="G683" s="37">
        <v>53</v>
      </c>
      <c r="H683" s="37">
        <v>15</v>
      </c>
      <c r="I683" s="558">
        <v>4</v>
      </c>
      <c r="J683" s="39">
        <f t="shared" si="170"/>
        <v>0.0245517885449563</v>
      </c>
      <c r="K683" s="559">
        <f t="shared" si="163"/>
        <v>1.03053053053053</v>
      </c>
      <c r="L683" s="559">
        <f t="shared" si="168"/>
        <v>25.3013676747072</v>
      </c>
      <c r="M683" s="559">
        <f t="shared" si="169"/>
        <v>4.79261777561923</v>
      </c>
      <c r="N683" s="39">
        <f t="shared" si="164"/>
        <v>0.001001001001001</v>
      </c>
      <c r="O683" s="560">
        <f t="shared" si="165"/>
        <v>30.2794117647059</v>
      </c>
      <c r="P683">
        <f t="shared" si="166"/>
        <v>68</v>
      </c>
      <c r="Q683" s="667">
        <f t="shared" si="167"/>
        <v>0.034034034034034</v>
      </c>
    </row>
    <row r="684" spans="1:17">
      <c r="A684" s="653">
        <v>45843</v>
      </c>
      <c r="B684" s="557">
        <v>1555</v>
      </c>
      <c r="C684" s="37">
        <v>102448</v>
      </c>
      <c r="D684" s="37">
        <v>1921</v>
      </c>
      <c r="E684" s="37">
        <v>7</v>
      </c>
      <c r="F684" s="37">
        <v>114876</v>
      </c>
      <c r="G684" s="37">
        <v>37</v>
      </c>
      <c r="H684" s="37">
        <v>9</v>
      </c>
      <c r="I684" s="558">
        <v>2</v>
      </c>
      <c r="J684" s="39">
        <f t="shared" si="170"/>
        <v>0.0187509761049508</v>
      </c>
      <c r="K684" s="559">
        <f t="shared" si="163"/>
        <v>0.809474232170744</v>
      </c>
      <c r="L684" s="559">
        <f t="shared" si="168"/>
        <v>15.178431985007</v>
      </c>
      <c r="M684" s="559">
        <f t="shared" si="169"/>
        <v>73.8752411575563</v>
      </c>
      <c r="N684" s="39">
        <f t="shared" si="164"/>
        <v>0.00364393545028631</v>
      </c>
      <c r="O684" s="560">
        <f t="shared" si="165"/>
        <v>33.804347826087</v>
      </c>
      <c r="P684">
        <f t="shared" si="166"/>
        <v>46</v>
      </c>
      <c r="Q684" s="667">
        <f t="shared" si="167"/>
        <v>0.0239458615304529</v>
      </c>
    </row>
    <row r="685" spans="1:17">
      <c r="A685" s="653">
        <v>45844</v>
      </c>
      <c r="B685" s="557">
        <v>1596</v>
      </c>
      <c r="C685" s="37">
        <v>113705</v>
      </c>
      <c r="D685" s="37">
        <v>1780</v>
      </c>
      <c r="E685" s="37">
        <v>4</v>
      </c>
      <c r="F685" s="37">
        <v>45753</v>
      </c>
      <c r="G685" s="37">
        <v>40</v>
      </c>
      <c r="H685" s="37">
        <v>15</v>
      </c>
      <c r="I685" s="558">
        <v>5</v>
      </c>
      <c r="J685" s="39">
        <f t="shared" si="170"/>
        <v>0.0156545446550284</v>
      </c>
      <c r="K685" s="559">
        <f t="shared" si="163"/>
        <v>0.896629213483146</v>
      </c>
      <c r="L685" s="559">
        <f t="shared" si="168"/>
        <v>14.0363220614749</v>
      </c>
      <c r="M685" s="559">
        <f t="shared" si="169"/>
        <v>28.6672932330827</v>
      </c>
      <c r="N685" s="39">
        <f t="shared" si="164"/>
        <v>0.00224719101123596</v>
      </c>
      <c r="O685" s="560">
        <f t="shared" si="165"/>
        <v>29.0181818181818</v>
      </c>
      <c r="P685">
        <f t="shared" si="166"/>
        <v>55</v>
      </c>
      <c r="Q685" s="667">
        <f t="shared" si="167"/>
        <v>0.0308988764044944</v>
      </c>
    </row>
    <row r="686" spans="1:17">
      <c r="A686" s="653">
        <v>45845</v>
      </c>
      <c r="B686" s="557">
        <v>2063</v>
      </c>
      <c r="C686" s="37">
        <v>77844</v>
      </c>
      <c r="D686" s="37">
        <v>1905</v>
      </c>
      <c r="E686" s="37">
        <v>2</v>
      </c>
      <c r="F686" s="37">
        <v>26468</v>
      </c>
      <c r="G686" s="37">
        <v>45</v>
      </c>
      <c r="H686" s="37">
        <v>15</v>
      </c>
      <c r="I686" s="558">
        <v>6</v>
      </c>
      <c r="J686" s="39">
        <f t="shared" si="170"/>
        <v>0.0244720209650069</v>
      </c>
      <c r="K686" s="559">
        <f t="shared" si="163"/>
        <v>1.08293963254593</v>
      </c>
      <c r="L686" s="559">
        <f t="shared" si="168"/>
        <v>26.501721391501</v>
      </c>
      <c r="M686" s="559">
        <f t="shared" si="169"/>
        <v>12.8298594280174</v>
      </c>
      <c r="N686" s="39">
        <f t="shared" si="164"/>
        <v>0.0010498687664042</v>
      </c>
      <c r="O686" s="560">
        <f t="shared" si="165"/>
        <v>34.3833333333333</v>
      </c>
      <c r="P686">
        <f t="shared" si="166"/>
        <v>60</v>
      </c>
      <c r="Q686" s="667">
        <f t="shared" si="167"/>
        <v>0.031496062992126</v>
      </c>
    </row>
    <row r="687" spans="1:17">
      <c r="A687" s="653">
        <v>45846</v>
      </c>
      <c r="B687" s="557">
        <v>1854</v>
      </c>
      <c r="C687" s="37">
        <v>88881</v>
      </c>
      <c r="D687" s="37">
        <v>1560</v>
      </c>
      <c r="E687" s="37">
        <v>2</v>
      </c>
      <c r="F687" s="37">
        <v>30012</v>
      </c>
      <c r="G687" s="37">
        <v>56</v>
      </c>
      <c r="H687" s="37">
        <v>8</v>
      </c>
      <c r="I687" s="558">
        <v>8</v>
      </c>
      <c r="J687" s="39">
        <f t="shared" si="170"/>
        <v>0.0175515577007459</v>
      </c>
      <c r="K687" s="559">
        <f t="shared" si="163"/>
        <v>1.18846153846154</v>
      </c>
      <c r="L687" s="559">
        <f t="shared" si="168"/>
        <v>20.859351267425</v>
      </c>
      <c r="M687" s="559">
        <f t="shared" si="169"/>
        <v>16.1877022653722</v>
      </c>
      <c r="N687" s="39">
        <f t="shared" si="164"/>
        <v>0.00128205128205128</v>
      </c>
      <c r="O687" s="560">
        <f t="shared" si="165"/>
        <v>28.96875</v>
      </c>
      <c r="P687">
        <f t="shared" si="166"/>
        <v>64</v>
      </c>
      <c r="Q687" s="667">
        <f t="shared" si="167"/>
        <v>0.041025641025641</v>
      </c>
    </row>
    <row r="688" spans="1:17">
      <c r="A688" s="653">
        <v>45847</v>
      </c>
      <c r="B688" s="557">
        <v>2213</v>
      </c>
      <c r="C688" s="37">
        <v>96122</v>
      </c>
      <c r="D688" s="37">
        <v>1928</v>
      </c>
      <c r="E688" s="37">
        <v>0</v>
      </c>
      <c r="F688" s="37">
        <v>0</v>
      </c>
      <c r="G688" s="37">
        <v>57</v>
      </c>
      <c r="H688" s="37">
        <v>10</v>
      </c>
      <c r="I688" s="558">
        <v>4</v>
      </c>
      <c r="J688" s="39">
        <f t="shared" si="170"/>
        <v>0.0200578431576538</v>
      </c>
      <c r="K688" s="559">
        <f t="shared" si="163"/>
        <v>1.14782157676349</v>
      </c>
      <c r="L688" s="559">
        <f t="shared" si="168"/>
        <v>23.0228251596929</v>
      </c>
      <c r="M688" s="559">
        <f t="shared" si="169"/>
        <v>0</v>
      </c>
      <c r="N688" s="39">
        <f t="shared" si="164"/>
        <v>0</v>
      </c>
      <c r="O688" s="560">
        <f t="shared" si="165"/>
        <v>33.0298507462687</v>
      </c>
      <c r="P688">
        <f t="shared" si="166"/>
        <v>67</v>
      </c>
      <c r="Q688" s="667">
        <f t="shared" si="167"/>
        <v>0.0347510373443983</v>
      </c>
    </row>
    <row r="689" spans="1:17">
      <c r="A689" s="653">
        <v>45848</v>
      </c>
      <c r="B689" s="557">
        <v>1967</v>
      </c>
      <c r="C689" s="37">
        <v>90851</v>
      </c>
      <c r="D689" s="37">
        <v>1644</v>
      </c>
      <c r="E689" s="37">
        <v>0</v>
      </c>
      <c r="F689" s="37">
        <v>0</v>
      </c>
      <c r="G689" s="37">
        <v>46</v>
      </c>
      <c r="H689" s="37">
        <v>17</v>
      </c>
      <c r="I689" s="558">
        <v>4</v>
      </c>
      <c r="J689" s="39">
        <f t="shared" si="170"/>
        <v>0.0180955630647984</v>
      </c>
      <c r="K689" s="559">
        <f t="shared" ref="K689:K752" si="171">B689/D689</f>
        <v>1.19647201946472</v>
      </c>
      <c r="L689" s="559">
        <f t="shared" si="168"/>
        <v>21.6508348834905</v>
      </c>
      <c r="M689" s="559">
        <f t="shared" si="169"/>
        <v>0</v>
      </c>
      <c r="N689" s="39">
        <f t="shared" ref="N689:N752" si="172">E689/D689</f>
        <v>0</v>
      </c>
      <c r="O689" s="560">
        <f t="shared" ref="O689:O752" si="173">B689/(G689+H689)</f>
        <v>31.2222222222222</v>
      </c>
      <c r="P689">
        <f t="shared" ref="P689:P752" si="174">G689+H689</f>
        <v>63</v>
      </c>
      <c r="Q689" s="667">
        <f t="shared" ref="Q689:Q752" si="175">P689/D689</f>
        <v>0.0383211678832117</v>
      </c>
    </row>
    <row r="690" spans="1:17">
      <c r="A690" s="653">
        <v>45849</v>
      </c>
      <c r="B690" s="557">
        <v>1940</v>
      </c>
      <c r="C690" s="37">
        <v>88134</v>
      </c>
      <c r="D690" s="37">
        <v>1768</v>
      </c>
      <c r="E690" s="37">
        <v>3</v>
      </c>
      <c r="F690" s="37">
        <v>47847</v>
      </c>
      <c r="G690" s="37">
        <v>29</v>
      </c>
      <c r="H690" s="37">
        <v>15</v>
      </c>
      <c r="I690" s="558">
        <v>9</v>
      </c>
      <c r="J690" s="39">
        <f t="shared" si="170"/>
        <v>0.0200603626296322</v>
      </c>
      <c r="K690" s="559">
        <f t="shared" si="171"/>
        <v>1.0972850678733</v>
      </c>
      <c r="L690" s="559">
        <f t="shared" ref="L690:L753" si="176">B690/C690*1000</f>
        <v>22.011936369619</v>
      </c>
      <c r="M690" s="559">
        <f t="shared" si="169"/>
        <v>24.6634020618557</v>
      </c>
      <c r="N690" s="39">
        <f t="shared" si="172"/>
        <v>0.00169683257918552</v>
      </c>
      <c r="O690" s="560">
        <f t="shared" si="173"/>
        <v>44.0909090909091</v>
      </c>
      <c r="P690">
        <f t="shared" si="174"/>
        <v>44</v>
      </c>
      <c r="Q690" s="667">
        <f t="shared" si="175"/>
        <v>0.0248868778280543</v>
      </c>
    </row>
    <row r="691" spans="1:17">
      <c r="A691" s="653">
        <v>45850</v>
      </c>
      <c r="B691" s="557">
        <v>1597</v>
      </c>
      <c r="C691" s="37">
        <v>85092</v>
      </c>
      <c r="D691" s="37">
        <v>1464</v>
      </c>
      <c r="E691" s="37">
        <v>3</v>
      </c>
      <c r="F691" s="37">
        <v>40522</v>
      </c>
      <c r="G691" s="37">
        <v>59</v>
      </c>
      <c r="H691" s="37">
        <v>14</v>
      </c>
      <c r="I691" s="558">
        <v>5</v>
      </c>
      <c r="J691" s="39">
        <f t="shared" si="170"/>
        <v>0.0172049076293894</v>
      </c>
      <c r="K691" s="559">
        <f t="shared" si="171"/>
        <v>1.09084699453552</v>
      </c>
      <c r="L691" s="559">
        <f t="shared" si="176"/>
        <v>18.7679217787806</v>
      </c>
      <c r="M691" s="559">
        <f t="shared" si="169"/>
        <v>25.3738259236068</v>
      </c>
      <c r="N691" s="39">
        <f t="shared" si="172"/>
        <v>0.00204918032786885</v>
      </c>
      <c r="O691" s="560">
        <f t="shared" si="173"/>
        <v>21.8767123287671</v>
      </c>
      <c r="P691">
        <f t="shared" si="174"/>
        <v>73</v>
      </c>
      <c r="Q691" s="667">
        <f t="shared" si="175"/>
        <v>0.0498633879781421</v>
      </c>
    </row>
    <row r="692" spans="1:17">
      <c r="A692" s="653">
        <v>45851</v>
      </c>
      <c r="B692" s="557">
        <v>1580</v>
      </c>
      <c r="C692" s="37">
        <v>95519</v>
      </c>
      <c r="D692" s="37">
        <v>1493</v>
      </c>
      <c r="E692" s="37">
        <v>7</v>
      </c>
      <c r="F692" s="37">
        <v>141118</v>
      </c>
      <c r="G692" s="37">
        <v>31</v>
      </c>
      <c r="H692" s="37">
        <v>15</v>
      </c>
      <c r="I692" s="558">
        <v>5</v>
      </c>
      <c r="J692" s="39">
        <f t="shared" si="170"/>
        <v>0.0156303981406841</v>
      </c>
      <c r="K692" s="559">
        <f t="shared" si="171"/>
        <v>1.05827193569993</v>
      </c>
      <c r="L692" s="559">
        <f t="shared" si="176"/>
        <v>16.5412116961023</v>
      </c>
      <c r="M692" s="559">
        <f t="shared" si="169"/>
        <v>89.3151898734177</v>
      </c>
      <c r="N692" s="39">
        <f t="shared" si="172"/>
        <v>0.00468854655056932</v>
      </c>
      <c r="O692" s="560">
        <f t="shared" si="173"/>
        <v>34.3478260869565</v>
      </c>
      <c r="P692">
        <f t="shared" si="174"/>
        <v>46</v>
      </c>
      <c r="Q692" s="667">
        <f t="shared" si="175"/>
        <v>0.0308104487608841</v>
      </c>
    </row>
    <row r="693" spans="1:17">
      <c r="A693" s="653">
        <v>45852</v>
      </c>
      <c r="B693" s="557">
        <v>1936</v>
      </c>
      <c r="C693" s="37">
        <v>81780</v>
      </c>
      <c r="D693" s="37">
        <v>1757</v>
      </c>
      <c r="E693" s="37">
        <v>1</v>
      </c>
      <c r="F693" s="37">
        <v>5644</v>
      </c>
      <c r="G693" s="37">
        <v>63</v>
      </c>
      <c r="H693" s="37">
        <v>15</v>
      </c>
      <c r="I693" s="558">
        <v>8</v>
      </c>
      <c r="J693" s="39">
        <f t="shared" ref="J693:J756" si="177">D693/C693</f>
        <v>0.0214844705306921</v>
      </c>
      <c r="K693" s="559">
        <f t="shared" si="171"/>
        <v>1.1018782014798</v>
      </c>
      <c r="L693" s="559">
        <f t="shared" si="176"/>
        <v>23.6732697481047</v>
      </c>
      <c r="M693" s="559">
        <f>F693/B693</f>
        <v>2.91528925619835</v>
      </c>
      <c r="N693" s="39">
        <f t="shared" si="172"/>
        <v>0.000569151963574274</v>
      </c>
      <c r="O693" s="560">
        <f t="shared" si="173"/>
        <v>24.8205128205128</v>
      </c>
      <c r="P693">
        <f t="shared" si="174"/>
        <v>78</v>
      </c>
      <c r="Q693" s="667">
        <f t="shared" si="175"/>
        <v>0.0443938531587934</v>
      </c>
    </row>
    <row r="694" spans="1:17">
      <c r="A694" s="653">
        <v>45853</v>
      </c>
      <c r="B694" s="557">
        <v>1591</v>
      </c>
      <c r="C694" s="37">
        <v>91436</v>
      </c>
      <c r="D694" s="37">
        <v>1609</v>
      </c>
      <c r="E694" s="37">
        <v>0</v>
      </c>
      <c r="F694" s="37">
        <v>0</v>
      </c>
      <c r="G694" s="37">
        <v>48</v>
      </c>
      <c r="H694" s="37">
        <v>17</v>
      </c>
      <c r="I694" s="558">
        <v>2</v>
      </c>
      <c r="J694" s="39">
        <f t="shared" si="177"/>
        <v>0.0175970077431209</v>
      </c>
      <c r="K694" s="559">
        <f t="shared" si="171"/>
        <v>0.988812927284027</v>
      </c>
      <c r="L694" s="559">
        <f t="shared" si="176"/>
        <v>17.400148737915</v>
      </c>
      <c r="M694" s="559">
        <f t="shared" ref="M694:M757" si="178">F694/B694</f>
        <v>0</v>
      </c>
      <c r="N694" s="39">
        <f t="shared" si="172"/>
        <v>0</v>
      </c>
      <c r="O694" s="560">
        <f t="shared" si="173"/>
        <v>24.4769230769231</v>
      </c>
      <c r="P694">
        <f t="shared" si="174"/>
        <v>65</v>
      </c>
      <c r="Q694" s="667">
        <f t="shared" si="175"/>
        <v>0.0403977625854568</v>
      </c>
    </row>
    <row r="695" spans="1:17">
      <c r="A695" s="653">
        <v>45854</v>
      </c>
      <c r="B695" s="557">
        <v>1992</v>
      </c>
      <c r="C695" s="37">
        <v>65818</v>
      </c>
      <c r="D695" s="37">
        <v>1679</v>
      </c>
      <c r="E695" s="37">
        <v>1</v>
      </c>
      <c r="F695" s="37">
        <v>4164</v>
      </c>
      <c r="G695" s="37">
        <v>65</v>
      </c>
      <c r="H695" s="37">
        <v>18</v>
      </c>
      <c r="I695" s="558">
        <v>4</v>
      </c>
      <c r="J695" s="39">
        <f t="shared" si="177"/>
        <v>0.0255097389771795</v>
      </c>
      <c r="K695" s="559">
        <f t="shared" si="171"/>
        <v>1.18642048838594</v>
      </c>
      <c r="L695" s="559">
        <f t="shared" si="176"/>
        <v>30.2652769759032</v>
      </c>
      <c r="M695" s="559">
        <f t="shared" si="178"/>
        <v>2.09036144578313</v>
      </c>
      <c r="N695" s="39">
        <f t="shared" si="172"/>
        <v>0.000595592614651578</v>
      </c>
      <c r="O695" s="560">
        <f t="shared" si="173"/>
        <v>24</v>
      </c>
      <c r="P695">
        <f t="shared" si="174"/>
        <v>83</v>
      </c>
      <c r="Q695" s="667">
        <f t="shared" si="175"/>
        <v>0.049434187016081</v>
      </c>
    </row>
    <row r="696" spans="1:17">
      <c r="A696" s="653">
        <v>45855</v>
      </c>
      <c r="B696" s="557">
        <v>1900</v>
      </c>
      <c r="C696" s="37">
        <v>50785</v>
      </c>
      <c r="D696" s="37">
        <v>1482</v>
      </c>
      <c r="E696" s="37">
        <v>5</v>
      </c>
      <c r="F696" s="37">
        <v>61950</v>
      </c>
      <c r="G696" s="37">
        <v>83</v>
      </c>
      <c r="H696" s="37">
        <v>13</v>
      </c>
      <c r="I696" s="558">
        <v>6</v>
      </c>
      <c r="J696" s="39">
        <f t="shared" si="177"/>
        <v>0.0291818450329822</v>
      </c>
      <c r="K696" s="559">
        <f t="shared" si="171"/>
        <v>1.28205128205128</v>
      </c>
      <c r="L696" s="559">
        <f t="shared" si="176"/>
        <v>37.4126218371566</v>
      </c>
      <c r="M696" s="559">
        <f t="shared" si="178"/>
        <v>32.6052631578947</v>
      </c>
      <c r="N696" s="39">
        <f t="shared" si="172"/>
        <v>0.00337381916329285</v>
      </c>
      <c r="O696" s="560">
        <f t="shared" si="173"/>
        <v>19.7916666666667</v>
      </c>
      <c r="P696">
        <f t="shared" si="174"/>
        <v>96</v>
      </c>
      <c r="Q696" s="667">
        <f t="shared" si="175"/>
        <v>0.0647773279352227</v>
      </c>
    </row>
    <row r="697" spans="1:17">
      <c r="A697" s="653">
        <v>45856</v>
      </c>
      <c r="B697" s="557">
        <v>2293</v>
      </c>
      <c r="C697" s="37">
        <v>58973</v>
      </c>
      <c r="D697" s="37">
        <v>1578</v>
      </c>
      <c r="E697" s="37">
        <v>1</v>
      </c>
      <c r="F697" s="37">
        <v>19714</v>
      </c>
      <c r="G697" s="37">
        <v>51</v>
      </c>
      <c r="H697" s="37">
        <v>14</v>
      </c>
      <c r="I697" s="558">
        <v>6</v>
      </c>
      <c r="J697" s="39">
        <f t="shared" si="177"/>
        <v>0.0267580079019212</v>
      </c>
      <c r="K697" s="559">
        <f t="shared" si="171"/>
        <v>1.4531051964512</v>
      </c>
      <c r="L697" s="559">
        <f t="shared" si="176"/>
        <v>38.8822003289641</v>
      </c>
      <c r="M697" s="559">
        <f t="shared" si="178"/>
        <v>8.59747056258177</v>
      </c>
      <c r="N697" s="39">
        <f t="shared" si="172"/>
        <v>0.000633713561470215</v>
      </c>
      <c r="O697" s="560">
        <f t="shared" si="173"/>
        <v>35.2769230769231</v>
      </c>
      <c r="P697">
        <f t="shared" si="174"/>
        <v>65</v>
      </c>
      <c r="Q697" s="667">
        <f t="shared" si="175"/>
        <v>0.041191381495564</v>
      </c>
    </row>
    <row r="698" spans="1:17">
      <c r="A698" s="653">
        <v>45857</v>
      </c>
      <c r="B698" s="557">
        <v>1598</v>
      </c>
      <c r="C698" s="37">
        <v>64530</v>
      </c>
      <c r="D698" s="37">
        <v>1270</v>
      </c>
      <c r="E698" s="37">
        <v>4</v>
      </c>
      <c r="F698" s="37">
        <v>61512</v>
      </c>
      <c r="G698" s="37">
        <v>54</v>
      </c>
      <c r="H698" s="37">
        <v>15</v>
      </c>
      <c r="I698" s="558">
        <v>7</v>
      </c>
      <c r="J698" s="39">
        <f t="shared" si="177"/>
        <v>0.0196807686347435</v>
      </c>
      <c r="K698" s="559">
        <f t="shared" si="171"/>
        <v>1.25826771653543</v>
      </c>
      <c r="L698" s="559">
        <f t="shared" si="176"/>
        <v>24.7636758097009</v>
      </c>
      <c r="M698" s="559">
        <f t="shared" si="178"/>
        <v>38.4931163954944</v>
      </c>
      <c r="N698" s="39">
        <f t="shared" si="172"/>
        <v>0.0031496062992126</v>
      </c>
      <c r="O698" s="560">
        <f t="shared" si="173"/>
        <v>23.1594202898551</v>
      </c>
      <c r="P698">
        <f t="shared" si="174"/>
        <v>69</v>
      </c>
      <c r="Q698" s="667">
        <f t="shared" si="175"/>
        <v>0.0543307086614173</v>
      </c>
    </row>
    <row r="699" spans="1:17">
      <c r="A699" s="653">
        <v>45858</v>
      </c>
      <c r="B699" s="557">
        <v>1598</v>
      </c>
      <c r="C699" s="37">
        <v>70589</v>
      </c>
      <c r="D699" s="37">
        <v>1372</v>
      </c>
      <c r="E699" s="37">
        <v>0</v>
      </c>
      <c r="F699" s="37">
        <v>0</v>
      </c>
      <c r="G699" s="37">
        <v>52</v>
      </c>
      <c r="H699" s="37">
        <v>10</v>
      </c>
      <c r="I699" s="558">
        <v>5</v>
      </c>
      <c r="J699" s="39">
        <f t="shared" si="177"/>
        <v>0.0194364561050589</v>
      </c>
      <c r="K699" s="559">
        <f t="shared" si="171"/>
        <v>1.16472303206997</v>
      </c>
      <c r="L699" s="559">
        <f t="shared" si="176"/>
        <v>22.6380880873791</v>
      </c>
      <c r="M699" s="559">
        <f t="shared" si="178"/>
        <v>0</v>
      </c>
      <c r="N699" s="39">
        <f t="shared" si="172"/>
        <v>0</v>
      </c>
      <c r="O699" s="560">
        <f t="shared" si="173"/>
        <v>25.7741935483871</v>
      </c>
      <c r="P699">
        <f t="shared" si="174"/>
        <v>62</v>
      </c>
      <c r="Q699" s="667">
        <f t="shared" si="175"/>
        <v>0.0451895043731778</v>
      </c>
    </row>
    <row r="700" spans="1:17">
      <c r="A700" s="653">
        <v>45859</v>
      </c>
      <c r="B700" s="557">
        <v>2275</v>
      </c>
      <c r="C700" s="37">
        <v>77888</v>
      </c>
      <c r="D700" s="37">
        <v>1905</v>
      </c>
      <c r="E700" s="37">
        <v>1</v>
      </c>
      <c r="F700" s="37">
        <v>22294</v>
      </c>
      <c r="G700" s="37">
        <v>62</v>
      </c>
      <c r="H700" s="37">
        <v>11</v>
      </c>
      <c r="I700" s="558">
        <v>6</v>
      </c>
      <c r="J700" s="39">
        <f t="shared" si="177"/>
        <v>0.0244581963845522</v>
      </c>
      <c r="K700" s="559">
        <f t="shared" si="171"/>
        <v>1.19422572178478</v>
      </c>
      <c r="L700" s="559">
        <f t="shared" si="176"/>
        <v>29.2086072308956</v>
      </c>
      <c r="M700" s="559">
        <f t="shared" si="178"/>
        <v>9.79956043956044</v>
      </c>
      <c r="N700" s="39">
        <f t="shared" si="172"/>
        <v>0.0005249343832021</v>
      </c>
      <c r="O700" s="560">
        <f t="shared" si="173"/>
        <v>31.1643835616438</v>
      </c>
      <c r="P700">
        <f t="shared" si="174"/>
        <v>73</v>
      </c>
      <c r="Q700" s="667">
        <f t="shared" si="175"/>
        <v>0.0383202099737533</v>
      </c>
    </row>
    <row r="701" spans="1:17">
      <c r="A701" s="653">
        <v>45860</v>
      </c>
      <c r="B701" s="557">
        <v>1598</v>
      </c>
      <c r="C701" s="37">
        <v>48594</v>
      </c>
      <c r="D701" s="37">
        <v>1364</v>
      </c>
      <c r="E701" s="37">
        <v>3</v>
      </c>
      <c r="F701" s="37">
        <v>35319</v>
      </c>
      <c r="G701" s="37">
        <v>51</v>
      </c>
      <c r="H701" s="37">
        <v>14</v>
      </c>
      <c r="I701" s="558">
        <v>8</v>
      </c>
      <c r="J701" s="39">
        <f t="shared" si="177"/>
        <v>0.0280693089681854</v>
      </c>
      <c r="K701" s="559">
        <f t="shared" si="171"/>
        <v>1.17155425219941</v>
      </c>
      <c r="L701" s="559">
        <f t="shared" si="176"/>
        <v>32.8847182779767</v>
      </c>
      <c r="M701" s="559">
        <f t="shared" si="178"/>
        <v>22.1020025031289</v>
      </c>
      <c r="N701" s="39">
        <f t="shared" si="172"/>
        <v>0.00219941348973607</v>
      </c>
      <c r="O701" s="560">
        <f t="shared" si="173"/>
        <v>24.5846153846154</v>
      </c>
      <c r="P701">
        <f t="shared" si="174"/>
        <v>65</v>
      </c>
      <c r="Q701" s="667">
        <f t="shared" si="175"/>
        <v>0.0476539589442815</v>
      </c>
    </row>
    <row r="702" spans="1:17">
      <c r="A702" s="653">
        <v>45861</v>
      </c>
      <c r="B702" s="557">
        <v>2573</v>
      </c>
      <c r="C702" s="37">
        <v>66821</v>
      </c>
      <c r="D702" s="37">
        <v>1954</v>
      </c>
      <c r="E702" s="37">
        <v>3</v>
      </c>
      <c r="F702" s="37">
        <v>27686</v>
      </c>
      <c r="G702" s="37">
        <v>56</v>
      </c>
      <c r="H702" s="37">
        <v>22</v>
      </c>
      <c r="I702" s="558">
        <v>11</v>
      </c>
      <c r="J702" s="39">
        <f t="shared" si="177"/>
        <v>0.029242304066087</v>
      </c>
      <c r="K702" s="559">
        <f t="shared" si="171"/>
        <v>1.31678607983623</v>
      </c>
      <c r="L702" s="559">
        <f t="shared" si="176"/>
        <v>38.5058589365619</v>
      </c>
      <c r="M702" s="559">
        <f t="shared" si="178"/>
        <v>10.7602020987174</v>
      </c>
      <c r="N702" s="39">
        <f t="shared" si="172"/>
        <v>0.0015353121801433</v>
      </c>
      <c r="O702" s="560">
        <f t="shared" si="173"/>
        <v>32.9871794871795</v>
      </c>
      <c r="P702">
        <f t="shared" si="174"/>
        <v>78</v>
      </c>
      <c r="Q702" s="667">
        <f t="shared" si="175"/>
        <v>0.0399181166837257</v>
      </c>
    </row>
    <row r="703" spans="1:17">
      <c r="A703" s="653">
        <v>45862</v>
      </c>
      <c r="B703" s="557">
        <v>2596</v>
      </c>
      <c r="C703" s="37">
        <v>76717</v>
      </c>
      <c r="D703" s="37">
        <v>1812</v>
      </c>
      <c r="E703" s="37">
        <v>2</v>
      </c>
      <c r="F703" s="37">
        <v>25604</v>
      </c>
      <c r="G703" s="37">
        <v>53</v>
      </c>
      <c r="H703" s="37">
        <v>15</v>
      </c>
      <c r="I703" s="558">
        <v>6</v>
      </c>
      <c r="J703" s="39">
        <f t="shared" si="177"/>
        <v>0.0236192760405125</v>
      </c>
      <c r="K703" s="559">
        <f t="shared" si="171"/>
        <v>1.4326710816777</v>
      </c>
      <c r="L703" s="559">
        <f t="shared" si="176"/>
        <v>33.8386537534054</v>
      </c>
      <c r="M703" s="559">
        <f t="shared" si="178"/>
        <v>9.86286594761171</v>
      </c>
      <c r="N703" s="39">
        <f t="shared" si="172"/>
        <v>0.0011037527593819</v>
      </c>
      <c r="O703" s="560">
        <f t="shared" si="173"/>
        <v>38.1764705882353</v>
      </c>
      <c r="P703">
        <f t="shared" si="174"/>
        <v>68</v>
      </c>
      <c r="Q703" s="667">
        <f t="shared" si="175"/>
        <v>0.0375275938189845</v>
      </c>
    </row>
    <row r="704" spans="1:17">
      <c r="A704" s="653">
        <v>45863</v>
      </c>
      <c r="B704" s="557">
        <v>2527</v>
      </c>
      <c r="C704" s="37">
        <v>114320</v>
      </c>
      <c r="D704" s="37">
        <v>2148</v>
      </c>
      <c r="E704" s="37">
        <v>0</v>
      </c>
      <c r="F704" s="37">
        <v>0</v>
      </c>
      <c r="G704" s="37">
        <v>47</v>
      </c>
      <c r="H704" s="37">
        <v>17</v>
      </c>
      <c r="I704" s="558">
        <v>4</v>
      </c>
      <c r="J704" s="39">
        <f t="shared" si="177"/>
        <v>0.0187893631910427</v>
      </c>
      <c r="K704" s="559">
        <f t="shared" si="171"/>
        <v>1.17644320297952</v>
      </c>
      <c r="L704" s="559">
        <f t="shared" si="176"/>
        <v>22.1046186144157</v>
      </c>
      <c r="M704" s="559">
        <f t="shared" si="178"/>
        <v>0</v>
      </c>
      <c r="N704" s="39">
        <f t="shared" si="172"/>
        <v>0</v>
      </c>
      <c r="O704" s="560">
        <f t="shared" si="173"/>
        <v>39.484375</v>
      </c>
      <c r="P704">
        <f t="shared" si="174"/>
        <v>64</v>
      </c>
      <c r="Q704" s="667">
        <f t="shared" si="175"/>
        <v>0.0297951582867784</v>
      </c>
    </row>
    <row r="705" spans="1:17">
      <c r="A705" s="653">
        <v>45864</v>
      </c>
      <c r="B705" s="557">
        <v>2046</v>
      </c>
      <c r="C705" s="37">
        <v>79698</v>
      </c>
      <c r="D705" s="37">
        <v>1657</v>
      </c>
      <c r="E705" s="37">
        <v>1</v>
      </c>
      <c r="F705" s="37">
        <v>17654</v>
      </c>
      <c r="G705" s="37">
        <v>52</v>
      </c>
      <c r="H705" s="37">
        <v>11</v>
      </c>
      <c r="I705" s="558">
        <v>7</v>
      </c>
      <c r="J705" s="39">
        <f t="shared" si="177"/>
        <v>0.0207909859720445</v>
      </c>
      <c r="K705" s="559">
        <f t="shared" si="171"/>
        <v>1.23476161738081</v>
      </c>
      <c r="L705" s="559">
        <f t="shared" si="176"/>
        <v>25.6719114657833</v>
      </c>
      <c r="M705" s="559">
        <f t="shared" si="178"/>
        <v>8.62854349951124</v>
      </c>
      <c r="N705" s="39">
        <f t="shared" si="172"/>
        <v>0.000603500301750151</v>
      </c>
      <c r="O705" s="560">
        <f t="shared" si="173"/>
        <v>32.4761904761905</v>
      </c>
      <c r="P705">
        <f t="shared" si="174"/>
        <v>63</v>
      </c>
      <c r="Q705" s="667">
        <f t="shared" si="175"/>
        <v>0.0380205190102595</v>
      </c>
    </row>
    <row r="706" spans="1:17">
      <c r="A706" s="653">
        <v>45865</v>
      </c>
      <c r="B706" s="557">
        <v>2037</v>
      </c>
      <c r="C706" s="37">
        <v>95946</v>
      </c>
      <c r="D706" s="37">
        <v>1971</v>
      </c>
      <c r="E706" s="37">
        <v>0</v>
      </c>
      <c r="F706" s="37">
        <v>0</v>
      </c>
      <c r="G706" s="37">
        <v>53</v>
      </c>
      <c r="H706" s="37">
        <v>16</v>
      </c>
      <c r="I706" s="558">
        <v>6</v>
      </c>
      <c r="J706" s="39">
        <f t="shared" si="177"/>
        <v>0.020542805327997</v>
      </c>
      <c r="K706" s="559">
        <f t="shared" si="171"/>
        <v>1.03348554033486</v>
      </c>
      <c r="L706" s="559">
        <f t="shared" si="176"/>
        <v>21.2306922643987</v>
      </c>
      <c r="M706" s="559">
        <f t="shared" si="178"/>
        <v>0</v>
      </c>
      <c r="N706" s="39">
        <f t="shared" si="172"/>
        <v>0</v>
      </c>
      <c r="O706" s="560">
        <f t="shared" si="173"/>
        <v>29.5217391304348</v>
      </c>
      <c r="P706">
        <f t="shared" si="174"/>
        <v>69</v>
      </c>
      <c r="Q706" s="667">
        <f t="shared" si="175"/>
        <v>0.0350076103500761</v>
      </c>
    </row>
    <row r="707" spans="1:17">
      <c r="A707" s="653">
        <v>45866</v>
      </c>
      <c r="B707" s="557">
        <v>2586</v>
      </c>
      <c r="C707" s="37">
        <v>70668</v>
      </c>
      <c r="D707" s="37">
        <v>1922</v>
      </c>
      <c r="E707" s="37">
        <v>1</v>
      </c>
      <c r="F707" s="37">
        <v>14934</v>
      </c>
      <c r="G707" s="37">
        <v>79</v>
      </c>
      <c r="H707" s="37">
        <v>13</v>
      </c>
      <c r="I707" s="558">
        <v>4</v>
      </c>
      <c r="J707" s="39">
        <f t="shared" si="177"/>
        <v>0.0271976000452822</v>
      </c>
      <c r="K707" s="559">
        <f t="shared" si="171"/>
        <v>1.34547346514048</v>
      </c>
      <c r="L707" s="559">
        <f t="shared" si="176"/>
        <v>36.5936491764306</v>
      </c>
      <c r="M707" s="559">
        <f t="shared" si="178"/>
        <v>5.77494199535963</v>
      </c>
      <c r="N707" s="39">
        <f t="shared" si="172"/>
        <v>0.000520291363163372</v>
      </c>
      <c r="O707" s="560">
        <f t="shared" si="173"/>
        <v>28.1086956521739</v>
      </c>
      <c r="P707">
        <f t="shared" si="174"/>
        <v>92</v>
      </c>
      <c r="Q707" s="667">
        <f t="shared" si="175"/>
        <v>0.0478668054110302</v>
      </c>
    </row>
    <row r="708" spans="1:17">
      <c r="A708" s="653">
        <v>45867</v>
      </c>
      <c r="B708" s="557">
        <v>1603</v>
      </c>
      <c r="C708" s="37">
        <v>58516</v>
      </c>
      <c r="D708" s="37">
        <v>1388</v>
      </c>
      <c r="E708" s="37">
        <v>4</v>
      </c>
      <c r="F708" s="37">
        <v>46892</v>
      </c>
      <c r="G708" s="37">
        <v>32</v>
      </c>
      <c r="H708" s="37">
        <v>13</v>
      </c>
      <c r="I708" s="558">
        <v>8</v>
      </c>
      <c r="J708" s="39">
        <f t="shared" si="177"/>
        <v>0.0237200082028847</v>
      </c>
      <c r="K708" s="559">
        <f t="shared" si="171"/>
        <v>1.15489913544669</v>
      </c>
      <c r="L708" s="559">
        <f t="shared" si="176"/>
        <v>27.3942169662998</v>
      </c>
      <c r="M708" s="559">
        <f t="shared" si="178"/>
        <v>29.2526512788522</v>
      </c>
      <c r="N708" s="39">
        <f t="shared" si="172"/>
        <v>0.00288184438040346</v>
      </c>
      <c r="O708" s="560">
        <f t="shared" si="173"/>
        <v>35.6222222222222</v>
      </c>
      <c r="P708">
        <f t="shared" si="174"/>
        <v>45</v>
      </c>
      <c r="Q708" s="667">
        <f t="shared" si="175"/>
        <v>0.0324207492795389</v>
      </c>
    </row>
    <row r="709" spans="1:17">
      <c r="A709" s="653">
        <v>45868</v>
      </c>
      <c r="B709" s="557">
        <v>2685</v>
      </c>
      <c r="C709" s="37">
        <v>73975</v>
      </c>
      <c r="D709" s="37">
        <v>2133</v>
      </c>
      <c r="E709" s="37">
        <v>6</v>
      </c>
      <c r="F709" s="37">
        <v>76539</v>
      </c>
      <c r="G709" s="37">
        <v>60</v>
      </c>
      <c r="H709" s="37">
        <v>16</v>
      </c>
      <c r="I709" s="558">
        <v>8</v>
      </c>
      <c r="J709" s="39">
        <f t="shared" si="177"/>
        <v>0.0288340655626901</v>
      </c>
      <c r="K709" s="559">
        <f t="shared" si="171"/>
        <v>1.25879043600563</v>
      </c>
      <c r="L709" s="559">
        <f t="shared" si="176"/>
        <v>36.2960459614735</v>
      </c>
      <c r="M709" s="559">
        <f t="shared" si="178"/>
        <v>28.5061452513966</v>
      </c>
      <c r="N709" s="39">
        <f t="shared" si="172"/>
        <v>0.00281293952180028</v>
      </c>
      <c r="O709" s="560">
        <f t="shared" si="173"/>
        <v>35.3289473684211</v>
      </c>
      <c r="P709">
        <f t="shared" si="174"/>
        <v>76</v>
      </c>
      <c r="Q709" s="667">
        <f t="shared" si="175"/>
        <v>0.0356305672761369</v>
      </c>
    </row>
    <row r="710" spans="1:17">
      <c r="A710" s="653">
        <v>45869</v>
      </c>
      <c r="B710" s="557">
        <v>2086</v>
      </c>
      <c r="C710" s="37">
        <v>73291</v>
      </c>
      <c r="D710" s="37">
        <v>1580</v>
      </c>
      <c r="E710" s="37">
        <v>1</v>
      </c>
      <c r="F710" s="37">
        <v>16716</v>
      </c>
      <c r="G710" s="37">
        <v>48</v>
      </c>
      <c r="H710" s="37">
        <v>11</v>
      </c>
      <c r="I710" s="558">
        <v>7</v>
      </c>
      <c r="J710" s="39">
        <f t="shared" si="177"/>
        <v>0.0215578993327967</v>
      </c>
      <c r="K710" s="559">
        <f t="shared" si="171"/>
        <v>1.32025316455696</v>
      </c>
      <c r="L710" s="559">
        <f t="shared" si="176"/>
        <v>28.4618848153252</v>
      </c>
      <c r="M710" s="559">
        <f t="shared" si="178"/>
        <v>8.01342281879195</v>
      </c>
      <c r="N710" s="39">
        <f t="shared" si="172"/>
        <v>0.000632911392405063</v>
      </c>
      <c r="O710" s="560">
        <f t="shared" si="173"/>
        <v>35.3559322033898</v>
      </c>
      <c r="P710">
        <f t="shared" si="174"/>
        <v>59</v>
      </c>
      <c r="Q710" s="667">
        <f t="shared" si="175"/>
        <v>0.0373417721518987</v>
      </c>
    </row>
    <row r="711" spans="1:17">
      <c r="A711" s="653">
        <v>45870</v>
      </c>
      <c r="B711" s="557">
        <v>1618</v>
      </c>
      <c r="C711" s="37">
        <v>52962</v>
      </c>
      <c r="D711" s="37">
        <v>1206</v>
      </c>
      <c r="E711" s="37">
        <v>4</v>
      </c>
      <c r="F711" s="37">
        <v>60106</v>
      </c>
      <c r="G711" s="37">
        <v>32</v>
      </c>
      <c r="H711" s="37">
        <v>7</v>
      </c>
      <c r="I711" s="558">
        <v>5</v>
      </c>
      <c r="J711" s="39">
        <f t="shared" si="177"/>
        <v>0.0227710433896001</v>
      </c>
      <c r="K711" s="559">
        <f t="shared" si="171"/>
        <v>1.34162520729685</v>
      </c>
      <c r="L711" s="559">
        <f t="shared" si="176"/>
        <v>30.5502058079378</v>
      </c>
      <c r="M711" s="559">
        <f t="shared" si="178"/>
        <v>37.1483312731768</v>
      </c>
      <c r="N711" s="39">
        <f t="shared" si="172"/>
        <v>0.0033167495854063</v>
      </c>
      <c r="O711" s="560">
        <f t="shared" si="173"/>
        <v>41.4871794871795</v>
      </c>
      <c r="P711">
        <f t="shared" si="174"/>
        <v>39</v>
      </c>
      <c r="Q711" s="667">
        <f t="shared" si="175"/>
        <v>0.0323383084577114</v>
      </c>
    </row>
    <row r="712" spans="1:17">
      <c r="A712" s="653">
        <v>45871</v>
      </c>
      <c r="B712" s="557">
        <v>1975</v>
      </c>
      <c r="C712" s="37">
        <v>45873</v>
      </c>
      <c r="D712" s="37">
        <v>1378</v>
      </c>
      <c r="E712" s="37">
        <v>3</v>
      </c>
      <c r="F712" s="37">
        <v>53099</v>
      </c>
      <c r="G712" s="37">
        <v>45</v>
      </c>
      <c r="H712" s="37">
        <v>12</v>
      </c>
      <c r="I712" s="558">
        <v>4</v>
      </c>
      <c r="J712" s="39">
        <f t="shared" si="177"/>
        <v>0.0300394567610577</v>
      </c>
      <c r="K712" s="559">
        <f t="shared" si="171"/>
        <v>1.43323657474601</v>
      </c>
      <c r="L712" s="559">
        <f t="shared" si="176"/>
        <v>43.0536481154492</v>
      </c>
      <c r="M712" s="559">
        <f t="shared" si="178"/>
        <v>26.8855696202532</v>
      </c>
      <c r="N712" s="39">
        <f t="shared" si="172"/>
        <v>0.00217706821480406</v>
      </c>
      <c r="O712" s="560">
        <f t="shared" si="173"/>
        <v>34.6491228070175</v>
      </c>
      <c r="P712">
        <f t="shared" si="174"/>
        <v>57</v>
      </c>
      <c r="Q712" s="667">
        <f t="shared" si="175"/>
        <v>0.0413642960812772</v>
      </c>
    </row>
    <row r="713" spans="1:17">
      <c r="A713" s="653">
        <v>45872</v>
      </c>
      <c r="B713" s="557">
        <v>2595</v>
      </c>
      <c r="C713" s="37">
        <v>67571</v>
      </c>
      <c r="D713" s="37">
        <v>2188</v>
      </c>
      <c r="E713" s="37">
        <v>4</v>
      </c>
      <c r="F713" s="37">
        <v>32166</v>
      </c>
      <c r="G713" s="37">
        <v>69</v>
      </c>
      <c r="H713" s="37">
        <v>16</v>
      </c>
      <c r="I713" s="558">
        <v>3</v>
      </c>
      <c r="J713" s="39">
        <f t="shared" si="177"/>
        <v>0.0323807550576431</v>
      </c>
      <c r="K713" s="559">
        <f t="shared" si="171"/>
        <v>1.18601462522852</v>
      </c>
      <c r="L713" s="559">
        <f t="shared" si="176"/>
        <v>38.404049074307</v>
      </c>
      <c r="M713" s="559">
        <f t="shared" si="178"/>
        <v>12.3953757225434</v>
      </c>
      <c r="N713" s="39">
        <f t="shared" si="172"/>
        <v>0.00182815356489945</v>
      </c>
      <c r="O713" s="560">
        <f t="shared" si="173"/>
        <v>30.5294117647059</v>
      </c>
      <c r="P713">
        <f t="shared" si="174"/>
        <v>85</v>
      </c>
      <c r="Q713" s="667">
        <f t="shared" si="175"/>
        <v>0.0388482632541133</v>
      </c>
    </row>
    <row r="714" spans="1:17">
      <c r="A714" s="653">
        <v>45873</v>
      </c>
      <c r="B714" s="557">
        <v>2194</v>
      </c>
      <c r="C714" s="37">
        <v>77991</v>
      </c>
      <c r="D714" s="37">
        <v>1757</v>
      </c>
      <c r="E714" s="37">
        <v>3</v>
      </c>
      <c r="F714" s="37">
        <v>45882</v>
      </c>
      <c r="G714" s="37">
        <v>83</v>
      </c>
      <c r="H714" s="37">
        <v>14</v>
      </c>
      <c r="I714" s="558">
        <v>8</v>
      </c>
      <c r="J714" s="39">
        <f t="shared" si="177"/>
        <v>0.0225282404379993</v>
      </c>
      <c r="K714" s="559">
        <f t="shared" si="171"/>
        <v>1.24871940808196</v>
      </c>
      <c r="L714" s="559">
        <f t="shared" si="176"/>
        <v>28.1314510648665</v>
      </c>
      <c r="M714" s="559">
        <f t="shared" si="178"/>
        <v>20.9124886052871</v>
      </c>
      <c r="N714" s="39">
        <f t="shared" si="172"/>
        <v>0.00170745589072282</v>
      </c>
      <c r="O714" s="560">
        <f t="shared" si="173"/>
        <v>22.6185567010309</v>
      </c>
      <c r="P714">
        <f t="shared" si="174"/>
        <v>97</v>
      </c>
      <c r="Q714" s="667">
        <f t="shared" si="175"/>
        <v>0.0552077404667046</v>
      </c>
    </row>
    <row r="715" spans="1:17">
      <c r="A715" s="653">
        <v>45874</v>
      </c>
      <c r="B715" s="557">
        <v>1586</v>
      </c>
      <c r="C715" s="37">
        <v>64117</v>
      </c>
      <c r="D715" s="37">
        <v>1410</v>
      </c>
      <c r="E715" s="37">
        <v>0</v>
      </c>
      <c r="F715" s="37">
        <v>0</v>
      </c>
      <c r="G715" s="37">
        <v>43</v>
      </c>
      <c r="H715" s="37">
        <v>16</v>
      </c>
      <c r="I715" s="558">
        <v>1</v>
      </c>
      <c r="J715" s="39">
        <f t="shared" si="177"/>
        <v>0.0219910476160769</v>
      </c>
      <c r="K715" s="559">
        <f t="shared" si="171"/>
        <v>1.12482269503546</v>
      </c>
      <c r="L715" s="559">
        <f t="shared" si="176"/>
        <v>24.7360294461687</v>
      </c>
      <c r="M715" s="559">
        <f t="shared" si="178"/>
        <v>0</v>
      </c>
      <c r="N715" s="39">
        <f t="shared" si="172"/>
        <v>0</v>
      </c>
      <c r="O715" s="560">
        <f t="shared" si="173"/>
        <v>26.8813559322034</v>
      </c>
      <c r="P715">
        <f t="shared" si="174"/>
        <v>59</v>
      </c>
      <c r="Q715" s="667">
        <f t="shared" si="175"/>
        <v>0.0418439716312057</v>
      </c>
    </row>
    <row r="716" spans="1:17">
      <c r="A716" s="653">
        <v>45875</v>
      </c>
      <c r="B716" s="557">
        <v>2559</v>
      </c>
      <c r="C716" s="37">
        <v>71637</v>
      </c>
      <c r="D716" s="37">
        <v>1888</v>
      </c>
      <c r="E716" s="37">
        <v>1</v>
      </c>
      <c r="F716" s="37">
        <v>3000</v>
      </c>
      <c r="G716" s="37">
        <v>58</v>
      </c>
      <c r="H716" s="37">
        <v>14</v>
      </c>
      <c r="I716" s="558">
        <v>8</v>
      </c>
      <c r="J716" s="39">
        <f t="shared" si="177"/>
        <v>0.026355095830367</v>
      </c>
      <c r="K716" s="559">
        <f t="shared" si="171"/>
        <v>1.35540254237288</v>
      </c>
      <c r="L716" s="559">
        <f t="shared" si="176"/>
        <v>35.7217638929603</v>
      </c>
      <c r="M716" s="559">
        <f t="shared" si="178"/>
        <v>1.17233294255569</v>
      </c>
      <c r="N716" s="39">
        <f t="shared" si="172"/>
        <v>0.000529661016949153</v>
      </c>
      <c r="O716" s="560">
        <f t="shared" si="173"/>
        <v>35.5416666666667</v>
      </c>
      <c r="P716">
        <f t="shared" si="174"/>
        <v>72</v>
      </c>
      <c r="Q716" s="667">
        <f t="shared" si="175"/>
        <v>0.038135593220339</v>
      </c>
    </row>
    <row r="717" spans="1:17">
      <c r="A717" s="653">
        <v>45876</v>
      </c>
      <c r="B717" s="557">
        <v>2668</v>
      </c>
      <c r="C717" s="37">
        <v>81648</v>
      </c>
      <c r="D717" s="37">
        <v>1960</v>
      </c>
      <c r="E717" s="37">
        <v>3</v>
      </c>
      <c r="F717" s="37">
        <v>18932</v>
      </c>
      <c r="G717" s="37">
        <v>61</v>
      </c>
      <c r="H717" s="37">
        <v>16</v>
      </c>
      <c r="I717" s="558">
        <v>5</v>
      </c>
      <c r="J717" s="39">
        <f t="shared" si="177"/>
        <v>0.0240054869684499</v>
      </c>
      <c r="K717" s="559">
        <f t="shared" si="171"/>
        <v>1.36122448979592</v>
      </c>
      <c r="L717" s="559">
        <f t="shared" si="176"/>
        <v>32.6768567509308</v>
      </c>
      <c r="M717" s="559">
        <f t="shared" si="178"/>
        <v>7.09595202398801</v>
      </c>
      <c r="N717" s="39">
        <f t="shared" si="172"/>
        <v>0.00153061224489796</v>
      </c>
      <c r="O717" s="560">
        <f t="shared" si="173"/>
        <v>34.6493506493507</v>
      </c>
      <c r="P717">
        <f t="shared" si="174"/>
        <v>77</v>
      </c>
      <c r="Q717" s="667">
        <f t="shared" si="175"/>
        <v>0.0392857142857143</v>
      </c>
    </row>
    <row r="718" spans="1:17">
      <c r="A718" s="653">
        <v>45877</v>
      </c>
      <c r="B718" s="557">
        <v>2757</v>
      </c>
      <c r="C718" s="37">
        <v>78818</v>
      </c>
      <c r="D718" s="37">
        <v>3003</v>
      </c>
      <c r="E718" s="37">
        <v>7</v>
      </c>
      <c r="F718" s="37">
        <v>77748</v>
      </c>
      <c r="G718" s="37">
        <v>63</v>
      </c>
      <c r="H718" s="37">
        <v>18</v>
      </c>
      <c r="I718" s="558">
        <v>5</v>
      </c>
      <c r="J718" s="39">
        <f t="shared" si="177"/>
        <v>0.0381004339110355</v>
      </c>
      <c r="K718" s="559">
        <f t="shared" si="171"/>
        <v>0.918081918081918</v>
      </c>
      <c r="L718" s="559">
        <f t="shared" si="176"/>
        <v>34.9793194447969</v>
      </c>
      <c r="M718" s="559">
        <f t="shared" si="178"/>
        <v>28.2002176278564</v>
      </c>
      <c r="N718" s="39">
        <f t="shared" si="172"/>
        <v>0.00233100233100233</v>
      </c>
      <c r="O718" s="560">
        <f t="shared" si="173"/>
        <v>34.037037037037</v>
      </c>
      <c r="P718">
        <f t="shared" si="174"/>
        <v>81</v>
      </c>
      <c r="Q718" s="667">
        <f t="shared" si="175"/>
        <v>0.026973026973027</v>
      </c>
    </row>
    <row r="719" spans="1:17">
      <c r="A719" s="653">
        <v>45878</v>
      </c>
      <c r="B719" s="557">
        <v>1607</v>
      </c>
      <c r="C719" s="37">
        <v>53872</v>
      </c>
      <c r="D719" s="37">
        <v>1198</v>
      </c>
      <c r="E719" s="37">
        <v>10</v>
      </c>
      <c r="F719" s="37">
        <v>143451</v>
      </c>
      <c r="G719" s="37">
        <v>60</v>
      </c>
      <c r="H719" s="37">
        <v>21</v>
      </c>
      <c r="I719" s="558">
        <v>4</v>
      </c>
      <c r="J719" s="39">
        <f t="shared" si="177"/>
        <v>0.0222378972378972</v>
      </c>
      <c r="K719" s="559">
        <f t="shared" si="171"/>
        <v>1.34140233722871</v>
      </c>
      <c r="L719" s="559">
        <f t="shared" si="176"/>
        <v>29.8299673299673</v>
      </c>
      <c r="M719" s="559">
        <f t="shared" si="178"/>
        <v>89.2663347853143</v>
      </c>
      <c r="N719" s="39">
        <f t="shared" si="172"/>
        <v>0.00834724540901502</v>
      </c>
      <c r="O719" s="560">
        <f t="shared" si="173"/>
        <v>19.8395061728395</v>
      </c>
      <c r="P719">
        <f t="shared" si="174"/>
        <v>81</v>
      </c>
      <c r="Q719" s="667">
        <f t="shared" si="175"/>
        <v>0.0676126878130217</v>
      </c>
    </row>
    <row r="720" spans="1:17">
      <c r="A720" s="653">
        <v>45879</v>
      </c>
      <c r="B720" s="557">
        <v>2704</v>
      </c>
      <c r="C720" s="37">
        <v>73645</v>
      </c>
      <c r="D720" s="37">
        <v>2024</v>
      </c>
      <c r="E720" s="37">
        <v>7</v>
      </c>
      <c r="F720" s="37">
        <v>73560</v>
      </c>
      <c r="G720" s="37">
        <v>63</v>
      </c>
      <c r="H720" s="37">
        <v>19</v>
      </c>
      <c r="I720" s="558">
        <v>5</v>
      </c>
      <c r="J720" s="39">
        <f t="shared" si="177"/>
        <v>0.0274831964152353</v>
      </c>
      <c r="K720" s="559">
        <f t="shared" si="171"/>
        <v>1.33596837944664</v>
      </c>
      <c r="L720" s="559">
        <f t="shared" si="176"/>
        <v>36.7166813768756</v>
      </c>
      <c r="M720" s="559">
        <f t="shared" si="178"/>
        <v>27.2041420118343</v>
      </c>
      <c r="N720" s="39">
        <f t="shared" si="172"/>
        <v>0.00345849802371542</v>
      </c>
      <c r="O720" s="560">
        <f t="shared" si="173"/>
        <v>32.9756097560976</v>
      </c>
      <c r="P720">
        <f t="shared" si="174"/>
        <v>82</v>
      </c>
      <c r="Q720" s="667">
        <f t="shared" si="175"/>
        <v>0.0405138339920949</v>
      </c>
    </row>
    <row r="721" spans="1:17">
      <c r="A721" s="653">
        <v>45880</v>
      </c>
      <c r="B721" s="557">
        <v>2882</v>
      </c>
      <c r="C721" s="37">
        <v>95751</v>
      </c>
      <c r="D721" s="37">
        <v>2178</v>
      </c>
      <c r="E721" s="37">
        <v>2</v>
      </c>
      <c r="F721" s="37">
        <v>31886</v>
      </c>
      <c r="G721" s="37">
        <v>78</v>
      </c>
      <c r="H721" s="37">
        <v>16</v>
      </c>
      <c r="I721" s="558">
        <v>6</v>
      </c>
      <c r="J721" s="39">
        <f t="shared" si="177"/>
        <v>0.0227464987310837</v>
      </c>
      <c r="K721" s="559">
        <f t="shared" si="171"/>
        <v>1.32323232323232</v>
      </c>
      <c r="L721" s="559">
        <f t="shared" si="176"/>
        <v>30.098902361333</v>
      </c>
      <c r="M721" s="559">
        <f t="shared" si="178"/>
        <v>11.0638445523942</v>
      </c>
      <c r="N721" s="39">
        <f t="shared" si="172"/>
        <v>0.000918273645546373</v>
      </c>
      <c r="O721" s="560">
        <f t="shared" si="173"/>
        <v>30.6595744680851</v>
      </c>
      <c r="P721">
        <f t="shared" si="174"/>
        <v>94</v>
      </c>
      <c r="Q721" s="667">
        <f t="shared" si="175"/>
        <v>0.0431588613406795</v>
      </c>
    </row>
    <row r="722" spans="1:17">
      <c r="A722" s="653">
        <v>45881</v>
      </c>
      <c r="B722" s="557">
        <v>1596</v>
      </c>
      <c r="C722" s="37">
        <v>82271</v>
      </c>
      <c r="D722" s="37">
        <v>1451</v>
      </c>
      <c r="E722" s="37">
        <v>5</v>
      </c>
      <c r="F722" s="37">
        <v>48930</v>
      </c>
      <c r="G722" s="37">
        <v>41</v>
      </c>
      <c r="H722" s="37">
        <v>17</v>
      </c>
      <c r="I722" s="558">
        <v>3</v>
      </c>
      <c r="J722" s="39">
        <f t="shared" si="177"/>
        <v>0.0176368343644784</v>
      </c>
      <c r="K722" s="559">
        <f t="shared" si="171"/>
        <v>1.09993108201241</v>
      </c>
      <c r="L722" s="559">
        <f t="shared" si="176"/>
        <v>19.3993023057943</v>
      </c>
      <c r="M722" s="559">
        <f t="shared" si="178"/>
        <v>30.6578947368421</v>
      </c>
      <c r="N722" s="39">
        <f t="shared" si="172"/>
        <v>0.00344589937973811</v>
      </c>
      <c r="O722" s="560">
        <f t="shared" si="173"/>
        <v>27.5172413793103</v>
      </c>
      <c r="P722">
        <f t="shared" si="174"/>
        <v>58</v>
      </c>
      <c r="Q722" s="667">
        <f t="shared" si="175"/>
        <v>0.0399724328049621</v>
      </c>
    </row>
    <row r="723" spans="1:17">
      <c r="A723" s="653">
        <v>45882</v>
      </c>
      <c r="B723" s="557">
        <v>2754</v>
      </c>
      <c r="C723" s="37">
        <v>80790</v>
      </c>
      <c r="D723" s="37">
        <v>2147</v>
      </c>
      <c r="E723" s="37">
        <v>6</v>
      </c>
      <c r="F723" s="37">
        <v>61592</v>
      </c>
      <c r="G723" s="37">
        <v>100</v>
      </c>
      <c r="H723" s="37">
        <v>12</v>
      </c>
      <c r="I723" s="558">
        <v>10</v>
      </c>
      <c r="J723" s="39">
        <f t="shared" si="177"/>
        <v>0.0265750711721748</v>
      </c>
      <c r="K723" s="559">
        <f t="shared" si="171"/>
        <v>1.28272007452259</v>
      </c>
      <c r="L723" s="559">
        <f t="shared" si="176"/>
        <v>34.0883772744152</v>
      </c>
      <c r="M723" s="559">
        <f t="shared" si="178"/>
        <v>22.3645606390704</v>
      </c>
      <c r="N723" s="39">
        <f t="shared" si="172"/>
        <v>0.00279459711224965</v>
      </c>
      <c r="O723" s="560">
        <f t="shared" si="173"/>
        <v>24.5892857142857</v>
      </c>
      <c r="P723">
        <f t="shared" si="174"/>
        <v>112</v>
      </c>
      <c r="Q723" s="667">
        <f t="shared" si="175"/>
        <v>0.0521658127619935</v>
      </c>
    </row>
    <row r="724" spans="1:17">
      <c r="A724" s="653">
        <v>45883</v>
      </c>
      <c r="B724" s="557">
        <v>2542</v>
      </c>
      <c r="C724" s="37">
        <v>96669</v>
      </c>
      <c r="D724" s="37">
        <v>1968</v>
      </c>
      <c r="E724" s="37">
        <v>4</v>
      </c>
      <c r="F724" s="37">
        <v>30540</v>
      </c>
      <c r="G724" s="37">
        <v>65</v>
      </c>
      <c r="H724" s="37">
        <v>9</v>
      </c>
      <c r="I724" s="558">
        <v>8</v>
      </c>
      <c r="J724" s="39">
        <f t="shared" si="177"/>
        <v>0.0203581292865345</v>
      </c>
      <c r="K724" s="559">
        <f t="shared" si="171"/>
        <v>1.29166666666667</v>
      </c>
      <c r="L724" s="559">
        <f t="shared" si="176"/>
        <v>26.295916995107</v>
      </c>
      <c r="M724" s="559">
        <f t="shared" si="178"/>
        <v>12.0141620771046</v>
      </c>
      <c r="N724" s="39">
        <f t="shared" si="172"/>
        <v>0.00203252032520325</v>
      </c>
      <c r="O724" s="560">
        <f t="shared" si="173"/>
        <v>34.3513513513514</v>
      </c>
      <c r="P724">
        <f t="shared" si="174"/>
        <v>74</v>
      </c>
      <c r="Q724" s="667">
        <f t="shared" si="175"/>
        <v>0.0376016260162602</v>
      </c>
    </row>
    <row r="725" spans="1:17">
      <c r="A725" s="653">
        <v>45884</v>
      </c>
      <c r="B725" s="557">
        <v>3128</v>
      </c>
      <c r="C725" s="37">
        <v>123580</v>
      </c>
      <c r="D725" s="37">
        <v>2707</v>
      </c>
      <c r="E725" s="37">
        <v>6</v>
      </c>
      <c r="F725" s="37">
        <v>64406</v>
      </c>
      <c r="G725" s="37">
        <v>89</v>
      </c>
      <c r="H725" s="37">
        <v>14</v>
      </c>
      <c r="I725" s="558">
        <v>13</v>
      </c>
      <c r="J725" s="39">
        <f t="shared" si="177"/>
        <v>0.0219048389707072</v>
      </c>
      <c r="K725" s="559">
        <f t="shared" si="171"/>
        <v>1.15552271887699</v>
      </c>
      <c r="L725" s="559">
        <f t="shared" si="176"/>
        <v>25.3115390839942</v>
      </c>
      <c r="M725" s="559">
        <f t="shared" si="178"/>
        <v>20.5901534526854</v>
      </c>
      <c r="N725" s="39">
        <f t="shared" si="172"/>
        <v>0.00221647580347248</v>
      </c>
      <c r="O725" s="560">
        <f t="shared" si="173"/>
        <v>30.368932038835</v>
      </c>
      <c r="P725">
        <f t="shared" si="174"/>
        <v>103</v>
      </c>
      <c r="Q725" s="667">
        <f t="shared" si="175"/>
        <v>0.0380495012929442</v>
      </c>
    </row>
    <row r="726" spans="1:17">
      <c r="A726" s="653">
        <v>45885</v>
      </c>
      <c r="B726" s="557">
        <v>1795</v>
      </c>
      <c r="C726" s="37">
        <v>69456</v>
      </c>
      <c r="D726" s="37">
        <v>1832</v>
      </c>
      <c r="E726" s="37">
        <v>3</v>
      </c>
      <c r="F726" s="37">
        <v>45977</v>
      </c>
      <c r="G726" s="37">
        <v>65</v>
      </c>
      <c r="H726" s="37">
        <v>11</v>
      </c>
      <c r="I726" s="558">
        <v>1</v>
      </c>
      <c r="J726" s="39">
        <f t="shared" si="177"/>
        <v>0.0263764109652154</v>
      </c>
      <c r="K726" s="559">
        <f t="shared" si="171"/>
        <v>0.979803493449782</v>
      </c>
      <c r="L726" s="559">
        <f t="shared" si="176"/>
        <v>25.8436996083852</v>
      </c>
      <c r="M726" s="559">
        <f t="shared" si="178"/>
        <v>25.6139275766017</v>
      </c>
      <c r="N726" s="39">
        <f t="shared" si="172"/>
        <v>0.00163755458515284</v>
      </c>
      <c r="O726" s="560">
        <f t="shared" si="173"/>
        <v>23.6184210526316</v>
      </c>
      <c r="P726">
        <f t="shared" si="174"/>
        <v>76</v>
      </c>
      <c r="Q726" s="667">
        <f t="shared" si="175"/>
        <v>0.0414847161572052</v>
      </c>
    </row>
    <row r="727" spans="1:17">
      <c r="A727" s="653">
        <v>45886</v>
      </c>
      <c r="B727" s="557">
        <v>2990</v>
      </c>
      <c r="C727" s="37">
        <v>82610</v>
      </c>
      <c r="D727" s="37">
        <v>2701</v>
      </c>
      <c r="E727" s="37">
        <v>3</v>
      </c>
      <c r="F727" s="37">
        <v>73775</v>
      </c>
      <c r="G727" s="37">
        <v>101</v>
      </c>
      <c r="H727" s="37">
        <v>17</v>
      </c>
      <c r="I727" s="558">
        <v>8</v>
      </c>
      <c r="J727" s="39">
        <f t="shared" si="177"/>
        <v>0.0326957995400073</v>
      </c>
      <c r="K727" s="559">
        <f t="shared" si="171"/>
        <v>1.10699740836727</v>
      </c>
      <c r="L727" s="559">
        <f t="shared" si="176"/>
        <v>36.1941653552839</v>
      </c>
      <c r="M727" s="559">
        <f t="shared" si="178"/>
        <v>24.6739130434783</v>
      </c>
      <c r="N727" s="39">
        <f t="shared" si="172"/>
        <v>0.00111069974083673</v>
      </c>
      <c r="O727" s="560">
        <f t="shared" si="173"/>
        <v>25.3389830508475</v>
      </c>
      <c r="P727">
        <f t="shared" si="174"/>
        <v>118</v>
      </c>
      <c r="Q727" s="667">
        <f t="shared" si="175"/>
        <v>0.0436875231395779</v>
      </c>
    </row>
    <row r="728" spans="1:17">
      <c r="A728" s="653">
        <v>45887</v>
      </c>
      <c r="B728" s="557">
        <v>3038</v>
      </c>
      <c r="C728" s="37">
        <v>72345</v>
      </c>
      <c r="D728" s="37">
        <v>2476</v>
      </c>
      <c r="E728" s="37">
        <v>4</v>
      </c>
      <c r="F728" s="37">
        <v>44238</v>
      </c>
      <c r="G728" s="37">
        <v>69</v>
      </c>
      <c r="H728" s="37">
        <v>16</v>
      </c>
      <c r="I728" s="558">
        <v>5</v>
      </c>
      <c r="J728" s="39">
        <f t="shared" si="177"/>
        <v>0.0342248946022531</v>
      </c>
      <c r="K728" s="559">
        <f t="shared" si="171"/>
        <v>1.22697899838449</v>
      </c>
      <c r="L728" s="559">
        <f t="shared" si="176"/>
        <v>41.9932268988873</v>
      </c>
      <c r="M728" s="559">
        <f t="shared" si="178"/>
        <v>14.5615536537196</v>
      </c>
      <c r="N728" s="39">
        <f t="shared" si="172"/>
        <v>0.00161550888529887</v>
      </c>
      <c r="O728" s="560">
        <f t="shared" si="173"/>
        <v>35.7411764705882</v>
      </c>
      <c r="P728">
        <f t="shared" si="174"/>
        <v>85</v>
      </c>
      <c r="Q728" s="667">
        <f t="shared" si="175"/>
        <v>0.034329563812601</v>
      </c>
    </row>
    <row r="729" spans="1:17">
      <c r="A729" s="653">
        <v>45888</v>
      </c>
      <c r="B729" s="557">
        <v>1796</v>
      </c>
      <c r="C729" s="37">
        <v>83629</v>
      </c>
      <c r="D729" s="37">
        <v>1948</v>
      </c>
      <c r="E729" s="37">
        <v>2</v>
      </c>
      <c r="F729" s="37">
        <v>18588</v>
      </c>
      <c r="G729" s="37">
        <v>75</v>
      </c>
      <c r="H729" s="37">
        <v>10</v>
      </c>
      <c r="I729" s="558">
        <v>5</v>
      </c>
      <c r="J729" s="39">
        <f t="shared" si="177"/>
        <v>0.0232933551758361</v>
      </c>
      <c r="K729" s="559">
        <f t="shared" si="171"/>
        <v>0.921971252566735</v>
      </c>
      <c r="L729" s="559">
        <f t="shared" si="176"/>
        <v>21.4758038479475</v>
      </c>
      <c r="M729" s="559">
        <f t="shared" si="178"/>
        <v>10.3496659242762</v>
      </c>
      <c r="N729" s="39">
        <f t="shared" si="172"/>
        <v>0.00102669404517454</v>
      </c>
      <c r="O729" s="560">
        <f t="shared" si="173"/>
        <v>21.1294117647059</v>
      </c>
      <c r="P729">
        <f t="shared" si="174"/>
        <v>85</v>
      </c>
      <c r="Q729" s="667">
        <f t="shared" si="175"/>
        <v>0.0436344969199179</v>
      </c>
    </row>
    <row r="730" spans="1:17">
      <c r="A730" s="653">
        <v>45889</v>
      </c>
      <c r="B730" s="557">
        <v>2885</v>
      </c>
      <c r="C730" s="37">
        <v>86861</v>
      </c>
      <c r="D730" s="37">
        <v>2332</v>
      </c>
      <c r="E730" s="37">
        <v>7</v>
      </c>
      <c r="F730" s="37">
        <v>85548</v>
      </c>
      <c r="G730" s="37">
        <v>88</v>
      </c>
      <c r="H730" s="37">
        <v>14</v>
      </c>
      <c r="I730" s="558">
        <v>7</v>
      </c>
      <c r="J730" s="39">
        <f t="shared" si="177"/>
        <v>0.026847491969929</v>
      </c>
      <c r="K730" s="559">
        <f t="shared" si="171"/>
        <v>1.23713550600343</v>
      </c>
      <c r="L730" s="559">
        <f t="shared" si="176"/>
        <v>33.2139855631411</v>
      </c>
      <c r="M730" s="559">
        <f t="shared" si="178"/>
        <v>29.6526863084922</v>
      </c>
      <c r="N730" s="39">
        <f t="shared" si="172"/>
        <v>0.00300171526586621</v>
      </c>
      <c r="O730" s="560">
        <f t="shared" si="173"/>
        <v>28.2843137254902</v>
      </c>
      <c r="P730">
        <f t="shared" si="174"/>
        <v>102</v>
      </c>
      <c r="Q730" s="667">
        <f t="shared" si="175"/>
        <v>0.0437392795883362</v>
      </c>
    </row>
    <row r="731" spans="1:17">
      <c r="A731" s="653">
        <v>45890</v>
      </c>
      <c r="B731" s="557">
        <v>2765</v>
      </c>
      <c r="C731" s="37">
        <v>70203</v>
      </c>
      <c r="D731" s="37">
        <v>2316</v>
      </c>
      <c r="E731" s="37">
        <v>3</v>
      </c>
      <c r="F731" s="37">
        <v>54414</v>
      </c>
      <c r="G731" s="37">
        <v>56</v>
      </c>
      <c r="H731" s="37">
        <v>18</v>
      </c>
      <c r="I731" s="558">
        <v>7</v>
      </c>
      <c r="J731" s="39">
        <f t="shared" si="177"/>
        <v>0.0329900431605487</v>
      </c>
      <c r="K731" s="559">
        <f t="shared" si="171"/>
        <v>1.19386873920553</v>
      </c>
      <c r="L731" s="559">
        <f t="shared" si="176"/>
        <v>39.3857812344202</v>
      </c>
      <c r="M731" s="559">
        <f t="shared" si="178"/>
        <v>19.6795660036166</v>
      </c>
      <c r="N731" s="39">
        <f t="shared" si="172"/>
        <v>0.00129533678756477</v>
      </c>
      <c r="O731" s="560">
        <f t="shared" si="173"/>
        <v>37.3648648648649</v>
      </c>
      <c r="P731">
        <f t="shared" si="174"/>
        <v>74</v>
      </c>
      <c r="Q731" s="667">
        <f t="shared" si="175"/>
        <v>0.0319516407599309</v>
      </c>
    </row>
    <row r="732" spans="1:17">
      <c r="A732" s="653">
        <v>45891</v>
      </c>
      <c r="B732" s="557">
        <v>2708</v>
      </c>
      <c r="C732" s="37">
        <v>58074</v>
      </c>
      <c r="D732" s="37">
        <v>2294</v>
      </c>
      <c r="E732" s="37">
        <v>1</v>
      </c>
      <c r="F732" s="37">
        <v>11202</v>
      </c>
      <c r="G732" s="37">
        <v>75</v>
      </c>
      <c r="H732" s="37">
        <v>8</v>
      </c>
      <c r="I732" s="558">
        <v>3</v>
      </c>
      <c r="J732" s="39">
        <f t="shared" si="177"/>
        <v>0.0395013258945483</v>
      </c>
      <c r="K732" s="559">
        <f t="shared" si="171"/>
        <v>1.18047079337402</v>
      </c>
      <c r="L732" s="559">
        <f t="shared" si="176"/>
        <v>46.6301615180632</v>
      </c>
      <c r="M732" s="559">
        <f t="shared" si="178"/>
        <v>4.13663220088626</v>
      </c>
      <c r="N732" s="39">
        <f t="shared" si="172"/>
        <v>0.0004359197907585</v>
      </c>
      <c r="O732" s="560">
        <f t="shared" si="173"/>
        <v>32.6265060240964</v>
      </c>
      <c r="P732">
        <f t="shared" si="174"/>
        <v>83</v>
      </c>
      <c r="Q732" s="667">
        <f t="shared" si="175"/>
        <v>0.0361813426329555</v>
      </c>
    </row>
    <row r="733" spans="1:17">
      <c r="A733" s="653">
        <v>45892</v>
      </c>
      <c r="B733" s="557">
        <v>1502</v>
      </c>
      <c r="C733" s="37">
        <v>48095</v>
      </c>
      <c r="D733" s="37">
        <v>1470</v>
      </c>
      <c r="E733" s="37">
        <v>3</v>
      </c>
      <c r="F733" s="37">
        <v>32072</v>
      </c>
      <c r="G733" s="37">
        <v>41</v>
      </c>
      <c r="H733" s="37">
        <v>8</v>
      </c>
      <c r="I733" s="558">
        <v>4</v>
      </c>
      <c r="J733" s="39">
        <f t="shared" si="177"/>
        <v>0.0305645077450878</v>
      </c>
      <c r="K733" s="559">
        <f t="shared" si="171"/>
        <v>1.02176870748299</v>
      </c>
      <c r="L733" s="559">
        <f t="shared" si="176"/>
        <v>31.2298575735523</v>
      </c>
      <c r="M733" s="559">
        <f t="shared" si="178"/>
        <v>21.352862849534</v>
      </c>
      <c r="N733" s="39">
        <f t="shared" si="172"/>
        <v>0.00204081632653061</v>
      </c>
      <c r="O733" s="560">
        <f t="shared" si="173"/>
        <v>30.6530612244898</v>
      </c>
      <c r="P733">
        <f t="shared" si="174"/>
        <v>49</v>
      </c>
      <c r="Q733" s="667">
        <f t="shared" si="175"/>
        <v>0.0333333333333333</v>
      </c>
    </row>
    <row r="734" spans="1:17">
      <c r="A734" s="653">
        <v>45893</v>
      </c>
      <c r="B734" s="557">
        <v>2715</v>
      </c>
      <c r="C734" s="37">
        <v>56731</v>
      </c>
      <c r="D734" s="37">
        <v>2193</v>
      </c>
      <c r="E734" s="37">
        <v>4</v>
      </c>
      <c r="F734" s="37">
        <v>31475</v>
      </c>
      <c r="G734" s="37">
        <v>49</v>
      </c>
      <c r="H734" s="37">
        <v>13</v>
      </c>
      <c r="I734" s="558">
        <v>10</v>
      </c>
      <c r="J734" s="39">
        <f t="shared" si="177"/>
        <v>0.0386561139412314</v>
      </c>
      <c r="K734" s="559">
        <f t="shared" si="171"/>
        <v>1.23803009575923</v>
      </c>
      <c r="L734" s="559">
        <f t="shared" si="176"/>
        <v>47.8574324443426</v>
      </c>
      <c r="M734" s="559">
        <f t="shared" si="178"/>
        <v>11.5930018416206</v>
      </c>
      <c r="N734" s="39">
        <f t="shared" si="172"/>
        <v>0.00182398540811674</v>
      </c>
      <c r="O734" s="560">
        <f t="shared" si="173"/>
        <v>43.7903225806452</v>
      </c>
      <c r="P734">
        <f t="shared" si="174"/>
        <v>62</v>
      </c>
      <c r="Q734" s="667">
        <f t="shared" si="175"/>
        <v>0.0282717738258094</v>
      </c>
    </row>
    <row r="735" spans="1:17">
      <c r="A735" s="653">
        <v>45894</v>
      </c>
      <c r="B735" s="557">
        <v>2689</v>
      </c>
      <c r="C735" s="37">
        <v>68561</v>
      </c>
      <c r="D735" s="37">
        <v>2642</v>
      </c>
      <c r="E735" s="37">
        <v>2</v>
      </c>
      <c r="F735" s="37">
        <v>30746</v>
      </c>
      <c r="G735" s="37">
        <v>65</v>
      </c>
      <c r="H735" s="37">
        <v>6</v>
      </c>
      <c r="I735" s="558">
        <v>9</v>
      </c>
      <c r="J735" s="39">
        <f t="shared" si="177"/>
        <v>0.0385350272020536</v>
      </c>
      <c r="K735" s="559">
        <f t="shared" si="171"/>
        <v>1.01778955336866</v>
      </c>
      <c r="L735" s="559">
        <f t="shared" si="176"/>
        <v>39.2205481250273</v>
      </c>
      <c r="M735" s="559">
        <f t="shared" si="178"/>
        <v>11.4339903309781</v>
      </c>
      <c r="N735" s="39">
        <f t="shared" si="172"/>
        <v>0.000757002271006813</v>
      </c>
      <c r="O735" s="560">
        <f t="shared" si="173"/>
        <v>37.8732394366197</v>
      </c>
      <c r="P735">
        <f t="shared" si="174"/>
        <v>71</v>
      </c>
      <c r="Q735" s="667">
        <f t="shared" si="175"/>
        <v>0.0268735806207419</v>
      </c>
    </row>
    <row r="736" spans="1:17">
      <c r="A736" s="653">
        <v>45895</v>
      </c>
      <c r="B736" s="557">
        <v>2692</v>
      </c>
      <c r="C736" s="37">
        <v>47567</v>
      </c>
      <c r="D736" s="37">
        <v>1927</v>
      </c>
      <c r="E736" s="37">
        <v>3</v>
      </c>
      <c r="F736" s="37">
        <v>23106</v>
      </c>
      <c r="G736" s="37">
        <v>58</v>
      </c>
      <c r="H736" s="37">
        <v>8</v>
      </c>
      <c r="I736" s="558">
        <v>7</v>
      </c>
      <c r="J736" s="39">
        <f t="shared" si="177"/>
        <v>0.0405112788277587</v>
      </c>
      <c r="K736" s="559">
        <f t="shared" si="171"/>
        <v>1.39699014011417</v>
      </c>
      <c r="L736" s="559">
        <f t="shared" si="176"/>
        <v>56.5938570857948</v>
      </c>
      <c r="M736" s="559">
        <f t="shared" si="178"/>
        <v>8.58320950965825</v>
      </c>
      <c r="N736" s="39">
        <f t="shared" si="172"/>
        <v>0.00155682407887909</v>
      </c>
      <c r="O736" s="560">
        <f t="shared" si="173"/>
        <v>40.7878787878788</v>
      </c>
      <c r="P736">
        <f t="shared" si="174"/>
        <v>66</v>
      </c>
      <c r="Q736" s="667">
        <f t="shared" si="175"/>
        <v>0.0342501297353399</v>
      </c>
    </row>
    <row r="737" spans="1:17">
      <c r="A737" s="653">
        <v>45896</v>
      </c>
      <c r="B737" s="557">
        <v>2362</v>
      </c>
      <c r="C737" s="37">
        <v>56979</v>
      </c>
      <c r="D737" s="37">
        <v>1947</v>
      </c>
      <c r="E737" s="37">
        <v>2</v>
      </c>
      <c r="F737" s="37">
        <v>45996</v>
      </c>
      <c r="G737" s="37">
        <v>49</v>
      </c>
      <c r="H737" s="37">
        <v>12</v>
      </c>
      <c r="I737" s="558">
        <v>3</v>
      </c>
      <c r="J737" s="39">
        <f t="shared" si="177"/>
        <v>0.0341704838624756</v>
      </c>
      <c r="K737" s="559">
        <f t="shared" si="171"/>
        <v>1.21314843348742</v>
      </c>
      <c r="L737" s="559">
        <f t="shared" si="176"/>
        <v>41.4538689692694</v>
      </c>
      <c r="M737" s="559">
        <f t="shared" si="178"/>
        <v>19.4733276883997</v>
      </c>
      <c r="N737" s="39">
        <f t="shared" si="172"/>
        <v>0.00102722136620442</v>
      </c>
      <c r="O737" s="560">
        <f t="shared" si="173"/>
        <v>38.7213114754098</v>
      </c>
      <c r="P737">
        <f t="shared" si="174"/>
        <v>61</v>
      </c>
      <c r="Q737" s="667">
        <f t="shared" si="175"/>
        <v>0.0313302516692347</v>
      </c>
    </row>
    <row r="738" spans="1:17">
      <c r="A738" s="653">
        <v>45897</v>
      </c>
      <c r="B738" s="557">
        <v>2173</v>
      </c>
      <c r="C738" s="37">
        <v>33148</v>
      </c>
      <c r="D738" s="37">
        <v>1730</v>
      </c>
      <c r="E738" s="37">
        <v>5</v>
      </c>
      <c r="F738" s="37">
        <v>40470</v>
      </c>
      <c r="G738" s="37">
        <v>63</v>
      </c>
      <c r="H738" s="37">
        <v>5</v>
      </c>
      <c r="I738" s="558">
        <v>8</v>
      </c>
      <c r="J738" s="39">
        <f t="shared" si="177"/>
        <v>0.0521901773862676</v>
      </c>
      <c r="K738" s="559">
        <f t="shared" si="171"/>
        <v>1.25606936416185</v>
      </c>
      <c r="L738" s="559">
        <f t="shared" si="176"/>
        <v>65.5544829250634</v>
      </c>
      <c r="M738" s="559">
        <f t="shared" si="178"/>
        <v>18.6240220892775</v>
      </c>
      <c r="N738" s="39">
        <f t="shared" si="172"/>
        <v>0.00289017341040462</v>
      </c>
      <c r="O738" s="560">
        <f t="shared" si="173"/>
        <v>31.9558823529412</v>
      </c>
      <c r="P738">
        <f t="shared" si="174"/>
        <v>68</v>
      </c>
      <c r="Q738" s="667">
        <f t="shared" si="175"/>
        <v>0.0393063583815029</v>
      </c>
    </row>
    <row r="739" spans="1:17">
      <c r="A739" s="653">
        <v>45898</v>
      </c>
      <c r="B739" s="557">
        <v>2277</v>
      </c>
      <c r="C739" s="37">
        <v>39694</v>
      </c>
      <c r="D739" s="37">
        <v>1739</v>
      </c>
      <c r="E739" s="37">
        <v>4</v>
      </c>
      <c r="F739" s="37">
        <v>44953</v>
      </c>
      <c r="G739" s="37">
        <v>57</v>
      </c>
      <c r="H739" s="37">
        <v>9</v>
      </c>
      <c r="I739" s="558">
        <v>7</v>
      </c>
      <c r="J739" s="39">
        <f t="shared" si="177"/>
        <v>0.0438101476293646</v>
      </c>
      <c r="K739" s="559">
        <f t="shared" si="171"/>
        <v>1.30937320299022</v>
      </c>
      <c r="L739" s="559">
        <f t="shared" si="176"/>
        <v>57.3638333249358</v>
      </c>
      <c r="M739" s="559">
        <f t="shared" si="178"/>
        <v>19.7422046552481</v>
      </c>
      <c r="N739" s="39">
        <f t="shared" si="172"/>
        <v>0.00230017251293847</v>
      </c>
      <c r="O739" s="560">
        <f t="shared" si="173"/>
        <v>34.5</v>
      </c>
      <c r="P739">
        <f t="shared" si="174"/>
        <v>66</v>
      </c>
      <c r="Q739" s="667">
        <f t="shared" si="175"/>
        <v>0.0379528464634848</v>
      </c>
    </row>
    <row r="740" spans="1:17">
      <c r="A740" s="653">
        <v>45899</v>
      </c>
      <c r="B740" s="557">
        <v>1765</v>
      </c>
      <c r="C740" s="37">
        <v>33757</v>
      </c>
      <c r="D740" s="37">
        <v>1384</v>
      </c>
      <c r="E740" s="37">
        <v>3</v>
      </c>
      <c r="F740" s="37">
        <v>40600</v>
      </c>
      <c r="G740" s="37">
        <v>53</v>
      </c>
      <c r="H740" s="37">
        <v>13</v>
      </c>
      <c r="I740" s="558">
        <v>6</v>
      </c>
      <c r="J740" s="39">
        <f t="shared" si="177"/>
        <v>0.0409989039310365</v>
      </c>
      <c r="K740" s="559">
        <f t="shared" si="171"/>
        <v>1.27528901734104</v>
      </c>
      <c r="L740" s="559">
        <f t="shared" si="176"/>
        <v>52.2854519062713</v>
      </c>
      <c r="M740" s="559">
        <f t="shared" si="178"/>
        <v>23.0028328611898</v>
      </c>
      <c r="N740" s="39">
        <f t="shared" si="172"/>
        <v>0.00216763005780347</v>
      </c>
      <c r="O740" s="560">
        <f t="shared" si="173"/>
        <v>26.7424242424242</v>
      </c>
      <c r="P740">
        <f t="shared" si="174"/>
        <v>66</v>
      </c>
      <c r="Q740" s="667">
        <f t="shared" si="175"/>
        <v>0.0476878612716763</v>
      </c>
    </row>
    <row r="741" spans="1:17">
      <c r="A741" s="653">
        <v>45900</v>
      </c>
      <c r="B741" s="557">
        <v>2309</v>
      </c>
      <c r="C741" s="37">
        <v>34676</v>
      </c>
      <c r="D741" s="37">
        <v>1808</v>
      </c>
      <c r="E741" s="37">
        <v>5</v>
      </c>
      <c r="F741" s="37">
        <v>73719</v>
      </c>
      <c r="G741" s="37">
        <v>51</v>
      </c>
      <c r="H741" s="37">
        <v>17</v>
      </c>
      <c r="I741" s="558">
        <v>9</v>
      </c>
      <c r="J741" s="39">
        <f t="shared" si="177"/>
        <v>0.0521398085130926</v>
      </c>
      <c r="K741" s="559">
        <f t="shared" si="171"/>
        <v>1.2771017699115</v>
      </c>
      <c r="L741" s="559">
        <f t="shared" si="176"/>
        <v>66.5878417349175</v>
      </c>
      <c r="M741" s="559">
        <f t="shared" si="178"/>
        <v>31.9268081420528</v>
      </c>
      <c r="N741" s="39">
        <f t="shared" si="172"/>
        <v>0.00276548672566372</v>
      </c>
      <c r="O741" s="560">
        <f t="shared" si="173"/>
        <v>33.9558823529412</v>
      </c>
      <c r="P741">
        <f t="shared" si="174"/>
        <v>68</v>
      </c>
      <c r="Q741" s="667">
        <f t="shared" si="175"/>
        <v>0.0376106194690266</v>
      </c>
    </row>
    <row r="742" spans="1:17">
      <c r="A742" s="653">
        <v>45901</v>
      </c>
      <c r="B742" s="557">
        <v>2501</v>
      </c>
      <c r="C742" s="37">
        <v>39713</v>
      </c>
      <c r="D742" s="37">
        <v>1890</v>
      </c>
      <c r="E742" s="37">
        <v>4</v>
      </c>
      <c r="F742" s="37">
        <v>35793</v>
      </c>
      <c r="G742" s="37">
        <v>69</v>
      </c>
      <c r="H742" s="37">
        <v>9</v>
      </c>
      <c r="I742" s="558">
        <v>6</v>
      </c>
      <c r="J742" s="39">
        <f t="shared" si="177"/>
        <v>0.0475914687885579</v>
      </c>
      <c r="K742" s="559">
        <f t="shared" si="171"/>
        <v>1.32328042328042</v>
      </c>
      <c r="L742" s="559">
        <f t="shared" si="176"/>
        <v>62.97685896306</v>
      </c>
      <c r="M742" s="559">
        <f t="shared" si="178"/>
        <v>14.3114754098361</v>
      </c>
      <c r="N742" s="39">
        <f t="shared" si="172"/>
        <v>0.00211640211640212</v>
      </c>
      <c r="O742" s="560">
        <f t="shared" si="173"/>
        <v>32.0641025641026</v>
      </c>
      <c r="P742">
        <f t="shared" si="174"/>
        <v>78</v>
      </c>
      <c r="Q742" s="667">
        <f t="shared" si="175"/>
        <v>0.0412698412698413</v>
      </c>
    </row>
    <row r="743" spans="1:17">
      <c r="A743" s="653">
        <v>45902</v>
      </c>
      <c r="B743" s="557">
        <v>3184</v>
      </c>
      <c r="C743" s="37">
        <v>64180</v>
      </c>
      <c r="D743" s="37">
        <v>2140</v>
      </c>
      <c r="E743" s="37">
        <v>11</v>
      </c>
      <c r="F743" s="37">
        <v>120003</v>
      </c>
      <c r="G743" s="37">
        <v>78</v>
      </c>
      <c r="H743" s="37">
        <v>6</v>
      </c>
      <c r="I743" s="558">
        <v>11</v>
      </c>
      <c r="J743" s="39">
        <f t="shared" si="177"/>
        <v>0.0333437207852914</v>
      </c>
      <c r="K743" s="559">
        <f t="shared" si="171"/>
        <v>1.48785046728972</v>
      </c>
      <c r="L743" s="559">
        <f t="shared" si="176"/>
        <v>49.6104705515737</v>
      </c>
      <c r="M743" s="559">
        <f t="shared" si="178"/>
        <v>37.6893844221105</v>
      </c>
      <c r="N743" s="39">
        <f t="shared" si="172"/>
        <v>0.00514018691588785</v>
      </c>
      <c r="O743" s="560">
        <f t="shared" si="173"/>
        <v>37.9047619047619</v>
      </c>
      <c r="P743">
        <f t="shared" si="174"/>
        <v>84</v>
      </c>
      <c r="Q743" s="667">
        <f t="shared" si="175"/>
        <v>0.0392523364485981</v>
      </c>
    </row>
    <row r="744" spans="1:17">
      <c r="A744" s="653">
        <v>45903</v>
      </c>
      <c r="B744" s="557">
        <v>3324</v>
      </c>
      <c r="C744" s="37">
        <v>63663</v>
      </c>
      <c r="D744" s="37">
        <v>2437</v>
      </c>
      <c r="E744" s="37">
        <v>1</v>
      </c>
      <c r="F744" s="37">
        <v>11553</v>
      </c>
      <c r="G744" s="37">
        <v>54</v>
      </c>
      <c r="H744" s="37">
        <v>7</v>
      </c>
      <c r="I744" s="558">
        <v>8</v>
      </c>
      <c r="J744" s="39">
        <f t="shared" si="177"/>
        <v>0.0382796915005576</v>
      </c>
      <c r="K744" s="559">
        <f t="shared" si="171"/>
        <v>1.36397209684038</v>
      </c>
      <c r="L744" s="559">
        <f t="shared" si="176"/>
        <v>52.2124310824184</v>
      </c>
      <c r="M744" s="559">
        <f t="shared" si="178"/>
        <v>3.47563176895307</v>
      </c>
      <c r="N744" s="39">
        <f t="shared" si="172"/>
        <v>0.000410340582683627</v>
      </c>
      <c r="O744" s="560">
        <f t="shared" si="173"/>
        <v>54.4918032786885</v>
      </c>
      <c r="P744">
        <f t="shared" si="174"/>
        <v>61</v>
      </c>
      <c r="Q744" s="667">
        <f t="shared" si="175"/>
        <v>0.0250307755437013</v>
      </c>
    </row>
    <row r="745" spans="1:17">
      <c r="A745" s="653">
        <v>45904</v>
      </c>
      <c r="B745" s="557">
        <v>3295</v>
      </c>
      <c r="C745" s="37">
        <v>56176</v>
      </c>
      <c r="D745" s="37">
        <v>2062</v>
      </c>
      <c r="E745" s="37">
        <v>7</v>
      </c>
      <c r="F745" s="37">
        <v>54165</v>
      </c>
      <c r="G745" s="37">
        <v>75</v>
      </c>
      <c r="H745" s="37">
        <v>10</v>
      </c>
      <c r="I745" s="558">
        <v>12</v>
      </c>
      <c r="J745" s="39">
        <f t="shared" si="177"/>
        <v>0.0367060666476787</v>
      </c>
      <c r="K745" s="559">
        <f t="shared" si="171"/>
        <v>1.59796314258002</v>
      </c>
      <c r="L745" s="559">
        <f t="shared" si="176"/>
        <v>58.6549416120763</v>
      </c>
      <c r="M745" s="559">
        <f t="shared" si="178"/>
        <v>16.4385432473445</v>
      </c>
      <c r="N745" s="39">
        <f t="shared" si="172"/>
        <v>0.00339476236663434</v>
      </c>
      <c r="O745" s="560">
        <f t="shared" si="173"/>
        <v>38.7647058823529</v>
      </c>
      <c r="P745">
        <f t="shared" si="174"/>
        <v>85</v>
      </c>
      <c r="Q745" s="667">
        <f t="shared" si="175"/>
        <v>0.0412221144519884</v>
      </c>
    </row>
    <row r="746" spans="1:17">
      <c r="A746" s="653">
        <v>45905</v>
      </c>
      <c r="B746" s="557">
        <v>3339</v>
      </c>
      <c r="C746" s="37">
        <v>68509</v>
      </c>
      <c r="D746" s="37">
        <v>1967</v>
      </c>
      <c r="E746" s="37">
        <v>4</v>
      </c>
      <c r="F746" s="37">
        <v>25079</v>
      </c>
      <c r="G746" s="37">
        <v>54</v>
      </c>
      <c r="H746" s="37">
        <v>6</v>
      </c>
      <c r="I746" s="558">
        <v>13</v>
      </c>
      <c r="J746" s="39">
        <f t="shared" si="177"/>
        <v>0.0287115561459078</v>
      </c>
      <c r="K746" s="559">
        <f t="shared" si="171"/>
        <v>1.69750889679715</v>
      </c>
      <c r="L746" s="559">
        <f t="shared" si="176"/>
        <v>48.7381219985695</v>
      </c>
      <c r="M746" s="559">
        <f t="shared" si="178"/>
        <v>7.51093141659179</v>
      </c>
      <c r="N746" s="39">
        <f t="shared" si="172"/>
        <v>0.00203355363497712</v>
      </c>
      <c r="O746" s="560">
        <f t="shared" si="173"/>
        <v>55.65</v>
      </c>
      <c r="P746">
        <f t="shared" si="174"/>
        <v>60</v>
      </c>
      <c r="Q746" s="667">
        <f t="shared" si="175"/>
        <v>0.0305033045246568</v>
      </c>
    </row>
    <row r="747" spans="1:17">
      <c r="A747" s="653">
        <v>45906</v>
      </c>
      <c r="B747" s="557">
        <v>3290</v>
      </c>
      <c r="C747" s="37">
        <v>88436</v>
      </c>
      <c r="D747" s="37">
        <v>2188</v>
      </c>
      <c r="E747" s="37">
        <v>4</v>
      </c>
      <c r="F747" s="37">
        <v>54613</v>
      </c>
      <c r="G747" s="37">
        <v>55</v>
      </c>
      <c r="H747" s="37">
        <v>9</v>
      </c>
      <c r="I747" s="558">
        <v>11</v>
      </c>
      <c r="J747" s="39">
        <f t="shared" si="177"/>
        <v>0.0247410556786829</v>
      </c>
      <c r="K747" s="559">
        <f t="shared" si="171"/>
        <v>1.5036563071298</v>
      </c>
      <c r="L747" s="559">
        <f t="shared" si="176"/>
        <v>37.202044416301</v>
      </c>
      <c r="M747" s="559">
        <f t="shared" si="178"/>
        <v>16.5996960486322</v>
      </c>
      <c r="N747" s="39">
        <f t="shared" si="172"/>
        <v>0.00182815356489945</v>
      </c>
      <c r="O747" s="560">
        <f t="shared" si="173"/>
        <v>51.40625</v>
      </c>
      <c r="P747">
        <f t="shared" si="174"/>
        <v>64</v>
      </c>
      <c r="Q747" s="667">
        <f t="shared" si="175"/>
        <v>0.0292504570383912</v>
      </c>
    </row>
    <row r="748" spans="1:17">
      <c r="A748" s="653">
        <v>45907</v>
      </c>
      <c r="B748" s="557">
        <v>2956</v>
      </c>
      <c r="C748" s="37">
        <v>68503</v>
      </c>
      <c r="D748" s="37">
        <v>2095</v>
      </c>
      <c r="E748" s="37">
        <v>5</v>
      </c>
      <c r="F748" s="37">
        <v>71016</v>
      </c>
      <c r="G748" s="37">
        <v>63</v>
      </c>
      <c r="H748" s="37">
        <v>6</v>
      </c>
      <c r="I748" s="558">
        <v>14</v>
      </c>
      <c r="J748" s="39">
        <f t="shared" si="177"/>
        <v>0.0305826022218005</v>
      </c>
      <c r="K748" s="559">
        <f t="shared" si="171"/>
        <v>1.4109785202864</v>
      </c>
      <c r="L748" s="559">
        <f t="shared" si="176"/>
        <v>43.1513948294235</v>
      </c>
      <c r="M748" s="559">
        <f t="shared" si="178"/>
        <v>24.0243572395129</v>
      </c>
      <c r="N748" s="39">
        <f t="shared" si="172"/>
        <v>0.00238663484486874</v>
      </c>
      <c r="O748" s="560">
        <f t="shared" si="173"/>
        <v>42.8405797101449</v>
      </c>
      <c r="P748">
        <f t="shared" si="174"/>
        <v>69</v>
      </c>
      <c r="Q748" s="667">
        <f t="shared" si="175"/>
        <v>0.0329355608591885</v>
      </c>
    </row>
    <row r="749" spans="1:17">
      <c r="A749" s="653">
        <v>45908</v>
      </c>
      <c r="B749" s="557">
        <v>2288</v>
      </c>
      <c r="C749" s="37">
        <v>50893</v>
      </c>
      <c r="D749" s="37">
        <v>1372</v>
      </c>
      <c r="E749" s="37">
        <v>7</v>
      </c>
      <c r="F749" s="37">
        <v>128944</v>
      </c>
      <c r="G749" s="37">
        <v>47</v>
      </c>
      <c r="H749" s="37">
        <v>5</v>
      </c>
      <c r="I749" s="558">
        <v>4</v>
      </c>
      <c r="J749" s="39">
        <f t="shared" si="177"/>
        <v>0.0269585208181872</v>
      </c>
      <c r="K749" s="559">
        <f t="shared" si="171"/>
        <v>1.66763848396501</v>
      </c>
      <c r="L749" s="559">
        <f t="shared" si="176"/>
        <v>44.9570667871809</v>
      </c>
      <c r="M749" s="559">
        <f t="shared" si="178"/>
        <v>56.3566433566434</v>
      </c>
      <c r="N749" s="39">
        <f t="shared" si="172"/>
        <v>0.00510204081632653</v>
      </c>
      <c r="O749" s="560">
        <f t="shared" si="173"/>
        <v>44</v>
      </c>
      <c r="P749">
        <f t="shared" si="174"/>
        <v>52</v>
      </c>
      <c r="Q749" s="667">
        <f t="shared" si="175"/>
        <v>0.0379008746355685</v>
      </c>
    </row>
    <row r="750" spans="1:17">
      <c r="A750" s="653">
        <v>45909</v>
      </c>
      <c r="B750" s="557">
        <v>1314</v>
      </c>
      <c r="C750" s="37">
        <v>20873</v>
      </c>
      <c r="D750" s="37">
        <v>843</v>
      </c>
      <c r="E750" s="37">
        <v>2</v>
      </c>
      <c r="F750" s="37">
        <v>18018</v>
      </c>
      <c r="G750" s="37">
        <v>41</v>
      </c>
      <c r="H750" s="37">
        <v>6</v>
      </c>
      <c r="I750" s="558">
        <v>5</v>
      </c>
      <c r="J750" s="39">
        <f t="shared" si="177"/>
        <v>0.0403871029559718</v>
      </c>
      <c r="K750" s="559">
        <f t="shared" si="171"/>
        <v>1.55871886120996</v>
      </c>
      <c r="L750" s="559">
        <f t="shared" si="176"/>
        <v>62.952139127102</v>
      </c>
      <c r="M750" s="559">
        <f t="shared" si="178"/>
        <v>13.7123287671233</v>
      </c>
      <c r="N750" s="39">
        <f t="shared" si="172"/>
        <v>0.00237247924080664</v>
      </c>
      <c r="O750" s="560">
        <f t="shared" si="173"/>
        <v>27.9574468085106</v>
      </c>
      <c r="P750">
        <f t="shared" si="174"/>
        <v>47</v>
      </c>
      <c r="Q750" s="667">
        <f t="shared" si="175"/>
        <v>0.0557532621589561</v>
      </c>
    </row>
    <row r="751" spans="1:17">
      <c r="A751" s="653">
        <v>45910</v>
      </c>
      <c r="B751" s="557">
        <v>2945</v>
      </c>
      <c r="C751" s="37">
        <v>63057</v>
      </c>
      <c r="D751" s="37">
        <v>1924</v>
      </c>
      <c r="E751" s="37">
        <v>5</v>
      </c>
      <c r="F751" s="37">
        <v>75180</v>
      </c>
      <c r="G751" s="37">
        <v>60</v>
      </c>
      <c r="H751" s="37">
        <v>10</v>
      </c>
      <c r="I751" s="558">
        <v>11</v>
      </c>
      <c r="J751" s="39">
        <f t="shared" si="177"/>
        <v>0.0305120763753429</v>
      </c>
      <c r="K751" s="559">
        <f t="shared" si="171"/>
        <v>1.53066528066528</v>
      </c>
      <c r="L751" s="559">
        <f t="shared" si="176"/>
        <v>46.7037759487448</v>
      </c>
      <c r="M751" s="559">
        <f t="shared" si="178"/>
        <v>25.528013582343</v>
      </c>
      <c r="N751" s="39">
        <f t="shared" si="172"/>
        <v>0.0025987525987526</v>
      </c>
      <c r="O751" s="560">
        <f t="shared" si="173"/>
        <v>42.0714285714286</v>
      </c>
      <c r="P751">
        <f t="shared" si="174"/>
        <v>70</v>
      </c>
      <c r="Q751" s="667">
        <f t="shared" si="175"/>
        <v>0.0363825363825364</v>
      </c>
    </row>
    <row r="752" spans="1:17">
      <c r="A752" s="653">
        <v>45911</v>
      </c>
      <c r="B752" s="557">
        <v>1935</v>
      </c>
      <c r="C752" s="37">
        <v>28448</v>
      </c>
      <c r="D752" s="37">
        <v>1253</v>
      </c>
      <c r="E752" s="37">
        <v>2</v>
      </c>
      <c r="F752" s="37">
        <v>26694</v>
      </c>
      <c r="G752" s="37">
        <v>47</v>
      </c>
      <c r="H752" s="37">
        <v>6</v>
      </c>
      <c r="I752" s="558">
        <v>9</v>
      </c>
      <c r="J752" s="39">
        <f t="shared" si="177"/>
        <v>0.0440452755905512</v>
      </c>
      <c r="K752" s="559">
        <f t="shared" si="171"/>
        <v>1.54429369513168</v>
      </c>
      <c r="L752" s="559">
        <f t="shared" si="176"/>
        <v>68.0188413948256</v>
      </c>
      <c r="M752" s="559">
        <f t="shared" si="178"/>
        <v>13.7953488372093</v>
      </c>
      <c r="N752" s="39">
        <f t="shared" si="172"/>
        <v>0.00159616919393456</v>
      </c>
      <c r="O752" s="560">
        <f t="shared" si="173"/>
        <v>36.5094339622642</v>
      </c>
      <c r="P752">
        <f t="shared" si="174"/>
        <v>53</v>
      </c>
      <c r="Q752" s="667">
        <f t="shared" si="175"/>
        <v>0.0422984836392658</v>
      </c>
    </row>
    <row r="753" spans="1:17">
      <c r="A753" s="653">
        <v>45912</v>
      </c>
      <c r="B753" s="557">
        <v>2854</v>
      </c>
      <c r="C753" s="37">
        <v>65011</v>
      </c>
      <c r="D753" s="37">
        <v>1776</v>
      </c>
      <c r="E753" s="37">
        <v>3</v>
      </c>
      <c r="F753" s="37">
        <v>53460</v>
      </c>
      <c r="G753" s="37">
        <v>78</v>
      </c>
      <c r="H753" s="37">
        <v>5</v>
      </c>
      <c r="I753" s="558">
        <v>11</v>
      </c>
      <c r="J753" s="39">
        <f t="shared" si="177"/>
        <v>0.0273184538001261</v>
      </c>
      <c r="K753" s="559">
        <f t="shared" ref="K753:K773" si="179">B753/D753</f>
        <v>1.60698198198198</v>
      </c>
      <c r="L753" s="559">
        <f t="shared" si="176"/>
        <v>43.9002630324099</v>
      </c>
      <c r="M753" s="559">
        <f t="shared" si="178"/>
        <v>18.7316047652418</v>
      </c>
      <c r="N753" s="39">
        <f t="shared" ref="N753:N773" si="180">E753/D753</f>
        <v>0.00168918918918919</v>
      </c>
      <c r="O753" s="560">
        <f t="shared" ref="O753:O773" si="181">B753/(G753+H753)</f>
        <v>34.3855421686747</v>
      </c>
      <c r="P753">
        <f t="shared" ref="P753:P773" si="182">G753+H753</f>
        <v>83</v>
      </c>
      <c r="Q753" s="667">
        <f t="shared" ref="Q753:Q773" si="183">P753/D753</f>
        <v>0.0467342342342342</v>
      </c>
    </row>
    <row r="754" spans="1:17">
      <c r="A754" s="653">
        <v>45913</v>
      </c>
      <c r="B754" s="557">
        <v>2866</v>
      </c>
      <c r="C754" s="37">
        <v>61641</v>
      </c>
      <c r="D754" s="37">
        <v>1775</v>
      </c>
      <c r="E754" s="37">
        <v>6</v>
      </c>
      <c r="F754" s="37">
        <v>92331</v>
      </c>
      <c r="G754" s="37">
        <v>27</v>
      </c>
      <c r="H754" s="37">
        <v>6</v>
      </c>
      <c r="I754" s="558">
        <v>10</v>
      </c>
      <c r="J754" s="39">
        <f t="shared" si="177"/>
        <v>0.0287957690498207</v>
      </c>
      <c r="K754" s="559">
        <f t="shared" si="179"/>
        <v>1.61464788732394</v>
      </c>
      <c r="L754" s="559">
        <f t="shared" ref="L754:L773" si="184">B754/C754*1000</f>
        <v>46.4950276601613</v>
      </c>
      <c r="M754" s="559">
        <f t="shared" si="178"/>
        <v>32.2159804605722</v>
      </c>
      <c r="N754" s="39">
        <f t="shared" si="180"/>
        <v>0.00338028169014085</v>
      </c>
      <c r="O754" s="560">
        <f t="shared" si="181"/>
        <v>86.8484848484848</v>
      </c>
      <c r="P754">
        <f t="shared" si="182"/>
        <v>33</v>
      </c>
      <c r="Q754" s="667">
        <f t="shared" si="183"/>
        <v>0.0185915492957746</v>
      </c>
    </row>
    <row r="755" spans="1:17">
      <c r="A755" s="653">
        <v>45914</v>
      </c>
      <c r="B755" s="557">
        <v>1514</v>
      </c>
      <c r="C755" s="37">
        <v>21935</v>
      </c>
      <c r="D755" s="37">
        <v>1186</v>
      </c>
      <c r="E755" s="37">
        <v>3</v>
      </c>
      <c r="F755" s="37">
        <v>27722</v>
      </c>
      <c r="G755" s="37">
        <v>38</v>
      </c>
      <c r="H755" s="37">
        <v>3</v>
      </c>
      <c r="I755" s="558">
        <v>4</v>
      </c>
      <c r="J755" s="39">
        <f t="shared" si="177"/>
        <v>0.0540688397538181</v>
      </c>
      <c r="K755" s="559">
        <f t="shared" si="179"/>
        <v>1.27655986509275</v>
      </c>
      <c r="L755" s="559">
        <f t="shared" si="184"/>
        <v>69.0221107818555</v>
      </c>
      <c r="M755" s="559">
        <f t="shared" si="178"/>
        <v>18.3104359313078</v>
      </c>
      <c r="N755" s="39">
        <f t="shared" si="180"/>
        <v>0.00252951096121417</v>
      </c>
      <c r="O755" s="560">
        <f t="shared" si="181"/>
        <v>36.9268292682927</v>
      </c>
      <c r="P755">
        <f t="shared" si="182"/>
        <v>41</v>
      </c>
      <c r="Q755" s="667">
        <f t="shared" si="183"/>
        <v>0.0345699831365936</v>
      </c>
    </row>
    <row r="756" spans="1:17">
      <c r="A756" s="653">
        <v>45915</v>
      </c>
      <c r="B756" s="557">
        <v>1768</v>
      </c>
      <c r="C756" s="37">
        <v>25463</v>
      </c>
      <c r="D756" s="37">
        <v>1279</v>
      </c>
      <c r="E756" s="37">
        <v>1</v>
      </c>
      <c r="F756" s="37">
        <v>21702</v>
      </c>
      <c r="G756" s="37">
        <v>44</v>
      </c>
      <c r="H756" s="37">
        <v>5</v>
      </c>
      <c r="I756" s="558">
        <v>4</v>
      </c>
      <c r="J756" s="39">
        <f t="shared" si="177"/>
        <v>0.0502297451203707</v>
      </c>
      <c r="K756" s="559">
        <f t="shared" si="179"/>
        <v>1.38232994526974</v>
      </c>
      <c r="L756" s="559">
        <f t="shared" si="184"/>
        <v>69.4340808231552</v>
      </c>
      <c r="M756" s="559">
        <f t="shared" si="178"/>
        <v>12.2748868778281</v>
      </c>
      <c r="N756" s="39">
        <f t="shared" si="180"/>
        <v>0.000781860828772478</v>
      </c>
      <c r="O756" s="560">
        <f t="shared" si="181"/>
        <v>36.0816326530612</v>
      </c>
      <c r="P756">
        <f t="shared" si="182"/>
        <v>49</v>
      </c>
      <c r="Q756" s="667">
        <f t="shared" si="183"/>
        <v>0.0383111806098514</v>
      </c>
    </row>
    <row r="757" spans="1:17">
      <c r="A757" s="653">
        <v>45916</v>
      </c>
      <c r="B757" s="557">
        <v>1642</v>
      </c>
      <c r="C757" s="37">
        <v>28968</v>
      </c>
      <c r="D757" s="37">
        <v>1162</v>
      </c>
      <c r="E757" s="37">
        <v>0</v>
      </c>
      <c r="F757" s="37">
        <v>0</v>
      </c>
      <c r="G757" s="37">
        <v>33</v>
      </c>
      <c r="H757" s="37">
        <v>2</v>
      </c>
      <c r="I757" s="558">
        <v>5</v>
      </c>
      <c r="J757" s="39">
        <f t="shared" ref="J757:J773" si="185">D757/C757</f>
        <v>0.0401132283899475</v>
      </c>
      <c r="K757" s="559">
        <f t="shared" si="179"/>
        <v>1.41308089500861</v>
      </c>
      <c r="L757" s="559">
        <f t="shared" si="184"/>
        <v>56.6832366749517</v>
      </c>
      <c r="M757" s="559">
        <f t="shared" si="178"/>
        <v>0</v>
      </c>
      <c r="N757" s="39">
        <f t="shared" si="180"/>
        <v>0</v>
      </c>
      <c r="O757" s="560">
        <f t="shared" si="181"/>
        <v>46.9142857142857</v>
      </c>
      <c r="P757">
        <f t="shared" si="182"/>
        <v>35</v>
      </c>
      <c r="Q757" s="667">
        <f t="shared" si="183"/>
        <v>0.0301204819277108</v>
      </c>
    </row>
    <row r="758" spans="1:17">
      <c r="A758" s="653">
        <v>45917</v>
      </c>
      <c r="B758" s="557">
        <v>1621</v>
      </c>
      <c r="C758" s="37">
        <v>24828</v>
      </c>
      <c r="D758" s="37">
        <v>1325</v>
      </c>
      <c r="E758" s="37">
        <v>3</v>
      </c>
      <c r="F758" s="37">
        <v>22205</v>
      </c>
      <c r="G758" s="37">
        <v>29</v>
      </c>
      <c r="H758" s="37">
        <v>4</v>
      </c>
      <c r="I758" s="558">
        <v>3</v>
      </c>
      <c r="J758" s="39">
        <f t="shared" si="185"/>
        <v>0.0533671661027872</v>
      </c>
      <c r="K758" s="559">
        <f t="shared" si="179"/>
        <v>1.22339622641509</v>
      </c>
      <c r="L758" s="559">
        <f t="shared" si="184"/>
        <v>65.2891896246174</v>
      </c>
      <c r="M758" s="559">
        <f t="shared" ref="M758:M773" si="186">F758/B758</f>
        <v>13.6983343615052</v>
      </c>
      <c r="N758" s="39">
        <f t="shared" si="180"/>
        <v>0.00226415094339623</v>
      </c>
      <c r="O758" s="560">
        <f t="shared" si="181"/>
        <v>49.1212121212121</v>
      </c>
      <c r="P758">
        <f t="shared" si="182"/>
        <v>33</v>
      </c>
      <c r="Q758" s="667">
        <f t="shared" si="183"/>
        <v>0.0249056603773585</v>
      </c>
    </row>
    <row r="759" spans="1:17">
      <c r="A759" s="653">
        <v>45918</v>
      </c>
      <c r="B759" s="557">
        <v>1653</v>
      </c>
      <c r="C759" s="37">
        <v>30818</v>
      </c>
      <c r="D759" s="37">
        <v>1191</v>
      </c>
      <c r="E759" s="37">
        <v>2</v>
      </c>
      <c r="F759" s="37">
        <v>16913</v>
      </c>
      <c r="G759" s="37">
        <v>28</v>
      </c>
      <c r="H759" s="37">
        <v>2</v>
      </c>
      <c r="I759" s="558">
        <v>2</v>
      </c>
      <c r="J759" s="39">
        <f t="shared" si="185"/>
        <v>0.0386462457005646</v>
      </c>
      <c r="K759" s="559">
        <f t="shared" si="179"/>
        <v>1.38790931989924</v>
      </c>
      <c r="L759" s="559">
        <f t="shared" si="184"/>
        <v>53.6374845869297</v>
      </c>
      <c r="M759" s="559">
        <f t="shared" si="186"/>
        <v>10.2316999395039</v>
      </c>
      <c r="N759" s="39">
        <f t="shared" si="180"/>
        <v>0.00167926112510495</v>
      </c>
      <c r="O759" s="560">
        <f t="shared" si="181"/>
        <v>55.1</v>
      </c>
      <c r="P759">
        <f t="shared" si="182"/>
        <v>30</v>
      </c>
      <c r="Q759" s="667">
        <f t="shared" si="183"/>
        <v>0.0251889168765743</v>
      </c>
    </row>
    <row r="760" spans="1:17">
      <c r="A760" s="653">
        <v>45919</v>
      </c>
      <c r="B760" s="557">
        <v>1690</v>
      </c>
      <c r="C760" s="37">
        <v>33570</v>
      </c>
      <c r="D760" s="37">
        <v>1173</v>
      </c>
      <c r="E760" s="37">
        <v>0</v>
      </c>
      <c r="F760" s="37">
        <v>0</v>
      </c>
      <c r="G760" s="37">
        <v>38</v>
      </c>
      <c r="H760" s="37">
        <v>5</v>
      </c>
      <c r="I760" s="558">
        <v>3</v>
      </c>
      <c r="J760" s="39">
        <f t="shared" si="185"/>
        <v>0.0349419124218052</v>
      </c>
      <c r="K760" s="559">
        <f t="shared" si="179"/>
        <v>1.44075021312873</v>
      </c>
      <c r="L760" s="559">
        <f t="shared" si="184"/>
        <v>50.3425677688412</v>
      </c>
      <c r="M760" s="559">
        <f t="shared" si="186"/>
        <v>0</v>
      </c>
      <c r="N760" s="39">
        <f t="shared" si="180"/>
        <v>0</v>
      </c>
      <c r="O760" s="560">
        <f t="shared" si="181"/>
        <v>39.3023255813954</v>
      </c>
      <c r="P760">
        <f t="shared" si="182"/>
        <v>43</v>
      </c>
      <c r="Q760" s="667">
        <f t="shared" si="183"/>
        <v>0.0366581415174766</v>
      </c>
    </row>
    <row r="761" spans="1:17">
      <c r="A761" s="653">
        <v>45920</v>
      </c>
      <c r="B761" s="557">
        <v>1659</v>
      </c>
      <c r="C761" s="37">
        <v>41867</v>
      </c>
      <c r="D761" s="37">
        <v>1066</v>
      </c>
      <c r="E761" s="37">
        <v>1</v>
      </c>
      <c r="F761" s="37">
        <v>6094</v>
      </c>
      <c r="G761" s="37">
        <v>25</v>
      </c>
      <c r="H761" s="37">
        <v>4</v>
      </c>
      <c r="I761" s="558">
        <v>4</v>
      </c>
      <c r="J761" s="39">
        <f t="shared" si="185"/>
        <v>0.0254615807198987</v>
      </c>
      <c r="K761" s="559">
        <f t="shared" si="179"/>
        <v>1.5562851782364</v>
      </c>
      <c r="L761" s="559">
        <f t="shared" si="184"/>
        <v>39.625480688848</v>
      </c>
      <c r="M761" s="559">
        <f t="shared" si="186"/>
        <v>3.67329716696805</v>
      </c>
      <c r="N761" s="39">
        <f t="shared" si="180"/>
        <v>0.000938086303939962</v>
      </c>
      <c r="O761" s="560">
        <f t="shared" si="181"/>
        <v>57.2068965517241</v>
      </c>
      <c r="P761">
        <f t="shared" si="182"/>
        <v>29</v>
      </c>
      <c r="Q761" s="667">
        <f t="shared" si="183"/>
        <v>0.0272045028142589</v>
      </c>
    </row>
    <row r="762" spans="1:17">
      <c r="A762" s="653">
        <v>45921</v>
      </c>
      <c r="B762" s="557">
        <v>1611</v>
      </c>
      <c r="C762" s="37">
        <v>37822</v>
      </c>
      <c r="D762" s="37">
        <v>1478</v>
      </c>
      <c r="E762" s="37">
        <v>3</v>
      </c>
      <c r="F762" s="37">
        <v>28462</v>
      </c>
      <c r="G762" s="37">
        <v>35</v>
      </c>
      <c r="H762" s="37">
        <v>3</v>
      </c>
      <c r="I762" s="558">
        <v>7</v>
      </c>
      <c r="J762" s="39">
        <f t="shared" si="185"/>
        <v>0.0390777854158955</v>
      </c>
      <c r="K762" s="559">
        <f t="shared" si="179"/>
        <v>1.08998646820027</v>
      </c>
      <c r="L762" s="559">
        <f t="shared" si="184"/>
        <v>42.59425731056</v>
      </c>
      <c r="M762" s="559">
        <f t="shared" si="186"/>
        <v>17.667287399131</v>
      </c>
      <c r="N762" s="39">
        <f t="shared" si="180"/>
        <v>0.0020297699594046</v>
      </c>
      <c r="O762" s="560">
        <f t="shared" si="181"/>
        <v>42.3947368421053</v>
      </c>
      <c r="P762">
        <f t="shared" si="182"/>
        <v>38</v>
      </c>
      <c r="Q762" s="667">
        <f t="shared" si="183"/>
        <v>0.0257104194857916</v>
      </c>
    </row>
    <row r="763" spans="1:17">
      <c r="A763" s="653">
        <v>45922</v>
      </c>
      <c r="B763" s="557">
        <v>1659</v>
      </c>
      <c r="C763" s="37">
        <v>36940</v>
      </c>
      <c r="D763" s="37">
        <v>1298</v>
      </c>
      <c r="E763" s="37">
        <v>1</v>
      </c>
      <c r="F763" s="37">
        <v>12752</v>
      </c>
      <c r="G763" s="37">
        <v>22</v>
      </c>
      <c r="H763" s="37">
        <v>5</v>
      </c>
      <c r="I763" s="558">
        <v>2</v>
      </c>
      <c r="J763" s="39">
        <f t="shared" si="185"/>
        <v>0.0351380617217109</v>
      </c>
      <c r="K763" s="559">
        <f t="shared" si="179"/>
        <v>1.27812018489985</v>
      </c>
      <c r="L763" s="559">
        <f t="shared" si="184"/>
        <v>44.9106659447753</v>
      </c>
      <c r="M763" s="559">
        <f t="shared" si="186"/>
        <v>7.68655816757083</v>
      </c>
      <c r="N763" s="39">
        <f t="shared" si="180"/>
        <v>0.000770416024653313</v>
      </c>
      <c r="O763" s="560">
        <f t="shared" si="181"/>
        <v>61.4444444444444</v>
      </c>
      <c r="P763">
        <f t="shared" si="182"/>
        <v>27</v>
      </c>
      <c r="Q763" s="667">
        <f t="shared" si="183"/>
        <v>0.0208012326656394</v>
      </c>
    </row>
    <row r="764" spans="1:17">
      <c r="A764" s="653">
        <v>45923</v>
      </c>
      <c r="B764" s="557">
        <v>1642</v>
      </c>
      <c r="C764" s="37">
        <v>35597</v>
      </c>
      <c r="D764" s="37">
        <v>1335</v>
      </c>
      <c r="E764" s="37">
        <v>0</v>
      </c>
      <c r="F764" s="37">
        <v>0</v>
      </c>
      <c r="G764" s="37">
        <v>29</v>
      </c>
      <c r="H764" s="37">
        <v>3</v>
      </c>
      <c r="I764" s="558">
        <v>3</v>
      </c>
      <c r="J764" s="39">
        <f t="shared" si="185"/>
        <v>0.0375031603786836</v>
      </c>
      <c r="K764" s="559">
        <f t="shared" si="179"/>
        <v>1.22996254681648</v>
      </c>
      <c r="L764" s="559">
        <f t="shared" si="184"/>
        <v>46.1274826530326</v>
      </c>
      <c r="M764" s="559">
        <f t="shared" si="186"/>
        <v>0</v>
      </c>
      <c r="N764" s="39">
        <f t="shared" si="180"/>
        <v>0</v>
      </c>
      <c r="O764" s="560">
        <f t="shared" si="181"/>
        <v>51.3125</v>
      </c>
      <c r="P764">
        <f t="shared" si="182"/>
        <v>32</v>
      </c>
      <c r="Q764" s="667">
        <f t="shared" si="183"/>
        <v>0.0239700374531835</v>
      </c>
    </row>
    <row r="765" spans="1:17">
      <c r="A765" s="653">
        <v>45924</v>
      </c>
      <c r="B765" s="557">
        <v>1576</v>
      </c>
      <c r="C765" s="37">
        <v>36677</v>
      </c>
      <c r="D765" s="37">
        <v>1155</v>
      </c>
      <c r="E765" s="37">
        <v>1</v>
      </c>
      <c r="F765" s="37">
        <v>1</v>
      </c>
      <c r="G765" s="37">
        <v>31</v>
      </c>
      <c r="H765" s="37">
        <v>3</v>
      </c>
      <c r="I765" s="558">
        <v>4</v>
      </c>
      <c r="J765" s="39">
        <f t="shared" si="185"/>
        <v>0.0314911252283447</v>
      </c>
      <c r="K765" s="559">
        <f t="shared" si="179"/>
        <v>1.36450216450216</v>
      </c>
      <c r="L765" s="559">
        <f t="shared" si="184"/>
        <v>42.9697085366851</v>
      </c>
      <c r="M765" s="559">
        <f t="shared" si="186"/>
        <v>0.000634517766497462</v>
      </c>
      <c r="N765" s="39">
        <f t="shared" si="180"/>
        <v>0.000865800865800866</v>
      </c>
      <c r="O765" s="560">
        <f t="shared" si="181"/>
        <v>46.3529411764706</v>
      </c>
      <c r="P765">
        <f t="shared" si="182"/>
        <v>34</v>
      </c>
      <c r="Q765" s="667">
        <f t="shared" si="183"/>
        <v>0.0294372294372294</v>
      </c>
    </row>
    <row r="766" spans="1:17">
      <c r="A766" s="653">
        <v>45925</v>
      </c>
      <c r="B766" s="557">
        <v>1951</v>
      </c>
      <c r="C766" s="37">
        <v>27969</v>
      </c>
      <c r="D766" s="37">
        <v>867</v>
      </c>
      <c r="E766" s="37">
        <v>1</v>
      </c>
      <c r="F766" s="37">
        <v>10254</v>
      </c>
      <c r="G766" s="37">
        <v>27</v>
      </c>
      <c r="H766" s="37">
        <v>4</v>
      </c>
      <c r="I766" s="558">
        <v>3</v>
      </c>
      <c r="J766" s="39">
        <f t="shared" si="185"/>
        <v>0.0309986055990561</v>
      </c>
      <c r="K766" s="559">
        <f t="shared" si="179"/>
        <v>2.25028835063437</v>
      </c>
      <c r="L766" s="559">
        <f t="shared" si="184"/>
        <v>69.7558010654653</v>
      </c>
      <c r="M766" s="559">
        <f t="shared" si="186"/>
        <v>5.25576627370579</v>
      </c>
      <c r="N766" s="39">
        <f t="shared" si="180"/>
        <v>0.00115340253748558</v>
      </c>
      <c r="O766" s="560">
        <f t="shared" si="181"/>
        <v>62.9354838709677</v>
      </c>
      <c r="P766">
        <f t="shared" si="182"/>
        <v>31</v>
      </c>
      <c r="Q766" s="667">
        <f t="shared" si="183"/>
        <v>0.0357554786620531</v>
      </c>
    </row>
    <row r="767" spans="1:17">
      <c r="A767" s="653">
        <v>45926</v>
      </c>
      <c r="B767" s="557">
        <v>1998</v>
      </c>
      <c r="C767" s="37">
        <v>30680</v>
      </c>
      <c r="D767" s="37">
        <v>989</v>
      </c>
      <c r="E767" s="37">
        <v>2</v>
      </c>
      <c r="F767" s="37">
        <v>19926</v>
      </c>
      <c r="G767" s="37">
        <v>26</v>
      </c>
      <c r="H767" s="37">
        <v>2</v>
      </c>
      <c r="I767" s="558">
        <v>3</v>
      </c>
      <c r="J767" s="39">
        <f t="shared" si="185"/>
        <v>0.0322359843546284</v>
      </c>
      <c r="K767" s="559">
        <f t="shared" si="179"/>
        <v>2.02022244691608</v>
      </c>
      <c r="L767" s="559">
        <f t="shared" si="184"/>
        <v>65.1238591916558</v>
      </c>
      <c r="M767" s="559">
        <f t="shared" si="186"/>
        <v>9.97297297297297</v>
      </c>
      <c r="N767" s="39">
        <f t="shared" si="180"/>
        <v>0.00202224469160768</v>
      </c>
      <c r="O767" s="560">
        <f t="shared" si="181"/>
        <v>71.3571428571429</v>
      </c>
      <c r="P767">
        <f t="shared" si="182"/>
        <v>28</v>
      </c>
      <c r="Q767" s="667">
        <f t="shared" si="183"/>
        <v>0.0283114256825076</v>
      </c>
    </row>
    <row r="768" spans="1:17">
      <c r="A768" s="653">
        <v>45927</v>
      </c>
      <c r="B768" s="557">
        <v>1950</v>
      </c>
      <c r="C768" s="37">
        <v>31452</v>
      </c>
      <c r="D768" s="37">
        <v>955</v>
      </c>
      <c r="E768" s="37">
        <v>0</v>
      </c>
      <c r="F768" s="37">
        <v>0</v>
      </c>
      <c r="G768" s="37">
        <v>27</v>
      </c>
      <c r="H768" s="37">
        <v>5</v>
      </c>
      <c r="I768" s="558">
        <v>2</v>
      </c>
      <c r="J768" s="39">
        <f t="shared" si="185"/>
        <v>0.0303637288566705</v>
      </c>
      <c r="K768" s="559">
        <f t="shared" si="179"/>
        <v>2.04188481675393</v>
      </c>
      <c r="L768" s="559">
        <f t="shared" si="184"/>
        <v>61.9992369324685</v>
      </c>
      <c r="M768" s="559">
        <f t="shared" si="186"/>
        <v>0</v>
      </c>
      <c r="N768" s="39">
        <f t="shared" si="180"/>
        <v>0</v>
      </c>
      <c r="O768" s="560">
        <f t="shared" si="181"/>
        <v>60.9375</v>
      </c>
      <c r="P768">
        <f t="shared" si="182"/>
        <v>32</v>
      </c>
      <c r="Q768" s="667">
        <f t="shared" si="183"/>
        <v>0.0335078534031414</v>
      </c>
    </row>
    <row r="769" spans="1:17">
      <c r="A769" s="653">
        <v>45928</v>
      </c>
      <c r="B769" s="557">
        <v>1950</v>
      </c>
      <c r="C769" s="37">
        <v>30612</v>
      </c>
      <c r="D769" s="37">
        <v>912</v>
      </c>
      <c r="E769" s="37">
        <v>0</v>
      </c>
      <c r="F769" s="37">
        <v>0</v>
      </c>
      <c r="G769" s="37">
        <v>34</v>
      </c>
      <c r="H769" s="37">
        <v>5</v>
      </c>
      <c r="I769" s="558">
        <v>3</v>
      </c>
      <c r="J769" s="39">
        <f t="shared" si="185"/>
        <v>0.0297922383379067</v>
      </c>
      <c r="K769" s="559">
        <f t="shared" si="179"/>
        <v>2.13815789473684</v>
      </c>
      <c r="L769" s="559">
        <f t="shared" si="184"/>
        <v>63.7005096040768</v>
      </c>
      <c r="M769" s="559">
        <f t="shared" si="186"/>
        <v>0</v>
      </c>
      <c r="N769" s="39">
        <f t="shared" si="180"/>
        <v>0</v>
      </c>
      <c r="O769" s="560">
        <f t="shared" si="181"/>
        <v>50</v>
      </c>
      <c r="P769">
        <f t="shared" si="182"/>
        <v>39</v>
      </c>
      <c r="Q769" s="667">
        <f t="shared" si="183"/>
        <v>0.0427631578947368</v>
      </c>
    </row>
    <row r="770" spans="1:17">
      <c r="A770" s="653">
        <v>45929</v>
      </c>
      <c r="B770" s="557">
        <v>1306</v>
      </c>
      <c r="C770" s="37">
        <v>13560</v>
      </c>
      <c r="D770" s="37">
        <v>768</v>
      </c>
      <c r="E770" s="37">
        <v>0</v>
      </c>
      <c r="F770" s="37">
        <v>0</v>
      </c>
      <c r="G770" s="37">
        <v>10</v>
      </c>
      <c r="H770" s="37">
        <v>3</v>
      </c>
      <c r="I770" s="558">
        <v>3</v>
      </c>
      <c r="J770" s="39">
        <f t="shared" si="185"/>
        <v>0.0566371681415929</v>
      </c>
      <c r="K770" s="559">
        <f t="shared" si="179"/>
        <v>1.70052083333333</v>
      </c>
      <c r="L770" s="559">
        <f t="shared" si="184"/>
        <v>96.3126843657817</v>
      </c>
      <c r="M770" s="559">
        <f t="shared" si="186"/>
        <v>0</v>
      </c>
      <c r="N770" s="39">
        <f t="shared" si="180"/>
        <v>0</v>
      </c>
      <c r="O770" s="560">
        <f t="shared" si="181"/>
        <v>100.461538461538</v>
      </c>
      <c r="P770">
        <f t="shared" si="182"/>
        <v>13</v>
      </c>
      <c r="Q770" s="667">
        <f t="shared" si="183"/>
        <v>0.0169270833333333</v>
      </c>
    </row>
    <row r="771" spans="1:17">
      <c r="A771" s="653">
        <v>45930</v>
      </c>
      <c r="B771" s="557">
        <v>1550</v>
      </c>
      <c r="C771" s="37">
        <v>22645</v>
      </c>
      <c r="D771" s="37">
        <v>707</v>
      </c>
      <c r="E771" s="37">
        <v>2</v>
      </c>
      <c r="F771" s="37">
        <v>18426</v>
      </c>
      <c r="G771" s="37">
        <v>46</v>
      </c>
      <c r="H771" s="37">
        <v>4</v>
      </c>
      <c r="I771" s="558">
        <v>8</v>
      </c>
      <c r="J771" s="39">
        <f t="shared" si="185"/>
        <v>0.0312210200927357</v>
      </c>
      <c r="K771" s="559">
        <f t="shared" si="179"/>
        <v>2.19236209335219</v>
      </c>
      <c r="L771" s="559">
        <f t="shared" si="184"/>
        <v>68.4477809671009</v>
      </c>
      <c r="M771" s="559">
        <f t="shared" si="186"/>
        <v>11.8877419354839</v>
      </c>
      <c r="N771" s="39">
        <f t="shared" si="180"/>
        <v>0.00282885431400283</v>
      </c>
      <c r="O771" s="560">
        <f t="shared" si="181"/>
        <v>31</v>
      </c>
      <c r="P771">
        <f t="shared" si="182"/>
        <v>50</v>
      </c>
      <c r="Q771" s="667">
        <f t="shared" si="183"/>
        <v>0.0707213578500707</v>
      </c>
    </row>
    <row r="772" spans="1:17">
      <c r="A772" s="653">
        <v>45931</v>
      </c>
      <c r="B772" s="557">
        <v>1549</v>
      </c>
      <c r="C772" s="37">
        <v>27368</v>
      </c>
      <c r="D772" s="37">
        <v>875</v>
      </c>
      <c r="E772" s="37">
        <v>3</v>
      </c>
      <c r="F772" s="37">
        <v>30382</v>
      </c>
      <c r="G772" s="37">
        <v>32</v>
      </c>
      <c r="H772" s="37">
        <v>3</v>
      </c>
      <c r="I772" s="558">
        <v>3</v>
      </c>
      <c r="J772" s="39">
        <f t="shared" si="185"/>
        <v>0.0319716457176264</v>
      </c>
      <c r="K772" s="559">
        <f t="shared" si="179"/>
        <v>1.77028571428571</v>
      </c>
      <c r="L772" s="559">
        <f t="shared" si="184"/>
        <v>56.5989476761181</v>
      </c>
      <c r="M772" s="559">
        <f t="shared" si="186"/>
        <v>19.6139444803099</v>
      </c>
      <c r="N772" s="39">
        <f t="shared" si="180"/>
        <v>0.00342857142857143</v>
      </c>
      <c r="O772" s="560">
        <f t="shared" si="181"/>
        <v>44.2571428571429</v>
      </c>
      <c r="P772">
        <f t="shared" si="182"/>
        <v>35</v>
      </c>
      <c r="Q772" s="667">
        <f t="shared" si="183"/>
        <v>0.04</v>
      </c>
    </row>
    <row r="773" spans="1:17">
      <c r="A773" s="653">
        <v>45932</v>
      </c>
      <c r="B773" s="557">
        <v>1550</v>
      </c>
      <c r="C773" s="37">
        <v>31985</v>
      </c>
      <c r="D773" s="37">
        <v>896</v>
      </c>
      <c r="E773" s="37">
        <v>0</v>
      </c>
      <c r="F773" s="37">
        <v>0</v>
      </c>
      <c r="G773" s="37">
        <v>24</v>
      </c>
      <c r="H773" s="37">
        <v>3</v>
      </c>
      <c r="I773" s="558">
        <v>6</v>
      </c>
      <c r="J773" s="39">
        <f t="shared" si="185"/>
        <v>0.028013131155229</v>
      </c>
      <c r="K773" s="559">
        <f t="shared" si="179"/>
        <v>1.72991071428571</v>
      </c>
      <c r="L773" s="559">
        <f t="shared" si="184"/>
        <v>48.4602157261216</v>
      </c>
      <c r="M773" s="559">
        <f t="shared" si="186"/>
        <v>0</v>
      </c>
      <c r="N773" s="39">
        <f t="shared" si="180"/>
        <v>0</v>
      </c>
      <c r="O773" s="560">
        <f t="shared" si="181"/>
        <v>57.4074074074074</v>
      </c>
      <c r="P773">
        <f t="shared" si="182"/>
        <v>27</v>
      </c>
      <c r="Q773" s="667">
        <f t="shared" si="183"/>
        <v>0.0301339285714286</v>
      </c>
    </row>
    <row r="774" spans="1:17">
      <c r="A774" s="653">
        <v>45933</v>
      </c>
      <c r="B774" s="557">
        <v>797</v>
      </c>
      <c r="C774" s="37">
        <v>23010</v>
      </c>
      <c r="D774" s="37">
        <v>716</v>
      </c>
      <c r="E774" s="37">
        <v>0</v>
      </c>
      <c r="F774" s="37">
        <v>0</v>
      </c>
      <c r="G774" s="37">
        <v>26</v>
      </c>
      <c r="H774" s="37">
        <v>9</v>
      </c>
      <c r="I774" s="558">
        <v>2</v>
      </c>
      <c r="J774" s="39">
        <f t="shared" ref="J774:J823" si="187">D774/C774</f>
        <v>0.0311169056931769</v>
      </c>
      <c r="K774" s="559">
        <f t="shared" ref="K774:K819" si="188">B774/D774</f>
        <v>1.11312849162011</v>
      </c>
      <c r="L774" s="559">
        <f t="shared" ref="L774:L823" si="189">B774/C774*1000</f>
        <v>34.6371142981312</v>
      </c>
      <c r="M774" s="559">
        <f t="shared" ref="M774:M823" si="190">F774/B774</f>
        <v>0</v>
      </c>
      <c r="N774" s="39">
        <f t="shared" ref="N774:N819" si="191">E774/D774</f>
        <v>0</v>
      </c>
      <c r="O774" s="560">
        <f t="shared" ref="O774:O819" si="192">B774/(G774+H774)</f>
        <v>22.7714285714286</v>
      </c>
      <c r="P774">
        <f t="shared" ref="P774:P819" si="193">G774+H774</f>
        <v>35</v>
      </c>
      <c r="Q774" s="667">
        <f t="shared" ref="Q774:Q819" si="194">P774/D774</f>
        <v>0.0488826815642458</v>
      </c>
    </row>
    <row r="775" spans="1:17">
      <c r="A775" s="653">
        <v>45934</v>
      </c>
      <c r="B775" s="557">
        <v>781</v>
      </c>
      <c r="C775" s="37">
        <v>16860</v>
      </c>
      <c r="D775" s="37">
        <v>618</v>
      </c>
      <c r="E775" s="37">
        <v>0</v>
      </c>
      <c r="F775" s="37">
        <v>0</v>
      </c>
      <c r="G775" s="37">
        <v>48</v>
      </c>
      <c r="H775" s="37">
        <v>15</v>
      </c>
      <c r="I775" s="558">
        <v>4</v>
      </c>
      <c r="J775" s="39">
        <f t="shared" si="187"/>
        <v>0.0366548042704626</v>
      </c>
      <c r="K775" s="559">
        <f t="shared" si="188"/>
        <v>1.26375404530744</v>
      </c>
      <c r="L775" s="559">
        <f t="shared" si="189"/>
        <v>46.3226571767497</v>
      </c>
      <c r="M775" s="559">
        <f t="shared" si="190"/>
        <v>0</v>
      </c>
      <c r="N775" s="39">
        <f t="shared" si="191"/>
        <v>0</v>
      </c>
      <c r="O775" s="560">
        <f t="shared" si="192"/>
        <v>12.3968253968254</v>
      </c>
      <c r="P775">
        <f t="shared" si="193"/>
        <v>63</v>
      </c>
      <c r="Q775" s="667">
        <f t="shared" si="194"/>
        <v>0.101941747572816</v>
      </c>
    </row>
    <row r="776" spans="1:17">
      <c r="A776" s="653">
        <v>45935</v>
      </c>
      <c r="B776" s="557">
        <v>794</v>
      </c>
      <c r="C776" s="37">
        <v>17849</v>
      </c>
      <c r="D776" s="37">
        <v>563</v>
      </c>
      <c r="E776" s="37">
        <v>2</v>
      </c>
      <c r="F776" s="37">
        <v>8241</v>
      </c>
      <c r="G776" s="37">
        <v>39</v>
      </c>
      <c r="H776" s="37">
        <v>6</v>
      </c>
      <c r="I776" s="558">
        <v>3</v>
      </c>
      <c r="J776" s="39">
        <f t="shared" si="187"/>
        <v>0.031542383326797</v>
      </c>
      <c r="K776" s="559">
        <f t="shared" si="188"/>
        <v>1.41030195381883</v>
      </c>
      <c r="L776" s="559">
        <f t="shared" si="189"/>
        <v>44.4842848338843</v>
      </c>
      <c r="M776" s="559">
        <f t="shared" si="190"/>
        <v>10.3790931989924</v>
      </c>
      <c r="N776" s="39">
        <f t="shared" si="191"/>
        <v>0.00355239786856128</v>
      </c>
      <c r="O776" s="560">
        <f t="shared" si="192"/>
        <v>17.6444444444444</v>
      </c>
      <c r="P776">
        <f t="shared" si="193"/>
        <v>45</v>
      </c>
      <c r="Q776" s="667">
        <f t="shared" si="194"/>
        <v>0.0799289520426288</v>
      </c>
    </row>
    <row r="777" spans="1:17">
      <c r="A777" s="653">
        <v>45936</v>
      </c>
      <c r="B777" s="557">
        <v>800</v>
      </c>
      <c r="C777" s="37">
        <v>13064</v>
      </c>
      <c r="D777" s="37">
        <v>526</v>
      </c>
      <c r="E777" s="37">
        <v>7</v>
      </c>
      <c r="F777" s="37">
        <v>48868</v>
      </c>
      <c r="G777" s="37">
        <v>40</v>
      </c>
      <c r="H777" s="37">
        <v>14</v>
      </c>
      <c r="I777" s="558">
        <v>3</v>
      </c>
      <c r="J777" s="39">
        <f t="shared" si="187"/>
        <v>0.040263319044703</v>
      </c>
      <c r="K777" s="559">
        <f t="shared" si="188"/>
        <v>1.52091254752852</v>
      </c>
      <c r="L777" s="559">
        <f t="shared" si="189"/>
        <v>61.2369871402327</v>
      </c>
      <c r="M777" s="559">
        <f t="shared" si="190"/>
        <v>61.085</v>
      </c>
      <c r="N777" s="39">
        <f t="shared" si="191"/>
        <v>0.0133079847908745</v>
      </c>
      <c r="O777" s="560">
        <f t="shared" si="192"/>
        <v>14.8148148148148</v>
      </c>
      <c r="P777">
        <f t="shared" si="193"/>
        <v>54</v>
      </c>
      <c r="Q777" s="667">
        <f t="shared" si="194"/>
        <v>0.102661596958175</v>
      </c>
    </row>
    <row r="778" spans="1:17">
      <c r="A778" s="653">
        <v>45937</v>
      </c>
      <c r="B778" s="557">
        <v>797</v>
      </c>
      <c r="C778" s="37">
        <v>10564</v>
      </c>
      <c r="D778" s="37">
        <v>520</v>
      </c>
      <c r="E778" s="37">
        <v>14</v>
      </c>
      <c r="F778" s="37">
        <v>100899</v>
      </c>
      <c r="G778" s="37">
        <v>45</v>
      </c>
      <c r="H778" s="37">
        <v>9</v>
      </c>
      <c r="I778" s="558">
        <v>4</v>
      </c>
      <c r="J778" s="39">
        <f t="shared" si="187"/>
        <v>0.0492237788716395</v>
      </c>
      <c r="K778" s="559">
        <f t="shared" si="188"/>
        <v>1.53269230769231</v>
      </c>
      <c r="L778" s="559">
        <f t="shared" si="189"/>
        <v>75.444907232109</v>
      </c>
      <c r="M778" s="559">
        <f t="shared" si="190"/>
        <v>126.598494353827</v>
      </c>
      <c r="N778" s="39">
        <f t="shared" si="191"/>
        <v>0.0269230769230769</v>
      </c>
      <c r="O778" s="560">
        <f t="shared" si="192"/>
        <v>14.7592592592593</v>
      </c>
      <c r="P778">
        <f t="shared" si="193"/>
        <v>54</v>
      </c>
      <c r="Q778" s="667">
        <f t="shared" si="194"/>
        <v>0.103846153846154</v>
      </c>
    </row>
    <row r="779" spans="1:17">
      <c r="A779" s="653">
        <v>45938</v>
      </c>
      <c r="B779" s="557">
        <v>794</v>
      </c>
      <c r="C779" s="37">
        <v>11371</v>
      </c>
      <c r="D779" s="37">
        <v>517</v>
      </c>
      <c r="E779" s="37">
        <v>6</v>
      </c>
      <c r="F779" s="37">
        <v>52086</v>
      </c>
      <c r="G779" s="37">
        <v>55</v>
      </c>
      <c r="H779" s="37">
        <v>5</v>
      </c>
      <c r="I779" s="558">
        <v>2</v>
      </c>
      <c r="J779" s="39">
        <f t="shared" si="187"/>
        <v>0.045466537683581</v>
      </c>
      <c r="K779" s="559">
        <f t="shared" si="188"/>
        <v>1.5357833655706</v>
      </c>
      <c r="L779" s="559">
        <f t="shared" si="189"/>
        <v>69.8267522645326</v>
      </c>
      <c r="M779" s="559">
        <f t="shared" si="190"/>
        <v>65.5994962216625</v>
      </c>
      <c r="N779" s="39">
        <f t="shared" si="191"/>
        <v>0.011605415860735</v>
      </c>
      <c r="O779" s="560">
        <f t="shared" si="192"/>
        <v>13.2333333333333</v>
      </c>
      <c r="P779">
        <f t="shared" si="193"/>
        <v>60</v>
      </c>
      <c r="Q779" s="667">
        <f t="shared" si="194"/>
        <v>0.11605415860735</v>
      </c>
    </row>
    <row r="780" spans="1:17">
      <c r="A780" s="653">
        <v>45939</v>
      </c>
      <c r="B780" s="557">
        <v>1743</v>
      </c>
      <c r="C780" s="37">
        <v>22823</v>
      </c>
      <c r="D780" s="37">
        <v>877</v>
      </c>
      <c r="E780" s="37">
        <v>12</v>
      </c>
      <c r="F780" s="37">
        <v>97473</v>
      </c>
      <c r="G780" s="37">
        <v>66</v>
      </c>
      <c r="H780" s="37">
        <v>4</v>
      </c>
      <c r="I780" s="558">
        <v>5</v>
      </c>
      <c r="J780" s="39">
        <f t="shared" si="187"/>
        <v>0.0384261490601586</v>
      </c>
      <c r="K780" s="559">
        <f t="shared" si="188"/>
        <v>1.98745724059293</v>
      </c>
      <c r="L780" s="559">
        <f t="shared" si="189"/>
        <v>76.3703281777155</v>
      </c>
      <c r="M780" s="559">
        <f t="shared" si="190"/>
        <v>55.9225473321859</v>
      </c>
      <c r="N780" s="39">
        <f t="shared" si="191"/>
        <v>0.0136830102622577</v>
      </c>
      <c r="O780" s="560">
        <f t="shared" si="192"/>
        <v>24.9</v>
      </c>
      <c r="P780">
        <f t="shared" si="193"/>
        <v>70</v>
      </c>
      <c r="Q780" s="667">
        <f t="shared" si="194"/>
        <v>0.0798175598631699</v>
      </c>
    </row>
    <row r="781" spans="1:17">
      <c r="A781" s="653">
        <v>45940</v>
      </c>
      <c r="B781" s="557">
        <v>1496</v>
      </c>
      <c r="C781" s="37">
        <v>11726</v>
      </c>
      <c r="D781" s="37">
        <v>760</v>
      </c>
      <c r="E781" s="37">
        <v>15</v>
      </c>
      <c r="F781" s="37">
        <v>116945</v>
      </c>
      <c r="G781" s="37">
        <v>48</v>
      </c>
      <c r="H781" s="37">
        <v>10</v>
      </c>
      <c r="I781" s="558">
        <v>7</v>
      </c>
      <c r="J781" s="39">
        <f t="shared" si="187"/>
        <v>0.0648132355449429</v>
      </c>
      <c r="K781" s="559">
        <f t="shared" si="188"/>
        <v>1.96842105263158</v>
      </c>
      <c r="L781" s="559">
        <f t="shared" si="189"/>
        <v>127.579737335835</v>
      </c>
      <c r="M781" s="559">
        <f t="shared" si="190"/>
        <v>78.1717914438503</v>
      </c>
      <c r="N781" s="39">
        <f t="shared" si="191"/>
        <v>0.0197368421052632</v>
      </c>
      <c r="O781" s="560">
        <f t="shared" si="192"/>
        <v>25.7931034482759</v>
      </c>
      <c r="P781">
        <f t="shared" si="193"/>
        <v>58</v>
      </c>
      <c r="Q781" s="667">
        <f t="shared" si="194"/>
        <v>0.0763157894736842</v>
      </c>
    </row>
    <row r="782" spans="1:17">
      <c r="A782" s="653">
        <v>45941</v>
      </c>
      <c r="B782" s="557">
        <v>1704</v>
      </c>
      <c r="C782" s="37">
        <v>17137</v>
      </c>
      <c r="D782" s="37">
        <v>763</v>
      </c>
      <c r="E782" s="37">
        <v>16</v>
      </c>
      <c r="F782" s="37">
        <v>103541</v>
      </c>
      <c r="G782" s="37">
        <v>33</v>
      </c>
      <c r="H782" s="37">
        <v>5</v>
      </c>
      <c r="I782" s="558">
        <v>0</v>
      </c>
      <c r="J782" s="39">
        <f t="shared" si="187"/>
        <v>0.0445235455447278</v>
      </c>
      <c r="K782" s="559">
        <f t="shared" si="188"/>
        <v>2.23328964613368</v>
      </c>
      <c r="L782" s="559">
        <f t="shared" si="189"/>
        <v>99.433973274202</v>
      </c>
      <c r="M782" s="559">
        <f t="shared" si="190"/>
        <v>60.7634976525822</v>
      </c>
      <c r="N782" s="39">
        <f t="shared" si="191"/>
        <v>0.0209698558322412</v>
      </c>
      <c r="O782" s="560">
        <f t="shared" si="192"/>
        <v>44.8421052631579</v>
      </c>
      <c r="P782">
        <f t="shared" si="193"/>
        <v>38</v>
      </c>
      <c r="Q782" s="667">
        <f t="shared" si="194"/>
        <v>0.0498034076015727</v>
      </c>
    </row>
    <row r="783" spans="1:17">
      <c r="A783" s="653">
        <v>45942</v>
      </c>
      <c r="B783" s="557">
        <v>1765</v>
      </c>
      <c r="C783" s="37">
        <v>14467</v>
      </c>
      <c r="D783" s="37">
        <v>850</v>
      </c>
      <c r="E783" s="37">
        <v>30</v>
      </c>
      <c r="F783" s="37">
        <v>329189</v>
      </c>
      <c r="G783" s="37">
        <v>47</v>
      </c>
      <c r="H783" s="37">
        <v>5</v>
      </c>
      <c r="I783" s="558">
        <v>5</v>
      </c>
      <c r="J783" s="39">
        <f t="shared" si="187"/>
        <v>0.0587544065804935</v>
      </c>
      <c r="K783" s="559">
        <f t="shared" si="188"/>
        <v>2.07647058823529</v>
      </c>
      <c r="L783" s="559">
        <f t="shared" si="189"/>
        <v>122.001797193613</v>
      </c>
      <c r="M783" s="559">
        <f t="shared" si="190"/>
        <v>186.509348441926</v>
      </c>
      <c r="N783" s="39">
        <f t="shared" si="191"/>
        <v>0.0352941176470588</v>
      </c>
      <c r="O783" s="560">
        <f t="shared" si="192"/>
        <v>33.9423076923077</v>
      </c>
      <c r="P783">
        <f t="shared" si="193"/>
        <v>52</v>
      </c>
      <c r="Q783" s="667">
        <f t="shared" si="194"/>
        <v>0.0611764705882353</v>
      </c>
    </row>
    <row r="784" spans="1:17">
      <c r="A784" s="653">
        <v>45943</v>
      </c>
      <c r="B784" s="557">
        <v>1757</v>
      </c>
      <c r="C784" s="37">
        <v>13698</v>
      </c>
      <c r="D784" s="37">
        <v>801</v>
      </c>
      <c r="E784" s="37">
        <v>36</v>
      </c>
      <c r="F784" s="37">
        <v>281071</v>
      </c>
      <c r="G784" s="37">
        <v>81</v>
      </c>
      <c r="H784" s="37">
        <v>3</v>
      </c>
      <c r="I784" s="558">
        <v>9</v>
      </c>
      <c r="J784" s="39">
        <f t="shared" si="187"/>
        <v>0.0584756898817346</v>
      </c>
      <c r="K784" s="559">
        <f t="shared" si="188"/>
        <v>2.19350811485643</v>
      </c>
      <c r="L784" s="559">
        <f t="shared" si="189"/>
        <v>128.266900277413</v>
      </c>
      <c r="M784" s="559">
        <f t="shared" si="190"/>
        <v>159.972111553785</v>
      </c>
      <c r="N784" s="39">
        <f t="shared" si="191"/>
        <v>0.0449438202247191</v>
      </c>
      <c r="O784" s="560">
        <f t="shared" si="192"/>
        <v>20.9166666666667</v>
      </c>
      <c r="P784">
        <f t="shared" si="193"/>
        <v>84</v>
      </c>
      <c r="Q784" s="667">
        <f t="shared" si="194"/>
        <v>0.104868913857678</v>
      </c>
    </row>
    <row r="785" spans="1:17">
      <c r="A785" s="653">
        <v>45944</v>
      </c>
      <c r="B785" s="557">
        <v>1764</v>
      </c>
      <c r="C785" s="37">
        <v>17165</v>
      </c>
      <c r="D785" s="37">
        <v>807</v>
      </c>
      <c r="E785" s="37">
        <v>14</v>
      </c>
      <c r="F785" s="37">
        <v>118368</v>
      </c>
      <c r="G785" s="37">
        <v>64</v>
      </c>
      <c r="H785" s="37">
        <v>14</v>
      </c>
      <c r="I785" s="558">
        <v>5</v>
      </c>
      <c r="J785" s="39">
        <f t="shared" si="187"/>
        <v>0.0470142732304107</v>
      </c>
      <c r="K785" s="559">
        <f t="shared" si="188"/>
        <v>2.18587360594796</v>
      </c>
      <c r="L785" s="559">
        <f t="shared" si="189"/>
        <v>102.76725895718</v>
      </c>
      <c r="M785" s="559">
        <f t="shared" si="190"/>
        <v>67.1020408163265</v>
      </c>
      <c r="N785" s="39">
        <f t="shared" si="191"/>
        <v>0.0173482032218092</v>
      </c>
      <c r="O785" s="560">
        <f t="shared" si="192"/>
        <v>22.6153846153846</v>
      </c>
      <c r="P785">
        <f t="shared" si="193"/>
        <v>78</v>
      </c>
      <c r="Q785" s="667">
        <f t="shared" si="194"/>
        <v>0.0966542750929368</v>
      </c>
    </row>
    <row r="786" spans="1:17">
      <c r="A786" s="653">
        <v>45945</v>
      </c>
      <c r="B786" s="557">
        <v>4330</v>
      </c>
      <c r="C786" s="37">
        <v>19264</v>
      </c>
      <c r="D786" s="37">
        <v>1347</v>
      </c>
      <c r="E786" s="37">
        <v>74</v>
      </c>
      <c r="F786" s="37">
        <v>736694</v>
      </c>
      <c r="G786" s="37">
        <v>147</v>
      </c>
      <c r="H786" s="37">
        <v>21</v>
      </c>
      <c r="I786" s="558">
        <v>9</v>
      </c>
      <c r="J786" s="39">
        <f t="shared" si="187"/>
        <v>0.0699231727574751</v>
      </c>
      <c r="K786" s="559">
        <f t="shared" si="188"/>
        <v>3.21455085374907</v>
      </c>
      <c r="L786" s="559">
        <f t="shared" si="189"/>
        <v>224.771594684385</v>
      </c>
      <c r="M786" s="559">
        <f t="shared" si="190"/>
        <v>170.137182448037</v>
      </c>
      <c r="N786" s="39">
        <f t="shared" si="191"/>
        <v>0.0549368968077209</v>
      </c>
      <c r="O786" s="560">
        <f t="shared" si="192"/>
        <v>25.7738095238095</v>
      </c>
      <c r="P786">
        <f t="shared" si="193"/>
        <v>168</v>
      </c>
      <c r="Q786" s="667">
        <f t="shared" si="194"/>
        <v>0.124721603563474</v>
      </c>
    </row>
    <row r="787" spans="1:17">
      <c r="A787" s="653">
        <v>45946</v>
      </c>
      <c r="B787" s="557">
        <v>4718</v>
      </c>
      <c r="C787" s="37">
        <v>46981</v>
      </c>
      <c r="D787" s="37">
        <v>1985</v>
      </c>
      <c r="E787" s="37">
        <v>94</v>
      </c>
      <c r="F787" s="37">
        <v>797328</v>
      </c>
      <c r="G787" s="37">
        <v>143</v>
      </c>
      <c r="H787" s="37">
        <v>23</v>
      </c>
      <c r="I787" s="558">
        <v>19</v>
      </c>
      <c r="J787" s="39">
        <f t="shared" si="187"/>
        <v>0.0422511227943211</v>
      </c>
      <c r="K787" s="559">
        <f t="shared" si="188"/>
        <v>2.37682619647355</v>
      </c>
      <c r="L787" s="559">
        <f t="shared" si="189"/>
        <v>100.423575487963</v>
      </c>
      <c r="M787" s="559">
        <f t="shared" si="190"/>
        <v>168.99703264095</v>
      </c>
      <c r="N787" s="39">
        <f t="shared" si="191"/>
        <v>0.0473551637279597</v>
      </c>
      <c r="O787" s="560">
        <f t="shared" si="192"/>
        <v>28.421686746988</v>
      </c>
      <c r="P787">
        <f t="shared" si="193"/>
        <v>166</v>
      </c>
      <c r="Q787" s="667">
        <f t="shared" si="194"/>
        <v>0.0836272040302267</v>
      </c>
    </row>
    <row r="788" spans="1:17">
      <c r="A788" s="653">
        <v>45947</v>
      </c>
      <c r="B788" s="557">
        <v>4836</v>
      </c>
      <c r="C788" s="37">
        <v>44175</v>
      </c>
      <c r="D788" s="37">
        <v>2294</v>
      </c>
      <c r="E788" s="37">
        <v>70</v>
      </c>
      <c r="F788" s="37">
        <v>616687</v>
      </c>
      <c r="G788" s="37">
        <v>202</v>
      </c>
      <c r="H788" s="37">
        <v>25</v>
      </c>
      <c r="I788" s="558">
        <v>14</v>
      </c>
      <c r="J788" s="39">
        <f t="shared" si="187"/>
        <v>0.0519298245614035</v>
      </c>
      <c r="K788" s="559">
        <f t="shared" si="188"/>
        <v>2.10810810810811</v>
      </c>
      <c r="L788" s="559">
        <f t="shared" si="189"/>
        <v>109.473684210526</v>
      </c>
      <c r="M788" s="559">
        <f t="shared" si="190"/>
        <v>127.52005789909</v>
      </c>
      <c r="N788" s="39">
        <f t="shared" si="191"/>
        <v>0.030514385353095</v>
      </c>
      <c r="O788" s="560">
        <f t="shared" si="192"/>
        <v>21.3039647577093</v>
      </c>
      <c r="P788">
        <f t="shared" si="193"/>
        <v>227</v>
      </c>
      <c r="Q788" s="667">
        <f t="shared" si="194"/>
        <v>0.0989537925021796</v>
      </c>
    </row>
    <row r="789" spans="1:17">
      <c r="A789" s="653">
        <v>45948</v>
      </c>
      <c r="B789" s="557">
        <v>4842</v>
      </c>
      <c r="C789" s="37">
        <v>65217</v>
      </c>
      <c r="D789" s="37">
        <v>2711</v>
      </c>
      <c r="E789" s="37">
        <v>87</v>
      </c>
      <c r="F789" s="37">
        <v>795609</v>
      </c>
      <c r="G789" s="37">
        <v>198</v>
      </c>
      <c r="H789" s="37">
        <v>18</v>
      </c>
      <c r="I789" s="558">
        <v>18</v>
      </c>
      <c r="J789" s="39">
        <f t="shared" si="187"/>
        <v>0.0415689160801631</v>
      </c>
      <c r="K789" s="559">
        <f t="shared" si="188"/>
        <v>1.78605680560679</v>
      </c>
      <c r="L789" s="559">
        <f t="shared" si="189"/>
        <v>74.2444454666728</v>
      </c>
      <c r="M789" s="559">
        <f t="shared" si="190"/>
        <v>164.314126394052</v>
      </c>
      <c r="N789" s="39">
        <f t="shared" si="191"/>
        <v>0.0320914791589819</v>
      </c>
      <c r="O789" s="560">
        <f t="shared" si="192"/>
        <v>22.4166666666667</v>
      </c>
      <c r="P789">
        <f t="shared" si="193"/>
        <v>216</v>
      </c>
      <c r="Q789" s="667">
        <f t="shared" si="194"/>
        <v>0.0796753965326448</v>
      </c>
    </row>
    <row r="790" spans="1:17">
      <c r="A790" s="653">
        <v>45949</v>
      </c>
      <c r="B790" s="557">
        <v>3110</v>
      </c>
      <c r="C790" s="37">
        <v>29413</v>
      </c>
      <c r="D790" s="37">
        <v>1332</v>
      </c>
      <c r="E790" s="37">
        <v>26</v>
      </c>
      <c r="F790" s="37">
        <v>217933</v>
      </c>
      <c r="G790" s="37">
        <v>59</v>
      </c>
      <c r="H790" s="37">
        <v>7</v>
      </c>
      <c r="I790" s="558">
        <v>5</v>
      </c>
      <c r="J790" s="39">
        <f t="shared" si="187"/>
        <v>0.0452860979838847</v>
      </c>
      <c r="K790" s="559">
        <f t="shared" si="188"/>
        <v>2.33483483483483</v>
      </c>
      <c r="L790" s="559">
        <f t="shared" si="189"/>
        <v>105.735559106518</v>
      </c>
      <c r="M790" s="559">
        <f t="shared" si="190"/>
        <v>70.0749196141479</v>
      </c>
      <c r="N790" s="39">
        <f t="shared" si="191"/>
        <v>0.0195195195195195</v>
      </c>
      <c r="O790" s="560">
        <f t="shared" si="192"/>
        <v>47.1212121212121</v>
      </c>
      <c r="P790">
        <f t="shared" si="193"/>
        <v>66</v>
      </c>
      <c r="Q790" s="667">
        <f t="shared" si="194"/>
        <v>0.0495495495495496</v>
      </c>
    </row>
    <row r="791" spans="1:17">
      <c r="A791" s="653">
        <v>45950</v>
      </c>
      <c r="B791" s="557">
        <v>5988</v>
      </c>
      <c r="C791" s="37">
        <v>29371</v>
      </c>
      <c r="D791" s="37">
        <v>2345</v>
      </c>
      <c r="E791" s="37">
        <v>44</v>
      </c>
      <c r="F791" s="37">
        <v>407774</v>
      </c>
      <c r="G791" s="37">
        <v>133</v>
      </c>
      <c r="H791" s="37">
        <v>12</v>
      </c>
      <c r="I791" s="558">
        <v>12</v>
      </c>
      <c r="J791" s="39">
        <f t="shared" si="187"/>
        <v>0.0798406591535869</v>
      </c>
      <c r="K791" s="559">
        <f t="shared" si="188"/>
        <v>2.55351812366738</v>
      </c>
      <c r="L791" s="559">
        <f t="shared" si="189"/>
        <v>203.874570154234</v>
      </c>
      <c r="M791" s="559">
        <f t="shared" si="190"/>
        <v>68.0985303941216</v>
      </c>
      <c r="N791" s="39">
        <f t="shared" si="191"/>
        <v>0.0187633262260128</v>
      </c>
      <c r="O791" s="560">
        <f t="shared" si="192"/>
        <v>41.2965517241379</v>
      </c>
      <c r="P791">
        <f t="shared" si="193"/>
        <v>145</v>
      </c>
      <c r="Q791" s="667">
        <f t="shared" si="194"/>
        <v>0.0618336886993603</v>
      </c>
    </row>
    <row r="792" spans="1:17">
      <c r="A792" s="653">
        <v>45951</v>
      </c>
      <c r="B792" s="557">
        <v>6059</v>
      </c>
      <c r="C792" s="37">
        <v>37834</v>
      </c>
      <c r="D792" s="37">
        <v>1915</v>
      </c>
      <c r="E792" s="37">
        <v>21</v>
      </c>
      <c r="F792" s="37">
        <v>175607</v>
      </c>
      <c r="G792" s="37">
        <v>100</v>
      </c>
      <c r="H792" s="37">
        <v>8</v>
      </c>
      <c r="I792" s="558">
        <v>4</v>
      </c>
      <c r="J792" s="39">
        <f t="shared" si="187"/>
        <v>0.0506158481788867</v>
      </c>
      <c r="K792" s="559">
        <f t="shared" si="188"/>
        <v>3.16396866840731</v>
      </c>
      <c r="L792" s="559">
        <f t="shared" si="189"/>
        <v>160.146957762859</v>
      </c>
      <c r="M792" s="559">
        <f t="shared" si="190"/>
        <v>28.9828354513946</v>
      </c>
      <c r="N792" s="39">
        <f t="shared" si="191"/>
        <v>0.0109660574412533</v>
      </c>
      <c r="O792" s="560">
        <f t="shared" si="192"/>
        <v>56.1018518518519</v>
      </c>
      <c r="P792">
        <f t="shared" si="193"/>
        <v>108</v>
      </c>
      <c r="Q792" s="667">
        <f t="shared" si="194"/>
        <v>0.0563968668407311</v>
      </c>
    </row>
    <row r="793" spans="1:17">
      <c r="A793" s="653">
        <v>45952</v>
      </c>
      <c r="B793" s="557">
        <v>5664</v>
      </c>
      <c r="C793" s="37">
        <v>36363</v>
      </c>
      <c r="D793" s="37">
        <v>1713</v>
      </c>
      <c r="E793" s="37">
        <v>27</v>
      </c>
      <c r="F793" s="37">
        <v>190447</v>
      </c>
      <c r="G793" s="37">
        <v>86</v>
      </c>
      <c r="H793" s="37">
        <v>9</v>
      </c>
      <c r="I793" s="558">
        <v>8</v>
      </c>
      <c r="J793" s="39">
        <f t="shared" si="187"/>
        <v>0.0471083243956769</v>
      </c>
      <c r="K793" s="559">
        <f t="shared" si="188"/>
        <v>3.30647985989492</v>
      </c>
      <c r="L793" s="559">
        <f t="shared" si="189"/>
        <v>155.762725847702</v>
      </c>
      <c r="M793" s="559">
        <f t="shared" si="190"/>
        <v>33.6241172316384</v>
      </c>
      <c r="N793" s="39">
        <f t="shared" si="191"/>
        <v>0.0157618213660245</v>
      </c>
      <c r="O793" s="560">
        <f t="shared" si="192"/>
        <v>59.6210526315789</v>
      </c>
      <c r="P793">
        <f t="shared" si="193"/>
        <v>95</v>
      </c>
      <c r="Q793" s="667">
        <f t="shared" si="194"/>
        <v>0.0554582603619381</v>
      </c>
    </row>
    <row r="794" spans="1:17">
      <c r="A794" s="653">
        <v>45953</v>
      </c>
      <c r="B794" s="557">
        <v>5581</v>
      </c>
      <c r="C794" s="37">
        <v>35801</v>
      </c>
      <c r="D794" s="37">
        <v>1971</v>
      </c>
      <c r="E794" s="37">
        <v>25</v>
      </c>
      <c r="F794" s="37">
        <v>227676</v>
      </c>
      <c r="G794" s="37">
        <v>107</v>
      </c>
      <c r="H794" s="37">
        <v>11</v>
      </c>
      <c r="I794" s="558">
        <v>16</v>
      </c>
      <c r="J794" s="39">
        <f t="shared" si="187"/>
        <v>0.0550543280913941</v>
      </c>
      <c r="K794" s="559">
        <f t="shared" si="188"/>
        <v>2.83155758498224</v>
      </c>
      <c r="L794" s="559">
        <f t="shared" si="189"/>
        <v>155.889500293288</v>
      </c>
      <c r="M794" s="559">
        <f t="shared" si="190"/>
        <v>40.7948396344741</v>
      </c>
      <c r="N794" s="39">
        <f t="shared" si="191"/>
        <v>0.0126839167935058</v>
      </c>
      <c r="O794" s="560">
        <f t="shared" si="192"/>
        <v>47.2966101694915</v>
      </c>
      <c r="P794">
        <f t="shared" si="193"/>
        <v>118</v>
      </c>
      <c r="Q794" s="667">
        <f t="shared" si="194"/>
        <v>0.0598680872653475</v>
      </c>
    </row>
    <row r="795" spans="1:17">
      <c r="A795" s="653">
        <v>45954</v>
      </c>
      <c r="B795" s="557">
        <v>5062</v>
      </c>
      <c r="C795" s="37">
        <v>57232</v>
      </c>
      <c r="D795" s="37">
        <v>2342</v>
      </c>
      <c r="E795" s="37">
        <v>17</v>
      </c>
      <c r="F795" s="37">
        <v>148933</v>
      </c>
      <c r="G795" s="37">
        <v>142</v>
      </c>
      <c r="H795" s="37">
        <v>13</v>
      </c>
      <c r="I795" s="558">
        <v>8</v>
      </c>
      <c r="J795" s="39">
        <f t="shared" si="187"/>
        <v>0.0409211629857422</v>
      </c>
      <c r="K795" s="559">
        <f t="shared" si="188"/>
        <v>2.16140051238258</v>
      </c>
      <c r="L795" s="559">
        <f t="shared" si="189"/>
        <v>88.4470226446743</v>
      </c>
      <c r="M795" s="559">
        <f t="shared" si="190"/>
        <v>29.4217700513631</v>
      </c>
      <c r="N795" s="39">
        <f t="shared" si="191"/>
        <v>0.00725875320239112</v>
      </c>
      <c r="O795" s="560">
        <f t="shared" si="192"/>
        <v>32.658064516129</v>
      </c>
      <c r="P795">
        <f t="shared" si="193"/>
        <v>155</v>
      </c>
      <c r="Q795" s="667">
        <f t="shared" si="194"/>
        <v>0.0661827497865073</v>
      </c>
    </row>
    <row r="796" spans="1:17">
      <c r="A796" s="653">
        <v>45955</v>
      </c>
      <c r="B796" s="557">
        <v>5132</v>
      </c>
      <c r="C796" s="37">
        <v>59346</v>
      </c>
      <c r="D796" s="37">
        <v>2561</v>
      </c>
      <c r="E796" s="37">
        <v>25</v>
      </c>
      <c r="F796" s="37">
        <v>192976</v>
      </c>
      <c r="G796" s="37">
        <v>102</v>
      </c>
      <c r="H796" s="37">
        <v>20</v>
      </c>
      <c r="I796" s="558">
        <v>10</v>
      </c>
      <c r="J796" s="39">
        <f t="shared" si="187"/>
        <v>0.0431537087588043</v>
      </c>
      <c r="K796" s="559">
        <f t="shared" si="188"/>
        <v>2.00390472471691</v>
      </c>
      <c r="L796" s="559">
        <f t="shared" si="189"/>
        <v>86.4759208708253</v>
      </c>
      <c r="M796" s="559">
        <f t="shared" si="190"/>
        <v>37.6024941543258</v>
      </c>
      <c r="N796" s="39">
        <f t="shared" si="191"/>
        <v>0.00976181179226865</v>
      </c>
      <c r="O796" s="560">
        <f t="shared" si="192"/>
        <v>42.0655737704918</v>
      </c>
      <c r="P796">
        <f t="shared" si="193"/>
        <v>122</v>
      </c>
      <c r="Q796" s="667">
        <f t="shared" si="194"/>
        <v>0.047637641546271</v>
      </c>
    </row>
    <row r="797" spans="1:17">
      <c r="A797" s="653">
        <v>45956</v>
      </c>
      <c r="B797" s="557">
        <v>5131</v>
      </c>
      <c r="C797" s="37">
        <v>66490</v>
      </c>
      <c r="D797" s="37">
        <v>2528</v>
      </c>
      <c r="E797" s="37">
        <v>29</v>
      </c>
      <c r="F797" s="37">
        <v>268946</v>
      </c>
      <c r="G797" s="37">
        <v>152</v>
      </c>
      <c r="H797" s="37">
        <v>12</v>
      </c>
      <c r="I797" s="558">
        <v>13</v>
      </c>
      <c r="J797" s="39">
        <f t="shared" si="187"/>
        <v>0.038020755000752</v>
      </c>
      <c r="K797" s="559">
        <f t="shared" si="188"/>
        <v>2.02966772151899</v>
      </c>
      <c r="L797" s="559">
        <f t="shared" si="189"/>
        <v>77.1694991728079</v>
      </c>
      <c r="M797" s="559">
        <f t="shared" si="190"/>
        <v>52.4159033326837</v>
      </c>
      <c r="N797" s="39">
        <f t="shared" si="191"/>
        <v>0.0114715189873418</v>
      </c>
      <c r="O797" s="560">
        <f t="shared" si="192"/>
        <v>31.2865853658537</v>
      </c>
      <c r="P797">
        <f t="shared" si="193"/>
        <v>164</v>
      </c>
      <c r="Q797" s="667">
        <f t="shared" si="194"/>
        <v>0.064873417721519</v>
      </c>
    </row>
    <row r="798" spans="1:17">
      <c r="A798" s="653">
        <v>45957</v>
      </c>
      <c r="B798" s="557">
        <v>5171</v>
      </c>
      <c r="C798" s="37">
        <v>68207</v>
      </c>
      <c r="D798" s="37">
        <v>2434</v>
      </c>
      <c r="E798" s="37">
        <v>23</v>
      </c>
      <c r="F798" s="37">
        <v>224839</v>
      </c>
      <c r="G798" s="37">
        <v>111</v>
      </c>
      <c r="H798" s="37">
        <v>12</v>
      </c>
      <c r="I798" s="558">
        <v>10</v>
      </c>
      <c r="J798" s="39">
        <f t="shared" si="187"/>
        <v>0.0356854868268653</v>
      </c>
      <c r="K798" s="559">
        <f t="shared" si="188"/>
        <v>2.12448644207067</v>
      </c>
      <c r="L798" s="559">
        <f t="shared" si="189"/>
        <v>75.8133329423666</v>
      </c>
      <c r="M798" s="559">
        <f t="shared" si="190"/>
        <v>43.4807580738735</v>
      </c>
      <c r="N798" s="39">
        <f t="shared" si="191"/>
        <v>0.00944946589975349</v>
      </c>
      <c r="O798" s="560">
        <f t="shared" si="192"/>
        <v>42.0406504065041</v>
      </c>
      <c r="P798">
        <f t="shared" si="193"/>
        <v>123</v>
      </c>
      <c r="Q798" s="667">
        <f t="shared" si="194"/>
        <v>0.0505341002465078</v>
      </c>
    </row>
    <row r="799" spans="1:17">
      <c r="A799" s="653">
        <v>45958</v>
      </c>
      <c r="B799" s="557">
        <v>5043</v>
      </c>
      <c r="C799" s="37">
        <v>68522</v>
      </c>
      <c r="D799" s="37">
        <v>2615</v>
      </c>
      <c r="E799" s="37">
        <v>16</v>
      </c>
      <c r="F799" s="37">
        <v>90887</v>
      </c>
      <c r="G799" s="37">
        <v>101</v>
      </c>
      <c r="H799" s="37">
        <v>13</v>
      </c>
      <c r="I799" s="558">
        <v>3</v>
      </c>
      <c r="J799" s="39">
        <f t="shared" si="187"/>
        <v>0.0381629257756633</v>
      </c>
      <c r="K799" s="559">
        <f t="shared" si="188"/>
        <v>1.92848948374761</v>
      </c>
      <c r="L799" s="559">
        <f t="shared" si="189"/>
        <v>73.5968010274073</v>
      </c>
      <c r="M799" s="559">
        <f t="shared" si="190"/>
        <v>18.0224072972437</v>
      </c>
      <c r="N799" s="39">
        <f t="shared" si="191"/>
        <v>0.00611854684512428</v>
      </c>
      <c r="O799" s="560">
        <f t="shared" si="192"/>
        <v>44.2368421052632</v>
      </c>
      <c r="P799">
        <f t="shared" si="193"/>
        <v>114</v>
      </c>
      <c r="Q799" s="667">
        <f t="shared" si="194"/>
        <v>0.0435946462715105</v>
      </c>
    </row>
    <row r="800" spans="1:17">
      <c r="A800" s="653">
        <v>45959</v>
      </c>
      <c r="B800" s="557">
        <v>5057</v>
      </c>
      <c r="C800" s="37">
        <v>53953</v>
      </c>
      <c r="D800" s="37">
        <v>2656</v>
      </c>
      <c r="E800" s="37">
        <v>13</v>
      </c>
      <c r="F800" s="37">
        <v>100320</v>
      </c>
      <c r="G800" s="37">
        <v>80</v>
      </c>
      <c r="H800" s="37">
        <v>14</v>
      </c>
      <c r="I800" s="558">
        <v>10</v>
      </c>
      <c r="J800" s="39">
        <f t="shared" si="187"/>
        <v>0.0492280318054603</v>
      </c>
      <c r="K800" s="559">
        <f t="shared" si="188"/>
        <v>1.90399096385542</v>
      </c>
      <c r="L800" s="559">
        <f t="shared" si="189"/>
        <v>93.7297277259837</v>
      </c>
      <c r="M800" s="559">
        <f t="shared" si="190"/>
        <v>19.8378485267945</v>
      </c>
      <c r="N800" s="39">
        <f t="shared" si="191"/>
        <v>0.00489457831325301</v>
      </c>
      <c r="O800" s="560">
        <f t="shared" si="192"/>
        <v>53.7978723404255</v>
      </c>
      <c r="P800">
        <f t="shared" si="193"/>
        <v>94</v>
      </c>
      <c r="Q800" s="667">
        <f t="shared" si="194"/>
        <v>0.0353915662650602</v>
      </c>
    </row>
    <row r="801" spans="1:17">
      <c r="A801" s="653">
        <v>45960</v>
      </c>
      <c r="B801" s="557">
        <v>5625</v>
      </c>
      <c r="C801" s="37">
        <v>51721</v>
      </c>
      <c r="D801" s="37">
        <v>2443</v>
      </c>
      <c r="E801" s="37">
        <v>12</v>
      </c>
      <c r="F801" s="37">
        <v>122319</v>
      </c>
      <c r="G801" s="37">
        <v>86</v>
      </c>
      <c r="H801" s="37">
        <v>14</v>
      </c>
      <c r="I801" s="558">
        <v>17</v>
      </c>
      <c r="J801" s="39">
        <f t="shared" si="187"/>
        <v>0.0472341988747317</v>
      </c>
      <c r="K801" s="559">
        <f t="shared" si="188"/>
        <v>2.30249693000409</v>
      </c>
      <c r="L801" s="559">
        <f t="shared" si="189"/>
        <v>108.756597900273</v>
      </c>
      <c r="M801" s="559">
        <f t="shared" si="190"/>
        <v>21.7456</v>
      </c>
      <c r="N801" s="39">
        <f t="shared" si="191"/>
        <v>0.0049119934506754</v>
      </c>
      <c r="O801" s="560">
        <f t="shared" si="192"/>
        <v>56.25</v>
      </c>
      <c r="P801">
        <f t="shared" si="193"/>
        <v>100</v>
      </c>
      <c r="Q801" s="667">
        <f t="shared" si="194"/>
        <v>0.0409332787556283</v>
      </c>
    </row>
    <row r="802" spans="1:17">
      <c r="A802" s="653">
        <v>45961</v>
      </c>
      <c r="B802" s="557">
        <v>5539</v>
      </c>
      <c r="C802" s="37">
        <v>46265</v>
      </c>
      <c r="D802" s="37">
        <v>2285</v>
      </c>
      <c r="E802" s="37">
        <v>12</v>
      </c>
      <c r="F802" s="37">
        <v>117862</v>
      </c>
      <c r="G802" s="37">
        <v>89</v>
      </c>
      <c r="H802" s="37">
        <v>20</v>
      </c>
      <c r="I802" s="558">
        <v>8</v>
      </c>
      <c r="J802" s="39">
        <f t="shared" si="187"/>
        <v>0.0493893872257646</v>
      </c>
      <c r="K802" s="559">
        <f t="shared" si="188"/>
        <v>2.42407002188184</v>
      </c>
      <c r="L802" s="559">
        <f t="shared" si="189"/>
        <v>119.72333297309</v>
      </c>
      <c r="M802" s="559">
        <f t="shared" si="190"/>
        <v>21.2785701390143</v>
      </c>
      <c r="N802" s="39">
        <f t="shared" si="191"/>
        <v>0.00525164113785558</v>
      </c>
      <c r="O802" s="560">
        <f t="shared" si="192"/>
        <v>50.8165137614679</v>
      </c>
      <c r="P802">
        <f t="shared" si="193"/>
        <v>109</v>
      </c>
      <c r="Q802" s="667">
        <f t="shared" si="194"/>
        <v>0.0477024070021882</v>
      </c>
    </row>
    <row r="803" spans="1:17">
      <c r="A803" s="653">
        <v>45962</v>
      </c>
      <c r="B803" s="557">
        <v>5620</v>
      </c>
      <c r="C803" s="37">
        <v>43640</v>
      </c>
      <c r="D803" s="37">
        <v>2224</v>
      </c>
      <c r="E803" s="37">
        <v>14</v>
      </c>
      <c r="F803" s="37">
        <v>109250</v>
      </c>
      <c r="G803" s="37">
        <v>112</v>
      </c>
      <c r="H803" s="37">
        <v>17</v>
      </c>
      <c r="I803" s="558">
        <v>15</v>
      </c>
      <c r="J803" s="39">
        <f t="shared" si="187"/>
        <v>0.0509624197983501</v>
      </c>
      <c r="K803" s="559">
        <f t="shared" si="188"/>
        <v>2.52697841726619</v>
      </c>
      <c r="L803" s="559">
        <f t="shared" si="189"/>
        <v>128.78093492209</v>
      </c>
      <c r="M803" s="559">
        <f t="shared" si="190"/>
        <v>19.4395017793594</v>
      </c>
      <c r="N803" s="39">
        <f t="shared" si="191"/>
        <v>0.00629496402877698</v>
      </c>
      <c r="O803" s="560">
        <f t="shared" si="192"/>
        <v>43.5658914728682</v>
      </c>
      <c r="P803">
        <f t="shared" si="193"/>
        <v>129</v>
      </c>
      <c r="Q803" s="667">
        <f t="shared" si="194"/>
        <v>0.0580035971223022</v>
      </c>
    </row>
    <row r="804" spans="1:17">
      <c r="A804" s="653">
        <v>45963</v>
      </c>
      <c r="B804" s="557">
        <v>5609</v>
      </c>
      <c r="C804" s="37">
        <v>49120</v>
      </c>
      <c r="D804" s="37">
        <v>2133</v>
      </c>
      <c r="E804" s="37">
        <v>18</v>
      </c>
      <c r="F804" s="37">
        <v>152258</v>
      </c>
      <c r="G804" s="37">
        <v>92</v>
      </c>
      <c r="H804" s="37">
        <v>10</v>
      </c>
      <c r="I804" s="558">
        <v>5</v>
      </c>
      <c r="J804" s="39">
        <f t="shared" si="187"/>
        <v>0.0434242671009772</v>
      </c>
      <c r="K804" s="559">
        <f t="shared" si="188"/>
        <v>2.62962962962963</v>
      </c>
      <c r="L804" s="559">
        <f t="shared" si="189"/>
        <v>114.189739413681</v>
      </c>
      <c r="M804" s="559">
        <f t="shared" si="190"/>
        <v>27.1453021929043</v>
      </c>
      <c r="N804" s="39">
        <f t="shared" si="191"/>
        <v>0.00843881856540084</v>
      </c>
      <c r="O804" s="560">
        <f t="shared" si="192"/>
        <v>54.9901960784314</v>
      </c>
      <c r="P804">
        <f t="shared" si="193"/>
        <v>102</v>
      </c>
      <c r="Q804" s="667">
        <f t="shared" si="194"/>
        <v>0.0478199718706048</v>
      </c>
    </row>
    <row r="805" spans="1:17">
      <c r="A805" s="653">
        <v>45964</v>
      </c>
      <c r="B805" s="557">
        <v>5160</v>
      </c>
      <c r="C805" s="37">
        <v>46109</v>
      </c>
      <c r="D805" s="37">
        <v>1985</v>
      </c>
      <c r="E805" s="37">
        <v>18</v>
      </c>
      <c r="F805" s="37">
        <v>138961</v>
      </c>
      <c r="G805" s="37">
        <v>76</v>
      </c>
      <c r="H805" s="37">
        <v>6</v>
      </c>
      <c r="I805" s="558">
        <v>9</v>
      </c>
      <c r="J805" s="39">
        <f t="shared" si="187"/>
        <v>0.0430501637424364</v>
      </c>
      <c r="K805" s="559">
        <f t="shared" si="188"/>
        <v>2.59949622166247</v>
      </c>
      <c r="L805" s="559">
        <f t="shared" si="189"/>
        <v>111.908737990414</v>
      </c>
      <c r="M805" s="559">
        <f t="shared" si="190"/>
        <v>26.9304263565891</v>
      </c>
      <c r="N805" s="39">
        <f t="shared" si="191"/>
        <v>0.00906801007556675</v>
      </c>
      <c r="O805" s="560">
        <f t="shared" si="192"/>
        <v>62.9268292682927</v>
      </c>
      <c r="P805">
        <f t="shared" si="193"/>
        <v>82</v>
      </c>
      <c r="Q805" s="667">
        <f t="shared" si="194"/>
        <v>0.0413098236775819</v>
      </c>
    </row>
    <row r="806" spans="1:17">
      <c r="A806" s="653">
        <v>45965</v>
      </c>
      <c r="B806" s="557">
        <v>6905</v>
      </c>
      <c r="C806" s="37">
        <v>67656</v>
      </c>
      <c r="D806" s="37">
        <v>2659</v>
      </c>
      <c r="E806" s="37">
        <v>14</v>
      </c>
      <c r="F806" s="37">
        <v>128726</v>
      </c>
      <c r="G806" s="37">
        <v>90</v>
      </c>
      <c r="H806" s="37">
        <v>10</v>
      </c>
      <c r="I806" s="558">
        <v>10</v>
      </c>
      <c r="J806" s="39">
        <f t="shared" si="187"/>
        <v>0.0393017618540854</v>
      </c>
      <c r="K806" s="559">
        <f t="shared" si="188"/>
        <v>2.59684091763821</v>
      </c>
      <c r="L806" s="559">
        <f t="shared" si="189"/>
        <v>102.060423317961</v>
      </c>
      <c r="M806" s="559">
        <f t="shared" si="190"/>
        <v>18.642433019551</v>
      </c>
      <c r="N806" s="39">
        <f t="shared" si="191"/>
        <v>0.00526513726965024</v>
      </c>
      <c r="O806" s="560">
        <f t="shared" si="192"/>
        <v>69.05</v>
      </c>
      <c r="P806">
        <f t="shared" si="193"/>
        <v>100</v>
      </c>
      <c r="Q806" s="667">
        <f t="shared" si="194"/>
        <v>0.0376081233546446</v>
      </c>
    </row>
    <row r="807" spans="1:17">
      <c r="A807" s="653">
        <v>45966</v>
      </c>
      <c r="B807" s="557">
        <v>6953</v>
      </c>
      <c r="C807" s="37">
        <v>61696</v>
      </c>
      <c r="D807" s="37">
        <v>2530</v>
      </c>
      <c r="E807" s="37">
        <v>17</v>
      </c>
      <c r="F807" s="37">
        <v>154662</v>
      </c>
      <c r="G807" s="37">
        <v>106</v>
      </c>
      <c r="H807" s="37">
        <v>18</v>
      </c>
      <c r="I807" s="558">
        <v>10</v>
      </c>
      <c r="J807" s="39">
        <f t="shared" si="187"/>
        <v>0.041007520746888</v>
      </c>
      <c r="K807" s="559">
        <f t="shared" si="188"/>
        <v>2.74822134387352</v>
      </c>
      <c r="L807" s="559">
        <f t="shared" si="189"/>
        <v>112.697743775934</v>
      </c>
      <c r="M807" s="559">
        <f t="shared" si="190"/>
        <v>22.2439234862649</v>
      </c>
      <c r="N807" s="39">
        <f t="shared" si="191"/>
        <v>0.00671936758893281</v>
      </c>
      <c r="O807" s="560">
        <f t="shared" si="192"/>
        <v>56.0725806451613</v>
      </c>
      <c r="P807">
        <f t="shared" si="193"/>
        <v>124</v>
      </c>
      <c r="Q807" s="667">
        <f t="shared" si="194"/>
        <v>0.0490118577075099</v>
      </c>
    </row>
    <row r="808" spans="1:17">
      <c r="A808" s="653">
        <v>45967</v>
      </c>
      <c r="B808" s="557">
        <v>6867</v>
      </c>
      <c r="C808" s="37">
        <v>73060</v>
      </c>
      <c r="D808" s="37">
        <v>2763</v>
      </c>
      <c r="E808" s="37">
        <v>16</v>
      </c>
      <c r="F808" s="37">
        <v>170135</v>
      </c>
      <c r="G808" s="37">
        <v>87</v>
      </c>
      <c r="H808" s="37">
        <v>10</v>
      </c>
      <c r="I808" s="558">
        <v>9</v>
      </c>
      <c r="J808" s="39">
        <f t="shared" si="187"/>
        <v>0.0378182315904736</v>
      </c>
      <c r="K808" s="559">
        <f t="shared" si="188"/>
        <v>2.48534201954397</v>
      </c>
      <c r="L808" s="559">
        <f t="shared" si="189"/>
        <v>93.9912400766493</v>
      </c>
      <c r="M808" s="559">
        <f t="shared" si="190"/>
        <v>24.7757390417941</v>
      </c>
      <c r="N808" s="39">
        <f t="shared" si="191"/>
        <v>0.00579080709373869</v>
      </c>
      <c r="O808" s="560">
        <f t="shared" si="192"/>
        <v>70.7938144329897</v>
      </c>
      <c r="P808">
        <f t="shared" si="193"/>
        <v>97</v>
      </c>
      <c r="Q808" s="667">
        <f t="shared" si="194"/>
        <v>0.0351067680057908</v>
      </c>
    </row>
    <row r="809" spans="1:17">
      <c r="A809" s="653">
        <v>45968</v>
      </c>
      <c r="B809" s="557">
        <v>6436</v>
      </c>
      <c r="C809" s="37">
        <v>83132</v>
      </c>
      <c r="D809" s="37">
        <v>3404</v>
      </c>
      <c r="E809" s="37">
        <v>20</v>
      </c>
      <c r="F809" s="37">
        <v>165901</v>
      </c>
      <c r="G809" s="37">
        <v>62</v>
      </c>
      <c r="H809" s="37">
        <v>10</v>
      </c>
      <c r="I809" s="558">
        <v>11</v>
      </c>
      <c r="J809" s="39">
        <f t="shared" si="187"/>
        <v>0.0409469277775105</v>
      </c>
      <c r="K809" s="559">
        <f t="shared" si="188"/>
        <v>1.89071680376028</v>
      </c>
      <c r="L809" s="559">
        <f t="shared" si="189"/>
        <v>77.4190444112977</v>
      </c>
      <c r="M809" s="559">
        <f t="shared" si="190"/>
        <v>25.7770354257303</v>
      </c>
      <c r="N809" s="39">
        <f t="shared" si="191"/>
        <v>0.00587544065804935</v>
      </c>
      <c r="O809" s="560">
        <f t="shared" si="192"/>
        <v>89.3888888888889</v>
      </c>
      <c r="P809">
        <f t="shared" si="193"/>
        <v>72</v>
      </c>
      <c r="Q809" s="667">
        <f t="shared" si="194"/>
        <v>0.0211515863689777</v>
      </c>
    </row>
    <row r="810" spans="1:17">
      <c r="A810" s="653">
        <v>45969</v>
      </c>
      <c r="B810" s="557">
        <v>6497</v>
      </c>
      <c r="C810" s="37">
        <v>93976</v>
      </c>
      <c r="D810" s="37">
        <v>3188</v>
      </c>
      <c r="E810" s="37">
        <v>24</v>
      </c>
      <c r="F810" s="37">
        <v>213311</v>
      </c>
      <c r="G810" s="37">
        <v>80</v>
      </c>
      <c r="H810" s="37">
        <v>13</v>
      </c>
      <c r="I810" s="558">
        <v>7</v>
      </c>
      <c r="J810" s="39">
        <f t="shared" si="187"/>
        <v>0.0339235549502001</v>
      </c>
      <c r="K810" s="559">
        <f t="shared" si="188"/>
        <v>2.03795483061481</v>
      </c>
      <c r="L810" s="559">
        <f t="shared" si="189"/>
        <v>69.134672682387</v>
      </c>
      <c r="M810" s="559">
        <f t="shared" si="190"/>
        <v>32.8322302601201</v>
      </c>
      <c r="N810" s="39">
        <f t="shared" si="191"/>
        <v>0.00752823086574655</v>
      </c>
      <c r="O810" s="560">
        <f t="shared" si="192"/>
        <v>69.8602150537634</v>
      </c>
      <c r="P810">
        <f t="shared" si="193"/>
        <v>93</v>
      </c>
      <c r="Q810" s="667">
        <f t="shared" si="194"/>
        <v>0.0291718946047679</v>
      </c>
    </row>
    <row r="811" spans="1:17">
      <c r="A811" s="653">
        <v>45970</v>
      </c>
      <c r="B811" s="557">
        <v>6572</v>
      </c>
      <c r="C811" s="37">
        <v>69527</v>
      </c>
      <c r="D811" s="37">
        <v>4437</v>
      </c>
      <c r="E811" s="37">
        <v>41</v>
      </c>
      <c r="F811" s="37">
        <v>361167</v>
      </c>
      <c r="G811" s="37">
        <v>205</v>
      </c>
      <c r="H811" s="37">
        <v>22</v>
      </c>
      <c r="I811" s="558">
        <v>10</v>
      </c>
      <c r="J811" s="39">
        <f t="shared" si="187"/>
        <v>0.0638169344283516</v>
      </c>
      <c r="K811" s="559">
        <f t="shared" si="188"/>
        <v>1.48118097813838</v>
      </c>
      <c r="L811" s="559">
        <f t="shared" si="189"/>
        <v>94.5244293583788</v>
      </c>
      <c r="M811" s="559">
        <f t="shared" si="190"/>
        <v>54.9554169202678</v>
      </c>
      <c r="N811" s="39">
        <f t="shared" si="191"/>
        <v>0.00924047780031553</v>
      </c>
      <c r="O811" s="560">
        <f t="shared" si="192"/>
        <v>28.9515418502203</v>
      </c>
      <c r="P811">
        <f t="shared" si="193"/>
        <v>227</v>
      </c>
      <c r="Q811" s="667">
        <f t="shared" si="194"/>
        <v>0.0511606941627226</v>
      </c>
    </row>
    <row r="812" spans="1:17">
      <c r="A812" s="653">
        <v>45971</v>
      </c>
      <c r="B812" s="557">
        <v>10095</v>
      </c>
      <c r="C812" s="37">
        <v>121671</v>
      </c>
      <c r="D812" s="37">
        <v>4227</v>
      </c>
      <c r="E812" s="37">
        <v>62</v>
      </c>
      <c r="F812" s="37">
        <v>571646</v>
      </c>
      <c r="G812" s="37">
        <v>159</v>
      </c>
      <c r="H812" s="37">
        <v>19</v>
      </c>
      <c r="I812" s="558">
        <v>18</v>
      </c>
      <c r="J812" s="39">
        <f t="shared" si="187"/>
        <v>0.0347412283946051</v>
      </c>
      <c r="K812" s="559">
        <f t="shared" si="188"/>
        <v>2.38821859474805</v>
      </c>
      <c r="L812" s="559">
        <f t="shared" si="189"/>
        <v>82.9696476563848</v>
      </c>
      <c r="M812" s="559">
        <f t="shared" si="190"/>
        <v>56.6266468548787</v>
      </c>
      <c r="N812" s="39">
        <f t="shared" si="191"/>
        <v>0.0146676129642773</v>
      </c>
      <c r="O812" s="560">
        <f t="shared" si="192"/>
        <v>56.7134831460674</v>
      </c>
      <c r="P812">
        <f t="shared" si="193"/>
        <v>178</v>
      </c>
      <c r="Q812" s="667">
        <f t="shared" si="194"/>
        <v>0.0421102436716347</v>
      </c>
    </row>
    <row r="813" spans="1:17">
      <c r="A813" s="653">
        <v>45972</v>
      </c>
      <c r="B813" s="557">
        <v>9079</v>
      </c>
      <c r="C813" s="37">
        <v>111973</v>
      </c>
      <c r="D813" s="37">
        <v>3870</v>
      </c>
      <c r="E813" s="37">
        <v>44</v>
      </c>
      <c r="F813" s="37">
        <v>379481</v>
      </c>
      <c r="G813" s="37">
        <v>151</v>
      </c>
      <c r="H813" s="37">
        <v>19</v>
      </c>
      <c r="I813" s="558">
        <v>13</v>
      </c>
      <c r="J813" s="39">
        <f t="shared" si="187"/>
        <v>0.034561903315978</v>
      </c>
      <c r="K813" s="559">
        <f t="shared" si="188"/>
        <v>2.34599483204134</v>
      </c>
      <c r="L813" s="559">
        <f t="shared" si="189"/>
        <v>81.0820465647969</v>
      </c>
      <c r="M813" s="559">
        <f t="shared" si="190"/>
        <v>41.7976649410728</v>
      </c>
      <c r="N813" s="39">
        <f t="shared" si="191"/>
        <v>0.0113695090439276</v>
      </c>
      <c r="O813" s="560">
        <f t="shared" si="192"/>
        <v>53.4058823529412</v>
      </c>
      <c r="P813">
        <f t="shared" si="193"/>
        <v>170</v>
      </c>
      <c r="Q813" s="667">
        <f t="shared" si="194"/>
        <v>0.0439276485788114</v>
      </c>
    </row>
    <row r="814" spans="1:17">
      <c r="A814" s="653">
        <v>45973</v>
      </c>
      <c r="B814" s="557">
        <v>8851</v>
      </c>
      <c r="C814" s="37">
        <v>126220</v>
      </c>
      <c r="D814" s="37">
        <v>4778</v>
      </c>
      <c r="E814" s="37">
        <v>46</v>
      </c>
      <c r="F814" s="37">
        <v>360715</v>
      </c>
      <c r="G814" s="37">
        <v>124</v>
      </c>
      <c r="H814" s="37">
        <v>16</v>
      </c>
      <c r="I814" s="558">
        <v>7</v>
      </c>
      <c r="J814" s="39">
        <f t="shared" si="187"/>
        <v>0.0378545396926002</v>
      </c>
      <c r="K814" s="559">
        <f t="shared" si="188"/>
        <v>1.85244872331519</v>
      </c>
      <c r="L814" s="559">
        <f t="shared" si="189"/>
        <v>70.1235937252416</v>
      </c>
      <c r="M814" s="559">
        <f t="shared" si="190"/>
        <v>40.7541520732121</v>
      </c>
      <c r="N814" s="39">
        <f t="shared" si="191"/>
        <v>0.00962745918794475</v>
      </c>
      <c r="O814" s="560">
        <f t="shared" si="192"/>
        <v>63.2214285714286</v>
      </c>
      <c r="P814">
        <f t="shared" si="193"/>
        <v>140</v>
      </c>
      <c r="Q814" s="667">
        <f t="shared" si="194"/>
        <v>0.0293009627459188</v>
      </c>
    </row>
    <row r="815" spans="1:17">
      <c r="A815" s="653">
        <v>45974</v>
      </c>
      <c r="B815" s="557">
        <v>8864</v>
      </c>
      <c r="C815" s="37">
        <v>158041</v>
      </c>
      <c r="D815" s="37">
        <v>5922</v>
      </c>
      <c r="E815" s="37">
        <v>31</v>
      </c>
      <c r="F815" s="37">
        <v>249335</v>
      </c>
      <c r="G815" s="37">
        <v>139</v>
      </c>
      <c r="H815" s="37">
        <v>17</v>
      </c>
      <c r="I815" s="558">
        <v>12</v>
      </c>
      <c r="J815" s="39">
        <f t="shared" si="187"/>
        <v>0.0374712890958675</v>
      </c>
      <c r="K815" s="559">
        <f t="shared" si="188"/>
        <v>1.4967916244512</v>
      </c>
      <c r="L815" s="559">
        <f t="shared" si="189"/>
        <v>56.0867116760841</v>
      </c>
      <c r="M815" s="559">
        <f t="shared" si="190"/>
        <v>28.1289485559567</v>
      </c>
      <c r="N815" s="39">
        <f t="shared" si="191"/>
        <v>0.00523471800067545</v>
      </c>
      <c r="O815" s="560">
        <f t="shared" si="192"/>
        <v>56.8205128205128</v>
      </c>
      <c r="P815">
        <f t="shared" si="193"/>
        <v>156</v>
      </c>
      <c r="Q815" s="667">
        <f t="shared" si="194"/>
        <v>0.0263424518743668</v>
      </c>
    </row>
    <row r="816" spans="1:17">
      <c r="A816" s="653">
        <v>45975</v>
      </c>
      <c r="B816" s="557">
        <v>8864</v>
      </c>
      <c r="C816" s="37">
        <v>154806</v>
      </c>
      <c r="D816" s="37">
        <v>5876</v>
      </c>
      <c r="E816" s="37">
        <v>26</v>
      </c>
      <c r="F816" s="37">
        <v>222289</v>
      </c>
      <c r="G816" s="37">
        <v>128</v>
      </c>
      <c r="H816" s="37">
        <v>18</v>
      </c>
      <c r="I816" s="558">
        <v>13</v>
      </c>
      <c r="J816" s="39">
        <f t="shared" si="187"/>
        <v>0.0379571851220237</v>
      </c>
      <c r="K816" s="559">
        <f t="shared" si="188"/>
        <v>1.50850918992512</v>
      </c>
      <c r="L816" s="559">
        <f t="shared" si="189"/>
        <v>57.2587625802617</v>
      </c>
      <c r="M816" s="559">
        <f t="shared" si="190"/>
        <v>25.0777301444043</v>
      </c>
      <c r="N816" s="39">
        <f t="shared" si="191"/>
        <v>0.00442477876106195</v>
      </c>
      <c r="O816" s="560">
        <f t="shared" si="192"/>
        <v>60.7123287671233</v>
      </c>
      <c r="P816">
        <f t="shared" si="193"/>
        <v>146</v>
      </c>
      <c r="Q816" s="667">
        <f t="shared" si="194"/>
        <v>0.0248468345813479</v>
      </c>
    </row>
    <row r="817" spans="1:17">
      <c r="A817" s="653">
        <v>45976</v>
      </c>
      <c r="B817" s="557">
        <v>2347</v>
      </c>
      <c r="C817" s="37">
        <v>15292</v>
      </c>
      <c r="D817" s="37">
        <v>1203</v>
      </c>
      <c r="E817" s="37">
        <v>0</v>
      </c>
      <c r="F817" s="37">
        <v>0</v>
      </c>
      <c r="G817" s="37">
        <v>36</v>
      </c>
      <c r="H817" s="37">
        <v>6</v>
      </c>
      <c r="I817" s="558">
        <v>7</v>
      </c>
      <c r="J817" s="39">
        <f t="shared" si="187"/>
        <v>0.0786685848809835</v>
      </c>
      <c r="K817" s="559">
        <f t="shared" si="188"/>
        <v>1.95095594347465</v>
      </c>
      <c r="L817" s="559">
        <f t="shared" si="189"/>
        <v>153.478943238295</v>
      </c>
      <c r="M817" s="559">
        <f t="shared" si="190"/>
        <v>0</v>
      </c>
      <c r="N817" s="39">
        <f t="shared" si="191"/>
        <v>0</v>
      </c>
      <c r="O817" s="560">
        <f t="shared" si="192"/>
        <v>55.8809523809524</v>
      </c>
      <c r="P817">
        <f t="shared" si="193"/>
        <v>42</v>
      </c>
      <c r="Q817" s="667">
        <f t="shared" si="194"/>
        <v>0.0349127182044888</v>
      </c>
    </row>
    <row r="818" spans="1:17">
      <c r="A818" s="653">
        <v>45977</v>
      </c>
      <c r="B818" s="557">
        <v>2266</v>
      </c>
      <c r="C818" s="37">
        <v>19396</v>
      </c>
      <c r="D818" s="37">
        <v>1089</v>
      </c>
      <c r="E818" s="37">
        <v>0</v>
      </c>
      <c r="F818" s="37">
        <v>0</v>
      </c>
      <c r="G818" s="37">
        <v>20</v>
      </c>
      <c r="H818" s="37">
        <v>3</v>
      </c>
      <c r="I818" s="558">
        <v>2</v>
      </c>
      <c r="J818" s="39">
        <f t="shared" si="187"/>
        <v>0.0561455970303155</v>
      </c>
      <c r="K818" s="559">
        <f t="shared" si="188"/>
        <v>2.08080808080808</v>
      </c>
      <c r="L818" s="559">
        <f t="shared" si="189"/>
        <v>116.828212002475</v>
      </c>
      <c r="M818" s="559">
        <f t="shared" si="190"/>
        <v>0</v>
      </c>
      <c r="N818" s="39">
        <f t="shared" si="191"/>
        <v>0</v>
      </c>
      <c r="O818" s="560">
        <f t="shared" si="192"/>
        <v>98.5217391304348</v>
      </c>
      <c r="P818">
        <f t="shared" si="193"/>
        <v>23</v>
      </c>
      <c r="Q818" s="667">
        <f t="shared" si="194"/>
        <v>0.0211202938475666</v>
      </c>
    </row>
    <row r="819" spans="1:17">
      <c r="A819" s="653">
        <v>45978</v>
      </c>
      <c r="B819" s="557">
        <v>855</v>
      </c>
      <c r="C819" s="37">
        <v>8077</v>
      </c>
      <c r="D819" s="37">
        <v>349</v>
      </c>
      <c r="E819" s="37">
        <v>0</v>
      </c>
      <c r="F819" s="37">
        <v>0</v>
      </c>
      <c r="G819" s="37">
        <v>18</v>
      </c>
      <c r="H819" s="37">
        <v>5</v>
      </c>
      <c r="I819" s="558">
        <v>0</v>
      </c>
      <c r="J819" s="39">
        <f t="shared" si="187"/>
        <v>0.0432091122941686</v>
      </c>
      <c r="K819" s="559">
        <f t="shared" si="188"/>
        <v>2.44985673352436</v>
      </c>
      <c r="L819" s="559">
        <f t="shared" si="189"/>
        <v>105.856134703479</v>
      </c>
      <c r="M819" s="559">
        <f t="shared" si="190"/>
        <v>0</v>
      </c>
      <c r="N819" s="39">
        <f t="shared" si="191"/>
        <v>0</v>
      </c>
      <c r="O819" s="560">
        <f t="shared" si="192"/>
        <v>37.1739130434783</v>
      </c>
      <c r="P819">
        <f t="shared" si="193"/>
        <v>23</v>
      </c>
      <c r="Q819" s="667">
        <f t="shared" si="194"/>
        <v>0.0659025787965616</v>
      </c>
    </row>
    <row r="820" spans="1:17">
      <c r="A820" s="653">
        <v>45979</v>
      </c>
      <c r="B820" s="557">
        <v>496</v>
      </c>
      <c r="C820" s="37">
        <v>6107</v>
      </c>
      <c r="D820" s="37">
        <v>232</v>
      </c>
      <c r="E820" s="37">
        <v>0</v>
      </c>
      <c r="F820" s="37">
        <v>0</v>
      </c>
      <c r="G820" s="37">
        <v>8</v>
      </c>
      <c r="H820" s="37">
        <v>2</v>
      </c>
      <c r="I820" s="558">
        <v>1</v>
      </c>
      <c r="J820" s="39">
        <f t="shared" si="187"/>
        <v>0.0379891927296545</v>
      </c>
      <c r="K820" s="559">
        <f t="shared" ref="K820:K830" si="195">B820/D820</f>
        <v>2.13793103448276</v>
      </c>
      <c r="L820" s="559">
        <f t="shared" si="189"/>
        <v>81.2182741116751</v>
      </c>
      <c r="M820" s="559">
        <f t="shared" si="190"/>
        <v>0</v>
      </c>
      <c r="N820" s="39">
        <f t="shared" ref="N820:N830" si="196">E820/D820</f>
        <v>0</v>
      </c>
      <c r="O820" s="560">
        <f t="shared" ref="O820:O830" si="197">B820/(G820+H820)</f>
        <v>49.6</v>
      </c>
      <c r="P820">
        <f t="shared" ref="P820:P830" si="198">G820+H820</f>
        <v>10</v>
      </c>
      <c r="Q820" s="667">
        <f t="shared" ref="Q820:Q830" si="199">P820/D820</f>
        <v>0.0431034482758621</v>
      </c>
    </row>
    <row r="821" spans="1:17">
      <c r="A821" s="653">
        <v>45980</v>
      </c>
      <c r="B821" s="557">
        <v>397</v>
      </c>
      <c r="C821" s="37">
        <v>3535</v>
      </c>
      <c r="D821" s="37">
        <v>190</v>
      </c>
      <c r="E821" s="37">
        <v>1</v>
      </c>
      <c r="F821" s="37">
        <v>10816</v>
      </c>
      <c r="G821" s="37">
        <v>11</v>
      </c>
      <c r="H821" s="37">
        <v>2</v>
      </c>
      <c r="I821" s="558">
        <v>1</v>
      </c>
      <c r="J821" s="39">
        <f t="shared" si="187"/>
        <v>0.0537482319660538</v>
      </c>
      <c r="K821" s="559">
        <f t="shared" si="195"/>
        <v>2.08947368421053</v>
      </c>
      <c r="L821" s="559">
        <f t="shared" si="189"/>
        <v>112.305516265912</v>
      </c>
      <c r="M821" s="559">
        <f t="shared" si="190"/>
        <v>27.2443324937028</v>
      </c>
      <c r="N821" s="39">
        <f t="shared" si="196"/>
        <v>0.00526315789473684</v>
      </c>
      <c r="O821" s="560">
        <f t="shared" si="197"/>
        <v>30.5384615384615</v>
      </c>
      <c r="P821">
        <f t="shared" si="198"/>
        <v>13</v>
      </c>
      <c r="Q821" s="667">
        <f t="shared" si="199"/>
        <v>0.068421052631579</v>
      </c>
    </row>
    <row r="822" spans="1:17">
      <c r="A822" s="653">
        <v>45981</v>
      </c>
      <c r="B822" s="557">
        <v>383</v>
      </c>
      <c r="C822" s="37">
        <v>2074</v>
      </c>
      <c r="D822" s="37">
        <v>156</v>
      </c>
      <c r="E822" s="37">
        <v>0</v>
      </c>
      <c r="F822" s="37">
        <v>0</v>
      </c>
      <c r="G822" s="37">
        <v>5</v>
      </c>
      <c r="H822" s="37">
        <v>2</v>
      </c>
      <c r="I822" s="558">
        <v>0</v>
      </c>
      <c r="J822" s="39">
        <f t="shared" si="187"/>
        <v>0.0752169720347155</v>
      </c>
      <c r="K822" s="559">
        <f t="shared" si="195"/>
        <v>2.45512820512821</v>
      </c>
      <c r="L822" s="559">
        <f t="shared" si="189"/>
        <v>184.66730954677</v>
      </c>
      <c r="M822" s="559">
        <f t="shared" si="190"/>
        <v>0</v>
      </c>
      <c r="N822" s="39">
        <f t="shared" si="196"/>
        <v>0</v>
      </c>
      <c r="O822" s="560">
        <f t="shared" si="197"/>
        <v>54.7142857142857</v>
      </c>
      <c r="P822">
        <f t="shared" si="198"/>
        <v>7</v>
      </c>
      <c r="Q822" s="667">
        <f t="shared" si="199"/>
        <v>0.0448717948717949</v>
      </c>
    </row>
    <row r="823" spans="1:17">
      <c r="A823" s="653">
        <v>45982</v>
      </c>
      <c r="B823" s="557">
        <v>497</v>
      </c>
      <c r="C823" s="37">
        <v>1971</v>
      </c>
      <c r="D823" s="37">
        <v>173</v>
      </c>
      <c r="E823" s="37">
        <v>2</v>
      </c>
      <c r="F823" s="37">
        <v>31092</v>
      </c>
      <c r="G823" s="37">
        <v>8</v>
      </c>
      <c r="H823" s="37">
        <v>0</v>
      </c>
      <c r="I823" s="558">
        <v>1</v>
      </c>
      <c r="J823" s="39">
        <f t="shared" si="187"/>
        <v>0.0877727042110604</v>
      </c>
      <c r="K823" s="559">
        <f t="shared" si="195"/>
        <v>2.8728323699422</v>
      </c>
      <c r="L823" s="559">
        <f t="shared" si="189"/>
        <v>252.156265854896</v>
      </c>
      <c r="M823" s="559">
        <f t="shared" si="190"/>
        <v>62.5593561368209</v>
      </c>
      <c r="N823" s="39">
        <f t="shared" si="196"/>
        <v>0.0115606936416185</v>
      </c>
      <c r="O823" s="560">
        <f t="shared" si="197"/>
        <v>62.125</v>
      </c>
      <c r="P823">
        <f t="shared" si="198"/>
        <v>8</v>
      </c>
      <c r="Q823" s="667">
        <f t="shared" si="199"/>
        <v>0.046242774566474</v>
      </c>
    </row>
    <row r="824" spans="1:17">
      <c r="A824" s="653">
        <v>45983</v>
      </c>
      <c r="B824" s="557">
        <v>500</v>
      </c>
      <c r="C824" s="37">
        <v>4416</v>
      </c>
      <c r="D824" s="37">
        <v>223</v>
      </c>
      <c r="E824" s="37">
        <v>0</v>
      </c>
      <c r="F824" s="37">
        <v>0</v>
      </c>
      <c r="G824" s="37">
        <v>8</v>
      </c>
      <c r="H824" s="37">
        <v>1</v>
      </c>
      <c r="I824" s="558">
        <v>4</v>
      </c>
      <c r="J824" s="39">
        <f t="shared" ref="J824:J830" si="200">D824/C824</f>
        <v>0.0504981884057971</v>
      </c>
      <c r="K824" s="559">
        <f t="shared" si="195"/>
        <v>2.24215246636771</v>
      </c>
      <c r="L824" s="559">
        <f t="shared" ref="L824:L830" si="201">B824/C824*1000</f>
        <v>113.224637681159</v>
      </c>
      <c r="M824" s="559">
        <f t="shared" ref="M824:M830" si="202">F824/B824</f>
        <v>0</v>
      </c>
      <c r="N824" s="39">
        <f t="shared" si="196"/>
        <v>0</v>
      </c>
      <c r="O824" s="560">
        <f t="shared" si="197"/>
        <v>55.5555555555556</v>
      </c>
      <c r="P824">
        <f t="shared" si="198"/>
        <v>9</v>
      </c>
      <c r="Q824" s="667">
        <f t="shared" si="199"/>
        <v>0.0403587443946188</v>
      </c>
    </row>
    <row r="825" spans="1:17">
      <c r="A825" s="653">
        <v>45984</v>
      </c>
      <c r="B825" s="557">
        <v>500</v>
      </c>
      <c r="C825" s="37">
        <v>2881</v>
      </c>
      <c r="D825" s="37">
        <v>182</v>
      </c>
      <c r="E825" s="37">
        <v>0</v>
      </c>
      <c r="F825" s="37">
        <v>0</v>
      </c>
      <c r="G825" s="37">
        <v>7</v>
      </c>
      <c r="H825" s="37">
        <v>1</v>
      </c>
      <c r="I825" s="558">
        <v>1</v>
      </c>
      <c r="J825" s="39">
        <f t="shared" si="200"/>
        <v>0.0631725095452968</v>
      </c>
      <c r="K825" s="559">
        <f t="shared" si="195"/>
        <v>2.74725274725275</v>
      </c>
      <c r="L825" s="559">
        <f t="shared" si="201"/>
        <v>173.550850399167</v>
      </c>
      <c r="M825" s="559">
        <f t="shared" si="202"/>
        <v>0</v>
      </c>
      <c r="N825" s="39">
        <f t="shared" si="196"/>
        <v>0</v>
      </c>
      <c r="O825" s="560">
        <f t="shared" si="197"/>
        <v>62.5</v>
      </c>
      <c r="P825">
        <f t="shared" si="198"/>
        <v>8</v>
      </c>
      <c r="Q825" s="667">
        <f t="shared" si="199"/>
        <v>0.043956043956044</v>
      </c>
    </row>
    <row r="826" spans="1:17">
      <c r="A826" s="653">
        <v>45985</v>
      </c>
      <c r="B826" s="557">
        <v>1489</v>
      </c>
      <c r="C826" s="37">
        <v>14664</v>
      </c>
      <c r="D826" s="37">
        <v>906</v>
      </c>
      <c r="E826" s="37">
        <v>0</v>
      </c>
      <c r="F826" s="37">
        <v>0</v>
      </c>
      <c r="G826" s="37">
        <v>24</v>
      </c>
      <c r="H826" s="37">
        <v>5</v>
      </c>
      <c r="I826" s="558">
        <v>2</v>
      </c>
      <c r="J826" s="39">
        <f t="shared" si="200"/>
        <v>0.0617839607201309</v>
      </c>
      <c r="K826" s="559">
        <f t="shared" si="195"/>
        <v>1.64348785871965</v>
      </c>
      <c r="L826" s="559">
        <f t="shared" si="201"/>
        <v>101.541189307147</v>
      </c>
      <c r="M826" s="559">
        <f t="shared" si="202"/>
        <v>0</v>
      </c>
      <c r="N826" s="39">
        <f t="shared" si="196"/>
        <v>0</v>
      </c>
      <c r="O826" s="560">
        <f t="shared" si="197"/>
        <v>51.3448275862069</v>
      </c>
      <c r="P826">
        <f t="shared" si="198"/>
        <v>29</v>
      </c>
      <c r="Q826" s="667">
        <f t="shared" si="199"/>
        <v>0.0320088300220751</v>
      </c>
    </row>
    <row r="827" spans="1:17">
      <c r="A827" s="653">
        <v>45986</v>
      </c>
      <c r="B827" s="557">
        <v>500</v>
      </c>
      <c r="C827" s="37">
        <v>3839</v>
      </c>
      <c r="D827" s="37">
        <v>198</v>
      </c>
      <c r="E827" s="37">
        <v>0</v>
      </c>
      <c r="F827" s="37">
        <v>0</v>
      </c>
      <c r="G827" s="37">
        <v>9</v>
      </c>
      <c r="H827" s="37">
        <v>3</v>
      </c>
      <c r="I827" s="558">
        <v>0</v>
      </c>
      <c r="J827" s="39">
        <f t="shared" si="200"/>
        <v>0.0515759312320917</v>
      </c>
      <c r="K827" s="559">
        <f t="shared" si="195"/>
        <v>2.52525252525252</v>
      </c>
      <c r="L827" s="559">
        <f t="shared" si="201"/>
        <v>130.24225058609</v>
      </c>
      <c r="M827" s="559">
        <f t="shared" si="202"/>
        <v>0</v>
      </c>
      <c r="N827" s="39">
        <f t="shared" si="196"/>
        <v>0</v>
      </c>
      <c r="O827" s="560">
        <f t="shared" si="197"/>
        <v>41.6666666666667</v>
      </c>
      <c r="P827">
        <f t="shared" si="198"/>
        <v>12</v>
      </c>
      <c r="Q827" s="667">
        <f t="shared" si="199"/>
        <v>0.0606060606060606</v>
      </c>
    </row>
    <row r="828" spans="1:17">
      <c r="A828" s="653">
        <v>45987</v>
      </c>
      <c r="B828" s="557">
        <v>777</v>
      </c>
      <c r="C828" s="37">
        <v>3948</v>
      </c>
      <c r="D828" s="37">
        <v>281</v>
      </c>
      <c r="E828" s="37">
        <v>1</v>
      </c>
      <c r="F828" s="37">
        <v>14663</v>
      </c>
      <c r="G828" s="37">
        <v>17</v>
      </c>
      <c r="H828" s="37">
        <v>2</v>
      </c>
      <c r="I828" s="558">
        <v>3</v>
      </c>
      <c r="J828" s="39">
        <f t="shared" si="200"/>
        <v>0.0711752786220871</v>
      </c>
      <c r="K828" s="559">
        <f t="shared" si="195"/>
        <v>2.76512455516014</v>
      </c>
      <c r="L828" s="559">
        <f t="shared" si="201"/>
        <v>196.808510638298</v>
      </c>
      <c r="M828" s="559">
        <f t="shared" si="202"/>
        <v>18.8712998712999</v>
      </c>
      <c r="N828" s="39">
        <f t="shared" si="196"/>
        <v>0.00355871886120996</v>
      </c>
      <c r="O828" s="560">
        <f t="shared" si="197"/>
        <v>40.8947368421053</v>
      </c>
      <c r="P828">
        <f t="shared" si="198"/>
        <v>19</v>
      </c>
      <c r="Q828" s="667">
        <f t="shared" si="199"/>
        <v>0.0676156583629893</v>
      </c>
    </row>
    <row r="829" spans="1:17">
      <c r="A829" s="653">
        <v>45988</v>
      </c>
      <c r="B829" s="557">
        <v>1261</v>
      </c>
      <c r="C829" s="37">
        <v>5736</v>
      </c>
      <c r="D829" s="37">
        <v>409</v>
      </c>
      <c r="E829" s="37">
        <v>0</v>
      </c>
      <c r="F829" s="37">
        <v>0</v>
      </c>
      <c r="G829" s="37">
        <v>14</v>
      </c>
      <c r="H829" s="37">
        <v>4</v>
      </c>
      <c r="I829" s="558">
        <v>1</v>
      </c>
      <c r="J829" s="39">
        <f t="shared" si="200"/>
        <v>0.0713040446304045</v>
      </c>
      <c r="K829" s="559">
        <f t="shared" si="195"/>
        <v>3.08312958435208</v>
      </c>
      <c r="L829" s="559">
        <f t="shared" si="201"/>
        <v>219.839609483961</v>
      </c>
      <c r="M829" s="559">
        <f t="shared" si="202"/>
        <v>0</v>
      </c>
      <c r="N829" s="39">
        <f t="shared" si="196"/>
        <v>0</v>
      </c>
      <c r="O829" s="560">
        <f t="shared" si="197"/>
        <v>70.0555555555556</v>
      </c>
      <c r="P829">
        <f t="shared" si="198"/>
        <v>18</v>
      </c>
      <c r="Q829" s="667">
        <f t="shared" si="199"/>
        <v>0.0440097799511002</v>
      </c>
    </row>
    <row r="830" spans="1:17">
      <c r="A830" s="653">
        <v>45989</v>
      </c>
      <c r="B830" s="557">
        <v>1315</v>
      </c>
      <c r="C830" s="37">
        <v>6042</v>
      </c>
      <c r="D830" s="37">
        <v>473</v>
      </c>
      <c r="E830" s="37">
        <v>0</v>
      </c>
      <c r="F830" s="37">
        <v>0</v>
      </c>
      <c r="G830" s="37">
        <v>6</v>
      </c>
      <c r="H830" s="37">
        <v>0</v>
      </c>
      <c r="I830" s="558">
        <v>1</v>
      </c>
      <c r="J830" s="39">
        <f t="shared" si="200"/>
        <v>0.0782853359814631</v>
      </c>
      <c r="K830" s="559">
        <f t="shared" si="195"/>
        <v>2.78012684989429</v>
      </c>
      <c r="L830" s="559">
        <f t="shared" si="201"/>
        <v>217.643164515061</v>
      </c>
      <c r="M830" s="559">
        <f t="shared" si="202"/>
        <v>0</v>
      </c>
      <c r="N830" s="39">
        <f t="shared" si="196"/>
        <v>0</v>
      </c>
      <c r="O830" s="560">
        <f t="shared" si="197"/>
        <v>219.166666666667</v>
      </c>
      <c r="P830">
        <f t="shared" si="198"/>
        <v>6</v>
      </c>
      <c r="Q830" s="667">
        <f t="shared" si="199"/>
        <v>0.0126849894291755</v>
      </c>
    </row>
    <row r="831" spans="1:17">
      <c r="A831" s="653">
        <v>45990</v>
      </c>
      <c r="B831" s="557">
        <v>496</v>
      </c>
      <c r="C831" s="37">
        <v>3709</v>
      </c>
      <c r="D831" s="37">
        <v>221</v>
      </c>
      <c r="E831" s="37">
        <v>0</v>
      </c>
      <c r="F831" s="37">
        <v>0</v>
      </c>
      <c r="G831" s="37">
        <v>7</v>
      </c>
      <c r="H831" s="37">
        <v>1</v>
      </c>
      <c r="I831" s="558">
        <v>3</v>
      </c>
      <c r="J831" s="39">
        <f t="shared" ref="J831:J894" si="203">D831/C831</f>
        <v>0.0595847937449447</v>
      </c>
      <c r="K831" s="559">
        <f t="shared" ref="K831:K894" si="204">B831/D831</f>
        <v>2.24434389140271</v>
      </c>
      <c r="L831" s="559">
        <f t="shared" ref="L831:L894" si="205">B831/C831*1000</f>
        <v>133.728767861957</v>
      </c>
      <c r="M831" s="559">
        <f t="shared" ref="M831:M894" si="206">F831/B831</f>
        <v>0</v>
      </c>
      <c r="N831" s="39">
        <f t="shared" ref="N831:N894" si="207">E831/D831</f>
        <v>0</v>
      </c>
      <c r="O831" s="560">
        <f t="shared" ref="O831:O894" si="208">B831/(G831+H831)</f>
        <v>62</v>
      </c>
      <c r="P831">
        <f t="shared" ref="P831:P894" si="209">G831+H831</f>
        <v>8</v>
      </c>
      <c r="Q831" s="667">
        <f t="shared" ref="Q831:Q894" si="210">P831/D831</f>
        <v>0.0361990950226244</v>
      </c>
    </row>
    <row r="832" spans="1:17">
      <c r="A832" s="653">
        <v>45991</v>
      </c>
      <c r="B832" s="557">
        <v>500</v>
      </c>
      <c r="C832" s="37">
        <v>3150</v>
      </c>
      <c r="D832" s="37">
        <v>229</v>
      </c>
      <c r="E832" s="37">
        <v>0</v>
      </c>
      <c r="F832" s="37">
        <v>0</v>
      </c>
      <c r="G832" s="37">
        <v>14</v>
      </c>
      <c r="H832" s="37">
        <v>3</v>
      </c>
      <c r="I832" s="558">
        <v>1</v>
      </c>
      <c r="J832" s="39">
        <f t="shared" si="203"/>
        <v>0.0726984126984127</v>
      </c>
      <c r="K832" s="559">
        <f t="shared" si="204"/>
        <v>2.18340611353712</v>
      </c>
      <c r="L832" s="559">
        <f t="shared" si="205"/>
        <v>158.730158730159</v>
      </c>
      <c r="M832" s="559">
        <f t="shared" si="206"/>
        <v>0</v>
      </c>
      <c r="N832" s="39">
        <f t="shared" si="207"/>
        <v>0</v>
      </c>
      <c r="O832" s="560">
        <f t="shared" si="208"/>
        <v>29.4117647058824</v>
      </c>
      <c r="P832">
        <f t="shared" si="209"/>
        <v>17</v>
      </c>
      <c r="Q832" s="667">
        <f t="shared" si="210"/>
        <v>0.074235807860262</v>
      </c>
    </row>
    <row r="833" spans="1:17">
      <c r="A833" s="653">
        <v>45992</v>
      </c>
      <c r="B833" s="557">
        <v>1500</v>
      </c>
      <c r="C833" s="37">
        <v>9990</v>
      </c>
      <c r="D833" s="37">
        <v>584</v>
      </c>
      <c r="E833" s="37">
        <v>0</v>
      </c>
      <c r="F833" s="37">
        <v>0</v>
      </c>
      <c r="G833" s="37">
        <v>17</v>
      </c>
      <c r="H833" s="37">
        <v>4</v>
      </c>
      <c r="I833" s="558">
        <v>0</v>
      </c>
      <c r="J833" s="39">
        <f t="shared" si="203"/>
        <v>0.0584584584584585</v>
      </c>
      <c r="K833" s="559">
        <f t="shared" si="204"/>
        <v>2.56849315068493</v>
      </c>
      <c r="L833" s="559">
        <f t="shared" si="205"/>
        <v>150.15015015015</v>
      </c>
      <c r="M833" s="559">
        <f t="shared" si="206"/>
        <v>0</v>
      </c>
      <c r="N833" s="39">
        <f t="shared" si="207"/>
        <v>0</v>
      </c>
      <c r="O833" s="560">
        <f t="shared" si="208"/>
        <v>71.4285714285714</v>
      </c>
      <c r="P833">
        <f t="shared" si="209"/>
        <v>21</v>
      </c>
      <c r="Q833" s="667">
        <f t="shared" si="210"/>
        <v>0.035958904109589</v>
      </c>
    </row>
    <row r="834" spans="1:17">
      <c r="A834" s="653">
        <v>45993</v>
      </c>
      <c r="B834" s="557">
        <v>989</v>
      </c>
      <c r="C834" s="37">
        <v>5988</v>
      </c>
      <c r="D834" s="37">
        <v>361</v>
      </c>
      <c r="E834" s="37">
        <v>0</v>
      </c>
      <c r="F834" s="37">
        <v>0</v>
      </c>
      <c r="G834" s="37">
        <v>20</v>
      </c>
      <c r="H834" s="37">
        <v>4</v>
      </c>
      <c r="I834" s="558">
        <v>3</v>
      </c>
      <c r="J834" s="39">
        <f t="shared" si="203"/>
        <v>0.0602872411489646</v>
      </c>
      <c r="K834" s="559">
        <f t="shared" si="204"/>
        <v>2.73961218836565</v>
      </c>
      <c r="L834" s="559">
        <f t="shared" si="205"/>
        <v>165.163660654643</v>
      </c>
      <c r="M834" s="559">
        <f t="shared" si="206"/>
        <v>0</v>
      </c>
      <c r="N834" s="39">
        <f t="shared" si="207"/>
        <v>0</v>
      </c>
      <c r="O834" s="560">
        <f t="shared" si="208"/>
        <v>41.2083333333333</v>
      </c>
      <c r="P834">
        <f t="shared" si="209"/>
        <v>24</v>
      </c>
      <c r="Q834" s="667">
        <f t="shared" si="210"/>
        <v>0.0664819944598338</v>
      </c>
    </row>
    <row r="835" spans="1:17">
      <c r="A835" s="653">
        <v>45994</v>
      </c>
      <c r="B835" s="557">
        <v>998</v>
      </c>
      <c r="C835" s="37">
        <v>8002</v>
      </c>
      <c r="D835" s="37">
        <v>397</v>
      </c>
      <c r="E835" s="37">
        <v>0</v>
      </c>
      <c r="F835" s="37">
        <v>0</v>
      </c>
      <c r="G835" s="37">
        <v>33</v>
      </c>
      <c r="H835" s="37">
        <v>4</v>
      </c>
      <c r="I835" s="558">
        <v>0</v>
      </c>
      <c r="J835" s="39">
        <f t="shared" si="203"/>
        <v>0.0496125968507873</v>
      </c>
      <c r="K835" s="559">
        <f t="shared" si="204"/>
        <v>2.51385390428212</v>
      </c>
      <c r="L835" s="559">
        <f t="shared" si="205"/>
        <v>124.718820294926</v>
      </c>
      <c r="M835" s="559">
        <f t="shared" si="206"/>
        <v>0</v>
      </c>
      <c r="N835" s="39">
        <f t="shared" si="207"/>
        <v>0</v>
      </c>
      <c r="O835" s="560">
        <f t="shared" si="208"/>
        <v>26.972972972973</v>
      </c>
      <c r="P835">
        <f t="shared" si="209"/>
        <v>37</v>
      </c>
      <c r="Q835" s="667">
        <f t="shared" si="210"/>
        <v>0.0931989924433249</v>
      </c>
    </row>
    <row r="836" spans="1:17">
      <c r="A836" s="653">
        <v>45995</v>
      </c>
      <c r="B836" s="557">
        <v>993</v>
      </c>
      <c r="C836" s="37">
        <v>8800</v>
      </c>
      <c r="D836" s="37">
        <v>403</v>
      </c>
      <c r="E836" s="37">
        <v>3</v>
      </c>
      <c r="F836" s="37">
        <v>20786</v>
      </c>
      <c r="G836" s="37">
        <v>16</v>
      </c>
      <c r="H836" s="37">
        <v>2</v>
      </c>
      <c r="I836" s="558">
        <v>1</v>
      </c>
      <c r="J836" s="39">
        <f t="shared" si="203"/>
        <v>0.0457954545454545</v>
      </c>
      <c r="K836" s="559">
        <f t="shared" si="204"/>
        <v>2.46401985111662</v>
      </c>
      <c r="L836" s="559">
        <f t="shared" si="205"/>
        <v>112.840909090909</v>
      </c>
      <c r="M836" s="559">
        <f t="shared" si="206"/>
        <v>20.932527693857</v>
      </c>
      <c r="N836" s="39">
        <f t="shared" si="207"/>
        <v>0.00744416873449132</v>
      </c>
      <c r="O836" s="560">
        <f t="shared" si="208"/>
        <v>55.1666666666667</v>
      </c>
      <c r="P836">
        <f t="shared" si="209"/>
        <v>18</v>
      </c>
      <c r="Q836" s="667">
        <f t="shared" si="210"/>
        <v>0.0446650124069479</v>
      </c>
    </row>
    <row r="837" spans="1:17">
      <c r="A837" s="653">
        <v>45996</v>
      </c>
      <c r="B837" s="557">
        <v>1000</v>
      </c>
      <c r="C837" s="37">
        <v>8606</v>
      </c>
      <c r="D837" s="37">
        <v>335</v>
      </c>
      <c r="E837" s="37">
        <v>0</v>
      </c>
      <c r="F837" s="37">
        <v>0</v>
      </c>
      <c r="G837" s="37">
        <v>12</v>
      </c>
      <c r="H837" s="37">
        <v>3</v>
      </c>
      <c r="I837" s="558">
        <v>0</v>
      </c>
      <c r="J837" s="39">
        <f t="shared" si="203"/>
        <v>0.038926330467116</v>
      </c>
      <c r="K837" s="559">
        <f t="shared" si="204"/>
        <v>2.98507462686567</v>
      </c>
      <c r="L837" s="559">
        <f t="shared" si="205"/>
        <v>116.198001394376</v>
      </c>
      <c r="M837" s="559">
        <f t="shared" si="206"/>
        <v>0</v>
      </c>
      <c r="N837" s="39">
        <f t="shared" si="207"/>
        <v>0</v>
      </c>
      <c r="O837" s="560">
        <f t="shared" si="208"/>
        <v>66.6666666666667</v>
      </c>
      <c r="P837">
        <f t="shared" si="209"/>
        <v>15</v>
      </c>
      <c r="Q837" s="667">
        <f t="shared" si="210"/>
        <v>0.0447761194029851</v>
      </c>
    </row>
    <row r="838" spans="1:17">
      <c r="A838" s="653">
        <v>45997</v>
      </c>
      <c r="B838" s="557">
        <v>1000</v>
      </c>
      <c r="C838" s="37">
        <v>10317</v>
      </c>
      <c r="D838" s="37">
        <v>494</v>
      </c>
      <c r="E838" s="37">
        <v>0</v>
      </c>
      <c r="F838" s="37">
        <v>0</v>
      </c>
      <c r="G838" s="37">
        <v>25</v>
      </c>
      <c r="H838" s="37">
        <v>6</v>
      </c>
      <c r="I838" s="558">
        <v>2</v>
      </c>
      <c r="J838" s="39">
        <f t="shared" si="203"/>
        <v>0.0478821362799263</v>
      </c>
      <c r="K838" s="559">
        <f t="shared" si="204"/>
        <v>2.02429149797571</v>
      </c>
      <c r="L838" s="559">
        <f t="shared" si="205"/>
        <v>96.9274013763691</v>
      </c>
      <c r="M838" s="559">
        <f t="shared" si="206"/>
        <v>0</v>
      </c>
      <c r="N838" s="39">
        <f t="shared" si="207"/>
        <v>0</v>
      </c>
      <c r="O838" s="560">
        <f t="shared" si="208"/>
        <v>32.258064516129</v>
      </c>
      <c r="P838">
        <f t="shared" si="209"/>
        <v>31</v>
      </c>
      <c r="Q838" s="667">
        <f t="shared" si="210"/>
        <v>0.062753036437247</v>
      </c>
    </row>
    <row r="839" spans="1:17">
      <c r="A839" s="653">
        <v>45998</v>
      </c>
      <c r="B839" s="557">
        <v>1000</v>
      </c>
      <c r="C839" s="37">
        <v>11585</v>
      </c>
      <c r="D839" s="37">
        <v>452</v>
      </c>
      <c r="E839" s="37">
        <v>0</v>
      </c>
      <c r="F839" s="37">
        <v>0</v>
      </c>
      <c r="G839" s="37">
        <v>18</v>
      </c>
      <c r="H839" s="37">
        <v>4</v>
      </c>
      <c r="I839" s="558">
        <v>2</v>
      </c>
      <c r="J839" s="39">
        <f t="shared" si="203"/>
        <v>0.0390159689253345</v>
      </c>
      <c r="K839" s="559">
        <f t="shared" si="204"/>
        <v>2.21238938053097</v>
      </c>
      <c r="L839" s="559">
        <f t="shared" si="205"/>
        <v>86.3185153215365</v>
      </c>
      <c r="M839" s="559">
        <f t="shared" si="206"/>
        <v>0</v>
      </c>
      <c r="N839" s="39">
        <f t="shared" si="207"/>
        <v>0</v>
      </c>
      <c r="O839" s="560">
        <f t="shared" si="208"/>
        <v>45.4545454545455</v>
      </c>
      <c r="P839">
        <f t="shared" si="209"/>
        <v>22</v>
      </c>
      <c r="Q839" s="667">
        <f t="shared" si="210"/>
        <v>0.0486725663716814</v>
      </c>
    </row>
    <row r="840" spans="1:17">
      <c r="A840" s="653">
        <v>45999</v>
      </c>
      <c r="B840" s="557">
        <v>992</v>
      </c>
      <c r="C840" s="37">
        <v>12319</v>
      </c>
      <c r="D840" s="37">
        <v>476</v>
      </c>
      <c r="E840" s="37">
        <v>0</v>
      </c>
      <c r="F840" s="37">
        <v>0</v>
      </c>
      <c r="G840" s="37">
        <v>22</v>
      </c>
      <c r="H840" s="37">
        <v>5</v>
      </c>
      <c r="I840" s="558">
        <v>2</v>
      </c>
      <c r="J840" s="39">
        <f t="shared" si="203"/>
        <v>0.0386394999594123</v>
      </c>
      <c r="K840" s="559">
        <f t="shared" si="204"/>
        <v>2.08403361344538</v>
      </c>
      <c r="L840" s="559">
        <f t="shared" si="205"/>
        <v>80.5260167221365</v>
      </c>
      <c r="M840" s="559">
        <f t="shared" si="206"/>
        <v>0</v>
      </c>
      <c r="N840" s="39">
        <f t="shared" si="207"/>
        <v>0</v>
      </c>
      <c r="O840" s="560">
        <f t="shared" si="208"/>
        <v>36.7407407407407</v>
      </c>
      <c r="P840">
        <f t="shared" si="209"/>
        <v>27</v>
      </c>
      <c r="Q840" s="667">
        <f t="shared" si="210"/>
        <v>0.0567226890756303</v>
      </c>
    </row>
    <row r="841" spans="1:17">
      <c r="A841" s="653">
        <v>46000</v>
      </c>
      <c r="B841" s="557">
        <v>1693</v>
      </c>
      <c r="C841" s="37">
        <v>12858</v>
      </c>
      <c r="D841" s="37">
        <v>723</v>
      </c>
      <c r="E841" s="37">
        <v>2</v>
      </c>
      <c r="F841" s="37">
        <v>39390</v>
      </c>
      <c r="G841" s="37">
        <v>25</v>
      </c>
      <c r="H841" s="37">
        <v>1</v>
      </c>
      <c r="I841" s="558">
        <v>2</v>
      </c>
      <c r="J841" s="39">
        <f t="shared" si="203"/>
        <v>0.0562295846943537</v>
      </c>
      <c r="K841" s="559">
        <f t="shared" si="204"/>
        <v>2.34163208852006</v>
      </c>
      <c r="L841" s="559">
        <f t="shared" si="205"/>
        <v>131.668999844455</v>
      </c>
      <c r="M841" s="559">
        <f t="shared" si="206"/>
        <v>23.2663910218547</v>
      </c>
      <c r="N841" s="39">
        <f t="shared" si="207"/>
        <v>0.00276625172890733</v>
      </c>
      <c r="O841" s="560">
        <f t="shared" si="208"/>
        <v>65.1153846153846</v>
      </c>
      <c r="P841">
        <f t="shared" si="209"/>
        <v>26</v>
      </c>
      <c r="Q841" s="667">
        <f t="shared" si="210"/>
        <v>0.0359612724757953</v>
      </c>
    </row>
    <row r="842" spans="1:17">
      <c r="A842" s="653">
        <v>46001</v>
      </c>
      <c r="B842" s="557">
        <v>1771</v>
      </c>
      <c r="C842" s="37">
        <v>14046</v>
      </c>
      <c r="D842" s="37">
        <v>795</v>
      </c>
      <c r="E842" s="37">
        <v>2</v>
      </c>
      <c r="F842" s="37">
        <v>14378</v>
      </c>
      <c r="G842" s="37">
        <v>30</v>
      </c>
      <c r="H842" s="37">
        <v>6</v>
      </c>
      <c r="I842" s="558">
        <v>0</v>
      </c>
      <c r="J842" s="39">
        <f t="shared" si="203"/>
        <v>0.0565997436992738</v>
      </c>
      <c r="K842" s="559">
        <f t="shared" si="204"/>
        <v>2.22767295597484</v>
      </c>
      <c r="L842" s="559">
        <f t="shared" si="205"/>
        <v>126.08571835398</v>
      </c>
      <c r="M842" s="559">
        <f t="shared" si="206"/>
        <v>8.11857707509881</v>
      </c>
      <c r="N842" s="39">
        <f t="shared" si="207"/>
        <v>0.00251572327044025</v>
      </c>
      <c r="O842" s="560">
        <f t="shared" si="208"/>
        <v>49.1944444444444</v>
      </c>
      <c r="P842">
        <f t="shared" si="209"/>
        <v>36</v>
      </c>
      <c r="Q842" s="667">
        <f t="shared" si="210"/>
        <v>0.0452830188679245</v>
      </c>
    </row>
    <row r="843" spans="1:17">
      <c r="A843" s="653">
        <v>46002</v>
      </c>
      <c r="B843" s="557">
        <v>2254</v>
      </c>
      <c r="C843" s="37">
        <v>22084</v>
      </c>
      <c r="D843" s="37">
        <v>970</v>
      </c>
      <c r="E843" s="37">
        <v>0</v>
      </c>
      <c r="F843" s="37">
        <v>0</v>
      </c>
      <c r="G843" s="37">
        <v>21</v>
      </c>
      <c r="H843" s="37">
        <v>3</v>
      </c>
      <c r="I843" s="558">
        <v>6</v>
      </c>
      <c r="J843" s="39">
        <f t="shared" si="203"/>
        <v>0.0439232023184206</v>
      </c>
      <c r="K843" s="559">
        <f t="shared" si="204"/>
        <v>2.32371134020619</v>
      </c>
      <c r="L843" s="559">
        <f t="shared" si="205"/>
        <v>102.064843325485</v>
      </c>
      <c r="M843" s="559">
        <f t="shared" si="206"/>
        <v>0</v>
      </c>
      <c r="N843" s="39">
        <f t="shared" si="207"/>
        <v>0</v>
      </c>
      <c r="O843" s="560">
        <f t="shared" si="208"/>
        <v>93.9166666666667</v>
      </c>
      <c r="P843">
        <f t="shared" si="209"/>
        <v>24</v>
      </c>
      <c r="Q843" s="667">
        <f t="shared" si="210"/>
        <v>0.0247422680412371</v>
      </c>
    </row>
    <row r="844" spans="1:17">
      <c r="A844" s="653">
        <v>46003</v>
      </c>
      <c r="B844" s="557">
        <v>2973</v>
      </c>
      <c r="C844" s="37">
        <v>23420</v>
      </c>
      <c r="D844" s="37">
        <v>1240</v>
      </c>
      <c r="E844" s="37">
        <v>4</v>
      </c>
      <c r="F844" s="37">
        <v>36932</v>
      </c>
      <c r="G844" s="37">
        <v>44</v>
      </c>
      <c r="H844" s="37">
        <v>3</v>
      </c>
      <c r="I844" s="558">
        <v>3</v>
      </c>
      <c r="J844" s="39">
        <f t="shared" si="203"/>
        <v>0.0529461998292058</v>
      </c>
      <c r="K844" s="559">
        <f t="shared" si="204"/>
        <v>2.39758064516129</v>
      </c>
      <c r="L844" s="559">
        <f t="shared" si="205"/>
        <v>126.942783945346</v>
      </c>
      <c r="M844" s="559">
        <f t="shared" si="206"/>
        <v>12.4224688866465</v>
      </c>
      <c r="N844" s="39">
        <f t="shared" si="207"/>
        <v>0.0032258064516129</v>
      </c>
      <c r="O844" s="560">
        <f t="shared" si="208"/>
        <v>63.2553191489362</v>
      </c>
      <c r="P844">
        <f t="shared" si="209"/>
        <v>47</v>
      </c>
      <c r="Q844" s="667">
        <f t="shared" si="210"/>
        <v>0.0379032258064516</v>
      </c>
    </row>
    <row r="845" spans="1:17">
      <c r="A845" s="653">
        <v>46004</v>
      </c>
      <c r="B845" s="557">
        <v>2958</v>
      </c>
      <c r="C845" s="37">
        <v>29929</v>
      </c>
      <c r="D845" s="37">
        <v>1773</v>
      </c>
      <c r="E845" s="37">
        <v>2</v>
      </c>
      <c r="F845" s="37">
        <v>17076</v>
      </c>
      <c r="G845" s="37">
        <v>58</v>
      </c>
      <c r="H845" s="37">
        <v>5</v>
      </c>
      <c r="I845" s="558">
        <v>3</v>
      </c>
      <c r="J845" s="39">
        <f t="shared" si="203"/>
        <v>0.0592402018109526</v>
      </c>
      <c r="K845" s="559">
        <f t="shared" si="204"/>
        <v>1.66835871404399</v>
      </c>
      <c r="L845" s="559">
        <f t="shared" si="205"/>
        <v>98.8339069130275</v>
      </c>
      <c r="M845" s="559">
        <f t="shared" si="206"/>
        <v>5.77281947261663</v>
      </c>
      <c r="N845" s="39">
        <f t="shared" si="207"/>
        <v>0.00112803158488438</v>
      </c>
      <c r="O845" s="560">
        <f t="shared" si="208"/>
        <v>46.9523809523809</v>
      </c>
      <c r="P845">
        <f t="shared" si="209"/>
        <v>63</v>
      </c>
      <c r="Q845" s="667">
        <f t="shared" si="210"/>
        <v>0.0355329949238579</v>
      </c>
    </row>
    <row r="846" spans="1:17">
      <c r="A846" s="653">
        <v>46005</v>
      </c>
      <c r="B846" s="557">
        <v>2670</v>
      </c>
      <c r="C846" s="37">
        <v>25159</v>
      </c>
      <c r="D846" s="37">
        <v>1174</v>
      </c>
      <c r="E846" s="37">
        <v>2</v>
      </c>
      <c r="F846" s="37">
        <v>18648</v>
      </c>
      <c r="G846" s="37">
        <v>30</v>
      </c>
      <c r="H846" s="37">
        <v>7</v>
      </c>
      <c r="I846" s="558">
        <v>1</v>
      </c>
      <c r="J846" s="39">
        <f t="shared" si="203"/>
        <v>0.0466632219086609</v>
      </c>
      <c r="K846" s="559">
        <f t="shared" si="204"/>
        <v>2.27427597955707</v>
      </c>
      <c r="L846" s="559">
        <f t="shared" si="205"/>
        <v>106.125044715609</v>
      </c>
      <c r="M846" s="559">
        <f t="shared" si="206"/>
        <v>6.98426966292135</v>
      </c>
      <c r="N846" s="39">
        <f t="shared" si="207"/>
        <v>0.00170357751277683</v>
      </c>
      <c r="O846" s="560">
        <f t="shared" si="208"/>
        <v>72.1621621621622</v>
      </c>
      <c r="P846">
        <f t="shared" si="209"/>
        <v>37</v>
      </c>
      <c r="Q846" s="667">
        <f t="shared" si="210"/>
        <v>0.0315161839863714</v>
      </c>
    </row>
    <row r="847" spans="1:17">
      <c r="A847" s="653">
        <v>46006</v>
      </c>
      <c r="B847" s="557">
        <v>2040</v>
      </c>
      <c r="C847" s="37">
        <v>17238</v>
      </c>
      <c r="D847" s="37">
        <v>769</v>
      </c>
      <c r="E847" s="37">
        <v>1</v>
      </c>
      <c r="F847" s="37">
        <v>10262</v>
      </c>
      <c r="G847" s="37">
        <v>30</v>
      </c>
      <c r="H847" s="37">
        <v>2</v>
      </c>
      <c r="I847" s="558">
        <v>5</v>
      </c>
      <c r="J847" s="39">
        <f t="shared" si="203"/>
        <v>0.0446107437057663</v>
      </c>
      <c r="K847" s="559">
        <f t="shared" si="204"/>
        <v>2.65279583875163</v>
      </c>
      <c r="L847" s="559">
        <f t="shared" si="205"/>
        <v>118.343195266272</v>
      </c>
      <c r="M847" s="559">
        <f t="shared" si="206"/>
        <v>5.03039215686274</v>
      </c>
      <c r="N847" s="39">
        <f t="shared" si="207"/>
        <v>0.00130039011703511</v>
      </c>
      <c r="O847" s="560">
        <f t="shared" si="208"/>
        <v>63.75</v>
      </c>
      <c r="P847">
        <f t="shared" si="209"/>
        <v>32</v>
      </c>
      <c r="Q847" s="667">
        <f t="shared" si="210"/>
        <v>0.0416124837451235</v>
      </c>
    </row>
    <row r="848" spans="1:17">
      <c r="A848" s="653">
        <v>46007</v>
      </c>
      <c r="B848" s="557">
        <v>2465</v>
      </c>
      <c r="C848" s="37">
        <v>17116</v>
      </c>
      <c r="D848" s="37">
        <v>969</v>
      </c>
      <c r="E848" s="37">
        <v>1</v>
      </c>
      <c r="F848" s="37">
        <v>10617</v>
      </c>
      <c r="G848" s="37">
        <v>29</v>
      </c>
      <c r="H848" s="37">
        <v>6</v>
      </c>
      <c r="I848" s="558">
        <v>2</v>
      </c>
      <c r="J848" s="39">
        <f t="shared" si="203"/>
        <v>0.056613694788502</v>
      </c>
      <c r="K848" s="559">
        <f t="shared" si="204"/>
        <v>2.54385964912281</v>
      </c>
      <c r="L848" s="559">
        <f t="shared" si="205"/>
        <v>144.017293760224</v>
      </c>
      <c r="M848" s="559">
        <f t="shared" si="206"/>
        <v>4.30709939148073</v>
      </c>
      <c r="N848" s="39">
        <f t="shared" si="207"/>
        <v>0.00103199174406605</v>
      </c>
      <c r="O848" s="560">
        <f t="shared" si="208"/>
        <v>70.4285714285714</v>
      </c>
      <c r="P848">
        <f t="shared" si="209"/>
        <v>35</v>
      </c>
      <c r="Q848" s="667">
        <f t="shared" si="210"/>
        <v>0.0361197110423117</v>
      </c>
    </row>
    <row r="849" spans="1:17">
      <c r="A849" s="653">
        <v>46008</v>
      </c>
      <c r="B849" s="557">
        <v>2396</v>
      </c>
      <c r="C849" s="37">
        <v>26804</v>
      </c>
      <c r="D849" s="37">
        <v>1309</v>
      </c>
      <c r="E849" s="37">
        <v>2</v>
      </c>
      <c r="F849" s="37">
        <v>38715</v>
      </c>
      <c r="G849" s="37">
        <v>22</v>
      </c>
      <c r="H849" s="37">
        <v>11</v>
      </c>
      <c r="I849" s="558">
        <v>6</v>
      </c>
      <c r="J849" s="39">
        <f t="shared" si="203"/>
        <v>0.0488359946276675</v>
      </c>
      <c r="K849" s="559">
        <f t="shared" si="204"/>
        <v>1.83040488922842</v>
      </c>
      <c r="L849" s="559">
        <f t="shared" si="205"/>
        <v>89.3896433368154</v>
      </c>
      <c r="M849" s="559">
        <f t="shared" si="206"/>
        <v>16.1581803005008</v>
      </c>
      <c r="N849" s="39">
        <f t="shared" si="207"/>
        <v>0.00152788388082506</v>
      </c>
      <c r="O849" s="560">
        <f t="shared" si="208"/>
        <v>72.6060606060606</v>
      </c>
      <c r="P849">
        <f t="shared" si="209"/>
        <v>33</v>
      </c>
      <c r="Q849" s="667">
        <f t="shared" si="210"/>
        <v>0.0252100840336134</v>
      </c>
    </row>
    <row r="850" spans="1:17">
      <c r="A850" s="653">
        <v>46009</v>
      </c>
      <c r="B850" s="557">
        <v>2469</v>
      </c>
      <c r="C850" s="37">
        <v>28360</v>
      </c>
      <c r="D850" s="37">
        <v>1252</v>
      </c>
      <c r="E850" s="37">
        <v>6</v>
      </c>
      <c r="F850" s="37">
        <v>48523</v>
      </c>
      <c r="G850" s="37">
        <v>22</v>
      </c>
      <c r="H850" s="37">
        <v>11</v>
      </c>
      <c r="I850" s="558">
        <v>4</v>
      </c>
      <c r="J850" s="39">
        <f t="shared" si="203"/>
        <v>0.0441466854724965</v>
      </c>
      <c r="K850" s="559">
        <f t="shared" si="204"/>
        <v>1.9720447284345</v>
      </c>
      <c r="L850" s="559">
        <f t="shared" si="205"/>
        <v>87.0592383638928</v>
      </c>
      <c r="M850" s="559">
        <f t="shared" si="206"/>
        <v>19.652895909275</v>
      </c>
      <c r="N850" s="39">
        <f t="shared" si="207"/>
        <v>0.00479233226837061</v>
      </c>
      <c r="O850" s="560">
        <f t="shared" si="208"/>
        <v>74.8181818181818</v>
      </c>
      <c r="P850">
        <f t="shared" si="209"/>
        <v>33</v>
      </c>
      <c r="Q850" s="667">
        <f t="shared" si="210"/>
        <v>0.0263578274760383</v>
      </c>
    </row>
    <row r="851" spans="1:17">
      <c r="A851" s="653">
        <v>46010</v>
      </c>
      <c r="B851" s="557">
        <v>1200</v>
      </c>
      <c r="C851" s="37">
        <v>7840</v>
      </c>
      <c r="D851" s="37">
        <v>401</v>
      </c>
      <c r="E851" s="37">
        <v>0</v>
      </c>
      <c r="F851" s="37">
        <v>0</v>
      </c>
      <c r="G851" s="37">
        <v>8</v>
      </c>
      <c r="H851" s="37">
        <v>5</v>
      </c>
      <c r="I851" s="558">
        <v>3</v>
      </c>
      <c r="J851" s="39">
        <f t="shared" si="203"/>
        <v>0.0511479591836735</v>
      </c>
      <c r="K851" s="559">
        <f t="shared" si="204"/>
        <v>2.9925187032419</v>
      </c>
      <c r="L851" s="559">
        <f t="shared" si="205"/>
        <v>153.061224489796</v>
      </c>
      <c r="M851" s="559">
        <f t="shared" si="206"/>
        <v>0</v>
      </c>
      <c r="N851" s="39">
        <f t="shared" si="207"/>
        <v>0</v>
      </c>
      <c r="O851" s="560">
        <f t="shared" si="208"/>
        <v>92.3076923076923</v>
      </c>
      <c r="P851">
        <f t="shared" si="209"/>
        <v>13</v>
      </c>
      <c r="Q851" s="667">
        <f t="shared" si="210"/>
        <v>0.0324189526184539</v>
      </c>
    </row>
    <row r="852" spans="1:17">
      <c r="A852" s="653">
        <v>46011</v>
      </c>
      <c r="B852" s="557">
        <v>1196</v>
      </c>
      <c r="C852" s="37">
        <v>19490</v>
      </c>
      <c r="D852" s="37">
        <v>558</v>
      </c>
      <c r="E852" s="37">
        <v>1</v>
      </c>
      <c r="F852" s="37">
        <v>9052</v>
      </c>
      <c r="G852" s="37">
        <v>20</v>
      </c>
      <c r="H852" s="37">
        <v>6</v>
      </c>
      <c r="I852" s="558">
        <v>2</v>
      </c>
      <c r="J852" s="39">
        <f t="shared" si="203"/>
        <v>0.0286300667008722</v>
      </c>
      <c r="K852" s="559">
        <f t="shared" si="204"/>
        <v>2.14336917562724</v>
      </c>
      <c r="L852" s="559">
        <f t="shared" si="205"/>
        <v>61.3648024628014</v>
      </c>
      <c r="M852" s="559">
        <f t="shared" si="206"/>
        <v>7.5685618729097</v>
      </c>
      <c r="N852" s="39">
        <f t="shared" si="207"/>
        <v>0.0017921146953405</v>
      </c>
      <c r="O852" s="560">
        <f t="shared" si="208"/>
        <v>46</v>
      </c>
      <c r="P852">
        <f t="shared" si="209"/>
        <v>26</v>
      </c>
      <c r="Q852" s="667">
        <f t="shared" si="210"/>
        <v>0.046594982078853</v>
      </c>
    </row>
    <row r="853" spans="1:17">
      <c r="A853" s="653">
        <v>46012</v>
      </c>
      <c r="B853" s="557">
        <v>2639</v>
      </c>
      <c r="C853" s="37">
        <v>25228</v>
      </c>
      <c r="D853" s="37">
        <v>1191</v>
      </c>
      <c r="E853" s="37">
        <v>1</v>
      </c>
      <c r="F853" s="37">
        <v>9052</v>
      </c>
      <c r="G853" s="37">
        <v>34</v>
      </c>
      <c r="H853" s="37">
        <v>7</v>
      </c>
      <c r="I853" s="558">
        <v>3</v>
      </c>
      <c r="J853" s="39">
        <f t="shared" si="203"/>
        <v>0.0472094498176629</v>
      </c>
      <c r="K853" s="559">
        <f t="shared" si="204"/>
        <v>2.21578505457599</v>
      </c>
      <c r="L853" s="559">
        <f t="shared" si="205"/>
        <v>104.605993340733</v>
      </c>
      <c r="M853" s="559">
        <f t="shared" si="206"/>
        <v>3.43008715422509</v>
      </c>
      <c r="N853" s="39">
        <f t="shared" si="207"/>
        <v>0.000839630562552477</v>
      </c>
      <c r="O853" s="560">
        <f t="shared" si="208"/>
        <v>64.3658536585366</v>
      </c>
      <c r="P853">
        <f t="shared" si="209"/>
        <v>41</v>
      </c>
      <c r="Q853" s="667">
        <f t="shared" si="210"/>
        <v>0.0344248530646516</v>
      </c>
    </row>
    <row r="854" spans="1:17">
      <c r="A854" s="653">
        <v>46013</v>
      </c>
      <c r="B854" s="557">
        <v>1000</v>
      </c>
      <c r="C854" s="37">
        <v>10067</v>
      </c>
      <c r="D854" s="37">
        <v>405</v>
      </c>
      <c r="E854" s="37">
        <v>0</v>
      </c>
      <c r="F854" s="37">
        <v>0</v>
      </c>
      <c r="G854" s="37">
        <v>13</v>
      </c>
      <c r="H854" s="37">
        <v>2</v>
      </c>
      <c r="I854" s="558">
        <v>4</v>
      </c>
      <c r="J854" s="39">
        <f t="shared" si="203"/>
        <v>0.0402304559451674</v>
      </c>
      <c r="K854" s="559">
        <f t="shared" si="204"/>
        <v>2.46913580246914</v>
      </c>
      <c r="L854" s="559">
        <f t="shared" si="205"/>
        <v>99.3344591238701</v>
      </c>
      <c r="M854" s="559">
        <f t="shared" si="206"/>
        <v>0</v>
      </c>
      <c r="N854" s="39">
        <f t="shared" si="207"/>
        <v>0</v>
      </c>
      <c r="O854" s="560">
        <f t="shared" si="208"/>
        <v>66.6666666666667</v>
      </c>
      <c r="P854">
        <f t="shared" si="209"/>
        <v>15</v>
      </c>
      <c r="Q854" s="667">
        <f t="shared" si="210"/>
        <v>0.037037037037037</v>
      </c>
    </row>
    <row r="855" spans="1:17">
      <c r="A855" s="653">
        <v>46014</v>
      </c>
      <c r="B855" s="557">
        <v>1500</v>
      </c>
      <c r="C855" s="37">
        <v>14592</v>
      </c>
      <c r="D855" s="37">
        <v>566</v>
      </c>
      <c r="E855" s="37">
        <v>0</v>
      </c>
      <c r="F855" s="37">
        <v>0</v>
      </c>
      <c r="G855" s="37">
        <v>20</v>
      </c>
      <c r="H855" s="37">
        <v>7</v>
      </c>
      <c r="I855" s="558">
        <v>6</v>
      </c>
      <c r="J855" s="39">
        <f t="shared" si="203"/>
        <v>0.0387883771929825</v>
      </c>
      <c r="K855" s="559">
        <f t="shared" si="204"/>
        <v>2.65017667844523</v>
      </c>
      <c r="L855" s="559">
        <f t="shared" si="205"/>
        <v>102.796052631579</v>
      </c>
      <c r="M855" s="559">
        <f t="shared" si="206"/>
        <v>0</v>
      </c>
      <c r="N855" s="39">
        <f t="shared" si="207"/>
        <v>0</v>
      </c>
      <c r="O855" s="560">
        <f t="shared" si="208"/>
        <v>55.5555555555556</v>
      </c>
      <c r="P855">
        <f t="shared" si="209"/>
        <v>27</v>
      </c>
      <c r="Q855" s="667">
        <f t="shared" si="210"/>
        <v>0.0477031802120141</v>
      </c>
    </row>
    <row r="856" spans="1:17">
      <c r="A856" s="653">
        <v>46015</v>
      </c>
      <c r="B856" s="557">
        <v>1500</v>
      </c>
      <c r="C856" s="37">
        <v>18974</v>
      </c>
      <c r="D856" s="37">
        <v>673</v>
      </c>
      <c r="E856" s="37">
        <v>0</v>
      </c>
      <c r="F856" s="37">
        <v>0</v>
      </c>
      <c r="G856" s="37">
        <v>16</v>
      </c>
      <c r="H856" s="37">
        <v>8</v>
      </c>
      <c r="I856" s="558">
        <v>5</v>
      </c>
      <c r="J856" s="39">
        <f t="shared" si="203"/>
        <v>0.0354695899652156</v>
      </c>
      <c r="K856" s="559">
        <f t="shared" si="204"/>
        <v>2.22882615156018</v>
      </c>
      <c r="L856" s="559">
        <f t="shared" si="205"/>
        <v>79.0555496995889</v>
      </c>
      <c r="M856" s="559">
        <f t="shared" si="206"/>
        <v>0</v>
      </c>
      <c r="N856" s="39">
        <f t="shared" si="207"/>
        <v>0</v>
      </c>
      <c r="O856" s="560">
        <f t="shared" si="208"/>
        <v>62.5</v>
      </c>
      <c r="P856">
        <f t="shared" si="209"/>
        <v>24</v>
      </c>
      <c r="Q856" s="667">
        <f t="shared" si="210"/>
        <v>0.0356612184249629</v>
      </c>
    </row>
    <row r="857" spans="1:17">
      <c r="A857" s="653">
        <v>46016</v>
      </c>
      <c r="B857" s="557">
        <v>3012</v>
      </c>
      <c r="C857" s="37">
        <v>39006</v>
      </c>
      <c r="D857" s="37">
        <v>1381</v>
      </c>
      <c r="E857" s="37">
        <v>0</v>
      </c>
      <c r="F857" s="37">
        <v>0</v>
      </c>
      <c r="G857" s="37">
        <v>31</v>
      </c>
      <c r="H857" s="37">
        <v>12</v>
      </c>
      <c r="I857" s="558">
        <v>3</v>
      </c>
      <c r="J857" s="39">
        <f t="shared" si="203"/>
        <v>0.0354048095164846</v>
      </c>
      <c r="K857" s="559">
        <f t="shared" si="204"/>
        <v>2.1810282404055</v>
      </c>
      <c r="L857" s="559">
        <f t="shared" si="205"/>
        <v>77.2188894016305</v>
      </c>
      <c r="M857" s="559">
        <f t="shared" si="206"/>
        <v>0</v>
      </c>
      <c r="N857" s="39">
        <f t="shared" si="207"/>
        <v>0</v>
      </c>
      <c r="O857" s="560">
        <f t="shared" si="208"/>
        <v>70.046511627907</v>
      </c>
      <c r="P857">
        <f t="shared" si="209"/>
        <v>43</v>
      </c>
      <c r="Q857" s="667">
        <f t="shared" si="210"/>
        <v>0.0311368573497466</v>
      </c>
    </row>
    <row r="858" spans="1:17">
      <c r="A858" s="653">
        <v>46017</v>
      </c>
      <c r="B858" s="557">
        <v>1500</v>
      </c>
      <c r="C858" s="37">
        <v>23876</v>
      </c>
      <c r="D858" s="37">
        <v>798</v>
      </c>
      <c r="E858" s="37">
        <v>1</v>
      </c>
      <c r="F858" s="37">
        <v>5293</v>
      </c>
      <c r="G858" s="37">
        <v>19</v>
      </c>
      <c r="H858" s="37">
        <v>9</v>
      </c>
      <c r="I858" s="558">
        <v>7</v>
      </c>
      <c r="J858" s="39">
        <f t="shared" si="203"/>
        <v>0.0334226838666443</v>
      </c>
      <c r="K858" s="559">
        <f t="shared" si="204"/>
        <v>1.8796992481203</v>
      </c>
      <c r="L858" s="559">
        <f t="shared" si="205"/>
        <v>62.8245937342938</v>
      </c>
      <c r="M858" s="559">
        <f t="shared" si="206"/>
        <v>3.52866666666667</v>
      </c>
      <c r="N858" s="39">
        <f t="shared" si="207"/>
        <v>0.0012531328320802</v>
      </c>
      <c r="O858" s="560">
        <f t="shared" si="208"/>
        <v>53.5714285714286</v>
      </c>
      <c r="P858">
        <f t="shared" si="209"/>
        <v>28</v>
      </c>
      <c r="Q858" s="667">
        <f t="shared" si="210"/>
        <v>0.0350877192982456</v>
      </c>
    </row>
    <row r="859" spans="1:17">
      <c r="A859" s="653">
        <v>46018</v>
      </c>
      <c r="B859" s="557">
        <v>1496</v>
      </c>
      <c r="C859" s="37">
        <v>17870</v>
      </c>
      <c r="D859" s="37">
        <v>692</v>
      </c>
      <c r="E859" s="37">
        <v>2</v>
      </c>
      <c r="F859" s="37">
        <v>23078</v>
      </c>
      <c r="G859" s="37">
        <v>15</v>
      </c>
      <c r="H859" s="37">
        <v>7</v>
      </c>
      <c r="I859" s="558">
        <v>4</v>
      </c>
      <c r="J859" s="39">
        <f t="shared" si="203"/>
        <v>0.0387241186345831</v>
      </c>
      <c r="K859" s="559">
        <f t="shared" si="204"/>
        <v>2.16184971098266</v>
      </c>
      <c r="L859" s="559">
        <f t="shared" si="205"/>
        <v>83.7157246782317</v>
      </c>
      <c r="M859" s="559">
        <f t="shared" si="206"/>
        <v>15.4264705882353</v>
      </c>
      <c r="N859" s="39">
        <f t="shared" si="207"/>
        <v>0.00289017341040462</v>
      </c>
      <c r="O859" s="560">
        <f t="shared" si="208"/>
        <v>68</v>
      </c>
      <c r="P859">
        <f t="shared" si="209"/>
        <v>22</v>
      </c>
      <c r="Q859" s="667">
        <f t="shared" si="210"/>
        <v>0.0317919075144509</v>
      </c>
    </row>
    <row r="860" spans="1:17">
      <c r="A860" s="653">
        <v>46019</v>
      </c>
      <c r="B860" s="557">
        <v>2978</v>
      </c>
      <c r="C860" s="37">
        <v>33704</v>
      </c>
      <c r="D860" s="37">
        <v>1344</v>
      </c>
      <c r="E860" s="37">
        <v>0</v>
      </c>
      <c r="F860" s="37">
        <v>0</v>
      </c>
      <c r="G860" s="37">
        <v>38</v>
      </c>
      <c r="H860" s="37">
        <v>5</v>
      </c>
      <c r="I860" s="558">
        <v>6</v>
      </c>
      <c r="J860" s="39">
        <f t="shared" si="203"/>
        <v>0.0398765725136482</v>
      </c>
      <c r="K860" s="559">
        <f t="shared" si="204"/>
        <v>2.21577380952381</v>
      </c>
      <c r="L860" s="559">
        <f t="shared" si="205"/>
        <v>88.3574649893188</v>
      </c>
      <c r="M860" s="559">
        <f t="shared" si="206"/>
        <v>0</v>
      </c>
      <c r="N860" s="39">
        <f t="shared" si="207"/>
        <v>0</v>
      </c>
      <c r="O860" s="560">
        <f t="shared" si="208"/>
        <v>69.2558139534884</v>
      </c>
      <c r="P860">
        <f t="shared" si="209"/>
        <v>43</v>
      </c>
      <c r="Q860" s="667">
        <f t="shared" si="210"/>
        <v>0.0319940476190476</v>
      </c>
    </row>
    <row r="861" spans="1:17">
      <c r="A861" s="653">
        <v>46020</v>
      </c>
      <c r="B861" s="557">
        <v>2994</v>
      </c>
      <c r="C861" s="37">
        <v>24587</v>
      </c>
      <c r="D861" s="37">
        <v>1339</v>
      </c>
      <c r="E861" s="37">
        <v>1</v>
      </c>
      <c r="F861" s="37">
        <v>22214</v>
      </c>
      <c r="G861" s="37">
        <v>24</v>
      </c>
      <c r="H861" s="37">
        <v>4</v>
      </c>
      <c r="I861" s="558">
        <v>9</v>
      </c>
      <c r="J861" s="39">
        <f t="shared" si="203"/>
        <v>0.0544596738113637</v>
      </c>
      <c r="K861" s="559">
        <f t="shared" si="204"/>
        <v>2.23599701269604</v>
      </c>
      <c r="L861" s="559">
        <f t="shared" si="205"/>
        <v>121.77166795461</v>
      </c>
      <c r="M861" s="559">
        <f t="shared" si="206"/>
        <v>7.41950567802271</v>
      </c>
      <c r="N861" s="39">
        <f t="shared" si="207"/>
        <v>0.000746825989544436</v>
      </c>
      <c r="O861" s="560">
        <f t="shared" si="208"/>
        <v>106.928571428571</v>
      </c>
      <c r="P861">
        <f t="shared" si="209"/>
        <v>28</v>
      </c>
      <c r="Q861" s="667">
        <f t="shared" si="210"/>
        <v>0.0209111277072442</v>
      </c>
    </row>
    <row r="862" spans="1:17">
      <c r="A862" s="653">
        <v>46021</v>
      </c>
      <c r="B862" s="557">
        <v>1850</v>
      </c>
      <c r="C862" s="37">
        <v>14275</v>
      </c>
      <c r="D862" s="37">
        <v>624</v>
      </c>
      <c r="E862" s="37">
        <v>2</v>
      </c>
      <c r="F862" s="37">
        <v>30346</v>
      </c>
      <c r="G862" s="37">
        <v>31</v>
      </c>
      <c r="H862" s="37">
        <v>1</v>
      </c>
      <c r="I862" s="558">
        <v>5</v>
      </c>
      <c r="J862" s="39">
        <f t="shared" si="203"/>
        <v>0.0437127845884413</v>
      </c>
      <c r="K862" s="559">
        <f t="shared" si="204"/>
        <v>2.96474358974359</v>
      </c>
      <c r="L862" s="559">
        <f t="shared" si="205"/>
        <v>129.597197898424</v>
      </c>
      <c r="M862" s="559">
        <f t="shared" si="206"/>
        <v>16.4032432432432</v>
      </c>
      <c r="N862" s="39">
        <f t="shared" si="207"/>
        <v>0.00320512820512821</v>
      </c>
      <c r="O862" s="560">
        <f t="shared" si="208"/>
        <v>57.8125</v>
      </c>
      <c r="P862">
        <f t="shared" si="209"/>
        <v>32</v>
      </c>
      <c r="Q862" s="667">
        <f t="shared" si="210"/>
        <v>0.0512820512820513</v>
      </c>
    </row>
    <row r="863" spans="1:17">
      <c r="A863" s="653">
        <v>46022</v>
      </c>
      <c r="B863" s="557">
        <v>1996</v>
      </c>
      <c r="C863" s="37">
        <v>74262</v>
      </c>
      <c r="D863" s="37">
        <v>948</v>
      </c>
      <c r="E863" s="37">
        <v>0</v>
      </c>
      <c r="F863" s="37">
        <v>0</v>
      </c>
      <c r="G863" s="37">
        <v>28</v>
      </c>
      <c r="H863" s="37">
        <v>4</v>
      </c>
      <c r="I863" s="558">
        <v>1</v>
      </c>
      <c r="J863" s="39">
        <f t="shared" si="203"/>
        <v>0.0127656136381999</v>
      </c>
      <c r="K863" s="559">
        <f t="shared" si="204"/>
        <v>2.10548523206751</v>
      </c>
      <c r="L863" s="559">
        <f t="shared" si="205"/>
        <v>26.8778109935095</v>
      </c>
      <c r="M863" s="559">
        <f t="shared" si="206"/>
        <v>0</v>
      </c>
      <c r="N863" s="39">
        <f t="shared" si="207"/>
        <v>0</v>
      </c>
      <c r="O863" s="560">
        <f t="shared" si="208"/>
        <v>62.375</v>
      </c>
      <c r="P863">
        <f t="shared" si="209"/>
        <v>32</v>
      </c>
      <c r="Q863" s="667">
        <f t="shared" si="210"/>
        <v>0.0337552742616034</v>
      </c>
    </row>
    <row r="864" spans="1:17">
      <c r="A864" s="653">
        <v>46023</v>
      </c>
      <c r="B864" s="557">
        <v>1645</v>
      </c>
      <c r="C864" s="37">
        <v>35922</v>
      </c>
      <c r="D864" s="37">
        <v>787</v>
      </c>
      <c r="E864" s="37">
        <v>2</v>
      </c>
      <c r="F864" s="37">
        <v>15429</v>
      </c>
      <c r="G864" s="37">
        <v>19</v>
      </c>
      <c r="H864" s="37">
        <v>4</v>
      </c>
      <c r="I864" s="558">
        <v>3</v>
      </c>
      <c r="J864" s="39">
        <f t="shared" si="203"/>
        <v>0.0219085797004621</v>
      </c>
      <c r="K864" s="559">
        <f t="shared" si="204"/>
        <v>2.09021601016518</v>
      </c>
      <c r="L864" s="559">
        <f t="shared" si="205"/>
        <v>45.7936640498859</v>
      </c>
      <c r="M864" s="559">
        <f t="shared" si="206"/>
        <v>9.37933130699088</v>
      </c>
      <c r="N864" s="39">
        <f t="shared" si="207"/>
        <v>0.00254129606099111</v>
      </c>
      <c r="O864" s="560">
        <f t="shared" si="208"/>
        <v>71.5217391304348</v>
      </c>
      <c r="P864">
        <f t="shared" si="209"/>
        <v>23</v>
      </c>
      <c r="Q864" s="667">
        <f t="shared" si="210"/>
        <v>0.0292249047013977</v>
      </c>
    </row>
    <row r="865" spans="1:17">
      <c r="A865" s="653">
        <v>46024</v>
      </c>
      <c r="B865" s="557">
        <v>1641</v>
      </c>
      <c r="C865" s="37">
        <v>21555</v>
      </c>
      <c r="D865" s="37">
        <v>729</v>
      </c>
      <c r="E865" s="37">
        <v>0</v>
      </c>
      <c r="F865" s="37">
        <v>0</v>
      </c>
      <c r="G865" s="37">
        <v>20</v>
      </c>
      <c r="H865" s="37">
        <v>9</v>
      </c>
      <c r="I865" s="558">
        <v>7</v>
      </c>
      <c r="J865" s="39">
        <f t="shared" si="203"/>
        <v>0.0338204592901879</v>
      </c>
      <c r="K865" s="559">
        <f t="shared" si="204"/>
        <v>2.25102880658436</v>
      </c>
      <c r="L865" s="559">
        <f t="shared" si="205"/>
        <v>76.1308281141266</v>
      </c>
      <c r="M865" s="559">
        <f t="shared" si="206"/>
        <v>0</v>
      </c>
      <c r="N865" s="39">
        <f t="shared" si="207"/>
        <v>0</v>
      </c>
      <c r="O865" s="560">
        <f t="shared" si="208"/>
        <v>56.5862068965517</v>
      </c>
      <c r="P865">
        <f t="shared" si="209"/>
        <v>29</v>
      </c>
      <c r="Q865" s="667">
        <f t="shared" si="210"/>
        <v>0.0397805212620027</v>
      </c>
    </row>
    <row r="866" spans="1:17">
      <c r="A866" s="653">
        <v>46025</v>
      </c>
      <c r="B866" s="557">
        <v>1995</v>
      </c>
      <c r="C866" s="37">
        <v>34275</v>
      </c>
      <c r="D866" s="37">
        <v>898</v>
      </c>
      <c r="E866" s="37">
        <v>1</v>
      </c>
      <c r="F866" s="37">
        <v>9694</v>
      </c>
      <c r="G866" s="37">
        <v>47</v>
      </c>
      <c r="H866" s="37">
        <v>5</v>
      </c>
      <c r="I866" s="558">
        <v>2</v>
      </c>
      <c r="J866" s="39">
        <f t="shared" si="203"/>
        <v>0.0261998541210795</v>
      </c>
      <c r="K866" s="559">
        <f t="shared" si="204"/>
        <v>2.22160356347439</v>
      </c>
      <c r="L866" s="559">
        <f t="shared" si="205"/>
        <v>58.2056892778993</v>
      </c>
      <c r="M866" s="559">
        <f t="shared" si="206"/>
        <v>4.85914786967419</v>
      </c>
      <c r="N866" s="39">
        <f t="shared" si="207"/>
        <v>0.00111358574610245</v>
      </c>
      <c r="O866" s="560">
        <f t="shared" si="208"/>
        <v>38.3653846153846</v>
      </c>
      <c r="P866">
        <f t="shared" si="209"/>
        <v>52</v>
      </c>
      <c r="Q866" s="667">
        <f t="shared" si="210"/>
        <v>0.0579064587973274</v>
      </c>
    </row>
    <row r="867" spans="1:17">
      <c r="A867" s="653">
        <v>46026</v>
      </c>
      <c r="B867" s="557">
        <v>3314</v>
      </c>
      <c r="C867" s="37">
        <v>26739</v>
      </c>
      <c r="D867" s="37">
        <v>1495</v>
      </c>
      <c r="E867" s="37">
        <v>0</v>
      </c>
      <c r="F867" s="37">
        <v>0</v>
      </c>
      <c r="G867" s="37">
        <v>42</v>
      </c>
      <c r="H867" s="37">
        <v>10</v>
      </c>
      <c r="I867" s="558">
        <v>12</v>
      </c>
      <c r="J867" s="39">
        <f t="shared" si="203"/>
        <v>0.0559108418415049</v>
      </c>
      <c r="K867" s="559">
        <f t="shared" si="204"/>
        <v>2.21672240802676</v>
      </c>
      <c r="L867" s="559">
        <f t="shared" si="205"/>
        <v>123.938815961704</v>
      </c>
      <c r="M867" s="559">
        <f t="shared" si="206"/>
        <v>0</v>
      </c>
      <c r="N867" s="39">
        <f t="shared" si="207"/>
        <v>0</v>
      </c>
      <c r="O867" s="560">
        <f t="shared" si="208"/>
        <v>63.7307692307692</v>
      </c>
      <c r="P867">
        <f t="shared" si="209"/>
        <v>52</v>
      </c>
      <c r="Q867" s="667">
        <f t="shared" si="210"/>
        <v>0.0347826086956522</v>
      </c>
    </row>
    <row r="868" spans="1:17">
      <c r="A868" s="653">
        <v>46027</v>
      </c>
      <c r="B868" s="557">
        <v>1998</v>
      </c>
      <c r="C868" s="37">
        <v>14608</v>
      </c>
      <c r="D868" s="37">
        <v>656</v>
      </c>
      <c r="E868" s="37">
        <v>3</v>
      </c>
      <c r="F868" s="37">
        <v>34346</v>
      </c>
      <c r="G868" s="37">
        <v>24</v>
      </c>
      <c r="H868" s="37">
        <v>1</v>
      </c>
      <c r="I868" s="558">
        <v>5</v>
      </c>
      <c r="J868" s="39">
        <f t="shared" si="203"/>
        <v>0.0449069003285871</v>
      </c>
      <c r="K868" s="559">
        <f t="shared" si="204"/>
        <v>3.04573170731707</v>
      </c>
      <c r="L868" s="559">
        <f t="shared" si="205"/>
        <v>136.774370208105</v>
      </c>
      <c r="M868" s="559">
        <f t="shared" si="206"/>
        <v>17.1901901901902</v>
      </c>
      <c r="N868" s="39">
        <f t="shared" si="207"/>
        <v>0.00457317073170732</v>
      </c>
      <c r="O868" s="560">
        <f t="shared" si="208"/>
        <v>79.92</v>
      </c>
      <c r="P868">
        <f t="shared" si="209"/>
        <v>25</v>
      </c>
      <c r="Q868" s="667">
        <f t="shared" si="210"/>
        <v>0.038109756097561</v>
      </c>
    </row>
    <row r="869" spans="1:17">
      <c r="A869" s="653">
        <v>46028</v>
      </c>
      <c r="B869" s="557">
        <v>2566</v>
      </c>
      <c r="C869" s="37">
        <v>38290</v>
      </c>
      <c r="D869" s="37">
        <v>1305</v>
      </c>
      <c r="E869" s="37">
        <v>0</v>
      </c>
      <c r="F869" s="37">
        <v>0</v>
      </c>
      <c r="G869" s="37">
        <v>52</v>
      </c>
      <c r="H869" s="37">
        <v>9</v>
      </c>
      <c r="I869" s="558">
        <v>1</v>
      </c>
      <c r="J869" s="39">
        <f t="shared" si="203"/>
        <v>0.0340820057456255</v>
      </c>
      <c r="K869" s="559">
        <f t="shared" si="204"/>
        <v>1.96628352490421</v>
      </c>
      <c r="L869" s="559">
        <f t="shared" si="205"/>
        <v>67.0148863933142</v>
      </c>
      <c r="M869" s="559">
        <f t="shared" si="206"/>
        <v>0</v>
      </c>
      <c r="N869" s="39">
        <f t="shared" si="207"/>
        <v>0</v>
      </c>
      <c r="O869" s="560">
        <f t="shared" si="208"/>
        <v>42.0655737704918</v>
      </c>
      <c r="P869">
        <f t="shared" si="209"/>
        <v>61</v>
      </c>
      <c r="Q869" s="667">
        <f t="shared" si="210"/>
        <v>0.0467432950191571</v>
      </c>
    </row>
    <row r="870" spans="1:17">
      <c r="A870" s="653">
        <v>46029</v>
      </c>
      <c r="B870" s="557">
        <v>2487</v>
      </c>
      <c r="C870" s="37">
        <v>49510</v>
      </c>
      <c r="D870" s="37">
        <v>1462</v>
      </c>
      <c r="E870" s="37">
        <v>1</v>
      </c>
      <c r="F870" s="37">
        <v>10352</v>
      </c>
      <c r="G870" s="37">
        <v>32</v>
      </c>
      <c r="H870" s="37">
        <v>8</v>
      </c>
      <c r="I870" s="558">
        <v>3</v>
      </c>
      <c r="J870" s="39">
        <f t="shared" si="203"/>
        <v>0.0295293880024238</v>
      </c>
      <c r="K870" s="559">
        <f t="shared" si="204"/>
        <v>1.70109439124487</v>
      </c>
      <c r="L870" s="559">
        <f t="shared" si="205"/>
        <v>50.2322763078166</v>
      </c>
      <c r="M870" s="559">
        <f t="shared" si="206"/>
        <v>4.16244471250503</v>
      </c>
      <c r="N870" s="39">
        <f t="shared" si="207"/>
        <v>0.000683994528043776</v>
      </c>
      <c r="O870" s="560">
        <f t="shared" si="208"/>
        <v>62.175</v>
      </c>
      <c r="P870">
        <f t="shared" si="209"/>
        <v>40</v>
      </c>
      <c r="Q870" s="667">
        <f t="shared" si="210"/>
        <v>0.027359781121751</v>
      </c>
    </row>
    <row r="871" spans="1:17">
      <c r="A871" s="653">
        <v>46030</v>
      </c>
      <c r="B871" s="557">
        <v>2487</v>
      </c>
      <c r="C871" s="37">
        <v>57487</v>
      </c>
      <c r="D871" s="37">
        <v>1392</v>
      </c>
      <c r="E871" s="37">
        <v>0</v>
      </c>
      <c r="F871" s="37">
        <v>0</v>
      </c>
      <c r="G871" s="37">
        <v>34</v>
      </c>
      <c r="H871" s="37">
        <v>6</v>
      </c>
      <c r="I871" s="558">
        <v>0</v>
      </c>
      <c r="J871" s="39">
        <f t="shared" si="203"/>
        <v>0.0242141701602101</v>
      </c>
      <c r="K871" s="559">
        <f t="shared" si="204"/>
        <v>1.78663793103448</v>
      </c>
      <c r="L871" s="559">
        <f t="shared" si="205"/>
        <v>43.2619548767547</v>
      </c>
      <c r="M871" s="559">
        <f t="shared" si="206"/>
        <v>0</v>
      </c>
      <c r="N871" s="39">
        <f t="shared" si="207"/>
        <v>0</v>
      </c>
      <c r="O871" s="560">
        <f t="shared" si="208"/>
        <v>62.175</v>
      </c>
      <c r="P871">
        <f t="shared" si="209"/>
        <v>40</v>
      </c>
      <c r="Q871" s="667">
        <f t="shared" si="210"/>
        <v>0.028735632183908</v>
      </c>
    </row>
    <row r="872" spans="1:17">
      <c r="A872" s="653">
        <v>46031</v>
      </c>
      <c r="B872" s="557">
        <v>3985</v>
      </c>
      <c r="C872" s="37">
        <v>65579</v>
      </c>
      <c r="D872" s="37">
        <v>1997</v>
      </c>
      <c r="E872" s="37">
        <v>3</v>
      </c>
      <c r="F872" s="37">
        <v>24104</v>
      </c>
      <c r="G872" s="37">
        <v>41</v>
      </c>
      <c r="H872" s="37">
        <v>6</v>
      </c>
      <c r="I872" s="558">
        <v>6</v>
      </c>
      <c r="J872" s="39">
        <f t="shared" si="203"/>
        <v>0.030451821467238</v>
      </c>
      <c r="K872" s="559">
        <f t="shared" si="204"/>
        <v>1.99549323985979</v>
      </c>
      <c r="L872" s="559">
        <f t="shared" si="205"/>
        <v>60.7664038792906</v>
      </c>
      <c r="M872" s="559">
        <f t="shared" si="206"/>
        <v>6.04868255959849</v>
      </c>
      <c r="N872" s="39">
        <f t="shared" si="207"/>
        <v>0.00150225338007011</v>
      </c>
      <c r="O872" s="560">
        <f t="shared" si="208"/>
        <v>84.7872340425532</v>
      </c>
      <c r="P872">
        <f t="shared" si="209"/>
        <v>47</v>
      </c>
      <c r="Q872" s="667">
        <f t="shared" si="210"/>
        <v>0.0235353029544316</v>
      </c>
    </row>
    <row r="873" spans="1:17">
      <c r="A873" s="653">
        <v>46032</v>
      </c>
      <c r="B873" s="557">
        <v>3791</v>
      </c>
      <c r="C873" s="37">
        <v>64142</v>
      </c>
      <c r="D873" s="37">
        <v>2123</v>
      </c>
      <c r="E873" s="37">
        <v>9</v>
      </c>
      <c r="F873" s="37">
        <v>114790</v>
      </c>
      <c r="G873" s="37">
        <v>46</v>
      </c>
      <c r="H873" s="37">
        <v>9</v>
      </c>
      <c r="I873" s="558">
        <v>9</v>
      </c>
      <c r="J873" s="39">
        <f t="shared" si="203"/>
        <v>0.0330984378410402</v>
      </c>
      <c r="K873" s="559">
        <f t="shared" si="204"/>
        <v>1.78568064060292</v>
      </c>
      <c r="L873" s="559">
        <f t="shared" si="205"/>
        <v>59.1032396869446</v>
      </c>
      <c r="M873" s="559">
        <f t="shared" si="206"/>
        <v>30.2796096016882</v>
      </c>
      <c r="N873" s="39">
        <f t="shared" si="207"/>
        <v>0.00423928403203015</v>
      </c>
      <c r="O873" s="560">
        <f t="shared" si="208"/>
        <v>68.9272727272727</v>
      </c>
      <c r="P873">
        <f t="shared" si="209"/>
        <v>55</v>
      </c>
      <c r="Q873" s="667">
        <f t="shared" si="210"/>
        <v>0.0259067357512953</v>
      </c>
    </row>
    <row r="874" spans="1:17">
      <c r="A874" s="653">
        <v>46033</v>
      </c>
      <c r="B874" s="557">
        <v>3285</v>
      </c>
      <c r="C874" s="37">
        <v>47220</v>
      </c>
      <c r="D874" s="37">
        <v>1543</v>
      </c>
      <c r="E874" s="37">
        <v>0</v>
      </c>
      <c r="F874" s="37">
        <v>0</v>
      </c>
      <c r="G874" s="37">
        <v>44</v>
      </c>
      <c r="H874" s="37">
        <v>3</v>
      </c>
      <c r="I874" s="558">
        <v>9</v>
      </c>
      <c r="J874" s="39">
        <f t="shared" si="203"/>
        <v>0.0326768318509106</v>
      </c>
      <c r="K874" s="559">
        <f t="shared" si="204"/>
        <v>2.12896953985742</v>
      </c>
      <c r="L874" s="559">
        <f t="shared" si="205"/>
        <v>69.5679796696315</v>
      </c>
      <c r="M874" s="559">
        <f t="shared" si="206"/>
        <v>0</v>
      </c>
      <c r="N874" s="39">
        <f t="shared" si="207"/>
        <v>0</v>
      </c>
      <c r="O874" s="560">
        <f t="shared" si="208"/>
        <v>69.8936170212766</v>
      </c>
      <c r="P874">
        <f t="shared" si="209"/>
        <v>47</v>
      </c>
      <c r="Q874" s="667">
        <f t="shared" si="210"/>
        <v>0.0304601425793908</v>
      </c>
    </row>
    <row r="875" spans="1:17">
      <c r="A875" s="653">
        <v>46034</v>
      </c>
      <c r="B875" s="557">
        <v>3435</v>
      </c>
      <c r="C875" s="37">
        <v>50034</v>
      </c>
      <c r="D875" s="37">
        <v>2035</v>
      </c>
      <c r="E875" s="37">
        <v>4</v>
      </c>
      <c r="F875" s="37">
        <v>29667</v>
      </c>
      <c r="G875" s="37">
        <v>44</v>
      </c>
      <c r="H875" s="37">
        <v>8</v>
      </c>
      <c r="I875" s="558">
        <v>7</v>
      </c>
      <c r="J875" s="39">
        <f t="shared" si="203"/>
        <v>0.0406723428068913</v>
      </c>
      <c r="K875" s="559">
        <f t="shared" si="204"/>
        <v>1.68796068796069</v>
      </c>
      <c r="L875" s="559">
        <f t="shared" si="205"/>
        <v>68.6533157452932</v>
      </c>
      <c r="M875" s="559">
        <f t="shared" si="206"/>
        <v>8.63668122270742</v>
      </c>
      <c r="N875" s="39">
        <f t="shared" si="207"/>
        <v>0.00196560196560197</v>
      </c>
      <c r="O875" s="560">
        <f t="shared" si="208"/>
        <v>66.0576923076923</v>
      </c>
      <c r="P875">
        <f t="shared" si="209"/>
        <v>52</v>
      </c>
      <c r="Q875" s="667">
        <f t="shared" si="210"/>
        <v>0.0255528255528256</v>
      </c>
    </row>
    <row r="876" spans="1:17">
      <c r="A876" s="653">
        <v>46035</v>
      </c>
      <c r="B876" s="557">
        <v>3476</v>
      </c>
      <c r="C876" s="37">
        <v>47369</v>
      </c>
      <c r="D876" s="37">
        <v>1666</v>
      </c>
      <c r="E876" s="37">
        <v>5</v>
      </c>
      <c r="F876" s="37">
        <v>31258</v>
      </c>
      <c r="G876" s="37">
        <v>39</v>
      </c>
      <c r="H876" s="37">
        <v>5</v>
      </c>
      <c r="I876" s="558">
        <v>4</v>
      </c>
      <c r="J876" s="39">
        <f t="shared" si="203"/>
        <v>0.0351706812472292</v>
      </c>
      <c r="K876" s="559">
        <f t="shared" si="204"/>
        <v>2.08643457382953</v>
      </c>
      <c r="L876" s="559">
        <f t="shared" si="205"/>
        <v>73.381325339357</v>
      </c>
      <c r="M876" s="559">
        <f t="shared" si="206"/>
        <v>8.99252013808976</v>
      </c>
      <c r="N876" s="39">
        <f t="shared" si="207"/>
        <v>0.00300120048019208</v>
      </c>
      <c r="O876" s="560">
        <f t="shared" si="208"/>
        <v>79</v>
      </c>
      <c r="P876">
        <f t="shared" si="209"/>
        <v>44</v>
      </c>
      <c r="Q876" s="667">
        <f t="shared" si="210"/>
        <v>0.0264105642256903</v>
      </c>
    </row>
    <row r="877" spans="1:17">
      <c r="A877" s="653">
        <v>46036</v>
      </c>
      <c r="B877" s="557">
        <v>3475</v>
      </c>
      <c r="C877" s="37">
        <v>46051</v>
      </c>
      <c r="D877" s="37">
        <v>1800</v>
      </c>
      <c r="E877" s="37">
        <v>6</v>
      </c>
      <c r="F877" s="37">
        <v>82496</v>
      </c>
      <c r="G877" s="37">
        <v>57</v>
      </c>
      <c r="H877" s="37">
        <v>6</v>
      </c>
      <c r="I877" s="558">
        <v>7</v>
      </c>
      <c r="J877" s="39">
        <f t="shared" si="203"/>
        <v>0.0390870990857962</v>
      </c>
      <c r="K877" s="559">
        <f t="shared" si="204"/>
        <v>1.93055555555556</v>
      </c>
      <c r="L877" s="559">
        <f t="shared" si="205"/>
        <v>75.4598162906343</v>
      </c>
      <c r="M877" s="559">
        <f t="shared" si="206"/>
        <v>23.7398561151079</v>
      </c>
      <c r="N877" s="39">
        <f t="shared" si="207"/>
        <v>0.00333333333333333</v>
      </c>
      <c r="O877" s="560">
        <f t="shared" si="208"/>
        <v>55.1587301587302</v>
      </c>
      <c r="P877">
        <f t="shared" si="209"/>
        <v>63</v>
      </c>
      <c r="Q877" s="667">
        <f t="shared" si="210"/>
        <v>0.035</v>
      </c>
    </row>
    <row r="878" spans="1:17">
      <c r="A878" s="653">
        <v>46037</v>
      </c>
      <c r="B878" s="557">
        <v>2996</v>
      </c>
      <c r="C878" s="37">
        <v>29159</v>
      </c>
      <c r="D878" s="37">
        <v>1270</v>
      </c>
      <c r="E878" s="37">
        <v>2</v>
      </c>
      <c r="F878" s="37">
        <v>27868</v>
      </c>
      <c r="G878" s="37">
        <v>35</v>
      </c>
      <c r="H878" s="37">
        <v>9</v>
      </c>
      <c r="I878" s="558">
        <v>6</v>
      </c>
      <c r="J878" s="39">
        <f t="shared" si="203"/>
        <v>0.0435543057032134</v>
      </c>
      <c r="K878" s="559">
        <f t="shared" si="204"/>
        <v>2.35905511811024</v>
      </c>
      <c r="L878" s="559">
        <f t="shared" si="205"/>
        <v>102.747007784903</v>
      </c>
      <c r="M878" s="559">
        <f t="shared" si="206"/>
        <v>9.30173564753004</v>
      </c>
      <c r="N878" s="39">
        <f t="shared" si="207"/>
        <v>0.0015748031496063</v>
      </c>
      <c r="O878" s="560">
        <f t="shared" si="208"/>
        <v>68.0909090909091</v>
      </c>
      <c r="P878">
        <f t="shared" si="209"/>
        <v>44</v>
      </c>
      <c r="Q878" s="667">
        <f t="shared" si="210"/>
        <v>0.0346456692913386</v>
      </c>
    </row>
    <row r="879" spans="1:17">
      <c r="A879" s="653">
        <v>46038</v>
      </c>
      <c r="B879" s="557">
        <v>2998</v>
      </c>
      <c r="C879" s="37">
        <v>24533</v>
      </c>
      <c r="D879" s="37">
        <v>1189</v>
      </c>
      <c r="E879" s="37">
        <v>5</v>
      </c>
      <c r="F879" s="37">
        <v>51538</v>
      </c>
      <c r="G879" s="37">
        <v>44</v>
      </c>
      <c r="H879" s="37">
        <v>5</v>
      </c>
      <c r="I879" s="558">
        <v>6</v>
      </c>
      <c r="J879" s="39">
        <f t="shared" si="203"/>
        <v>0.0484653324094077</v>
      </c>
      <c r="K879" s="559">
        <f t="shared" si="204"/>
        <v>2.52144659377628</v>
      </c>
      <c r="L879" s="559">
        <f t="shared" si="205"/>
        <v>122.202747319936</v>
      </c>
      <c r="M879" s="559">
        <f t="shared" si="206"/>
        <v>17.190793862575</v>
      </c>
      <c r="N879" s="39">
        <f t="shared" si="207"/>
        <v>0.00420521446593776</v>
      </c>
      <c r="O879" s="560">
        <f t="shared" si="208"/>
        <v>61.1836734693878</v>
      </c>
      <c r="P879">
        <f t="shared" si="209"/>
        <v>49</v>
      </c>
      <c r="Q879" s="667">
        <f t="shared" si="210"/>
        <v>0.0412111017661901</v>
      </c>
    </row>
    <row r="880" spans="1:17">
      <c r="A880" s="653">
        <v>46039</v>
      </c>
      <c r="B880" s="557">
        <v>2997</v>
      </c>
      <c r="C880" s="37">
        <v>31275</v>
      </c>
      <c r="D880" s="37">
        <v>1274</v>
      </c>
      <c r="E880" s="37">
        <v>1</v>
      </c>
      <c r="F880" s="37">
        <v>7856</v>
      </c>
      <c r="G880" s="37">
        <v>31</v>
      </c>
      <c r="H880" s="37">
        <v>2</v>
      </c>
      <c r="I880" s="558">
        <v>4</v>
      </c>
      <c r="J880" s="39">
        <f t="shared" si="203"/>
        <v>0.0407354116706635</v>
      </c>
      <c r="K880" s="559">
        <f t="shared" si="204"/>
        <v>2.35243328100471</v>
      </c>
      <c r="L880" s="559">
        <f t="shared" si="205"/>
        <v>95.8273381294964</v>
      </c>
      <c r="M880" s="559">
        <f t="shared" si="206"/>
        <v>2.62128795462129</v>
      </c>
      <c r="N880" s="39">
        <f t="shared" si="207"/>
        <v>0.000784929356357928</v>
      </c>
      <c r="O880" s="560">
        <f t="shared" si="208"/>
        <v>90.8181818181818</v>
      </c>
      <c r="P880">
        <f t="shared" si="209"/>
        <v>33</v>
      </c>
      <c r="Q880" s="667">
        <f t="shared" si="210"/>
        <v>0.0259026687598116</v>
      </c>
    </row>
    <row r="881" spans="1:17">
      <c r="A881" s="653">
        <v>46040</v>
      </c>
      <c r="B881" s="557">
        <v>2523</v>
      </c>
      <c r="C881" s="37">
        <v>25579</v>
      </c>
      <c r="D881" s="37">
        <v>1146</v>
      </c>
      <c r="E881" s="37">
        <v>4</v>
      </c>
      <c r="F881" s="37">
        <v>58030</v>
      </c>
      <c r="G881" s="37">
        <v>43</v>
      </c>
      <c r="H881" s="37">
        <v>4</v>
      </c>
      <c r="I881" s="558">
        <v>4</v>
      </c>
      <c r="J881" s="39">
        <f t="shared" si="203"/>
        <v>0.0448023769498417</v>
      </c>
      <c r="K881" s="559">
        <f t="shared" si="204"/>
        <v>2.20157068062827</v>
      </c>
      <c r="L881" s="559">
        <f t="shared" si="205"/>
        <v>98.6355995152273</v>
      </c>
      <c r="M881" s="559">
        <f t="shared" si="206"/>
        <v>23.0003963535474</v>
      </c>
      <c r="N881" s="39">
        <f t="shared" si="207"/>
        <v>0.00349040139616056</v>
      </c>
      <c r="O881" s="560">
        <f t="shared" si="208"/>
        <v>53.6808510638298</v>
      </c>
      <c r="P881">
        <f t="shared" si="209"/>
        <v>47</v>
      </c>
      <c r="Q881" s="667">
        <f t="shared" si="210"/>
        <v>0.0410122164048866</v>
      </c>
    </row>
    <row r="882" spans="1:17">
      <c r="A882" s="653">
        <v>46041</v>
      </c>
      <c r="B882" s="557">
        <v>6451</v>
      </c>
      <c r="C882" s="37">
        <v>55334</v>
      </c>
      <c r="D882" s="37">
        <v>2537</v>
      </c>
      <c r="E882" s="37">
        <v>2</v>
      </c>
      <c r="F882" s="37">
        <v>21779</v>
      </c>
      <c r="G882" s="37">
        <v>52</v>
      </c>
      <c r="H882" s="37">
        <v>3</v>
      </c>
      <c r="I882" s="558">
        <v>17</v>
      </c>
      <c r="J882" s="39">
        <f t="shared" si="203"/>
        <v>0.0458488451946362</v>
      </c>
      <c r="K882" s="559">
        <f t="shared" si="204"/>
        <v>2.54276704769413</v>
      </c>
      <c r="L882" s="559">
        <f t="shared" si="205"/>
        <v>116.58293273575</v>
      </c>
      <c r="M882" s="559">
        <f t="shared" si="206"/>
        <v>3.37606572624399</v>
      </c>
      <c r="N882" s="39">
        <f t="shared" si="207"/>
        <v>0.000788332676389436</v>
      </c>
      <c r="O882" s="560">
        <f t="shared" si="208"/>
        <v>117.290909090909</v>
      </c>
      <c r="P882">
        <f t="shared" si="209"/>
        <v>55</v>
      </c>
      <c r="Q882" s="667">
        <f t="shared" si="210"/>
        <v>0.0216791486007095</v>
      </c>
    </row>
    <row r="883" spans="1:17">
      <c r="A883" s="653">
        <v>46042</v>
      </c>
      <c r="B883" s="557">
        <v>6491</v>
      </c>
      <c r="C883" s="37">
        <v>55528</v>
      </c>
      <c r="D883" s="37">
        <v>2599</v>
      </c>
      <c r="E883" s="37">
        <v>4</v>
      </c>
      <c r="F883" s="37">
        <v>72162</v>
      </c>
      <c r="G883" s="37">
        <v>63</v>
      </c>
      <c r="H883" s="37">
        <v>11</v>
      </c>
      <c r="I883" s="558">
        <v>10</v>
      </c>
      <c r="J883" s="39">
        <f t="shared" si="203"/>
        <v>0.0468052153868319</v>
      </c>
      <c r="K883" s="559">
        <f t="shared" si="204"/>
        <v>2.49749903809157</v>
      </c>
      <c r="L883" s="559">
        <f t="shared" si="205"/>
        <v>116.895980406282</v>
      </c>
      <c r="M883" s="559">
        <f t="shared" si="206"/>
        <v>11.1172392543522</v>
      </c>
      <c r="N883" s="39">
        <f t="shared" si="207"/>
        <v>0.0015390534821085</v>
      </c>
      <c r="O883" s="560">
        <f t="shared" si="208"/>
        <v>87.7162162162162</v>
      </c>
      <c r="P883">
        <f t="shared" si="209"/>
        <v>74</v>
      </c>
      <c r="Q883" s="667">
        <f t="shared" si="210"/>
        <v>0.0284724894190073</v>
      </c>
    </row>
    <row r="884" spans="1:17">
      <c r="A884" s="653">
        <v>46043</v>
      </c>
      <c r="B884" s="557">
        <v>6490</v>
      </c>
      <c r="C884" s="37">
        <v>60953</v>
      </c>
      <c r="D884" s="37">
        <v>2497</v>
      </c>
      <c r="E884" s="37">
        <v>4</v>
      </c>
      <c r="F884" s="37">
        <v>34555</v>
      </c>
      <c r="G884" s="37">
        <v>47</v>
      </c>
      <c r="H884" s="37">
        <v>14</v>
      </c>
      <c r="I884" s="558">
        <v>15</v>
      </c>
      <c r="J884" s="39">
        <f t="shared" si="203"/>
        <v>0.0409659901891621</v>
      </c>
      <c r="K884" s="559">
        <f t="shared" si="204"/>
        <v>2.59911894273128</v>
      </c>
      <c r="L884" s="559">
        <f t="shared" si="205"/>
        <v>106.475481108395</v>
      </c>
      <c r="M884" s="559">
        <f t="shared" si="206"/>
        <v>5.32434514637904</v>
      </c>
      <c r="N884" s="39">
        <f t="shared" si="207"/>
        <v>0.00160192230676812</v>
      </c>
      <c r="O884" s="560">
        <f t="shared" si="208"/>
        <v>106.393442622951</v>
      </c>
      <c r="P884">
        <f t="shared" si="209"/>
        <v>61</v>
      </c>
      <c r="Q884" s="667">
        <f t="shared" si="210"/>
        <v>0.0244293151782139</v>
      </c>
    </row>
    <row r="885" spans="1:17">
      <c r="A885" s="653">
        <v>46044</v>
      </c>
      <c r="B885" s="557">
        <v>6500</v>
      </c>
      <c r="C885" s="37">
        <v>90241</v>
      </c>
      <c r="D885" s="37">
        <v>3284</v>
      </c>
      <c r="E885" s="37">
        <v>2</v>
      </c>
      <c r="F885" s="37">
        <v>17722</v>
      </c>
      <c r="G885" s="37">
        <v>77</v>
      </c>
      <c r="H885" s="37">
        <v>15</v>
      </c>
      <c r="I885" s="558">
        <v>9</v>
      </c>
      <c r="J885" s="39">
        <f t="shared" si="203"/>
        <v>0.0363914406976873</v>
      </c>
      <c r="K885" s="559">
        <f t="shared" si="204"/>
        <v>1.97929354445798</v>
      </c>
      <c r="L885" s="559">
        <f t="shared" si="205"/>
        <v>72.0293436464578</v>
      </c>
      <c r="M885" s="559">
        <f t="shared" si="206"/>
        <v>2.72646153846154</v>
      </c>
      <c r="N885" s="39">
        <f t="shared" si="207"/>
        <v>0.000609013398294762</v>
      </c>
      <c r="O885" s="560">
        <f t="shared" si="208"/>
        <v>70.6521739130435</v>
      </c>
      <c r="P885">
        <f t="shared" si="209"/>
        <v>92</v>
      </c>
      <c r="Q885" s="667">
        <f t="shared" si="210"/>
        <v>0.0280146163215591</v>
      </c>
    </row>
    <row r="886" spans="1:17">
      <c r="A886" s="653">
        <v>46045</v>
      </c>
      <c r="B886" s="557">
        <v>3000</v>
      </c>
      <c r="C886" s="37">
        <v>81427</v>
      </c>
      <c r="D886" s="37">
        <v>3355</v>
      </c>
      <c r="E886" s="37">
        <v>2</v>
      </c>
      <c r="F886" s="37">
        <v>27925</v>
      </c>
      <c r="G886" s="37">
        <v>41</v>
      </c>
      <c r="H886" s="37">
        <v>15</v>
      </c>
      <c r="I886" s="558">
        <v>6</v>
      </c>
      <c r="J886" s="39">
        <f t="shared" si="203"/>
        <v>0.0412025495228855</v>
      </c>
      <c r="K886" s="559">
        <f t="shared" si="204"/>
        <v>0.894187779433681</v>
      </c>
      <c r="L886" s="559">
        <f t="shared" si="205"/>
        <v>36.8428162648753</v>
      </c>
      <c r="M886" s="559">
        <f t="shared" si="206"/>
        <v>9.30833333333333</v>
      </c>
      <c r="N886" s="39">
        <f t="shared" si="207"/>
        <v>0.000596125186289121</v>
      </c>
      <c r="O886" s="560">
        <f t="shared" si="208"/>
        <v>53.5714285714286</v>
      </c>
      <c r="P886">
        <f t="shared" si="209"/>
        <v>56</v>
      </c>
      <c r="Q886" s="667">
        <f t="shared" si="210"/>
        <v>0.0166915052160954</v>
      </c>
    </row>
    <row r="887" spans="1:17">
      <c r="A887" s="653">
        <v>46046</v>
      </c>
      <c r="B887" s="557">
        <v>1499</v>
      </c>
      <c r="C887" s="37">
        <v>37185</v>
      </c>
      <c r="D887" s="37">
        <v>1013</v>
      </c>
      <c r="E887" s="37">
        <v>0</v>
      </c>
      <c r="F887" s="37">
        <v>0</v>
      </c>
      <c r="G887" s="37">
        <v>35</v>
      </c>
      <c r="H887" s="37">
        <v>11</v>
      </c>
      <c r="I887" s="558">
        <v>2</v>
      </c>
      <c r="J887" s="39">
        <f t="shared" si="203"/>
        <v>0.027242167540675</v>
      </c>
      <c r="K887" s="559">
        <f t="shared" si="204"/>
        <v>1.47976307996051</v>
      </c>
      <c r="L887" s="559">
        <f t="shared" si="205"/>
        <v>40.3119537447896</v>
      </c>
      <c r="M887" s="559">
        <f t="shared" si="206"/>
        <v>0</v>
      </c>
      <c r="N887" s="39">
        <f t="shared" si="207"/>
        <v>0</v>
      </c>
      <c r="O887" s="560">
        <f t="shared" si="208"/>
        <v>32.5869565217391</v>
      </c>
      <c r="P887">
        <f t="shared" si="209"/>
        <v>46</v>
      </c>
      <c r="Q887" s="667">
        <f t="shared" si="210"/>
        <v>0.0454096742349457</v>
      </c>
    </row>
    <row r="888" spans="1:17">
      <c r="A888" s="653">
        <v>46047</v>
      </c>
      <c r="B888" s="557">
        <v>2998</v>
      </c>
      <c r="C888" s="37">
        <v>65655</v>
      </c>
      <c r="D888" s="37">
        <v>1658</v>
      </c>
      <c r="E888" s="37">
        <v>3</v>
      </c>
      <c r="F888" s="37">
        <v>47213</v>
      </c>
      <c r="G888" s="37">
        <v>56</v>
      </c>
      <c r="H888" s="37">
        <v>12</v>
      </c>
      <c r="I888" s="558">
        <v>6</v>
      </c>
      <c r="J888" s="39">
        <f t="shared" si="203"/>
        <v>0.0252532175767268</v>
      </c>
      <c r="K888" s="559">
        <f t="shared" si="204"/>
        <v>1.80820265379976</v>
      </c>
      <c r="L888" s="559">
        <f t="shared" si="205"/>
        <v>45.6629350392202</v>
      </c>
      <c r="M888" s="559">
        <f t="shared" si="206"/>
        <v>15.7481654436291</v>
      </c>
      <c r="N888" s="39">
        <f t="shared" si="207"/>
        <v>0.00180940892641737</v>
      </c>
      <c r="O888" s="560">
        <f t="shared" si="208"/>
        <v>44.0882352941176</v>
      </c>
      <c r="P888">
        <f t="shared" si="209"/>
        <v>68</v>
      </c>
      <c r="Q888" s="667">
        <f t="shared" si="210"/>
        <v>0.0410132689987937</v>
      </c>
    </row>
    <row r="889" spans="1:17">
      <c r="A889" s="653">
        <v>46048</v>
      </c>
      <c r="B889" s="557">
        <v>2989</v>
      </c>
      <c r="C889" s="37">
        <v>31114</v>
      </c>
      <c r="D889" s="37">
        <v>1125</v>
      </c>
      <c r="E889" s="37">
        <v>5</v>
      </c>
      <c r="F889" s="37">
        <v>40684</v>
      </c>
      <c r="G889" s="37">
        <v>53</v>
      </c>
      <c r="H889" s="37">
        <v>4</v>
      </c>
      <c r="I889" s="558">
        <v>5</v>
      </c>
      <c r="J889" s="39">
        <f t="shared" si="203"/>
        <v>0.036157356816867</v>
      </c>
      <c r="K889" s="559">
        <f t="shared" si="204"/>
        <v>2.65688888888889</v>
      </c>
      <c r="L889" s="559">
        <f t="shared" si="205"/>
        <v>96.0660795783249</v>
      </c>
      <c r="M889" s="559">
        <f t="shared" si="206"/>
        <v>13.6112412177986</v>
      </c>
      <c r="N889" s="39">
        <f t="shared" si="207"/>
        <v>0.00444444444444444</v>
      </c>
      <c r="O889" s="560">
        <f t="shared" si="208"/>
        <v>52.4385964912281</v>
      </c>
      <c r="P889">
        <f t="shared" si="209"/>
        <v>57</v>
      </c>
      <c r="Q889" s="667">
        <f t="shared" si="210"/>
        <v>0.0506666666666667</v>
      </c>
    </row>
    <row r="890" spans="1:17">
      <c r="A890" s="653">
        <v>46049</v>
      </c>
      <c r="B890" s="557">
        <v>2550</v>
      </c>
      <c r="C890" s="37">
        <v>31544</v>
      </c>
      <c r="D890" s="37">
        <v>984</v>
      </c>
      <c r="E890" s="37">
        <v>3</v>
      </c>
      <c r="F890" s="37">
        <v>31414</v>
      </c>
      <c r="G890" s="37">
        <v>49</v>
      </c>
      <c r="H890" s="37">
        <v>9</v>
      </c>
      <c r="I890" s="558">
        <v>1</v>
      </c>
      <c r="J890" s="39">
        <f t="shared" si="203"/>
        <v>0.031194521937611</v>
      </c>
      <c r="K890" s="559">
        <f t="shared" si="204"/>
        <v>2.59146341463415</v>
      </c>
      <c r="L890" s="559">
        <f t="shared" si="205"/>
        <v>80.8394623383211</v>
      </c>
      <c r="M890" s="559">
        <f t="shared" si="206"/>
        <v>12.3192156862745</v>
      </c>
      <c r="N890" s="39">
        <f t="shared" si="207"/>
        <v>0.00304878048780488</v>
      </c>
      <c r="O890" s="560">
        <f t="shared" si="208"/>
        <v>43.9655172413793</v>
      </c>
      <c r="P890">
        <f t="shared" si="209"/>
        <v>58</v>
      </c>
      <c r="Q890" s="667">
        <f t="shared" si="210"/>
        <v>0.0589430894308943</v>
      </c>
    </row>
    <row r="891" spans="1:17">
      <c r="A891" s="653">
        <v>46050</v>
      </c>
      <c r="B891" s="557">
        <v>3103</v>
      </c>
      <c r="C891" s="37">
        <v>45896</v>
      </c>
      <c r="D891" s="37">
        <v>1301</v>
      </c>
      <c r="E891" s="37">
        <v>6</v>
      </c>
      <c r="F891" s="37">
        <v>51687</v>
      </c>
      <c r="G891" s="37">
        <v>51</v>
      </c>
      <c r="H891" s="37">
        <v>7</v>
      </c>
      <c r="I891" s="558">
        <v>9</v>
      </c>
      <c r="J891" s="39">
        <f t="shared" si="203"/>
        <v>0.0283466968799024</v>
      </c>
      <c r="K891" s="559">
        <f t="shared" si="204"/>
        <v>2.38508839354343</v>
      </c>
      <c r="L891" s="559">
        <f t="shared" si="205"/>
        <v>67.6093777235489</v>
      </c>
      <c r="M891" s="559">
        <f t="shared" si="206"/>
        <v>16.657106026426</v>
      </c>
      <c r="N891" s="39">
        <f t="shared" si="207"/>
        <v>0.00461183704842429</v>
      </c>
      <c r="O891" s="560">
        <f t="shared" si="208"/>
        <v>53.5</v>
      </c>
      <c r="P891">
        <f t="shared" si="209"/>
        <v>58</v>
      </c>
      <c r="Q891" s="667">
        <f t="shared" si="210"/>
        <v>0.0445810914681015</v>
      </c>
    </row>
    <row r="892" spans="1:17">
      <c r="A892" s="653">
        <v>46051</v>
      </c>
      <c r="B892" s="557">
        <v>1747</v>
      </c>
      <c r="C892" s="37">
        <v>33642</v>
      </c>
      <c r="D892" s="37">
        <v>1051</v>
      </c>
      <c r="E892" s="37">
        <v>4</v>
      </c>
      <c r="F892" s="37">
        <v>26891</v>
      </c>
      <c r="G892" s="37">
        <v>46</v>
      </c>
      <c r="H892" s="37">
        <v>14</v>
      </c>
      <c r="I892" s="558">
        <v>0</v>
      </c>
      <c r="J892" s="39">
        <f t="shared" si="203"/>
        <v>0.0312407110159919</v>
      </c>
      <c r="K892" s="559">
        <f t="shared" si="204"/>
        <v>1.66222645099905</v>
      </c>
      <c r="L892" s="559">
        <f t="shared" si="205"/>
        <v>51.9291361987991</v>
      </c>
      <c r="M892" s="559">
        <f t="shared" si="206"/>
        <v>15.3926731539782</v>
      </c>
      <c r="N892" s="39">
        <f t="shared" si="207"/>
        <v>0.00380589914367269</v>
      </c>
      <c r="O892" s="560">
        <f t="shared" si="208"/>
        <v>29.1166666666667</v>
      </c>
      <c r="P892">
        <f t="shared" si="209"/>
        <v>60</v>
      </c>
      <c r="Q892" s="667">
        <f t="shared" si="210"/>
        <v>0.0570884871550904</v>
      </c>
    </row>
    <row r="893" spans="1:17">
      <c r="A893" s="653">
        <v>46052</v>
      </c>
      <c r="B893" s="557">
        <v>3247</v>
      </c>
      <c r="C893" s="37">
        <v>42588</v>
      </c>
      <c r="D893" s="37">
        <v>1405</v>
      </c>
      <c r="E893" s="37">
        <v>6</v>
      </c>
      <c r="F893" s="37">
        <v>38493</v>
      </c>
      <c r="G893" s="37">
        <v>32</v>
      </c>
      <c r="H893" s="37">
        <v>12</v>
      </c>
      <c r="I893" s="558">
        <v>7</v>
      </c>
      <c r="J893" s="39">
        <f t="shared" si="203"/>
        <v>0.0329905137597445</v>
      </c>
      <c r="K893" s="559">
        <f t="shared" si="204"/>
        <v>2.31103202846975</v>
      </c>
      <c r="L893" s="559">
        <f t="shared" si="205"/>
        <v>76.2421339344416</v>
      </c>
      <c r="M893" s="559">
        <f t="shared" si="206"/>
        <v>11.8549430243302</v>
      </c>
      <c r="N893" s="39">
        <f t="shared" si="207"/>
        <v>0.00427046263345196</v>
      </c>
      <c r="O893" s="560">
        <f t="shared" si="208"/>
        <v>73.7954545454545</v>
      </c>
      <c r="P893">
        <f t="shared" si="209"/>
        <v>44</v>
      </c>
      <c r="Q893" s="667">
        <f t="shared" si="210"/>
        <v>0.0313167259786477</v>
      </c>
    </row>
    <row r="894" spans="1:17">
      <c r="A894" s="653">
        <v>46053</v>
      </c>
      <c r="B894" s="557">
        <v>3080</v>
      </c>
      <c r="C894" s="37">
        <v>47331</v>
      </c>
      <c r="D894" s="37">
        <v>1792</v>
      </c>
      <c r="E894" s="37">
        <v>3</v>
      </c>
      <c r="F894" s="37">
        <v>34850</v>
      </c>
      <c r="G894" s="37">
        <v>50</v>
      </c>
      <c r="H894" s="37">
        <v>7</v>
      </c>
      <c r="I894" s="558">
        <v>9</v>
      </c>
      <c r="J894" s="39">
        <f t="shared" si="203"/>
        <v>0.0378610213179523</v>
      </c>
      <c r="K894" s="559">
        <f t="shared" si="204"/>
        <v>1.71875</v>
      </c>
      <c r="L894" s="559">
        <f t="shared" si="205"/>
        <v>65.0736303902305</v>
      </c>
      <c r="M894" s="559">
        <f t="shared" si="206"/>
        <v>11.3149350649351</v>
      </c>
      <c r="N894" s="39">
        <f t="shared" si="207"/>
        <v>0.00167410714285714</v>
      </c>
      <c r="O894" s="560">
        <f t="shared" si="208"/>
        <v>54.0350877192982</v>
      </c>
      <c r="P894">
        <f t="shared" si="209"/>
        <v>57</v>
      </c>
      <c r="Q894" s="667">
        <f t="shared" si="210"/>
        <v>0.0318080357142857</v>
      </c>
    </row>
    <row r="895" spans="1:17">
      <c r="A895" s="653">
        <v>46054</v>
      </c>
      <c r="B895" s="557">
        <v>1803</v>
      </c>
      <c r="C895" s="37">
        <v>22034</v>
      </c>
      <c r="D895" s="37">
        <v>963</v>
      </c>
      <c r="E895" s="37">
        <v>3</v>
      </c>
      <c r="F895" s="37">
        <v>13510</v>
      </c>
      <c r="G895" s="37">
        <v>56</v>
      </c>
      <c r="H895" s="37">
        <v>4</v>
      </c>
      <c r="I895" s="558">
        <v>2</v>
      </c>
      <c r="J895" s="39">
        <f t="shared" ref="J895:J958" si="211">D895/C895</f>
        <v>0.0437051828991558</v>
      </c>
      <c r="K895" s="559">
        <f t="shared" ref="K895:K958" si="212">B895/D895</f>
        <v>1.87227414330218</v>
      </c>
      <c r="L895" s="559">
        <f t="shared" ref="L895:L958" si="213">B895/C895*1000</f>
        <v>81.8280838703821</v>
      </c>
      <c r="M895" s="559">
        <f t="shared" ref="M895:M958" si="214">F895/B895</f>
        <v>7.4930671103716</v>
      </c>
      <c r="N895" s="39">
        <f t="shared" ref="N895:N958" si="215">E895/D895</f>
        <v>0.00311526479750779</v>
      </c>
      <c r="O895" s="560">
        <f t="shared" ref="O895:O958" si="216">B895/(G895+H895)</f>
        <v>30.05</v>
      </c>
      <c r="P895">
        <f t="shared" ref="P895:P958" si="217">G895+H895</f>
        <v>60</v>
      </c>
      <c r="Q895" s="667">
        <f t="shared" ref="Q895:Q958" si="218">P895/D895</f>
        <v>0.0623052959501558</v>
      </c>
    </row>
    <row r="896" spans="1:17">
      <c r="A896" s="653">
        <v>46055</v>
      </c>
      <c r="B896" s="557">
        <v>1800</v>
      </c>
      <c r="C896" s="37">
        <v>23602</v>
      </c>
      <c r="D896" s="37">
        <v>895</v>
      </c>
      <c r="E896" s="37">
        <v>2</v>
      </c>
      <c r="F896" s="37">
        <v>21630</v>
      </c>
      <c r="G896" s="37">
        <v>35</v>
      </c>
      <c r="H896" s="37">
        <v>4</v>
      </c>
      <c r="I896" s="558">
        <v>3</v>
      </c>
      <c r="J896" s="39">
        <f t="shared" si="211"/>
        <v>0.0379205152105754</v>
      </c>
      <c r="K896" s="559">
        <f t="shared" si="212"/>
        <v>2.01117318435754</v>
      </c>
      <c r="L896" s="559">
        <f t="shared" si="213"/>
        <v>76.2647233285315</v>
      </c>
      <c r="M896" s="559">
        <f t="shared" si="214"/>
        <v>12.0166666666667</v>
      </c>
      <c r="N896" s="39">
        <f t="shared" si="215"/>
        <v>0.00223463687150838</v>
      </c>
      <c r="O896" s="560">
        <f t="shared" si="216"/>
        <v>46.1538461538462</v>
      </c>
      <c r="P896">
        <f t="shared" si="217"/>
        <v>39</v>
      </c>
      <c r="Q896" s="667">
        <f t="shared" si="218"/>
        <v>0.0435754189944134</v>
      </c>
    </row>
    <row r="897" spans="1:17">
      <c r="A897" s="653">
        <v>46056</v>
      </c>
      <c r="B897" s="557">
        <v>1120</v>
      </c>
      <c r="C897" s="37">
        <v>13025</v>
      </c>
      <c r="D897" s="37">
        <v>488</v>
      </c>
      <c r="E897" s="37">
        <v>6</v>
      </c>
      <c r="F897" s="37">
        <v>81905</v>
      </c>
      <c r="G897" s="37">
        <v>34</v>
      </c>
      <c r="H897" s="37">
        <v>5</v>
      </c>
      <c r="I897" s="558">
        <v>4</v>
      </c>
      <c r="J897" s="39">
        <f t="shared" si="211"/>
        <v>0.0374664107485605</v>
      </c>
      <c r="K897" s="559">
        <f t="shared" si="212"/>
        <v>2.29508196721311</v>
      </c>
      <c r="L897" s="559">
        <f t="shared" si="213"/>
        <v>85.9884836852207</v>
      </c>
      <c r="M897" s="559">
        <f t="shared" si="214"/>
        <v>73.1294642857143</v>
      </c>
      <c r="N897" s="39">
        <f t="shared" si="215"/>
        <v>0.0122950819672131</v>
      </c>
      <c r="O897" s="560">
        <f t="shared" si="216"/>
        <v>28.7179487179487</v>
      </c>
      <c r="P897">
        <f t="shared" si="217"/>
        <v>39</v>
      </c>
      <c r="Q897" s="667">
        <f t="shared" si="218"/>
        <v>0.0799180327868853</v>
      </c>
    </row>
    <row r="898" spans="1:17">
      <c r="A898" s="653">
        <v>46057</v>
      </c>
      <c r="B898" s="557">
        <v>1000</v>
      </c>
      <c r="C898" s="37">
        <v>8562</v>
      </c>
      <c r="D898" s="37">
        <v>361</v>
      </c>
      <c r="E898" s="37">
        <v>1</v>
      </c>
      <c r="F898" s="37">
        <v>12538</v>
      </c>
      <c r="G898" s="37">
        <v>26</v>
      </c>
      <c r="H898" s="37">
        <v>5</v>
      </c>
      <c r="I898" s="558">
        <v>2</v>
      </c>
      <c r="J898" s="39">
        <f t="shared" si="211"/>
        <v>0.0421630460172857</v>
      </c>
      <c r="K898" s="559">
        <f t="shared" si="212"/>
        <v>2.77008310249307</v>
      </c>
      <c r="L898" s="559">
        <f t="shared" si="213"/>
        <v>116.795141322121</v>
      </c>
      <c r="M898" s="559">
        <f t="shared" si="214"/>
        <v>12.538</v>
      </c>
      <c r="N898" s="39">
        <f t="shared" si="215"/>
        <v>0.00277008310249307</v>
      </c>
      <c r="O898" s="560">
        <f t="shared" si="216"/>
        <v>32.258064516129</v>
      </c>
      <c r="P898">
        <f t="shared" si="217"/>
        <v>31</v>
      </c>
      <c r="Q898" s="667">
        <f t="shared" si="218"/>
        <v>0.0858725761772853</v>
      </c>
    </row>
    <row r="899" spans="1:17">
      <c r="A899" s="653">
        <v>46058</v>
      </c>
      <c r="B899" s="557">
        <v>1000</v>
      </c>
      <c r="C899" s="37">
        <v>7725</v>
      </c>
      <c r="D899" s="37">
        <v>373</v>
      </c>
      <c r="E899" s="37">
        <v>4</v>
      </c>
      <c r="F899" s="37">
        <v>49409</v>
      </c>
      <c r="G899" s="37">
        <v>24</v>
      </c>
      <c r="H899" s="37">
        <v>10</v>
      </c>
      <c r="I899" s="558">
        <v>3</v>
      </c>
      <c r="J899" s="39">
        <f t="shared" si="211"/>
        <v>0.0482847896440129</v>
      </c>
      <c r="K899" s="559">
        <f t="shared" si="212"/>
        <v>2.68096514745308</v>
      </c>
      <c r="L899" s="559">
        <f t="shared" si="213"/>
        <v>129.449838187702</v>
      </c>
      <c r="M899" s="559">
        <f t="shared" si="214"/>
        <v>49.409</v>
      </c>
      <c r="N899" s="39">
        <f t="shared" si="215"/>
        <v>0.0107238605898123</v>
      </c>
      <c r="O899" s="560">
        <f t="shared" si="216"/>
        <v>29.4117647058824</v>
      </c>
      <c r="P899">
        <f t="shared" si="217"/>
        <v>34</v>
      </c>
      <c r="Q899" s="667">
        <f t="shared" si="218"/>
        <v>0.0911528150134048</v>
      </c>
    </row>
    <row r="900" spans="1:17">
      <c r="A900" s="653">
        <v>46059</v>
      </c>
      <c r="B900" s="557">
        <v>2489</v>
      </c>
      <c r="C900" s="37">
        <v>26056</v>
      </c>
      <c r="D900" s="37">
        <v>1045</v>
      </c>
      <c r="E900" s="37">
        <v>4</v>
      </c>
      <c r="F900" s="37">
        <v>43282</v>
      </c>
      <c r="G900" s="37">
        <v>48</v>
      </c>
      <c r="H900" s="37">
        <v>9</v>
      </c>
      <c r="I900" s="558">
        <v>8</v>
      </c>
      <c r="J900" s="39">
        <f t="shared" si="211"/>
        <v>0.0401059256984955</v>
      </c>
      <c r="K900" s="559">
        <f t="shared" si="212"/>
        <v>2.38181818181818</v>
      </c>
      <c r="L900" s="559">
        <f t="shared" si="213"/>
        <v>95.5250230273258</v>
      </c>
      <c r="M900" s="559">
        <f t="shared" si="214"/>
        <v>17.3893129770992</v>
      </c>
      <c r="N900" s="39">
        <f t="shared" si="215"/>
        <v>0.00382775119617225</v>
      </c>
      <c r="O900" s="560">
        <f t="shared" si="216"/>
        <v>43.6666666666667</v>
      </c>
      <c r="P900">
        <f t="shared" si="217"/>
        <v>57</v>
      </c>
      <c r="Q900" s="667">
        <f t="shared" si="218"/>
        <v>0.0545454545454545</v>
      </c>
    </row>
    <row r="901" spans="1:17">
      <c r="A901" s="653">
        <v>46060</v>
      </c>
      <c r="B901" s="557">
        <v>2500</v>
      </c>
      <c r="C901" s="37">
        <v>24349</v>
      </c>
      <c r="D901" s="37">
        <v>909</v>
      </c>
      <c r="E901" s="37">
        <v>4</v>
      </c>
      <c r="F901" s="37">
        <v>44027</v>
      </c>
      <c r="G901" s="37">
        <v>36</v>
      </c>
      <c r="H901" s="37">
        <v>7</v>
      </c>
      <c r="I901" s="558">
        <v>4</v>
      </c>
      <c r="J901" s="39">
        <f t="shared" si="211"/>
        <v>0.0373321286295125</v>
      </c>
      <c r="K901" s="559">
        <f t="shared" si="212"/>
        <v>2.75027502750275</v>
      </c>
      <c r="L901" s="559">
        <f t="shared" si="213"/>
        <v>102.673621093269</v>
      </c>
      <c r="M901" s="559">
        <f t="shared" si="214"/>
        <v>17.6108</v>
      </c>
      <c r="N901" s="39">
        <f t="shared" si="215"/>
        <v>0.0044004400440044</v>
      </c>
      <c r="O901" s="560">
        <f t="shared" si="216"/>
        <v>58.1395348837209</v>
      </c>
      <c r="P901">
        <f t="shared" si="217"/>
        <v>43</v>
      </c>
      <c r="Q901" s="667">
        <f t="shared" si="218"/>
        <v>0.0473047304730473</v>
      </c>
    </row>
    <row r="902" spans="1:17">
      <c r="A902" s="653">
        <v>46061</v>
      </c>
      <c r="B902" s="557">
        <v>2495</v>
      </c>
      <c r="C902" s="37">
        <v>27991</v>
      </c>
      <c r="D902" s="37">
        <v>1044</v>
      </c>
      <c r="E902" s="37">
        <v>0</v>
      </c>
      <c r="F902" s="37">
        <v>0</v>
      </c>
      <c r="G902" s="37">
        <v>24</v>
      </c>
      <c r="H902" s="37">
        <v>4</v>
      </c>
      <c r="I902" s="558">
        <v>3</v>
      </c>
      <c r="J902" s="39">
        <f t="shared" si="211"/>
        <v>0.0372977028330535</v>
      </c>
      <c r="K902" s="559">
        <f t="shared" si="212"/>
        <v>2.38984674329502</v>
      </c>
      <c r="L902" s="559">
        <f t="shared" si="213"/>
        <v>89.1357936479583</v>
      </c>
      <c r="M902" s="559">
        <f t="shared" si="214"/>
        <v>0</v>
      </c>
      <c r="N902" s="39">
        <f t="shared" si="215"/>
        <v>0</v>
      </c>
      <c r="O902" s="560">
        <f t="shared" si="216"/>
        <v>89.1071428571429</v>
      </c>
      <c r="P902">
        <f t="shared" si="217"/>
        <v>28</v>
      </c>
      <c r="Q902" s="667">
        <f t="shared" si="218"/>
        <v>0.0268199233716475</v>
      </c>
    </row>
    <row r="903" spans="1:17">
      <c r="A903" s="653">
        <v>46062</v>
      </c>
      <c r="B903" s="557">
        <v>2500</v>
      </c>
      <c r="C903" s="37">
        <v>27383</v>
      </c>
      <c r="D903" s="37">
        <v>1098</v>
      </c>
      <c r="E903" s="37">
        <v>2</v>
      </c>
      <c r="F903" s="37">
        <v>23628</v>
      </c>
      <c r="G903" s="37">
        <v>35</v>
      </c>
      <c r="H903" s="37">
        <v>9</v>
      </c>
      <c r="I903" s="558">
        <v>5</v>
      </c>
      <c r="J903" s="39">
        <f t="shared" si="211"/>
        <v>0.0400978709418252</v>
      </c>
      <c r="K903" s="559">
        <f t="shared" si="212"/>
        <v>2.27686703096539</v>
      </c>
      <c r="L903" s="559">
        <f t="shared" si="213"/>
        <v>91.297520359347</v>
      </c>
      <c r="M903" s="559">
        <f t="shared" si="214"/>
        <v>9.4512</v>
      </c>
      <c r="N903" s="39">
        <f t="shared" si="215"/>
        <v>0.00182149362477231</v>
      </c>
      <c r="O903" s="560">
        <f t="shared" si="216"/>
        <v>56.8181818181818</v>
      </c>
      <c r="P903">
        <f t="shared" si="217"/>
        <v>44</v>
      </c>
      <c r="Q903" s="667">
        <f t="shared" si="218"/>
        <v>0.0400728597449909</v>
      </c>
    </row>
    <row r="904" spans="1:17">
      <c r="A904" s="653">
        <v>46063</v>
      </c>
      <c r="B904" s="557">
        <v>3287</v>
      </c>
      <c r="C904" s="37">
        <v>38403</v>
      </c>
      <c r="D904" s="37">
        <v>1353</v>
      </c>
      <c r="E904" s="37">
        <v>1</v>
      </c>
      <c r="F904" s="37">
        <v>6176</v>
      </c>
      <c r="G904" s="37">
        <v>29</v>
      </c>
      <c r="H904" s="37">
        <v>4</v>
      </c>
      <c r="I904" s="558">
        <v>7</v>
      </c>
      <c r="J904" s="39">
        <f t="shared" si="211"/>
        <v>0.0352316225294899</v>
      </c>
      <c r="K904" s="559">
        <f t="shared" si="212"/>
        <v>2.42941611234294</v>
      </c>
      <c r="L904" s="559">
        <f t="shared" si="213"/>
        <v>85.5922714371273</v>
      </c>
      <c r="M904" s="559">
        <f t="shared" si="214"/>
        <v>1.87891694554305</v>
      </c>
      <c r="N904" s="39">
        <f t="shared" si="215"/>
        <v>0.00073909830007391</v>
      </c>
      <c r="O904" s="560">
        <f t="shared" si="216"/>
        <v>99.6060606060606</v>
      </c>
      <c r="P904">
        <f t="shared" si="217"/>
        <v>33</v>
      </c>
      <c r="Q904" s="667">
        <f t="shared" si="218"/>
        <v>0.024390243902439</v>
      </c>
    </row>
    <row r="905" spans="1:17">
      <c r="A905" s="653">
        <v>46064</v>
      </c>
      <c r="B905" s="557">
        <v>5993</v>
      </c>
      <c r="C905" s="37">
        <v>55009</v>
      </c>
      <c r="D905" s="37">
        <v>2689</v>
      </c>
      <c r="E905" s="37">
        <v>3</v>
      </c>
      <c r="F905" s="37">
        <v>28984</v>
      </c>
      <c r="G905" s="37">
        <v>53</v>
      </c>
      <c r="H905" s="37">
        <v>10</v>
      </c>
      <c r="I905" s="558">
        <v>7</v>
      </c>
      <c r="J905" s="39">
        <f t="shared" si="211"/>
        <v>0.0488829100692614</v>
      </c>
      <c r="K905" s="559">
        <f t="shared" si="212"/>
        <v>2.2287095574563</v>
      </c>
      <c r="L905" s="559">
        <f t="shared" si="213"/>
        <v>108.94580886764</v>
      </c>
      <c r="M905" s="559">
        <f t="shared" si="214"/>
        <v>4.8363090271984</v>
      </c>
      <c r="N905" s="39">
        <f t="shared" si="215"/>
        <v>0.00111565637783563</v>
      </c>
      <c r="O905" s="560">
        <f t="shared" si="216"/>
        <v>95.1269841269841</v>
      </c>
      <c r="P905">
        <f t="shared" si="217"/>
        <v>63</v>
      </c>
      <c r="Q905" s="667">
        <f t="shared" si="218"/>
        <v>0.0234287839345482</v>
      </c>
    </row>
    <row r="906" spans="1:17">
      <c r="A906" s="653">
        <v>46065</v>
      </c>
      <c r="B906" s="557">
        <v>5700</v>
      </c>
      <c r="C906" s="37">
        <v>45005</v>
      </c>
      <c r="D906" s="37">
        <v>52033</v>
      </c>
      <c r="E906" s="37">
        <v>4</v>
      </c>
      <c r="F906" s="37">
        <v>41245</v>
      </c>
      <c r="G906" s="37">
        <v>42</v>
      </c>
      <c r="H906" s="37">
        <v>8</v>
      </c>
      <c r="I906" s="558">
        <v>18</v>
      </c>
      <c r="J906" s="39">
        <f t="shared" si="211"/>
        <v>1.15616042661926</v>
      </c>
      <c r="K906" s="559">
        <f t="shared" si="212"/>
        <v>0.109545865124056</v>
      </c>
      <c r="L906" s="559">
        <f t="shared" si="213"/>
        <v>126.652594156205</v>
      </c>
      <c r="M906" s="559">
        <f t="shared" si="214"/>
        <v>7.2359649122807</v>
      </c>
      <c r="N906" s="39">
        <f t="shared" si="215"/>
        <v>7.68742913151269e-5</v>
      </c>
      <c r="O906" s="560">
        <f t="shared" si="216"/>
        <v>114</v>
      </c>
      <c r="P906">
        <f t="shared" si="217"/>
        <v>50</v>
      </c>
      <c r="Q906" s="667">
        <f t="shared" si="218"/>
        <v>0.000960928641439087</v>
      </c>
    </row>
    <row r="907" spans="1:17">
      <c r="A907" s="653">
        <v>46066</v>
      </c>
      <c r="B907" s="557">
        <v>5700</v>
      </c>
      <c r="C907" s="37">
        <v>55258</v>
      </c>
      <c r="D907" s="37">
        <v>3684</v>
      </c>
      <c r="E907" s="37">
        <v>4</v>
      </c>
      <c r="F907" s="37">
        <v>32690</v>
      </c>
      <c r="G907" s="37">
        <v>72</v>
      </c>
      <c r="H907" s="37">
        <v>9</v>
      </c>
      <c r="I907" s="558">
        <v>27</v>
      </c>
      <c r="J907" s="39">
        <f t="shared" si="211"/>
        <v>0.0666690795902856</v>
      </c>
      <c r="K907" s="559">
        <f t="shared" si="212"/>
        <v>1.54723127035831</v>
      </c>
      <c r="L907" s="559">
        <f t="shared" si="213"/>
        <v>103.152484708097</v>
      </c>
      <c r="M907" s="559">
        <f t="shared" si="214"/>
        <v>5.73508771929825</v>
      </c>
      <c r="N907" s="39">
        <f t="shared" si="215"/>
        <v>0.001085776330076</v>
      </c>
      <c r="O907" s="560">
        <f t="shared" si="216"/>
        <v>70.3703703703704</v>
      </c>
      <c r="P907">
        <f t="shared" si="217"/>
        <v>81</v>
      </c>
      <c r="Q907" s="667">
        <f t="shared" si="218"/>
        <v>0.0219869706840391</v>
      </c>
    </row>
    <row r="908" spans="1:17">
      <c r="A908" s="653">
        <v>46067</v>
      </c>
      <c r="B908" s="557">
        <v>696</v>
      </c>
      <c r="C908" s="37">
        <v>5205</v>
      </c>
      <c r="D908" s="37">
        <v>350</v>
      </c>
      <c r="E908" s="37">
        <v>2</v>
      </c>
      <c r="F908" s="37">
        <v>16612</v>
      </c>
      <c r="G908" s="37">
        <v>19</v>
      </c>
      <c r="H908" s="37">
        <v>8</v>
      </c>
      <c r="I908" s="558">
        <v>1</v>
      </c>
      <c r="J908" s="39">
        <f t="shared" si="211"/>
        <v>0.0672430355427474</v>
      </c>
      <c r="K908" s="559">
        <f t="shared" si="212"/>
        <v>1.98857142857143</v>
      </c>
      <c r="L908" s="559">
        <f t="shared" si="213"/>
        <v>133.71757925072</v>
      </c>
      <c r="M908" s="559">
        <f t="shared" si="214"/>
        <v>23.867816091954</v>
      </c>
      <c r="N908" s="39">
        <f t="shared" si="215"/>
        <v>0.00571428571428571</v>
      </c>
      <c r="O908" s="560">
        <f t="shared" si="216"/>
        <v>25.7777777777778</v>
      </c>
      <c r="P908">
        <f t="shared" si="217"/>
        <v>27</v>
      </c>
      <c r="Q908" s="667">
        <f t="shared" si="218"/>
        <v>0.0771428571428571</v>
      </c>
    </row>
    <row r="909" spans="1:17">
      <c r="A909" s="653">
        <v>46068</v>
      </c>
      <c r="B909" s="557">
        <v>700</v>
      </c>
      <c r="C909" s="37">
        <v>5141</v>
      </c>
      <c r="D909" s="37">
        <v>339</v>
      </c>
      <c r="E909" s="37">
        <v>0</v>
      </c>
      <c r="F909" s="37">
        <v>0</v>
      </c>
      <c r="G909" s="37">
        <v>21</v>
      </c>
      <c r="H909" s="37">
        <v>7</v>
      </c>
      <c r="I909" s="558">
        <v>2</v>
      </c>
      <c r="J909" s="39">
        <f t="shared" si="211"/>
        <v>0.0659404785061272</v>
      </c>
      <c r="K909" s="559">
        <f t="shared" si="212"/>
        <v>2.06489675516224</v>
      </c>
      <c r="L909" s="559">
        <f t="shared" si="213"/>
        <v>136.160280101148</v>
      </c>
      <c r="M909" s="559">
        <f t="shared" si="214"/>
        <v>0</v>
      </c>
      <c r="N909" s="39">
        <f t="shared" si="215"/>
        <v>0</v>
      </c>
      <c r="O909" s="560">
        <f t="shared" si="216"/>
        <v>25</v>
      </c>
      <c r="P909">
        <f t="shared" si="217"/>
        <v>28</v>
      </c>
      <c r="Q909" s="667">
        <f t="shared" si="218"/>
        <v>0.0825958702064897</v>
      </c>
    </row>
    <row r="910" spans="1:17">
      <c r="A910" s="653">
        <v>46069</v>
      </c>
      <c r="B910" s="557">
        <v>700</v>
      </c>
      <c r="C910" s="37">
        <v>6045</v>
      </c>
      <c r="D910" s="37">
        <v>356</v>
      </c>
      <c r="E910" s="37">
        <v>1</v>
      </c>
      <c r="F910" s="37">
        <v>8524</v>
      </c>
      <c r="G910" s="37">
        <v>31</v>
      </c>
      <c r="H910" s="37">
        <v>4</v>
      </c>
      <c r="I910" s="558">
        <v>1</v>
      </c>
      <c r="J910" s="39">
        <f t="shared" si="211"/>
        <v>0.0588916459884202</v>
      </c>
      <c r="K910" s="559">
        <f t="shared" si="212"/>
        <v>1.96629213483146</v>
      </c>
      <c r="L910" s="559">
        <f t="shared" si="213"/>
        <v>115.798180314309</v>
      </c>
      <c r="M910" s="559">
        <f t="shared" si="214"/>
        <v>12.1771428571429</v>
      </c>
      <c r="N910" s="39">
        <f t="shared" si="215"/>
        <v>0.00280898876404494</v>
      </c>
      <c r="O910" s="560">
        <f t="shared" si="216"/>
        <v>20</v>
      </c>
      <c r="P910">
        <f t="shared" si="217"/>
        <v>35</v>
      </c>
      <c r="Q910" s="667">
        <f t="shared" si="218"/>
        <v>0.098314606741573</v>
      </c>
    </row>
    <row r="911" spans="1:17">
      <c r="A911" s="653">
        <v>46070</v>
      </c>
      <c r="B911" s="557">
        <v>700</v>
      </c>
      <c r="C911" s="37">
        <v>6459</v>
      </c>
      <c r="D911" s="37">
        <v>352</v>
      </c>
      <c r="E911" s="37">
        <v>0</v>
      </c>
      <c r="F911" s="37">
        <v>0</v>
      </c>
      <c r="G911" s="37">
        <v>19</v>
      </c>
      <c r="H911" s="37">
        <v>2</v>
      </c>
      <c r="I911" s="558">
        <v>2</v>
      </c>
      <c r="J911" s="39">
        <f t="shared" si="211"/>
        <v>0.0544976002477164</v>
      </c>
      <c r="K911" s="559">
        <f t="shared" si="212"/>
        <v>1.98863636363636</v>
      </c>
      <c r="L911" s="559">
        <f t="shared" si="213"/>
        <v>108.375909583527</v>
      </c>
      <c r="M911" s="559">
        <f t="shared" si="214"/>
        <v>0</v>
      </c>
      <c r="N911" s="39">
        <f t="shared" si="215"/>
        <v>0</v>
      </c>
      <c r="O911" s="560">
        <f t="shared" si="216"/>
        <v>33.3333333333333</v>
      </c>
      <c r="P911">
        <f t="shared" si="217"/>
        <v>21</v>
      </c>
      <c r="Q911" s="667">
        <f t="shared" si="218"/>
        <v>0.0596590909090909</v>
      </c>
    </row>
    <row r="912" spans="1:17">
      <c r="A912" s="653">
        <v>46071</v>
      </c>
      <c r="B912" s="557">
        <v>700</v>
      </c>
      <c r="C912" s="37">
        <v>5403</v>
      </c>
      <c r="D912" s="37">
        <v>386</v>
      </c>
      <c r="E912" s="37">
        <v>5</v>
      </c>
      <c r="F912" s="37">
        <v>41113</v>
      </c>
      <c r="G912" s="37">
        <v>37</v>
      </c>
      <c r="H912" s="37">
        <v>7</v>
      </c>
      <c r="I912" s="558">
        <v>1</v>
      </c>
      <c r="J912" s="39">
        <f t="shared" si="211"/>
        <v>0.0714417915972608</v>
      </c>
      <c r="K912" s="559">
        <f t="shared" si="212"/>
        <v>1.81347150259067</v>
      </c>
      <c r="L912" s="559">
        <f t="shared" si="213"/>
        <v>129.557653155654</v>
      </c>
      <c r="M912" s="559">
        <f t="shared" si="214"/>
        <v>58.7328571428571</v>
      </c>
      <c r="N912" s="39">
        <f t="shared" si="215"/>
        <v>0.0129533678756477</v>
      </c>
      <c r="O912" s="560">
        <f t="shared" si="216"/>
        <v>15.9090909090909</v>
      </c>
      <c r="P912">
        <f t="shared" si="217"/>
        <v>44</v>
      </c>
      <c r="Q912" s="667">
        <f t="shared" si="218"/>
        <v>0.113989637305699</v>
      </c>
    </row>
    <row r="913" spans="1:17">
      <c r="A913" s="653">
        <v>46072</v>
      </c>
      <c r="B913" s="557">
        <v>698</v>
      </c>
      <c r="C913" s="37">
        <v>4444</v>
      </c>
      <c r="D913" s="37">
        <v>332</v>
      </c>
      <c r="E913" s="37">
        <v>2</v>
      </c>
      <c r="F913" s="37">
        <v>17080</v>
      </c>
      <c r="G913" s="37">
        <v>12</v>
      </c>
      <c r="H913" s="37">
        <v>4</v>
      </c>
      <c r="I913" s="558">
        <v>4</v>
      </c>
      <c r="J913" s="39">
        <f t="shared" si="211"/>
        <v>0.0747074707470747</v>
      </c>
      <c r="K913" s="559">
        <f t="shared" si="212"/>
        <v>2.10240963855422</v>
      </c>
      <c r="L913" s="559">
        <f t="shared" si="213"/>
        <v>157.065706570657</v>
      </c>
      <c r="M913" s="559">
        <f t="shared" si="214"/>
        <v>24.4699140401146</v>
      </c>
      <c r="N913" s="39">
        <f t="shared" si="215"/>
        <v>0.00602409638554217</v>
      </c>
      <c r="O913" s="560">
        <f t="shared" si="216"/>
        <v>43.625</v>
      </c>
      <c r="P913">
        <f t="shared" si="217"/>
        <v>16</v>
      </c>
      <c r="Q913" s="667">
        <f t="shared" si="218"/>
        <v>0.0481927710843374</v>
      </c>
    </row>
    <row r="914" spans="1:17">
      <c r="A914" s="653">
        <v>46073</v>
      </c>
      <c r="B914" s="557">
        <v>2183</v>
      </c>
      <c r="C914" s="37">
        <v>32001</v>
      </c>
      <c r="D914" s="37">
        <v>1826</v>
      </c>
      <c r="E914" s="37">
        <v>3</v>
      </c>
      <c r="F914" s="37">
        <v>65630</v>
      </c>
      <c r="G914" s="37">
        <v>45</v>
      </c>
      <c r="H914" s="37">
        <v>3</v>
      </c>
      <c r="I914" s="558">
        <v>10</v>
      </c>
      <c r="J914" s="39">
        <f t="shared" si="211"/>
        <v>0.0570607168525984</v>
      </c>
      <c r="K914" s="559">
        <f t="shared" si="212"/>
        <v>1.19550930996714</v>
      </c>
      <c r="L914" s="559">
        <f t="shared" si="213"/>
        <v>68.2166182306803</v>
      </c>
      <c r="M914" s="559">
        <f t="shared" si="214"/>
        <v>30.0641319285387</v>
      </c>
      <c r="N914" s="39">
        <f t="shared" si="215"/>
        <v>0.00164293537787514</v>
      </c>
      <c r="O914" s="560">
        <f t="shared" si="216"/>
        <v>45.4791666666667</v>
      </c>
      <c r="P914">
        <f t="shared" si="217"/>
        <v>48</v>
      </c>
      <c r="Q914" s="667">
        <f t="shared" si="218"/>
        <v>0.0262869660460022</v>
      </c>
    </row>
    <row r="915" spans="1:17">
      <c r="A915" s="653">
        <v>46074</v>
      </c>
      <c r="B915" s="557">
        <v>2200</v>
      </c>
      <c r="C915" s="37">
        <v>30531</v>
      </c>
      <c r="D915" s="37">
        <v>1372</v>
      </c>
      <c r="E915" s="37">
        <v>3</v>
      </c>
      <c r="F915" s="37">
        <v>27904</v>
      </c>
      <c r="G915" s="37">
        <v>64</v>
      </c>
      <c r="H915" s="37">
        <v>4</v>
      </c>
      <c r="I915" s="558">
        <v>4</v>
      </c>
      <c r="J915" s="39">
        <f t="shared" si="211"/>
        <v>0.0449379319380302</v>
      </c>
      <c r="K915" s="559">
        <f t="shared" si="212"/>
        <v>1.60349854227405</v>
      </c>
      <c r="L915" s="559">
        <f t="shared" si="213"/>
        <v>72.057908355442</v>
      </c>
      <c r="M915" s="559">
        <f t="shared" si="214"/>
        <v>12.6836363636364</v>
      </c>
      <c r="N915" s="39">
        <f t="shared" si="215"/>
        <v>0.0021865889212828</v>
      </c>
      <c r="O915" s="560">
        <f t="shared" si="216"/>
        <v>32.3529411764706</v>
      </c>
      <c r="P915">
        <f t="shared" si="217"/>
        <v>68</v>
      </c>
      <c r="Q915" s="667">
        <f t="shared" si="218"/>
        <v>0.0495626822157434</v>
      </c>
    </row>
    <row r="916" spans="1:17">
      <c r="A916" s="653">
        <v>46075</v>
      </c>
      <c r="B916" s="557">
        <v>2153</v>
      </c>
      <c r="C916" s="37">
        <v>19964</v>
      </c>
      <c r="D916" s="37">
        <v>1626</v>
      </c>
      <c r="E916" s="37">
        <v>3</v>
      </c>
      <c r="F916" s="37">
        <v>21416</v>
      </c>
      <c r="G916" s="37">
        <v>44</v>
      </c>
      <c r="H916" s="37">
        <v>3</v>
      </c>
      <c r="I916" s="558">
        <v>5</v>
      </c>
      <c r="J916" s="39">
        <f t="shared" si="211"/>
        <v>0.0814466038869966</v>
      </c>
      <c r="K916" s="559">
        <f t="shared" si="212"/>
        <v>1.32410824108241</v>
      </c>
      <c r="L916" s="559">
        <f t="shared" si="213"/>
        <v>107.844119414947</v>
      </c>
      <c r="M916" s="559">
        <f t="shared" si="214"/>
        <v>9.94705062703205</v>
      </c>
      <c r="N916" s="39">
        <f t="shared" si="215"/>
        <v>0.0018450184501845</v>
      </c>
      <c r="O916" s="560">
        <f t="shared" si="216"/>
        <v>45.8085106382979</v>
      </c>
      <c r="P916">
        <f t="shared" si="217"/>
        <v>47</v>
      </c>
      <c r="Q916" s="667">
        <f t="shared" si="218"/>
        <v>0.0289052890528905</v>
      </c>
    </row>
    <row r="917" spans="1:17">
      <c r="A917" s="653">
        <v>46076</v>
      </c>
      <c r="B917" s="557">
        <v>2199</v>
      </c>
      <c r="C917" s="37">
        <v>31520</v>
      </c>
      <c r="D917" s="37">
        <v>1132</v>
      </c>
      <c r="E917" s="37">
        <v>4</v>
      </c>
      <c r="F917" s="37">
        <v>65431</v>
      </c>
      <c r="G917" s="37">
        <v>53</v>
      </c>
      <c r="H917" s="37">
        <v>10</v>
      </c>
      <c r="I917" s="558">
        <v>5</v>
      </c>
      <c r="J917" s="39">
        <f t="shared" si="211"/>
        <v>0.0359137055837563</v>
      </c>
      <c r="K917" s="559">
        <f t="shared" si="212"/>
        <v>1.94257950530035</v>
      </c>
      <c r="L917" s="559">
        <f t="shared" si="213"/>
        <v>69.765228426396</v>
      </c>
      <c r="M917" s="559">
        <f t="shared" si="214"/>
        <v>29.7548885857208</v>
      </c>
      <c r="N917" s="39">
        <f t="shared" si="215"/>
        <v>0.00353356890459364</v>
      </c>
      <c r="O917" s="560">
        <f t="shared" si="216"/>
        <v>34.9047619047619</v>
      </c>
      <c r="P917">
        <f t="shared" si="217"/>
        <v>63</v>
      </c>
      <c r="Q917" s="667">
        <f t="shared" si="218"/>
        <v>0.0556537102473498</v>
      </c>
    </row>
    <row r="918" spans="1:17">
      <c r="A918" s="653">
        <v>46077</v>
      </c>
      <c r="B918" s="557">
        <v>2200</v>
      </c>
      <c r="C918" s="37">
        <v>20720</v>
      </c>
      <c r="D918" s="37">
        <v>993</v>
      </c>
      <c r="E918" s="37">
        <v>4</v>
      </c>
      <c r="F918" s="37">
        <v>37144</v>
      </c>
      <c r="G918" s="37">
        <v>59</v>
      </c>
      <c r="H918" s="37">
        <v>3</v>
      </c>
      <c r="I918" s="558">
        <v>3</v>
      </c>
      <c r="J918" s="39">
        <f t="shared" si="211"/>
        <v>0.0479247104247104</v>
      </c>
      <c r="K918" s="559">
        <f t="shared" si="212"/>
        <v>2.21550855991944</v>
      </c>
      <c r="L918" s="559">
        <f t="shared" si="213"/>
        <v>106.177606177606</v>
      </c>
      <c r="M918" s="559">
        <f t="shared" si="214"/>
        <v>16.8836363636364</v>
      </c>
      <c r="N918" s="39">
        <f t="shared" si="215"/>
        <v>0.0040281973816717</v>
      </c>
      <c r="O918" s="560">
        <f t="shared" si="216"/>
        <v>35.4838709677419</v>
      </c>
      <c r="P918">
        <f t="shared" si="217"/>
        <v>62</v>
      </c>
      <c r="Q918" s="667">
        <f t="shared" si="218"/>
        <v>0.0624370594159114</v>
      </c>
    </row>
    <row r="919" spans="1:17">
      <c r="A919" s="653">
        <v>46078</v>
      </c>
      <c r="B919" s="557">
        <v>2541</v>
      </c>
      <c r="C919" s="37">
        <v>25480</v>
      </c>
      <c r="D919" s="37">
        <v>1519</v>
      </c>
      <c r="E919" s="37">
        <v>2</v>
      </c>
      <c r="F919" s="37">
        <v>36590</v>
      </c>
      <c r="G919" s="37">
        <v>58</v>
      </c>
      <c r="H919" s="37">
        <v>6</v>
      </c>
      <c r="I919" s="558">
        <v>9</v>
      </c>
      <c r="J919" s="39">
        <f t="shared" si="211"/>
        <v>0.0596153846153846</v>
      </c>
      <c r="K919" s="559">
        <f t="shared" si="212"/>
        <v>1.67281105990783</v>
      </c>
      <c r="L919" s="559">
        <f t="shared" si="213"/>
        <v>99.7252747252747</v>
      </c>
      <c r="M919" s="559">
        <f t="shared" si="214"/>
        <v>14.3998425816608</v>
      </c>
      <c r="N919" s="39">
        <f t="shared" si="215"/>
        <v>0.00131665569453588</v>
      </c>
      <c r="O919" s="560">
        <f t="shared" si="216"/>
        <v>39.703125</v>
      </c>
      <c r="P919">
        <f t="shared" si="217"/>
        <v>64</v>
      </c>
      <c r="Q919" s="667">
        <f t="shared" si="218"/>
        <v>0.0421329822251481</v>
      </c>
    </row>
    <row r="920" spans="1:17">
      <c r="A920" s="653">
        <v>46079</v>
      </c>
      <c r="B920" s="557">
        <v>3024</v>
      </c>
      <c r="C920" s="37">
        <v>35205</v>
      </c>
      <c r="D920" s="37">
        <v>2245</v>
      </c>
      <c r="E920" s="37">
        <v>3</v>
      </c>
      <c r="F920" s="37">
        <v>34984</v>
      </c>
      <c r="G920" s="37">
        <v>94</v>
      </c>
      <c r="H920" s="37">
        <v>11</v>
      </c>
      <c r="I920" s="558">
        <v>5</v>
      </c>
      <c r="J920" s="39">
        <f t="shared" si="211"/>
        <v>0.0637693509444681</v>
      </c>
      <c r="K920" s="559">
        <f t="shared" si="212"/>
        <v>1.34699331848552</v>
      </c>
      <c r="L920" s="559">
        <f t="shared" si="213"/>
        <v>85.8968896463571</v>
      </c>
      <c r="M920" s="559">
        <f t="shared" si="214"/>
        <v>11.5687830687831</v>
      </c>
      <c r="N920" s="39">
        <f t="shared" si="215"/>
        <v>0.00133630289532294</v>
      </c>
      <c r="O920" s="560">
        <f t="shared" si="216"/>
        <v>28.8</v>
      </c>
      <c r="P920">
        <f t="shared" si="217"/>
        <v>105</v>
      </c>
      <c r="Q920" s="667">
        <f t="shared" si="218"/>
        <v>0.0467706013363029</v>
      </c>
    </row>
    <row r="921" spans="1:17">
      <c r="A921" s="653">
        <v>46080</v>
      </c>
      <c r="B921" s="557">
        <v>1352</v>
      </c>
      <c r="C921" s="37">
        <v>14905</v>
      </c>
      <c r="D921" s="37">
        <v>879</v>
      </c>
      <c r="E921" s="37">
        <v>4</v>
      </c>
      <c r="F921" s="37">
        <v>31764</v>
      </c>
      <c r="G921" s="37">
        <v>67</v>
      </c>
      <c r="H921" s="37">
        <v>6</v>
      </c>
      <c r="I921" s="558">
        <v>4</v>
      </c>
      <c r="J921" s="39">
        <f t="shared" si="211"/>
        <v>0.0589734988258973</v>
      </c>
      <c r="K921" s="559">
        <f t="shared" si="212"/>
        <v>1.53811149032992</v>
      </c>
      <c r="L921" s="559">
        <f t="shared" si="213"/>
        <v>90.7078161690708</v>
      </c>
      <c r="M921" s="559">
        <f t="shared" si="214"/>
        <v>23.4940828402367</v>
      </c>
      <c r="N921" s="39">
        <f t="shared" si="215"/>
        <v>0.00455062571103527</v>
      </c>
      <c r="O921" s="560">
        <f t="shared" si="216"/>
        <v>18.5205479452055</v>
      </c>
      <c r="P921">
        <f t="shared" si="217"/>
        <v>73</v>
      </c>
      <c r="Q921" s="667">
        <f t="shared" si="218"/>
        <v>0.0830489192263936</v>
      </c>
    </row>
    <row r="922" spans="1:17">
      <c r="A922" s="653">
        <v>46081</v>
      </c>
      <c r="B922" s="557">
        <v>1359</v>
      </c>
      <c r="C922" s="37">
        <v>15658</v>
      </c>
      <c r="D922" s="37">
        <v>883</v>
      </c>
      <c r="E922" s="37">
        <v>1</v>
      </c>
      <c r="F922" s="37">
        <v>18434</v>
      </c>
      <c r="G922" s="37">
        <v>68</v>
      </c>
      <c r="H922" s="37">
        <v>8</v>
      </c>
      <c r="I922" s="558">
        <v>5</v>
      </c>
      <c r="J922" s="39">
        <f t="shared" si="211"/>
        <v>0.0563928981990037</v>
      </c>
      <c r="K922" s="559">
        <f t="shared" si="212"/>
        <v>1.53907134767837</v>
      </c>
      <c r="L922" s="559">
        <f t="shared" si="213"/>
        <v>86.7926938306297</v>
      </c>
      <c r="M922" s="559">
        <f t="shared" si="214"/>
        <v>13.5643855776306</v>
      </c>
      <c r="N922" s="39">
        <f t="shared" si="215"/>
        <v>0.00113250283125708</v>
      </c>
      <c r="O922" s="560">
        <f t="shared" si="216"/>
        <v>17.8815789473684</v>
      </c>
      <c r="P922">
        <f t="shared" si="217"/>
        <v>76</v>
      </c>
      <c r="Q922" s="667">
        <f t="shared" si="218"/>
        <v>0.0860702151755379</v>
      </c>
    </row>
    <row r="923" spans="1:17">
      <c r="A923" s="653">
        <v>46082</v>
      </c>
      <c r="B923" s="557">
        <v>3029</v>
      </c>
      <c r="C923" s="37">
        <v>36031</v>
      </c>
      <c r="D923" s="37">
        <v>1384</v>
      </c>
      <c r="E923" s="37">
        <v>1</v>
      </c>
      <c r="F923" s="37">
        <v>11912</v>
      </c>
      <c r="G923" s="37">
        <v>69</v>
      </c>
      <c r="H923" s="37">
        <v>8</v>
      </c>
      <c r="I923" s="558">
        <v>4</v>
      </c>
      <c r="J923" s="39">
        <f t="shared" si="211"/>
        <v>0.0384113679886764</v>
      </c>
      <c r="K923" s="559">
        <f t="shared" si="212"/>
        <v>2.1885838150289</v>
      </c>
      <c r="L923" s="559">
        <f t="shared" si="213"/>
        <v>84.0664982931365</v>
      </c>
      <c r="M923" s="559">
        <f t="shared" si="214"/>
        <v>3.93265103994718</v>
      </c>
      <c r="N923" s="39">
        <f t="shared" si="215"/>
        <v>0.000722543352601156</v>
      </c>
      <c r="O923" s="560">
        <f t="shared" si="216"/>
        <v>39.3376623376623</v>
      </c>
      <c r="P923">
        <f t="shared" si="217"/>
        <v>77</v>
      </c>
      <c r="Q923" s="667">
        <f t="shared" si="218"/>
        <v>0.055635838150289</v>
      </c>
    </row>
    <row r="924" spans="1:17">
      <c r="A924" s="653">
        <v>46083</v>
      </c>
      <c r="B924" s="557">
        <v>3261</v>
      </c>
      <c r="C924" s="37">
        <v>42216</v>
      </c>
      <c r="D924" s="37">
        <v>1602</v>
      </c>
      <c r="E924" s="37">
        <v>5</v>
      </c>
      <c r="F924" s="37">
        <v>75636</v>
      </c>
      <c r="G924" s="37">
        <v>76</v>
      </c>
      <c r="H924" s="37">
        <v>4</v>
      </c>
      <c r="I924" s="558">
        <v>5</v>
      </c>
      <c r="J924" s="39">
        <f t="shared" si="211"/>
        <v>0.0379476975554292</v>
      </c>
      <c r="K924" s="559">
        <f t="shared" si="212"/>
        <v>2.03558052434457</v>
      </c>
      <c r="L924" s="559">
        <f t="shared" si="213"/>
        <v>77.2455940875497</v>
      </c>
      <c r="M924" s="559">
        <f t="shared" si="214"/>
        <v>23.1941122355106</v>
      </c>
      <c r="N924" s="39">
        <f t="shared" si="215"/>
        <v>0.0031210986267166</v>
      </c>
      <c r="O924" s="560">
        <f t="shared" si="216"/>
        <v>40.7625</v>
      </c>
      <c r="P924">
        <f t="shared" si="217"/>
        <v>80</v>
      </c>
      <c r="Q924" s="667">
        <f t="shared" si="218"/>
        <v>0.0499375780274657</v>
      </c>
    </row>
    <row r="925" spans="1:17">
      <c r="A925" s="653">
        <v>46084</v>
      </c>
      <c r="B925" s="557">
        <v>3600</v>
      </c>
      <c r="C925" s="37">
        <v>33662</v>
      </c>
      <c r="D925" s="37">
        <v>1448</v>
      </c>
      <c r="E925" s="37">
        <v>5</v>
      </c>
      <c r="F925" s="37">
        <v>30827</v>
      </c>
      <c r="G925" s="37">
        <v>50</v>
      </c>
      <c r="H925" s="37">
        <v>6</v>
      </c>
      <c r="I925" s="558">
        <v>7</v>
      </c>
      <c r="J925" s="39">
        <f t="shared" si="211"/>
        <v>0.0430158635850514</v>
      </c>
      <c r="K925" s="559">
        <f t="shared" si="212"/>
        <v>2.48618784530387</v>
      </c>
      <c r="L925" s="559">
        <f t="shared" si="213"/>
        <v>106.945517200404</v>
      </c>
      <c r="M925" s="559">
        <f t="shared" si="214"/>
        <v>8.56305555555556</v>
      </c>
      <c r="N925" s="39">
        <f t="shared" si="215"/>
        <v>0.00345303867403315</v>
      </c>
      <c r="O925" s="560">
        <f t="shared" si="216"/>
        <v>64.2857142857143</v>
      </c>
      <c r="P925">
        <f t="shared" si="217"/>
        <v>56</v>
      </c>
      <c r="Q925" s="667">
        <f t="shared" si="218"/>
        <v>0.0386740331491713</v>
      </c>
    </row>
    <row r="926" spans="1:17">
      <c r="A926" s="653">
        <v>46085</v>
      </c>
      <c r="B926" s="557">
        <v>4074</v>
      </c>
      <c r="C926" s="37">
        <v>41612</v>
      </c>
      <c r="D926" s="37">
        <v>1659</v>
      </c>
      <c r="E926" s="37">
        <v>4</v>
      </c>
      <c r="F926" s="37">
        <v>51488</v>
      </c>
      <c r="G926" s="37">
        <v>76</v>
      </c>
      <c r="H926" s="37">
        <v>8</v>
      </c>
      <c r="I926" s="558">
        <v>6</v>
      </c>
      <c r="J926" s="39">
        <f t="shared" si="211"/>
        <v>0.0398683072190714</v>
      </c>
      <c r="K926" s="559">
        <f t="shared" si="212"/>
        <v>2.45569620253165</v>
      </c>
      <c r="L926" s="559">
        <f t="shared" si="213"/>
        <v>97.9044506392387</v>
      </c>
      <c r="M926" s="559">
        <f t="shared" si="214"/>
        <v>12.6381934216986</v>
      </c>
      <c r="N926" s="39">
        <f t="shared" si="215"/>
        <v>0.00241109101868596</v>
      </c>
      <c r="O926" s="560">
        <f t="shared" si="216"/>
        <v>48.5</v>
      </c>
      <c r="P926">
        <f t="shared" si="217"/>
        <v>84</v>
      </c>
      <c r="Q926" s="667">
        <f t="shared" si="218"/>
        <v>0.0506329113924051</v>
      </c>
    </row>
    <row r="927" spans="1:17">
      <c r="A927" s="653">
        <v>46086</v>
      </c>
      <c r="B927" s="557">
        <v>5135</v>
      </c>
      <c r="C927" s="37">
        <v>63581</v>
      </c>
      <c r="D927" s="37">
        <v>2130</v>
      </c>
      <c r="E927" s="37">
        <v>9</v>
      </c>
      <c r="F927" s="37">
        <v>106436</v>
      </c>
      <c r="G927" s="37">
        <v>97</v>
      </c>
      <c r="H927" s="37">
        <v>8</v>
      </c>
      <c r="I927" s="558">
        <v>7</v>
      </c>
      <c r="J927" s="39">
        <f t="shared" si="211"/>
        <v>0.0335005740708702</v>
      </c>
      <c r="K927" s="559">
        <f t="shared" si="212"/>
        <v>2.41079812206573</v>
      </c>
      <c r="L927" s="559">
        <f t="shared" si="213"/>
        <v>80.7631210581778</v>
      </c>
      <c r="M927" s="559">
        <f t="shared" si="214"/>
        <v>20.7275559883155</v>
      </c>
      <c r="N927" s="39">
        <f t="shared" si="215"/>
        <v>0.00422535211267606</v>
      </c>
      <c r="O927" s="560">
        <f t="shared" si="216"/>
        <v>48.9047619047619</v>
      </c>
      <c r="P927">
        <f t="shared" si="217"/>
        <v>105</v>
      </c>
      <c r="Q927" s="667">
        <f t="shared" si="218"/>
        <v>0.0492957746478873</v>
      </c>
    </row>
    <row r="928" spans="1:17">
      <c r="A928" s="653">
        <v>46087</v>
      </c>
      <c r="B928" s="557">
        <v>5599</v>
      </c>
      <c r="C928" s="37">
        <v>56789</v>
      </c>
      <c r="D928" s="37">
        <v>2650</v>
      </c>
      <c r="E928" s="37">
        <v>6</v>
      </c>
      <c r="F928" s="37">
        <v>79522</v>
      </c>
      <c r="G928" s="37">
        <v>77</v>
      </c>
      <c r="H928" s="37">
        <v>12</v>
      </c>
      <c r="I928" s="558">
        <v>3</v>
      </c>
      <c r="J928" s="39">
        <f t="shared" si="211"/>
        <v>0.0466639666132526</v>
      </c>
      <c r="K928" s="559">
        <f t="shared" si="212"/>
        <v>2.11283018867925</v>
      </c>
      <c r="L928" s="559">
        <f t="shared" si="213"/>
        <v>98.5930373840004</v>
      </c>
      <c r="M928" s="559">
        <f t="shared" si="214"/>
        <v>14.2028933738168</v>
      </c>
      <c r="N928" s="39">
        <f t="shared" si="215"/>
        <v>0.00226415094339623</v>
      </c>
      <c r="O928" s="560">
        <f t="shared" si="216"/>
        <v>62.9101123595506</v>
      </c>
      <c r="P928">
        <f t="shared" si="217"/>
        <v>89</v>
      </c>
      <c r="Q928" s="667">
        <f t="shared" si="218"/>
        <v>0.0335849056603774</v>
      </c>
    </row>
    <row r="929" spans="1:17">
      <c r="A929" s="653">
        <v>46088</v>
      </c>
      <c r="B929" s="557">
        <v>5926</v>
      </c>
      <c r="C929" s="37">
        <v>64122</v>
      </c>
      <c r="D929" s="37">
        <v>2623</v>
      </c>
      <c r="E929" s="37">
        <v>2</v>
      </c>
      <c r="F929" s="37">
        <v>21582</v>
      </c>
      <c r="G929" s="37">
        <v>84</v>
      </c>
      <c r="H929" s="37">
        <v>13</v>
      </c>
      <c r="I929" s="558">
        <v>4</v>
      </c>
      <c r="J929" s="39">
        <f t="shared" si="211"/>
        <v>0.0409063971803749</v>
      </c>
      <c r="K929" s="559">
        <f t="shared" si="212"/>
        <v>2.25924513915364</v>
      </c>
      <c r="L929" s="559">
        <f t="shared" si="213"/>
        <v>92.4175789900502</v>
      </c>
      <c r="M929" s="559">
        <f t="shared" si="214"/>
        <v>3.6419169760378</v>
      </c>
      <c r="N929" s="39">
        <f t="shared" si="215"/>
        <v>0.000762485703393061</v>
      </c>
      <c r="O929" s="560">
        <f t="shared" si="216"/>
        <v>61.0927835051546</v>
      </c>
      <c r="P929">
        <f t="shared" si="217"/>
        <v>97</v>
      </c>
      <c r="Q929" s="667">
        <f t="shared" si="218"/>
        <v>0.0369805566145635</v>
      </c>
    </row>
    <row r="930" spans="1:17">
      <c r="A930" s="653">
        <v>46089</v>
      </c>
      <c r="B930" s="557">
        <v>5985</v>
      </c>
      <c r="C930" s="37">
        <v>88812</v>
      </c>
      <c r="D930" s="37">
        <v>3139</v>
      </c>
      <c r="E930" s="37">
        <v>5</v>
      </c>
      <c r="F930" s="37">
        <v>73286</v>
      </c>
      <c r="G930" s="37">
        <v>70</v>
      </c>
      <c r="H930" s="37">
        <v>7</v>
      </c>
      <c r="I930" s="558">
        <v>9</v>
      </c>
      <c r="J930" s="39">
        <f t="shared" si="211"/>
        <v>0.035344322839256</v>
      </c>
      <c r="K930" s="559">
        <f t="shared" si="212"/>
        <v>1.90665817139216</v>
      </c>
      <c r="L930" s="559">
        <f t="shared" si="213"/>
        <v>67.38954195379</v>
      </c>
      <c r="M930" s="559">
        <f t="shared" si="214"/>
        <v>12.2449456975773</v>
      </c>
      <c r="N930" s="39">
        <f t="shared" si="215"/>
        <v>0.00159286396941701</v>
      </c>
      <c r="O930" s="560">
        <f t="shared" si="216"/>
        <v>77.7272727272727</v>
      </c>
      <c r="P930">
        <f t="shared" si="217"/>
        <v>77</v>
      </c>
      <c r="Q930" s="667">
        <f t="shared" si="218"/>
        <v>0.024530105129022</v>
      </c>
    </row>
    <row r="931" spans="1:17">
      <c r="A931" s="653">
        <v>46090</v>
      </c>
      <c r="B931" s="557">
        <v>5273</v>
      </c>
      <c r="C931" s="37">
        <v>65225</v>
      </c>
      <c r="D931" s="37">
        <v>2454</v>
      </c>
      <c r="E931" s="37">
        <v>13</v>
      </c>
      <c r="F931" s="37">
        <v>196113</v>
      </c>
      <c r="G931" s="37">
        <v>103</v>
      </c>
      <c r="H931" s="37">
        <v>7</v>
      </c>
      <c r="I931" s="558">
        <v>7</v>
      </c>
      <c r="J931" s="39">
        <f t="shared" si="211"/>
        <v>0.0376236105787658</v>
      </c>
      <c r="K931" s="559">
        <f t="shared" si="212"/>
        <v>2.14873675631622</v>
      </c>
      <c r="L931" s="559">
        <f t="shared" si="213"/>
        <v>80.8432349559218</v>
      </c>
      <c r="M931" s="559">
        <f t="shared" si="214"/>
        <v>37.1919211075289</v>
      </c>
      <c r="N931" s="39">
        <f t="shared" si="215"/>
        <v>0.00529747351263244</v>
      </c>
      <c r="O931" s="560">
        <f t="shared" si="216"/>
        <v>47.9363636363636</v>
      </c>
      <c r="P931">
        <f t="shared" si="217"/>
        <v>110</v>
      </c>
      <c r="Q931" s="667">
        <f t="shared" si="218"/>
        <v>0.0448247758761206</v>
      </c>
    </row>
    <row r="932" spans="1:17">
      <c r="A932" s="653">
        <v>46091</v>
      </c>
      <c r="B932" s="557">
        <v>3781</v>
      </c>
      <c r="C932" s="37">
        <v>60966</v>
      </c>
      <c r="D932" s="37">
        <v>2373</v>
      </c>
      <c r="E932" s="37">
        <v>3</v>
      </c>
      <c r="F932" s="37">
        <v>33374</v>
      </c>
      <c r="G932" s="37">
        <v>68</v>
      </c>
      <c r="H932" s="37">
        <v>4</v>
      </c>
      <c r="I932" s="558">
        <v>5</v>
      </c>
      <c r="J932" s="39">
        <f t="shared" si="211"/>
        <v>0.0389233343174884</v>
      </c>
      <c r="K932" s="559">
        <f t="shared" si="212"/>
        <v>1.59334176148335</v>
      </c>
      <c r="L932" s="559">
        <f t="shared" si="213"/>
        <v>62.0181740642325</v>
      </c>
      <c r="M932" s="559">
        <f t="shared" si="214"/>
        <v>8.82676540597726</v>
      </c>
      <c r="N932" s="39">
        <f t="shared" si="215"/>
        <v>0.00126422250316056</v>
      </c>
      <c r="O932" s="560">
        <f t="shared" si="216"/>
        <v>52.5138888888889</v>
      </c>
      <c r="P932">
        <f t="shared" si="217"/>
        <v>72</v>
      </c>
      <c r="Q932" s="667">
        <f t="shared" si="218"/>
        <v>0.0303413400758533</v>
      </c>
    </row>
    <row r="933" spans="1:17">
      <c r="A933" s="653">
        <v>46092</v>
      </c>
      <c r="B933" s="557">
        <v>8712</v>
      </c>
      <c r="C933" s="37">
        <v>115238</v>
      </c>
      <c r="D933" s="37">
        <v>4188</v>
      </c>
      <c r="E933" s="37">
        <v>10</v>
      </c>
      <c r="F933" s="37">
        <v>91338</v>
      </c>
      <c r="G933" s="37">
        <v>83</v>
      </c>
      <c r="H933" s="37">
        <v>5</v>
      </c>
      <c r="I933" s="558">
        <v>9</v>
      </c>
      <c r="J933" s="39">
        <f t="shared" si="211"/>
        <v>0.0363421787951891</v>
      </c>
      <c r="K933" s="559">
        <f t="shared" si="212"/>
        <v>2.08022922636103</v>
      </c>
      <c r="L933" s="559">
        <f t="shared" si="213"/>
        <v>75.6000624793905</v>
      </c>
      <c r="M933" s="559">
        <f t="shared" si="214"/>
        <v>10.4841597796143</v>
      </c>
      <c r="N933" s="39">
        <f t="shared" si="215"/>
        <v>0.00238777459407832</v>
      </c>
      <c r="O933" s="560">
        <f t="shared" si="216"/>
        <v>99</v>
      </c>
      <c r="P933">
        <f t="shared" si="217"/>
        <v>88</v>
      </c>
      <c r="Q933" s="667">
        <f t="shared" si="218"/>
        <v>0.0210124164278892</v>
      </c>
    </row>
    <row r="934" spans="1:17">
      <c r="A934" s="653">
        <v>46093</v>
      </c>
      <c r="B934" s="557">
        <v>8774</v>
      </c>
      <c r="C934" s="37">
        <v>200588</v>
      </c>
      <c r="D934" s="37">
        <v>5556</v>
      </c>
      <c r="E934" s="37">
        <v>5</v>
      </c>
      <c r="F934" s="37">
        <v>60231</v>
      </c>
      <c r="G934" s="37">
        <v>102</v>
      </c>
      <c r="H934" s="37">
        <v>13</v>
      </c>
      <c r="I934" s="558">
        <v>11</v>
      </c>
      <c r="J934" s="39">
        <f t="shared" si="211"/>
        <v>0.0276985662153269</v>
      </c>
      <c r="K934" s="559">
        <f t="shared" si="212"/>
        <v>1.57919366450684</v>
      </c>
      <c r="L934" s="559">
        <f t="shared" si="213"/>
        <v>43.7414002831675</v>
      </c>
      <c r="M934" s="559">
        <f t="shared" si="214"/>
        <v>6.86471392751311</v>
      </c>
      <c r="N934" s="39">
        <f t="shared" si="215"/>
        <v>0.000899928005759539</v>
      </c>
      <c r="O934" s="560">
        <f t="shared" si="216"/>
        <v>76.295652173913</v>
      </c>
      <c r="P934">
        <f t="shared" si="217"/>
        <v>115</v>
      </c>
      <c r="Q934" s="667">
        <f t="shared" si="218"/>
        <v>0.0206983441324694</v>
      </c>
    </row>
    <row r="935" spans="1:17">
      <c r="A935" s="653">
        <v>46094</v>
      </c>
      <c r="B935" s="557">
        <v>5232</v>
      </c>
      <c r="C935" s="37">
        <v>233357</v>
      </c>
      <c r="D935" s="37">
        <v>5938</v>
      </c>
      <c r="E935" s="37">
        <v>2</v>
      </c>
      <c r="F935" s="37">
        <v>22682</v>
      </c>
      <c r="G935" s="37">
        <v>91</v>
      </c>
      <c r="H935" s="37">
        <v>21</v>
      </c>
      <c r="I935" s="558">
        <v>7</v>
      </c>
      <c r="J935" s="39">
        <f t="shared" si="211"/>
        <v>0.0254459904781086</v>
      </c>
      <c r="K935" s="559">
        <f t="shared" si="212"/>
        <v>0.881104749073762</v>
      </c>
      <c r="L935" s="559">
        <f t="shared" si="213"/>
        <v>22.4205830551473</v>
      </c>
      <c r="M935" s="559">
        <f t="shared" si="214"/>
        <v>4.33524464831804</v>
      </c>
      <c r="N935" s="39">
        <f t="shared" si="215"/>
        <v>0.000336813742000674</v>
      </c>
      <c r="O935" s="560">
        <f t="shared" si="216"/>
        <v>46.7142857142857</v>
      </c>
      <c r="P935">
        <f t="shared" si="217"/>
        <v>112</v>
      </c>
      <c r="Q935" s="667">
        <f t="shared" si="218"/>
        <v>0.0188615695520377</v>
      </c>
    </row>
    <row r="936" spans="1:17">
      <c r="A936" s="653">
        <v>46095</v>
      </c>
      <c r="B936" s="557">
        <v>5284</v>
      </c>
      <c r="C936" s="37">
        <v>203930</v>
      </c>
      <c r="D936" s="37">
        <v>5448</v>
      </c>
      <c r="E936" s="37">
        <v>5</v>
      </c>
      <c r="F936" s="37">
        <v>51014</v>
      </c>
      <c r="G936" s="37">
        <v>81</v>
      </c>
      <c r="H936" s="37">
        <v>11</v>
      </c>
      <c r="I936" s="558">
        <v>9</v>
      </c>
      <c r="J936" s="39">
        <f t="shared" si="211"/>
        <v>0.0267150492816162</v>
      </c>
      <c r="K936" s="559">
        <f t="shared" si="212"/>
        <v>0.969897209985316</v>
      </c>
      <c r="L936" s="559">
        <f t="shared" si="213"/>
        <v>25.9108517628598</v>
      </c>
      <c r="M936" s="559">
        <f t="shared" si="214"/>
        <v>9.65442846328539</v>
      </c>
      <c r="N936" s="39">
        <f t="shared" si="215"/>
        <v>0.00091776798825257</v>
      </c>
      <c r="O936" s="560">
        <f t="shared" si="216"/>
        <v>57.4347826086956</v>
      </c>
      <c r="P936">
        <f t="shared" si="217"/>
        <v>92</v>
      </c>
      <c r="Q936" s="667">
        <f t="shared" si="218"/>
        <v>0.0168869309838473</v>
      </c>
    </row>
    <row r="937" spans="1:17">
      <c r="A937" s="653">
        <v>46096</v>
      </c>
      <c r="B937" s="557">
        <v>468</v>
      </c>
      <c r="C937" s="37">
        <v>16114</v>
      </c>
      <c r="D937" s="37">
        <v>535</v>
      </c>
      <c r="E937" s="37">
        <v>0</v>
      </c>
      <c r="F937" s="37">
        <v>0</v>
      </c>
      <c r="G937" s="37">
        <v>6</v>
      </c>
      <c r="H937" s="37">
        <v>5</v>
      </c>
      <c r="I937" s="558">
        <v>0</v>
      </c>
      <c r="J937" s="39">
        <f t="shared" si="211"/>
        <v>0.0332009432791362</v>
      </c>
      <c r="K937" s="559">
        <f t="shared" si="212"/>
        <v>0.874766355140187</v>
      </c>
      <c r="L937" s="559">
        <f t="shared" si="213"/>
        <v>29.043068139506</v>
      </c>
      <c r="M937" s="559">
        <f t="shared" si="214"/>
        <v>0</v>
      </c>
      <c r="N937" s="39">
        <f t="shared" si="215"/>
        <v>0</v>
      </c>
      <c r="O937" s="560">
        <f t="shared" si="216"/>
        <v>42.5454545454545</v>
      </c>
      <c r="P937">
        <f t="shared" si="217"/>
        <v>11</v>
      </c>
      <c r="Q937" s="667">
        <f t="shared" si="218"/>
        <v>0.0205607476635514</v>
      </c>
    </row>
    <row r="938" spans="1:17">
      <c r="A938" s="653">
        <v>46097</v>
      </c>
      <c r="B938" s="557">
        <v>1</v>
      </c>
      <c r="C938" s="37">
        <v>435</v>
      </c>
      <c r="D938" s="37">
        <v>13</v>
      </c>
      <c r="E938" s="37">
        <v>0</v>
      </c>
      <c r="F938" s="37">
        <v>0</v>
      </c>
      <c r="G938" s="37">
        <v>0</v>
      </c>
      <c r="H938" s="37">
        <v>0</v>
      </c>
      <c r="I938" s="558">
        <v>0</v>
      </c>
      <c r="J938" s="39">
        <f t="shared" si="211"/>
        <v>0.0298850574712644</v>
      </c>
      <c r="K938" s="559">
        <f t="shared" si="212"/>
        <v>0.0769230769230769</v>
      </c>
      <c r="L938" s="559">
        <f t="shared" si="213"/>
        <v>2.29885057471264</v>
      </c>
      <c r="M938" s="559">
        <f t="shared" si="214"/>
        <v>0</v>
      </c>
      <c r="N938" s="39">
        <f t="shared" si="215"/>
        <v>0</v>
      </c>
      <c r="O938" s="560" t="e">
        <f t="shared" si="216"/>
        <v>#DIV/0!</v>
      </c>
      <c r="P938">
        <f t="shared" si="217"/>
        <v>0</v>
      </c>
      <c r="Q938" s="667">
        <f t="shared" si="218"/>
        <v>0</v>
      </c>
    </row>
    <row r="939" spans="1:17">
      <c r="A939" s="653">
        <v>46098</v>
      </c>
      <c r="B939" s="557">
        <v>13863</v>
      </c>
      <c r="C939" s="37">
        <v>1307089</v>
      </c>
      <c r="D939" s="37">
        <v>13924</v>
      </c>
      <c r="E939" s="37">
        <v>4</v>
      </c>
      <c r="F939" s="37">
        <v>46756</v>
      </c>
      <c r="G939" s="37">
        <v>130</v>
      </c>
      <c r="H939" s="37">
        <v>39</v>
      </c>
      <c r="I939" s="558">
        <v>16</v>
      </c>
      <c r="J939" s="39">
        <f t="shared" si="211"/>
        <v>0.0106526793508323</v>
      </c>
      <c r="K939" s="559">
        <f t="shared" si="212"/>
        <v>0.995619074978454</v>
      </c>
      <c r="L939" s="559">
        <f t="shared" si="213"/>
        <v>10.6060107613177</v>
      </c>
      <c r="M939" s="559">
        <f t="shared" si="214"/>
        <v>3.3727187477458</v>
      </c>
      <c r="N939" s="39">
        <f t="shared" si="215"/>
        <v>0.000287273771904625</v>
      </c>
      <c r="O939" s="560">
        <f t="shared" si="216"/>
        <v>82.0295857988166</v>
      </c>
      <c r="P939">
        <f t="shared" si="217"/>
        <v>169</v>
      </c>
      <c r="Q939" s="667">
        <f t="shared" si="218"/>
        <v>0.0121373168629704</v>
      </c>
    </row>
    <row r="940" spans="1:17">
      <c r="A940" s="653">
        <v>46099</v>
      </c>
      <c r="B940" s="557">
        <v>9953</v>
      </c>
      <c r="C940" s="37">
        <v>400585</v>
      </c>
      <c r="D940" s="37">
        <v>8075</v>
      </c>
      <c r="E940" s="37">
        <v>8</v>
      </c>
      <c r="F940" s="37">
        <v>107908</v>
      </c>
      <c r="G940" s="37">
        <v>98</v>
      </c>
      <c r="H940" s="37">
        <v>13</v>
      </c>
      <c r="I940" s="558">
        <v>8</v>
      </c>
      <c r="J940" s="39">
        <f t="shared" si="211"/>
        <v>0.0201580188973626</v>
      </c>
      <c r="K940" s="559">
        <f t="shared" si="212"/>
        <v>1.23256965944272</v>
      </c>
      <c r="L940" s="559">
        <f t="shared" si="213"/>
        <v>24.8461624873622</v>
      </c>
      <c r="M940" s="559">
        <f t="shared" si="214"/>
        <v>10.8417562543957</v>
      </c>
      <c r="N940" s="39">
        <f t="shared" si="215"/>
        <v>0.000990712074303406</v>
      </c>
      <c r="O940" s="560">
        <f t="shared" si="216"/>
        <v>89.6666666666667</v>
      </c>
      <c r="P940">
        <f t="shared" si="217"/>
        <v>111</v>
      </c>
      <c r="Q940" s="667">
        <f t="shared" si="218"/>
        <v>0.0137461300309598</v>
      </c>
    </row>
    <row r="941" spans="1:17">
      <c r="A941" s="653">
        <v>46100</v>
      </c>
      <c r="B941" s="557">
        <v>9865</v>
      </c>
      <c r="C941" s="37">
        <v>456179</v>
      </c>
      <c r="D941" s="37">
        <v>9752</v>
      </c>
      <c r="E941" s="37">
        <v>5</v>
      </c>
      <c r="F941" s="37">
        <v>62725</v>
      </c>
      <c r="G941" s="37">
        <v>97</v>
      </c>
      <c r="H941" s="37">
        <v>18</v>
      </c>
      <c r="I941" s="558">
        <v>6</v>
      </c>
      <c r="J941" s="39">
        <f t="shared" si="211"/>
        <v>0.0213775732771566</v>
      </c>
      <c r="K941" s="559">
        <f t="shared" si="212"/>
        <v>1.01158736669401</v>
      </c>
      <c r="L941" s="559">
        <f t="shared" si="213"/>
        <v>21.6252830577471</v>
      </c>
      <c r="M941" s="559">
        <f t="shared" si="214"/>
        <v>6.35833755701977</v>
      </c>
      <c r="N941" s="39">
        <f t="shared" si="215"/>
        <v>0.000512715340442986</v>
      </c>
      <c r="O941" s="560">
        <f t="shared" si="216"/>
        <v>85.7826086956522</v>
      </c>
      <c r="P941">
        <f t="shared" si="217"/>
        <v>115</v>
      </c>
      <c r="Q941" s="667">
        <f t="shared" si="218"/>
        <v>0.0117924528301887</v>
      </c>
    </row>
    <row r="942" spans="1:17">
      <c r="A942" s="653">
        <v>46101</v>
      </c>
      <c r="B942" s="557">
        <v>11771</v>
      </c>
      <c r="C942" s="37">
        <v>413617</v>
      </c>
      <c r="D942" s="37">
        <v>10230</v>
      </c>
      <c r="E942" s="37">
        <v>1</v>
      </c>
      <c r="F942" s="37">
        <v>10797</v>
      </c>
      <c r="G942" s="37">
        <v>108</v>
      </c>
      <c r="H942" s="37">
        <v>20</v>
      </c>
      <c r="I942" s="558">
        <v>5</v>
      </c>
      <c r="J942" s="39">
        <f t="shared" si="211"/>
        <v>0.024733025963633</v>
      </c>
      <c r="K942" s="559">
        <f t="shared" si="212"/>
        <v>1.15063538611926</v>
      </c>
      <c r="L942" s="559">
        <f t="shared" si="213"/>
        <v>28.4586948795625</v>
      </c>
      <c r="M942" s="559">
        <f t="shared" si="214"/>
        <v>0.917254268966103</v>
      </c>
      <c r="N942" s="39">
        <f t="shared" si="215"/>
        <v>9.77517106549365e-5</v>
      </c>
      <c r="O942" s="560">
        <f t="shared" si="216"/>
        <v>91.9609375</v>
      </c>
      <c r="P942">
        <f t="shared" si="217"/>
        <v>128</v>
      </c>
      <c r="Q942" s="667">
        <f t="shared" si="218"/>
        <v>0.0125122189638319</v>
      </c>
    </row>
    <row r="943" spans="1:17">
      <c r="A943" s="653">
        <v>46102</v>
      </c>
      <c r="B943" s="557">
        <v>5870</v>
      </c>
      <c r="C943" s="37">
        <v>116002</v>
      </c>
      <c r="D943" s="37">
        <v>3699</v>
      </c>
      <c r="E943" s="37">
        <v>5</v>
      </c>
      <c r="F943" s="37">
        <v>53430</v>
      </c>
      <c r="G943" s="37">
        <v>85</v>
      </c>
      <c r="H943" s="37">
        <v>17</v>
      </c>
      <c r="I943" s="558">
        <v>2</v>
      </c>
      <c r="J943" s="39">
        <f t="shared" si="211"/>
        <v>0.0318873812520474</v>
      </c>
      <c r="K943" s="559">
        <f t="shared" si="212"/>
        <v>1.58691538253582</v>
      </c>
      <c r="L943" s="559">
        <f t="shared" si="213"/>
        <v>50.6025758176583</v>
      </c>
      <c r="M943" s="559">
        <f t="shared" si="214"/>
        <v>9.10221465076661</v>
      </c>
      <c r="N943" s="39">
        <f t="shared" si="215"/>
        <v>0.00135171668018383</v>
      </c>
      <c r="O943" s="560">
        <f t="shared" si="216"/>
        <v>57.5490196078431</v>
      </c>
      <c r="P943">
        <f t="shared" si="217"/>
        <v>102</v>
      </c>
      <c r="Q943" s="667">
        <f t="shared" si="218"/>
        <v>0.0275750202757502</v>
      </c>
    </row>
    <row r="944" spans="1:17">
      <c r="A944" s="653">
        <v>46103</v>
      </c>
      <c r="B944" s="557">
        <v>3395</v>
      </c>
      <c r="C944" s="37">
        <v>61421</v>
      </c>
      <c r="D944" s="37">
        <v>2912</v>
      </c>
      <c r="E944" s="37">
        <v>6</v>
      </c>
      <c r="F944" s="37">
        <v>70104</v>
      </c>
      <c r="G944" s="37">
        <v>56</v>
      </c>
      <c r="H944" s="37">
        <v>15</v>
      </c>
      <c r="I944" s="558">
        <v>6</v>
      </c>
      <c r="J944" s="39">
        <f t="shared" si="211"/>
        <v>0.047410494781915</v>
      </c>
      <c r="K944" s="559">
        <f t="shared" si="212"/>
        <v>1.16586538461538</v>
      </c>
      <c r="L944" s="559">
        <f t="shared" si="213"/>
        <v>55.274254733723</v>
      </c>
      <c r="M944" s="559">
        <f t="shared" si="214"/>
        <v>20.6491899852725</v>
      </c>
      <c r="N944" s="39">
        <f t="shared" si="215"/>
        <v>0.00206043956043956</v>
      </c>
      <c r="O944" s="560">
        <f t="shared" si="216"/>
        <v>47.8169014084507</v>
      </c>
      <c r="P944">
        <f t="shared" si="217"/>
        <v>71</v>
      </c>
      <c r="Q944" s="667">
        <f t="shared" si="218"/>
        <v>0.0243818681318681</v>
      </c>
    </row>
    <row r="945" spans="1:17">
      <c r="A945" s="653">
        <v>46104</v>
      </c>
      <c r="B945" s="557">
        <v>3399</v>
      </c>
      <c r="C945" s="37">
        <v>53893</v>
      </c>
      <c r="D945" s="37">
        <v>2791</v>
      </c>
      <c r="E945" s="37">
        <v>7</v>
      </c>
      <c r="F945" s="37">
        <v>90982</v>
      </c>
      <c r="G945" s="37">
        <v>56</v>
      </c>
      <c r="H945" s="37">
        <v>6</v>
      </c>
      <c r="I945" s="558">
        <v>4</v>
      </c>
      <c r="J945" s="39">
        <f t="shared" si="211"/>
        <v>0.05178780175533</v>
      </c>
      <c r="K945" s="559">
        <f t="shared" si="212"/>
        <v>1.21784306700107</v>
      </c>
      <c r="L945" s="559">
        <f t="shared" si="213"/>
        <v>63.0694153229547</v>
      </c>
      <c r="M945" s="559">
        <f t="shared" si="214"/>
        <v>26.7672844954398</v>
      </c>
      <c r="N945" s="39">
        <f t="shared" si="215"/>
        <v>0.00250806162665711</v>
      </c>
      <c r="O945" s="560">
        <f t="shared" si="216"/>
        <v>54.8225806451613</v>
      </c>
      <c r="P945">
        <f t="shared" si="217"/>
        <v>62</v>
      </c>
      <c r="Q945" s="667">
        <f t="shared" si="218"/>
        <v>0.0222142601218201</v>
      </c>
    </row>
    <row r="946" spans="1:17">
      <c r="A946" s="653">
        <v>46105</v>
      </c>
      <c r="B946" s="557">
        <v>1895</v>
      </c>
      <c r="C946" s="37">
        <v>30719</v>
      </c>
      <c r="D946" s="37">
        <v>1606</v>
      </c>
      <c r="E946" s="37">
        <v>1</v>
      </c>
      <c r="F946" s="37">
        <v>39481</v>
      </c>
      <c r="G946" s="37">
        <v>36</v>
      </c>
      <c r="H946" s="37">
        <v>6</v>
      </c>
      <c r="I946" s="558">
        <v>2</v>
      </c>
      <c r="J946" s="39">
        <f t="shared" si="211"/>
        <v>0.0522803476675673</v>
      </c>
      <c r="K946" s="559">
        <f t="shared" si="212"/>
        <v>1.1799501867995</v>
      </c>
      <c r="L946" s="559">
        <f t="shared" si="213"/>
        <v>61.6882059962889</v>
      </c>
      <c r="M946" s="559">
        <f t="shared" si="214"/>
        <v>20.8343007915567</v>
      </c>
      <c r="N946" s="39">
        <f t="shared" si="215"/>
        <v>0.00062266500622665</v>
      </c>
      <c r="O946" s="560">
        <f t="shared" si="216"/>
        <v>45.1190476190476</v>
      </c>
      <c r="P946">
        <f t="shared" si="217"/>
        <v>42</v>
      </c>
      <c r="Q946" s="667">
        <f t="shared" si="218"/>
        <v>0.0261519302615193</v>
      </c>
    </row>
    <row r="947" spans="1:17">
      <c r="A947" s="653">
        <v>46106</v>
      </c>
      <c r="B947" s="557">
        <v>3600</v>
      </c>
      <c r="C947" s="37">
        <v>55593</v>
      </c>
      <c r="D947" s="37">
        <v>1785</v>
      </c>
      <c r="E947" s="37">
        <v>5</v>
      </c>
      <c r="F947" s="37">
        <v>42542</v>
      </c>
      <c r="G947" s="37">
        <v>72</v>
      </c>
      <c r="H947" s="37">
        <v>7</v>
      </c>
      <c r="I947" s="558">
        <v>2</v>
      </c>
      <c r="J947" s="39">
        <f t="shared" si="211"/>
        <v>0.0321083589660569</v>
      </c>
      <c r="K947" s="559">
        <f t="shared" si="212"/>
        <v>2.01680672268908</v>
      </c>
      <c r="L947" s="559">
        <f t="shared" si="213"/>
        <v>64.7563542172576</v>
      </c>
      <c r="M947" s="559">
        <f t="shared" si="214"/>
        <v>11.8172222222222</v>
      </c>
      <c r="N947" s="39">
        <f t="shared" si="215"/>
        <v>0.00280112044817927</v>
      </c>
      <c r="O947" s="560">
        <f t="shared" si="216"/>
        <v>45.5696202531646</v>
      </c>
      <c r="P947">
        <f t="shared" si="217"/>
        <v>79</v>
      </c>
      <c r="Q947" s="667">
        <f t="shared" si="218"/>
        <v>0.0442577030812325</v>
      </c>
    </row>
    <row r="948" spans="1:17">
      <c r="A948" s="653">
        <v>46107</v>
      </c>
      <c r="B948" s="557">
        <v>3506</v>
      </c>
      <c r="C948" s="37">
        <v>64481</v>
      </c>
      <c r="D948" s="37">
        <v>2240</v>
      </c>
      <c r="E948" s="37">
        <v>4</v>
      </c>
      <c r="F948" s="37">
        <v>57299</v>
      </c>
      <c r="G948" s="37">
        <v>35</v>
      </c>
      <c r="H948" s="37">
        <v>5</v>
      </c>
      <c r="I948" s="558">
        <v>3</v>
      </c>
      <c r="J948" s="39">
        <f t="shared" si="211"/>
        <v>0.0347389153394023</v>
      </c>
      <c r="K948" s="559">
        <f t="shared" si="212"/>
        <v>1.56517857142857</v>
      </c>
      <c r="L948" s="559">
        <f t="shared" si="213"/>
        <v>54.3726058839038</v>
      </c>
      <c r="M948" s="559">
        <f t="shared" si="214"/>
        <v>16.343126069595</v>
      </c>
      <c r="N948" s="39">
        <f t="shared" si="215"/>
        <v>0.00178571428571429</v>
      </c>
      <c r="O948" s="560">
        <f t="shared" si="216"/>
        <v>87.65</v>
      </c>
      <c r="P948">
        <f t="shared" si="217"/>
        <v>40</v>
      </c>
      <c r="Q948" s="667">
        <f t="shared" si="218"/>
        <v>0.0178571428571429</v>
      </c>
    </row>
    <row r="949" spans="1:17">
      <c r="A949" s="653">
        <v>46108</v>
      </c>
      <c r="B949" s="557">
        <v>3584</v>
      </c>
      <c r="C949" s="37">
        <v>76209</v>
      </c>
      <c r="D949" s="37">
        <v>2378</v>
      </c>
      <c r="E949" s="37">
        <v>2</v>
      </c>
      <c r="F949" s="37">
        <v>23192</v>
      </c>
      <c r="G949" s="37">
        <v>48</v>
      </c>
      <c r="H949" s="37">
        <v>6</v>
      </c>
      <c r="I949" s="558">
        <v>5</v>
      </c>
      <c r="J949" s="39">
        <f t="shared" si="211"/>
        <v>0.031203663609285</v>
      </c>
      <c r="K949" s="559">
        <f t="shared" si="212"/>
        <v>1.50714886459209</v>
      </c>
      <c r="L949" s="559">
        <f t="shared" si="213"/>
        <v>47.0285661798475</v>
      </c>
      <c r="M949" s="559">
        <f t="shared" si="214"/>
        <v>6.47098214285714</v>
      </c>
      <c r="N949" s="39">
        <f t="shared" si="215"/>
        <v>0.000841042893187553</v>
      </c>
      <c r="O949" s="560">
        <f t="shared" si="216"/>
        <v>66.3703703703704</v>
      </c>
      <c r="P949">
        <f t="shared" si="217"/>
        <v>54</v>
      </c>
      <c r="Q949" s="667">
        <f t="shared" si="218"/>
        <v>0.0227081581160639</v>
      </c>
    </row>
    <row r="950" spans="1:17">
      <c r="A950" s="653">
        <v>46109</v>
      </c>
      <c r="B950" s="557">
        <v>3547</v>
      </c>
      <c r="C950" s="37">
        <v>62043</v>
      </c>
      <c r="D950" s="37">
        <v>2234</v>
      </c>
      <c r="E950" s="37">
        <v>9</v>
      </c>
      <c r="F950" s="37">
        <v>86013</v>
      </c>
      <c r="G950" s="37">
        <v>66</v>
      </c>
      <c r="H950" s="37">
        <v>5</v>
      </c>
      <c r="I950" s="558">
        <v>4</v>
      </c>
      <c r="J950" s="39">
        <f t="shared" si="211"/>
        <v>0.0360072852698935</v>
      </c>
      <c r="K950" s="559">
        <f t="shared" si="212"/>
        <v>1.58773500447628</v>
      </c>
      <c r="L950" s="559">
        <f t="shared" si="213"/>
        <v>57.1700272391728</v>
      </c>
      <c r="M950" s="559">
        <f t="shared" si="214"/>
        <v>24.2495066253172</v>
      </c>
      <c r="N950" s="39">
        <f t="shared" si="215"/>
        <v>0.00402864816472695</v>
      </c>
      <c r="O950" s="560">
        <f t="shared" si="216"/>
        <v>49.9577464788732</v>
      </c>
      <c r="P950">
        <f t="shared" si="217"/>
        <v>71</v>
      </c>
      <c r="Q950" s="667">
        <f t="shared" si="218"/>
        <v>0.031781557743957</v>
      </c>
    </row>
    <row r="951" spans="1:17">
      <c r="A951" s="653">
        <v>46110</v>
      </c>
      <c r="B951" s="557">
        <v>3333</v>
      </c>
      <c r="C951" s="37">
        <v>52830</v>
      </c>
      <c r="D951" s="37">
        <v>1972</v>
      </c>
      <c r="E951" s="37">
        <v>6</v>
      </c>
      <c r="F951" s="37">
        <v>52284</v>
      </c>
      <c r="G951" s="37">
        <v>41</v>
      </c>
      <c r="H951" s="37">
        <v>2</v>
      </c>
      <c r="I951" s="558">
        <v>3</v>
      </c>
      <c r="J951" s="39">
        <f t="shared" si="211"/>
        <v>0.0373272761688435</v>
      </c>
      <c r="K951" s="559">
        <f t="shared" si="212"/>
        <v>1.69016227180527</v>
      </c>
      <c r="L951" s="559">
        <f t="shared" si="213"/>
        <v>63.0891538898353</v>
      </c>
      <c r="M951" s="559">
        <f t="shared" si="214"/>
        <v>15.6867686768677</v>
      </c>
      <c r="N951" s="39">
        <f t="shared" si="215"/>
        <v>0.00304259634888438</v>
      </c>
      <c r="O951" s="560">
        <f t="shared" si="216"/>
        <v>77.5116279069767</v>
      </c>
      <c r="P951">
        <f t="shared" si="217"/>
        <v>43</v>
      </c>
      <c r="Q951" s="667">
        <f t="shared" si="218"/>
        <v>0.0218052738336714</v>
      </c>
    </row>
    <row r="952" spans="1:17">
      <c r="A952" s="653">
        <v>46111</v>
      </c>
      <c r="B952" s="557">
        <v>3301</v>
      </c>
      <c r="C952" s="37">
        <v>49674</v>
      </c>
      <c r="D952" s="37">
        <v>1940</v>
      </c>
      <c r="E952" s="37">
        <v>5</v>
      </c>
      <c r="F952" s="37">
        <v>48035</v>
      </c>
      <c r="G952" s="37">
        <v>68</v>
      </c>
      <c r="H952" s="37">
        <v>5</v>
      </c>
      <c r="I952" s="558">
        <v>1</v>
      </c>
      <c r="J952" s="39">
        <f t="shared" si="211"/>
        <v>0.0390546362282079</v>
      </c>
      <c r="K952" s="559">
        <f t="shared" si="212"/>
        <v>1.70154639175258</v>
      </c>
      <c r="L952" s="559">
        <f t="shared" si="213"/>
        <v>66.4532753553167</v>
      </c>
      <c r="M952" s="559">
        <f t="shared" si="214"/>
        <v>14.551651014844</v>
      </c>
      <c r="N952" s="39">
        <f t="shared" si="215"/>
        <v>0.00257731958762887</v>
      </c>
      <c r="O952" s="560">
        <f t="shared" si="216"/>
        <v>45.2191780821918</v>
      </c>
      <c r="P952">
        <f t="shared" si="217"/>
        <v>73</v>
      </c>
      <c r="Q952" s="667">
        <f t="shared" si="218"/>
        <v>0.0376288659793814</v>
      </c>
    </row>
    <row r="953" spans="1:17">
      <c r="A953" s="653">
        <v>46112</v>
      </c>
      <c r="B953" s="557">
        <v>3171</v>
      </c>
      <c r="C953" s="37">
        <v>46106</v>
      </c>
      <c r="D953" s="37">
        <v>1930</v>
      </c>
      <c r="E953" s="37">
        <v>5</v>
      </c>
      <c r="F953" s="37">
        <v>57984</v>
      </c>
      <c r="G953" s="37">
        <v>51</v>
      </c>
      <c r="H953" s="37">
        <v>8</v>
      </c>
      <c r="I953" s="558">
        <v>7</v>
      </c>
      <c r="J953" s="39">
        <f t="shared" si="211"/>
        <v>0.0418600615971891</v>
      </c>
      <c r="K953" s="559">
        <f t="shared" si="212"/>
        <v>1.64300518134715</v>
      </c>
      <c r="L953" s="559">
        <f t="shared" si="213"/>
        <v>68.7762980956925</v>
      </c>
      <c r="M953" s="559">
        <f t="shared" si="214"/>
        <v>18.2857142857143</v>
      </c>
      <c r="N953" s="39">
        <f t="shared" si="215"/>
        <v>0.00259067357512953</v>
      </c>
      <c r="O953" s="560">
        <f t="shared" si="216"/>
        <v>53.7457627118644</v>
      </c>
      <c r="P953">
        <f t="shared" si="217"/>
        <v>59</v>
      </c>
      <c r="Q953" s="667">
        <f t="shared" si="218"/>
        <v>0.0305699481865285</v>
      </c>
    </row>
    <row r="954" spans="1:17">
      <c r="A954" s="653">
        <v>46113</v>
      </c>
      <c r="B954" s="557">
        <v>3539</v>
      </c>
      <c r="C954" s="37">
        <v>47754</v>
      </c>
      <c r="D954" s="37">
        <v>1807</v>
      </c>
      <c r="E954" s="37">
        <v>5</v>
      </c>
      <c r="F954" s="37">
        <v>37626</v>
      </c>
      <c r="G954" s="37">
        <v>53</v>
      </c>
      <c r="H954" s="37">
        <v>9</v>
      </c>
      <c r="I954" s="558">
        <v>5</v>
      </c>
      <c r="J954" s="39">
        <f t="shared" si="211"/>
        <v>0.0378397621141684</v>
      </c>
      <c r="K954" s="559">
        <f t="shared" si="212"/>
        <v>1.9584947426674</v>
      </c>
      <c r="L954" s="559">
        <f t="shared" si="213"/>
        <v>74.1089751643841</v>
      </c>
      <c r="M954" s="559">
        <f t="shared" si="214"/>
        <v>10.6318168974287</v>
      </c>
      <c r="N954" s="39">
        <f t="shared" si="215"/>
        <v>0.00276701715550636</v>
      </c>
      <c r="O954" s="560">
        <f t="shared" si="216"/>
        <v>57.0806451612903</v>
      </c>
      <c r="P954">
        <f t="shared" si="217"/>
        <v>62</v>
      </c>
      <c r="Q954" s="667">
        <f t="shared" si="218"/>
        <v>0.0343110127282789</v>
      </c>
    </row>
    <row r="955" spans="1:17">
      <c r="A955" s="653">
        <v>46114</v>
      </c>
      <c r="B955" s="557">
        <v>3705</v>
      </c>
      <c r="C955" s="37">
        <v>79955</v>
      </c>
      <c r="D955" s="37">
        <v>2481</v>
      </c>
      <c r="E955" s="37">
        <v>9</v>
      </c>
      <c r="F955" s="37">
        <v>107418</v>
      </c>
      <c r="G955" s="37">
        <v>75</v>
      </c>
      <c r="H955" s="37">
        <v>6</v>
      </c>
      <c r="I955" s="558">
        <v>5</v>
      </c>
      <c r="J955" s="39">
        <f t="shared" si="211"/>
        <v>0.0310299543493215</v>
      </c>
      <c r="K955" s="559">
        <f t="shared" si="212"/>
        <v>1.49334945586457</v>
      </c>
      <c r="L955" s="559">
        <f t="shared" si="213"/>
        <v>46.3385654430617</v>
      </c>
      <c r="M955" s="559">
        <f t="shared" si="214"/>
        <v>28.9927125506073</v>
      </c>
      <c r="N955" s="39">
        <f t="shared" si="215"/>
        <v>0.00362756952841596</v>
      </c>
      <c r="O955" s="560">
        <f t="shared" si="216"/>
        <v>45.7407407407407</v>
      </c>
      <c r="P955">
        <f t="shared" si="217"/>
        <v>81</v>
      </c>
      <c r="Q955" s="667">
        <f t="shared" si="218"/>
        <v>0.0326481257557437</v>
      </c>
    </row>
    <row r="956" spans="1:17">
      <c r="A956" s="653">
        <v>46115</v>
      </c>
      <c r="B956" s="557">
        <v>4027</v>
      </c>
      <c r="C956" s="37">
        <v>82452</v>
      </c>
      <c r="D956" s="37">
        <v>2375</v>
      </c>
      <c r="E956" s="37">
        <v>4</v>
      </c>
      <c r="F956" s="37">
        <v>34643</v>
      </c>
      <c r="G956" s="37">
        <v>64</v>
      </c>
      <c r="H956" s="37">
        <v>8</v>
      </c>
      <c r="I956" s="558">
        <v>5</v>
      </c>
      <c r="J956" s="39">
        <f t="shared" si="211"/>
        <v>0.0288046378499005</v>
      </c>
      <c r="K956" s="559">
        <f t="shared" si="212"/>
        <v>1.69557894736842</v>
      </c>
      <c r="L956" s="559">
        <f t="shared" si="213"/>
        <v>48.8405375248629</v>
      </c>
      <c r="M956" s="559">
        <f t="shared" si="214"/>
        <v>8.60268189719394</v>
      </c>
      <c r="N956" s="39">
        <f t="shared" si="215"/>
        <v>0.00168421052631579</v>
      </c>
      <c r="O956" s="560">
        <f t="shared" si="216"/>
        <v>55.9305555555556</v>
      </c>
      <c r="P956">
        <f t="shared" si="217"/>
        <v>72</v>
      </c>
      <c r="Q956" s="667">
        <f t="shared" si="218"/>
        <v>0.0303157894736842</v>
      </c>
    </row>
    <row r="957" spans="1:17">
      <c r="A957" s="653">
        <v>46116</v>
      </c>
      <c r="B957" s="557">
        <v>3219</v>
      </c>
      <c r="C957" s="37">
        <v>86540</v>
      </c>
      <c r="D957" s="37">
        <v>2757</v>
      </c>
      <c r="E957" s="37">
        <v>1</v>
      </c>
      <c r="F957" s="37">
        <v>9266</v>
      </c>
      <c r="G957" s="37">
        <v>55</v>
      </c>
      <c r="H957" s="37">
        <v>12</v>
      </c>
      <c r="I957" s="558">
        <v>10</v>
      </c>
      <c r="J957" s="39">
        <f t="shared" si="211"/>
        <v>0.0318581003004391</v>
      </c>
      <c r="K957" s="559">
        <f t="shared" si="212"/>
        <v>1.16757344940152</v>
      </c>
      <c r="L957" s="559">
        <f t="shared" si="213"/>
        <v>37.1966720591634</v>
      </c>
      <c r="M957" s="559">
        <f t="shared" si="214"/>
        <v>2.87853370611991</v>
      </c>
      <c r="N957" s="39">
        <f t="shared" si="215"/>
        <v>0.000362713093942691</v>
      </c>
      <c r="O957" s="560">
        <f t="shared" si="216"/>
        <v>48.044776119403</v>
      </c>
      <c r="P957">
        <f t="shared" si="217"/>
        <v>67</v>
      </c>
      <c r="Q957" s="667">
        <f t="shared" si="218"/>
        <v>0.0243017772941603</v>
      </c>
    </row>
    <row r="958" spans="1:17">
      <c r="A958" s="653">
        <v>46117</v>
      </c>
      <c r="B958" s="557">
        <v>3286</v>
      </c>
      <c r="C958" s="37">
        <v>81505</v>
      </c>
      <c r="D958" s="37">
        <v>2857</v>
      </c>
      <c r="E958" s="37">
        <v>3</v>
      </c>
      <c r="F958" s="37">
        <v>43743</v>
      </c>
      <c r="G958" s="37">
        <v>43</v>
      </c>
      <c r="H958" s="37">
        <v>6</v>
      </c>
      <c r="I958" s="558">
        <v>3</v>
      </c>
      <c r="J958" s="39">
        <f t="shared" si="211"/>
        <v>0.0350530642291884</v>
      </c>
      <c r="K958" s="559">
        <f t="shared" si="212"/>
        <v>1.15015750787539</v>
      </c>
      <c r="L958" s="559">
        <f t="shared" si="213"/>
        <v>40.3165449972394</v>
      </c>
      <c r="M958" s="559">
        <f t="shared" si="214"/>
        <v>13.3119293974437</v>
      </c>
      <c r="N958" s="39">
        <f t="shared" si="215"/>
        <v>0.00105005250262513</v>
      </c>
      <c r="O958" s="560">
        <f t="shared" si="216"/>
        <v>67.0612244897959</v>
      </c>
      <c r="P958">
        <f t="shared" si="217"/>
        <v>49</v>
      </c>
      <c r="Q958" s="667">
        <f t="shared" si="218"/>
        <v>0.0171508575428771</v>
      </c>
    </row>
    <row r="959" spans="1:17">
      <c r="A959" s="653">
        <v>46118</v>
      </c>
      <c r="B959" s="557">
        <v>6085</v>
      </c>
      <c r="C959" s="37">
        <v>129687</v>
      </c>
      <c r="D959" s="37">
        <v>3403</v>
      </c>
      <c r="E959" s="37">
        <v>3</v>
      </c>
      <c r="F959" s="37">
        <v>38984</v>
      </c>
      <c r="G959" s="37">
        <v>79</v>
      </c>
      <c r="H959" s="37">
        <v>10</v>
      </c>
      <c r="I959" s="558">
        <v>6</v>
      </c>
      <c r="J959" s="39">
        <f t="shared" ref="J959:J991" si="219">D959/C959</f>
        <v>0.0262401011666551</v>
      </c>
      <c r="K959" s="559">
        <f t="shared" ref="K959:K991" si="220">B959/D959</f>
        <v>1.78812812224508</v>
      </c>
      <c r="L959" s="559">
        <f t="shared" ref="L959:L991" si="221">B959/C959*1000</f>
        <v>46.9206628266519</v>
      </c>
      <c r="M959" s="559">
        <f t="shared" ref="M959:M991" si="222">F959/B959</f>
        <v>6.40657354149548</v>
      </c>
      <c r="N959" s="39">
        <f t="shared" ref="N959:N991" si="223">E959/D959</f>
        <v>0.000881575080811049</v>
      </c>
      <c r="O959" s="560">
        <f t="shared" ref="O959:O991" si="224">B959/(G959+H959)</f>
        <v>68.3707865168539</v>
      </c>
      <c r="P959">
        <f t="shared" ref="P959:P991" si="225">G959+H959</f>
        <v>89</v>
      </c>
      <c r="Q959" s="667">
        <f t="shared" ref="Q959:Q991" si="226">P959/D959</f>
        <v>0.0261533940640611</v>
      </c>
    </row>
    <row r="960" spans="1:17">
      <c r="A960" s="653">
        <v>46119</v>
      </c>
      <c r="B960" s="557">
        <v>5103</v>
      </c>
      <c r="C960" s="37">
        <v>127052</v>
      </c>
      <c r="D960" s="37">
        <v>2903</v>
      </c>
      <c r="E960" s="37">
        <v>8</v>
      </c>
      <c r="F960" s="37">
        <v>88676</v>
      </c>
      <c r="G960" s="37">
        <v>55</v>
      </c>
      <c r="H960" s="37">
        <v>4</v>
      </c>
      <c r="I960" s="558">
        <v>2</v>
      </c>
      <c r="J960" s="39">
        <f t="shared" si="219"/>
        <v>0.022848912256399</v>
      </c>
      <c r="K960" s="559">
        <f t="shared" si="220"/>
        <v>1.75783672063383</v>
      </c>
      <c r="L960" s="559">
        <f t="shared" si="221"/>
        <v>40.1646569908384</v>
      </c>
      <c r="M960" s="559">
        <f t="shared" si="222"/>
        <v>17.3772290809328</v>
      </c>
      <c r="N960" s="39">
        <f t="shared" si="223"/>
        <v>0.00275576989321392</v>
      </c>
      <c r="O960" s="560">
        <f t="shared" si="224"/>
        <v>86.4915254237288</v>
      </c>
      <c r="P960">
        <f t="shared" si="225"/>
        <v>59</v>
      </c>
      <c r="Q960" s="667">
        <f t="shared" si="226"/>
        <v>0.0203238029624526</v>
      </c>
    </row>
    <row r="961" spans="1:17">
      <c r="A961" s="653">
        <v>46120</v>
      </c>
      <c r="B961" s="557">
        <v>2309</v>
      </c>
      <c r="C961" s="37">
        <v>44381</v>
      </c>
      <c r="D961" s="37">
        <v>1614</v>
      </c>
      <c r="E961" s="37">
        <v>2</v>
      </c>
      <c r="F961" s="37">
        <v>22531</v>
      </c>
      <c r="G961" s="37">
        <v>26</v>
      </c>
      <c r="H961" s="37">
        <v>8</v>
      </c>
      <c r="I961" s="558">
        <v>4</v>
      </c>
      <c r="J961" s="39">
        <f t="shared" si="219"/>
        <v>0.0363669137694058</v>
      </c>
      <c r="K961" s="559">
        <f t="shared" si="220"/>
        <v>1.43060718711276</v>
      </c>
      <c r="L961" s="559">
        <f t="shared" si="221"/>
        <v>52.0267682116221</v>
      </c>
      <c r="M961" s="559">
        <f t="shared" si="222"/>
        <v>9.75790385448246</v>
      </c>
      <c r="N961" s="39">
        <f t="shared" si="223"/>
        <v>0.00123915737298637</v>
      </c>
      <c r="O961" s="560">
        <f t="shared" si="224"/>
        <v>67.9117647058823</v>
      </c>
      <c r="P961">
        <f t="shared" si="225"/>
        <v>34</v>
      </c>
      <c r="Q961" s="667">
        <f t="shared" si="226"/>
        <v>0.0210656753407683</v>
      </c>
    </row>
    <row r="962" spans="1:17">
      <c r="A962" s="653">
        <v>46121</v>
      </c>
      <c r="B962" s="557">
        <v>875</v>
      </c>
      <c r="C962" s="37">
        <v>13763</v>
      </c>
      <c r="D962" s="37">
        <v>861</v>
      </c>
      <c r="E962" s="37">
        <v>2</v>
      </c>
      <c r="F962" s="37">
        <v>32094</v>
      </c>
      <c r="G962" s="37">
        <v>25</v>
      </c>
      <c r="H962" s="37">
        <v>2</v>
      </c>
      <c r="I962" s="558">
        <v>2</v>
      </c>
      <c r="J962" s="39">
        <f t="shared" si="219"/>
        <v>0.0625590350940929</v>
      </c>
      <c r="K962" s="559">
        <f t="shared" si="220"/>
        <v>1.01626016260163</v>
      </c>
      <c r="L962" s="559">
        <f t="shared" si="221"/>
        <v>63.5762551769236</v>
      </c>
      <c r="M962" s="559">
        <f t="shared" si="222"/>
        <v>36.6788571428571</v>
      </c>
      <c r="N962" s="39">
        <f t="shared" si="223"/>
        <v>0.00232288037166086</v>
      </c>
      <c r="O962" s="560">
        <f t="shared" si="224"/>
        <v>32.4074074074074</v>
      </c>
      <c r="P962">
        <f t="shared" si="225"/>
        <v>27</v>
      </c>
      <c r="Q962" s="667">
        <f t="shared" si="226"/>
        <v>0.0313588850174216</v>
      </c>
    </row>
    <row r="963" spans="1:17">
      <c r="A963" s="653">
        <v>46122</v>
      </c>
      <c r="B963" s="557">
        <v>3322</v>
      </c>
      <c r="C963" s="37">
        <v>51640</v>
      </c>
      <c r="D963" s="37">
        <v>2088</v>
      </c>
      <c r="E963" s="37">
        <v>3</v>
      </c>
      <c r="F963" s="37">
        <v>40389</v>
      </c>
      <c r="G963" s="37">
        <v>31</v>
      </c>
      <c r="H963" s="37">
        <v>2</v>
      </c>
      <c r="I963" s="558">
        <v>3</v>
      </c>
      <c r="J963" s="39">
        <f t="shared" si="219"/>
        <v>0.0404337722695585</v>
      </c>
      <c r="K963" s="559">
        <f t="shared" si="220"/>
        <v>1.59099616858238</v>
      </c>
      <c r="L963" s="559">
        <f t="shared" si="221"/>
        <v>64.3299767621998</v>
      </c>
      <c r="M963" s="559">
        <f t="shared" si="222"/>
        <v>12.1580373269115</v>
      </c>
      <c r="N963" s="39">
        <f t="shared" si="223"/>
        <v>0.0014367816091954</v>
      </c>
      <c r="O963" s="560">
        <f t="shared" si="224"/>
        <v>100.666666666667</v>
      </c>
      <c r="P963">
        <f t="shared" si="225"/>
        <v>33</v>
      </c>
      <c r="Q963" s="667">
        <f t="shared" si="226"/>
        <v>0.0158045977011494</v>
      </c>
    </row>
    <row r="964" spans="1:17">
      <c r="A964" s="653">
        <v>46123</v>
      </c>
      <c r="B964" s="557">
        <v>2307</v>
      </c>
      <c r="C964" s="37">
        <v>46800</v>
      </c>
      <c r="D964" s="37">
        <v>1578</v>
      </c>
      <c r="E964" s="37">
        <v>0</v>
      </c>
      <c r="F964" s="37">
        <v>0</v>
      </c>
      <c r="G964" s="37">
        <v>26</v>
      </c>
      <c r="H964" s="37">
        <v>9</v>
      </c>
      <c r="I964" s="558">
        <v>2</v>
      </c>
      <c r="J964" s="39">
        <f t="shared" si="219"/>
        <v>0.0337179487179487</v>
      </c>
      <c r="K964" s="559">
        <f t="shared" si="220"/>
        <v>1.46197718631179</v>
      </c>
      <c r="L964" s="559">
        <f t="shared" si="221"/>
        <v>49.2948717948718</v>
      </c>
      <c r="M964" s="559">
        <f t="shared" si="222"/>
        <v>0</v>
      </c>
      <c r="N964" s="39">
        <f t="shared" si="223"/>
        <v>0</v>
      </c>
      <c r="O964" s="560">
        <f t="shared" si="224"/>
        <v>65.9142857142857</v>
      </c>
      <c r="P964">
        <f t="shared" si="225"/>
        <v>35</v>
      </c>
      <c r="Q964" s="667">
        <f t="shared" si="226"/>
        <v>0.0221799746514575</v>
      </c>
    </row>
    <row r="965" spans="1:17">
      <c r="A965" s="653">
        <v>46124</v>
      </c>
      <c r="B965" s="557">
        <v>2314</v>
      </c>
      <c r="C965" s="37">
        <v>54831</v>
      </c>
      <c r="D965" s="37">
        <v>1642</v>
      </c>
      <c r="E965" s="37">
        <v>0</v>
      </c>
      <c r="F965" s="37">
        <v>0</v>
      </c>
      <c r="G965" s="37">
        <v>28</v>
      </c>
      <c r="H965" s="37">
        <v>7</v>
      </c>
      <c r="I965" s="558">
        <v>7</v>
      </c>
      <c r="J965" s="39">
        <f t="shared" si="219"/>
        <v>0.0299465630756324</v>
      </c>
      <c r="K965" s="559">
        <f t="shared" si="220"/>
        <v>1.40925700365408</v>
      </c>
      <c r="L965" s="559">
        <f t="shared" si="221"/>
        <v>42.2024037497036</v>
      </c>
      <c r="M965" s="559">
        <f t="shared" si="222"/>
        <v>0</v>
      </c>
      <c r="N965" s="39">
        <f t="shared" si="223"/>
        <v>0</v>
      </c>
      <c r="O965" s="560">
        <f t="shared" si="224"/>
        <v>66.1142857142857</v>
      </c>
      <c r="P965">
        <f t="shared" si="225"/>
        <v>35</v>
      </c>
      <c r="Q965" s="667">
        <f t="shared" si="226"/>
        <v>0.0213154689403167</v>
      </c>
    </row>
    <row r="966" spans="1:17">
      <c r="A966" s="653">
        <v>46125</v>
      </c>
      <c r="B966" s="557">
        <v>3229</v>
      </c>
      <c r="C966" s="37">
        <v>46214</v>
      </c>
      <c r="D966" s="37">
        <v>2176</v>
      </c>
      <c r="E966" s="37">
        <v>11</v>
      </c>
      <c r="F966" s="37">
        <v>132266</v>
      </c>
      <c r="G966" s="37">
        <v>35</v>
      </c>
      <c r="H966" s="37">
        <v>4</v>
      </c>
      <c r="I966" s="558">
        <v>3</v>
      </c>
      <c r="J966" s="39">
        <f t="shared" si="219"/>
        <v>0.0470852988271952</v>
      </c>
      <c r="K966" s="559">
        <f t="shared" si="220"/>
        <v>1.48391544117647</v>
      </c>
      <c r="L966" s="559">
        <f t="shared" si="221"/>
        <v>69.8706019820833</v>
      </c>
      <c r="M966" s="559">
        <f t="shared" si="222"/>
        <v>40.9619077113657</v>
      </c>
      <c r="N966" s="39">
        <f t="shared" si="223"/>
        <v>0.00505514705882353</v>
      </c>
      <c r="O966" s="560">
        <f t="shared" si="224"/>
        <v>82.7948717948718</v>
      </c>
      <c r="P966">
        <f t="shared" si="225"/>
        <v>39</v>
      </c>
      <c r="Q966" s="667">
        <f t="shared" si="226"/>
        <v>0.0179227941176471</v>
      </c>
    </row>
    <row r="967" spans="1:17">
      <c r="A967" s="653">
        <v>46126</v>
      </c>
      <c r="B967" s="557">
        <v>700</v>
      </c>
      <c r="C967" s="37">
        <v>10721</v>
      </c>
      <c r="D967" s="37">
        <v>474</v>
      </c>
      <c r="E967" s="37">
        <v>3</v>
      </c>
      <c r="F967" s="37">
        <v>30522</v>
      </c>
      <c r="G967" s="37">
        <v>15</v>
      </c>
      <c r="H967" s="37">
        <v>3</v>
      </c>
      <c r="I967" s="558">
        <v>0</v>
      </c>
      <c r="J967" s="39">
        <f t="shared" si="219"/>
        <v>0.0442122936293256</v>
      </c>
      <c r="K967" s="559">
        <f t="shared" si="220"/>
        <v>1.47679324894515</v>
      </c>
      <c r="L967" s="559">
        <f t="shared" si="221"/>
        <v>65.2924167521686</v>
      </c>
      <c r="M967" s="559">
        <f t="shared" si="222"/>
        <v>43.6028571428571</v>
      </c>
      <c r="N967" s="39">
        <f t="shared" si="223"/>
        <v>0.00632911392405063</v>
      </c>
      <c r="O967" s="560">
        <f t="shared" si="224"/>
        <v>38.8888888888889</v>
      </c>
      <c r="P967">
        <f t="shared" si="225"/>
        <v>18</v>
      </c>
      <c r="Q967" s="667">
        <f t="shared" si="226"/>
        <v>0.0379746835443038</v>
      </c>
    </row>
    <row r="968" spans="1:17">
      <c r="A968" s="653">
        <v>46127</v>
      </c>
      <c r="B968" s="557">
        <v>2200</v>
      </c>
      <c r="C968" s="37">
        <v>25406</v>
      </c>
      <c r="D968" s="37">
        <v>994</v>
      </c>
      <c r="E968" s="37">
        <v>4</v>
      </c>
      <c r="F968" s="37">
        <v>31008</v>
      </c>
      <c r="G968" s="37">
        <v>24</v>
      </c>
      <c r="H968" s="37">
        <v>4</v>
      </c>
      <c r="I968" s="558">
        <v>2</v>
      </c>
      <c r="J968" s="39">
        <f t="shared" si="219"/>
        <v>0.039124616232386</v>
      </c>
      <c r="K968" s="559">
        <f t="shared" si="220"/>
        <v>2.21327967806841</v>
      </c>
      <c r="L968" s="559">
        <f t="shared" si="221"/>
        <v>86.5937180193655</v>
      </c>
      <c r="M968" s="559">
        <f t="shared" si="222"/>
        <v>14.0945454545455</v>
      </c>
      <c r="N968" s="39">
        <f t="shared" si="223"/>
        <v>0.00402414486921529</v>
      </c>
      <c r="O968" s="560">
        <f t="shared" si="224"/>
        <v>78.5714285714286</v>
      </c>
      <c r="P968">
        <f t="shared" si="225"/>
        <v>28</v>
      </c>
      <c r="Q968" s="667">
        <f t="shared" si="226"/>
        <v>0.028169014084507</v>
      </c>
    </row>
    <row r="969" spans="1:17">
      <c r="A969" s="653">
        <v>46128</v>
      </c>
      <c r="B969" s="557">
        <v>682</v>
      </c>
      <c r="C969" s="37">
        <v>1885</v>
      </c>
      <c r="D969" s="37">
        <v>381</v>
      </c>
      <c r="E969" s="37">
        <v>6</v>
      </c>
      <c r="F969" s="37">
        <v>120399</v>
      </c>
      <c r="G969" s="37">
        <v>36</v>
      </c>
      <c r="H969" s="37">
        <v>2</v>
      </c>
      <c r="I969" s="558">
        <v>0</v>
      </c>
      <c r="J969" s="39">
        <f t="shared" si="219"/>
        <v>0.202122015915119</v>
      </c>
      <c r="K969" s="559">
        <f t="shared" si="220"/>
        <v>1.79002624671916</v>
      </c>
      <c r="L969" s="559">
        <f t="shared" si="221"/>
        <v>361.803713527851</v>
      </c>
      <c r="M969" s="559">
        <f t="shared" si="222"/>
        <v>176.538123167155</v>
      </c>
      <c r="N969" s="39">
        <f t="shared" si="223"/>
        <v>0.015748031496063</v>
      </c>
      <c r="O969" s="560">
        <f t="shared" si="224"/>
        <v>17.9473684210526</v>
      </c>
      <c r="P969">
        <f t="shared" si="225"/>
        <v>38</v>
      </c>
      <c r="Q969" s="667">
        <f t="shared" si="226"/>
        <v>0.0997375328083989</v>
      </c>
    </row>
    <row r="970" spans="1:17">
      <c r="A970" s="653">
        <v>46129</v>
      </c>
      <c r="B970" s="557">
        <v>2099</v>
      </c>
      <c r="C970" s="37">
        <v>30625</v>
      </c>
      <c r="D970" s="37">
        <v>948</v>
      </c>
      <c r="E970" s="37">
        <v>1</v>
      </c>
      <c r="F970" s="37">
        <v>21714</v>
      </c>
      <c r="G970" s="37">
        <v>37</v>
      </c>
      <c r="H970" s="37">
        <v>5</v>
      </c>
      <c r="I970" s="558">
        <v>0</v>
      </c>
      <c r="J970" s="39">
        <f t="shared" si="219"/>
        <v>0.0309551020408163</v>
      </c>
      <c r="K970" s="559">
        <f t="shared" si="220"/>
        <v>2.21413502109705</v>
      </c>
      <c r="L970" s="559">
        <f t="shared" si="221"/>
        <v>68.5387755102041</v>
      </c>
      <c r="M970" s="559">
        <f t="shared" si="222"/>
        <v>10.3449261553121</v>
      </c>
      <c r="N970" s="39">
        <f t="shared" si="223"/>
        <v>0.00105485232067511</v>
      </c>
      <c r="O970" s="560">
        <f t="shared" si="224"/>
        <v>49.9761904761905</v>
      </c>
      <c r="P970">
        <f t="shared" si="225"/>
        <v>42</v>
      </c>
      <c r="Q970" s="667">
        <f t="shared" si="226"/>
        <v>0.0443037974683544</v>
      </c>
    </row>
    <row r="971" spans="1:17">
      <c r="A971" s="653">
        <v>46130</v>
      </c>
      <c r="B971" s="557">
        <v>2098</v>
      </c>
      <c r="C971" s="37">
        <v>27065</v>
      </c>
      <c r="D971" s="37">
        <v>1076</v>
      </c>
      <c r="E971" s="37">
        <v>3</v>
      </c>
      <c r="F971" s="37">
        <v>27710</v>
      </c>
      <c r="G971" s="37">
        <v>25</v>
      </c>
      <c r="H971" s="37">
        <v>6</v>
      </c>
      <c r="I971" s="558">
        <v>3</v>
      </c>
      <c r="J971" s="39">
        <f t="shared" si="219"/>
        <v>0.0397561426196194</v>
      </c>
      <c r="K971" s="559">
        <f t="shared" si="220"/>
        <v>1.94981412639405</v>
      </c>
      <c r="L971" s="559">
        <f t="shared" si="221"/>
        <v>77.5170884906706</v>
      </c>
      <c r="M971" s="559">
        <f t="shared" si="222"/>
        <v>13.2078169685415</v>
      </c>
      <c r="N971" s="39">
        <f t="shared" si="223"/>
        <v>0.00278810408921933</v>
      </c>
      <c r="O971" s="560">
        <f t="shared" si="224"/>
        <v>67.6774193548387</v>
      </c>
      <c r="P971">
        <f t="shared" si="225"/>
        <v>31</v>
      </c>
      <c r="Q971" s="667">
        <f t="shared" si="226"/>
        <v>0.0288104089219331</v>
      </c>
    </row>
    <row r="972" spans="1:17">
      <c r="A972" s="653">
        <v>46131</v>
      </c>
      <c r="B972" s="557">
        <v>2037</v>
      </c>
      <c r="C972" s="37">
        <v>28729</v>
      </c>
      <c r="D972" s="37">
        <v>917</v>
      </c>
      <c r="E972" s="37">
        <v>1</v>
      </c>
      <c r="F972" s="37">
        <v>14134</v>
      </c>
      <c r="G972" s="37">
        <v>38</v>
      </c>
      <c r="H972" s="37">
        <v>2</v>
      </c>
      <c r="I972" s="558">
        <v>3</v>
      </c>
      <c r="J972" s="39">
        <f t="shared" si="219"/>
        <v>0.03191896689756</v>
      </c>
      <c r="K972" s="559">
        <f t="shared" si="220"/>
        <v>2.22137404580153</v>
      </c>
      <c r="L972" s="559">
        <f t="shared" si="221"/>
        <v>70.9039646350378</v>
      </c>
      <c r="M972" s="559">
        <f t="shared" si="222"/>
        <v>6.9386352479136</v>
      </c>
      <c r="N972" s="39">
        <f t="shared" si="223"/>
        <v>0.00109051254089422</v>
      </c>
      <c r="O972" s="560">
        <f t="shared" si="224"/>
        <v>50.925</v>
      </c>
      <c r="P972">
        <f t="shared" si="225"/>
        <v>40</v>
      </c>
      <c r="Q972" s="667">
        <f t="shared" si="226"/>
        <v>0.0436205016357688</v>
      </c>
    </row>
    <row r="973" spans="1:17">
      <c r="A973" s="653">
        <v>46132</v>
      </c>
      <c r="B973" s="557">
        <v>2100</v>
      </c>
      <c r="C973" s="37">
        <v>37957</v>
      </c>
      <c r="D973" s="37">
        <v>1007</v>
      </c>
      <c r="E973" s="37">
        <v>0</v>
      </c>
      <c r="F973" s="37">
        <v>0</v>
      </c>
      <c r="G973" s="37">
        <v>24</v>
      </c>
      <c r="H973" s="37">
        <v>3</v>
      </c>
      <c r="I973" s="558">
        <v>1</v>
      </c>
      <c r="J973" s="39">
        <f t="shared" si="219"/>
        <v>0.0265300208130253</v>
      </c>
      <c r="K973" s="559">
        <f t="shared" si="220"/>
        <v>2.08540218470705</v>
      </c>
      <c r="L973" s="559">
        <f t="shared" si="221"/>
        <v>55.3257633638064</v>
      </c>
      <c r="M973" s="559">
        <f t="shared" si="222"/>
        <v>0</v>
      </c>
      <c r="N973" s="39">
        <f t="shared" si="223"/>
        <v>0</v>
      </c>
      <c r="O973" s="560">
        <f t="shared" si="224"/>
        <v>77.7777777777778</v>
      </c>
      <c r="P973">
        <f t="shared" si="225"/>
        <v>27</v>
      </c>
      <c r="Q973" s="667">
        <f t="shared" si="226"/>
        <v>0.0268123138033764</v>
      </c>
    </row>
    <row r="974" spans="1:17">
      <c r="A974" s="653">
        <v>46133</v>
      </c>
      <c r="B974" s="557">
        <v>894</v>
      </c>
      <c r="C974" s="37">
        <v>15765</v>
      </c>
      <c r="D974" s="37">
        <v>497</v>
      </c>
      <c r="E974" s="37">
        <v>0</v>
      </c>
      <c r="F974" s="37">
        <v>0</v>
      </c>
      <c r="G974" s="37">
        <v>25</v>
      </c>
      <c r="H974" s="37">
        <v>4</v>
      </c>
      <c r="I974" s="558">
        <v>2</v>
      </c>
      <c r="J974" s="39">
        <f t="shared" si="219"/>
        <v>0.0315255312400888</v>
      </c>
      <c r="K974" s="559">
        <f t="shared" si="220"/>
        <v>1.79879275653924</v>
      </c>
      <c r="L974" s="559">
        <f t="shared" si="221"/>
        <v>56.7078972407231</v>
      </c>
      <c r="M974" s="559">
        <f t="shared" si="222"/>
        <v>0</v>
      </c>
      <c r="N974" s="39">
        <f t="shared" si="223"/>
        <v>0</v>
      </c>
      <c r="O974" s="560">
        <f t="shared" si="224"/>
        <v>30.8275862068966</v>
      </c>
      <c r="P974">
        <f t="shared" si="225"/>
        <v>29</v>
      </c>
      <c r="Q974" s="667">
        <f t="shared" si="226"/>
        <v>0.0583501006036217</v>
      </c>
    </row>
    <row r="975" spans="1:17">
      <c r="A975" s="653">
        <v>46134</v>
      </c>
      <c r="B975" s="557">
        <v>900</v>
      </c>
      <c r="C975" s="37">
        <v>7931</v>
      </c>
      <c r="D975" s="37">
        <v>355</v>
      </c>
      <c r="E975" s="37">
        <v>2</v>
      </c>
      <c r="F975" s="37">
        <v>31803</v>
      </c>
      <c r="G975" s="37">
        <v>13</v>
      </c>
      <c r="H975" s="37">
        <v>0</v>
      </c>
      <c r="I975" s="558">
        <v>0</v>
      </c>
      <c r="J975" s="39">
        <f t="shared" si="219"/>
        <v>0.0447610641785399</v>
      </c>
      <c r="K975" s="559">
        <f t="shared" si="220"/>
        <v>2.53521126760563</v>
      </c>
      <c r="L975" s="559">
        <f t="shared" si="221"/>
        <v>113.478754255453</v>
      </c>
      <c r="M975" s="559">
        <f t="shared" si="222"/>
        <v>35.3366666666667</v>
      </c>
      <c r="N975" s="39">
        <f t="shared" si="223"/>
        <v>0.00563380281690141</v>
      </c>
      <c r="O975" s="560">
        <f t="shared" si="224"/>
        <v>69.2307692307692</v>
      </c>
      <c r="P975">
        <f t="shared" si="225"/>
        <v>13</v>
      </c>
      <c r="Q975" s="667">
        <f t="shared" si="226"/>
        <v>0.0366197183098592</v>
      </c>
    </row>
    <row r="976" spans="1:17">
      <c r="A976" s="653">
        <v>46135</v>
      </c>
      <c r="B976" s="557">
        <v>900</v>
      </c>
      <c r="C976" s="37">
        <v>7513</v>
      </c>
      <c r="D976" s="37">
        <v>408</v>
      </c>
      <c r="E976" s="37">
        <v>0</v>
      </c>
      <c r="F976" s="37">
        <v>0</v>
      </c>
      <c r="G976" s="37">
        <v>7</v>
      </c>
      <c r="H976" s="37">
        <v>5</v>
      </c>
      <c r="I976" s="558">
        <v>2</v>
      </c>
      <c r="J976" s="39">
        <f t="shared" si="219"/>
        <v>0.0543058698256356</v>
      </c>
      <c r="K976" s="559">
        <f t="shared" si="220"/>
        <v>2.20588235294118</v>
      </c>
      <c r="L976" s="559">
        <f t="shared" si="221"/>
        <v>119.79235990949</v>
      </c>
      <c r="M976" s="559">
        <f t="shared" si="222"/>
        <v>0</v>
      </c>
      <c r="N976" s="39">
        <f t="shared" si="223"/>
        <v>0</v>
      </c>
      <c r="O976" s="560">
        <f t="shared" si="224"/>
        <v>75</v>
      </c>
      <c r="P976">
        <f t="shared" si="225"/>
        <v>12</v>
      </c>
      <c r="Q976" s="667">
        <f t="shared" si="226"/>
        <v>0.0294117647058824</v>
      </c>
    </row>
    <row r="977" spans="1:17">
      <c r="A977" s="653">
        <v>46136</v>
      </c>
      <c r="B977" s="557">
        <v>2373</v>
      </c>
      <c r="C977" s="37">
        <v>27843</v>
      </c>
      <c r="D977" s="37">
        <v>1095</v>
      </c>
      <c r="E977" s="37">
        <v>2</v>
      </c>
      <c r="F977" s="37">
        <v>22271</v>
      </c>
      <c r="G977" s="37">
        <v>15</v>
      </c>
      <c r="H977" s="37">
        <v>2</v>
      </c>
      <c r="I977" s="558">
        <v>2</v>
      </c>
      <c r="J977" s="39">
        <f t="shared" si="219"/>
        <v>0.0393276586574723</v>
      </c>
      <c r="K977" s="559">
        <f t="shared" si="220"/>
        <v>2.16712328767123</v>
      </c>
      <c r="L977" s="559">
        <f t="shared" si="221"/>
        <v>85.2278849261933</v>
      </c>
      <c r="M977" s="559">
        <f t="shared" si="222"/>
        <v>9.38516645596292</v>
      </c>
      <c r="N977" s="39">
        <f t="shared" si="223"/>
        <v>0.00182648401826484</v>
      </c>
      <c r="O977" s="560">
        <f t="shared" si="224"/>
        <v>139.588235294118</v>
      </c>
      <c r="P977">
        <f t="shared" si="225"/>
        <v>17</v>
      </c>
      <c r="Q977" s="667">
        <f t="shared" si="226"/>
        <v>0.0155251141552511</v>
      </c>
    </row>
    <row r="978" spans="1:17">
      <c r="A978" s="653">
        <v>46137</v>
      </c>
      <c r="B978" s="557">
        <v>2353</v>
      </c>
      <c r="C978" s="37">
        <v>37667</v>
      </c>
      <c r="D978" s="37">
        <v>1260</v>
      </c>
      <c r="E978" s="37">
        <v>1</v>
      </c>
      <c r="F978" s="37">
        <v>8535</v>
      </c>
      <c r="G978" s="37">
        <v>19</v>
      </c>
      <c r="H978" s="37">
        <v>2</v>
      </c>
      <c r="I978" s="558">
        <v>2</v>
      </c>
      <c r="J978" s="39">
        <f t="shared" si="219"/>
        <v>0.0334510314068017</v>
      </c>
      <c r="K978" s="559">
        <f t="shared" si="220"/>
        <v>1.86746031746032</v>
      </c>
      <c r="L978" s="559">
        <f t="shared" si="221"/>
        <v>62.468473730321</v>
      </c>
      <c r="M978" s="559">
        <f t="shared" si="222"/>
        <v>3.62728431789205</v>
      </c>
      <c r="N978" s="39">
        <f t="shared" si="223"/>
        <v>0.000793650793650794</v>
      </c>
      <c r="O978" s="560">
        <f t="shared" si="224"/>
        <v>112.047619047619</v>
      </c>
      <c r="P978">
        <f t="shared" si="225"/>
        <v>21</v>
      </c>
      <c r="Q978" s="667">
        <f t="shared" si="226"/>
        <v>0.0166666666666667</v>
      </c>
    </row>
    <row r="979" spans="1:17">
      <c r="A979" s="653">
        <v>46138</v>
      </c>
      <c r="B979" s="557">
        <v>2353</v>
      </c>
      <c r="C979" s="37">
        <v>35659</v>
      </c>
      <c r="D979" s="37">
        <v>1019</v>
      </c>
      <c r="E979" s="37">
        <v>0</v>
      </c>
      <c r="F979" s="37">
        <v>0</v>
      </c>
      <c r="G979" s="37">
        <v>15</v>
      </c>
      <c r="H979" s="37">
        <v>5</v>
      </c>
      <c r="I979" s="558">
        <v>2</v>
      </c>
      <c r="J979" s="39">
        <f t="shared" si="219"/>
        <v>0.0285762360133487</v>
      </c>
      <c r="K979" s="559">
        <f t="shared" si="220"/>
        <v>2.30912659470069</v>
      </c>
      <c r="L979" s="559">
        <f t="shared" si="221"/>
        <v>65.9861465548669</v>
      </c>
      <c r="M979" s="559">
        <f t="shared" si="222"/>
        <v>0</v>
      </c>
      <c r="N979" s="39">
        <f t="shared" si="223"/>
        <v>0</v>
      </c>
      <c r="O979" s="560">
        <f t="shared" si="224"/>
        <v>117.65</v>
      </c>
      <c r="P979">
        <f t="shared" si="225"/>
        <v>20</v>
      </c>
      <c r="Q979" s="667">
        <f t="shared" si="226"/>
        <v>0.0196270853778214</v>
      </c>
    </row>
    <row r="980" spans="1:17">
      <c r="A980" s="653">
        <v>46139</v>
      </c>
      <c r="B980" s="668">
        <v>2364.56</v>
      </c>
      <c r="C980" s="37">
        <v>37128</v>
      </c>
      <c r="D980" s="37">
        <v>958</v>
      </c>
      <c r="E980" s="37">
        <v>1</v>
      </c>
      <c r="F980" s="37">
        <v>9057</v>
      </c>
      <c r="G980" s="37">
        <v>32</v>
      </c>
      <c r="H980" s="37">
        <v>3</v>
      </c>
      <c r="I980" s="558">
        <v>1</v>
      </c>
      <c r="J980" s="39">
        <f t="shared" si="219"/>
        <v>0.0258026287438052</v>
      </c>
      <c r="K980" s="559">
        <f t="shared" si="220"/>
        <v>2.4682254697286</v>
      </c>
      <c r="L980" s="559">
        <f t="shared" si="221"/>
        <v>63.6867054514113</v>
      </c>
      <c r="M980" s="559">
        <f t="shared" si="222"/>
        <v>3.83031092465406</v>
      </c>
      <c r="N980" s="39">
        <f t="shared" si="223"/>
        <v>0.00104384133611691</v>
      </c>
      <c r="O980" s="560">
        <f t="shared" si="224"/>
        <v>67.5588571428571</v>
      </c>
      <c r="P980">
        <f t="shared" si="225"/>
        <v>35</v>
      </c>
      <c r="Q980" s="667">
        <f t="shared" si="226"/>
        <v>0.0365344467640919</v>
      </c>
    </row>
    <row r="981" spans="1:17">
      <c r="A981" s="653">
        <v>46140</v>
      </c>
      <c r="B981" s="557">
        <v>2400</v>
      </c>
      <c r="C981" s="37">
        <v>36407</v>
      </c>
      <c r="D981" s="37">
        <v>1210</v>
      </c>
      <c r="E981" s="37">
        <v>1</v>
      </c>
      <c r="F981" s="669">
        <v>13397.01</v>
      </c>
      <c r="G981" s="37">
        <v>21</v>
      </c>
      <c r="H981" s="37">
        <v>1</v>
      </c>
      <c r="I981" s="558">
        <v>1</v>
      </c>
      <c r="J981" s="39">
        <f t="shared" si="219"/>
        <v>0.0332353668250611</v>
      </c>
      <c r="K981" s="559">
        <f t="shared" si="220"/>
        <v>1.98347107438017</v>
      </c>
      <c r="L981" s="559">
        <f t="shared" si="221"/>
        <v>65.9213887439229</v>
      </c>
      <c r="M981" s="559">
        <f t="shared" si="222"/>
        <v>5.5820875</v>
      </c>
      <c r="N981" s="39">
        <f t="shared" si="223"/>
        <v>0.000826446280991736</v>
      </c>
      <c r="O981" s="560">
        <f t="shared" si="224"/>
        <v>109.090909090909</v>
      </c>
      <c r="P981">
        <f t="shared" si="225"/>
        <v>22</v>
      </c>
      <c r="Q981" s="667">
        <f t="shared" si="226"/>
        <v>0.0181818181818182</v>
      </c>
    </row>
    <row r="982" spans="1:17">
      <c r="A982" s="653">
        <v>46141</v>
      </c>
      <c r="B982" s="668">
        <v>2310.6</v>
      </c>
      <c r="C982" s="37">
        <v>38576</v>
      </c>
      <c r="D982" s="37">
        <v>1075</v>
      </c>
      <c r="E982" s="37">
        <v>1</v>
      </c>
      <c r="F982" s="37">
        <v>11600</v>
      </c>
      <c r="G982" s="37">
        <v>18</v>
      </c>
      <c r="H982" s="37">
        <v>4</v>
      </c>
      <c r="I982" s="558">
        <v>1</v>
      </c>
      <c r="J982" s="39">
        <f t="shared" si="219"/>
        <v>0.0278670676068022</v>
      </c>
      <c r="K982" s="559">
        <f t="shared" si="220"/>
        <v>2.14939534883721</v>
      </c>
      <c r="L982" s="559">
        <f t="shared" si="221"/>
        <v>59.8973454997926</v>
      </c>
      <c r="M982" s="559">
        <f t="shared" si="222"/>
        <v>5.0203410369601</v>
      </c>
      <c r="N982" s="39">
        <f t="shared" si="223"/>
        <v>0.000930232558139535</v>
      </c>
      <c r="O982" s="560">
        <f t="shared" si="224"/>
        <v>105.027272727273</v>
      </c>
      <c r="P982">
        <f t="shared" si="225"/>
        <v>22</v>
      </c>
      <c r="Q982" s="667">
        <f t="shared" si="226"/>
        <v>0.0204651162790698</v>
      </c>
    </row>
    <row r="983" spans="1:17">
      <c r="A983" s="653">
        <v>46142</v>
      </c>
      <c r="B983" s="557">
        <v>900</v>
      </c>
      <c r="C983" s="37">
        <v>12941</v>
      </c>
      <c r="D983" s="37">
        <v>424</v>
      </c>
      <c r="E983" s="37">
        <v>1</v>
      </c>
      <c r="F983" s="669">
        <v>11905.01</v>
      </c>
      <c r="G983" s="37">
        <v>7</v>
      </c>
      <c r="H983" s="37">
        <v>2</v>
      </c>
      <c r="I983" s="558">
        <v>0</v>
      </c>
      <c r="J983" s="39">
        <f t="shared" si="219"/>
        <v>0.0327640831465884</v>
      </c>
      <c r="K983" s="559">
        <f t="shared" si="220"/>
        <v>2.12264150943396</v>
      </c>
      <c r="L983" s="559">
        <f t="shared" si="221"/>
        <v>69.5464029054942</v>
      </c>
      <c r="M983" s="559">
        <f t="shared" si="222"/>
        <v>13.2277888888889</v>
      </c>
      <c r="N983" s="39">
        <f t="shared" si="223"/>
        <v>0.00235849056603774</v>
      </c>
      <c r="O983" s="560">
        <f t="shared" si="224"/>
        <v>100</v>
      </c>
      <c r="P983">
        <f t="shared" si="225"/>
        <v>9</v>
      </c>
      <c r="Q983" s="667">
        <f t="shared" si="226"/>
        <v>0.0212264150943396</v>
      </c>
    </row>
    <row r="984" spans="1:17">
      <c r="A984" s="653">
        <v>46143</v>
      </c>
      <c r="B984" s="557">
        <v>890.37</v>
      </c>
      <c r="C984" s="37">
        <v>10423</v>
      </c>
      <c r="D984" s="37">
        <v>433</v>
      </c>
      <c r="E984" s="37">
        <v>0</v>
      </c>
      <c r="F984" s="37">
        <v>0</v>
      </c>
      <c r="G984" s="37">
        <v>3</v>
      </c>
      <c r="H984" s="37">
        <v>1</v>
      </c>
      <c r="I984" s="558">
        <v>0</v>
      </c>
      <c r="J984" s="39">
        <f t="shared" si="219"/>
        <v>0.0415427420128562</v>
      </c>
      <c r="K984" s="559">
        <f t="shared" si="220"/>
        <v>2.0562817551963</v>
      </c>
      <c r="L984" s="559">
        <f t="shared" si="221"/>
        <v>85.4235824618632</v>
      </c>
      <c r="M984" s="559">
        <f t="shared" si="222"/>
        <v>0</v>
      </c>
      <c r="N984" s="39">
        <f t="shared" si="223"/>
        <v>0</v>
      </c>
      <c r="O984" s="560">
        <f t="shared" si="224"/>
        <v>222.5925</v>
      </c>
      <c r="P984">
        <f t="shared" si="225"/>
        <v>4</v>
      </c>
      <c r="Q984" s="667">
        <f t="shared" si="226"/>
        <v>0.0092378752886836</v>
      </c>
    </row>
    <row r="985" spans="1:17">
      <c r="A985" s="653">
        <v>46144</v>
      </c>
      <c r="B985" s="557">
        <v>1315.76</v>
      </c>
      <c r="C985" s="37">
        <v>17603</v>
      </c>
      <c r="D985" s="37">
        <v>665</v>
      </c>
      <c r="E985" s="37">
        <v>0</v>
      </c>
      <c r="F985" s="37">
        <v>0</v>
      </c>
      <c r="G985" s="37">
        <v>10</v>
      </c>
      <c r="H985" s="37">
        <v>5</v>
      </c>
      <c r="I985" s="558">
        <v>1</v>
      </c>
      <c r="J985" s="39">
        <f t="shared" si="219"/>
        <v>0.0377776515366699</v>
      </c>
      <c r="K985" s="559">
        <f t="shared" si="220"/>
        <v>1.97858646616541</v>
      </c>
      <c r="L985" s="559">
        <f t="shared" si="221"/>
        <v>74.7463500539681</v>
      </c>
      <c r="M985" s="559">
        <f t="shared" si="222"/>
        <v>0</v>
      </c>
      <c r="N985" s="39">
        <f t="shared" si="223"/>
        <v>0</v>
      </c>
      <c r="O985" s="560">
        <f t="shared" si="224"/>
        <v>87.7173333333333</v>
      </c>
      <c r="P985">
        <f t="shared" si="225"/>
        <v>15</v>
      </c>
      <c r="Q985" s="667">
        <f t="shared" si="226"/>
        <v>0.0225563909774436</v>
      </c>
    </row>
    <row r="986" spans="1:17">
      <c r="A986" s="653">
        <v>46145</v>
      </c>
      <c r="B986" s="557">
        <v>1292.94</v>
      </c>
      <c r="C986" s="37">
        <v>17361</v>
      </c>
      <c r="D986" s="37">
        <v>658</v>
      </c>
      <c r="E986" s="37">
        <v>1</v>
      </c>
      <c r="F986" s="37">
        <v>8765</v>
      </c>
      <c r="G986" s="37">
        <v>23</v>
      </c>
      <c r="H986" s="37">
        <v>3</v>
      </c>
      <c r="I986" s="558">
        <v>4</v>
      </c>
      <c r="J986" s="39">
        <f t="shared" si="219"/>
        <v>0.0379010425666724</v>
      </c>
      <c r="K986" s="559">
        <f t="shared" si="220"/>
        <v>1.96495440729483</v>
      </c>
      <c r="L986" s="559">
        <f t="shared" si="221"/>
        <v>74.473820632452</v>
      </c>
      <c r="M986" s="559">
        <f t="shared" si="222"/>
        <v>6.77912354788312</v>
      </c>
      <c r="N986" s="39">
        <f t="shared" si="223"/>
        <v>0.00151975683890578</v>
      </c>
      <c r="O986" s="560">
        <f t="shared" si="224"/>
        <v>49.7284615384615</v>
      </c>
      <c r="P986">
        <f t="shared" si="225"/>
        <v>26</v>
      </c>
      <c r="Q986" s="667">
        <f t="shared" si="226"/>
        <v>0.0395136778115502</v>
      </c>
    </row>
    <row r="987" spans="1:17">
      <c r="A987" s="653">
        <v>46146</v>
      </c>
      <c r="B987" s="557">
        <v>1400</v>
      </c>
      <c r="C987" s="37">
        <v>18574</v>
      </c>
      <c r="D987" s="37">
        <v>664</v>
      </c>
      <c r="E987" s="37">
        <v>1</v>
      </c>
      <c r="F987" s="37">
        <v>16155</v>
      </c>
      <c r="G987" s="37">
        <v>32</v>
      </c>
      <c r="H987" s="37">
        <v>5</v>
      </c>
      <c r="I987" s="558">
        <v>2</v>
      </c>
      <c r="J987" s="39">
        <f t="shared" si="219"/>
        <v>0.0357488963066652</v>
      </c>
      <c r="K987" s="559">
        <f t="shared" si="220"/>
        <v>2.10843373493976</v>
      </c>
      <c r="L987" s="559">
        <f t="shared" si="221"/>
        <v>75.3741789598363</v>
      </c>
      <c r="M987" s="559">
        <f t="shared" si="222"/>
        <v>11.5392857142857</v>
      </c>
      <c r="N987" s="39">
        <f t="shared" si="223"/>
        <v>0.00150602409638554</v>
      </c>
      <c r="O987" s="560">
        <f t="shared" si="224"/>
        <v>37.8378378378378</v>
      </c>
      <c r="P987">
        <f t="shared" si="225"/>
        <v>37</v>
      </c>
      <c r="Q987" s="667">
        <f t="shared" si="226"/>
        <v>0.0557228915662651</v>
      </c>
    </row>
    <row r="988" spans="1:17">
      <c r="A988" s="653">
        <v>46147</v>
      </c>
      <c r="B988" s="557">
        <v>1350.69</v>
      </c>
      <c r="C988" s="37">
        <v>16900</v>
      </c>
      <c r="D988" s="37">
        <v>668</v>
      </c>
      <c r="E988" s="37">
        <v>0</v>
      </c>
      <c r="F988" s="37">
        <v>0</v>
      </c>
      <c r="G988" s="37">
        <v>27</v>
      </c>
      <c r="H988" s="37">
        <v>2</v>
      </c>
      <c r="I988" s="558">
        <v>0</v>
      </c>
      <c r="J988" s="39">
        <f t="shared" si="219"/>
        <v>0.0395266272189349</v>
      </c>
      <c r="K988" s="559">
        <f t="shared" si="220"/>
        <v>2.02199101796407</v>
      </c>
      <c r="L988" s="559">
        <f t="shared" si="221"/>
        <v>79.9224852071006</v>
      </c>
      <c r="M988" s="559">
        <f t="shared" si="222"/>
        <v>0</v>
      </c>
      <c r="N988" s="39">
        <f t="shared" si="223"/>
        <v>0</v>
      </c>
      <c r="O988" s="560">
        <f t="shared" si="224"/>
        <v>46.5755172413793</v>
      </c>
      <c r="P988">
        <f t="shared" si="225"/>
        <v>29</v>
      </c>
      <c r="Q988" s="667">
        <f t="shared" si="226"/>
        <v>0.0434131736526946</v>
      </c>
    </row>
    <row r="989" spans="1:17">
      <c r="A989" s="653">
        <v>46148</v>
      </c>
      <c r="B989" s="557">
        <v>2983.99</v>
      </c>
      <c r="C989" s="37">
        <v>34301</v>
      </c>
      <c r="D989" s="37">
        <v>1514</v>
      </c>
      <c r="E989" s="37">
        <v>1</v>
      </c>
      <c r="F989" s="37">
        <v>12245</v>
      </c>
      <c r="G989" s="37">
        <v>30</v>
      </c>
      <c r="H989" s="37">
        <v>2</v>
      </c>
      <c r="I989" s="558">
        <v>1</v>
      </c>
      <c r="J989" s="39">
        <f t="shared" si="219"/>
        <v>0.0441386548497128</v>
      </c>
      <c r="K989" s="559">
        <f t="shared" si="220"/>
        <v>1.97093130779392</v>
      </c>
      <c r="L989" s="559">
        <f t="shared" si="221"/>
        <v>86.9942567272091</v>
      </c>
      <c r="M989" s="559">
        <f t="shared" si="222"/>
        <v>4.10356603071726</v>
      </c>
      <c r="N989" s="39">
        <f t="shared" si="223"/>
        <v>0.000660501981505945</v>
      </c>
      <c r="O989" s="560">
        <f t="shared" si="224"/>
        <v>93.2496875</v>
      </c>
      <c r="P989">
        <f t="shared" si="225"/>
        <v>32</v>
      </c>
      <c r="Q989" s="667">
        <f t="shared" si="226"/>
        <v>0.0211360634081902</v>
      </c>
    </row>
    <row r="990" spans="1:17">
      <c r="A990" s="653">
        <v>46149</v>
      </c>
      <c r="B990" s="557">
        <v>2470.98</v>
      </c>
      <c r="C990" s="37">
        <v>39847</v>
      </c>
      <c r="D990" s="37">
        <v>1252</v>
      </c>
      <c r="E990" s="37">
        <v>0</v>
      </c>
      <c r="F990" s="37">
        <v>0</v>
      </c>
      <c r="G990" s="37">
        <v>46</v>
      </c>
      <c r="H990" s="37">
        <v>8</v>
      </c>
      <c r="I990" s="558">
        <v>1</v>
      </c>
      <c r="J990" s="39">
        <f t="shared" si="219"/>
        <v>0.0314201821969032</v>
      </c>
      <c r="K990" s="559">
        <f t="shared" si="220"/>
        <v>1.97362619808307</v>
      </c>
      <c r="L990" s="559">
        <f t="shared" si="221"/>
        <v>62.0116947323512</v>
      </c>
      <c r="M990" s="559">
        <f t="shared" si="222"/>
        <v>0</v>
      </c>
      <c r="N990" s="39">
        <f t="shared" si="223"/>
        <v>0</v>
      </c>
      <c r="O990" s="560">
        <f t="shared" si="224"/>
        <v>45.7588888888889</v>
      </c>
      <c r="P990">
        <f t="shared" si="225"/>
        <v>54</v>
      </c>
      <c r="Q990" s="667">
        <f t="shared" si="226"/>
        <v>0.0431309904153355</v>
      </c>
    </row>
    <row r="991" spans="1:17">
      <c r="A991" s="653">
        <v>46150</v>
      </c>
      <c r="B991" s="557">
        <v>3125.53</v>
      </c>
      <c r="C991" s="37">
        <v>44971</v>
      </c>
      <c r="D991" s="37">
        <v>1612</v>
      </c>
      <c r="E991" s="37">
        <v>0</v>
      </c>
      <c r="F991" s="37">
        <v>0</v>
      </c>
      <c r="G991" s="37">
        <v>40</v>
      </c>
      <c r="H991" s="37">
        <v>2</v>
      </c>
      <c r="I991" s="558">
        <v>0</v>
      </c>
      <c r="J991" s="39">
        <f t="shared" si="219"/>
        <v>0.0358453225411932</v>
      </c>
      <c r="K991" s="559">
        <f t="shared" si="220"/>
        <v>1.93891439205955</v>
      </c>
      <c r="L991" s="559">
        <f t="shared" si="221"/>
        <v>69.5010117631362</v>
      </c>
      <c r="M991" s="559">
        <f t="shared" si="222"/>
        <v>0</v>
      </c>
      <c r="N991" s="39">
        <f t="shared" si="223"/>
        <v>0</v>
      </c>
      <c r="O991" s="560">
        <f t="shared" si="224"/>
        <v>74.417380952381</v>
      </c>
      <c r="P991">
        <f t="shared" si="225"/>
        <v>42</v>
      </c>
      <c r="Q991" s="667">
        <f t="shared" si="226"/>
        <v>0.0260545905707196</v>
      </c>
    </row>
  </sheetData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3504"/>
  <sheetViews>
    <sheetView workbookViewId="0">
      <pane ySplit="1" topLeftCell="A3487" activePane="bottomLeft" state="frozen"/>
      <selection/>
      <selection pane="bottomLeft" activeCell="E3521" sqref="E3521"/>
    </sheetView>
  </sheetViews>
  <sheetFormatPr defaultColWidth="9" defaultRowHeight="13.8"/>
  <cols>
    <col min="1" max="1" width="9.62962962962963"/>
    <col min="2" max="2" width="17.25" customWidth="1"/>
    <col min="3" max="3" width="12.6296296296296" style="513"/>
    <col min="4" max="4" width="11.5185185185185" style="514"/>
    <col min="5" max="5" width="12.6296296296296" style="514"/>
    <col min="6" max="6" width="13.75" style="514"/>
    <col min="7" max="7" width="11.75" style="514"/>
    <col min="8" max="9" width="12.6296296296296" style="514"/>
    <col min="10" max="10" width="9" style="514"/>
    <col min="13" max="13" width="11.6296296296296" customWidth="1"/>
    <col min="16" max="16" width="10.8796296296296" customWidth="1"/>
    <col min="17" max="17" width="12.6296296296296"/>
    <col min="20" max="20" width="12.6296296296296"/>
  </cols>
  <sheetData>
    <row r="1" ht="62.4" spans="1:18">
      <c r="A1" s="515" t="s">
        <v>89</v>
      </c>
      <c r="B1" s="515" t="s">
        <v>48</v>
      </c>
      <c r="C1" s="516" t="s">
        <v>1</v>
      </c>
      <c r="D1" s="517" t="s">
        <v>2</v>
      </c>
      <c r="E1" s="517" t="s">
        <v>3</v>
      </c>
      <c r="F1" s="517" t="s">
        <v>4</v>
      </c>
      <c r="G1" s="518" t="s">
        <v>5</v>
      </c>
      <c r="H1" s="517" t="s">
        <v>6</v>
      </c>
      <c r="I1" s="517" t="s">
        <v>7</v>
      </c>
      <c r="J1" s="517" t="s">
        <v>8</v>
      </c>
      <c r="K1" s="519" t="s">
        <v>9</v>
      </c>
      <c r="L1" s="520" t="s">
        <v>10</v>
      </c>
      <c r="M1" s="521" t="s">
        <v>90</v>
      </c>
      <c r="N1" s="522" t="s">
        <v>12</v>
      </c>
      <c r="O1" s="523" t="s">
        <v>13</v>
      </c>
      <c r="P1" s="523" t="s">
        <v>72</v>
      </c>
      <c r="Q1" s="523" t="s">
        <v>35</v>
      </c>
      <c r="R1" s="523" t="s">
        <v>73</v>
      </c>
    </row>
    <row r="2" hidden="1" spans="1:18">
      <c r="A2" s="524">
        <v>45444</v>
      </c>
      <c r="B2" s="24" t="s">
        <v>91</v>
      </c>
      <c r="C2" s="525">
        <v>249.73</v>
      </c>
      <c r="D2" s="526">
        <v>11580</v>
      </c>
      <c r="E2" s="526">
        <v>408</v>
      </c>
      <c r="F2" s="526">
        <v>0</v>
      </c>
      <c r="G2" s="526">
        <v>0</v>
      </c>
      <c r="H2" s="526">
        <v>4</v>
      </c>
      <c r="I2" s="526">
        <v>5</v>
      </c>
      <c r="J2" s="526">
        <v>7</v>
      </c>
      <c r="K2" s="527">
        <f t="shared" ref="K2:K19" si="0">E2/D2</f>
        <v>0.0352331606217617</v>
      </c>
      <c r="L2" s="528">
        <f>IF(C2=0,0,C2/E2)</f>
        <v>0.612083333333333</v>
      </c>
      <c r="M2" s="528">
        <f t="shared" ref="M2:M19" si="1">C2/D2*1000</f>
        <v>21.5656303972366</v>
      </c>
      <c r="N2" s="528">
        <f>IF(G2=0,0,G2/C2)</f>
        <v>0</v>
      </c>
      <c r="O2" s="528">
        <f>IF(F2=0,0,F2/E2)</f>
        <v>0</v>
      </c>
      <c r="P2" s="529">
        <f>IF(H2+I2=0,0,C2/(H2+I2))</f>
        <v>27.7477777777778</v>
      </c>
      <c r="Q2" s="24">
        <f>H2+I2</f>
        <v>9</v>
      </c>
      <c r="R2" s="530">
        <f>IF(Q2=0,0,Q2/E2)</f>
        <v>0.0220588235294118</v>
      </c>
    </row>
    <row r="3" hidden="1" spans="1:18">
      <c r="A3" s="524"/>
      <c r="B3" s="24" t="s">
        <v>92</v>
      </c>
      <c r="C3" s="525">
        <v>0</v>
      </c>
      <c r="D3" s="526">
        <v>130</v>
      </c>
      <c r="E3" s="526">
        <v>0</v>
      </c>
      <c r="F3" s="526">
        <v>0</v>
      </c>
      <c r="G3" s="526">
        <v>0</v>
      </c>
      <c r="H3" s="526">
        <v>0</v>
      </c>
      <c r="I3" s="526">
        <v>0</v>
      </c>
      <c r="J3" s="526">
        <v>0</v>
      </c>
      <c r="K3" s="527">
        <f t="shared" si="0"/>
        <v>0</v>
      </c>
      <c r="L3" s="528">
        <f>IF(C3=0,0,C3/E3)</f>
        <v>0</v>
      </c>
      <c r="M3" s="528">
        <f t="shared" si="1"/>
        <v>0</v>
      </c>
      <c r="N3" s="528">
        <f>IF(G3=0,0,G3/C3)</f>
        <v>0</v>
      </c>
      <c r="O3" s="528">
        <f>IF(F3=0,0,F3/E3)</f>
        <v>0</v>
      </c>
      <c r="P3" s="529">
        <f>IF(H3+I3=0,0,C3/(H3+I3))</f>
        <v>0</v>
      </c>
      <c r="Q3" s="24">
        <f>H3+I3</f>
        <v>0</v>
      </c>
      <c r="R3" s="530">
        <f>IF(Q3=0,0,Q3/E3)</f>
        <v>0</v>
      </c>
    </row>
    <row r="4" hidden="1" spans="1:18">
      <c r="A4" s="524"/>
      <c r="B4" s="24" t="s">
        <v>93</v>
      </c>
      <c r="C4" s="525">
        <v>3252.66</v>
      </c>
      <c r="D4" s="526">
        <v>204424</v>
      </c>
      <c r="E4" s="526">
        <v>1452</v>
      </c>
      <c r="F4" s="526">
        <v>0</v>
      </c>
      <c r="G4" s="526">
        <v>0</v>
      </c>
      <c r="H4" s="526">
        <v>31</v>
      </c>
      <c r="I4" s="526">
        <v>288</v>
      </c>
      <c r="J4" s="526">
        <v>9</v>
      </c>
      <c r="K4" s="527">
        <f t="shared" si="0"/>
        <v>0.00710288420146362</v>
      </c>
      <c r="L4" s="528">
        <f t="shared" ref="L4:L71" si="2">IF(C4=0,0,C4/E4)</f>
        <v>2.24012396694215</v>
      </c>
      <c r="M4" s="528">
        <f t="shared" si="1"/>
        <v>15.9113411341134</v>
      </c>
      <c r="N4" s="528">
        <f t="shared" ref="N4:N71" si="3">IF(G4=0,0,G4/C4)</f>
        <v>0</v>
      </c>
      <c r="O4" s="528">
        <f t="shared" ref="O4:O71" si="4">IF(F4=0,0,F4/E4)</f>
        <v>0</v>
      </c>
      <c r="P4" s="529">
        <f t="shared" ref="P4:P71" si="5">IF(H4+I4=0,0,C4/(H4+I4))</f>
        <v>10.1964263322884</v>
      </c>
      <c r="Q4" s="24">
        <f t="shared" ref="Q4:Q71" si="6">H4+I4</f>
        <v>319</v>
      </c>
      <c r="R4" s="530">
        <f t="shared" ref="R4:R71" si="7">IF(Q4=0,0,Q4/E4)</f>
        <v>0.21969696969697</v>
      </c>
    </row>
    <row r="5" hidden="1" spans="1:18">
      <c r="A5" s="524"/>
      <c r="B5" s="24" t="s">
        <v>94</v>
      </c>
      <c r="C5" s="525">
        <v>100</v>
      </c>
      <c r="D5" s="526">
        <v>4026</v>
      </c>
      <c r="E5" s="526">
        <v>35</v>
      </c>
      <c r="F5" s="526">
        <v>0</v>
      </c>
      <c r="G5" s="526">
        <v>0</v>
      </c>
      <c r="H5" s="526">
        <v>1</v>
      </c>
      <c r="I5" s="526">
        <v>1</v>
      </c>
      <c r="J5" s="526">
        <v>1</v>
      </c>
      <c r="K5" s="527">
        <f t="shared" si="0"/>
        <v>0.00869349230004968</v>
      </c>
      <c r="L5" s="528">
        <f t="shared" si="2"/>
        <v>2.85714285714286</v>
      </c>
      <c r="M5" s="528">
        <f t="shared" si="1"/>
        <v>24.8385494287134</v>
      </c>
      <c r="N5" s="528">
        <f t="shared" si="3"/>
        <v>0</v>
      </c>
      <c r="O5" s="528">
        <f t="shared" si="4"/>
        <v>0</v>
      </c>
      <c r="P5" s="529">
        <f t="shared" si="5"/>
        <v>50</v>
      </c>
      <c r="Q5" s="24">
        <f t="shared" si="6"/>
        <v>2</v>
      </c>
      <c r="R5" s="530">
        <f t="shared" si="7"/>
        <v>0.0571428571428571</v>
      </c>
    </row>
    <row r="6" hidden="1" spans="1:18">
      <c r="A6" s="524"/>
      <c r="B6" s="24" t="s">
        <v>95</v>
      </c>
      <c r="C6" s="525">
        <v>143.93</v>
      </c>
      <c r="D6" s="526">
        <v>641554</v>
      </c>
      <c r="E6" s="526">
        <v>1366</v>
      </c>
      <c r="F6" s="526">
        <v>0</v>
      </c>
      <c r="G6" s="526">
        <v>0</v>
      </c>
      <c r="H6" s="526">
        <v>0</v>
      </c>
      <c r="I6" s="526">
        <v>5</v>
      </c>
      <c r="J6" s="526">
        <v>0</v>
      </c>
      <c r="K6" s="527">
        <f t="shared" si="0"/>
        <v>0.00212920502405098</v>
      </c>
      <c r="L6" s="528">
        <f t="shared" si="2"/>
        <v>0.105366032210835</v>
      </c>
      <c r="M6" s="528">
        <f t="shared" si="1"/>
        <v>0.224345885147626</v>
      </c>
      <c r="N6" s="528">
        <f t="shared" si="3"/>
        <v>0</v>
      </c>
      <c r="O6" s="528">
        <f t="shared" si="4"/>
        <v>0</v>
      </c>
      <c r="P6" s="529">
        <f t="shared" si="5"/>
        <v>28.786</v>
      </c>
      <c r="Q6" s="24">
        <f t="shared" si="6"/>
        <v>5</v>
      </c>
      <c r="R6" s="530">
        <f t="shared" si="7"/>
        <v>0.00366032210834553</v>
      </c>
    </row>
    <row r="7" hidden="1" spans="1:18">
      <c r="A7" s="524"/>
      <c r="B7" s="531" t="s">
        <v>96</v>
      </c>
      <c r="C7" s="532">
        <f>SUM(C2:C6)</f>
        <v>3746.32</v>
      </c>
      <c r="D7" s="533">
        <f t="shared" ref="D7:J7" si="8">SUM(D2:D6)</f>
        <v>861714</v>
      </c>
      <c r="E7" s="533">
        <f t="shared" si="8"/>
        <v>3261</v>
      </c>
      <c r="F7" s="533">
        <f t="shared" si="8"/>
        <v>0</v>
      </c>
      <c r="G7" s="533">
        <f t="shared" si="8"/>
        <v>0</v>
      </c>
      <c r="H7" s="533">
        <f t="shared" si="8"/>
        <v>36</v>
      </c>
      <c r="I7" s="533">
        <f t="shared" si="8"/>
        <v>299</v>
      </c>
      <c r="J7" s="533">
        <f t="shared" si="8"/>
        <v>17</v>
      </c>
      <c r="K7" s="534">
        <f t="shared" si="0"/>
        <v>0.00378431823087475</v>
      </c>
      <c r="L7" s="535">
        <f t="shared" si="2"/>
        <v>1.14882551364612</v>
      </c>
      <c r="M7" s="535">
        <f t="shared" si="1"/>
        <v>4.34752133538506</v>
      </c>
      <c r="N7" s="535">
        <f t="shared" si="3"/>
        <v>0</v>
      </c>
      <c r="O7" s="535">
        <f t="shared" si="4"/>
        <v>0</v>
      </c>
      <c r="P7" s="536">
        <f t="shared" si="5"/>
        <v>11.1830447761194</v>
      </c>
      <c r="Q7" s="531">
        <f t="shared" si="6"/>
        <v>335</v>
      </c>
      <c r="R7" s="537">
        <f t="shared" si="7"/>
        <v>0.102729224164367</v>
      </c>
    </row>
    <row r="8" hidden="1" spans="1:18">
      <c r="A8" s="524">
        <v>45445</v>
      </c>
      <c r="B8" s="24" t="s">
        <v>91</v>
      </c>
      <c r="C8" s="525">
        <v>249.31</v>
      </c>
      <c r="D8" s="526">
        <v>10649</v>
      </c>
      <c r="E8" s="526">
        <v>332</v>
      </c>
      <c r="F8" s="526">
        <v>0</v>
      </c>
      <c r="G8" s="526">
        <v>0</v>
      </c>
      <c r="H8" s="526">
        <v>1</v>
      </c>
      <c r="I8" s="526">
        <v>4</v>
      </c>
      <c r="J8" s="526">
        <v>10</v>
      </c>
      <c r="K8" s="527">
        <f t="shared" si="0"/>
        <v>0.0311766363038783</v>
      </c>
      <c r="L8" s="528">
        <f t="shared" si="2"/>
        <v>0.750933734939759</v>
      </c>
      <c r="M8" s="528">
        <f t="shared" si="1"/>
        <v>23.4115879425298</v>
      </c>
      <c r="N8" s="528">
        <f t="shared" si="3"/>
        <v>0</v>
      </c>
      <c r="O8" s="528">
        <f t="shared" si="4"/>
        <v>0</v>
      </c>
      <c r="P8" s="529">
        <f t="shared" si="5"/>
        <v>49.862</v>
      </c>
      <c r="Q8" s="24">
        <f t="shared" si="6"/>
        <v>5</v>
      </c>
      <c r="R8" s="530">
        <f t="shared" si="7"/>
        <v>0.0150602409638554</v>
      </c>
    </row>
    <row r="9" hidden="1" spans="1:18">
      <c r="A9" s="524"/>
      <c r="B9" s="24" t="s">
        <v>92</v>
      </c>
      <c r="C9" s="525">
        <v>0</v>
      </c>
      <c r="D9" s="526">
        <v>5</v>
      </c>
      <c r="E9" s="526">
        <v>0</v>
      </c>
      <c r="F9" s="526">
        <v>0</v>
      </c>
      <c r="G9" s="526">
        <v>0</v>
      </c>
      <c r="H9" s="526">
        <v>0</v>
      </c>
      <c r="I9" s="526">
        <v>0</v>
      </c>
      <c r="J9" s="526">
        <v>0</v>
      </c>
      <c r="K9" s="527">
        <f t="shared" si="0"/>
        <v>0</v>
      </c>
      <c r="L9" s="528">
        <f t="shared" si="2"/>
        <v>0</v>
      </c>
      <c r="M9" s="528">
        <f t="shared" si="1"/>
        <v>0</v>
      </c>
      <c r="N9" s="528">
        <f t="shared" si="3"/>
        <v>0</v>
      </c>
      <c r="O9" s="528">
        <f t="shared" si="4"/>
        <v>0</v>
      </c>
      <c r="P9" s="529">
        <f t="shared" si="5"/>
        <v>0</v>
      </c>
      <c r="Q9" s="24">
        <f t="shared" si="6"/>
        <v>0</v>
      </c>
      <c r="R9" s="530">
        <f t="shared" si="7"/>
        <v>0</v>
      </c>
    </row>
    <row r="10" hidden="1" spans="1:18">
      <c r="A10" s="524"/>
      <c r="B10" s="24" t="s">
        <v>93</v>
      </c>
      <c r="C10" s="525">
        <v>3355.48</v>
      </c>
      <c r="D10" s="526">
        <v>225503</v>
      </c>
      <c r="E10" s="526">
        <v>1793</v>
      </c>
      <c r="F10" s="526">
        <v>0</v>
      </c>
      <c r="G10" s="526">
        <v>0</v>
      </c>
      <c r="H10" s="526">
        <v>36</v>
      </c>
      <c r="I10" s="526">
        <v>263</v>
      </c>
      <c r="J10" s="526">
        <v>10</v>
      </c>
      <c r="K10" s="527">
        <f t="shared" si="0"/>
        <v>0.00795111373241154</v>
      </c>
      <c r="L10" s="528">
        <f t="shared" si="2"/>
        <v>1.87143335192415</v>
      </c>
      <c r="M10" s="528">
        <f t="shared" si="1"/>
        <v>14.8799794237771</v>
      </c>
      <c r="N10" s="528">
        <f t="shared" si="3"/>
        <v>0</v>
      </c>
      <c r="O10" s="528">
        <f t="shared" si="4"/>
        <v>0</v>
      </c>
      <c r="P10" s="529">
        <f t="shared" si="5"/>
        <v>11.2223411371237</v>
      </c>
      <c r="Q10" s="24">
        <f t="shared" si="6"/>
        <v>299</v>
      </c>
      <c r="R10" s="530">
        <f t="shared" si="7"/>
        <v>0.166759620747351</v>
      </c>
    </row>
    <row r="11" hidden="1" spans="1:18">
      <c r="A11" s="524"/>
      <c r="B11" s="24" t="s">
        <v>94</v>
      </c>
      <c r="C11" s="525">
        <v>100</v>
      </c>
      <c r="D11" s="526">
        <v>2491</v>
      </c>
      <c r="E11" s="526">
        <v>40</v>
      </c>
      <c r="F11" s="526">
        <v>0</v>
      </c>
      <c r="G11" s="526">
        <v>0</v>
      </c>
      <c r="H11" s="526">
        <v>1</v>
      </c>
      <c r="I11" s="526">
        <v>0</v>
      </c>
      <c r="J11" s="526">
        <v>0</v>
      </c>
      <c r="K11" s="527">
        <f t="shared" si="0"/>
        <v>0.0160578081091931</v>
      </c>
      <c r="L11" s="528">
        <f t="shared" si="2"/>
        <v>2.5</v>
      </c>
      <c r="M11" s="528">
        <f t="shared" si="1"/>
        <v>40.1445202729827</v>
      </c>
      <c r="N11" s="528">
        <f t="shared" si="3"/>
        <v>0</v>
      </c>
      <c r="O11" s="528">
        <f t="shared" si="4"/>
        <v>0</v>
      </c>
      <c r="P11" s="529">
        <f t="shared" si="5"/>
        <v>100</v>
      </c>
      <c r="Q11" s="24">
        <f t="shared" si="6"/>
        <v>1</v>
      </c>
      <c r="R11" s="530">
        <f t="shared" si="7"/>
        <v>0.025</v>
      </c>
    </row>
    <row r="12" hidden="1" spans="1:18">
      <c r="A12" s="524"/>
      <c r="B12" s="24" t="s">
        <v>95</v>
      </c>
      <c r="C12" s="525">
        <v>140.79</v>
      </c>
      <c r="D12" s="526">
        <v>474699</v>
      </c>
      <c r="E12" s="526">
        <v>1119</v>
      </c>
      <c r="F12" s="526">
        <v>0</v>
      </c>
      <c r="G12" s="526">
        <v>0</v>
      </c>
      <c r="H12" s="526">
        <v>1</v>
      </c>
      <c r="I12" s="526">
        <v>3</v>
      </c>
      <c r="J12" s="526">
        <v>2</v>
      </c>
      <c r="K12" s="527">
        <f t="shared" si="0"/>
        <v>0.00235728324685748</v>
      </c>
      <c r="L12" s="528">
        <f t="shared" si="2"/>
        <v>0.125817694369973</v>
      </c>
      <c r="M12" s="528">
        <f t="shared" si="1"/>
        <v>0.296587943096573</v>
      </c>
      <c r="N12" s="528">
        <f t="shared" si="3"/>
        <v>0</v>
      </c>
      <c r="O12" s="528">
        <f t="shared" si="4"/>
        <v>0</v>
      </c>
      <c r="P12" s="529">
        <f t="shared" si="5"/>
        <v>35.1975</v>
      </c>
      <c r="Q12" s="24">
        <f t="shared" si="6"/>
        <v>4</v>
      </c>
      <c r="R12" s="530">
        <f t="shared" si="7"/>
        <v>0.00357462019660411</v>
      </c>
    </row>
    <row r="13" hidden="1" spans="1:18">
      <c r="A13" s="524"/>
      <c r="B13" s="531" t="s">
        <v>96</v>
      </c>
      <c r="C13" s="532">
        <f t="shared" ref="C13:J13" si="9">SUM(C8:C12)</f>
        <v>3845.58</v>
      </c>
      <c r="D13" s="533">
        <f t="shared" si="9"/>
        <v>713347</v>
      </c>
      <c r="E13" s="533">
        <f t="shared" si="9"/>
        <v>3284</v>
      </c>
      <c r="F13" s="533">
        <f t="shared" si="9"/>
        <v>0</v>
      </c>
      <c r="G13" s="533">
        <f t="shared" si="9"/>
        <v>0</v>
      </c>
      <c r="H13" s="533">
        <f t="shared" si="9"/>
        <v>39</v>
      </c>
      <c r="I13" s="533">
        <f t="shared" si="9"/>
        <v>270</v>
      </c>
      <c r="J13" s="533">
        <f t="shared" si="9"/>
        <v>22</v>
      </c>
      <c r="K13" s="534">
        <f t="shared" si="0"/>
        <v>0.00460365011698374</v>
      </c>
      <c r="L13" s="535">
        <f t="shared" si="2"/>
        <v>1.17100487210719</v>
      </c>
      <c r="M13" s="535">
        <f t="shared" si="1"/>
        <v>5.39089671646478</v>
      </c>
      <c r="N13" s="535">
        <f t="shared" si="3"/>
        <v>0</v>
      </c>
      <c r="O13" s="535">
        <f t="shared" si="4"/>
        <v>0</v>
      </c>
      <c r="P13" s="536">
        <f t="shared" si="5"/>
        <v>12.4452427184466</v>
      </c>
      <c r="Q13" s="531">
        <f t="shared" si="6"/>
        <v>309</v>
      </c>
      <c r="R13" s="537">
        <f t="shared" si="7"/>
        <v>0.0940925700365408</v>
      </c>
    </row>
    <row r="14" hidden="1" spans="1:18">
      <c r="A14" s="524">
        <v>45446</v>
      </c>
      <c r="B14" s="24" t="s">
        <v>91</v>
      </c>
      <c r="C14" s="525">
        <v>249.64</v>
      </c>
      <c r="D14" s="526">
        <v>13961</v>
      </c>
      <c r="E14" s="526">
        <v>447</v>
      </c>
      <c r="F14" s="526">
        <v>0</v>
      </c>
      <c r="G14" s="526">
        <v>0</v>
      </c>
      <c r="H14" s="526">
        <v>1</v>
      </c>
      <c r="I14" s="526">
        <v>2</v>
      </c>
      <c r="J14" s="526">
        <v>11</v>
      </c>
      <c r="K14" s="527">
        <f t="shared" si="0"/>
        <v>0.0320177637705035</v>
      </c>
      <c r="L14" s="528">
        <f t="shared" si="2"/>
        <v>0.558478747203579</v>
      </c>
      <c r="M14" s="528">
        <f t="shared" si="1"/>
        <v>17.881240598811</v>
      </c>
      <c r="N14" s="528">
        <f t="shared" si="3"/>
        <v>0</v>
      </c>
      <c r="O14" s="528">
        <f t="shared" si="4"/>
        <v>0</v>
      </c>
      <c r="P14" s="529">
        <f t="shared" si="5"/>
        <v>83.2133333333333</v>
      </c>
      <c r="Q14" s="24">
        <f t="shared" si="6"/>
        <v>3</v>
      </c>
      <c r="R14" s="530">
        <f t="shared" si="7"/>
        <v>0.00671140939597315</v>
      </c>
    </row>
    <row r="15" hidden="1" spans="1:18">
      <c r="A15" s="524"/>
      <c r="B15" s="24" t="s">
        <v>92</v>
      </c>
      <c r="C15" s="525">
        <v>1000</v>
      </c>
      <c r="D15" s="526">
        <v>20467</v>
      </c>
      <c r="E15" s="526">
        <v>1699</v>
      </c>
      <c r="F15" s="526">
        <v>1</v>
      </c>
      <c r="G15" s="526">
        <v>12134</v>
      </c>
      <c r="H15" s="526">
        <v>1</v>
      </c>
      <c r="I15" s="526">
        <v>4</v>
      </c>
      <c r="J15" s="526">
        <v>0</v>
      </c>
      <c r="K15" s="527">
        <f t="shared" si="0"/>
        <v>0.0830116773342454</v>
      </c>
      <c r="L15" s="528">
        <f t="shared" si="2"/>
        <v>0.588581518540318</v>
      </c>
      <c r="M15" s="528">
        <f t="shared" si="1"/>
        <v>48.859139101969</v>
      </c>
      <c r="N15" s="528">
        <f t="shared" si="3"/>
        <v>12.134</v>
      </c>
      <c r="O15" s="528">
        <f t="shared" si="4"/>
        <v>0.000588581518540318</v>
      </c>
      <c r="P15" s="529">
        <f t="shared" si="5"/>
        <v>200</v>
      </c>
      <c r="Q15" s="24">
        <f t="shared" si="6"/>
        <v>5</v>
      </c>
      <c r="R15" s="530">
        <f t="shared" si="7"/>
        <v>0.00294290759270159</v>
      </c>
    </row>
    <row r="16" hidden="1" spans="1:18">
      <c r="A16" s="524"/>
      <c r="B16" s="24" t="s">
        <v>93</v>
      </c>
      <c r="C16" s="525">
        <v>3271.02</v>
      </c>
      <c r="D16" s="526">
        <v>306163</v>
      </c>
      <c r="E16" s="526">
        <v>1906</v>
      </c>
      <c r="F16" s="526">
        <v>6</v>
      </c>
      <c r="G16" s="526">
        <v>95444</v>
      </c>
      <c r="H16" s="526">
        <v>46</v>
      </c>
      <c r="I16" s="526">
        <v>137</v>
      </c>
      <c r="J16" s="526">
        <v>8</v>
      </c>
      <c r="K16" s="527">
        <f t="shared" si="0"/>
        <v>0.00622544200311599</v>
      </c>
      <c r="L16" s="528">
        <f t="shared" si="2"/>
        <v>1.71616998950682</v>
      </c>
      <c r="M16" s="528">
        <f t="shared" si="1"/>
        <v>10.6839167371629</v>
      </c>
      <c r="N16" s="528">
        <f t="shared" si="3"/>
        <v>29.178665981865</v>
      </c>
      <c r="O16" s="528">
        <f t="shared" si="4"/>
        <v>0.00314795383001049</v>
      </c>
      <c r="P16" s="529">
        <f t="shared" si="5"/>
        <v>17.8744262295082</v>
      </c>
      <c r="Q16" s="24">
        <f t="shared" si="6"/>
        <v>183</v>
      </c>
      <c r="R16" s="530">
        <f t="shared" si="7"/>
        <v>0.09601259181532</v>
      </c>
    </row>
    <row r="17" hidden="1" spans="1:18">
      <c r="A17" s="524"/>
      <c r="B17" s="24" t="s">
        <v>94</v>
      </c>
      <c r="C17" s="525">
        <v>100</v>
      </c>
      <c r="D17" s="526">
        <v>9115</v>
      </c>
      <c r="E17" s="526">
        <v>44</v>
      </c>
      <c r="F17" s="526">
        <v>1</v>
      </c>
      <c r="G17" s="526">
        <v>6798</v>
      </c>
      <c r="H17" s="526">
        <v>1</v>
      </c>
      <c r="I17" s="526">
        <v>0</v>
      </c>
      <c r="J17" s="526">
        <v>0</v>
      </c>
      <c r="K17" s="527">
        <f t="shared" si="0"/>
        <v>0.00482720789906747</v>
      </c>
      <c r="L17" s="528">
        <f t="shared" si="2"/>
        <v>2.27272727272727</v>
      </c>
      <c r="M17" s="528">
        <f t="shared" si="1"/>
        <v>10.9709270433352</v>
      </c>
      <c r="N17" s="528">
        <f t="shared" si="3"/>
        <v>67.98</v>
      </c>
      <c r="O17" s="528">
        <f t="shared" si="4"/>
        <v>0.0227272727272727</v>
      </c>
      <c r="P17" s="529">
        <f t="shared" si="5"/>
        <v>100</v>
      </c>
      <c r="Q17" s="24">
        <f t="shared" si="6"/>
        <v>1</v>
      </c>
      <c r="R17" s="530">
        <f t="shared" si="7"/>
        <v>0.0227272727272727</v>
      </c>
    </row>
    <row r="18" hidden="1" spans="1:18">
      <c r="A18" s="524"/>
      <c r="B18" s="24" t="s">
        <v>95</v>
      </c>
      <c r="C18" s="525">
        <v>139.18</v>
      </c>
      <c r="D18" s="526">
        <v>475114</v>
      </c>
      <c r="E18" s="526">
        <v>1245</v>
      </c>
      <c r="F18" s="526">
        <v>0</v>
      </c>
      <c r="G18" s="526">
        <v>0</v>
      </c>
      <c r="H18" s="526">
        <v>2</v>
      </c>
      <c r="I18" s="526">
        <v>1</v>
      </c>
      <c r="J18" s="526">
        <v>0</v>
      </c>
      <c r="K18" s="527">
        <f t="shared" si="0"/>
        <v>0.00262042372988378</v>
      </c>
      <c r="L18" s="528">
        <f t="shared" si="2"/>
        <v>0.111791164658635</v>
      </c>
      <c r="M18" s="528">
        <f t="shared" si="1"/>
        <v>0.29294022066283</v>
      </c>
      <c r="N18" s="528">
        <f t="shared" si="3"/>
        <v>0</v>
      </c>
      <c r="O18" s="528">
        <f t="shared" si="4"/>
        <v>0</v>
      </c>
      <c r="P18" s="529">
        <f t="shared" si="5"/>
        <v>46.3933333333333</v>
      </c>
      <c r="Q18" s="24">
        <f t="shared" si="6"/>
        <v>3</v>
      </c>
      <c r="R18" s="530">
        <f t="shared" si="7"/>
        <v>0.00240963855421687</v>
      </c>
    </row>
    <row r="19" hidden="1" spans="1:18">
      <c r="A19" s="524"/>
      <c r="B19" s="531" t="s">
        <v>96</v>
      </c>
      <c r="C19" s="532">
        <f t="shared" ref="C19:J19" si="10">SUM(C14:C18)</f>
        <v>4759.84</v>
      </c>
      <c r="D19" s="533">
        <f t="shared" si="10"/>
        <v>824820</v>
      </c>
      <c r="E19" s="533">
        <f t="shared" si="10"/>
        <v>5341</v>
      </c>
      <c r="F19" s="533">
        <f t="shared" si="10"/>
        <v>8</v>
      </c>
      <c r="G19" s="533">
        <f t="shared" si="10"/>
        <v>114376</v>
      </c>
      <c r="H19" s="533">
        <f t="shared" si="10"/>
        <v>51</v>
      </c>
      <c r="I19" s="533">
        <f t="shared" si="10"/>
        <v>144</v>
      </c>
      <c r="J19" s="533">
        <f t="shared" si="10"/>
        <v>19</v>
      </c>
      <c r="K19" s="534">
        <f t="shared" si="0"/>
        <v>0.00647535219805533</v>
      </c>
      <c r="L19" s="535">
        <f t="shared" si="2"/>
        <v>0.891188915933346</v>
      </c>
      <c r="M19" s="535">
        <f t="shared" si="1"/>
        <v>5.77076210567154</v>
      </c>
      <c r="N19" s="535">
        <f t="shared" si="3"/>
        <v>24.0293791387946</v>
      </c>
      <c r="O19" s="535">
        <f t="shared" si="4"/>
        <v>0.00149784684516008</v>
      </c>
      <c r="P19" s="536">
        <f t="shared" si="5"/>
        <v>24.4094358974359</v>
      </c>
      <c r="Q19" s="531">
        <f t="shared" si="6"/>
        <v>195</v>
      </c>
      <c r="R19" s="537">
        <f t="shared" si="7"/>
        <v>0.036510016850777</v>
      </c>
    </row>
    <row r="20" hidden="1" spans="1:18">
      <c r="A20" s="524">
        <v>45447</v>
      </c>
      <c r="B20" s="24" t="s">
        <v>91</v>
      </c>
      <c r="C20" s="538">
        <v>248.91</v>
      </c>
      <c r="D20" s="539">
        <v>20413</v>
      </c>
      <c r="E20" s="539">
        <v>564</v>
      </c>
      <c r="F20" s="539">
        <v>0</v>
      </c>
      <c r="G20" s="539">
        <v>0</v>
      </c>
      <c r="H20" s="539">
        <v>5</v>
      </c>
      <c r="I20" s="539">
        <v>8</v>
      </c>
      <c r="J20" s="539">
        <v>10</v>
      </c>
      <c r="K20" s="527">
        <f>IF(E20=0,0,E20/D20)</f>
        <v>0.0276294518199187</v>
      </c>
      <c r="L20" s="528">
        <f t="shared" si="2"/>
        <v>0.441329787234043</v>
      </c>
      <c r="M20" s="528">
        <f>IF(D20=0,0,C20/D20*1000)</f>
        <v>12.1937000930779</v>
      </c>
      <c r="N20" s="528">
        <f t="shared" si="3"/>
        <v>0</v>
      </c>
      <c r="O20" s="528">
        <f t="shared" si="4"/>
        <v>0</v>
      </c>
      <c r="P20" s="529">
        <f t="shared" si="5"/>
        <v>19.1469230769231</v>
      </c>
      <c r="Q20" s="24">
        <f t="shared" si="6"/>
        <v>13</v>
      </c>
      <c r="R20" s="530">
        <f t="shared" si="7"/>
        <v>0.0230496453900709</v>
      </c>
    </row>
    <row r="21" hidden="1" spans="1:18">
      <c r="A21" s="524"/>
      <c r="B21" s="24" t="s">
        <v>92</v>
      </c>
      <c r="C21" s="538">
        <v>0</v>
      </c>
      <c r="D21" s="539">
        <v>0</v>
      </c>
      <c r="E21" s="539">
        <v>0</v>
      </c>
      <c r="F21" s="539">
        <v>0</v>
      </c>
      <c r="G21" s="539">
        <v>0</v>
      </c>
      <c r="H21" s="539">
        <v>0</v>
      </c>
      <c r="I21" s="539">
        <v>0</v>
      </c>
      <c r="J21" s="539">
        <v>0</v>
      </c>
      <c r="K21" s="527">
        <f t="shared" ref="K21:K30" si="11">IF(E21=0,0,E21/D21)</f>
        <v>0</v>
      </c>
      <c r="L21" s="528">
        <f t="shared" si="2"/>
        <v>0</v>
      </c>
      <c r="M21" s="528">
        <f t="shared" ref="M21:M30" si="12">IF(D21=0,0,C21/D21*1000)</f>
        <v>0</v>
      </c>
      <c r="N21" s="528">
        <f t="shared" si="3"/>
        <v>0</v>
      </c>
      <c r="O21" s="528">
        <f t="shared" si="4"/>
        <v>0</v>
      </c>
      <c r="P21" s="529">
        <f t="shared" si="5"/>
        <v>0</v>
      </c>
      <c r="Q21" s="24">
        <f t="shared" si="6"/>
        <v>0</v>
      </c>
      <c r="R21" s="530">
        <f t="shared" si="7"/>
        <v>0</v>
      </c>
    </row>
    <row r="22" hidden="1" spans="1:18">
      <c r="A22" s="524"/>
      <c r="B22" s="24" t="s">
        <v>93</v>
      </c>
      <c r="C22" s="538">
        <v>3275.6</v>
      </c>
      <c r="D22" s="539">
        <v>333695</v>
      </c>
      <c r="E22" s="539">
        <v>1889</v>
      </c>
      <c r="F22" s="539">
        <v>3</v>
      </c>
      <c r="G22" s="539">
        <v>21992</v>
      </c>
      <c r="H22" s="539">
        <v>37</v>
      </c>
      <c r="I22" s="539">
        <v>126</v>
      </c>
      <c r="J22" s="539">
        <v>7</v>
      </c>
      <c r="K22" s="527">
        <f t="shared" si="11"/>
        <v>0.00566085796910352</v>
      </c>
      <c r="L22" s="528">
        <f t="shared" si="2"/>
        <v>1.73403917416623</v>
      </c>
      <c r="M22" s="528">
        <f t="shared" si="12"/>
        <v>9.81614947781657</v>
      </c>
      <c r="N22" s="528">
        <f t="shared" si="3"/>
        <v>6.71388447917939</v>
      </c>
      <c r="O22" s="528">
        <f t="shared" si="4"/>
        <v>0.00158814187400741</v>
      </c>
      <c r="P22" s="529">
        <f t="shared" si="5"/>
        <v>20.0957055214724</v>
      </c>
      <c r="Q22" s="24">
        <f t="shared" si="6"/>
        <v>163</v>
      </c>
      <c r="R22" s="530">
        <f t="shared" si="7"/>
        <v>0.0862890418210693</v>
      </c>
    </row>
    <row r="23" hidden="1" spans="1:18">
      <c r="A23" s="524"/>
      <c r="B23" s="24" t="s">
        <v>94</v>
      </c>
      <c r="C23" s="538">
        <v>100</v>
      </c>
      <c r="D23" s="539">
        <v>2859</v>
      </c>
      <c r="E23" s="539">
        <v>38</v>
      </c>
      <c r="F23" s="539">
        <v>0</v>
      </c>
      <c r="G23" s="539">
        <v>0</v>
      </c>
      <c r="H23" s="539">
        <v>0</v>
      </c>
      <c r="I23" s="539">
        <v>0</v>
      </c>
      <c r="J23" s="539">
        <v>0</v>
      </c>
      <c r="K23" s="527">
        <f t="shared" si="11"/>
        <v>0.0132913606155999</v>
      </c>
      <c r="L23" s="528">
        <f t="shared" si="2"/>
        <v>2.63157894736842</v>
      </c>
      <c r="M23" s="528">
        <f t="shared" si="12"/>
        <v>34.9772647778944</v>
      </c>
      <c r="N23" s="528">
        <f t="shared" si="3"/>
        <v>0</v>
      </c>
      <c r="O23" s="528">
        <f t="shared" si="4"/>
        <v>0</v>
      </c>
      <c r="P23" s="529">
        <f t="shared" si="5"/>
        <v>0</v>
      </c>
      <c r="Q23" s="24">
        <f t="shared" si="6"/>
        <v>0</v>
      </c>
      <c r="R23" s="530">
        <f t="shared" si="7"/>
        <v>0</v>
      </c>
    </row>
    <row r="24" hidden="1" spans="1:18">
      <c r="A24" s="524"/>
      <c r="B24" s="24" t="s">
        <v>95</v>
      </c>
      <c r="C24" s="538">
        <v>146.98</v>
      </c>
      <c r="D24" s="539">
        <v>506957</v>
      </c>
      <c r="E24" s="539">
        <v>1215</v>
      </c>
      <c r="F24" s="539">
        <v>0</v>
      </c>
      <c r="G24" s="539">
        <v>0</v>
      </c>
      <c r="H24" s="539">
        <v>0</v>
      </c>
      <c r="I24" s="539">
        <v>6</v>
      </c>
      <c r="J24" s="539">
        <v>0</v>
      </c>
      <c r="K24" s="527">
        <f t="shared" si="11"/>
        <v>0.00239665297056752</v>
      </c>
      <c r="L24" s="528">
        <f t="shared" si="2"/>
        <v>0.120971193415638</v>
      </c>
      <c r="M24" s="528">
        <f t="shared" si="12"/>
        <v>0.289925970052687</v>
      </c>
      <c r="N24" s="528">
        <f t="shared" si="3"/>
        <v>0</v>
      </c>
      <c r="O24" s="528">
        <f t="shared" si="4"/>
        <v>0</v>
      </c>
      <c r="P24" s="529">
        <f t="shared" si="5"/>
        <v>24.4966666666667</v>
      </c>
      <c r="Q24" s="24">
        <f t="shared" si="6"/>
        <v>6</v>
      </c>
      <c r="R24" s="530">
        <f t="shared" si="7"/>
        <v>0.00493827160493827</v>
      </c>
    </row>
    <row r="25" hidden="1" spans="1:18">
      <c r="A25" s="524"/>
      <c r="B25" s="531" t="s">
        <v>96</v>
      </c>
      <c r="C25" s="532">
        <f t="shared" ref="C25:J25" si="13">SUM(C20:C24)</f>
        <v>3771.49</v>
      </c>
      <c r="D25" s="533">
        <f t="shared" si="13"/>
        <v>863924</v>
      </c>
      <c r="E25" s="533">
        <f t="shared" si="13"/>
        <v>3706</v>
      </c>
      <c r="F25" s="533">
        <f t="shared" si="13"/>
        <v>3</v>
      </c>
      <c r="G25" s="533">
        <f t="shared" si="13"/>
        <v>21992</v>
      </c>
      <c r="H25" s="533">
        <f t="shared" si="13"/>
        <v>42</v>
      </c>
      <c r="I25" s="533">
        <f t="shared" si="13"/>
        <v>140</v>
      </c>
      <c r="J25" s="533">
        <f t="shared" si="13"/>
        <v>17</v>
      </c>
      <c r="K25" s="534">
        <f>E25/D25</f>
        <v>0.00428972918914164</v>
      </c>
      <c r="L25" s="535">
        <f t="shared" si="2"/>
        <v>1.01767134376686</v>
      </c>
      <c r="M25" s="535">
        <f>C25/D25*1000</f>
        <v>4.36553446830971</v>
      </c>
      <c r="N25" s="535">
        <f t="shared" si="3"/>
        <v>5.83111714468287</v>
      </c>
      <c r="O25" s="535">
        <f t="shared" si="4"/>
        <v>0.000809498111171074</v>
      </c>
      <c r="P25" s="536">
        <f t="shared" si="5"/>
        <v>20.7224725274725</v>
      </c>
      <c r="Q25" s="531">
        <f t="shared" si="6"/>
        <v>182</v>
      </c>
      <c r="R25" s="537">
        <f t="shared" si="7"/>
        <v>0.0491095520777118</v>
      </c>
    </row>
    <row r="26" hidden="1" spans="1:18">
      <c r="A26" s="524">
        <v>45448</v>
      </c>
      <c r="B26" s="24" t="s">
        <v>91</v>
      </c>
      <c r="C26" s="538">
        <v>248.61</v>
      </c>
      <c r="D26" s="539">
        <v>28765</v>
      </c>
      <c r="E26" s="539">
        <v>714</v>
      </c>
      <c r="F26" s="539">
        <v>0</v>
      </c>
      <c r="G26" s="539">
        <v>0</v>
      </c>
      <c r="H26" s="539">
        <v>0</v>
      </c>
      <c r="I26" s="539">
        <v>1</v>
      </c>
      <c r="J26" s="539">
        <v>12</v>
      </c>
      <c r="K26" s="527">
        <f t="shared" si="11"/>
        <v>0.0248218320876065</v>
      </c>
      <c r="L26" s="528">
        <f t="shared" si="2"/>
        <v>0.348193277310924</v>
      </c>
      <c r="M26" s="528">
        <f t="shared" si="12"/>
        <v>8.64279506344516</v>
      </c>
      <c r="N26" s="528">
        <f t="shared" si="3"/>
        <v>0</v>
      </c>
      <c r="O26" s="528">
        <f t="shared" si="4"/>
        <v>0</v>
      </c>
      <c r="P26" s="529">
        <f t="shared" si="5"/>
        <v>248.61</v>
      </c>
      <c r="Q26" s="24">
        <f t="shared" si="6"/>
        <v>1</v>
      </c>
      <c r="R26" s="530">
        <f t="shared" si="7"/>
        <v>0.00140056022408964</v>
      </c>
    </row>
    <row r="27" hidden="1" spans="1:18">
      <c r="A27" s="524"/>
      <c r="B27" s="24" t="s">
        <v>92</v>
      </c>
      <c r="C27" s="538">
        <v>1000</v>
      </c>
      <c r="D27" s="539">
        <v>11661</v>
      </c>
      <c r="E27" s="539">
        <v>1800</v>
      </c>
      <c r="F27" s="539">
        <v>2</v>
      </c>
      <c r="G27" s="539">
        <v>31593</v>
      </c>
      <c r="H27" s="539">
        <v>8</v>
      </c>
      <c r="I27" s="539">
        <v>6</v>
      </c>
      <c r="J27" s="539">
        <v>0</v>
      </c>
      <c r="K27" s="527">
        <f t="shared" si="11"/>
        <v>0.154360689477746</v>
      </c>
      <c r="L27" s="528">
        <f t="shared" si="2"/>
        <v>0.555555555555556</v>
      </c>
      <c r="M27" s="528">
        <f t="shared" si="12"/>
        <v>85.755938598748</v>
      </c>
      <c r="N27" s="528">
        <f t="shared" si="3"/>
        <v>31.593</v>
      </c>
      <c r="O27" s="528">
        <f t="shared" si="4"/>
        <v>0.00111111111111111</v>
      </c>
      <c r="P27" s="529">
        <f t="shared" si="5"/>
        <v>71.4285714285714</v>
      </c>
      <c r="Q27" s="24">
        <f t="shared" si="6"/>
        <v>14</v>
      </c>
      <c r="R27" s="530">
        <f t="shared" si="7"/>
        <v>0.00777777777777778</v>
      </c>
    </row>
    <row r="28" hidden="1" spans="1:18">
      <c r="A28" s="524"/>
      <c r="B28" s="24" t="s">
        <v>93</v>
      </c>
      <c r="C28" s="538">
        <v>2151.37</v>
      </c>
      <c r="D28" s="539">
        <v>161327</v>
      </c>
      <c r="E28" s="539">
        <v>1176</v>
      </c>
      <c r="F28" s="539">
        <v>1</v>
      </c>
      <c r="G28" s="539">
        <v>9798</v>
      </c>
      <c r="H28" s="539">
        <v>43</v>
      </c>
      <c r="I28" s="539">
        <v>110</v>
      </c>
      <c r="J28" s="539">
        <v>8</v>
      </c>
      <c r="K28" s="527">
        <f t="shared" si="11"/>
        <v>0.00728954235806778</v>
      </c>
      <c r="L28" s="528">
        <f t="shared" si="2"/>
        <v>1.8293962585034</v>
      </c>
      <c r="M28" s="528">
        <f t="shared" si="12"/>
        <v>13.3354615160512</v>
      </c>
      <c r="N28" s="528">
        <f t="shared" si="3"/>
        <v>4.55430725537681</v>
      </c>
      <c r="O28" s="528">
        <f t="shared" si="4"/>
        <v>0.000850340136054422</v>
      </c>
      <c r="P28" s="529">
        <f t="shared" si="5"/>
        <v>14.0612418300654</v>
      </c>
      <c r="Q28" s="24">
        <f t="shared" si="6"/>
        <v>153</v>
      </c>
      <c r="R28" s="530">
        <f t="shared" si="7"/>
        <v>0.130102040816327</v>
      </c>
    </row>
    <row r="29" hidden="1" spans="1:18">
      <c r="A29" s="524"/>
      <c r="B29" s="24" t="s">
        <v>94</v>
      </c>
      <c r="C29" s="538">
        <v>100</v>
      </c>
      <c r="D29" s="539">
        <v>9396</v>
      </c>
      <c r="E29" s="539">
        <v>83</v>
      </c>
      <c r="F29" s="539">
        <v>0</v>
      </c>
      <c r="G29" s="539">
        <v>0</v>
      </c>
      <c r="H29" s="539">
        <v>0</v>
      </c>
      <c r="I29" s="539">
        <v>0</v>
      </c>
      <c r="J29" s="539">
        <v>0</v>
      </c>
      <c r="K29" s="527">
        <f t="shared" si="11"/>
        <v>0.00883354618986803</v>
      </c>
      <c r="L29" s="528">
        <f t="shared" si="2"/>
        <v>1.20481927710843</v>
      </c>
      <c r="M29" s="528">
        <f t="shared" si="12"/>
        <v>10.6428267347808</v>
      </c>
      <c r="N29" s="528">
        <f t="shared" si="3"/>
        <v>0</v>
      </c>
      <c r="O29" s="528">
        <f t="shared" si="4"/>
        <v>0</v>
      </c>
      <c r="P29" s="529">
        <f t="shared" si="5"/>
        <v>0</v>
      </c>
      <c r="Q29" s="24">
        <f t="shared" si="6"/>
        <v>0</v>
      </c>
      <c r="R29" s="530">
        <f t="shared" si="7"/>
        <v>0</v>
      </c>
    </row>
    <row r="30" hidden="1" spans="1:18">
      <c r="A30" s="524"/>
      <c r="B30" s="24" t="s">
        <v>95</v>
      </c>
      <c r="C30" s="538">
        <v>143.77</v>
      </c>
      <c r="D30" s="539">
        <v>618711</v>
      </c>
      <c r="E30" s="539">
        <v>1441</v>
      </c>
      <c r="F30" s="539">
        <v>0</v>
      </c>
      <c r="G30" s="539">
        <v>0</v>
      </c>
      <c r="H30" s="539">
        <v>0</v>
      </c>
      <c r="I30" s="539">
        <v>2</v>
      </c>
      <c r="J30" s="539">
        <v>0</v>
      </c>
      <c r="K30" s="527">
        <f t="shared" si="11"/>
        <v>0.00232903568871412</v>
      </c>
      <c r="L30" s="528">
        <f t="shared" si="2"/>
        <v>0.0997709923664122</v>
      </c>
      <c r="M30" s="528">
        <f t="shared" si="12"/>
        <v>0.232370201919798</v>
      </c>
      <c r="N30" s="528">
        <f t="shared" si="3"/>
        <v>0</v>
      </c>
      <c r="O30" s="528">
        <f t="shared" si="4"/>
        <v>0</v>
      </c>
      <c r="P30" s="529">
        <f t="shared" si="5"/>
        <v>71.885</v>
      </c>
      <c r="Q30" s="24">
        <f t="shared" si="6"/>
        <v>2</v>
      </c>
      <c r="R30" s="530">
        <f t="shared" si="7"/>
        <v>0.00138792505204719</v>
      </c>
    </row>
    <row r="31" hidden="1" spans="1:18">
      <c r="A31" s="524"/>
      <c r="B31" s="531" t="s">
        <v>96</v>
      </c>
      <c r="C31" s="532">
        <f t="shared" ref="C31:J31" si="14">SUM(C26:C30)</f>
        <v>3643.75</v>
      </c>
      <c r="D31" s="533">
        <f t="shared" si="14"/>
        <v>829860</v>
      </c>
      <c r="E31" s="533">
        <f t="shared" si="14"/>
        <v>5214</v>
      </c>
      <c r="F31" s="533">
        <f t="shared" si="14"/>
        <v>3</v>
      </c>
      <c r="G31" s="533">
        <f t="shared" si="14"/>
        <v>41391</v>
      </c>
      <c r="H31" s="533">
        <f t="shared" si="14"/>
        <v>51</v>
      </c>
      <c r="I31" s="533">
        <f t="shared" si="14"/>
        <v>119</v>
      </c>
      <c r="J31" s="533">
        <f t="shared" si="14"/>
        <v>20</v>
      </c>
      <c r="K31" s="534">
        <f>E31/D31</f>
        <v>0.0062829874918661</v>
      </c>
      <c r="L31" s="535">
        <f t="shared" si="2"/>
        <v>0.698839662447257</v>
      </c>
      <c r="M31" s="535">
        <f>C31/D31*1000</f>
        <v>4.39080085797604</v>
      </c>
      <c r="N31" s="535">
        <f t="shared" si="3"/>
        <v>11.3594511149228</v>
      </c>
      <c r="O31" s="535">
        <f t="shared" si="4"/>
        <v>0.000575373993095512</v>
      </c>
      <c r="P31" s="536">
        <f t="shared" si="5"/>
        <v>21.4338235294118</v>
      </c>
      <c r="Q31" s="531">
        <f t="shared" si="6"/>
        <v>170</v>
      </c>
      <c r="R31" s="537">
        <f t="shared" si="7"/>
        <v>0.0326045262754124</v>
      </c>
    </row>
    <row r="32" hidden="1" spans="1:18">
      <c r="A32" s="524">
        <v>45449</v>
      </c>
      <c r="B32" s="24" t="s">
        <v>91</v>
      </c>
      <c r="C32" s="538">
        <v>249.4</v>
      </c>
      <c r="D32" s="539">
        <v>28308</v>
      </c>
      <c r="E32" s="539">
        <v>648</v>
      </c>
      <c r="F32" s="539">
        <v>0</v>
      </c>
      <c r="G32" s="539">
        <v>0</v>
      </c>
      <c r="H32" s="539">
        <v>4</v>
      </c>
      <c r="I32" s="539">
        <v>3</v>
      </c>
      <c r="J32" s="539">
        <v>8</v>
      </c>
      <c r="K32" s="527">
        <f t="shared" ref="K32:K36" si="15">IF(E32=0,0,E32/D32)</f>
        <v>0.0228910555320051</v>
      </c>
      <c r="L32" s="528">
        <f t="shared" si="2"/>
        <v>0.384876543209877</v>
      </c>
      <c r="M32" s="528">
        <f t="shared" ref="M32:M36" si="16">IF(D32=0,0,C32/D32*1000)</f>
        <v>8.81023032358344</v>
      </c>
      <c r="N32" s="528">
        <f t="shared" si="3"/>
        <v>0</v>
      </c>
      <c r="O32" s="528">
        <f t="shared" si="4"/>
        <v>0</v>
      </c>
      <c r="P32" s="529">
        <f t="shared" si="5"/>
        <v>35.6285714285714</v>
      </c>
      <c r="Q32" s="24">
        <f t="shared" si="6"/>
        <v>7</v>
      </c>
      <c r="R32" s="530">
        <f t="shared" si="7"/>
        <v>0.0108024691358025</v>
      </c>
    </row>
    <row r="33" hidden="1" spans="1:18">
      <c r="A33" s="524"/>
      <c r="B33" s="24" t="s">
        <v>92</v>
      </c>
      <c r="C33" s="538">
        <v>0</v>
      </c>
      <c r="D33" s="539">
        <v>0</v>
      </c>
      <c r="E33" s="539">
        <v>0</v>
      </c>
      <c r="F33" s="539">
        <v>0</v>
      </c>
      <c r="G33" s="539">
        <v>0</v>
      </c>
      <c r="H33" s="539">
        <v>0</v>
      </c>
      <c r="I33" s="539">
        <v>0</v>
      </c>
      <c r="J33" s="539">
        <v>0</v>
      </c>
      <c r="K33" s="527">
        <f t="shared" si="15"/>
        <v>0</v>
      </c>
      <c r="L33" s="528">
        <f t="shared" si="2"/>
        <v>0</v>
      </c>
      <c r="M33" s="528">
        <f t="shared" si="16"/>
        <v>0</v>
      </c>
      <c r="N33" s="528">
        <f t="shared" si="3"/>
        <v>0</v>
      </c>
      <c r="O33" s="528">
        <f t="shared" si="4"/>
        <v>0</v>
      </c>
      <c r="P33" s="529">
        <f t="shared" si="5"/>
        <v>0</v>
      </c>
      <c r="Q33" s="24">
        <f t="shared" si="6"/>
        <v>0</v>
      </c>
      <c r="R33" s="530">
        <f t="shared" si="7"/>
        <v>0</v>
      </c>
    </row>
    <row r="34" hidden="1" spans="1:18">
      <c r="A34" s="524"/>
      <c r="B34" s="24" t="s">
        <v>93</v>
      </c>
      <c r="C34" s="538">
        <v>1883.53</v>
      </c>
      <c r="D34" s="539">
        <v>180085</v>
      </c>
      <c r="E34" s="539">
        <v>1062</v>
      </c>
      <c r="F34" s="539">
        <v>2</v>
      </c>
      <c r="G34" s="539">
        <v>21795</v>
      </c>
      <c r="H34" s="539">
        <v>18</v>
      </c>
      <c r="I34" s="539">
        <v>71</v>
      </c>
      <c r="J34" s="539">
        <v>4</v>
      </c>
      <c r="K34" s="527">
        <f t="shared" si="15"/>
        <v>0.00589721520393148</v>
      </c>
      <c r="L34" s="528">
        <f t="shared" si="2"/>
        <v>1.77356873822976</v>
      </c>
      <c r="M34" s="528">
        <f t="shared" si="16"/>
        <v>10.4591165283061</v>
      </c>
      <c r="N34" s="528">
        <f t="shared" si="3"/>
        <v>11.5713580351786</v>
      </c>
      <c r="O34" s="528">
        <f t="shared" si="4"/>
        <v>0.00188323917137476</v>
      </c>
      <c r="P34" s="529">
        <f t="shared" si="5"/>
        <v>21.1632584269663</v>
      </c>
      <c r="Q34" s="24">
        <f t="shared" si="6"/>
        <v>89</v>
      </c>
      <c r="R34" s="530">
        <f t="shared" si="7"/>
        <v>0.083804143126177</v>
      </c>
    </row>
    <row r="35" hidden="1" spans="1:18">
      <c r="A35" s="524"/>
      <c r="B35" s="24" t="s">
        <v>94</v>
      </c>
      <c r="C35" s="538">
        <v>0</v>
      </c>
      <c r="D35" s="539">
        <v>0</v>
      </c>
      <c r="E35" s="539">
        <v>0</v>
      </c>
      <c r="F35" s="539">
        <v>0</v>
      </c>
      <c r="G35" s="539">
        <v>0</v>
      </c>
      <c r="H35" s="539">
        <v>0</v>
      </c>
      <c r="I35" s="539">
        <v>0</v>
      </c>
      <c r="J35" s="539">
        <v>0</v>
      </c>
      <c r="K35" s="527">
        <f t="shared" si="15"/>
        <v>0</v>
      </c>
      <c r="L35" s="528">
        <f t="shared" si="2"/>
        <v>0</v>
      </c>
      <c r="M35" s="528">
        <f t="shared" si="16"/>
        <v>0</v>
      </c>
      <c r="N35" s="528">
        <f t="shared" si="3"/>
        <v>0</v>
      </c>
      <c r="O35" s="528">
        <f t="shared" si="4"/>
        <v>0</v>
      </c>
      <c r="P35" s="529">
        <f t="shared" si="5"/>
        <v>0</v>
      </c>
      <c r="Q35" s="24">
        <f t="shared" si="6"/>
        <v>0</v>
      </c>
      <c r="R35" s="530">
        <f t="shared" si="7"/>
        <v>0</v>
      </c>
    </row>
    <row r="36" hidden="1" spans="1:18">
      <c r="A36" s="524"/>
      <c r="B36" s="24" t="s">
        <v>95</v>
      </c>
      <c r="C36" s="538">
        <v>147.99</v>
      </c>
      <c r="D36" s="539">
        <v>734269</v>
      </c>
      <c r="E36" s="539">
        <v>1586</v>
      </c>
      <c r="F36" s="539">
        <v>0</v>
      </c>
      <c r="G36" s="539">
        <v>0</v>
      </c>
      <c r="H36" s="539">
        <v>1</v>
      </c>
      <c r="I36" s="539">
        <v>2</v>
      </c>
      <c r="J36" s="539">
        <v>0</v>
      </c>
      <c r="K36" s="527">
        <f t="shared" si="15"/>
        <v>0.00215997134565125</v>
      </c>
      <c r="L36" s="528">
        <f t="shared" si="2"/>
        <v>0.0933102143757882</v>
      </c>
      <c r="M36" s="528">
        <f t="shared" si="16"/>
        <v>0.201547389308278</v>
      </c>
      <c r="N36" s="528">
        <f t="shared" si="3"/>
        <v>0</v>
      </c>
      <c r="O36" s="528">
        <f t="shared" si="4"/>
        <v>0</v>
      </c>
      <c r="P36" s="529">
        <f t="shared" si="5"/>
        <v>49.33</v>
      </c>
      <c r="Q36" s="24">
        <f t="shared" si="6"/>
        <v>3</v>
      </c>
      <c r="R36" s="530">
        <f t="shared" si="7"/>
        <v>0.00189155107187894</v>
      </c>
    </row>
    <row r="37" hidden="1" spans="1:18">
      <c r="A37" s="524"/>
      <c r="B37" s="531" t="s">
        <v>96</v>
      </c>
      <c r="C37" s="532">
        <f t="shared" ref="C37:J37" si="17">SUM(C32:C36)</f>
        <v>2280.92</v>
      </c>
      <c r="D37" s="533">
        <f t="shared" si="17"/>
        <v>942662</v>
      </c>
      <c r="E37" s="533">
        <f t="shared" si="17"/>
        <v>3296</v>
      </c>
      <c r="F37" s="533">
        <f t="shared" si="17"/>
        <v>2</v>
      </c>
      <c r="G37" s="533">
        <f t="shared" si="17"/>
        <v>21795</v>
      </c>
      <c r="H37" s="533">
        <f t="shared" si="17"/>
        <v>23</v>
      </c>
      <c r="I37" s="533">
        <f t="shared" si="17"/>
        <v>76</v>
      </c>
      <c r="J37" s="533">
        <f t="shared" si="17"/>
        <v>12</v>
      </c>
      <c r="K37" s="534">
        <f>E37/D37</f>
        <v>0.00349648124142057</v>
      </c>
      <c r="L37" s="535">
        <f t="shared" si="2"/>
        <v>0.692026699029126</v>
      </c>
      <c r="M37" s="535">
        <f>C37/D37*1000</f>
        <v>2.41965837171754</v>
      </c>
      <c r="N37" s="535">
        <f t="shared" si="3"/>
        <v>9.55535485681216</v>
      </c>
      <c r="O37" s="535">
        <f t="shared" si="4"/>
        <v>0.000606796116504854</v>
      </c>
      <c r="P37" s="536">
        <f t="shared" si="5"/>
        <v>23.039595959596</v>
      </c>
      <c r="Q37" s="531">
        <f t="shared" si="6"/>
        <v>99</v>
      </c>
      <c r="R37" s="537">
        <f t="shared" si="7"/>
        <v>0.0300364077669903</v>
      </c>
    </row>
    <row r="38" hidden="1" spans="1:18">
      <c r="A38" s="524">
        <v>45450</v>
      </c>
      <c r="B38" s="24" t="s">
        <v>91</v>
      </c>
      <c r="C38" s="540">
        <v>249.52</v>
      </c>
      <c r="D38" s="540">
        <v>21064</v>
      </c>
      <c r="E38" s="540">
        <v>445</v>
      </c>
      <c r="F38" s="540">
        <v>0</v>
      </c>
      <c r="G38" s="540">
        <v>0</v>
      </c>
      <c r="H38" s="540">
        <v>1</v>
      </c>
      <c r="I38" s="540">
        <v>0</v>
      </c>
      <c r="J38" s="540">
        <v>5</v>
      </c>
      <c r="K38" s="527">
        <f t="shared" ref="K38:K42" si="18">IF(E38=0,0,E38/D38)</f>
        <v>0.0211260919103684</v>
      </c>
      <c r="L38" s="528">
        <f t="shared" si="2"/>
        <v>0.560719101123596</v>
      </c>
      <c r="M38" s="528">
        <f t="shared" ref="M38:M42" si="19">IF(D38=0,0,C38/D38*1000)</f>
        <v>11.8458032662362</v>
      </c>
      <c r="N38" s="528">
        <f t="shared" si="3"/>
        <v>0</v>
      </c>
      <c r="O38" s="528">
        <f t="shared" si="4"/>
        <v>0</v>
      </c>
      <c r="P38" s="529">
        <f t="shared" si="5"/>
        <v>249.52</v>
      </c>
      <c r="Q38" s="24">
        <f t="shared" si="6"/>
        <v>1</v>
      </c>
      <c r="R38" s="530">
        <f t="shared" si="7"/>
        <v>0.00224719101123596</v>
      </c>
    </row>
    <row r="39" hidden="1" spans="1:18">
      <c r="A39" s="524"/>
      <c r="B39" s="24" t="s">
        <v>92</v>
      </c>
      <c r="C39" s="540">
        <v>0</v>
      </c>
      <c r="D39" s="540">
        <v>0</v>
      </c>
      <c r="E39" s="540">
        <v>0</v>
      </c>
      <c r="F39" s="540">
        <v>0</v>
      </c>
      <c r="G39" s="540">
        <v>0</v>
      </c>
      <c r="H39" s="540">
        <v>0</v>
      </c>
      <c r="I39" s="540">
        <v>0</v>
      </c>
      <c r="J39" s="540">
        <v>0</v>
      </c>
      <c r="K39" s="527">
        <f t="shared" si="18"/>
        <v>0</v>
      </c>
      <c r="L39" s="528">
        <f t="shared" si="2"/>
        <v>0</v>
      </c>
      <c r="M39" s="528">
        <f t="shared" si="19"/>
        <v>0</v>
      </c>
      <c r="N39" s="528">
        <f t="shared" si="3"/>
        <v>0</v>
      </c>
      <c r="O39" s="528">
        <f t="shared" si="4"/>
        <v>0</v>
      </c>
      <c r="P39" s="529">
        <f t="shared" si="5"/>
        <v>0</v>
      </c>
      <c r="Q39" s="24">
        <f t="shared" si="6"/>
        <v>0</v>
      </c>
      <c r="R39" s="530">
        <f t="shared" si="7"/>
        <v>0</v>
      </c>
    </row>
    <row r="40" hidden="1" spans="1:18">
      <c r="A40" s="524"/>
      <c r="B40" s="24" t="s">
        <v>93</v>
      </c>
      <c r="C40" s="540">
        <v>1743.09</v>
      </c>
      <c r="D40" s="540">
        <v>184380</v>
      </c>
      <c r="E40" s="540">
        <v>981</v>
      </c>
      <c r="F40" s="540">
        <v>3</v>
      </c>
      <c r="G40" s="540">
        <v>30549</v>
      </c>
      <c r="H40" s="540">
        <v>27</v>
      </c>
      <c r="I40" s="540">
        <v>57</v>
      </c>
      <c r="J40" s="540">
        <v>2</v>
      </c>
      <c r="K40" s="527">
        <f t="shared" si="18"/>
        <v>0.00532053368044256</v>
      </c>
      <c r="L40" s="528">
        <f t="shared" si="2"/>
        <v>1.7768501529052</v>
      </c>
      <c r="M40" s="528">
        <f t="shared" si="19"/>
        <v>9.45379108363163</v>
      </c>
      <c r="N40" s="528">
        <f t="shared" si="3"/>
        <v>17.5257731958763</v>
      </c>
      <c r="O40" s="528">
        <f t="shared" si="4"/>
        <v>0.00305810397553517</v>
      </c>
      <c r="P40" s="529">
        <f t="shared" si="5"/>
        <v>20.7510714285714</v>
      </c>
      <c r="Q40" s="24">
        <f t="shared" si="6"/>
        <v>84</v>
      </c>
      <c r="R40" s="530">
        <f t="shared" si="7"/>
        <v>0.0856269113149847</v>
      </c>
    </row>
    <row r="41" hidden="1" spans="1:18">
      <c r="A41" s="524"/>
      <c r="B41" s="24" t="s">
        <v>94</v>
      </c>
      <c r="C41" s="540">
        <v>0</v>
      </c>
      <c r="D41" s="540">
        <v>0</v>
      </c>
      <c r="E41" s="540">
        <v>0</v>
      </c>
      <c r="F41" s="540">
        <v>0</v>
      </c>
      <c r="G41" s="540">
        <v>0</v>
      </c>
      <c r="H41" s="540">
        <v>0</v>
      </c>
      <c r="I41" s="540">
        <v>0</v>
      </c>
      <c r="J41" s="540">
        <v>0</v>
      </c>
      <c r="K41" s="527">
        <f t="shared" si="18"/>
        <v>0</v>
      </c>
      <c r="L41" s="528">
        <f t="shared" si="2"/>
        <v>0</v>
      </c>
      <c r="M41" s="528">
        <f t="shared" si="19"/>
        <v>0</v>
      </c>
      <c r="N41" s="528">
        <f t="shared" si="3"/>
        <v>0</v>
      </c>
      <c r="O41" s="528">
        <f t="shared" si="4"/>
        <v>0</v>
      </c>
      <c r="P41" s="529">
        <f t="shared" si="5"/>
        <v>0</v>
      </c>
      <c r="Q41" s="24">
        <f t="shared" si="6"/>
        <v>0</v>
      </c>
      <c r="R41" s="530">
        <f t="shared" si="7"/>
        <v>0</v>
      </c>
    </row>
    <row r="42" hidden="1" spans="1:18">
      <c r="A42" s="524"/>
      <c r="B42" s="24" t="s">
        <v>95</v>
      </c>
      <c r="C42" s="540">
        <v>148.06</v>
      </c>
      <c r="D42" s="540">
        <v>306068</v>
      </c>
      <c r="E42" s="540">
        <v>989</v>
      </c>
      <c r="F42" s="540">
        <v>0</v>
      </c>
      <c r="G42" s="540">
        <v>0</v>
      </c>
      <c r="H42" s="540">
        <v>1</v>
      </c>
      <c r="I42" s="540">
        <v>3</v>
      </c>
      <c r="J42" s="540">
        <v>0</v>
      </c>
      <c r="K42" s="527">
        <f t="shared" si="18"/>
        <v>0.00323130807532967</v>
      </c>
      <c r="L42" s="528">
        <f t="shared" si="2"/>
        <v>0.149706774519717</v>
      </c>
      <c r="M42" s="528">
        <f t="shared" si="19"/>
        <v>0.483748709437119</v>
      </c>
      <c r="N42" s="528">
        <f t="shared" si="3"/>
        <v>0</v>
      </c>
      <c r="O42" s="528">
        <f t="shared" si="4"/>
        <v>0</v>
      </c>
      <c r="P42" s="529">
        <f t="shared" si="5"/>
        <v>37.015</v>
      </c>
      <c r="Q42" s="24">
        <f t="shared" si="6"/>
        <v>4</v>
      </c>
      <c r="R42" s="530">
        <f t="shared" si="7"/>
        <v>0.00404448938321537</v>
      </c>
    </row>
    <row r="43" hidden="1" spans="1:18">
      <c r="A43" s="524"/>
      <c r="B43" s="531" t="s">
        <v>96</v>
      </c>
      <c r="C43" s="532">
        <f t="shared" ref="C43:J43" si="20">SUM(C38:C42)</f>
        <v>2140.67</v>
      </c>
      <c r="D43" s="533">
        <f t="shared" si="20"/>
        <v>511512</v>
      </c>
      <c r="E43" s="533">
        <f t="shared" si="20"/>
        <v>2415</v>
      </c>
      <c r="F43" s="533">
        <f t="shared" si="20"/>
        <v>3</v>
      </c>
      <c r="G43" s="533">
        <f t="shared" si="20"/>
        <v>30549</v>
      </c>
      <c r="H43" s="533">
        <f t="shared" si="20"/>
        <v>29</v>
      </c>
      <c r="I43" s="533">
        <f t="shared" si="20"/>
        <v>60</v>
      </c>
      <c r="J43" s="533">
        <f t="shared" si="20"/>
        <v>7</v>
      </c>
      <c r="K43" s="534">
        <f>E43/D43</f>
        <v>0.00472129686107071</v>
      </c>
      <c r="L43" s="535">
        <f t="shared" si="2"/>
        <v>0.886405797101449</v>
      </c>
      <c r="M43" s="535">
        <f>C43/D43*1000</f>
        <v>4.18498490748995</v>
      </c>
      <c r="N43" s="535">
        <f t="shared" si="3"/>
        <v>14.2707656948525</v>
      </c>
      <c r="O43" s="535">
        <f t="shared" si="4"/>
        <v>0.00124223602484472</v>
      </c>
      <c r="P43" s="536">
        <f t="shared" si="5"/>
        <v>24.0524719101124</v>
      </c>
      <c r="Q43" s="531">
        <f t="shared" si="6"/>
        <v>89</v>
      </c>
      <c r="R43" s="537">
        <f t="shared" si="7"/>
        <v>0.0368530020703934</v>
      </c>
    </row>
    <row r="44" hidden="1" spans="1:18">
      <c r="A44" s="524">
        <v>45451</v>
      </c>
      <c r="B44" s="24" t="s">
        <v>91</v>
      </c>
      <c r="C44" s="540">
        <v>249.17</v>
      </c>
      <c r="D44" s="540">
        <v>29270</v>
      </c>
      <c r="E44" s="540">
        <v>666</v>
      </c>
      <c r="F44" s="540">
        <v>0</v>
      </c>
      <c r="G44" s="540">
        <v>0</v>
      </c>
      <c r="H44" s="540">
        <v>0</v>
      </c>
      <c r="I44" s="540">
        <v>7</v>
      </c>
      <c r="J44" s="540">
        <v>7</v>
      </c>
      <c r="K44" s="527">
        <f t="shared" ref="K44:K48" si="21">IF(E44=0,0,E44/D44)</f>
        <v>0.0227536727024257</v>
      </c>
      <c r="L44" s="528">
        <f t="shared" si="2"/>
        <v>0.374129129129129</v>
      </c>
      <c r="M44" s="528">
        <f t="shared" ref="M44:M48" si="22">IF(D44=0,0,C44/D44*1000)</f>
        <v>8.51281175264776</v>
      </c>
      <c r="N44" s="528">
        <f t="shared" si="3"/>
        <v>0</v>
      </c>
      <c r="O44" s="528">
        <f t="shared" si="4"/>
        <v>0</v>
      </c>
      <c r="P44" s="529">
        <f t="shared" si="5"/>
        <v>35.5957142857143</v>
      </c>
      <c r="Q44" s="24">
        <f t="shared" si="6"/>
        <v>7</v>
      </c>
      <c r="R44" s="530">
        <f t="shared" si="7"/>
        <v>0.0105105105105105</v>
      </c>
    </row>
    <row r="45" hidden="1" spans="1:18">
      <c r="A45" s="524"/>
      <c r="B45" s="24" t="s">
        <v>92</v>
      </c>
      <c r="C45" s="540">
        <v>0</v>
      </c>
      <c r="D45" s="540">
        <v>0</v>
      </c>
      <c r="E45" s="540">
        <v>0</v>
      </c>
      <c r="F45" s="540">
        <v>0</v>
      </c>
      <c r="G45" s="540">
        <v>0</v>
      </c>
      <c r="H45" s="540">
        <v>0</v>
      </c>
      <c r="I45" s="540">
        <v>0</v>
      </c>
      <c r="J45" s="540">
        <v>0</v>
      </c>
      <c r="K45" s="527">
        <f t="shared" si="21"/>
        <v>0</v>
      </c>
      <c r="L45" s="528">
        <f t="shared" si="2"/>
        <v>0</v>
      </c>
      <c r="M45" s="528">
        <f t="shared" si="22"/>
        <v>0</v>
      </c>
      <c r="N45" s="528">
        <f t="shared" si="3"/>
        <v>0</v>
      </c>
      <c r="O45" s="528">
        <f t="shared" si="4"/>
        <v>0</v>
      </c>
      <c r="P45" s="529">
        <f t="shared" si="5"/>
        <v>0</v>
      </c>
      <c r="Q45" s="24">
        <f t="shared" si="6"/>
        <v>0</v>
      </c>
      <c r="R45" s="530">
        <f t="shared" si="7"/>
        <v>0</v>
      </c>
    </row>
    <row r="46" hidden="1" spans="1:18">
      <c r="A46" s="524"/>
      <c r="B46" s="24" t="s">
        <v>93</v>
      </c>
      <c r="C46" s="540">
        <v>2145.57</v>
      </c>
      <c r="D46" s="540">
        <v>166575</v>
      </c>
      <c r="E46" s="540">
        <v>1054</v>
      </c>
      <c r="F46" s="540">
        <v>0</v>
      </c>
      <c r="G46" s="540">
        <v>0</v>
      </c>
      <c r="H46" s="540">
        <v>26</v>
      </c>
      <c r="I46" s="540">
        <v>104</v>
      </c>
      <c r="J46" s="540">
        <v>1</v>
      </c>
      <c r="K46" s="527">
        <f t="shared" si="21"/>
        <v>0.00632748011406273</v>
      </c>
      <c r="L46" s="528">
        <f t="shared" si="2"/>
        <v>2.03564516129032</v>
      </c>
      <c r="M46" s="528">
        <f t="shared" si="22"/>
        <v>12.8805042773525</v>
      </c>
      <c r="N46" s="528">
        <f t="shared" si="3"/>
        <v>0</v>
      </c>
      <c r="O46" s="528">
        <f t="shared" si="4"/>
        <v>0</v>
      </c>
      <c r="P46" s="529">
        <f t="shared" si="5"/>
        <v>16.5043846153846</v>
      </c>
      <c r="Q46" s="24">
        <f t="shared" si="6"/>
        <v>130</v>
      </c>
      <c r="R46" s="530">
        <f t="shared" si="7"/>
        <v>0.123339658444023</v>
      </c>
    </row>
    <row r="47" hidden="1" spans="1:18">
      <c r="A47" s="524"/>
      <c r="B47" s="24" t="s">
        <v>94</v>
      </c>
      <c r="C47" s="540">
        <v>0</v>
      </c>
      <c r="D47" s="540">
        <v>0</v>
      </c>
      <c r="E47" s="540">
        <v>0</v>
      </c>
      <c r="F47" s="540">
        <v>0</v>
      </c>
      <c r="G47" s="540">
        <v>0</v>
      </c>
      <c r="H47" s="540">
        <v>0</v>
      </c>
      <c r="I47" s="540">
        <v>0</v>
      </c>
      <c r="J47" s="540">
        <v>0</v>
      </c>
      <c r="K47" s="527">
        <f t="shared" si="21"/>
        <v>0</v>
      </c>
      <c r="L47" s="528">
        <f t="shared" si="2"/>
        <v>0</v>
      </c>
      <c r="M47" s="528">
        <f t="shared" si="22"/>
        <v>0</v>
      </c>
      <c r="N47" s="528">
        <f t="shared" si="3"/>
        <v>0</v>
      </c>
      <c r="O47" s="528">
        <f t="shared" si="4"/>
        <v>0</v>
      </c>
      <c r="P47" s="529">
        <f t="shared" si="5"/>
        <v>0</v>
      </c>
      <c r="Q47" s="24">
        <f t="shared" si="6"/>
        <v>0</v>
      </c>
      <c r="R47" s="530">
        <f t="shared" si="7"/>
        <v>0</v>
      </c>
    </row>
    <row r="48" hidden="1" spans="1:18">
      <c r="A48" s="524"/>
      <c r="B48" s="24" t="s">
        <v>95</v>
      </c>
      <c r="C48" s="540">
        <v>147.68</v>
      </c>
      <c r="D48" s="540">
        <v>603509</v>
      </c>
      <c r="E48" s="540">
        <v>1510</v>
      </c>
      <c r="F48" s="540">
        <v>0</v>
      </c>
      <c r="G48" s="540">
        <v>0</v>
      </c>
      <c r="H48" s="540">
        <v>2</v>
      </c>
      <c r="I48" s="540">
        <v>0</v>
      </c>
      <c r="J48" s="540">
        <v>0</v>
      </c>
      <c r="K48" s="527">
        <f t="shared" si="21"/>
        <v>0.00250203393818485</v>
      </c>
      <c r="L48" s="528">
        <f t="shared" si="2"/>
        <v>0.0978013245033113</v>
      </c>
      <c r="M48" s="528">
        <f t="shared" si="22"/>
        <v>0.244702233106714</v>
      </c>
      <c r="N48" s="528">
        <f t="shared" si="3"/>
        <v>0</v>
      </c>
      <c r="O48" s="528">
        <f t="shared" si="4"/>
        <v>0</v>
      </c>
      <c r="P48" s="529">
        <f t="shared" si="5"/>
        <v>73.84</v>
      </c>
      <c r="Q48" s="24">
        <f t="shared" si="6"/>
        <v>2</v>
      </c>
      <c r="R48" s="530">
        <f t="shared" si="7"/>
        <v>0.00132450331125828</v>
      </c>
    </row>
    <row r="49" hidden="1" spans="1:18">
      <c r="A49" s="524"/>
      <c r="B49" s="531" t="s">
        <v>96</v>
      </c>
      <c r="C49" s="532">
        <f t="shared" ref="C49:J49" si="23">SUM(C44:C48)</f>
        <v>2542.42</v>
      </c>
      <c r="D49" s="533">
        <f t="shared" si="23"/>
        <v>799354</v>
      </c>
      <c r="E49" s="533">
        <f t="shared" si="23"/>
        <v>3230</v>
      </c>
      <c r="F49" s="533">
        <f t="shared" si="23"/>
        <v>0</v>
      </c>
      <c r="G49" s="533">
        <f t="shared" si="23"/>
        <v>0</v>
      </c>
      <c r="H49" s="533">
        <f t="shared" si="23"/>
        <v>28</v>
      </c>
      <c r="I49" s="533">
        <f t="shared" si="23"/>
        <v>111</v>
      </c>
      <c r="J49" s="533">
        <f t="shared" si="23"/>
        <v>8</v>
      </c>
      <c r="K49" s="534">
        <f>E49/D49</f>
        <v>0.00404076291605471</v>
      </c>
      <c r="L49" s="535">
        <f t="shared" si="2"/>
        <v>0.78712693498452</v>
      </c>
      <c r="M49" s="535">
        <f>C49/D49*1000</f>
        <v>3.18059332911326</v>
      </c>
      <c r="N49" s="535">
        <f t="shared" si="3"/>
        <v>0</v>
      </c>
      <c r="O49" s="535">
        <f t="shared" si="4"/>
        <v>0</v>
      </c>
      <c r="P49" s="536">
        <f t="shared" si="5"/>
        <v>18.2907913669065</v>
      </c>
      <c r="Q49" s="531">
        <f t="shared" si="6"/>
        <v>139</v>
      </c>
      <c r="R49" s="537">
        <f t="shared" si="7"/>
        <v>0.0430340557275542</v>
      </c>
    </row>
    <row r="50" hidden="1" spans="1:18">
      <c r="A50" s="524">
        <v>45452</v>
      </c>
      <c r="B50" s="24" t="s">
        <v>91</v>
      </c>
      <c r="C50" s="540">
        <v>249.5</v>
      </c>
      <c r="D50" s="540">
        <v>28059</v>
      </c>
      <c r="E50" s="540">
        <v>727</v>
      </c>
      <c r="F50" s="540">
        <v>0</v>
      </c>
      <c r="G50" s="540">
        <v>0</v>
      </c>
      <c r="H50" s="540">
        <v>0</v>
      </c>
      <c r="I50" s="540">
        <v>6</v>
      </c>
      <c r="J50" s="540">
        <v>8</v>
      </c>
      <c r="K50" s="527">
        <f t="shared" ref="K50:K54" si="24">IF(E50=0,0,E50/D50)</f>
        <v>0.0259096902954489</v>
      </c>
      <c r="L50" s="528">
        <f t="shared" si="2"/>
        <v>0.343191196698762</v>
      </c>
      <c r="M50" s="528">
        <f t="shared" ref="M50:M54" si="25">IF(D50=0,0,C50/D50*1000)</f>
        <v>8.8919776185894</v>
      </c>
      <c r="N50" s="528">
        <f t="shared" si="3"/>
        <v>0</v>
      </c>
      <c r="O50" s="528">
        <f t="shared" si="4"/>
        <v>0</v>
      </c>
      <c r="P50" s="529">
        <f t="shared" si="5"/>
        <v>41.5833333333333</v>
      </c>
      <c r="Q50" s="24">
        <f t="shared" si="6"/>
        <v>6</v>
      </c>
      <c r="R50" s="530">
        <f t="shared" si="7"/>
        <v>0.00825309491059147</v>
      </c>
    </row>
    <row r="51" hidden="1" spans="1:18">
      <c r="A51" s="524"/>
      <c r="B51" s="24" t="s">
        <v>92</v>
      </c>
      <c r="C51" s="540">
        <v>0</v>
      </c>
      <c r="D51" s="540">
        <v>0</v>
      </c>
      <c r="E51" s="540">
        <v>0</v>
      </c>
      <c r="F51" s="540">
        <v>0</v>
      </c>
      <c r="G51" s="540">
        <v>0</v>
      </c>
      <c r="H51" s="540">
        <v>0</v>
      </c>
      <c r="I51" s="540">
        <v>0</v>
      </c>
      <c r="J51" s="540">
        <v>0</v>
      </c>
      <c r="K51" s="527">
        <f t="shared" si="24"/>
        <v>0</v>
      </c>
      <c r="L51" s="528">
        <f t="shared" si="2"/>
        <v>0</v>
      </c>
      <c r="M51" s="528">
        <f t="shared" si="25"/>
        <v>0</v>
      </c>
      <c r="N51" s="528">
        <f t="shared" si="3"/>
        <v>0</v>
      </c>
      <c r="O51" s="528">
        <f t="shared" si="4"/>
        <v>0</v>
      </c>
      <c r="P51" s="529">
        <f t="shared" si="5"/>
        <v>0</v>
      </c>
      <c r="Q51" s="24">
        <f t="shared" si="6"/>
        <v>0</v>
      </c>
      <c r="R51" s="530">
        <f t="shared" si="7"/>
        <v>0</v>
      </c>
    </row>
    <row r="52" hidden="1" spans="1:18">
      <c r="A52" s="524"/>
      <c r="B52" s="24" t="s">
        <v>93</v>
      </c>
      <c r="C52" s="540">
        <v>2098.1</v>
      </c>
      <c r="D52" s="540">
        <v>176798</v>
      </c>
      <c r="E52" s="540">
        <v>1263</v>
      </c>
      <c r="F52" s="540">
        <v>0</v>
      </c>
      <c r="G52" s="540">
        <v>0</v>
      </c>
      <c r="H52" s="540">
        <v>20</v>
      </c>
      <c r="I52" s="540">
        <v>146</v>
      </c>
      <c r="J52" s="540">
        <v>1</v>
      </c>
      <c r="K52" s="527">
        <f t="shared" si="24"/>
        <v>0.00714374596997704</v>
      </c>
      <c r="L52" s="528">
        <f t="shared" si="2"/>
        <v>1.6612034837688</v>
      </c>
      <c r="M52" s="528">
        <f t="shared" si="25"/>
        <v>11.8672156924852</v>
      </c>
      <c r="N52" s="528">
        <f t="shared" si="3"/>
        <v>0</v>
      </c>
      <c r="O52" s="528">
        <f t="shared" si="4"/>
        <v>0</v>
      </c>
      <c r="P52" s="529">
        <f t="shared" si="5"/>
        <v>12.639156626506</v>
      </c>
      <c r="Q52" s="24">
        <f t="shared" si="6"/>
        <v>166</v>
      </c>
      <c r="R52" s="530">
        <f t="shared" si="7"/>
        <v>0.131433095803642</v>
      </c>
    </row>
    <row r="53" hidden="1" spans="1:18">
      <c r="A53" s="524"/>
      <c r="B53" s="24" t="s">
        <v>94</v>
      </c>
      <c r="C53" s="540">
        <v>0</v>
      </c>
      <c r="D53" s="540">
        <v>0</v>
      </c>
      <c r="E53" s="540">
        <v>0</v>
      </c>
      <c r="F53" s="540">
        <v>0</v>
      </c>
      <c r="G53" s="540">
        <v>0</v>
      </c>
      <c r="H53" s="540">
        <v>0</v>
      </c>
      <c r="I53" s="540">
        <v>0</v>
      </c>
      <c r="J53" s="540">
        <v>0</v>
      </c>
      <c r="K53" s="527">
        <f t="shared" si="24"/>
        <v>0</v>
      </c>
      <c r="L53" s="528">
        <f t="shared" si="2"/>
        <v>0</v>
      </c>
      <c r="M53" s="528">
        <f t="shared" si="25"/>
        <v>0</v>
      </c>
      <c r="N53" s="528">
        <f t="shared" si="3"/>
        <v>0</v>
      </c>
      <c r="O53" s="528">
        <f t="shared" si="4"/>
        <v>0</v>
      </c>
      <c r="P53" s="529">
        <f t="shared" si="5"/>
        <v>0</v>
      </c>
      <c r="Q53" s="24">
        <f t="shared" si="6"/>
        <v>0</v>
      </c>
      <c r="R53" s="530">
        <f t="shared" si="7"/>
        <v>0</v>
      </c>
    </row>
    <row r="54" hidden="1" spans="1:18">
      <c r="A54" s="524"/>
      <c r="B54" s="24" t="s">
        <v>95</v>
      </c>
      <c r="C54" s="540">
        <v>148.96</v>
      </c>
      <c r="D54" s="540">
        <v>499683</v>
      </c>
      <c r="E54" s="540">
        <v>1279</v>
      </c>
      <c r="F54" s="540">
        <v>0</v>
      </c>
      <c r="G54" s="540">
        <v>0</v>
      </c>
      <c r="H54" s="540">
        <v>1</v>
      </c>
      <c r="I54" s="540">
        <v>2</v>
      </c>
      <c r="J54" s="540">
        <v>0</v>
      </c>
      <c r="K54" s="527">
        <f t="shared" si="24"/>
        <v>0.00255962280085574</v>
      </c>
      <c r="L54" s="528">
        <f t="shared" si="2"/>
        <v>0.116465989053948</v>
      </c>
      <c r="M54" s="528">
        <f t="shared" si="25"/>
        <v>0.298109001106702</v>
      </c>
      <c r="N54" s="528">
        <f t="shared" si="3"/>
        <v>0</v>
      </c>
      <c r="O54" s="528">
        <f t="shared" si="4"/>
        <v>0</v>
      </c>
      <c r="P54" s="529">
        <f t="shared" si="5"/>
        <v>49.6533333333333</v>
      </c>
      <c r="Q54" s="24">
        <f t="shared" si="6"/>
        <v>3</v>
      </c>
      <c r="R54" s="530">
        <f t="shared" si="7"/>
        <v>0.00234558248631744</v>
      </c>
    </row>
    <row r="55" hidden="1" spans="1:18">
      <c r="A55" s="524"/>
      <c r="B55" s="531" t="s">
        <v>96</v>
      </c>
      <c r="C55" s="532">
        <f t="shared" ref="C55:J55" si="26">SUM(C50:C54)</f>
        <v>2496.56</v>
      </c>
      <c r="D55" s="533">
        <f t="shared" si="26"/>
        <v>704540</v>
      </c>
      <c r="E55" s="533">
        <f t="shared" si="26"/>
        <v>3269</v>
      </c>
      <c r="F55" s="533">
        <f t="shared" si="26"/>
        <v>0</v>
      </c>
      <c r="G55" s="533">
        <f t="shared" si="26"/>
        <v>0</v>
      </c>
      <c r="H55" s="533">
        <f t="shared" si="26"/>
        <v>21</v>
      </c>
      <c r="I55" s="533">
        <f t="shared" si="26"/>
        <v>154</v>
      </c>
      <c r="J55" s="533">
        <f t="shared" si="26"/>
        <v>9</v>
      </c>
      <c r="K55" s="534">
        <f>E55/D55</f>
        <v>0.00463990688960173</v>
      </c>
      <c r="L55" s="535">
        <f t="shared" si="2"/>
        <v>0.76370755582747</v>
      </c>
      <c r="M55" s="535">
        <f>C55/D55*1000</f>
        <v>3.54353194992477</v>
      </c>
      <c r="N55" s="535">
        <f t="shared" si="3"/>
        <v>0</v>
      </c>
      <c r="O55" s="535">
        <f t="shared" si="4"/>
        <v>0</v>
      </c>
      <c r="P55" s="536">
        <f t="shared" si="5"/>
        <v>14.2660571428571</v>
      </c>
      <c r="Q55" s="531">
        <f t="shared" si="6"/>
        <v>175</v>
      </c>
      <c r="R55" s="537">
        <f t="shared" si="7"/>
        <v>0.0535331905781585</v>
      </c>
    </row>
    <row r="56" hidden="1" spans="1:18">
      <c r="A56" s="524">
        <v>45453</v>
      </c>
      <c r="B56" s="24" t="s">
        <v>91</v>
      </c>
      <c r="C56" s="538">
        <v>249.52</v>
      </c>
      <c r="D56" s="539">
        <v>29271</v>
      </c>
      <c r="E56" s="539">
        <v>779</v>
      </c>
      <c r="F56" s="539">
        <v>0</v>
      </c>
      <c r="G56" s="539">
        <v>0</v>
      </c>
      <c r="H56" s="539">
        <v>4</v>
      </c>
      <c r="I56" s="539">
        <v>6</v>
      </c>
      <c r="J56" s="539">
        <v>10</v>
      </c>
      <c r="K56" s="527">
        <f t="shared" ref="K56:K60" si="27">IF(E56=0,0,E56/D56)</f>
        <v>0.0266133715964607</v>
      </c>
      <c r="L56" s="528">
        <f t="shared" si="2"/>
        <v>0.320308087291399</v>
      </c>
      <c r="M56" s="528">
        <f t="shared" ref="M56:M60" si="28">IF(D56=0,0,C56/D56*1000)</f>
        <v>8.52447815243757</v>
      </c>
      <c r="N56" s="528">
        <f t="shared" si="3"/>
        <v>0</v>
      </c>
      <c r="O56" s="528">
        <f t="shared" si="4"/>
        <v>0</v>
      </c>
      <c r="P56" s="529">
        <f t="shared" si="5"/>
        <v>24.952</v>
      </c>
      <c r="Q56" s="24">
        <f t="shared" si="6"/>
        <v>10</v>
      </c>
      <c r="R56" s="530">
        <f t="shared" si="7"/>
        <v>0.0128369704749679</v>
      </c>
    </row>
    <row r="57" hidden="1" spans="1:18">
      <c r="A57" s="524"/>
      <c r="B57" s="24" t="s">
        <v>92</v>
      </c>
      <c r="C57" s="538">
        <v>0</v>
      </c>
      <c r="D57" s="539">
        <v>0</v>
      </c>
      <c r="E57" s="539">
        <v>0</v>
      </c>
      <c r="F57" s="539">
        <v>0</v>
      </c>
      <c r="G57" s="539">
        <v>0</v>
      </c>
      <c r="H57" s="539">
        <v>0</v>
      </c>
      <c r="I57" s="539">
        <v>0</v>
      </c>
      <c r="J57" s="539">
        <v>0</v>
      </c>
      <c r="K57" s="527">
        <f t="shared" si="27"/>
        <v>0</v>
      </c>
      <c r="L57" s="528">
        <f t="shared" si="2"/>
        <v>0</v>
      </c>
      <c r="M57" s="528">
        <f t="shared" si="28"/>
        <v>0</v>
      </c>
      <c r="N57" s="528">
        <f t="shared" si="3"/>
        <v>0</v>
      </c>
      <c r="O57" s="528">
        <f t="shared" si="4"/>
        <v>0</v>
      </c>
      <c r="P57" s="529">
        <f t="shared" si="5"/>
        <v>0</v>
      </c>
      <c r="Q57" s="24">
        <f t="shared" si="6"/>
        <v>0</v>
      </c>
      <c r="R57" s="530">
        <f t="shared" si="7"/>
        <v>0</v>
      </c>
    </row>
    <row r="58" hidden="1" spans="1:18">
      <c r="A58" s="524"/>
      <c r="B58" s="24" t="s">
        <v>93</v>
      </c>
      <c r="C58" s="538">
        <v>2113.05</v>
      </c>
      <c r="D58" s="539">
        <v>150825</v>
      </c>
      <c r="E58" s="539">
        <v>1239</v>
      </c>
      <c r="F58" s="539">
        <v>0</v>
      </c>
      <c r="G58" s="539">
        <v>0</v>
      </c>
      <c r="H58" s="539">
        <v>29</v>
      </c>
      <c r="I58" s="539">
        <v>147</v>
      </c>
      <c r="J58" s="539">
        <v>8</v>
      </c>
      <c r="K58" s="527">
        <f t="shared" si="27"/>
        <v>0.00821481849825957</v>
      </c>
      <c r="L58" s="528">
        <f t="shared" si="2"/>
        <v>1.70544794188862</v>
      </c>
      <c r="M58" s="528">
        <f t="shared" si="28"/>
        <v>14.0099453008454</v>
      </c>
      <c r="N58" s="528">
        <f t="shared" si="3"/>
        <v>0</v>
      </c>
      <c r="O58" s="528">
        <f t="shared" si="4"/>
        <v>0</v>
      </c>
      <c r="P58" s="529">
        <f t="shared" si="5"/>
        <v>12.0059659090909</v>
      </c>
      <c r="Q58" s="24">
        <f t="shared" si="6"/>
        <v>176</v>
      </c>
      <c r="R58" s="530">
        <f t="shared" si="7"/>
        <v>0.142050040355125</v>
      </c>
    </row>
    <row r="59" hidden="1" spans="1:18">
      <c r="A59" s="524"/>
      <c r="B59" s="24" t="s">
        <v>94</v>
      </c>
      <c r="C59" s="538">
        <v>0</v>
      </c>
      <c r="D59" s="539">
        <v>0</v>
      </c>
      <c r="E59" s="539">
        <v>0</v>
      </c>
      <c r="F59" s="539">
        <v>0</v>
      </c>
      <c r="G59" s="539">
        <v>0</v>
      </c>
      <c r="H59" s="539">
        <v>0</v>
      </c>
      <c r="I59" s="539">
        <v>0</v>
      </c>
      <c r="J59" s="539">
        <v>0</v>
      </c>
      <c r="K59" s="527">
        <f t="shared" si="27"/>
        <v>0</v>
      </c>
      <c r="L59" s="528">
        <f t="shared" si="2"/>
        <v>0</v>
      </c>
      <c r="M59" s="528">
        <f t="shared" si="28"/>
        <v>0</v>
      </c>
      <c r="N59" s="528">
        <f t="shared" si="3"/>
        <v>0</v>
      </c>
      <c r="O59" s="528">
        <f t="shared" si="4"/>
        <v>0</v>
      </c>
      <c r="P59" s="529">
        <f t="shared" si="5"/>
        <v>0</v>
      </c>
      <c r="Q59" s="24">
        <f t="shared" si="6"/>
        <v>0</v>
      </c>
      <c r="R59" s="530">
        <f t="shared" si="7"/>
        <v>0</v>
      </c>
    </row>
    <row r="60" hidden="1" spans="1:18">
      <c r="A60" s="524"/>
      <c r="B60" s="24" t="s">
        <v>95</v>
      </c>
      <c r="C60" s="538">
        <v>148.21</v>
      </c>
      <c r="D60" s="539">
        <v>623345</v>
      </c>
      <c r="E60" s="539">
        <v>1536</v>
      </c>
      <c r="F60" s="539">
        <v>0</v>
      </c>
      <c r="G60" s="539">
        <v>0</v>
      </c>
      <c r="H60" s="539">
        <v>0</v>
      </c>
      <c r="I60" s="539">
        <v>1</v>
      </c>
      <c r="J60" s="539">
        <v>0</v>
      </c>
      <c r="K60" s="527">
        <f t="shared" si="27"/>
        <v>0.00246412500300797</v>
      </c>
      <c r="L60" s="528">
        <f t="shared" si="2"/>
        <v>0.0964908854166667</v>
      </c>
      <c r="M60" s="528">
        <f t="shared" si="28"/>
        <v>0.237765603317585</v>
      </c>
      <c r="N60" s="528">
        <f t="shared" si="3"/>
        <v>0</v>
      </c>
      <c r="O60" s="528">
        <f t="shared" si="4"/>
        <v>0</v>
      </c>
      <c r="P60" s="529">
        <f t="shared" si="5"/>
        <v>148.21</v>
      </c>
      <c r="Q60" s="24">
        <f t="shared" si="6"/>
        <v>1</v>
      </c>
      <c r="R60" s="530">
        <f t="shared" si="7"/>
        <v>0.000651041666666667</v>
      </c>
    </row>
    <row r="61" hidden="1" spans="1:18">
      <c r="A61" s="524"/>
      <c r="B61" s="531" t="s">
        <v>96</v>
      </c>
      <c r="C61" s="532">
        <f t="shared" ref="C61:J61" si="29">SUM(C56:C60)</f>
        <v>2510.78</v>
      </c>
      <c r="D61" s="533">
        <f t="shared" si="29"/>
        <v>803441</v>
      </c>
      <c r="E61" s="533">
        <f t="shared" si="29"/>
        <v>3554</v>
      </c>
      <c r="F61" s="533">
        <f t="shared" si="29"/>
        <v>0</v>
      </c>
      <c r="G61" s="533">
        <f t="shared" si="29"/>
        <v>0</v>
      </c>
      <c r="H61" s="533">
        <f t="shared" si="29"/>
        <v>33</v>
      </c>
      <c r="I61" s="533">
        <f t="shared" si="29"/>
        <v>154</v>
      </c>
      <c r="J61" s="533">
        <f t="shared" si="29"/>
        <v>18</v>
      </c>
      <c r="K61" s="534">
        <f>E61/D61</f>
        <v>0.0044234735344599</v>
      </c>
      <c r="L61" s="535">
        <f t="shared" si="2"/>
        <v>0.706465953854812</v>
      </c>
      <c r="M61" s="535">
        <f>C61/D61*1000</f>
        <v>3.12503344987373</v>
      </c>
      <c r="N61" s="535">
        <f t="shared" si="3"/>
        <v>0</v>
      </c>
      <c r="O61" s="535">
        <f t="shared" si="4"/>
        <v>0</v>
      </c>
      <c r="P61" s="536">
        <f t="shared" si="5"/>
        <v>13.4266310160428</v>
      </c>
      <c r="Q61" s="531">
        <f t="shared" si="6"/>
        <v>187</v>
      </c>
      <c r="R61" s="537">
        <f t="shared" si="7"/>
        <v>0.0526167698368036</v>
      </c>
    </row>
    <row r="62" hidden="1" spans="1:18">
      <c r="A62" s="524">
        <v>45454</v>
      </c>
      <c r="B62" s="24" t="s">
        <v>91</v>
      </c>
      <c r="C62" s="538">
        <v>249.4</v>
      </c>
      <c r="D62" s="539">
        <v>20681</v>
      </c>
      <c r="E62" s="539">
        <v>532</v>
      </c>
      <c r="F62" s="539">
        <v>3</v>
      </c>
      <c r="G62" s="539">
        <v>33792</v>
      </c>
      <c r="H62" s="539">
        <v>4</v>
      </c>
      <c r="I62" s="539">
        <v>5</v>
      </c>
      <c r="J62" s="539">
        <v>9</v>
      </c>
      <c r="K62" s="527">
        <f t="shared" ref="K62:K66" si="30">IF(E62=0,0,E62/D62)</f>
        <v>0.0257240945795658</v>
      </c>
      <c r="L62" s="528">
        <f t="shared" si="2"/>
        <v>0.468796992481203</v>
      </c>
      <c r="M62" s="528">
        <f t="shared" ref="M62:M66" si="31">IF(D62=0,0,C62/D62*1000)</f>
        <v>12.0593781732025</v>
      </c>
      <c r="N62" s="528">
        <f t="shared" si="3"/>
        <v>135.493183640738</v>
      </c>
      <c r="O62" s="528">
        <f t="shared" si="4"/>
        <v>0.0056390977443609</v>
      </c>
      <c r="P62" s="529">
        <f t="shared" si="5"/>
        <v>27.7111111111111</v>
      </c>
      <c r="Q62" s="24">
        <f t="shared" si="6"/>
        <v>9</v>
      </c>
      <c r="R62" s="530">
        <f t="shared" si="7"/>
        <v>0.0169172932330827</v>
      </c>
    </row>
    <row r="63" hidden="1" spans="1:18">
      <c r="A63" s="524"/>
      <c r="B63" s="24" t="s">
        <v>92</v>
      </c>
      <c r="C63" s="538">
        <v>1000</v>
      </c>
      <c r="D63" s="539">
        <v>22445</v>
      </c>
      <c r="E63" s="539">
        <v>2611</v>
      </c>
      <c r="F63" s="539">
        <v>0</v>
      </c>
      <c r="G63" s="539">
        <v>0</v>
      </c>
      <c r="H63" s="539">
        <v>6</v>
      </c>
      <c r="I63" s="539">
        <v>6</v>
      </c>
      <c r="J63" s="539">
        <v>0</v>
      </c>
      <c r="K63" s="527">
        <f t="shared" si="30"/>
        <v>0.116328803742482</v>
      </c>
      <c r="L63" s="528">
        <f t="shared" si="2"/>
        <v>0.382995021064726</v>
      </c>
      <c r="M63" s="528">
        <f t="shared" si="31"/>
        <v>44.5533526397861</v>
      </c>
      <c r="N63" s="528">
        <f t="shared" si="3"/>
        <v>0</v>
      </c>
      <c r="O63" s="528">
        <f t="shared" si="4"/>
        <v>0</v>
      </c>
      <c r="P63" s="529">
        <f t="shared" si="5"/>
        <v>83.3333333333333</v>
      </c>
      <c r="Q63" s="24">
        <f t="shared" si="6"/>
        <v>12</v>
      </c>
      <c r="R63" s="530">
        <f t="shared" si="7"/>
        <v>0.00459594025277671</v>
      </c>
    </row>
    <row r="64" hidden="1" spans="1:18">
      <c r="A64" s="524"/>
      <c r="B64" s="24" t="s">
        <v>93</v>
      </c>
      <c r="C64" s="538">
        <v>2129.89</v>
      </c>
      <c r="D64" s="539">
        <v>138663</v>
      </c>
      <c r="E64" s="539">
        <v>1068</v>
      </c>
      <c r="F64" s="539">
        <v>3</v>
      </c>
      <c r="G64" s="539">
        <v>25593</v>
      </c>
      <c r="H64" s="539">
        <v>35</v>
      </c>
      <c r="I64" s="539">
        <v>115</v>
      </c>
      <c r="J64" s="539">
        <v>5</v>
      </c>
      <c r="K64" s="527">
        <f t="shared" si="30"/>
        <v>0.00770212673892819</v>
      </c>
      <c r="L64" s="528">
        <f t="shared" si="2"/>
        <v>1.99427902621723</v>
      </c>
      <c r="M64" s="528">
        <f t="shared" si="31"/>
        <v>15.3601898127114</v>
      </c>
      <c r="N64" s="528">
        <f t="shared" si="3"/>
        <v>12.0161135082093</v>
      </c>
      <c r="O64" s="528">
        <f t="shared" si="4"/>
        <v>0.00280898876404494</v>
      </c>
      <c r="P64" s="529">
        <f t="shared" si="5"/>
        <v>14.1992666666667</v>
      </c>
      <c r="Q64" s="24">
        <f t="shared" si="6"/>
        <v>150</v>
      </c>
      <c r="R64" s="530">
        <f t="shared" si="7"/>
        <v>0.140449438202247</v>
      </c>
    </row>
    <row r="65" hidden="1" spans="1:18">
      <c r="A65" s="524"/>
      <c r="B65" s="24" t="s">
        <v>94</v>
      </c>
      <c r="C65" s="538">
        <v>0</v>
      </c>
      <c r="D65" s="539">
        <v>0</v>
      </c>
      <c r="E65" s="539">
        <v>0</v>
      </c>
      <c r="F65" s="539">
        <v>0</v>
      </c>
      <c r="G65" s="539">
        <v>0</v>
      </c>
      <c r="H65" s="539">
        <v>0</v>
      </c>
      <c r="I65" s="539">
        <v>0</v>
      </c>
      <c r="J65" s="539">
        <v>0</v>
      </c>
      <c r="K65" s="527">
        <f t="shared" si="30"/>
        <v>0</v>
      </c>
      <c r="L65" s="528">
        <f t="shared" si="2"/>
        <v>0</v>
      </c>
      <c r="M65" s="528">
        <f t="shared" si="31"/>
        <v>0</v>
      </c>
      <c r="N65" s="528">
        <f t="shared" si="3"/>
        <v>0</v>
      </c>
      <c r="O65" s="528">
        <f t="shared" si="4"/>
        <v>0</v>
      </c>
      <c r="P65" s="529">
        <f t="shared" si="5"/>
        <v>0</v>
      </c>
      <c r="Q65" s="24">
        <f t="shared" si="6"/>
        <v>0</v>
      </c>
      <c r="R65" s="530">
        <f t="shared" si="7"/>
        <v>0</v>
      </c>
    </row>
    <row r="66" hidden="1" spans="1:18">
      <c r="A66" s="524"/>
      <c r="B66" s="24" t="s">
        <v>95</v>
      </c>
      <c r="C66" s="538">
        <v>148.59</v>
      </c>
      <c r="D66" s="539">
        <v>555747</v>
      </c>
      <c r="E66" s="539">
        <v>1504</v>
      </c>
      <c r="F66" s="539">
        <v>0</v>
      </c>
      <c r="G66" s="539">
        <v>0</v>
      </c>
      <c r="H66" s="539">
        <v>2</v>
      </c>
      <c r="I66" s="539">
        <v>2</v>
      </c>
      <c r="J66" s="539">
        <v>0</v>
      </c>
      <c r="K66" s="527">
        <f t="shared" si="30"/>
        <v>0.00270626742024698</v>
      </c>
      <c r="L66" s="528">
        <f t="shared" si="2"/>
        <v>0.0987965425531915</v>
      </c>
      <c r="M66" s="528">
        <f t="shared" si="31"/>
        <v>0.267369864344747</v>
      </c>
      <c r="N66" s="528">
        <f t="shared" si="3"/>
        <v>0</v>
      </c>
      <c r="O66" s="528">
        <f t="shared" si="4"/>
        <v>0</v>
      </c>
      <c r="P66" s="529">
        <f t="shared" si="5"/>
        <v>37.1475</v>
      </c>
      <c r="Q66" s="24">
        <f t="shared" si="6"/>
        <v>4</v>
      </c>
      <c r="R66" s="530">
        <f t="shared" si="7"/>
        <v>0.00265957446808511</v>
      </c>
    </row>
    <row r="67" hidden="1" spans="1:18">
      <c r="A67" s="524"/>
      <c r="B67" s="531" t="s">
        <v>96</v>
      </c>
      <c r="C67" s="532">
        <f t="shared" ref="C67:J67" si="32">SUM(C62:C66)</f>
        <v>3527.88</v>
      </c>
      <c r="D67" s="533">
        <f t="shared" si="32"/>
        <v>737536</v>
      </c>
      <c r="E67" s="533">
        <f t="shared" si="32"/>
        <v>5715</v>
      </c>
      <c r="F67" s="533">
        <f t="shared" si="32"/>
        <v>6</v>
      </c>
      <c r="G67" s="533">
        <f t="shared" si="32"/>
        <v>59385</v>
      </c>
      <c r="H67" s="533">
        <f t="shared" si="32"/>
        <v>47</v>
      </c>
      <c r="I67" s="533">
        <f t="shared" si="32"/>
        <v>128</v>
      </c>
      <c r="J67" s="533">
        <f t="shared" si="32"/>
        <v>14</v>
      </c>
      <c r="K67" s="534">
        <f>E67/D67</f>
        <v>0.00774877429711906</v>
      </c>
      <c r="L67" s="535">
        <f t="shared" si="2"/>
        <v>0.617301837270341</v>
      </c>
      <c r="M67" s="535">
        <f>C67/D67*1000</f>
        <v>4.78333261020479</v>
      </c>
      <c r="N67" s="535">
        <f t="shared" si="3"/>
        <v>16.833055546107</v>
      </c>
      <c r="O67" s="535">
        <f t="shared" si="4"/>
        <v>0.0010498687664042</v>
      </c>
      <c r="P67" s="536">
        <f t="shared" si="5"/>
        <v>20.1593142857143</v>
      </c>
      <c r="Q67" s="531">
        <f t="shared" si="6"/>
        <v>175</v>
      </c>
      <c r="R67" s="537">
        <f t="shared" si="7"/>
        <v>0.0306211723534558</v>
      </c>
    </row>
    <row r="68" hidden="1" spans="1:18">
      <c r="A68" s="524">
        <v>45455</v>
      </c>
      <c r="B68" s="24" t="s">
        <v>91</v>
      </c>
      <c r="C68" s="538">
        <v>250</v>
      </c>
      <c r="D68" s="539">
        <v>22369</v>
      </c>
      <c r="E68" s="539">
        <v>530</v>
      </c>
      <c r="F68" s="539">
        <v>0</v>
      </c>
      <c r="G68" s="539">
        <v>0</v>
      </c>
      <c r="H68" s="539">
        <v>2</v>
      </c>
      <c r="I68" s="539">
        <v>3</v>
      </c>
      <c r="J68" s="539">
        <v>10</v>
      </c>
      <c r="K68" s="527">
        <f t="shared" ref="K68:K72" si="33">IF(E68=0,0,E68/D68)</f>
        <v>0.0236935044034154</v>
      </c>
      <c r="L68" s="528">
        <f t="shared" si="2"/>
        <v>0.471698113207547</v>
      </c>
      <c r="M68" s="528">
        <f t="shared" ref="M68:M72" si="34">IF(D68=0,0,C68/D68*1000)</f>
        <v>11.1761813223658</v>
      </c>
      <c r="N68" s="528">
        <f t="shared" si="3"/>
        <v>0</v>
      </c>
      <c r="O68" s="528">
        <f t="shared" si="4"/>
        <v>0</v>
      </c>
      <c r="P68" s="529">
        <f t="shared" si="5"/>
        <v>50</v>
      </c>
      <c r="Q68" s="24">
        <f t="shared" si="6"/>
        <v>5</v>
      </c>
      <c r="R68" s="530">
        <f t="shared" si="7"/>
        <v>0.00943396226415094</v>
      </c>
    </row>
    <row r="69" hidden="1" spans="1:18">
      <c r="A69" s="524"/>
      <c r="B69" s="24" t="s">
        <v>92</v>
      </c>
      <c r="C69" s="538">
        <v>1000</v>
      </c>
      <c r="D69" s="539">
        <v>16412</v>
      </c>
      <c r="E69" s="539">
        <v>2025</v>
      </c>
      <c r="F69" s="539">
        <v>1</v>
      </c>
      <c r="G69" s="539">
        <v>19596</v>
      </c>
      <c r="H69" s="539">
        <v>10</v>
      </c>
      <c r="I69" s="539">
        <v>11</v>
      </c>
      <c r="J69" s="539">
        <v>0</v>
      </c>
      <c r="K69" s="527">
        <f t="shared" si="33"/>
        <v>0.12338532780892</v>
      </c>
      <c r="L69" s="528">
        <f t="shared" si="2"/>
        <v>0.493827160493827</v>
      </c>
      <c r="M69" s="528">
        <f t="shared" si="34"/>
        <v>60.9310260784792</v>
      </c>
      <c r="N69" s="528">
        <f t="shared" si="3"/>
        <v>19.596</v>
      </c>
      <c r="O69" s="528">
        <f t="shared" si="4"/>
        <v>0.000493827160493827</v>
      </c>
      <c r="P69" s="529">
        <f t="shared" si="5"/>
        <v>47.6190476190476</v>
      </c>
      <c r="Q69" s="24">
        <f t="shared" si="6"/>
        <v>21</v>
      </c>
      <c r="R69" s="530">
        <f t="shared" si="7"/>
        <v>0.0103703703703704</v>
      </c>
    </row>
    <row r="70" hidden="1" spans="1:18">
      <c r="A70" s="524"/>
      <c r="B70" s="24" t="s">
        <v>93</v>
      </c>
      <c r="C70" s="538">
        <v>2100.81</v>
      </c>
      <c r="D70" s="539">
        <v>138942</v>
      </c>
      <c r="E70" s="539">
        <v>1062</v>
      </c>
      <c r="F70" s="539">
        <v>2</v>
      </c>
      <c r="G70" s="539">
        <v>27431</v>
      </c>
      <c r="H70" s="539">
        <v>28</v>
      </c>
      <c r="I70" s="539">
        <v>125</v>
      </c>
      <c r="J70" s="539">
        <v>4</v>
      </c>
      <c r="K70" s="527">
        <f t="shared" si="33"/>
        <v>0.00764347713434383</v>
      </c>
      <c r="L70" s="528">
        <f t="shared" si="2"/>
        <v>1.97816384180791</v>
      </c>
      <c r="M70" s="528">
        <f t="shared" si="34"/>
        <v>15.1200500928445</v>
      </c>
      <c r="N70" s="528">
        <f t="shared" si="3"/>
        <v>13.0573445480553</v>
      </c>
      <c r="O70" s="528">
        <f t="shared" si="4"/>
        <v>0.00188323917137476</v>
      </c>
      <c r="P70" s="529">
        <f t="shared" si="5"/>
        <v>13.7307843137255</v>
      </c>
      <c r="Q70" s="24">
        <f t="shared" si="6"/>
        <v>153</v>
      </c>
      <c r="R70" s="530">
        <f t="shared" si="7"/>
        <v>0.144067796610169</v>
      </c>
    </row>
    <row r="71" hidden="1" spans="1:18">
      <c r="A71" s="524"/>
      <c r="B71" s="24" t="s">
        <v>94</v>
      </c>
      <c r="C71" s="538">
        <v>0</v>
      </c>
      <c r="D71" s="539">
        <v>0</v>
      </c>
      <c r="E71" s="539">
        <v>0</v>
      </c>
      <c r="F71" s="539">
        <v>0</v>
      </c>
      <c r="G71" s="539">
        <v>0</v>
      </c>
      <c r="H71" s="539">
        <v>0</v>
      </c>
      <c r="I71" s="539">
        <v>0</v>
      </c>
      <c r="J71" s="539">
        <v>0</v>
      </c>
      <c r="K71" s="527">
        <f t="shared" si="33"/>
        <v>0</v>
      </c>
      <c r="L71" s="528">
        <f t="shared" si="2"/>
        <v>0</v>
      </c>
      <c r="M71" s="528">
        <f t="shared" si="34"/>
        <v>0</v>
      </c>
      <c r="N71" s="528">
        <f t="shared" si="3"/>
        <v>0</v>
      </c>
      <c r="O71" s="528">
        <f t="shared" si="4"/>
        <v>0</v>
      </c>
      <c r="P71" s="529">
        <f t="shared" si="5"/>
        <v>0</v>
      </c>
      <c r="Q71" s="24">
        <f t="shared" si="6"/>
        <v>0</v>
      </c>
      <c r="R71" s="530">
        <f t="shared" si="7"/>
        <v>0</v>
      </c>
    </row>
    <row r="72" hidden="1" spans="1:18">
      <c r="A72" s="524"/>
      <c r="B72" s="24" t="s">
        <v>95</v>
      </c>
      <c r="C72" s="538">
        <v>146.89</v>
      </c>
      <c r="D72" s="539">
        <v>580136</v>
      </c>
      <c r="E72" s="539">
        <v>1509</v>
      </c>
      <c r="F72" s="539">
        <v>0</v>
      </c>
      <c r="G72" s="539">
        <v>0</v>
      </c>
      <c r="H72" s="539">
        <v>2</v>
      </c>
      <c r="I72" s="539">
        <v>1</v>
      </c>
      <c r="J72" s="539">
        <v>0</v>
      </c>
      <c r="K72" s="527">
        <f t="shared" si="33"/>
        <v>0.00260111422149289</v>
      </c>
      <c r="L72" s="528">
        <f t="shared" ref="L72:L85" si="35">IF(C72=0,0,C72/E72)</f>
        <v>0.0973426110006627</v>
      </c>
      <c r="M72" s="528">
        <f t="shared" si="34"/>
        <v>0.253199249831074</v>
      </c>
      <c r="N72" s="528">
        <f t="shared" ref="N72:N85" si="36">IF(G72=0,0,G72/C72)</f>
        <v>0</v>
      </c>
      <c r="O72" s="528">
        <f t="shared" ref="O72:O85" si="37">IF(F72=0,0,F72/E72)</f>
        <v>0</v>
      </c>
      <c r="P72" s="529">
        <f t="shared" ref="P72:P85" si="38">IF(H72+I72=0,0,C72/(H72+I72))</f>
        <v>48.9633333333333</v>
      </c>
      <c r="Q72" s="24">
        <f t="shared" ref="Q72:Q85" si="39">H72+I72</f>
        <v>3</v>
      </c>
      <c r="R72" s="530">
        <f t="shared" ref="R72:R85" si="40">IF(Q72=0,0,Q72/E72)</f>
        <v>0.00198807157057654</v>
      </c>
    </row>
    <row r="73" hidden="1" spans="1:18">
      <c r="A73" s="524"/>
      <c r="B73" s="531" t="s">
        <v>96</v>
      </c>
      <c r="C73" s="532">
        <f t="shared" ref="C73:J73" si="41">SUM(C68:C72)</f>
        <v>3497.7</v>
      </c>
      <c r="D73" s="533">
        <f t="shared" si="41"/>
        <v>757859</v>
      </c>
      <c r="E73" s="533">
        <f t="shared" si="41"/>
        <v>5126</v>
      </c>
      <c r="F73" s="533">
        <f t="shared" si="41"/>
        <v>3</v>
      </c>
      <c r="G73" s="533">
        <f t="shared" si="41"/>
        <v>47027</v>
      </c>
      <c r="H73" s="533">
        <f t="shared" si="41"/>
        <v>42</v>
      </c>
      <c r="I73" s="533">
        <f t="shared" si="41"/>
        <v>140</v>
      </c>
      <c r="J73" s="533">
        <f t="shared" si="41"/>
        <v>14</v>
      </c>
      <c r="K73" s="534">
        <f>E73/D73</f>
        <v>0.00676379115376343</v>
      </c>
      <c r="L73" s="535">
        <f t="shared" si="35"/>
        <v>0.682344908310573</v>
      </c>
      <c r="M73" s="535">
        <f>C73/D73*1000</f>
        <v>4.61523845464658</v>
      </c>
      <c r="N73" s="535">
        <f t="shared" si="36"/>
        <v>13.4451210795666</v>
      </c>
      <c r="O73" s="535">
        <f t="shared" si="37"/>
        <v>0.000585251658213032</v>
      </c>
      <c r="P73" s="536">
        <f t="shared" si="38"/>
        <v>19.2181318681319</v>
      </c>
      <c r="Q73" s="531">
        <f t="shared" si="39"/>
        <v>182</v>
      </c>
      <c r="R73" s="537">
        <f t="shared" si="40"/>
        <v>0.0355052672649239</v>
      </c>
    </row>
    <row r="74" hidden="1" spans="1:18">
      <c r="A74" s="524">
        <v>45456</v>
      </c>
      <c r="B74" s="24" t="s">
        <v>91</v>
      </c>
      <c r="C74" s="538">
        <v>198.9</v>
      </c>
      <c r="D74" s="539">
        <v>25401</v>
      </c>
      <c r="E74" s="539">
        <v>599</v>
      </c>
      <c r="F74" s="539">
        <v>0</v>
      </c>
      <c r="G74" s="539">
        <v>0</v>
      </c>
      <c r="H74" s="539">
        <v>0</v>
      </c>
      <c r="I74" s="539">
        <v>2</v>
      </c>
      <c r="J74" s="539">
        <v>6</v>
      </c>
      <c r="K74" s="527">
        <f t="shared" ref="K74:K78" si="42">IF(E74=0,0,E74/D74)</f>
        <v>0.0235817487500492</v>
      </c>
      <c r="L74" s="528">
        <f t="shared" si="35"/>
        <v>0.332053422370618</v>
      </c>
      <c r="M74" s="528">
        <f t="shared" ref="M74:M78" si="43">IF(D74=0,0,C74/D74*1000)</f>
        <v>7.83040037793788</v>
      </c>
      <c r="N74" s="528">
        <f t="shared" si="36"/>
        <v>0</v>
      </c>
      <c r="O74" s="528">
        <f t="shared" si="37"/>
        <v>0</v>
      </c>
      <c r="P74" s="529">
        <f t="shared" si="38"/>
        <v>99.45</v>
      </c>
      <c r="Q74" s="24">
        <f t="shared" si="39"/>
        <v>2</v>
      </c>
      <c r="R74" s="530">
        <f t="shared" si="40"/>
        <v>0.00333889816360601</v>
      </c>
    </row>
    <row r="75" hidden="1" spans="1:18">
      <c r="A75" s="524"/>
      <c r="B75" s="24" t="s">
        <v>92</v>
      </c>
      <c r="C75" s="538">
        <v>0</v>
      </c>
      <c r="D75" s="539">
        <v>0</v>
      </c>
      <c r="E75" s="539">
        <v>0</v>
      </c>
      <c r="F75" s="539">
        <v>0</v>
      </c>
      <c r="G75" s="539">
        <v>0</v>
      </c>
      <c r="H75" s="539">
        <v>0</v>
      </c>
      <c r="I75" s="539">
        <v>0</v>
      </c>
      <c r="J75" s="539">
        <v>0</v>
      </c>
      <c r="K75" s="527">
        <f t="shared" si="42"/>
        <v>0</v>
      </c>
      <c r="L75" s="528">
        <f t="shared" si="35"/>
        <v>0</v>
      </c>
      <c r="M75" s="528">
        <f t="shared" si="43"/>
        <v>0</v>
      </c>
      <c r="N75" s="528">
        <f t="shared" si="36"/>
        <v>0</v>
      </c>
      <c r="O75" s="528">
        <f t="shared" si="37"/>
        <v>0</v>
      </c>
      <c r="P75" s="529">
        <f t="shared" si="38"/>
        <v>0</v>
      </c>
      <c r="Q75" s="24">
        <f t="shared" si="39"/>
        <v>0</v>
      </c>
      <c r="R75" s="530">
        <f t="shared" si="40"/>
        <v>0</v>
      </c>
    </row>
    <row r="76" hidden="1" spans="1:18">
      <c r="A76" s="524"/>
      <c r="B76" s="24" t="s">
        <v>93</v>
      </c>
      <c r="C76" s="538">
        <v>2111.19</v>
      </c>
      <c r="D76" s="539">
        <v>146591</v>
      </c>
      <c r="E76" s="539">
        <v>1160</v>
      </c>
      <c r="F76" s="539">
        <v>2</v>
      </c>
      <c r="G76" s="539">
        <v>21952</v>
      </c>
      <c r="H76" s="539">
        <v>35</v>
      </c>
      <c r="I76" s="539">
        <v>130</v>
      </c>
      <c r="J76" s="539">
        <v>6</v>
      </c>
      <c r="K76" s="527">
        <f t="shared" si="42"/>
        <v>0.00791317338717929</v>
      </c>
      <c r="L76" s="528">
        <f t="shared" si="35"/>
        <v>1.81999137931034</v>
      </c>
      <c r="M76" s="528">
        <f t="shared" si="43"/>
        <v>14.4019073476544</v>
      </c>
      <c r="N76" s="528">
        <f t="shared" si="36"/>
        <v>10.3979272353507</v>
      </c>
      <c r="O76" s="528">
        <f t="shared" si="37"/>
        <v>0.00172413793103448</v>
      </c>
      <c r="P76" s="529">
        <f t="shared" si="38"/>
        <v>12.7950909090909</v>
      </c>
      <c r="Q76" s="24">
        <f t="shared" si="39"/>
        <v>165</v>
      </c>
      <c r="R76" s="530">
        <f t="shared" si="40"/>
        <v>0.142241379310345</v>
      </c>
    </row>
    <row r="77" hidden="1" spans="1:18">
      <c r="A77" s="524"/>
      <c r="B77" s="24" t="s">
        <v>94</v>
      </c>
      <c r="C77" s="538">
        <v>0</v>
      </c>
      <c r="D77" s="539">
        <v>0</v>
      </c>
      <c r="E77" s="539">
        <v>0</v>
      </c>
      <c r="F77" s="539">
        <v>0</v>
      </c>
      <c r="G77" s="539">
        <v>0</v>
      </c>
      <c r="H77" s="539">
        <v>0</v>
      </c>
      <c r="I77" s="539">
        <v>0</v>
      </c>
      <c r="J77" s="539">
        <v>0</v>
      </c>
      <c r="K77" s="527">
        <f t="shared" si="42"/>
        <v>0</v>
      </c>
      <c r="L77" s="528">
        <f t="shared" si="35"/>
        <v>0</v>
      </c>
      <c r="M77" s="528">
        <f t="shared" si="43"/>
        <v>0</v>
      </c>
      <c r="N77" s="528">
        <f t="shared" si="36"/>
        <v>0</v>
      </c>
      <c r="O77" s="528">
        <f t="shared" si="37"/>
        <v>0</v>
      </c>
      <c r="P77" s="529">
        <f t="shared" si="38"/>
        <v>0</v>
      </c>
      <c r="Q77" s="24">
        <f t="shared" si="39"/>
        <v>0</v>
      </c>
      <c r="R77" s="530">
        <f t="shared" si="40"/>
        <v>0</v>
      </c>
    </row>
    <row r="78" hidden="1" spans="1:18">
      <c r="A78" s="524"/>
      <c r="B78" s="24" t="s">
        <v>95</v>
      </c>
      <c r="C78" s="538">
        <v>148.46</v>
      </c>
      <c r="D78" s="539">
        <v>572780</v>
      </c>
      <c r="E78" s="539">
        <v>1648</v>
      </c>
      <c r="F78" s="539">
        <v>0</v>
      </c>
      <c r="G78" s="539">
        <v>0</v>
      </c>
      <c r="H78" s="539">
        <v>1</v>
      </c>
      <c r="I78" s="539">
        <v>1</v>
      </c>
      <c r="J78" s="539">
        <v>0</v>
      </c>
      <c r="K78" s="527">
        <f t="shared" si="42"/>
        <v>0.00287719543280142</v>
      </c>
      <c r="L78" s="528">
        <f t="shared" si="35"/>
        <v>0.0900849514563107</v>
      </c>
      <c r="M78" s="528">
        <f t="shared" si="43"/>
        <v>0.259192010894235</v>
      </c>
      <c r="N78" s="528">
        <f t="shared" si="36"/>
        <v>0</v>
      </c>
      <c r="O78" s="528">
        <f t="shared" si="37"/>
        <v>0</v>
      </c>
      <c r="P78" s="529">
        <f t="shared" si="38"/>
        <v>74.23</v>
      </c>
      <c r="Q78" s="24">
        <f t="shared" si="39"/>
        <v>2</v>
      </c>
      <c r="R78" s="530">
        <f t="shared" si="40"/>
        <v>0.00121359223300971</v>
      </c>
    </row>
    <row r="79" hidden="1" spans="1:18">
      <c r="A79" s="524"/>
      <c r="B79" s="531" t="s">
        <v>96</v>
      </c>
      <c r="C79" s="532">
        <f t="shared" ref="C79:J79" si="44">SUM(C74:C78)</f>
        <v>2458.55</v>
      </c>
      <c r="D79" s="533">
        <f t="shared" si="44"/>
        <v>744772</v>
      </c>
      <c r="E79" s="533">
        <f t="shared" si="44"/>
        <v>3407</v>
      </c>
      <c r="F79" s="533">
        <f t="shared" si="44"/>
        <v>2</v>
      </c>
      <c r="G79" s="533">
        <f t="shared" si="44"/>
        <v>21952</v>
      </c>
      <c r="H79" s="533">
        <f t="shared" si="44"/>
        <v>36</v>
      </c>
      <c r="I79" s="533">
        <f t="shared" si="44"/>
        <v>133</v>
      </c>
      <c r="J79" s="533">
        <f t="shared" si="44"/>
        <v>12</v>
      </c>
      <c r="K79" s="534">
        <f>E79/D79</f>
        <v>0.00457455436026059</v>
      </c>
      <c r="L79" s="535">
        <f t="shared" si="35"/>
        <v>0.721617258585266</v>
      </c>
      <c r="M79" s="535">
        <f>C79/D79*1000</f>
        <v>3.30107737670052</v>
      </c>
      <c r="N79" s="535">
        <f t="shared" si="36"/>
        <v>8.92884017001891</v>
      </c>
      <c r="O79" s="535">
        <f t="shared" si="37"/>
        <v>0.000587026709715292</v>
      </c>
      <c r="P79" s="536">
        <f t="shared" si="38"/>
        <v>14.5476331360947</v>
      </c>
      <c r="Q79" s="531">
        <f t="shared" si="39"/>
        <v>169</v>
      </c>
      <c r="R79" s="537">
        <f t="shared" si="40"/>
        <v>0.0496037569709422</v>
      </c>
    </row>
    <row r="80" hidden="1" spans="1:18">
      <c r="A80" s="524">
        <v>45457</v>
      </c>
      <c r="B80" s="24" t="s">
        <v>91</v>
      </c>
      <c r="C80" s="540">
        <v>199.41</v>
      </c>
      <c r="D80" s="540">
        <v>14860</v>
      </c>
      <c r="E80" s="540">
        <v>390</v>
      </c>
      <c r="F80" s="540">
        <v>0</v>
      </c>
      <c r="G80" s="540">
        <v>0</v>
      </c>
      <c r="H80" s="540">
        <v>1</v>
      </c>
      <c r="I80" s="540">
        <v>0</v>
      </c>
      <c r="J80" s="540">
        <v>5</v>
      </c>
      <c r="K80" s="527">
        <f t="shared" ref="K80:K84" si="45">IF(E80=0,0,E80/D80)</f>
        <v>0.0262449528936743</v>
      </c>
      <c r="L80" s="528">
        <f t="shared" si="35"/>
        <v>0.511307692307692</v>
      </c>
      <c r="M80" s="528">
        <f t="shared" ref="M80:M84" si="46">IF(D80=0,0,C80/D80*1000)</f>
        <v>13.4192462987887</v>
      </c>
      <c r="N80" s="528">
        <f t="shared" si="36"/>
        <v>0</v>
      </c>
      <c r="O80" s="528">
        <f t="shared" si="37"/>
        <v>0</v>
      </c>
      <c r="P80" s="529">
        <f t="shared" si="38"/>
        <v>199.41</v>
      </c>
      <c r="Q80" s="24">
        <f t="shared" si="39"/>
        <v>1</v>
      </c>
      <c r="R80" s="530">
        <f t="shared" si="40"/>
        <v>0.00256410256410256</v>
      </c>
    </row>
    <row r="81" hidden="1" spans="1:18">
      <c r="A81" s="524"/>
      <c r="B81" s="24" t="s">
        <v>92</v>
      </c>
      <c r="C81" s="540">
        <v>0</v>
      </c>
      <c r="D81" s="540">
        <v>0</v>
      </c>
      <c r="E81" s="540">
        <v>0</v>
      </c>
      <c r="F81" s="540">
        <v>0</v>
      </c>
      <c r="G81" s="540">
        <v>0</v>
      </c>
      <c r="H81" s="540">
        <v>0</v>
      </c>
      <c r="I81" s="540">
        <v>0</v>
      </c>
      <c r="J81" s="540">
        <v>0</v>
      </c>
      <c r="K81" s="527">
        <f t="shared" si="45"/>
        <v>0</v>
      </c>
      <c r="L81" s="528">
        <f t="shared" si="35"/>
        <v>0</v>
      </c>
      <c r="M81" s="528">
        <f t="shared" si="46"/>
        <v>0</v>
      </c>
      <c r="N81" s="528">
        <f t="shared" si="36"/>
        <v>0</v>
      </c>
      <c r="O81" s="528">
        <f t="shared" si="37"/>
        <v>0</v>
      </c>
      <c r="P81" s="529">
        <f t="shared" si="38"/>
        <v>0</v>
      </c>
      <c r="Q81" s="24">
        <f t="shared" si="39"/>
        <v>0</v>
      </c>
      <c r="R81" s="530">
        <f t="shared" si="40"/>
        <v>0</v>
      </c>
    </row>
    <row r="82" hidden="1" spans="1:18">
      <c r="A82" s="524"/>
      <c r="B82" s="24" t="s">
        <v>93</v>
      </c>
      <c r="C82" s="540">
        <v>2157.86</v>
      </c>
      <c r="D82" s="540">
        <v>114134</v>
      </c>
      <c r="E82" s="540">
        <v>982</v>
      </c>
      <c r="F82" s="540">
        <v>3</v>
      </c>
      <c r="G82" s="540">
        <v>53238</v>
      </c>
      <c r="H82" s="540">
        <v>32</v>
      </c>
      <c r="I82" s="540">
        <v>139</v>
      </c>
      <c r="J82" s="540">
        <v>7</v>
      </c>
      <c r="K82" s="527">
        <f t="shared" si="45"/>
        <v>0.0086039217060648</v>
      </c>
      <c r="L82" s="528">
        <f t="shared" si="35"/>
        <v>2.19741344195519</v>
      </c>
      <c r="M82" s="528">
        <f t="shared" si="46"/>
        <v>18.9063732104369</v>
      </c>
      <c r="N82" s="528">
        <f t="shared" si="36"/>
        <v>24.6716654463218</v>
      </c>
      <c r="O82" s="528">
        <f t="shared" si="37"/>
        <v>0.00305498981670061</v>
      </c>
      <c r="P82" s="529">
        <f t="shared" si="38"/>
        <v>12.6190643274854</v>
      </c>
      <c r="Q82" s="24">
        <f t="shared" si="39"/>
        <v>171</v>
      </c>
      <c r="R82" s="530">
        <f t="shared" si="40"/>
        <v>0.174134419551935</v>
      </c>
    </row>
    <row r="83" hidden="1" spans="1:18">
      <c r="A83" s="524"/>
      <c r="B83" s="24" t="s">
        <v>94</v>
      </c>
      <c r="C83" s="540">
        <v>0</v>
      </c>
      <c r="D83" s="540">
        <v>0</v>
      </c>
      <c r="E83" s="540">
        <v>0</v>
      </c>
      <c r="F83" s="540">
        <v>0</v>
      </c>
      <c r="G83" s="540">
        <v>0</v>
      </c>
      <c r="H83" s="540">
        <v>0</v>
      </c>
      <c r="I83" s="540">
        <v>0</v>
      </c>
      <c r="J83" s="540">
        <v>0</v>
      </c>
      <c r="K83" s="527">
        <f t="shared" si="45"/>
        <v>0</v>
      </c>
      <c r="L83" s="528">
        <f t="shared" si="35"/>
        <v>0</v>
      </c>
      <c r="M83" s="528">
        <f t="shared" si="46"/>
        <v>0</v>
      </c>
      <c r="N83" s="528">
        <f t="shared" si="36"/>
        <v>0</v>
      </c>
      <c r="O83" s="528">
        <f t="shared" si="37"/>
        <v>0</v>
      </c>
      <c r="P83" s="529">
        <f t="shared" si="38"/>
        <v>0</v>
      </c>
      <c r="Q83" s="24">
        <f t="shared" si="39"/>
        <v>0</v>
      </c>
      <c r="R83" s="530">
        <f t="shared" si="40"/>
        <v>0</v>
      </c>
    </row>
    <row r="84" hidden="1" spans="1:18">
      <c r="A84" s="524"/>
      <c r="B84" s="24" t="s">
        <v>95</v>
      </c>
      <c r="C84" s="540">
        <v>148.48</v>
      </c>
      <c r="D84" s="540">
        <v>488812</v>
      </c>
      <c r="E84" s="540">
        <v>1340</v>
      </c>
      <c r="F84" s="540">
        <v>0</v>
      </c>
      <c r="G84" s="540">
        <v>0</v>
      </c>
      <c r="H84" s="540">
        <v>0</v>
      </c>
      <c r="I84" s="540">
        <v>2</v>
      </c>
      <c r="J84" s="540">
        <v>0</v>
      </c>
      <c r="K84" s="527">
        <f t="shared" si="45"/>
        <v>0.00274134022896328</v>
      </c>
      <c r="L84" s="528">
        <f t="shared" si="35"/>
        <v>0.110805970149254</v>
      </c>
      <c r="M84" s="528">
        <f t="shared" si="46"/>
        <v>0.303756863579454</v>
      </c>
      <c r="N84" s="528">
        <f t="shared" si="36"/>
        <v>0</v>
      </c>
      <c r="O84" s="528">
        <f t="shared" si="37"/>
        <v>0</v>
      </c>
      <c r="P84" s="529">
        <f t="shared" si="38"/>
        <v>74.24</v>
      </c>
      <c r="Q84" s="24">
        <f t="shared" si="39"/>
        <v>2</v>
      </c>
      <c r="R84" s="530">
        <f t="shared" si="40"/>
        <v>0.00149253731343284</v>
      </c>
    </row>
    <row r="85" hidden="1" spans="1:18">
      <c r="A85" s="524"/>
      <c r="B85" s="531" t="s">
        <v>96</v>
      </c>
      <c r="C85" s="532">
        <f t="shared" ref="C85:J85" si="47">SUM(C80:C84)</f>
        <v>2505.75</v>
      </c>
      <c r="D85" s="533">
        <f t="shared" si="47"/>
        <v>617806</v>
      </c>
      <c r="E85" s="533">
        <f t="shared" si="47"/>
        <v>2712</v>
      </c>
      <c r="F85" s="533">
        <f t="shared" si="47"/>
        <v>3</v>
      </c>
      <c r="G85" s="533">
        <f t="shared" si="47"/>
        <v>53238</v>
      </c>
      <c r="H85" s="533">
        <f t="shared" si="47"/>
        <v>33</v>
      </c>
      <c r="I85" s="533">
        <f t="shared" si="47"/>
        <v>141</v>
      </c>
      <c r="J85" s="533">
        <f t="shared" si="47"/>
        <v>12</v>
      </c>
      <c r="K85" s="534">
        <f>E85/D85</f>
        <v>0.00438972751964209</v>
      </c>
      <c r="L85" s="535">
        <f t="shared" si="35"/>
        <v>0.923949115044248</v>
      </c>
      <c r="M85" s="535">
        <f>C85/D85*1000</f>
        <v>4.05588485705869</v>
      </c>
      <c r="N85" s="535">
        <f t="shared" si="36"/>
        <v>21.2463334331039</v>
      </c>
      <c r="O85" s="535">
        <f t="shared" si="37"/>
        <v>0.00110619469026549</v>
      </c>
      <c r="P85" s="536">
        <f t="shared" si="38"/>
        <v>14.4008620689655</v>
      </c>
      <c r="Q85" s="531">
        <f t="shared" si="39"/>
        <v>174</v>
      </c>
      <c r="R85" s="537">
        <f t="shared" si="40"/>
        <v>0.0641592920353982</v>
      </c>
    </row>
    <row r="86" hidden="1" spans="1:18">
      <c r="A86" s="524">
        <v>45458</v>
      </c>
      <c r="B86" s="24" t="s">
        <v>91</v>
      </c>
      <c r="C86" s="540">
        <v>199.05</v>
      </c>
      <c r="D86" s="540">
        <v>15196</v>
      </c>
      <c r="E86" s="540">
        <v>337</v>
      </c>
      <c r="F86" s="540">
        <v>0</v>
      </c>
      <c r="G86" s="540">
        <v>0</v>
      </c>
      <c r="H86" s="540">
        <v>6</v>
      </c>
      <c r="I86" s="540">
        <v>1</v>
      </c>
      <c r="J86" s="540">
        <v>4</v>
      </c>
      <c r="K86" s="527">
        <f>IF(E86=0,0,E86/D86)</f>
        <v>0.0221768886549092</v>
      </c>
      <c r="L86" s="528">
        <f t="shared" ref="L86:L149" si="48">IF(C86=0,0,C86/E86)</f>
        <v>0.590652818991098</v>
      </c>
      <c r="M86" s="528">
        <f>IF(D86=0,0,C86/D86*1000)</f>
        <v>13.0988418004738</v>
      </c>
      <c r="N86" s="528">
        <f t="shared" ref="N86:N149" si="49">IF(G86=0,0,G86/C86)</f>
        <v>0</v>
      </c>
      <c r="O86" s="528">
        <f t="shared" ref="O86:O149" si="50">IF(F86=0,0,F86/E86)</f>
        <v>0</v>
      </c>
      <c r="P86" s="529">
        <f t="shared" ref="P86:P149" si="51">IF(H86+I86=0,0,C86/(H86+I86))</f>
        <v>28.4357142857143</v>
      </c>
      <c r="Q86" s="24">
        <f t="shared" ref="Q86:Q149" si="52">H86+I86</f>
        <v>7</v>
      </c>
      <c r="R86" s="530">
        <f t="shared" ref="R86:R149" si="53">IF(Q86=0,0,Q86/E86)</f>
        <v>0.0207715133531157</v>
      </c>
    </row>
    <row r="87" hidden="1" spans="1:18">
      <c r="A87" s="524"/>
      <c r="B87" s="24" t="s">
        <v>92</v>
      </c>
      <c r="C87" s="540">
        <v>0</v>
      </c>
      <c r="D87" s="540">
        <v>0</v>
      </c>
      <c r="E87" s="540">
        <v>0</v>
      </c>
      <c r="F87" s="540">
        <v>0</v>
      </c>
      <c r="G87" s="540">
        <v>0</v>
      </c>
      <c r="H87" s="540">
        <v>0</v>
      </c>
      <c r="I87" s="540">
        <v>0</v>
      </c>
      <c r="J87" s="540">
        <v>0</v>
      </c>
      <c r="K87" s="527">
        <f>IF(E87=0,0,E87/D87)</f>
        <v>0</v>
      </c>
      <c r="L87" s="528">
        <f t="shared" si="48"/>
        <v>0</v>
      </c>
      <c r="M87" s="528">
        <f>IF(D87=0,0,C87/D87*1000)</f>
        <v>0</v>
      </c>
      <c r="N87" s="528">
        <f t="shared" si="49"/>
        <v>0</v>
      </c>
      <c r="O87" s="528">
        <f t="shared" si="50"/>
        <v>0</v>
      </c>
      <c r="P87" s="529">
        <f t="shared" si="51"/>
        <v>0</v>
      </c>
      <c r="Q87" s="24">
        <f t="shared" si="52"/>
        <v>0</v>
      </c>
      <c r="R87" s="530">
        <f t="shared" si="53"/>
        <v>0</v>
      </c>
    </row>
    <row r="88" hidden="1" spans="1:18">
      <c r="A88" s="524"/>
      <c r="B88" s="24" t="s">
        <v>93</v>
      </c>
      <c r="C88" s="540">
        <v>3486.44</v>
      </c>
      <c r="D88" s="540">
        <v>188319</v>
      </c>
      <c r="E88" s="540">
        <v>1645</v>
      </c>
      <c r="F88" s="540">
        <v>9</v>
      </c>
      <c r="G88" s="540">
        <v>66381</v>
      </c>
      <c r="H88" s="540">
        <v>44</v>
      </c>
      <c r="I88" s="540">
        <v>228</v>
      </c>
      <c r="J88" s="540">
        <v>5</v>
      </c>
      <c r="K88" s="527">
        <f>IF(E88=0,0,E88/D88)</f>
        <v>0.00873517807549955</v>
      </c>
      <c r="L88" s="528">
        <f t="shared" si="48"/>
        <v>2.11941641337386</v>
      </c>
      <c r="M88" s="528">
        <f>IF(D88=0,0,C88/D88*1000)</f>
        <v>18.5134797869572</v>
      </c>
      <c r="N88" s="528">
        <f t="shared" si="49"/>
        <v>19.0397654914469</v>
      </c>
      <c r="O88" s="528">
        <f t="shared" si="50"/>
        <v>0.00547112462006079</v>
      </c>
      <c r="P88" s="529">
        <f t="shared" si="51"/>
        <v>12.8177941176471</v>
      </c>
      <c r="Q88" s="24">
        <f t="shared" si="52"/>
        <v>272</v>
      </c>
      <c r="R88" s="530">
        <f t="shared" si="53"/>
        <v>0.165349544072948</v>
      </c>
    </row>
    <row r="89" hidden="1" spans="1:18">
      <c r="A89" s="524"/>
      <c r="B89" s="24" t="s">
        <v>94</v>
      </c>
      <c r="C89" s="540">
        <v>0</v>
      </c>
      <c r="D89" s="540">
        <v>0</v>
      </c>
      <c r="E89" s="540">
        <v>0</v>
      </c>
      <c r="F89" s="540">
        <v>0</v>
      </c>
      <c r="G89" s="540">
        <v>0</v>
      </c>
      <c r="H89" s="540">
        <v>0</v>
      </c>
      <c r="I89" s="540">
        <v>0</v>
      </c>
      <c r="J89" s="540">
        <v>0</v>
      </c>
      <c r="K89" s="527">
        <f>IF(E89=0,0,E89/D89)</f>
        <v>0</v>
      </c>
      <c r="L89" s="528">
        <f t="shared" si="48"/>
        <v>0</v>
      </c>
      <c r="M89" s="528">
        <f>IF(D89=0,0,C89/D89*1000)</f>
        <v>0</v>
      </c>
      <c r="N89" s="528">
        <f t="shared" si="49"/>
        <v>0</v>
      </c>
      <c r="O89" s="528">
        <f t="shared" si="50"/>
        <v>0</v>
      </c>
      <c r="P89" s="529">
        <f t="shared" si="51"/>
        <v>0</v>
      </c>
      <c r="Q89" s="24">
        <f t="shared" si="52"/>
        <v>0</v>
      </c>
      <c r="R89" s="530">
        <f t="shared" si="53"/>
        <v>0</v>
      </c>
    </row>
    <row r="90" hidden="1" spans="1:18">
      <c r="A90" s="524"/>
      <c r="B90" s="24" t="s">
        <v>95</v>
      </c>
      <c r="C90" s="540">
        <v>147.32</v>
      </c>
      <c r="D90" s="540">
        <v>457065</v>
      </c>
      <c r="E90" s="540">
        <v>1375</v>
      </c>
      <c r="F90" s="540">
        <v>0</v>
      </c>
      <c r="G90" s="540">
        <v>0</v>
      </c>
      <c r="H90" s="540">
        <v>1</v>
      </c>
      <c r="I90" s="540">
        <v>1</v>
      </c>
      <c r="J90" s="540">
        <v>0</v>
      </c>
      <c r="K90" s="527">
        <f>IF(E90=0,0,E90/D90)</f>
        <v>0.00300832485532692</v>
      </c>
      <c r="L90" s="528">
        <f t="shared" si="48"/>
        <v>0.107141818181818</v>
      </c>
      <c r="M90" s="528">
        <f>IF(D90=0,0,C90/D90*1000)</f>
        <v>0.322317394681282</v>
      </c>
      <c r="N90" s="528">
        <f t="shared" si="49"/>
        <v>0</v>
      </c>
      <c r="O90" s="528">
        <f t="shared" si="50"/>
        <v>0</v>
      </c>
      <c r="P90" s="529">
        <f t="shared" si="51"/>
        <v>73.66</v>
      </c>
      <c r="Q90" s="24">
        <f t="shared" si="52"/>
        <v>2</v>
      </c>
      <c r="R90" s="530">
        <f t="shared" si="53"/>
        <v>0.00145454545454545</v>
      </c>
    </row>
    <row r="91" hidden="1" spans="1:18">
      <c r="A91" s="524"/>
      <c r="B91" s="531" t="s">
        <v>96</v>
      </c>
      <c r="C91" s="532">
        <f t="shared" ref="C91:J91" si="54">SUM(C86:C90)</f>
        <v>3832.81</v>
      </c>
      <c r="D91" s="533">
        <f t="shared" si="54"/>
        <v>660580</v>
      </c>
      <c r="E91" s="533">
        <f t="shared" si="54"/>
        <v>3357</v>
      </c>
      <c r="F91" s="533">
        <f t="shared" si="54"/>
        <v>9</v>
      </c>
      <c r="G91" s="533">
        <f t="shared" si="54"/>
        <v>66381</v>
      </c>
      <c r="H91" s="533">
        <f t="shared" si="54"/>
        <v>51</v>
      </c>
      <c r="I91" s="533">
        <f t="shared" si="54"/>
        <v>230</v>
      </c>
      <c r="J91" s="533">
        <f t="shared" si="54"/>
        <v>9</v>
      </c>
      <c r="K91" s="534">
        <f>E91/D91</f>
        <v>0.00508189772624058</v>
      </c>
      <c r="L91" s="535">
        <f t="shared" si="48"/>
        <v>1.14173666964552</v>
      </c>
      <c r="M91" s="535">
        <f>C91/D91*1000</f>
        <v>5.80218898543704</v>
      </c>
      <c r="N91" s="535">
        <f t="shared" si="49"/>
        <v>17.319147048771</v>
      </c>
      <c r="O91" s="535">
        <f t="shared" si="50"/>
        <v>0.00268096514745308</v>
      </c>
      <c r="P91" s="536">
        <f t="shared" si="51"/>
        <v>13.6398932384342</v>
      </c>
      <c r="Q91" s="531">
        <f t="shared" si="52"/>
        <v>281</v>
      </c>
      <c r="R91" s="537">
        <f t="shared" si="53"/>
        <v>0.0837056896038129</v>
      </c>
    </row>
    <row r="92" hidden="1" spans="1:18">
      <c r="A92" s="524">
        <v>45459</v>
      </c>
      <c r="B92" s="24" t="s">
        <v>91</v>
      </c>
      <c r="C92" s="540">
        <v>200</v>
      </c>
      <c r="D92" s="540">
        <v>12378</v>
      </c>
      <c r="E92" s="540">
        <v>283</v>
      </c>
      <c r="F92" s="540">
        <v>0</v>
      </c>
      <c r="G92" s="540">
        <v>0</v>
      </c>
      <c r="H92" s="540">
        <v>0</v>
      </c>
      <c r="I92" s="540">
        <v>4</v>
      </c>
      <c r="J92" s="540">
        <v>6</v>
      </c>
      <c r="K92" s="527">
        <f>IF(E92=0,0,E92/D92)</f>
        <v>0.0228631442882534</v>
      </c>
      <c r="L92" s="528">
        <f t="shared" si="48"/>
        <v>0.706713780918728</v>
      </c>
      <c r="M92" s="528">
        <f>IF(D92=0,0,C92/D92*1000)</f>
        <v>16.1576991436419</v>
      </c>
      <c r="N92" s="528">
        <f t="shared" si="49"/>
        <v>0</v>
      </c>
      <c r="O92" s="528">
        <f t="shared" si="50"/>
        <v>0</v>
      </c>
      <c r="P92" s="529">
        <f t="shared" si="51"/>
        <v>50</v>
      </c>
      <c r="Q92" s="24">
        <f t="shared" si="52"/>
        <v>4</v>
      </c>
      <c r="R92" s="530">
        <f t="shared" si="53"/>
        <v>0.0141342756183746</v>
      </c>
    </row>
    <row r="93" hidden="1" spans="1:18">
      <c r="A93" s="524"/>
      <c r="B93" s="24" t="s">
        <v>92</v>
      </c>
      <c r="C93" s="540">
        <v>0</v>
      </c>
      <c r="D93" s="540">
        <v>0</v>
      </c>
      <c r="E93" s="540">
        <v>0</v>
      </c>
      <c r="F93" s="540">
        <v>0</v>
      </c>
      <c r="G93" s="540">
        <v>0</v>
      </c>
      <c r="H93" s="540">
        <v>0</v>
      </c>
      <c r="I93" s="540">
        <v>0</v>
      </c>
      <c r="J93" s="540">
        <v>0</v>
      </c>
      <c r="K93" s="527">
        <f t="shared" ref="K93:K102" si="55">IF(E93=0,0,E93/D93)</f>
        <v>0</v>
      </c>
      <c r="L93" s="528">
        <f t="shared" si="48"/>
        <v>0</v>
      </c>
      <c r="M93" s="528">
        <f t="shared" ref="M93:M102" si="56">IF(D93=0,0,C93/D93*1000)</f>
        <v>0</v>
      </c>
      <c r="N93" s="528">
        <f t="shared" si="49"/>
        <v>0</v>
      </c>
      <c r="O93" s="528">
        <f t="shared" si="50"/>
        <v>0</v>
      </c>
      <c r="P93" s="529">
        <f t="shared" si="51"/>
        <v>0</v>
      </c>
      <c r="Q93" s="24">
        <f t="shared" si="52"/>
        <v>0</v>
      </c>
      <c r="R93" s="530">
        <f t="shared" si="53"/>
        <v>0</v>
      </c>
    </row>
    <row r="94" hidden="1" spans="1:18">
      <c r="A94" s="524"/>
      <c r="B94" s="24" t="s">
        <v>93</v>
      </c>
      <c r="C94" s="540">
        <v>3451.11</v>
      </c>
      <c r="D94" s="540">
        <v>237257</v>
      </c>
      <c r="E94" s="540">
        <v>1784</v>
      </c>
      <c r="F94" s="540">
        <v>4</v>
      </c>
      <c r="G94" s="540">
        <v>48977</v>
      </c>
      <c r="H94" s="540">
        <v>47</v>
      </c>
      <c r="I94" s="540">
        <v>263</v>
      </c>
      <c r="J94" s="540">
        <v>9</v>
      </c>
      <c r="K94" s="527">
        <f t="shared" si="55"/>
        <v>0.00751927235023624</v>
      </c>
      <c r="L94" s="528">
        <f t="shared" si="48"/>
        <v>1.93447869955157</v>
      </c>
      <c r="M94" s="528">
        <f t="shared" si="56"/>
        <v>14.5458721976591</v>
      </c>
      <c r="N94" s="528">
        <f t="shared" si="49"/>
        <v>14.1916658698216</v>
      </c>
      <c r="O94" s="528">
        <f t="shared" si="50"/>
        <v>0.00224215246636771</v>
      </c>
      <c r="P94" s="529">
        <f t="shared" si="51"/>
        <v>11.1326129032258</v>
      </c>
      <c r="Q94" s="24">
        <f t="shared" si="52"/>
        <v>310</v>
      </c>
      <c r="R94" s="530">
        <f t="shared" si="53"/>
        <v>0.173766816143498</v>
      </c>
    </row>
    <row r="95" hidden="1" spans="1:18">
      <c r="A95" s="524"/>
      <c r="B95" s="24" t="s">
        <v>94</v>
      </c>
      <c r="C95" s="540">
        <v>0</v>
      </c>
      <c r="D95" s="540">
        <v>0</v>
      </c>
      <c r="E95" s="540">
        <v>0</v>
      </c>
      <c r="F95" s="540">
        <v>0</v>
      </c>
      <c r="G95" s="540">
        <v>0</v>
      </c>
      <c r="H95" s="540">
        <v>0</v>
      </c>
      <c r="I95" s="540">
        <v>0</v>
      </c>
      <c r="J95" s="540">
        <v>0</v>
      </c>
      <c r="K95" s="527">
        <f t="shared" si="55"/>
        <v>0</v>
      </c>
      <c r="L95" s="528">
        <f t="shared" si="48"/>
        <v>0</v>
      </c>
      <c r="M95" s="528">
        <f t="shared" si="56"/>
        <v>0</v>
      </c>
      <c r="N95" s="528">
        <f t="shared" si="49"/>
        <v>0</v>
      </c>
      <c r="O95" s="528">
        <f t="shared" si="50"/>
        <v>0</v>
      </c>
      <c r="P95" s="529">
        <f t="shared" si="51"/>
        <v>0</v>
      </c>
      <c r="Q95" s="24">
        <f t="shared" si="52"/>
        <v>0</v>
      </c>
      <c r="R95" s="530">
        <f t="shared" si="53"/>
        <v>0</v>
      </c>
    </row>
    <row r="96" hidden="1" spans="1:18">
      <c r="A96" s="524"/>
      <c r="B96" s="24" t="s">
        <v>95</v>
      </c>
      <c r="C96" s="540">
        <v>147.88</v>
      </c>
      <c r="D96" s="540">
        <v>424047</v>
      </c>
      <c r="E96" s="540">
        <v>1187</v>
      </c>
      <c r="F96" s="540">
        <v>0</v>
      </c>
      <c r="G96" s="540">
        <v>0</v>
      </c>
      <c r="H96" s="540">
        <v>0</v>
      </c>
      <c r="I96" s="540">
        <v>1</v>
      </c>
      <c r="J96" s="540">
        <v>0</v>
      </c>
      <c r="K96" s="527">
        <f t="shared" si="55"/>
        <v>0.00279921801121102</v>
      </c>
      <c r="L96" s="528">
        <f t="shared" si="48"/>
        <v>0.12458298230834</v>
      </c>
      <c r="M96" s="528">
        <f t="shared" si="56"/>
        <v>0.34873492796789</v>
      </c>
      <c r="N96" s="528">
        <f t="shared" si="49"/>
        <v>0</v>
      </c>
      <c r="O96" s="528">
        <f t="shared" si="50"/>
        <v>0</v>
      </c>
      <c r="P96" s="529">
        <f t="shared" si="51"/>
        <v>147.88</v>
      </c>
      <c r="Q96" s="24">
        <f t="shared" si="52"/>
        <v>1</v>
      </c>
      <c r="R96" s="530">
        <f t="shared" si="53"/>
        <v>0.0008424599831508</v>
      </c>
    </row>
    <row r="97" hidden="1" spans="1:18">
      <c r="A97" s="524"/>
      <c r="B97" s="531" t="s">
        <v>96</v>
      </c>
      <c r="C97" s="532">
        <f t="shared" ref="C97:J97" si="57">SUM(C92:C96)</f>
        <v>3798.99</v>
      </c>
      <c r="D97" s="533">
        <f t="shared" si="57"/>
        <v>673682</v>
      </c>
      <c r="E97" s="533">
        <f t="shared" si="57"/>
        <v>3254</v>
      </c>
      <c r="F97" s="533">
        <f t="shared" si="57"/>
        <v>4</v>
      </c>
      <c r="G97" s="533">
        <f t="shared" si="57"/>
        <v>48977</v>
      </c>
      <c r="H97" s="533">
        <f t="shared" si="57"/>
        <v>47</v>
      </c>
      <c r="I97" s="533">
        <f t="shared" si="57"/>
        <v>268</v>
      </c>
      <c r="J97" s="533">
        <f t="shared" si="57"/>
        <v>15</v>
      </c>
      <c r="K97" s="534">
        <f>E97/D97</f>
        <v>0.0048301720990022</v>
      </c>
      <c r="L97" s="535">
        <f t="shared" si="48"/>
        <v>1.16748309772588</v>
      </c>
      <c r="M97" s="535">
        <f>C97/D97*1000</f>
        <v>5.63914428469218</v>
      </c>
      <c r="N97" s="535">
        <f t="shared" si="49"/>
        <v>12.89211079787</v>
      </c>
      <c r="O97" s="535">
        <f t="shared" si="50"/>
        <v>0.00122925629993854</v>
      </c>
      <c r="P97" s="536">
        <f t="shared" si="51"/>
        <v>12.0602857142857</v>
      </c>
      <c r="Q97" s="531">
        <f t="shared" si="52"/>
        <v>315</v>
      </c>
      <c r="R97" s="537">
        <f t="shared" si="53"/>
        <v>0.0968039336201598</v>
      </c>
    </row>
    <row r="98" hidden="1" spans="1:18">
      <c r="A98" s="524">
        <v>45460</v>
      </c>
      <c r="B98" s="24" t="s">
        <v>91</v>
      </c>
      <c r="C98" s="538">
        <v>198.92</v>
      </c>
      <c r="D98" s="539">
        <v>10376</v>
      </c>
      <c r="E98" s="539">
        <v>268</v>
      </c>
      <c r="F98" s="539">
        <v>0</v>
      </c>
      <c r="G98" s="539">
        <v>0</v>
      </c>
      <c r="H98" s="539">
        <v>1</v>
      </c>
      <c r="I98" s="539">
        <v>6</v>
      </c>
      <c r="J98" s="539">
        <v>7</v>
      </c>
      <c r="K98" s="527">
        <f t="shared" si="55"/>
        <v>0.0258288357748651</v>
      </c>
      <c r="L98" s="528">
        <f t="shared" si="48"/>
        <v>0.742238805970149</v>
      </c>
      <c r="M98" s="528">
        <f t="shared" si="56"/>
        <v>19.1711642251349</v>
      </c>
      <c r="N98" s="528">
        <f t="shared" si="49"/>
        <v>0</v>
      </c>
      <c r="O98" s="528">
        <f t="shared" si="50"/>
        <v>0</v>
      </c>
      <c r="P98" s="529">
        <f t="shared" si="51"/>
        <v>28.4171428571429</v>
      </c>
      <c r="Q98" s="24">
        <f t="shared" si="52"/>
        <v>7</v>
      </c>
      <c r="R98" s="530">
        <f t="shared" si="53"/>
        <v>0.0261194029850746</v>
      </c>
    </row>
    <row r="99" hidden="1" spans="1:18">
      <c r="A99" s="524"/>
      <c r="B99" s="24" t="s">
        <v>92</v>
      </c>
      <c r="C99" s="538">
        <v>1000</v>
      </c>
      <c r="D99" s="539">
        <v>15074</v>
      </c>
      <c r="E99" s="539">
        <v>1603</v>
      </c>
      <c r="F99" s="539">
        <v>0</v>
      </c>
      <c r="G99" s="539">
        <v>0</v>
      </c>
      <c r="H99" s="539">
        <v>0</v>
      </c>
      <c r="I99" s="539">
        <v>5</v>
      </c>
      <c r="J99" s="539">
        <v>0</v>
      </c>
      <c r="K99" s="527">
        <f t="shared" si="55"/>
        <v>0.106342045906859</v>
      </c>
      <c r="L99" s="528">
        <f t="shared" si="48"/>
        <v>0.623830318153462</v>
      </c>
      <c r="M99" s="528">
        <f t="shared" si="56"/>
        <v>66.3393923311662</v>
      </c>
      <c r="N99" s="528">
        <f t="shared" si="49"/>
        <v>0</v>
      </c>
      <c r="O99" s="528">
        <f t="shared" si="50"/>
        <v>0</v>
      </c>
      <c r="P99" s="529">
        <f t="shared" si="51"/>
        <v>200</v>
      </c>
      <c r="Q99" s="24">
        <f t="shared" si="52"/>
        <v>5</v>
      </c>
      <c r="R99" s="530">
        <f t="shared" si="53"/>
        <v>0.00311915159076731</v>
      </c>
    </row>
    <row r="100" hidden="1" spans="1:18">
      <c r="A100" s="524"/>
      <c r="B100" s="24" t="s">
        <v>93</v>
      </c>
      <c r="C100" s="538">
        <v>4606.68</v>
      </c>
      <c r="D100" s="539">
        <v>339101</v>
      </c>
      <c r="E100" s="539">
        <v>2221</v>
      </c>
      <c r="F100" s="539">
        <v>0</v>
      </c>
      <c r="G100" s="539">
        <v>0</v>
      </c>
      <c r="H100" s="539">
        <v>53</v>
      </c>
      <c r="I100" s="539">
        <v>244</v>
      </c>
      <c r="J100" s="539">
        <v>4</v>
      </c>
      <c r="K100" s="527">
        <f t="shared" si="55"/>
        <v>0.00654967104196095</v>
      </c>
      <c r="L100" s="528">
        <f t="shared" si="48"/>
        <v>2.0741467807294</v>
      </c>
      <c r="M100" s="528">
        <f t="shared" si="56"/>
        <v>13.5849791065199</v>
      </c>
      <c r="N100" s="528">
        <f t="shared" si="49"/>
        <v>0</v>
      </c>
      <c r="O100" s="528">
        <f t="shared" si="50"/>
        <v>0</v>
      </c>
      <c r="P100" s="529">
        <f t="shared" si="51"/>
        <v>15.5107070707071</v>
      </c>
      <c r="Q100" s="24">
        <f t="shared" si="52"/>
        <v>297</v>
      </c>
      <c r="R100" s="530">
        <f t="shared" si="53"/>
        <v>0.133723547951373</v>
      </c>
    </row>
    <row r="101" hidden="1" spans="1:18">
      <c r="A101" s="524"/>
      <c r="B101" s="24" t="s">
        <v>94</v>
      </c>
      <c r="C101" s="538">
        <v>0</v>
      </c>
      <c r="D101" s="539">
        <v>0</v>
      </c>
      <c r="E101" s="539">
        <v>0</v>
      </c>
      <c r="F101" s="539">
        <v>0</v>
      </c>
      <c r="G101" s="539">
        <v>0</v>
      </c>
      <c r="H101" s="539">
        <v>0</v>
      </c>
      <c r="I101" s="539">
        <v>0</v>
      </c>
      <c r="J101" s="539">
        <v>0</v>
      </c>
      <c r="K101" s="527">
        <f t="shared" si="55"/>
        <v>0</v>
      </c>
      <c r="L101" s="528">
        <f t="shared" si="48"/>
        <v>0</v>
      </c>
      <c r="M101" s="528">
        <f t="shared" si="56"/>
        <v>0</v>
      </c>
      <c r="N101" s="528">
        <f t="shared" si="49"/>
        <v>0</v>
      </c>
      <c r="O101" s="528">
        <f t="shared" si="50"/>
        <v>0</v>
      </c>
      <c r="P101" s="529">
        <f t="shared" si="51"/>
        <v>0</v>
      </c>
      <c r="Q101" s="24">
        <f t="shared" si="52"/>
        <v>0</v>
      </c>
      <c r="R101" s="530">
        <f t="shared" si="53"/>
        <v>0</v>
      </c>
    </row>
    <row r="102" hidden="1" spans="1:18">
      <c r="A102" s="524"/>
      <c r="B102" s="24" t="s">
        <v>95</v>
      </c>
      <c r="C102" s="538">
        <v>147.79</v>
      </c>
      <c r="D102" s="539">
        <v>556497</v>
      </c>
      <c r="E102" s="539">
        <v>1517</v>
      </c>
      <c r="F102" s="539">
        <v>0</v>
      </c>
      <c r="G102" s="539">
        <v>0</v>
      </c>
      <c r="H102" s="539">
        <v>1</v>
      </c>
      <c r="I102" s="539">
        <v>5</v>
      </c>
      <c r="J102" s="539">
        <v>0</v>
      </c>
      <c r="K102" s="527">
        <f t="shared" si="55"/>
        <v>0.00272598055335429</v>
      </c>
      <c r="L102" s="528">
        <f t="shared" si="48"/>
        <v>0.0974225444957152</v>
      </c>
      <c r="M102" s="528">
        <f t="shared" si="56"/>
        <v>0.265571961753612</v>
      </c>
      <c r="N102" s="528">
        <f t="shared" si="49"/>
        <v>0</v>
      </c>
      <c r="O102" s="528">
        <f t="shared" si="50"/>
        <v>0</v>
      </c>
      <c r="P102" s="529">
        <f t="shared" si="51"/>
        <v>24.6316666666667</v>
      </c>
      <c r="Q102" s="24">
        <f t="shared" si="52"/>
        <v>6</v>
      </c>
      <c r="R102" s="530">
        <f t="shared" si="53"/>
        <v>0.003955174686882</v>
      </c>
    </row>
    <row r="103" hidden="1" spans="1:18">
      <c r="A103" s="524"/>
      <c r="B103" s="531" t="s">
        <v>96</v>
      </c>
      <c r="C103" s="532">
        <f t="shared" ref="C103:J103" si="58">SUM(C98:C102)</f>
        <v>5953.39</v>
      </c>
      <c r="D103" s="533">
        <f t="shared" si="58"/>
        <v>921048</v>
      </c>
      <c r="E103" s="533">
        <f t="shared" si="58"/>
        <v>5609</v>
      </c>
      <c r="F103" s="533">
        <f t="shared" si="58"/>
        <v>0</v>
      </c>
      <c r="G103" s="533">
        <f t="shared" si="58"/>
        <v>0</v>
      </c>
      <c r="H103" s="533">
        <f t="shared" si="58"/>
        <v>55</v>
      </c>
      <c r="I103" s="533">
        <f t="shared" si="58"/>
        <v>260</v>
      </c>
      <c r="J103" s="533">
        <f t="shared" si="58"/>
        <v>11</v>
      </c>
      <c r="K103" s="534">
        <f>E103/D103</f>
        <v>0.00608980205157603</v>
      </c>
      <c r="L103" s="535">
        <f t="shared" si="48"/>
        <v>1.06139953645926</v>
      </c>
      <c r="M103" s="535">
        <f>C103/D103*1000</f>
        <v>6.46371307467146</v>
      </c>
      <c r="N103" s="535">
        <f t="shared" si="49"/>
        <v>0</v>
      </c>
      <c r="O103" s="535">
        <f t="shared" si="50"/>
        <v>0</v>
      </c>
      <c r="P103" s="536">
        <f t="shared" si="51"/>
        <v>18.8996507936508</v>
      </c>
      <c r="Q103" s="531">
        <f t="shared" si="52"/>
        <v>315</v>
      </c>
      <c r="R103" s="537">
        <f t="shared" si="53"/>
        <v>0.0561597432697451</v>
      </c>
    </row>
    <row r="104" hidden="1" spans="1:18">
      <c r="A104" s="524">
        <v>45461</v>
      </c>
      <c r="B104" s="24" t="s">
        <v>91</v>
      </c>
      <c r="C104" s="538">
        <v>139.29</v>
      </c>
      <c r="D104" s="539">
        <v>7545</v>
      </c>
      <c r="E104" s="539">
        <v>216</v>
      </c>
      <c r="F104" s="539">
        <v>0</v>
      </c>
      <c r="G104" s="539">
        <v>0</v>
      </c>
      <c r="H104" s="539">
        <v>2</v>
      </c>
      <c r="I104" s="539">
        <v>3</v>
      </c>
      <c r="J104" s="539">
        <v>6</v>
      </c>
      <c r="K104" s="527">
        <f t="shared" ref="K104:K108" si="59">IF(E104=0,0,E104/D104)</f>
        <v>0.0286282306163022</v>
      </c>
      <c r="L104" s="528">
        <f t="shared" si="48"/>
        <v>0.644861111111111</v>
      </c>
      <c r="M104" s="528">
        <f t="shared" ref="M104:M108" si="60">IF(D104=0,0,C104/D104*1000)</f>
        <v>18.4612326043738</v>
      </c>
      <c r="N104" s="528">
        <f t="shared" si="49"/>
        <v>0</v>
      </c>
      <c r="O104" s="528">
        <f t="shared" si="50"/>
        <v>0</v>
      </c>
      <c r="P104" s="529">
        <f t="shared" si="51"/>
        <v>27.858</v>
      </c>
      <c r="Q104" s="24">
        <f t="shared" si="52"/>
        <v>5</v>
      </c>
      <c r="R104" s="530">
        <f t="shared" si="53"/>
        <v>0.0231481481481481</v>
      </c>
    </row>
    <row r="105" hidden="1" spans="1:18">
      <c r="A105" s="524"/>
      <c r="B105" s="24" t="s">
        <v>92</v>
      </c>
      <c r="C105" s="538">
        <v>1967.5</v>
      </c>
      <c r="D105" s="539">
        <v>18962</v>
      </c>
      <c r="E105" s="539">
        <v>4125</v>
      </c>
      <c r="F105" s="539">
        <v>4</v>
      </c>
      <c r="G105" s="539">
        <v>45789</v>
      </c>
      <c r="H105" s="539">
        <v>18</v>
      </c>
      <c r="I105" s="539">
        <v>12</v>
      </c>
      <c r="J105" s="539">
        <v>0</v>
      </c>
      <c r="K105" s="527">
        <f t="shared" si="59"/>
        <v>0.217540343845586</v>
      </c>
      <c r="L105" s="528">
        <f t="shared" si="48"/>
        <v>0.476969696969697</v>
      </c>
      <c r="M105" s="528">
        <f t="shared" si="60"/>
        <v>103.760151882713</v>
      </c>
      <c r="N105" s="528">
        <f t="shared" si="49"/>
        <v>23.2726810673443</v>
      </c>
      <c r="O105" s="528">
        <f t="shared" si="50"/>
        <v>0.00096969696969697</v>
      </c>
      <c r="P105" s="529">
        <f t="shared" si="51"/>
        <v>65.5833333333333</v>
      </c>
      <c r="Q105" s="24">
        <f t="shared" si="52"/>
        <v>30</v>
      </c>
      <c r="R105" s="530">
        <f t="shared" si="53"/>
        <v>0.00727272727272727</v>
      </c>
    </row>
    <row r="106" hidden="1" spans="1:18">
      <c r="A106" s="524"/>
      <c r="B106" s="24" t="s">
        <v>93</v>
      </c>
      <c r="C106" s="538">
        <v>4833.4</v>
      </c>
      <c r="D106" s="539">
        <v>348337</v>
      </c>
      <c r="E106" s="539">
        <v>2677</v>
      </c>
      <c r="F106" s="539">
        <v>3</v>
      </c>
      <c r="G106" s="539">
        <v>28593</v>
      </c>
      <c r="H106" s="539">
        <v>58</v>
      </c>
      <c r="I106" s="539">
        <v>285</v>
      </c>
      <c r="J106" s="539">
        <v>8</v>
      </c>
      <c r="K106" s="527">
        <f t="shared" si="59"/>
        <v>0.00768508656846674</v>
      </c>
      <c r="L106" s="528">
        <f t="shared" si="48"/>
        <v>1.80552857676504</v>
      </c>
      <c r="M106" s="528">
        <f t="shared" si="60"/>
        <v>13.8756434142798</v>
      </c>
      <c r="N106" s="528">
        <f t="shared" si="49"/>
        <v>5.91571150742748</v>
      </c>
      <c r="O106" s="528">
        <f t="shared" si="50"/>
        <v>0.00112065745237206</v>
      </c>
      <c r="P106" s="529">
        <f t="shared" si="51"/>
        <v>14.0915451895044</v>
      </c>
      <c r="Q106" s="24">
        <f t="shared" si="52"/>
        <v>343</v>
      </c>
      <c r="R106" s="530">
        <f t="shared" si="53"/>
        <v>0.128128502054539</v>
      </c>
    </row>
    <row r="107" hidden="1" spans="1:18">
      <c r="A107" s="524"/>
      <c r="B107" s="24" t="s">
        <v>94</v>
      </c>
      <c r="C107" s="538">
        <v>0</v>
      </c>
      <c r="D107" s="539">
        <v>0</v>
      </c>
      <c r="E107" s="539">
        <v>0</v>
      </c>
      <c r="F107" s="539">
        <v>0</v>
      </c>
      <c r="G107" s="539">
        <v>0</v>
      </c>
      <c r="H107" s="539">
        <v>0</v>
      </c>
      <c r="I107" s="539">
        <v>0</v>
      </c>
      <c r="J107" s="539">
        <v>0</v>
      </c>
      <c r="K107" s="527">
        <f t="shared" si="59"/>
        <v>0</v>
      </c>
      <c r="L107" s="528">
        <f t="shared" si="48"/>
        <v>0</v>
      </c>
      <c r="M107" s="528">
        <f t="shared" si="60"/>
        <v>0</v>
      </c>
      <c r="N107" s="528">
        <f t="shared" si="49"/>
        <v>0</v>
      </c>
      <c r="O107" s="528">
        <f t="shared" si="50"/>
        <v>0</v>
      </c>
      <c r="P107" s="529">
        <f t="shared" si="51"/>
        <v>0</v>
      </c>
      <c r="Q107" s="24">
        <f t="shared" si="52"/>
        <v>0</v>
      </c>
      <c r="R107" s="530">
        <f t="shared" si="53"/>
        <v>0</v>
      </c>
    </row>
    <row r="108" hidden="1" spans="1:18">
      <c r="A108" s="524"/>
      <c r="B108" s="24" t="s">
        <v>95</v>
      </c>
      <c r="C108" s="538">
        <v>100.86</v>
      </c>
      <c r="D108" s="539">
        <v>463517</v>
      </c>
      <c r="E108" s="539">
        <v>1026</v>
      </c>
      <c r="F108" s="539">
        <v>0</v>
      </c>
      <c r="G108" s="539">
        <v>0</v>
      </c>
      <c r="H108" s="539">
        <v>0</v>
      </c>
      <c r="I108" s="539">
        <v>1</v>
      </c>
      <c r="J108" s="539">
        <v>0</v>
      </c>
      <c r="K108" s="527">
        <f t="shared" si="59"/>
        <v>0.00221351104705976</v>
      </c>
      <c r="L108" s="528">
        <f t="shared" si="48"/>
        <v>0.0983040935672515</v>
      </c>
      <c r="M108" s="528">
        <f t="shared" si="60"/>
        <v>0.217597197082308</v>
      </c>
      <c r="N108" s="528">
        <f t="shared" si="49"/>
        <v>0</v>
      </c>
      <c r="O108" s="528">
        <f t="shared" si="50"/>
        <v>0</v>
      </c>
      <c r="P108" s="529">
        <f t="shared" si="51"/>
        <v>100.86</v>
      </c>
      <c r="Q108" s="24">
        <f t="shared" si="52"/>
        <v>1</v>
      </c>
      <c r="R108" s="530">
        <f t="shared" si="53"/>
        <v>0.000974658869395711</v>
      </c>
    </row>
    <row r="109" hidden="1" spans="1:18">
      <c r="A109" s="524"/>
      <c r="B109" s="531" t="s">
        <v>96</v>
      </c>
      <c r="C109" s="532">
        <f t="shared" ref="C109:J109" si="61">SUM(C104:C108)</f>
        <v>7041.05</v>
      </c>
      <c r="D109" s="533">
        <f t="shared" si="61"/>
        <v>838361</v>
      </c>
      <c r="E109" s="533">
        <f t="shared" si="61"/>
        <v>8044</v>
      </c>
      <c r="F109" s="533">
        <f t="shared" si="61"/>
        <v>7</v>
      </c>
      <c r="G109" s="533">
        <f t="shared" si="61"/>
        <v>74382</v>
      </c>
      <c r="H109" s="533">
        <f t="shared" si="61"/>
        <v>78</v>
      </c>
      <c r="I109" s="533">
        <f t="shared" si="61"/>
        <v>301</v>
      </c>
      <c r="J109" s="533">
        <f t="shared" si="61"/>
        <v>14</v>
      </c>
      <c r="K109" s="534">
        <f>E109/D109</f>
        <v>0.00959491197706</v>
      </c>
      <c r="L109" s="535">
        <f t="shared" si="48"/>
        <v>0.875317006464445</v>
      </c>
      <c r="M109" s="535">
        <f>C109/D109*1000</f>
        <v>8.39858962905002</v>
      </c>
      <c r="N109" s="535">
        <f t="shared" si="49"/>
        <v>10.5640493960418</v>
      </c>
      <c r="O109" s="535">
        <f t="shared" si="50"/>
        <v>0.000870213823968175</v>
      </c>
      <c r="P109" s="536">
        <f t="shared" si="51"/>
        <v>18.5779683377309</v>
      </c>
      <c r="Q109" s="531">
        <f t="shared" si="52"/>
        <v>379</v>
      </c>
      <c r="R109" s="537">
        <f t="shared" si="53"/>
        <v>0.0471158627548483</v>
      </c>
    </row>
    <row r="110" hidden="1" spans="1:18">
      <c r="A110" s="524">
        <v>45462</v>
      </c>
      <c r="B110" s="24" t="s">
        <v>91</v>
      </c>
      <c r="C110" s="538">
        <v>0</v>
      </c>
      <c r="D110" s="539">
        <v>0</v>
      </c>
      <c r="E110" s="539">
        <v>0</v>
      </c>
      <c r="F110" s="539">
        <v>0</v>
      </c>
      <c r="G110" s="539">
        <v>0</v>
      </c>
      <c r="H110" s="539">
        <v>0</v>
      </c>
      <c r="I110" s="539">
        <v>0</v>
      </c>
      <c r="J110" s="539">
        <v>0</v>
      </c>
      <c r="K110" s="527">
        <f>IF(E110=0,0,E110/D110)</f>
        <v>0</v>
      </c>
      <c r="L110" s="528">
        <f t="shared" si="48"/>
        <v>0</v>
      </c>
      <c r="M110" s="528">
        <f>IF(D110=0,0,C110/D110*1000)</f>
        <v>0</v>
      </c>
      <c r="N110" s="528">
        <f t="shared" si="49"/>
        <v>0</v>
      </c>
      <c r="O110" s="528">
        <f t="shared" si="50"/>
        <v>0</v>
      </c>
      <c r="P110" s="529">
        <f t="shared" si="51"/>
        <v>0</v>
      </c>
      <c r="Q110" s="24">
        <f t="shared" si="52"/>
        <v>0</v>
      </c>
      <c r="R110" s="530">
        <f t="shared" si="53"/>
        <v>0</v>
      </c>
    </row>
    <row r="111" hidden="1" spans="1:18">
      <c r="A111" s="524"/>
      <c r="B111" s="24" t="s">
        <v>92</v>
      </c>
      <c r="C111" s="538">
        <v>0</v>
      </c>
      <c r="D111" s="539">
        <v>0</v>
      </c>
      <c r="E111" s="539">
        <v>0</v>
      </c>
      <c r="F111" s="539">
        <v>0</v>
      </c>
      <c r="G111" s="539">
        <v>0</v>
      </c>
      <c r="H111" s="539">
        <v>0</v>
      </c>
      <c r="I111" s="539">
        <v>0</v>
      </c>
      <c r="J111" s="539">
        <v>0</v>
      </c>
      <c r="K111" s="527">
        <f>IF(E111=0,0,E111/D111)</f>
        <v>0</v>
      </c>
      <c r="L111" s="528">
        <f t="shared" si="48"/>
        <v>0</v>
      </c>
      <c r="M111" s="528">
        <f>IF(D111=0,0,C111/D111*1000)</f>
        <v>0</v>
      </c>
      <c r="N111" s="528">
        <f t="shared" si="49"/>
        <v>0</v>
      </c>
      <c r="O111" s="528">
        <f t="shared" si="50"/>
        <v>0</v>
      </c>
      <c r="P111" s="529">
        <f t="shared" si="51"/>
        <v>0</v>
      </c>
      <c r="Q111" s="24">
        <f t="shared" si="52"/>
        <v>0</v>
      </c>
      <c r="R111" s="530">
        <f t="shared" si="53"/>
        <v>0</v>
      </c>
    </row>
    <row r="112" hidden="1" spans="1:18">
      <c r="A112" s="524"/>
      <c r="B112" s="24" t="s">
        <v>93</v>
      </c>
      <c r="C112" s="538">
        <v>4981.77</v>
      </c>
      <c r="D112" s="539">
        <v>342461</v>
      </c>
      <c r="E112" s="539">
        <v>3051</v>
      </c>
      <c r="F112" s="539">
        <v>0</v>
      </c>
      <c r="G112" s="539">
        <v>0</v>
      </c>
      <c r="H112" s="539">
        <v>71</v>
      </c>
      <c r="I112" s="539">
        <v>290</v>
      </c>
      <c r="J112" s="539">
        <v>14</v>
      </c>
      <c r="K112" s="527">
        <f>IF(E112=0,0,E112/D112)</f>
        <v>0.00890904365752597</v>
      </c>
      <c r="L112" s="528">
        <f t="shared" si="48"/>
        <v>1.63283185840708</v>
      </c>
      <c r="M112" s="528">
        <f>IF(D112=0,0,C112/D112*1000)</f>
        <v>14.5469703119479</v>
      </c>
      <c r="N112" s="528">
        <f t="shared" si="49"/>
        <v>0</v>
      </c>
      <c r="O112" s="528">
        <f t="shared" si="50"/>
        <v>0</v>
      </c>
      <c r="P112" s="529">
        <f t="shared" si="51"/>
        <v>13.7999168975069</v>
      </c>
      <c r="Q112" s="24">
        <f t="shared" si="52"/>
        <v>361</v>
      </c>
      <c r="R112" s="530">
        <f t="shared" si="53"/>
        <v>0.118321861684694</v>
      </c>
    </row>
    <row r="113" hidden="1" spans="1:18">
      <c r="A113" s="524"/>
      <c r="B113" s="24" t="s">
        <v>94</v>
      </c>
      <c r="C113" s="538">
        <v>0</v>
      </c>
      <c r="D113" s="539">
        <v>0</v>
      </c>
      <c r="E113" s="539">
        <v>0</v>
      </c>
      <c r="F113" s="539">
        <v>0</v>
      </c>
      <c r="G113" s="539">
        <v>0</v>
      </c>
      <c r="H113" s="539">
        <v>0</v>
      </c>
      <c r="I113" s="539">
        <v>0</v>
      </c>
      <c r="J113" s="539">
        <v>0</v>
      </c>
      <c r="K113" s="527">
        <f>IF(E113=0,0,E113/D113)</f>
        <v>0</v>
      </c>
      <c r="L113" s="528">
        <f t="shared" si="48"/>
        <v>0</v>
      </c>
      <c r="M113" s="528">
        <f>IF(D113=0,0,C113/D113*1000)</f>
        <v>0</v>
      </c>
      <c r="N113" s="528">
        <f t="shared" si="49"/>
        <v>0</v>
      </c>
      <c r="O113" s="528">
        <f t="shared" si="50"/>
        <v>0</v>
      </c>
      <c r="P113" s="529">
        <f t="shared" si="51"/>
        <v>0</v>
      </c>
      <c r="Q113" s="24">
        <f t="shared" si="52"/>
        <v>0</v>
      </c>
      <c r="R113" s="530">
        <f t="shared" si="53"/>
        <v>0</v>
      </c>
    </row>
    <row r="114" hidden="1" spans="1:18">
      <c r="A114" s="524"/>
      <c r="B114" s="24" t="s">
        <v>95</v>
      </c>
      <c r="C114" s="538">
        <v>48.53</v>
      </c>
      <c r="D114" s="539">
        <v>93623</v>
      </c>
      <c r="E114" s="539">
        <v>353</v>
      </c>
      <c r="F114" s="539">
        <v>0</v>
      </c>
      <c r="G114" s="539">
        <v>0</v>
      </c>
      <c r="H114" s="539"/>
      <c r="I114" s="539">
        <v>0</v>
      </c>
      <c r="J114" s="539">
        <v>1</v>
      </c>
      <c r="K114" s="527">
        <f>IF(E114=0,0,E114/D114)</f>
        <v>0.00377044102410732</v>
      </c>
      <c r="L114" s="528">
        <f t="shared" si="48"/>
        <v>0.137478753541076</v>
      </c>
      <c r="M114" s="528">
        <f>IF(D114=0,0,C114/D114*1000)</f>
        <v>0.518355532294415</v>
      </c>
      <c r="N114" s="528">
        <f t="shared" si="49"/>
        <v>0</v>
      </c>
      <c r="O114" s="528">
        <f t="shared" si="50"/>
        <v>0</v>
      </c>
      <c r="P114" s="529">
        <f t="shared" si="51"/>
        <v>0</v>
      </c>
      <c r="Q114" s="24">
        <f t="shared" si="52"/>
        <v>0</v>
      </c>
      <c r="R114" s="530">
        <f t="shared" si="53"/>
        <v>0</v>
      </c>
    </row>
    <row r="115" hidden="1" spans="1:18">
      <c r="A115" s="524"/>
      <c r="B115" s="531" t="s">
        <v>96</v>
      </c>
      <c r="C115" s="532">
        <f t="shared" ref="C115:J115" si="62">SUM(C110:C114)</f>
        <v>5030.3</v>
      </c>
      <c r="D115" s="533">
        <f t="shared" si="62"/>
        <v>436084</v>
      </c>
      <c r="E115" s="533">
        <f t="shared" si="62"/>
        <v>3404</v>
      </c>
      <c r="F115" s="533">
        <f t="shared" si="62"/>
        <v>0</v>
      </c>
      <c r="G115" s="533">
        <f t="shared" si="62"/>
        <v>0</v>
      </c>
      <c r="H115" s="533">
        <f t="shared" si="62"/>
        <v>71</v>
      </c>
      <c r="I115" s="533">
        <f t="shared" si="62"/>
        <v>290</v>
      </c>
      <c r="J115" s="533">
        <f t="shared" si="62"/>
        <v>15</v>
      </c>
      <c r="K115" s="534">
        <f>E115/D115</f>
        <v>0.00780583557296301</v>
      </c>
      <c r="L115" s="535">
        <f t="shared" si="48"/>
        <v>1.47776145710928</v>
      </c>
      <c r="M115" s="535">
        <f>C115/D115*1000</f>
        <v>11.5351629502573</v>
      </c>
      <c r="N115" s="535">
        <f t="shared" si="49"/>
        <v>0</v>
      </c>
      <c r="O115" s="535">
        <f t="shared" si="50"/>
        <v>0</v>
      </c>
      <c r="P115" s="536">
        <f t="shared" si="51"/>
        <v>13.9343490304709</v>
      </c>
      <c r="Q115" s="531">
        <f t="shared" si="52"/>
        <v>361</v>
      </c>
      <c r="R115" s="537">
        <f t="shared" si="53"/>
        <v>0.106051703877791</v>
      </c>
    </row>
    <row r="116" hidden="1" spans="1:18">
      <c r="A116" s="524">
        <v>45463</v>
      </c>
      <c r="B116" s="24" t="s">
        <v>91</v>
      </c>
      <c r="C116" s="538">
        <v>0</v>
      </c>
      <c r="D116" s="539">
        <v>0</v>
      </c>
      <c r="E116" s="539">
        <v>0</v>
      </c>
      <c r="F116" s="539">
        <v>0</v>
      </c>
      <c r="G116" s="539">
        <v>0</v>
      </c>
      <c r="H116" s="539">
        <v>0</v>
      </c>
      <c r="I116" s="539">
        <v>0</v>
      </c>
      <c r="J116" s="539">
        <v>0</v>
      </c>
      <c r="K116" s="527">
        <f>IF(E116=0,0,E116/D116)</f>
        <v>0</v>
      </c>
      <c r="L116" s="528">
        <f t="shared" si="48"/>
        <v>0</v>
      </c>
      <c r="M116" s="528">
        <f>IF(D116=0,0,C116/D116*1000)</f>
        <v>0</v>
      </c>
      <c r="N116" s="528">
        <f t="shared" si="49"/>
        <v>0</v>
      </c>
      <c r="O116" s="528">
        <f t="shared" si="50"/>
        <v>0</v>
      </c>
      <c r="P116" s="529">
        <f t="shared" si="51"/>
        <v>0</v>
      </c>
      <c r="Q116" s="24">
        <f t="shared" si="52"/>
        <v>0</v>
      </c>
      <c r="R116" s="530">
        <f t="shared" si="53"/>
        <v>0</v>
      </c>
    </row>
    <row r="117" hidden="1" spans="1:18">
      <c r="A117" s="524"/>
      <c r="B117" s="24" t="s">
        <v>92</v>
      </c>
      <c r="C117" s="538">
        <v>0</v>
      </c>
      <c r="D117" s="539">
        <v>0</v>
      </c>
      <c r="E117" s="539">
        <v>0</v>
      </c>
      <c r="F117" s="539">
        <v>0</v>
      </c>
      <c r="G117" s="539">
        <v>0</v>
      </c>
      <c r="H117" s="539">
        <v>0</v>
      </c>
      <c r="I117" s="539">
        <v>0</v>
      </c>
      <c r="J117" s="539">
        <v>0</v>
      </c>
      <c r="K117" s="527">
        <f>IF(E117=0,0,E117/D117)</f>
        <v>0</v>
      </c>
      <c r="L117" s="528">
        <f t="shared" si="48"/>
        <v>0</v>
      </c>
      <c r="M117" s="528">
        <f>IF(D117=0,0,C117/D117*1000)</f>
        <v>0</v>
      </c>
      <c r="N117" s="528">
        <f t="shared" si="49"/>
        <v>0</v>
      </c>
      <c r="O117" s="528">
        <f t="shared" si="50"/>
        <v>0</v>
      </c>
      <c r="P117" s="529">
        <f t="shared" si="51"/>
        <v>0</v>
      </c>
      <c r="Q117" s="24">
        <f t="shared" si="52"/>
        <v>0</v>
      </c>
      <c r="R117" s="530">
        <f t="shared" si="53"/>
        <v>0</v>
      </c>
    </row>
    <row r="118" hidden="1" spans="1:18">
      <c r="A118" s="524"/>
      <c r="B118" s="24" t="s">
        <v>93</v>
      </c>
      <c r="C118" s="541">
        <v>5044.24</v>
      </c>
      <c r="D118" s="541">
        <v>380700</v>
      </c>
      <c r="E118" s="541">
        <v>2987</v>
      </c>
      <c r="F118" s="541">
        <v>3</v>
      </c>
      <c r="G118" s="541">
        <v>26394</v>
      </c>
      <c r="H118" s="541">
        <v>45</v>
      </c>
      <c r="I118" s="541">
        <v>291</v>
      </c>
      <c r="J118" s="541">
        <v>10</v>
      </c>
      <c r="K118" s="527">
        <f>IF(E118=0,0,E118/D118)</f>
        <v>0.00784607302337799</v>
      </c>
      <c r="L118" s="528">
        <f t="shared" si="48"/>
        <v>1.68873116839638</v>
      </c>
      <c r="M118" s="528">
        <f>IF(D118=0,0,C118/D118*1000)</f>
        <v>13.2499080640925</v>
      </c>
      <c r="N118" s="528">
        <f t="shared" si="49"/>
        <v>5.23250281509207</v>
      </c>
      <c r="O118" s="528">
        <f t="shared" si="50"/>
        <v>0.00100435219283562</v>
      </c>
      <c r="P118" s="529">
        <f t="shared" si="51"/>
        <v>15.012619047619</v>
      </c>
      <c r="Q118" s="24">
        <f t="shared" si="52"/>
        <v>336</v>
      </c>
      <c r="R118" s="530">
        <f t="shared" si="53"/>
        <v>0.11248744559759</v>
      </c>
    </row>
    <row r="119" hidden="1" spans="1:18">
      <c r="A119" s="524"/>
      <c r="B119" s="24" t="s">
        <v>94</v>
      </c>
      <c r="C119" s="538">
        <v>0</v>
      </c>
      <c r="D119" s="539">
        <v>0</v>
      </c>
      <c r="E119" s="539">
        <v>0</v>
      </c>
      <c r="F119" s="539">
        <v>0</v>
      </c>
      <c r="G119" s="539">
        <v>0</v>
      </c>
      <c r="H119" s="539">
        <v>0</v>
      </c>
      <c r="I119" s="539">
        <v>0</v>
      </c>
      <c r="J119" s="539">
        <v>0</v>
      </c>
      <c r="K119" s="527">
        <f>IF(E119=0,0,E119/D119)</f>
        <v>0</v>
      </c>
      <c r="L119" s="528">
        <f t="shared" si="48"/>
        <v>0</v>
      </c>
      <c r="M119" s="528">
        <f>IF(D119=0,0,C119/D119*1000)</f>
        <v>0</v>
      </c>
      <c r="N119" s="528">
        <f t="shared" si="49"/>
        <v>0</v>
      </c>
      <c r="O119" s="528">
        <f t="shared" si="50"/>
        <v>0</v>
      </c>
      <c r="P119" s="529">
        <f t="shared" si="51"/>
        <v>0</v>
      </c>
      <c r="Q119" s="24">
        <f t="shared" si="52"/>
        <v>0</v>
      </c>
      <c r="R119" s="530">
        <f t="shared" si="53"/>
        <v>0</v>
      </c>
    </row>
    <row r="120" hidden="1" spans="1:18">
      <c r="A120" s="524"/>
      <c r="B120" s="24" t="s">
        <v>95</v>
      </c>
      <c r="C120" s="541">
        <v>148.81</v>
      </c>
      <c r="D120" s="541">
        <v>232392</v>
      </c>
      <c r="E120" s="541">
        <v>929</v>
      </c>
      <c r="F120" s="541">
        <v>0</v>
      </c>
      <c r="G120" s="541">
        <v>0</v>
      </c>
      <c r="H120" s="541">
        <v>0</v>
      </c>
      <c r="I120" s="541">
        <v>1</v>
      </c>
      <c r="J120" s="541">
        <v>0</v>
      </c>
      <c r="K120" s="527">
        <f>IF(E120=0,0,E120/D120)</f>
        <v>0.00399755585390203</v>
      </c>
      <c r="L120" s="528">
        <f t="shared" si="48"/>
        <v>0.160182992465016</v>
      </c>
      <c r="M120" s="528">
        <f>IF(D120=0,0,C120/D120*1000)</f>
        <v>0.64034045922407</v>
      </c>
      <c r="N120" s="528">
        <f t="shared" si="49"/>
        <v>0</v>
      </c>
      <c r="O120" s="528">
        <f t="shared" si="50"/>
        <v>0</v>
      </c>
      <c r="P120" s="529">
        <f t="shared" si="51"/>
        <v>148.81</v>
      </c>
      <c r="Q120" s="24">
        <f t="shared" si="52"/>
        <v>1</v>
      </c>
      <c r="R120" s="530">
        <f t="shared" si="53"/>
        <v>0.00107642626480086</v>
      </c>
    </row>
    <row r="121" hidden="1" spans="1:18">
      <c r="A121" s="524"/>
      <c r="B121" s="531" t="s">
        <v>96</v>
      </c>
      <c r="C121" s="532">
        <f t="shared" ref="C121:J121" si="63">SUM(C116:C120)</f>
        <v>5193.05</v>
      </c>
      <c r="D121" s="533">
        <f t="shared" si="63"/>
        <v>613092</v>
      </c>
      <c r="E121" s="533">
        <f t="shared" si="63"/>
        <v>3916</v>
      </c>
      <c r="F121" s="533">
        <f t="shared" si="63"/>
        <v>3</v>
      </c>
      <c r="G121" s="533">
        <f t="shared" si="63"/>
        <v>26394</v>
      </c>
      <c r="H121" s="533">
        <f t="shared" si="63"/>
        <v>45</v>
      </c>
      <c r="I121" s="533">
        <f t="shared" si="63"/>
        <v>292</v>
      </c>
      <c r="J121" s="533">
        <f t="shared" si="63"/>
        <v>10</v>
      </c>
      <c r="K121" s="534">
        <f>E121/D121</f>
        <v>0.00638729587076654</v>
      </c>
      <c r="L121" s="535">
        <f t="shared" si="48"/>
        <v>1.32611082737487</v>
      </c>
      <c r="M121" s="535">
        <f>C121/D121*1000</f>
        <v>8.47026221187032</v>
      </c>
      <c r="N121" s="535">
        <f t="shared" si="49"/>
        <v>5.08256227072722</v>
      </c>
      <c r="O121" s="535">
        <f t="shared" si="50"/>
        <v>0.00076608784473953</v>
      </c>
      <c r="P121" s="536">
        <f t="shared" si="51"/>
        <v>15.4096439169139</v>
      </c>
      <c r="Q121" s="531">
        <f t="shared" si="52"/>
        <v>337</v>
      </c>
      <c r="R121" s="537">
        <f t="shared" si="53"/>
        <v>0.0860572012257406</v>
      </c>
    </row>
    <row r="122" hidden="1" spans="1:18">
      <c r="A122" s="524">
        <v>45464</v>
      </c>
      <c r="B122" s="24" t="s">
        <v>91</v>
      </c>
      <c r="C122" s="538">
        <v>0</v>
      </c>
      <c r="D122" s="539">
        <v>0</v>
      </c>
      <c r="E122" s="539">
        <v>0</v>
      </c>
      <c r="F122" s="539">
        <v>0</v>
      </c>
      <c r="G122" s="539">
        <v>0</v>
      </c>
      <c r="H122" s="539">
        <v>0</v>
      </c>
      <c r="I122" s="539">
        <v>0</v>
      </c>
      <c r="J122" s="539">
        <v>0</v>
      </c>
      <c r="K122" s="527">
        <f>IF(E122=0,0,E122/D122)</f>
        <v>0</v>
      </c>
      <c r="L122" s="528">
        <f t="shared" si="48"/>
        <v>0</v>
      </c>
      <c r="M122" s="528">
        <f>IF(D122=0,0,C122/D122*1000)</f>
        <v>0</v>
      </c>
      <c r="N122" s="528">
        <f t="shared" si="49"/>
        <v>0</v>
      </c>
      <c r="O122" s="528">
        <f t="shared" si="50"/>
        <v>0</v>
      </c>
      <c r="P122" s="529">
        <f t="shared" si="51"/>
        <v>0</v>
      </c>
      <c r="Q122" s="24">
        <f t="shared" si="52"/>
        <v>0</v>
      </c>
      <c r="R122" s="530">
        <f t="shared" si="53"/>
        <v>0</v>
      </c>
    </row>
    <row r="123" hidden="1" spans="1:18">
      <c r="A123" s="524"/>
      <c r="B123" s="24" t="s">
        <v>92</v>
      </c>
      <c r="C123" s="538">
        <v>0</v>
      </c>
      <c r="D123" s="539">
        <v>0</v>
      </c>
      <c r="E123" s="539">
        <v>0</v>
      </c>
      <c r="F123" s="539">
        <v>0</v>
      </c>
      <c r="G123" s="539">
        <v>0</v>
      </c>
      <c r="H123" s="539">
        <v>0</v>
      </c>
      <c r="I123" s="539">
        <v>0</v>
      </c>
      <c r="J123" s="539">
        <v>0</v>
      </c>
      <c r="K123" s="527">
        <f>IF(E123=0,0,E123/D123)</f>
        <v>0</v>
      </c>
      <c r="L123" s="528">
        <f t="shared" si="48"/>
        <v>0</v>
      </c>
      <c r="M123" s="528">
        <f>IF(D123=0,0,C123/D123*1000)</f>
        <v>0</v>
      </c>
      <c r="N123" s="528">
        <f t="shared" si="49"/>
        <v>0</v>
      </c>
      <c r="O123" s="528">
        <f t="shared" si="50"/>
        <v>0</v>
      </c>
      <c r="P123" s="529">
        <f t="shared" si="51"/>
        <v>0</v>
      </c>
      <c r="Q123" s="24">
        <f t="shared" si="52"/>
        <v>0</v>
      </c>
      <c r="R123" s="530">
        <f t="shared" si="53"/>
        <v>0</v>
      </c>
    </row>
    <row r="124" hidden="1" spans="1:18">
      <c r="A124" s="524"/>
      <c r="B124" s="24" t="s">
        <v>93</v>
      </c>
      <c r="C124" s="541">
        <v>3018.48</v>
      </c>
      <c r="D124" s="541">
        <v>279648</v>
      </c>
      <c r="E124" s="541">
        <v>2699</v>
      </c>
      <c r="F124" s="541">
        <v>0</v>
      </c>
      <c r="G124" s="541">
        <v>0</v>
      </c>
      <c r="H124" s="541">
        <v>33</v>
      </c>
      <c r="I124" s="541">
        <v>290</v>
      </c>
      <c r="J124" s="541">
        <v>7</v>
      </c>
      <c r="K124" s="527">
        <f>IF(E124=0,0,E124/D124)</f>
        <v>0.00965141892665065</v>
      </c>
      <c r="L124" s="528">
        <f t="shared" si="48"/>
        <v>1.11836976658021</v>
      </c>
      <c r="M124" s="528">
        <f>IF(D124=0,0,C124/D124*1000)</f>
        <v>10.7938551321662</v>
      </c>
      <c r="N124" s="528">
        <f t="shared" si="49"/>
        <v>0</v>
      </c>
      <c r="O124" s="528">
        <f t="shared" si="50"/>
        <v>0</v>
      </c>
      <c r="P124" s="529">
        <f t="shared" si="51"/>
        <v>9.34513931888545</v>
      </c>
      <c r="Q124" s="24">
        <f t="shared" si="52"/>
        <v>323</v>
      </c>
      <c r="R124" s="530">
        <f t="shared" si="53"/>
        <v>0.119673953316043</v>
      </c>
    </row>
    <row r="125" hidden="1" spans="1:18">
      <c r="A125" s="524"/>
      <c r="B125" s="24" t="s">
        <v>94</v>
      </c>
      <c r="C125" s="538">
        <v>0</v>
      </c>
      <c r="D125" s="539">
        <v>0</v>
      </c>
      <c r="E125" s="539">
        <v>0</v>
      </c>
      <c r="F125" s="539">
        <v>0</v>
      </c>
      <c r="G125" s="539">
        <v>0</v>
      </c>
      <c r="H125" s="539">
        <v>0</v>
      </c>
      <c r="I125" s="539">
        <v>0</v>
      </c>
      <c r="J125" s="539">
        <v>0</v>
      </c>
      <c r="K125" s="527">
        <f>IF(E125=0,0,E125/D125)</f>
        <v>0</v>
      </c>
      <c r="L125" s="528">
        <f t="shared" si="48"/>
        <v>0</v>
      </c>
      <c r="M125" s="528">
        <f>IF(D125=0,0,C125/D125*1000)</f>
        <v>0</v>
      </c>
      <c r="N125" s="528">
        <f t="shared" si="49"/>
        <v>0</v>
      </c>
      <c r="O125" s="528">
        <f t="shared" si="50"/>
        <v>0</v>
      </c>
      <c r="P125" s="529">
        <f t="shared" si="51"/>
        <v>0</v>
      </c>
      <c r="Q125" s="24">
        <f t="shared" si="52"/>
        <v>0</v>
      </c>
      <c r="R125" s="530">
        <f t="shared" si="53"/>
        <v>0</v>
      </c>
    </row>
    <row r="126" hidden="1" spans="1:18">
      <c r="A126" s="524"/>
      <c r="B126" s="24" t="s">
        <v>95</v>
      </c>
      <c r="C126" s="541">
        <v>147.9</v>
      </c>
      <c r="D126" s="541">
        <v>658546</v>
      </c>
      <c r="E126" s="541">
        <v>1701</v>
      </c>
      <c r="F126" s="541">
        <v>0</v>
      </c>
      <c r="G126" s="541">
        <v>0</v>
      </c>
      <c r="H126" s="541">
        <v>2</v>
      </c>
      <c r="I126" s="541">
        <v>6</v>
      </c>
      <c r="J126" s="541">
        <v>0</v>
      </c>
      <c r="K126" s="527">
        <f>IF(E126=0,0,E126/D126)</f>
        <v>0.00258296307319458</v>
      </c>
      <c r="L126" s="528">
        <f t="shared" si="48"/>
        <v>0.0869488536155203</v>
      </c>
      <c r="M126" s="528">
        <f>IF(D126=0,0,C126/D126*1000)</f>
        <v>0.22458567814549</v>
      </c>
      <c r="N126" s="528">
        <f t="shared" si="49"/>
        <v>0</v>
      </c>
      <c r="O126" s="528">
        <f t="shared" si="50"/>
        <v>0</v>
      </c>
      <c r="P126" s="529">
        <f t="shared" si="51"/>
        <v>18.4875</v>
      </c>
      <c r="Q126" s="24">
        <f t="shared" si="52"/>
        <v>8</v>
      </c>
      <c r="R126" s="530">
        <f t="shared" si="53"/>
        <v>0.00470311581422693</v>
      </c>
    </row>
    <row r="127" hidden="1" spans="1:18">
      <c r="A127" s="524"/>
      <c r="B127" s="531" t="s">
        <v>96</v>
      </c>
      <c r="C127" s="532">
        <f t="shared" ref="C127:J127" si="64">SUM(C122:C126)</f>
        <v>3166.38</v>
      </c>
      <c r="D127" s="533">
        <f t="shared" si="64"/>
        <v>938194</v>
      </c>
      <c r="E127" s="533">
        <f t="shared" si="64"/>
        <v>4400</v>
      </c>
      <c r="F127" s="533">
        <f t="shared" si="64"/>
        <v>0</v>
      </c>
      <c r="G127" s="533">
        <f t="shared" si="64"/>
        <v>0</v>
      </c>
      <c r="H127" s="533">
        <f t="shared" si="64"/>
        <v>35</v>
      </c>
      <c r="I127" s="533">
        <f t="shared" si="64"/>
        <v>296</v>
      </c>
      <c r="J127" s="533">
        <f t="shared" si="64"/>
        <v>7</v>
      </c>
      <c r="K127" s="534">
        <f>E127/D127</f>
        <v>0.00468986158513058</v>
      </c>
      <c r="L127" s="535">
        <f t="shared" si="48"/>
        <v>0.719631818181818</v>
      </c>
      <c r="M127" s="535">
        <f>C127/D127*1000</f>
        <v>3.37497361952858</v>
      </c>
      <c r="N127" s="535">
        <f t="shared" si="49"/>
        <v>0</v>
      </c>
      <c r="O127" s="535">
        <f t="shared" si="50"/>
        <v>0</v>
      </c>
      <c r="P127" s="536">
        <f t="shared" si="51"/>
        <v>9.56610271903323</v>
      </c>
      <c r="Q127" s="531">
        <f t="shared" si="52"/>
        <v>331</v>
      </c>
      <c r="R127" s="537">
        <f t="shared" si="53"/>
        <v>0.0752272727272727</v>
      </c>
    </row>
    <row r="128" hidden="1" spans="1:18">
      <c r="A128" s="524">
        <v>45465</v>
      </c>
      <c r="B128" s="24" t="s">
        <v>91</v>
      </c>
      <c r="C128" s="538">
        <v>0</v>
      </c>
      <c r="D128" s="539">
        <v>0</v>
      </c>
      <c r="E128" s="539">
        <v>0</v>
      </c>
      <c r="F128" s="539">
        <v>0</v>
      </c>
      <c r="G128" s="539">
        <v>0</v>
      </c>
      <c r="H128" s="539">
        <v>0</v>
      </c>
      <c r="I128" s="539">
        <v>0</v>
      </c>
      <c r="J128" s="539">
        <v>0</v>
      </c>
      <c r="K128" s="527">
        <f>IF(E128=0,0,E128/D128)</f>
        <v>0</v>
      </c>
      <c r="L128" s="528">
        <f t="shared" si="48"/>
        <v>0</v>
      </c>
      <c r="M128" s="528">
        <f>IF(D128=0,0,C128/D128*1000)</f>
        <v>0</v>
      </c>
      <c r="N128" s="528">
        <f t="shared" si="49"/>
        <v>0</v>
      </c>
      <c r="O128" s="528">
        <f t="shared" si="50"/>
        <v>0</v>
      </c>
      <c r="P128" s="529">
        <f t="shared" si="51"/>
        <v>0</v>
      </c>
      <c r="Q128" s="24">
        <f t="shared" si="52"/>
        <v>0</v>
      </c>
      <c r="R128" s="530">
        <f t="shared" si="53"/>
        <v>0</v>
      </c>
    </row>
    <row r="129" hidden="1" spans="1:18">
      <c r="A129" s="524"/>
      <c r="B129" s="24" t="s">
        <v>92</v>
      </c>
      <c r="C129" s="538">
        <v>0</v>
      </c>
      <c r="D129" s="539">
        <v>0</v>
      </c>
      <c r="E129" s="539">
        <v>0</v>
      </c>
      <c r="F129" s="539">
        <v>0</v>
      </c>
      <c r="G129" s="539">
        <v>0</v>
      </c>
      <c r="H129" s="539">
        <v>0</v>
      </c>
      <c r="I129" s="539">
        <v>0</v>
      </c>
      <c r="J129" s="539">
        <v>0</v>
      </c>
      <c r="K129" s="527">
        <f>IF(E129=0,0,E129/D129)</f>
        <v>0</v>
      </c>
      <c r="L129" s="528">
        <f t="shared" si="48"/>
        <v>0</v>
      </c>
      <c r="M129" s="528">
        <f>IF(D129=0,0,C129/D129*1000)</f>
        <v>0</v>
      </c>
      <c r="N129" s="528">
        <f t="shared" si="49"/>
        <v>0</v>
      </c>
      <c r="O129" s="528">
        <f t="shared" si="50"/>
        <v>0</v>
      </c>
      <c r="P129" s="529">
        <f t="shared" si="51"/>
        <v>0</v>
      </c>
      <c r="Q129" s="24">
        <f t="shared" si="52"/>
        <v>0</v>
      </c>
      <c r="R129" s="530">
        <f t="shared" si="53"/>
        <v>0</v>
      </c>
    </row>
    <row r="130" hidden="1" spans="1:18">
      <c r="A130" s="524"/>
      <c r="B130" s="24" t="s">
        <v>93</v>
      </c>
      <c r="C130" s="541">
        <v>2556.01</v>
      </c>
      <c r="D130" s="541">
        <v>189783</v>
      </c>
      <c r="E130" s="541">
        <v>1770</v>
      </c>
      <c r="F130" s="541">
        <v>0</v>
      </c>
      <c r="G130" s="541">
        <v>0</v>
      </c>
      <c r="H130" s="541">
        <v>36</v>
      </c>
      <c r="I130" s="541">
        <v>273</v>
      </c>
      <c r="J130" s="541">
        <v>4</v>
      </c>
      <c r="K130" s="527">
        <f>IF(E130=0,0,E130/D130)</f>
        <v>0.00932644125132388</v>
      </c>
      <c r="L130" s="528">
        <f t="shared" si="48"/>
        <v>1.44407344632768</v>
      </c>
      <c r="M130" s="528">
        <f>IF(D130=0,0,C130/D130*1000)</f>
        <v>13.468066159772</v>
      </c>
      <c r="N130" s="528">
        <f t="shared" si="49"/>
        <v>0</v>
      </c>
      <c r="O130" s="528">
        <f t="shared" si="50"/>
        <v>0</v>
      </c>
      <c r="P130" s="529">
        <f t="shared" si="51"/>
        <v>8.27187702265372</v>
      </c>
      <c r="Q130" s="24">
        <f t="shared" si="52"/>
        <v>309</v>
      </c>
      <c r="R130" s="530">
        <f t="shared" si="53"/>
        <v>0.174576271186441</v>
      </c>
    </row>
    <row r="131" hidden="1" spans="1:18">
      <c r="A131" s="524"/>
      <c r="B131" s="24" t="s">
        <v>94</v>
      </c>
      <c r="C131" s="538">
        <v>0</v>
      </c>
      <c r="D131" s="539">
        <v>0</v>
      </c>
      <c r="E131" s="539">
        <v>0</v>
      </c>
      <c r="F131" s="539">
        <v>0</v>
      </c>
      <c r="G131" s="539">
        <v>0</v>
      </c>
      <c r="H131" s="539">
        <v>0</v>
      </c>
      <c r="I131" s="539">
        <v>0</v>
      </c>
      <c r="J131" s="539">
        <v>0</v>
      </c>
      <c r="K131" s="527">
        <f>IF(E131=0,0,E131/D131)</f>
        <v>0</v>
      </c>
      <c r="L131" s="528">
        <f t="shared" si="48"/>
        <v>0</v>
      </c>
      <c r="M131" s="528">
        <f>IF(D131=0,0,C131/D131*1000)</f>
        <v>0</v>
      </c>
      <c r="N131" s="528">
        <f t="shared" si="49"/>
        <v>0</v>
      </c>
      <c r="O131" s="528">
        <f t="shared" si="50"/>
        <v>0</v>
      </c>
      <c r="P131" s="529">
        <f t="shared" si="51"/>
        <v>0</v>
      </c>
      <c r="Q131" s="24">
        <f t="shared" si="52"/>
        <v>0</v>
      </c>
      <c r="R131" s="530">
        <f t="shared" si="53"/>
        <v>0</v>
      </c>
    </row>
    <row r="132" hidden="1" spans="1:18">
      <c r="A132" s="524"/>
      <c r="B132" s="24" t="s">
        <v>95</v>
      </c>
      <c r="C132" s="541">
        <v>148.39</v>
      </c>
      <c r="D132" s="541">
        <v>624910</v>
      </c>
      <c r="E132" s="541">
        <v>1844</v>
      </c>
      <c r="F132" s="541">
        <v>0</v>
      </c>
      <c r="G132" s="541">
        <v>0</v>
      </c>
      <c r="H132" s="541">
        <v>0</v>
      </c>
      <c r="I132" s="541">
        <v>3</v>
      </c>
      <c r="J132" s="541">
        <v>0</v>
      </c>
      <c r="K132" s="527">
        <f>IF(E132=0,0,E132/D132)</f>
        <v>0.00295082491878831</v>
      </c>
      <c r="L132" s="528">
        <f t="shared" si="48"/>
        <v>0.0804718004338395</v>
      </c>
      <c r="M132" s="528">
        <f>IF(D132=0,0,C132/D132*1000)</f>
        <v>0.237458193979933</v>
      </c>
      <c r="N132" s="528">
        <f t="shared" si="49"/>
        <v>0</v>
      </c>
      <c r="O132" s="528">
        <f t="shared" si="50"/>
        <v>0</v>
      </c>
      <c r="P132" s="529">
        <f t="shared" si="51"/>
        <v>49.4633333333333</v>
      </c>
      <c r="Q132" s="24">
        <f t="shared" si="52"/>
        <v>3</v>
      </c>
      <c r="R132" s="530">
        <f t="shared" si="53"/>
        <v>0.00162689804772234</v>
      </c>
    </row>
    <row r="133" hidden="1" spans="1:18">
      <c r="A133" s="524"/>
      <c r="B133" s="531" t="s">
        <v>96</v>
      </c>
      <c r="C133" s="532">
        <f t="shared" ref="C133:J133" si="65">SUM(C128:C132)</f>
        <v>2704.4</v>
      </c>
      <c r="D133" s="533">
        <f t="shared" si="65"/>
        <v>814693</v>
      </c>
      <c r="E133" s="533">
        <f t="shared" si="65"/>
        <v>3614</v>
      </c>
      <c r="F133" s="533">
        <f t="shared" si="65"/>
        <v>0</v>
      </c>
      <c r="G133" s="533">
        <f t="shared" si="65"/>
        <v>0</v>
      </c>
      <c r="H133" s="533">
        <f t="shared" si="65"/>
        <v>36</v>
      </c>
      <c r="I133" s="533">
        <f t="shared" si="65"/>
        <v>276</v>
      </c>
      <c r="J133" s="533">
        <f t="shared" si="65"/>
        <v>4</v>
      </c>
      <c r="K133" s="534">
        <f>E133/D133</f>
        <v>0.00443602682237358</v>
      </c>
      <c r="L133" s="535">
        <f t="shared" si="48"/>
        <v>0.748312119535141</v>
      </c>
      <c r="M133" s="535">
        <f>C133/D133*1000</f>
        <v>3.31953263376511</v>
      </c>
      <c r="N133" s="535">
        <f t="shared" si="49"/>
        <v>0</v>
      </c>
      <c r="O133" s="535">
        <f t="shared" si="50"/>
        <v>0</v>
      </c>
      <c r="P133" s="536">
        <f t="shared" si="51"/>
        <v>8.66794871794872</v>
      </c>
      <c r="Q133" s="531">
        <f t="shared" si="52"/>
        <v>312</v>
      </c>
      <c r="R133" s="537">
        <f t="shared" si="53"/>
        <v>0.0863309352517986</v>
      </c>
    </row>
    <row r="134" hidden="1" spans="1:18">
      <c r="A134" s="524">
        <v>45466</v>
      </c>
      <c r="B134" s="24" t="s">
        <v>91</v>
      </c>
      <c r="C134" s="538">
        <v>0</v>
      </c>
      <c r="D134" s="539">
        <v>0</v>
      </c>
      <c r="E134" s="539">
        <v>0</v>
      </c>
      <c r="F134" s="539">
        <v>0</v>
      </c>
      <c r="G134" s="539">
        <v>0</v>
      </c>
      <c r="H134" s="539">
        <v>0</v>
      </c>
      <c r="I134" s="539">
        <v>0</v>
      </c>
      <c r="J134" s="539">
        <v>0</v>
      </c>
      <c r="K134" s="527">
        <f>IF(E134=0,0,E134/D134)</f>
        <v>0</v>
      </c>
      <c r="L134" s="528">
        <f t="shared" si="48"/>
        <v>0</v>
      </c>
      <c r="M134" s="528">
        <f>IF(D134=0,0,C134/D134*1000)</f>
        <v>0</v>
      </c>
      <c r="N134" s="528">
        <f t="shared" si="49"/>
        <v>0</v>
      </c>
      <c r="O134" s="528">
        <f t="shared" si="50"/>
        <v>0</v>
      </c>
      <c r="P134" s="529">
        <f t="shared" si="51"/>
        <v>0</v>
      </c>
      <c r="Q134" s="24">
        <f t="shared" si="52"/>
        <v>0</v>
      </c>
      <c r="R134" s="530">
        <f t="shared" si="53"/>
        <v>0</v>
      </c>
    </row>
    <row r="135" hidden="1" spans="1:18">
      <c r="A135" s="524"/>
      <c r="B135" s="24" t="s">
        <v>92</v>
      </c>
      <c r="C135" s="538">
        <v>0</v>
      </c>
      <c r="D135" s="539">
        <v>0</v>
      </c>
      <c r="E135" s="539">
        <v>0</v>
      </c>
      <c r="F135" s="539">
        <v>0</v>
      </c>
      <c r="G135" s="539">
        <v>0</v>
      </c>
      <c r="H135" s="539">
        <v>0</v>
      </c>
      <c r="I135" s="539">
        <v>0</v>
      </c>
      <c r="J135" s="539">
        <v>0</v>
      </c>
      <c r="K135" s="527">
        <f>IF(E135=0,0,E135/D135)</f>
        <v>0</v>
      </c>
      <c r="L135" s="528">
        <f t="shared" si="48"/>
        <v>0</v>
      </c>
      <c r="M135" s="528">
        <f>IF(D135=0,0,C135/D135*1000)</f>
        <v>0</v>
      </c>
      <c r="N135" s="528">
        <f t="shared" si="49"/>
        <v>0</v>
      </c>
      <c r="O135" s="528">
        <f t="shared" si="50"/>
        <v>0</v>
      </c>
      <c r="P135" s="529">
        <f t="shared" si="51"/>
        <v>0</v>
      </c>
      <c r="Q135" s="24">
        <f t="shared" si="52"/>
        <v>0</v>
      </c>
      <c r="R135" s="530">
        <f t="shared" si="53"/>
        <v>0</v>
      </c>
    </row>
    <row r="136" hidden="1" spans="1:18">
      <c r="A136" s="524"/>
      <c r="B136" s="24" t="s">
        <v>93</v>
      </c>
      <c r="C136" s="541">
        <v>2588.56</v>
      </c>
      <c r="D136" s="541">
        <v>139393</v>
      </c>
      <c r="E136" s="541">
        <v>1665</v>
      </c>
      <c r="F136" s="541">
        <v>0</v>
      </c>
      <c r="G136" s="541">
        <v>0</v>
      </c>
      <c r="H136" s="541">
        <v>35</v>
      </c>
      <c r="I136" s="541">
        <v>306</v>
      </c>
      <c r="J136" s="541">
        <v>5</v>
      </c>
      <c r="K136" s="527">
        <f>IF(E136=0,0,E136/D136)</f>
        <v>0.0119446457139168</v>
      </c>
      <c r="L136" s="528">
        <f t="shared" si="48"/>
        <v>1.55469069069069</v>
      </c>
      <c r="M136" s="528">
        <f>IF(D136=0,0,C136/D136*1000)</f>
        <v>18.5702294950249</v>
      </c>
      <c r="N136" s="528">
        <f t="shared" si="49"/>
        <v>0</v>
      </c>
      <c r="O136" s="528">
        <f t="shared" si="50"/>
        <v>0</v>
      </c>
      <c r="P136" s="529">
        <f t="shared" si="51"/>
        <v>7.59108504398827</v>
      </c>
      <c r="Q136" s="24">
        <f t="shared" si="52"/>
        <v>341</v>
      </c>
      <c r="R136" s="530">
        <f t="shared" si="53"/>
        <v>0.204804804804805</v>
      </c>
    </row>
    <row r="137" hidden="1" spans="1:18">
      <c r="A137" s="524"/>
      <c r="B137" s="24" t="s">
        <v>94</v>
      </c>
      <c r="C137" s="538">
        <v>0</v>
      </c>
      <c r="D137" s="539">
        <v>0</v>
      </c>
      <c r="E137" s="539">
        <v>0</v>
      </c>
      <c r="F137" s="539">
        <v>0</v>
      </c>
      <c r="G137" s="539">
        <v>0</v>
      </c>
      <c r="H137" s="539">
        <v>0</v>
      </c>
      <c r="I137" s="539">
        <v>0</v>
      </c>
      <c r="J137" s="539">
        <v>0</v>
      </c>
      <c r="K137" s="527">
        <f>IF(E137=0,0,E137/D137)</f>
        <v>0</v>
      </c>
      <c r="L137" s="528">
        <f t="shared" si="48"/>
        <v>0</v>
      </c>
      <c r="M137" s="528">
        <f>IF(D137=0,0,C137/D137*1000)</f>
        <v>0</v>
      </c>
      <c r="N137" s="528">
        <f t="shared" si="49"/>
        <v>0</v>
      </c>
      <c r="O137" s="528">
        <f t="shared" si="50"/>
        <v>0</v>
      </c>
      <c r="P137" s="529">
        <f t="shared" si="51"/>
        <v>0</v>
      </c>
      <c r="Q137" s="24">
        <f t="shared" si="52"/>
        <v>0</v>
      </c>
      <c r="R137" s="530">
        <f t="shared" si="53"/>
        <v>0</v>
      </c>
    </row>
    <row r="138" hidden="1" spans="1:18">
      <c r="A138" s="524"/>
      <c r="B138" s="24" t="s">
        <v>95</v>
      </c>
      <c r="C138" s="541">
        <v>147.24</v>
      </c>
      <c r="D138" s="541">
        <v>472295</v>
      </c>
      <c r="E138" s="541">
        <v>1709</v>
      </c>
      <c r="F138" s="541">
        <v>0</v>
      </c>
      <c r="G138" s="541">
        <v>0</v>
      </c>
      <c r="H138" s="541">
        <v>0</v>
      </c>
      <c r="I138" s="541">
        <v>1</v>
      </c>
      <c r="J138" s="541">
        <v>0</v>
      </c>
      <c r="K138" s="527">
        <f>IF(E138=0,0,E138/D138)</f>
        <v>0.0036185011486465</v>
      </c>
      <c r="L138" s="528">
        <f t="shared" si="48"/>
        <v>0.0861556465769456</v>
      </c>
      <c r="M138" s="528">
        <f>IF(D138=0,0,C138/D138*1000)</f>
        <v>0.31175430610106</v>
      </c>
      <c r="N138" s="528">
        <f t="shared" si="49"/>
        <v>0</v>
      </c>
      <c r="O138" s="528">
        <f t="shared" si="50"/>
        <v>0</v>
      </c>
      <c r="P138" s="529">
        <f t="shared" si="51"/>
        <v>147.24</v>
      </c>
      <c r="Q138" s="24">
        <f t="shared" si="52"/>
        <v>1</v>
      </c>
      <c r="R138" s="530">
        <f t="shared" si="53"/>
        <v>0.000585137507314219</v>
      </c>
    </row>
    <row r="139" hidden="1" spans="1:18">
      <c r="A139" s="524"/>
      <c r="B139" s="531" t="s">
        <v>96</v>
      </c>
      <c r="C139" s="532">
        <f t="shared" ref="C139:J139" si="66">SUM(C134:C138)</f>
        <v>2735.8</v>
      </c>
      <c r="D139" s="533">
        <f t="shared" si="66"/>
        <v>611688</v>
      </c>
      <c r="E139" s="533">
        <f t="shared" si="66"/>
        <v>3374</v>
      </c>
      <c r="F139" s="533">
        <f t="shared" si="66"/>
        <v>0</v>
      </c>
      <c r="G139" s="533">
        <f t="shared" si="66"/>
        <v>0</v>
      </c>
      <c r="H139" s="533">
        <f t="shared" si="66"/>
        <v>35</v>
      </c>
      <c r="I139" s="533">
        <f t="shared" si="66"/>
        <v>307</v>
      </c>
      <c r="J139" s="533">
        <f t="shared" si="66"/>
        <v>5</v>
      </c>
      <c r="K139" s="534">
        <f>E139/D139</f>
        <v>0.00551588391467546</v>
      </c>
      <c r="L139" s="535">
        <f t="shared" si="48"/>
        <v>0.810847658565501</v>
      </c>
      <c r="M139" s="535">
        <f>C139/D139*1000</f>
        <v>4.4725415571337</v>
      </c>
      <c r="N139" s="535">
        <f t="shared" si="49"/>
        <v>0</v>
      </c>
      <c r="O139" s="535">
        <f t="shared" si="50"/>
        <v>0</v>
      </c>
      <c r="P139" s="536">
        <f t="shared" si="51"/>
        <v>7.99941520467836</v>
      </c>
      <c r="Q139" s="531">
        <f t="shared" si="52"/>
        <v>342</v>
      </c>
      <c r="R139" s="537">
        <f t="shared" si="53"/>
        <v>0.101363366923533</v>
      </c>
    </row>
    <row r="140" hidden="1" spans="1:18">
      <c r="A140" s="524">
        <v>45467</v>
      </c>
      <c r="B140" s="24" t="s">
        <v>91</v>
      </c>
      <c r="C140" s="538">
        <v>0</v>
      </c>
      <c r="D140" s="539">
        <v>0</v>
      </c>
      <c r="E140" s="539">
        <v>0</v>
      </c>
      <c r="F140" s="539">
        <v>0</v>
      </c>
      <c r="G140" s="539">
        <v>0</v>
      </c>
      <c r="H140" s="539">
        <v>0</v>
      </c>
      <c r="I140" s="539">
        <v>0</v>
      </c>
      <c r="J140" s="539">
        <v>0</v>
      </c>
      <c r="K140" s="527">
        <f>IF(E140=0,0,E140/D140)</f>
        <v>0</v>
      </c>
      <c r="L140" s="528">
        <f t="shared" si="48"/>
        <v>0</v>
      </c>
      <c r="M140" s="528">
        <f>IF(D140=0,0,C140/D140*1000)</f>
        <v>0</v>
      </c>
      <c r="N140" s="528">
        <f t="shared" si="49"/>
        <v>0</v>
      </c>
      <c r="O140" s="528">
        <f t="shared" si="50"/>
        <v>0</v>
      </c>
      <c r="P140" s="529">
        <f t="shared" si="51"/>
        <v>0</v>
      </c>
      <c r="Q140" s="24">
        <f t="shared" si="52"/>
        <v>0</v>
      </c>
      <c r="R140" s="530">
        <f t="shared" si="53"/>
        <v>0</v>
      </c>
    </row>
    <row r="141" hidden="1" spans="1:18">
      <c r="A141" s="524"/>
      <c r="B141" s="24" t="s">
        <v>92</v>
      </c>
      <c r="C141" s="538">
        <v>0</v>
      </c>
      <c r="D141" s="539">
        <v>0</v>
      </c>
      <c r="E141" s="539">
        <v>0</v>
      </c>
      <c r="F141" s="539">
        <v>0</v>
      </c>
      <c r="G141" s="539">
        <v>0</v>
      </c>
      <c r="H141" s="539">
        <v>0</v>
      </c>
      <c r="I141" s="539">
        <v>0</v>
      </c>
      <c r="J141" s="539">
        <v>0</v>
      </c>
      <c r="K141" s="527">
        <f>IF(E141=0,0,E141/D141)</f>
        <v>0</v>
      </c>
      <c r="L141" s="528">
        <f t="shared" si="48"/>
        <v>0</v>
      </c>
      <c r="M141" s="528">
        <f>IF(D141=0,0,C141/D141*1000)</f>
        <v>0</v>
      </c>
      <c r="N141" s="528">
        <f t="shared" si="49"/>
        <v>0</v>
      </c>
      <c r="O141" s="528">
        <f t="shared" si="50"/>
        <v>0</v>
      </c>
      <c r="P141" s="529">
        <f t="shared" si="51"/>
        <v>0</v>
      </c>
      <c r="Q141" s="24">
        <f t="shared" si="52"/>
        <v>0</v>
      </c>
      <c r="R141" s="530">
        <f t="shared" si="53"/>
        <v>0</v>
      </c>
    </row>
    <row r="142" hidden="1" spans="1:18">
      <c r="A142" s="524"/>
      <c r="B142" s="24" t="s">
        <v>93</v>
      </c>
      <c r="C142" s="538">
        <v>3855.69</v>
      </c>
      <c r="D142" s="539">
        <v>350619</v>
      </c>
      <c r="E142" s="539">
        <v>2721</v>
      </c>
      <c r="F142" s="539">
        <v>0</v>
      </c>
      <c r="G142" s="539">
        <v>0</v>
      </c>
      <c r="H142" s="539">
        <v>35</v>
      </c>
      <c r="I142" s="539">
        <v>376</v>
      </c>
      <c r="J142" s="539">
        <v>8</v>
      </c>
      <c r="K142" s="527">
        <f>IF(E142=0,0,E142/D142)</f>
        <v>0.00776056060852378</v>
      </c>
      <c r="L142" s="528">
        <f t="shared" si="48"/>
        <v>1.41701212789416</v>
      </c>
      <c r="M142" s="528">
        <f>IF(D142=0,0,C142/D142*1000)</f>
        <v>10.9968085015359</v>
      </c>
      <c r="N142" s="528">
        <f t="shared" si="49"/>
        <v>0</v>
      </c>
      <c r="O142" s="528">
        <f t="shared" si="50"/>
        <v>0</v>
      </c>
      <c r="P142" s="529">
        <f t="shared" si="51"/>
        <v>9.38124087591241</v>
      </c>
      <c r="Q142" s="24">
        <f t="shared" si="52"/>
        <v>411</v>
      </c>
      <c r="R142" s="530">
        <f t="shared" si="53"/>
        <v>0.151047409040794</v>
      </c>
    </row>
    <row r="143" hidden="1" spans="1:18">
      <c r="A143" s="524"/>
      <c r="B143" s="24" t="s">
        <v>94</v>
      </c>
      <c r="C143" s="538">
        <v>0</v>
      </c>
      <c r="D143" s="539">
        <v>0</v>
      </c>
      <c r="E143" s="539">
        <v>0</v>
      </c>
      <c r="F143" s="539">
        <v>0</v>
      </c>
      <c r="G143" s="539">
        <v>0</v>
      </c>
      <c r="H143" s="539">
        <v>0</v>
      </c>
      <c r="I143" s="539">
        <v>0</v>
      </c>
      <c r="J143" s="539">
        <v>0</v>
      </c>
      <c r="K143" s="527">
        <f>IF(E143=0,0,E143/D143)</f>
        <v>0</v>
      </c>
      <c r="L143" s="528">
        <f t="shared" si="48"/>
        <v>0</v>
      </c>
      <c r="M143" s="528">
        <f>IF(D143=0,0,C143/D143*1000)</f>
        <v>0</v>
      </c>
      <c r="N143" s="528">
        <f t="shared" si="49"/>
        <v>0</v>
      </c>
      <c r="O143" s="528">
        <f t="shared" si="50"/>
        <v>0</v>
      </c>
      <c r="P143" s="529">
        <f t="shared" si="51"/>
        <v>0</v>
      </c>
      <c r="Q143" s="24">
        <f t="shared" si="52"/>
        <v>0</v>
      </c>
      <c r="R143" s="530">
        <f t="shared" si="53"/>
        <v>0</v>
      </c>
    </row>
    <row r="144" hidden="1" spans="1:18">
      <c r="A144" s="524"/>
      <c r="B144" s="24" t="s">
        <v>95</v>
      </c>
      <c r="C144" s="538">
        <v>197.48</v>
      </c>
      <c r="D144" s="539">
        <v>536400</v>
      </c>
      <c r="E144" s="539">
        <v>2034</v>
      </c>
      <c r="F144" s="539">
        <v>0</v>
      </c>
      <c r="G144" s="539">
        <v>0</v>
      </c>
      <c r="H144" s="539">
        <v>2</v>
      </c>
      <c r="I144" s="539">
        <v>0</v>
      </c>
      <c r="J144" s="539"/>
      <c r="K144" s="527">
        <f>IF(E144=0,0,E144/D144)</f>
        <v>0.00379194630872483</v>
      </c>
      <c r="L144" s="528">
        <f t="shared" si="48"/>
        <v>0.0970894788593904</v>
      </c>
      <c r="M144" s="528">
        <f>IF(D144=0,0,C144/D144*1000)</f>
        <v>0.368158090976883</v>
      </c>
      <c r="N144" s="528">
        <f t="shared" si="49"/>
        <v>0</v>
      </c>
      <c r="O144" s="528">
        <f t="shared" si="50"/>
        <v>0</v>
      </c>
      <c r="P144" s="529">
        <f t="shared" si="51"/>
        <v>98.74</v>
      </c>
      <c r="Q144" s="24">
        <f t="shared" si="52"/>
        <v>2</v>
      </c>
      <c r="R144" s="530">
        <f t="shared" si="53"/>
        <v>0.000983284169124877</v>
      </c>
    </row>
    <row r="145" hidden="1" spans="1:18">
      <c r="A145" s="524"/>
      <c r="B145" s="531" t="s">
        <v>96</v>
      </c>
      <c r="C145" s="532">
        <f t="shared" ref="C145:J145" si="67">SUM(C140:C144)</f>
        <v>4053.17</v>
      </c>
      <c r="D145" s="533">
        <f t="shared" si="67"/>
        <v>887019</v>
      </c>
      <c r="E145" s="533">
        <f t="shared" si="67"/>
        <v>4755</v>
      </c>
      <c r="F145" s="533">
        <f t="shared" si="67"/>
        <v>0</v>
      </c>
      <c r="G145" s="533">
        <f t="shared" si="67"/>
        <v>0</v>
      </c>
      <c r="H145" s="533">
        <f t="shared" si="67"/>
        <v>37</v>
      </c>
      <c r="I145" s="533">
        <f t="shared" si="67"/>
        <v>376</v>
      </c>
      <c r="J145" s="533">
        <f t="shared" si="67"/>
        <v>8</v>
      </c>
      <c r="K145" s="534">
        <f>E145/D145</f>
        <v>0.00536065180114518</v>
      </c>
      <c r="L145" s="535">
        <f t="shared" si="48"/>
        <v>0.852401682439537</v>
      </c>
      <c r="M145" s="535">
        <f>C145/D145*1000</f>
        <v>4.56942861426869</v>
      </c>
      <c r="N145" s="535">
        <f t="shared" si="49"/>
        <v>0</v>
      </c>
      <c r="O145" s="535">
        <f t="shared" si="50"/>
        <v>0</v>
      </c>
      <c r="P145" s="536">
        <f t="shared" si="51"/>
        <v>9.81397094430993</v>
      </c>
      <c r="Q145" s="531">
        <f t="shared" si="52"/>
        <v>413</v>
      </c>
      <c r="R145" s="537">
        <f t="shared" si="53"/>
        <v>0.0868559411146162</v>
      </c>
    </row>
    <row r="146" hidden="1" spans="1:18">
      <c r="A146" s="524">
        <v>45468</v>
      </c>
      <c r="B146" s="24" t="s">
        <v>91</v>
      </c>
      <c r="C146" s="538">
        <v>200</v>
      </c>
      <c r="D146" s="539">
        <v>24091</v>
      </c>
      <c r="E146" s="539">
        <v>503</v>
      </c>
      <c r="F146" s="539">
        <v>0</v>
      </c>
      <c r="G146" s="539">
        <v>0</v>
      </c>
      <c r="H146" s="539">
        <v>0</v>
      </c>
      <c r="I146" s="539">
        <v>3</v>
      </c>
      <c r="J146" s="539">
        <v>8</v>
      </c>
      <c r="K146" s="527">
        <f>IF(E146=0,0,E146/D146)</f>
        <v>0.0208791664937113</v>
      </c>
      <c r="L146" s="528">
        <f t="shared" si="48"/>
        <v>0.397614314115308</v>
      </c>
      <c r="M146" s="528">
        <f>IF(D146=0,0,C146/D146*1000)</f>
        <v>8.30185546469636</v>
      </c>
      <c r="N146" s="528">
        <f t="shared" si="49"/>
        <v>0</v>
      </c>
      <c r="O146" s="528">
        <f t="shared" si="50"/>
        <v>0</v>
      </c>
      <c r="P146" s="529">
        <f t="shared" si="51"/>
        <v>66.6666666666667</v>
      </c>
      <c r="Q146" s="24">
        <f t="shared" si="52"/>
        <v>3</v>
      </c>
      <c r="R146" s="530">
        <f t="shared" si="53"/>
        <v>0.00596421471172962</v>
      </c>
    </row>
    <row r="147" hidden="1" spans="1:18">
      <c r="A147" s="524"/>
      <c r="B147" s="24" t="s">
        <v>92</v>
      </c>
      <c r="C147" s="538">
        <v>0</v>
      </c>
      <c r="D147" s="539">
        <v>0</v>
      </c>
      <c r="E147" s="539">
        <v>0</v>
      </c>
      <c r="F147" s="539">
        <v>0</v>
      </c>
      <c r="G147" s="539">
        <v>0</v>
      </c>
      <c r="H147" s="539">
        <v>0</v>
      </c>
      <c r="I147" s="539">
        <v>0</v>
      </c>
      <c r="J147" s="539">
        <v>0</v>
      </c>
      <c r="K147" s="527">
        <f>IF(E147=0,0,E147/D147)</f>
        <v>0</v>
      </c>
      <c r="L147" s="528">
        <f t="shared" si="48"/>
        <v>0</v>
      </c>
      <c r="M147" s="528">
        <f>IF(D147=0,0,C147/D147*1000)</f>
        <v>0</v>
      </c>
      <c r="N147" s="528">
        <f t="shared" si="49"/>
        <v>0</v>
      </c>
      <c r="O147" s="528">
        <f t="shared" si="50"/>
        <v>0</v>
      </c>
      <c r="P147" s="529">
        <f t="shared" si="51"/>
        <v>0</v>
      </c>
      <c r="Q147" s="24">
        <f t="shared" si="52"/>
        <v>0</v>
      </c>
      <c r="R147" s="530">
        <f t="shared" si="53"/>
        <v>0</v>
      </c>
    </row>
    <row r="148" hidden="1" spans="1:18">
      <c r="A148" s="524"/>
      <c r="B148" s="24" t="s">
        <v>93</v>
      </c>
      <c r="C148" s="538">
        <v>3872.45</v>
      </c>
      <c r="D148" s="539">
        <v>526085</v>
      </c>
      <c r="E148" s="539">
        <v>3381</v>
      </c>
      <c r="F148" s="539">
        <v>1</v>
      </c>
      <c r="G148" s="539">
        <v>19114</v>
      </c>
      <c r="H148" s="539">
        <v>50</v>
      </c>
      <c r="I148" s="539">
        <v>346</v>
      </c>
      <c r="J148" s="539">
        <v>8</v>
      </c>
      <c r="K148" s="527">
        <f>IF(E148=0,0,E148/D148)</f>
        <v>0.00642671811589382</v>
      </c>
      <c r="L148" s="528">
        <f t="shared" si="48"/>
        <v>1.14535640343094</v>
      </c>
      <c r="M148" s="528">
        <f>IF(D148=0,0,C148/D148*1000)</f>
        <v>7.3608827470846</v>
      </c>
      <c r="N148" s="528">
        <f t="shared" si="49"/>
        <v>4.93589329752482</v>
      </c>
      <c r="O148" s="528">
        <f t="shared" si="50"/>
        <v>0.000295770482105886</v>
      </c>
      <c r="P148" s="529">
        <f t="shared" si="51"/>
        <v>9.77891414141414</v>
      </c>
      <c r="Q148" s="24">
        <f t="shared" si="52"/>
        <v>396</v>
      </c>
      <c r="R148" s="530">
        <f t="shared" si="53"/>
        <v>0.117125110913931</v>
      </c>
    </row>
    <row r="149" hidden="1" spans="1:18">
      <c r="A149" s="524"/>
      <c r="B149" s="24" t="s">
        <v>94</v>
      </c>
      <c r="C149" s="538">
        <v>0</v>
      </c>
      <c r="D149" s="539">
        <v>0</v>
      </c>
      <c r="E149" s="539">
        <v>0</v>
      </c>
      <c r="F149" s="539">
        <v>0</v>
      </c>
      <c r="G149" s="539">
        <v>0</v>
      </c>
      <c r="H149" s="539">
        <v>0</v>
      </c>
      <c r="I149" s="539">
        <v>0</v>
      </c>
      <c r="J149" s="539">
        <v>0</v>
      </c>
      <c r="K149" s="527">
        <f>IF(E149=0,0,E149/D149)</f>
        <v>0</v>
      </c>
      <c r="L149" s="528">
        <f t="shared" si="48"/>
        <v>0</v>
      </c>
      <c r="M149" s="528">
        <f>IF(D149=0,0,C149/D149*1000)</f>
        <v>0</v>
      </c>
      <c r="N149" s="528">
        <f t="shared" si="49"/>
        <v>0</v>
      </c>
      <c r="O149" s="528">
        <f t="shared" si="50"/>
        <v>0</v>
      </c>
      <c r="P149" s="529">
        <f t="shared" si="51"/>
        <v>0</v>
      </c>
      <c r="Q149" s="24">
        <f t="shared" si="52"/>
        <v>0</v>
      </c>
      <c r="R149" s="530">
        <f t="shared" si="53"/>
        <v>0</v>
      </c>
    </row>
    <row r="150" hidden="1" spans="1:18">
      <c r="A150" s="524"/>
      <c r="B150" s="24" t="s">
        <v>95</v>
      </c>
      <c r="C150" s="538">
        <v>186.55</v>
      </c>
      <c r="D150" s="539">
        <v>886212</v>
      </c>
      <c r="E150" s="539">
        <v>2255</v>
      </c>
      <c r="F150" s="539">
        <v>0</v>
      </c>
      <c r="G150" s="539">
        <v>0</v>
      </c>
      <c r="H150" s="539">
        <v>0</v>
      </c>
      <c r="I150" s="539">
        <v>4</v>
      </c>
      <c r="J150" s="539">
        <v>1</v>
      </c>
      <c r="K150" s="527">
        <f>IF(E150=0,0,E150/D150)</f>
        <v>0.00254453787581301</v>
      </c>
      <c r="L150" s="528">
        <f t="shared" ref="L150:L163" si="68">IF(C150=0,0,C150/E150)</f>
        <v>0.0827272727272727</v>
      </c>
      <c r="M150" s="528">
        <f>IF(D150=0,0,C150/D150*1000)</f>
        <v>0.210502678817258</v>
      </c>
      <c r="N150" s="528">
        <f t="shared" ref="N150:N163" si="69">IF(G150=0,0,G150/C150)</f>
        <v>0</v>
      </c>
      <c r="O150" s="528">
        <f t="shared" ref="O150:O163" si="70">IF(F150=0,0,F150/E150)</f>
        <v>0</v>
      </c>
      <c r="P150" s="529">
        <f t="shared" ref="P150:P163" si="71">IF(H150+I150=0,0,C150/(H150+I150))</f>
        <v>46.6375</v>
      </c>
      <c r="Q150" s="24">
        <f t="shared" ref="Q150:Q163" si="72">H150+I150</f>
        <v>4</v>
      </c>
      <c r="R150" s="530">
        <f t="shared" ref="R150:R163" si="73">IF(Q150=0,0,Q150/E150)</f>
        <v>0.00177383592017738</v>
      </c>
    </row>
    <row r="151" hidden="1" spans="1:18">
      <c r="A151" s="524"/>
      <c r="B151" s="531" t="s">
        <v>96</v>
      </c>
      <c r="C151" s="532">
        <f t="shared" ref="C151:J151" si="74">SUM(C146:C150)</f>
        <v>4259</v>
      </c>
      <c r="D151" s="533">
        <f t="shared" si="74"/>
        <v>1436388</v>
      </c>
      <c r="E151" s="533">
        <f t="shared" si="74"/>
        <v>6139</v>
      </c>
      <c r="F151" s="533">
        <f t="shared" si="74"/>
        <v>1</v>
      </c>
      <c r="G151" s="533">
        <f t="shared" si="74"/>
        <v>19114</v>
      </c>
      <c r="H151" s="533">
        <f t="shared" si="74"/>
        <v>50</v>
      </c>
      <c r="I151" s="533">
        <f t="shared" si="74"/>
        <v>353</v>
      </c>
      <c r="J151" s="533">
        <f t="shared" si="74"/>
        <v>17</v>
      </c>
      <c r="K151" s="534">
        <f>E151/D151</f>
        <v>0.00427391484752031</v>
      </c>
      <c r="L151" s="535">
        <f t="shared" si="68"/>
        <v>0.693761198892328</v>
      </c>
      <c r="M151" s="535">
        <f>C151/D151*1000</f>
        <v>2.96507628857941</v>
      </c>
      <c r="N151" s="535">
        <f t="shared" si="69"/>
        <v>4.48790795961493</v>
      </c>
      <c r="O151" s="535">
        <f t="shared" si="70"/>
        <v>0.000162892979312592</v>
      </c>
      <c r="P151" s="536">
        <f t="shared" si="71"/>
        <v>10.5682382133995</v>
      </c>
      <c r="Q151" s="531">
        <f t="shared" si="72"/>
        <v>403</v>
      </c>
      <c r="R151" s="537">
        <f t="shared" si="73"/>
        <v>0.0656458706629744</v>
      </c>
    </row>
    <row r="152" hidden="1" spans="1:18">
      <c r="A152" s="524">
        <v>45469</v>
      </c>
      <c r="B152" s="24" t="s">
        <v>91</v>
      </c>
      <c r="C152" s="542">
        <v>200</v>
      </c>
      <c r="D152" s="543">
        <v>18840</v>
      </c>
      <c r="E152" s="543">
        <v>481</v>
      </c>
      <c r="F152" s="543">
        <v>0</v>
      </c>
      <c r="G152" s="543">
        <v>0</v>
      </c>
      <c r="H152" s="543">
        <v>0</v>
      </c>
      <c r="I152" s="543">
        <v>4</v>
      </c>
      <c r="J152" s="543">
        <v>5</v>
      </c>
      <c r="K152" s="527">
        <f>IF(E152=0,0,E152/D152)</f>
        <v>0.0255307855626327</v>
      </c>
      <c r="L152" s="528">
        <f t="shared" si="68"/>
        <v>0.415800415800416</v>
      </c>
      <c r="M152" s="528">
        <f>IF(D152=0,0,C152/D152*1000)</f>
        <v>10.6157112526539</v>
      </c>
      <c r="N152" s="528">
        <f t="shared" si="69"/>
        <v>0</v>
      </c>
      <c r="O152" s="528">
        <f t="shared" si="70"/>
        <v>0</v>
      </c>
      <c r="P152" s="529">
        <f t="shared" si="71"/>
        <v>50</v>
      </c>
      <c r="Q152" s="24">
        <f t="shared" si="72"/>
        <v>4</v>
      </c>
      <c r="R152" s="530">
        <f t="shared" si="73"/>
        <v>0.00831600831600832</v>
      </c>
    </row>
    <row r="153" hidden="1" spans="1:18">
      <c r="A153" s="524"/>
      <c r="B153" s="24" t="s">
        <v>92</v>
      </c>
      <c r="C153" s="542">
        <v>491.59</v>
      </c>
      <c r="D153" s="543">
        <v>6892</v>
      </c>
      <c r="E153" s="543">
        <v>1148</v>
      </c>
      <c r="F153" s="543">
        <v>0</v>
      </c>
      <c r="G153" s="543">
        <v>0</v>
      </c>
      <c r="H153" s="543">
        <v>4</v>
      </c>
      <c r="I153" s="543">
        <v>3</v>
      </c>
      <c r="J153" s="543">
        <v>0</v>
      </c>
      <c r="K153" s="527">
        <f>IF(E153=0,0,E153/D153)</f>
        <v>0.166569936157864</v>
      </c>
      <c r="L153" s="528">
        <f t="shared" si="68"/>
        <v>0.428214285714286</v>
      </c>
      <c r="M153" s="528">
        <f>IF(D153=0,0,C153/D153*1000)</f>
        <v>71.327626233314</v>
      </c>
      <c r="N153" s="528">
        <f t="shared" si="69"/>
        <v>0</v>
      </c>
      <c r="O153" s="528">
        <f t="shared" si="70"/>
        <v>0</v>
      </c>
      <c r="P153" s="529">
        <f t="shared" si="71"/>
        <v>70.2271428571429</v>
      </c>
      <c r="Q153" s="24">
        <f t="shared" si="72"/>
        <v>7</v>
      </c>
      <c r="R153" s="530">
        <f t="shared" si="73"/>
        <v>0.00609756097560976</v>
      </c>
    </row>
    <row r="154" hidden="1" spans="1:18">
      <c r="A154" s="524"/>
      <c r="B154" s="24" t="s">
        <v>93</v>
      </c>
      <c r="C154" s="542">
        <v>3939.84</v>
      </c>
      <c r="D154" s="543">
        <v>680072</v>
      </c>
      <c r="E154" s="543">
        <v>3944</v>
      </c>
      <c r="F154" s="543">
        <v>2</v>
      </c>
      <c r="G154" s="543">
        <v>12254</v>
      </c>
      <c r="H154" s="543">
        <v>52</v>
      </c>
      <c r="I154" s="543">
        <v>400</v>
      </c>
      <c r="J154" s="543">
        <v>8</v>
      </c>
      <c r="K154" s="527">
        <f>IF(E154=0,0,E154/D154)</f>
        <v>0.00579938594737028</v>
      </c>
      <c r="L154" s="528">
        <f t="shared" si="68"/>
        <v>0.99894523326572</v>
      </c>
      <c r="M154" s="528">
        <f>IF(D154=0,0,C154/D154*1000)</f>
        <v>5.79326894799374</v>
      </c>
      <c r="N154" s="528">
        <f t="shared" si="69"/>
        <v>3.1102785899935</v>
      </c>
      <c r="O154" s="528">
        <f t="shared" si="70"/>
        <v>0.00050709939148073</v>
      </c>
      <c r="P154" s="529">
        <f t="shared" si="71"/>
        <v>8.71646017699115</v>
      </c>
      <c r="Q154" s="24">
        <f t="shared" si="72"/>
        <v>452</v>
      </c>
      <c r="R154" s="530">
        <f t="shared" si="73"/>
        <v>0.114604462474645</v>
      </c>
    </row>
    <row r="155" hidden="1" spans="1:18">
      <c r="A155" s="524"/>
      <c r="B155" s="24" t="s">
        <v>94</v>
      </c>
      <c r="C155" s="542">
        <v>0</v>
      </c>
      <c r="D155" s="543">
        <v>0</v>
      </c>
      <c r="E155" s="543">
        <v>0</v>
      </c>
      <c r="F155" s="543">
        <v>0</v>
      </c>
      <c r="G155" s="543">
        <v>0</v>
      </c>
      <c r="H155" s="543">
        <v>0</v>
      </c>
      <c r="I155" s="543">
        <v>0</v>
      </c>
      <c r="J155" s="543">
        <v>0</v>
      </c>
      <c r="K155" s="527">
        <f>IF(E155=0,0,E155/D155)</f>
        <v>0</v>
      </c>
      <c r="L155" s="528">
        <f t="shared" si="68"/>
        <v>0</v>
      </c>
      <c r="M155" s="528">
        <f>IF(D155=0,0,C155/D155*1000)</f>
        <v>0</v>
      </c>
      <c r="N155" s="528">
        <f t="shared" si="69"/>
        <v>0</v>
      </c>
      <c r="O155" s="528">
        <f t="shared" si="70"/>
        <v>0</v>
      </c>
      <c r="P155" s="529">
        <f t="shared" si="71"/>
        <v>0</v>
      </c>
      <c r="Q155" s="24">
        <f t="shared" si="72"/>
        <v>0</v>
      </c>
      <c r="R155" s="530">
        <f t="shared" si="73"/>
        <v>0</v>
      </c>
    </row>
    <row r="156" hidden="1" spans="1:18">
      <c r="A156" s="524"/>
      <c r="B156" s="24" t="s">
        <v>95</v>
      </c>
      <c r="C156" s="542">
        <v>194.69</v>
      </c>
      <c r="D156" s="543">
        <v>6696623</v>
      </c>
      <c r="E156" s="543">
        <v>2119</v>
      </c>
      <c r="F156" s="543">
        <v>0</v>
      </c>
      <c r="G156" s="543">
        <v>0</v>
      </c>
      <c r="H156" s="543">
        <v>2</v>
      </c>
      <c r="I156" s="543">
        <v>1</v>
      </c>
      <c r="J156" s="543">
        <v>0</v>
      </c>
      <c r="K156" s="527">
        <f>IF(E156=0,0,E156/D156)</f>
        <v>0.000316428145947592</v>
      </c>
      <c r="L156" s="528">
        <f t="shared" si="68"/>
        <v>0.0918782444549316</v>
      </c>
      <c r="M156" s="528">
        <f>IF(D156=0,0,C156/D156*1000)</f>
        <v>0.0290728625457936</v>
      </c>
      <c r="N156" s="528">
        <f t="shared" si="69"/>
        <v>0</v>
      </c>
      <c r="O156" s="528">
        <f t="shared" si="70"/>
        <v>0</v>
      </c>
      <c r="P156" s="529">
        <f t="shared" si="71"/>
        <v>64.8966666666667</v>
      </c>
      <c r="Q156" s="24">
        <f t="shared" si="72"/>
        <v>3</v>
      </c>
      <c r="R156" s="530">
        <f t="shared" si="73"/>
        <v>0.00141576215195847</v>
      </c>
    </row>
    <row r="157" hidden="1" spans="1:18">
      <c r="A157" s="524"/>
      <c r="B157" s="531" t="s">
        <v>96</v>
      </c>
      <c r="C157" s="532">
        <f t="shared" ref="C157:J157" si="75">SUM(C152:C156)</f>
        <v>4826.12</v>
      </c>
      <c r="D157" s="533">
        <f t="shared" si="75"/>
        <v>7402427</v>
      </c>
      <c r="E157" s="533">
        <f t="shared" si="75"/>
        <v>7692</v>
      </c>
      <c r="F157" s="533">
        <f t="shared" si="75"/>
        <v>2</v>
      </c>
      <c r="G157" s="533">
        <f t="shared" si="75"/>
        <v>12254</v>
      </c>
      <c r="H157" s="533">
        <f t="shared" si="75"/>
        <v>58</v>
      </c>
      <c r="I157" s="533">
        <f t="shared" si="75"/>
        <v>408</v>
      </c>
      <c r="J157" s="533">
        <f t="shared" si="75"/>
        <v>13</v>
      </c>
      <c r="K157" s="534">
        <f>E157/D157</f>
        <v>0.00103911865662437</v>
      </c>
      <c r="L157" s="535">
        <f t="shared" si="68"/>
        <v>0.627420696827873</v>
      </c>
      <c r="M157" s="535">
        <f>C157/D157*1000</f>
        <v>0.651964551626109</v>
      </c>
      <c r="N157" s="535">
        <f t="shared" si="69"/>
        <v>2.53909973229012</v>
      </c>
      <c r="O157" s="535">
        <f t="shared" si="70"/>
        <v>0.000260010400416017</v>
      </c>
      <c r="P157" s="536">
        <f t="shared" si="71"/>
        <v>10.3564806866953</v>
      </c>
      <c r="Q157" s="531">
        <f t="shared" si="72"/>
        <v>466</v>
      </c>
      <c r="R157" s="537">
        <f t="shared" si="73"/>
        <v>0.0605824232969319</v>
      </c>
    </row>
    <row r="158" hidden="1" spans="1:18">
      <c r="A158" s="524">
        <v>45470</v>
      </c>
      <c r="B158" s="24" t="s">
        <v>91</v>
      </c>
      <c r="C158" s="538">
        <v>0</v>
      </c>
      <c r="D158" s="539">
        <v>0</v>
      </c>
      <c r="E158" s="539">
        <v>0</v>
      </c>
      <c r="F158" s="539">
        <v>0</v>
      </c>
      <c r="G158" s="539">
        <v>0</v>
      </c>
      <c r="H158" s="539">
        <v>0</v>
      </c>
      <c r="I158" s="539">
        <v>0</v>
      </c>
      <c r="J158" s="539">
        <v>0</v>
      </c>
      <c r="K158" s="527">
        <f>IF(E158=0,0,E158/D158)</f>
        <v>0</v>
      </c>
      <c r="L158" s="528">
        <f t="shared" si="68"/>
        <v>0</v>
      </c>
      <c r="M158" s="528">
        <f>IF(D158=0,0,C158/D158*1000)</f>
        <v>0</v>
      </c>
      <c r="N158" s="528">
        <f t="shared" si="69"/>
        <v>0</v>
      </c>
      <c r="O158" s="528">
        <f t="shared" si="70"/>
        <v>0</v>
      </c>
      <c r="P158" s="529">
        <f t="shared" si="71"/>
        <v>0</v>
      </c>
      <c r="Q158" s="24">
        <f t="shared" si="72"/>
        <v>0</v>
      </c>
      <c r="R158" s="530">
        <f t="shared" si="73"/>
        <v>0</v>
      </c>
    </row>
    <row r="159" hidden="1" spans="1:18">
      <c r="A159" s="524"/>
      <c r="B159" s="24" t="s">
        <v>92</v>
      </c>
      <c r="C159" s="538">
        <v>199.78</v>
      </c>
      <c r="D159" s="539">
        <v>21212</v>
      </c>
      <c r="E159" s="539">
        <v>462</v>
      </c>
      <c r="F159" s="539">
        <v>0</v>
      </c>
      <c r="G159" s="539">
        <v>0</v>
      </c>
      <c r="H159" s="539">
        <v>6</v>
      </c>
      <c r="I159" s="539">
        <v>2</v>
      </c>
      <c r="J159" s="539">
        <v>5</v>
      </c>
      <c r="K159" s="527">
        <f>IF(E159=0,0,E159/D159)</f>
        <v>0.021780124457854</v>
      </c>
      <c r="L159" s="528">
        <f t="shared" si="68"/>
        <v>0.432424242424242</v>
      </c>
      <c r="M159" s="528">
        <f>IF(D159=0,0,C159/D159*1000)</f>
        <v>9.41825381859325</v>
      </c>
      <c r="N159" s="528">
        <f t="shared" si="69"/>
        <v>0</v>
      </c>
      <c r="O159" s="528">
        <f t="shared" si="70"/>
        <v>0</v>
      </c>
      <c r="P159" s="529">
        <f t="shared" si="71"/>
        <v>24.9725</v>
      </c>
      <c r="Q159" s="24">
        <f t="shared" si="72"/>
        <v>8</v>
      </c>
      <c r="R159" s="530">
        <f t="shared" si="73"/>
        <v>0.0173160173160173</v>
      </c>
    </row>
    <row r="160" hidden="1" spans="1:18">
      <c r="A160" s="524"/>
      <c r="B160" s="24" t="s">
        <v>93</v>
      </c>
      <c r="C160" s="538">
        <v>3950.93</v>
      </c>
      <c r="D160" s="539">
        <v>492646</v>
      </c>
      <c r="E160" s="539">
        <v>3584</v>
      </c>
      <c r="F160" s="539">
        <v>0</v>
      </c>
      <c r="G160" s="539">
        <v>0</v>
      </c>
      <c r="H160" s="539">
        <v>65</v>
      </c>
      <c r="I160" s="539">
        <v>350</v>
      </c>
      <c r="J160" s="539">
        <v>5</v>
      </c>
      <c r="K160" s="527">
        <f>IF(E160=0,0,E160/D160)</f>
        <v>0.00727500071044929</v>
      </c>
      <c r="L160" s="528">
        <f t="shared" si="68"/>
        <v>1.10238002232143</v>
      </c>
      <c r="M160" s="528">
        <f>IF(D160=0,0,C160/D160*1000)</f>
        <v>8.01981544557349</v>
      </c>
      <c r="N160" s="528">
        <f t="shared" si="69"/>
        <v>0</v>
      </c>
      <c r="O160" s="528">
        <f t="shared" si="70"/>
        <v>0</v>
      </c>
      <c r="P160" s="529">
        <f t="shared" si="71"/>
        <v>9.52031325301205</v>
      </c>
      <c r="Q160" s="24">
        <f t="shared" si="72"/>
        <v>415</v>
      </c>
      <c r="R160" s="530">
        <f t="shared" si="73"/>
        <v>0.115792410714286</v>
      </c>
    </row>
    <row r="161" hidden="1" spans="1:18">
      <c r="A161" s="524"/>
      <c r="B161" s="24" t="s">
        <v>94</v>
      </c>
      <c r="C161" s="538">
        <v>0</v>
      </c>
      <c r="D161" s="539">
        <v>0</v>
      </c>
      <c r="E161" s="539">
        <v>0</v>
      </c>
      <c r="F161" s="539">
        <v>0</v>
      </c>
      <c r="G161" s="539">
        <v>0</v>
      </c>
      <c r="H161" s="539">
        <v>0</v>
      </c>
      <c r="I161" s="539">
        <v>0</v>
      </c>
      <c r="J161" s="539">
        <v>0</v>
      </c>
      <c r="K161" s="527">
        <f>IF(E161=0,0,E161/D161)</f>
        <v>0</v>
      </c>
      <c r="L161" s="528">
        <f t="shared" si="68"/>
        <v>0</v>
      </c>
      <c r="M161" s="528">
        <f>IF(D161=0,0,C161/D161*1000)</f>
        <v>0</v>
      </c>
      <c r="N161" s="528">
        <f t="shared" si="69"/>
        <v>0</v>
      </c>
      <c r="O161" s="528">
        <f t="shared" si="70"/>
        <v>0</v>
      </c>
      <c r="P161" s="529">
        <f t="shared" si="71"/>
        <v>0</v>
      </c>
      <c r="Q161" s="24">
        <f t="shared" si="72"/>
        <v>0</v>
      </c>
      <c r="R161" s="530">
        <f t="shared" si="73"/>
        <v>0</v>
      </c>
    </row>
    <row r="162" hidden="1" spans="1:18">
      <c r="A162" s="524"/>
      <c r="B162" s="24" t="s">
        <v>95</v>
      </c>
      <c r="C162" s="538">
        <v>196.94</v>
      </c>
      <c r="D162" s="539">
        <v>863760</v>
      </c>
      <c r="E162" s="539">
        <v>2157</v>
      </c>
      <c r="F162" s="539">
        <v>0</v>
      </c>
      <c r="G162" s="539">
        <v>0</v>
      </c>
      <c r="H162" s="539">
        <v>2</v>
      </c>
      <c r="I162" s="539">
        <v>3</v>
      </c>
      <c r="J162" s="539">
        <v>0</v>
      </c>
      <c r="K162" s="527">
        <f>IF(E162=0,0,E162/D162)</f>
        <v>0.00249722145040289</v>
      </c>
      <c r="L162" s="528">
        <f t="shared" si="68"/>
        <v>0.0913027352804821</v>
      </c>
      <c r="M162" s="528">
        <f>IF(D162=0,0,C162/D162*1000)</f>
        <v>0.228003149022877</v>
      </c>
      <c r="N162" s="528">
        <f t="shared" si="69"/>
        <v>0</v>
      </c>
      <c r="O162" s="528">
        <f t="shared" si="70"/>
        <v>0</v>
      </c>
      <c r="P162" s="529">
        <f t="shared" si="71"/>
        <v>39.388</v>
      </c>
      <c r="Q162" s="24">
        <f t="shared" si="72"/>
        <v>5</v>
      </c>
      <c r="R162" s="530">
        <f t="shared" si="73"/>
        <v>0.00231803430690774</v>
      </c>
    </row>
    <row r="163" hidden="1" spans="1:18">
      <c r="A163" s="524"/>
      <c r="B163" s="531" t="s">
        <v>96</v>
      </c>
      <c r="C163" s="532">
        <f t="shared" ref="C163:J163" si="76">SUM(C158:C162)</f>
        <v>4347.65</v>
      </c>
      <c r="D163" s="533">
        <f t="shared" si="76"/>
        <v>1377618</v>
      </c>
      <c r="E163" s="533">
        <f t="shared" si="76"/>
        <v>6203</v>
      </c>
      <c r="F163" s="533">
        <f t="shared" si="76"/>
        <v>0</v>
      </c>
      <c r="G163" s="533">
        <f t="shared" si="76"/>
        <v>0</v>
      </c>
      <c r="H163" s="533">
        <f t="shared" si="76"/>
        <v>73</v>
      </c>
      <c r="I163" s="533">
        <f t="shared" si="76"/>
        <v>355</v>
      </c>
      <c r="J163" s="533">
        <f t="shared" si="76"/>
        <v>10</v>
      </c>
      <c r="K163" s="534">
        <f>E163/D163</f>
        <v>0.00450269958725859</v>
      </c>
      <c r="L163" s="535">
        <f t="shared" si="68"/>
        <v>0.700894728357246</v>
      </c>
      <c r="M163" s="535">
        <f>C163/D163*1000</f>
        <v>3.15591840408589</v>
      </c>
      <c r="N163" s="535">
        <f t="shared" si="69"/>
        <v>0</v>
      </c>
      <c r="O163" s="535">
        <f t="shared" si="70"/>
        <v>0</v>
      </c>
      <c r="P163" s="536">
        <f t="shared" si="71"/>
        <v>10.1580607476636</v>
      </c>
      <c r="Q163" s="531">
        <f t="shared" si="72"/>
        <v>428</v>
      </c>
      <c r="R163" s="537">
        <f t="shared" si="73"/>
        <v>0.0689988715137837</v>
      </c>
    </row>
    <row r="164" hidden="1" spans="1:18">
      <c r="A164" s="524">
        <v>45471</v>
      </c>
      <c r="B164" s="24" t="s">
        <v>91</v>
      </c>
      <c r="C164" s="540">
        <v>199.39</v>
      </c>
      <c r="D164" s="540">
        <v>21259</v>
      </c>
      <c r="E164" s="540">
        <v>460</v>
      </c>
      <c r="F164" s="540">
        <v>0</v>
      </c>
      <c r="G164" s="540">
        <v>0</v>
      </c>
      <c r="H164" s="540">
        <v>3</v>
      </c>
      <c r="I164" s="540">
        <v>2</v>
      </c>
      <c r="J164" s="540">
        <v>2</v>
      </c>
      <c r="K164" s="527">
        <f>IF(E164=0,0,E164/D164)</f>
        <v>0.0216378945387836</v>
      </c>
      <c r="L164" s="528">
        <f t="shared" ref="L164:L227" si="77">IF(C164=0,0,C164/E164)</f>
        <v>0.43345652173913</v>
      </c>
      <c r="M164" s="528">
        <f>IF(D164=0,0,C164/D164*1000)</f>
        <v>9.37908650453925</v>
      </c>
      <c r="N164" s="528">
        <f t="shared" ref="N164:N227" si="78">IF(G164=0,0,G164/C164)</f>
        <v>0</v>
      </c>
      <c r="O164" s="528">
        <f t="shared" ref="O164:O227" si="79">IF(F164=0,0,F164/E164)</f>
        <v>0</v>
      </c>
      <c r="P164" s="529">
        <f t="shared" ref="P164:P227" si="80">IF(H164+I164=0,0,C164/(H164+I164))</f>
        <v>39.878</v>
      </c>
      <c r="Q164" s="24">
        <f t="shared" ref="Q164:Q227" si="81">H164+I164</f>
        <v>5</v>
      </c>
      <c r="R164" s="530">
        <f t="shared" ref="R164:R227" si="82">IF(Q164=0,0,Q164/E164)</f>
        <v>0.0108695652173913</v>
      </c>
    </row>
    <row r="165" hidden="1" spans="1:18">
      <c r="A165" s="524"/>
      <c r="B165" s="24" t="s">
        <v>92</v>
      </c>
      <c r="C165" s="540">
        <v>0</v>
      </c>
      <c r="D165" s="540">
        <v>0</v>
      </c>
      <c r="E165" s="540">
        <v>0</v>
      </c>
      <c r="F165" s="540">
        <v>0</v>
      </c>
      <c r="G165" s="540">
        <v>0</v>
      </c>
      <c r="H165" s="540">
        <v>0</v>
      </c>
      <c r="I165" s="540">
        <v>0</v>
      </c>
      <c r="J165" s="540">
        <v>0</v>
      </c>
      <c r="K165" s="527">
        <f>IF(E165=0,0,E165/D165)</f>
        <v>0</v>
      </c>
      <c r="L165" s="528">
        <f t="shared" si="77"/>
        <v>0</v>
      </c>
      <c r="M165" s="528">
        <f>IF(D165=0,0,C165/D165*1000)</f>
        <v>0</v>
      </c>
      <c r="N165" s="528">
        <f t="shared" si="78"/>
        <v>0</v>
      </c>
      <c r="O165" s="528">
        <f t="shared" si="79"/>
        <v>0</v>
      </c>
      <c r="P165" s="529">
        <f t="shared" si="80"/>
        <v>0</v>
      </c>
      <c r="Q165" s="24">
        <f t="shared" si="81"/>
        <v>0</v>
      </c>
      <c r="R165" s="530">
        <f t="shared" si="82"/>
        <v>0</v>
      </c>
    </row>
    <row r="166" hidden="1" spans="1:18">
      <c r="A166" s="524"/>
      <c r="B166" s="24" t="s">
        <v>93</v>
      </c>
      <c r="C166" s="540">
        <v>3965.92</v>
      </c>
      <c r="D166" s="540">
        <v>515142</v>
      </c>
      <c r="E166" s="540">
        <v>5216</v>
      </c>
      <c r="F166" s="540">
        <v>0</v>
      </c>
      <c r="G166" s="540">
        <v>0</v>
      </c>
      <c r="H166" s="540">
        <v>52</v>
      </c>
      <c r="I166" s="540">
        <v>340</v>
      </c>
      <c r="J166" s="540">
        <v>7</v>
      </c>
      <c r="K166" s="527">
        <f>IF(E166=0,0,E166/D166)</f>
        <v>0.010125363492008</v>
      </c>
      <c r="L166" s="528">
        <f t="shared" si="77"/>
        <v>0.760337423312883</v>
      </c>
      <c r="M166" s="528">
        <f>IF(D166=0,0,C166/D166*1000)</f>
        <v>7.69869278761972</v>
      </c>
      <c r="N166" s="528">
        <f t="shared" si="78"/>
        <v>0</v>
      </c>
      <c r="O166" s="528">
        <f t="shared" si="79"/>
        <v>0</v>
      </c>
      <c r="P166" s="529">
        <f t="shared" si="80"/>
        <v>10.1171428571429</v>
      </c>
      <c r="Q166" s="24">
        <f t="shared" si="81"/>
        <v>392</v>
      </c>
      <c r="R166" s="530">
        <f t="shared" si="82"/>
        <v>0.0751533742331288</v>
      </c>
    </row>
    <row r="167" hidden="1" spans="1:18">
      <c r="A167" s="524"/>
      <c r="B167" s="24" t="s">
        <v>94</v>
      </c>
      <c r="C167" s="540">
        <v>0</v>
      </c>
      <c r="D167" s="540">
        <v>0</v>
      </c>
      <c r="E167" s="540">
        <v>0</v>
      </c>
      <c r="F167" s="540">
        <v>0</v>
      </c>
      <c r="G167" s="540">
        <v>0</v>
      </c>
      <c r="H167" s="540">
        <v>0</v>
      </c>
      <c r="I167" s="540">
        <v>0</v>
      </c>
      <c r="J167" s="540">
        <v>0</v>
      </c>
      <c r="K167" s="527">
        <f>IF(E167=0,0,E167/D167)</f>
        <v>0</v>
      </c>
      <c r="L167" s="528">
        <f t="shared" si="77"/>
        <v>0</v>
      </c>
      <c r="M167" s="528">
        <f>IF(D167=0,0,C167/D167*1000)</f>
        <v>0</v>
      </c>
      <c r="N167" s="528">
        <f t="shared" si="78"/>
        <v>0</v>
      </c>
      <c r="O167" s="528">
        <f t="shared" si="79"/>
        <v>0</v>
      </c>
      <c r="P167" s="529">
        <f t="shared" si="80"/>
        <v>0</v>
      </c>
      <c r="Q167" s="24">
        <f t="shared" si="81"/>
        <v>0</v>
      </c>
      <c r="R167" s="530">
        <f t="shared" si="82"/>
        <v>0</v>
      </c>
    </row>
    <row r="168" hidden="1" spans="1:18">
      <c r="A168" s="524"/>
      <c r="B168" s="24" t="s">
        <v>95</v>
      </c>
      <c r="C168" s="540">
        <v>196.9</v>
      </c>
      <c r="D168" s="540">
        <v>709320</v>
      </c>
      <c r="E168" s="540">
        <v>1896</v>
      </c>
      <c r="F168" s="540">
        <v>0</v>
      </c>
      <c r="G168" s="540">
        <v>0</v>
      </c>
      <c r="H168" s="540">
        <v>0</v>
      </c>
      <c r="I168" s="540">
        <v>2</v>
      </c>
      <c r="J168" s="540">
        <v>0</v>
      </c>
      <c r="K168" s="527">
        <f>IF(E168=0,0,E168/D168)</f>
        <v>0.00267298257486043</v>
      </c>
      <c r="L168" s="528">
        <f t="shared" si="77"/>
        <v>0.103850210970464</v>
      </c>
      <c r="M168" s="528">
        <f>IF(D168=0,0,C168/D168*1000)</f>
        <v>0.27758980431963</v>
      </c>
      <c r="N168" s="528">
        <f t="shared" si="78"/>
        <v>0</v>
      </c>
      <c r="O168" s="528">
        <f t="shared" si="79"/>
        <v>0</v>
      </c>
      <c r="P168" s="529">
        <f t="shared" si="80"/>
        <v>98.45</v>
      </c>
      <c r="Q168" s="24">
        <f t="shared" si="81"/>
        <v>2</v>
      </c>
      <c r="R168" s="530">
        <f t="shared" si="82"/>
        <v>0.00105485232067511</v>
      </c>
    </row>
    <row r="169" hidden="1" spans="1:18">
      <c r="A169" s="524"/>
      <c r="B169" s="531" t="s">
        <v>96</v>
      </c>
      <c r="C169" s="532">
        <f t="shared" ref="C169:J169" si="83">SUM(C164:C168)</f>
        <v>4362.21</v>
      </c>
      <c r="D169" s="533">
        <f t="shared" si="83"/>
        <v>1245721</v>
      </c>
      <c r="E169" s="533">
        <f t="shared" si="83"/>
        <v>7572</v>
      </c>
      <c r="F169" s="533">
        <f t="shared" si="83"/>
        <v>0</v>
      </c>
      <c r="G169" s="533">
        <f t="shared" si="83"/>
        <v>0</v>
      </c>
      <c r="H169" s="533">
        <f t="shared" si="83"/>
        <v>55</v>
      </c>
      <c r="I169" s="533">
        <f t="shared" si="83"/>
        <v>344</v>
      </c>
      <c r="J169" s="533">
        <f t="shared" si="83"/>
        <v>9</v>
      </c>
      <c r="K169" s="534">
        <f>E169/D169</f>
        <v>0.00607840760491314</v>
      </c>
      <c r="L169" s="535">
        <f t="shared" si="77"/>
        <v>0.576097464342314</v>
      </c>
      <c r="M169" s="535">
        <f>C169/D169*1000</f>
        <v>3.5017552084295</v>
      </c>
      <c r="N169" s="535">
        <f t="shared" si="78"/>
        <v>0</v>
      </c>
      <c r="O169" s="535">
        <f t="shared" si="79"/>
        <v>0</v>
      </c>
      <c r="P169" s="536">
        <f t="shared" si="80"/>
        <v>10.9328571428571</v>
      </c>
      <c r="Q169" s="531">
        <f t="shared" si="81"/>
        <v>399</v>
      </c>
      <c r="R169" s="537">
        <f t="shared" si="82"/>
        <v>0.0526941362916006</v>
      </c>
    </row>
    <row r="170" hidden="1" spans="1:18">
      <c r="A170" s="524">
        <v>45472</v>
      </c>
      <c r="B170" s="24" t="s">
        <v>91</v>
      </c>
      <c r="C170" s="540">
        <v>199.57</v>
      </c>
      <c r="D170" s="540">
        <v>24652</v>
      </c>
      <c r="E170" s="540">
        <v>602</v>
      </c>
      <c r="F170" s="540">
        <v>0</v>
      </c>
      <c r="G170" s="540">
        <v>0</v>
      </c>
      <c r="H170" s="540">
        <v>3</v>
      </c>
      <c r="I170" s="540">
        <v>4</v>
      </c>
      <c r="J170" s="540">
        <v>11</v>
      </c>
      <c r="K170" s="527">
        <f>IF(E170=0,0,E170/D170)</f>
        <v>0.0244199253610255</v>
      </c>
      <c r="L170" s="528">
        <f t="shared" si="77"/>
        <v>0.331511627906977</v>
      </c>
      <c r="M170" s="528">
        <f>IF(D170=0,0,C170/D170*1000)</f>
        <v>8.09548920980042</v>
      </c>
      <c r="N170" s="528">
        <f t="shared" si="78"/>
        <v>0</v>
      </c>
      <c r="O170" s="528">
        <f t="shared" si="79"/>
        <v>0</v>
      </c>
      <c r="P170" s="529">
        <f t="shared" si="80"/>
        <v>28.51</v>
      </c>
      <c r="Q170" s="24">
        <f t="shared" si="81"/>
        <v>7</v>
      </c>
      <c r="R170" s="530">
        <f t="shared" si="82"/>
        <v>0.0116279069767442</v>
      </c>
    </row>
    <row r="171" hidden="1" spans="1:18">
      <c r="A171" s="524"/>
      <c r="B171" s="24" t="s">
        <v>92</v>
      </c>
      <c r="C171" s="540">
        <v>0</v>
      </c>
      <c r="D171" s="540">
        <v>0</v>
      </c>
      <c r="E171" s="540">
        <v>0</v>
      </c>
      <c r="F171" s="540">
        <v>0</v>
      </c>
      <c r="G171" s="540">
        <v>0</v>
      </c>
      <c r="H171" s="540">
        <v>0</v>
      </c>
      <c r="I171" s="540">
        <v>0</v>
      </c>
      <c r="J171" s="540">
        <v>0</v>
      </c>
      <c r="K171" s="527">
        <f>IF(E171=0,0,E171/D171)</f>
        <v>0</v>
      </c>
      <c r="L171" s="528">
        <f t="shared" si="77"/>
        <v>0</v>
      </c>
      <c r="M171" s="528">
        <f>IF(D171=0,0,C171/D171*1000)</f>
        <v>0</v>
      </c>
      <c r="N171" s="528">
        <f t="shared" si="78"/>
        <v>0</v>
      </c>
      <c r="O171" s="528">
        <f t="shared" si="79"/>
        <v>0</v>
      </c>
      <c r="P171" s="529">
        <f t="shared" si="80"/>
        <v>0</v>
      </c>
      <c r="Q171" s="24">
        <f t="shared" si="81"/>
        <v>0</v>
      </c>
      <c r="R171" s="530">
        <f t="shared" si="82"/>
        <v>0</v>
      </c>
    </row>
    <row r="172" hidden="1" spans="1:18">
      <c r="A172" s="524"/>
      <c r="B172" s="24" t="s">
        <v>93</v>
      </c>
      <c r="C172" s="540">
        <v>3893.59</v>
      </c>
      <c r="D172" s="540">
        <v>313991</v>
      </c>
      <c r="E172" s="540">
        <v>4575</v>
      </c>
      <c r="F172" s="540">
        <v>0</v>
      </c>
      <c r="G172" s="540">
        <v>0</v>
      </c>
      <c r="H172" s="540">
        <v>45</v>
      </c>
      <c r="I172" s="540">
        <v>317</v>
      </c>
      <c r="J172" s="540">
        <v>13</v>
      </c>
      <c r="K172" s="527">
        <f>IF(E172=0,0,E172/D172)</f>
        <v>0.0145704813195283</v>
      </c>
      <c r="L172" s="528">
        <f t="shared" si="77"/>
        <v>0.851057923497268</v>
      </c>
      <c r="M172" s="528">
        <f>IF(D172=0,0,C172/D172*1000)</f>
        <v>12.4003235761535</v>
      </c>
      <c r="N172" s="528">
        <f t="shared" si="78"/>
        <v>0</v>
      </c>
      <c r="O172" s="528">
        <f t="shared" si="79"/>
        <v>0</v>
      </c>
      <c r="P172" s="529">
        <f t="shared" si="80"/>
        <v>10.755773480663</v>
      </c>
      <c r="Q172" s="24">
        <f t="shared" si="81"/>
        <v>362</v>
      </c>
      <c r="R172" s="530">
        <f t="shared" si="82"/>
        <v>0.0791256830601093</v>
      </c>
    </row>
    <row r="173" hidden="1" spans="1:18">
      <c r="A173" s="524"/>
      <c r="B173" s="24" t="s">
        <v>94</v>
      </c>
      <c r="C173" s="540">
        <v>0</v>
      </c>
      <c r="D173" s="540">
        <v>0</v>
      </c>
      <c r="E173" s="540">
        <v>0</v>
      </c>
      <c r="F173" s="540">
        <v>0</v>
      </c>
      <c r="G173" s="540">
        <v>0</v>
      </c>
      <c r="H173" s="540">
        <v>0</v>
      </c>
      <c r="I173" s="540">
        <v>0</v>
      </c>
      <c r="J173" s="540">
        <v>0</v>
      </c>
      <c r="K173" s="527">
        <f>IF(E173=0,0,E173/D173)</f>
        <v>0</v>
      </c>
      <c r="L173" s="528">
        <f t="shared" si="77"/>
        <v>0</v>
      </c>
      <c r="M173" s="528">
        <f>IF(D173=0,0,C173/D173*1000)</f>
        <v>0</v>
      </c>
      <c r="N173" s="528">
        <f t="shared" si="78"/>
        <v>0</v>
      </c>
      <c r="O173" s="528">
        <f t="shared" si="79"/>
        <v>0</v>
      </c>
      <c r="P173" s="529">
        <f t="shared" si="80"/>
        <v>0</v>
      </c>
      <c r="Q173" s="24">
        <f t="shared" si="81"/>
        <v>0</v>
      </c>
      <c r="R173" s="530">
        <f t="shared" si="82"/>
        <v>0</v>
      </c>
    </row>
    <row r="174" hidden="1" spans="1:18">
      <c r="A174" s="524"/>
      <c r="B174" s="24" t="s">
        <v>95</v>
      </c>
      <c r="C174" s="540">
        <v>197.55</v>
      </c>
      <c r="D174" s="540">
        <v>1547770</v>
      </c>
      <c r="E174" s="540">
        <v>2847</v>
      </c>
      <c r="F174" s="540">
        <v>0</v>
      </c>
      <c r="G174" s="540">
        <v>0</v>
      </c>
      <c r="H174" s="540">
        <v>3</v>
      </c>
      <c r="I174" s="540">
        <v>1</v>
      </c>
      <c r="J174" s="540">
        <v>1</v>
      </c>
      <c r="K174" s="527">
        <f>IF(E174=0,0,E174/D174)</f>
        <v>0.00183942058574594</v>
      </c>
      <c r="L174" s="528">
        <f t="shared" si="77"/>
        <v>0.0693888303477345</v>
      </c>
      <c r="M174" s="528">
        <f>IF(D174=0,0,C174/D174*1000)</f>
        <v>0.127635242962456</v>
      </c>
      <c r="N174" s="528">
        <f t="shared" si="78"/>
        <v>0</v>
      </c>
      <c r="O174" s="528">
        <f t="shared" si="79"/>
        <v>0</v>
      </c>
      <c r="P174" s="529">
        <f t="shared" si="80"/>
        <v>49.3875</v>
      </c>
      <c r="Q174" s="24">
        <f t="shared" si="81"/>
        <v>4</v>
      </c>
      <c r="R174" s="530">
        <f t="shared" si="82"/>
        <v>0.00140498770635757</v>
      </c>
    </row>
    <row r="175" hidden="1" spans="1:18">
      <c r="A175" s="524"/>
      <c r="B175" s="531" t="s">
        <v>96</v>
      </c>
      <c r="C175" s="532">
        <f t="shared" ref="C175:J175" si="84">SUM(C170:C174)</f>
        <v>4290.71</v>
      </c>
      <c r="D175" s="533">
        <f t="shared" si="84"/>
        <v>1886413</v>
      </c>
      <c r="E175" s="533">
        <f t="shared" si="84"/>
        <v>8024</v>
      </c>
      <c r="F175" s="533">
        <f t="shared" si="84"/>
        <v>0</v>
      </c>
      <c r="G175" s="533">
        <f t="shared" si="84"/>
        <v>0</v>
      </c>
      <c r="H175" s="533">
        <f t="shared" si="84"/>
        <v>51</v>
      </c>
      <c r="I175" s="533">
        <f t="shared" si="84"/>
        <v>322</v>
      </c>
      <c r="J175" s="533">
        <f t="shared" si="84"/>
        <v>25</v>
      </c>
      <c r="K175" s="534">
        <f>E175/D175</f>
        <v>0.00425357543655605</v>
      </c>
      <c r="L175" s="535">
        <f t="shared" si="77"/>
        <v>0.534734546360917</v>
      </c>
      <c r="M175" s="535">
        <f>C175/D175*1000</f>
        <v>2.27453373147874</v>
      </c>
      <c r="N175" s="535">
        <f t="shared" si="78"/>
        <v>0</v>
      </c>
      <c r="O175" s="535">
        <f t="shared" si="79"/>
        <v>0</v>
      </c>
      <c r="P175" s="536">
        <f t="shared" si="80"/>
        <v>11.5032439678284</v>
      </c>
      <c r="Q175" s="531">
        <f t="shared" si="81"/>
        <v>373</v>
      </c>
      <c r="R175" s="537">
        <f t="shared" si="82"/>
        <v>0.0464855433698903</v>
      </c>
    </row>
    <row r="176" hidden="1" spans="1:18">
      <c r="A176" s="524">
        <v>45473</v>
      </c>
      <c r="B176" s="24" t="s">
        <v>91</v>
      </c>
      <c r="C176" s="540">
        <v>199.51</v>
      </c>
      <c r="D176" s="540">
        <v>24120</v>
      </c>
      <c r="E176" s="540">
        <v>593</v>
      </c>
      <c r="F176" s="540">
        <v>0</v>
      </c>
      <c r="G176" s="540">
        <v>0</v>
      </c>
      <c r="H176" s="540">
        <v>1</v>
      </c>
      <c r="I176" s="540">
        <v>2</v>
      </c>
      <c r="J176" s="540">
        <v>12</v>
      </c>
      <c r="K176" s="527">
        <f>IF(E176=0,0,E176/D176)</f>
        <v>0.0245854063018242</v>
      </c>
      <c r="L176" s="528">
        <f t="shared" si="77"/>
        <v>0.336441821247892</v>
      </c>
      <c r="M176" s="528">
        <f>IF(D176=0,0,C176/D176*1000)</f>
        <v>8.27155887230514</v>
      </c>
      <c r="N176" s="528">
        <f t="shared" si="78"/>
        <v>0</v>
      </c>
      <c r="O176" s="528">
        <f t="shared" si="79"/>
        <v>0</v>
      </c>
      <c r="P176" s="529">
        <f t="shared" si="80"/>
        <v>66.5033333333333</v>
      </c>
      <c r="Q176" s="24">
        <f t="shared" si="81"/>
        <v>3</v>
      </c>
      <c r="R176" s="530">
        <f t="shared" si="82"/>
        <v>0.00505902192242833</v>
      </c>
    </row>
    <row r="177" hidden="1" spans="1:18">
      <c r="A177" s="524"/>
      <c r="B177" s="24" t="s">
        <v>92</v>
      </c>
      <c r="C177" s="540">
        <v>0</v>
      </c>
      <c r="D177" s="540">
        <v>0</v>
      </c>
      <c r="E177" s="540">
        <v>0</v>
      </c>
      <c r="F177" s="540">
        <v>0</v>
      </c>
      <c r="G177" s="540">
        <v>0</v>
      </c>
      <c r="H177" s="540">
        <v>0</v>
      </c>
      <c r="I177" s="540">
        <v>0</v>
      </c>
      <c r="J177" s="540">
        <v>0</v>
      </c>
      <c r="K177" s="527">
        <f>IF(E177=0,0,E177/D177)</f>
        <v>0</v>
      </c>
      <c r="L177" s="528">
        <f t="shared" si="77"/>
        <v>0</v>
      </c>
      <c r="M177" s="528">
        <f>IF(D177=0,0,C177/D177*1000)</f>
        <v>0</v>
      </c>
      <c r="N177" s="528">
        <f t="shared" si="78"/>
        <v>0</v>
      </c>
      <c r="O177" s="528">
        <f t="shared" si="79"/>
        <v>0</v>
      </c>
      <c r="P177" s="529">
        <f t="shared" si="80"/>
        <v>0</v>
      </c>
      <c r="Q177" s="24">
        <f t="shared" si="81"/>
        <v>0</v>
      </c>
      <c r="R177" s="530">
        <f t="shared" si="82"/>
        <v>0</v>
      </c>
    </row>
    <row r="178" hidden="1" spans="1:18">
      <c r="A178" s="524"/>
      <c r="B178" s="24" t="s">
        <v>93</v>
      </c>
      <c r="C178" s="540">
        <v>3974.86</v>
      </c>
      <c r="D178" s="540">
        <v>407571</v>
      </c>
      <c r="E178" s="540">
        <v>4587</v>
      </c>
      <c r="F178" s="540">
        <v>1</v>
      </c>
      <c r="G178" s="540">
        <v>16454</v>
      </c>
      <c r="H178" s="540">
        <v>63</v>
      </c>
      <c r="I178" s="540">
        <v>376</v>
      </c>
      <c r="J178" s="540">
        <v>17</v>
      </c>
      <c r="K178" s="527">
        <f>IF(E178=0,0,E178/D178)</f>
        <v>0.0112544808143857</v>
      </c>
      <c r="L178" s="528">
        <f t="shared" si="77"/>
        <v>0.866548942664051</v>
      </c>
      <c r="M178" s="528">
        <f>IF(D178=0,0,C178/D178*1000)</f>
        <v>9.75255844993878</v>
      </c>
      <c r="N178" s="528">
        <f t="shared" si="78"/>
        <v>4.13951686348702</v>
      </c>
      <c r="O178" s="528">
        <f t="shared" si="79"/>
        <v>0.000218007412252017</v>
      </c>
      <c r="P178" s="529">
        <f t="shared" si="80"/>
        <v>9.05435079726652</v>
      </c>
      <c r="Q178" s="24">
        <f t="shared" si="81"/>
        <v>439</v>
      </c>
      <c r="R178" s="530">
        <f t="shared" si="82"/>
        <v>0.0957052539786353</v>
      </c>
    </row>
    <row r="179" hidden="1" spans="1:18">
      <c r="A179" s="524"/>
      <c r="B179" s="24" t="s">
        <v>94</v>
      </c>
      <c r="C179" s="540">
        <v>0</v>
      </c>
      <c r="D179" s="540">
        <v>0</v>
      </c>
      <c r="E179" s="540">
        <v>0</v>
      </c>
      <c r="F179" s="540">
        <v>0</v>
      </c>
      <c r="G179" s="540">
        <v>0</v>
      </c>
      <c r="H179" s="540">
        <v>0</v>
      </c>
      <c r="I179" s="540">
        <v>0</v>
      </c>
      <c r="J179" s="540">
        <v>0</v>
      </c>
      <c r="K179" s="527">
        <f>IF(E179=0,0,E179/D179)</f>
        <v>0</v>
      </c>
      <c r="L179" s="528">
        <f t="shared" si="77"/>
        <v>0</v>
      </c>
      <c r="M179" s="528">
        <f>IF(D179=0,0,C179/D179*1000)</f>
        <v>0</v>
      </c>
      <c r="N179" s="528">
        <f t="shared" si="78"/>
        <v>0</v>
      </c>
      <c r="O179" s="528">
        <f t="shared" si="79"/>
        <v>0</v>
      </c>
      <c r="P179" s="529">
        <f t="shared" si="80"/>
        <v>0</v>
      </c>
      <c r="Q179" s="24">
        <f t="shared" si="81"/>
        <v>0</v>
      </c>
      <c r="R179" s="530">
        <f t="shared" si="82"/>
        <v>0</v>
      </c>
    </row>
    <row r="180" hidden="1" spans="1:18">
      <c r="A180" s="524"/>
      <c r="B180" s="24" t="s">
        <v>95</v>
      </c>
      <c r="C180" s="540">
        <v>197.3</v>
      </c>
      <c r="D180" s="540">
        <v>1502407</v>
      </c>
      <c r="E180" s="540">
        <v>2812</v>
      </c>
      <c r="F180" s="540">
        <v>0</v>
      </c>
      <c r="G180" s="540">
        <v>0</v>
      </c>
      <c r="H180" s="540">
        <v>2</v>
      </c>
      <c r="I180" s="540">
        <v>4</v>
      </c>
      <c r="J180" s="540">
        <v>0</v>
      </c>
      <c r="K180" s="527">
        <f>IF(E180=0,0,E180/D180)</f>
        <v>0.00187166327100446</v>
      </c>
      <c r="L180" s="528">
        <f t="shared" si="77"/>
        <v>0.0701635846372688</v>
      </c>
      <c r="M180" s="528">
        <f>IF(D180=0,0,C180/D180*1000)</f>
        <v>0.131322604327589</v>
      </c>
      <c r="N180" s="528">
        <f t="shared" si="78"/>
        <v>0</v>
      </c>
      <c r="O180" s="528">
        <f t="shared" si="79"/>
        <v>0</v>
      </c>
      <c r="P180" s="529">
        <f t="shared" si="80"/>
        <v>32.8833333333333</v>
      </c>
      <c r="Q180" s="24">
        <f t="shared" si="81"/>
        <v>6</v>
      </c>
      <c r="R180" s="530">
        <f t="shared" si="82"/>
        <v>0.00213371266002845</v>
      </c>
    </row>
    <row r="181" hidden="1" spans="1:18">
      <c r="A181" s="524"/>
      <c r="B181" s="531" t="s">
        <v>96</v>
      </c>
      <c r="C181" s="532">
        <f t="shared" ref="C181:J181" si="85">SUM(C176:C180)</f>
        <v>4371.67</v>
      </c>
      <c r="D181" s="533">
        <f t="shared" si="85"/>
        <v>1934098</v>
      </c>
      <c r="E181" s="533">
        <f t="shared" si="85"/>
        <v>7992</v>
      </c>
      <c r="F181" s="533">
        <f t="shared" si="85"/>
        <v>1</v>
      </c>
      <c r="G181" s="533">
        <f t="shared" si="85"/>
        <v>16454</v>
      </c>
      <c r="H181" s="533">
        <f t="shared" si="85"/>
        <v>66</v>
      </c>
      <c r="I181" s="533">
        <f t="shared" si="85"/>
        <v>382</v>
      </c>
      <c r="J181" s="533">
        <f t="shared" si="85"/>
        <v>29</v>
      </c>
      <c r="K181" s="534">
        <f>E181/D181</f>
        <v>0.00413215876341323</v>
      </c>
      <c r="L181" s="535">
        <f t="shared" si="77"/>
        <v>0.547005755755756</v>
      </c>
      <c r="M181" s="535">
        <f>C181/D181*1000</f>
        <v>2.26031462728362</v>
      </c>
      <c r="N181" s="535">
        <f t="shared" si="78"/>
        <v>3.76377905926111</v>
      </c>
      <c r="O181" s="535">
        <f t="shared" si="79"/>
        <v>0.000125125125125125</v>
      </c>
      <c r="P181" s="536">
        <f t="shared" si="80"/>
        <v>9.75819196428571</v>
      </c>
      <c r="Q181" s="531">
        <f t="shared" si="81"/>
        <v>448</v>
      </c>
      <c r="R181" s="537">
        <f t="shared" si="82"/>
        <v>0.0560560560560561</v>
      </c>
    </row>
    <row r="182" hidden="1" spans="1:18">
      <c r="A182" s="524">
        <v>45474</v>
      </c>
      <c r="B182" s="24" t="s">
        <v>91</v>
      </c>
      <c r="C182" s="538">
        <v>199.81</v>
      </c>
      <c r="D182" s="539">
        <v>22296</v>
      </c>
      <c r="E182" s="539">
        <v>512</v>
      </c>
      <c r="F182" s="539">
        <v>0</v>
      </c>
      <c r="G182" s="539">
        <v>0</v>
      </c>
      <c r="H182" s="539">
        <v>1</v>
      </c>
      <c r="I182" s="539">
        <v>2</v>
      </c>
      <c r="J182" s="539">
        <v>7</v>
      </c>
      <c r="K182" s="527">
        <f>IF(E182=0,0,E182/D182)</f>
        <v>0.0229637603157517</v>
      </c>
      <c r="L182" s="528">
        <f t="shared" si="77"/>
        <v>0.39025390625</v>
      </c>
      <c r="M182" s="528">
        <f>IF(D182=0,0,C182/D182*1000)</f>
        <v>8.96169716541084</v>
      </c>
      <c r="N182" s="528">
        <f t="shared" si="78"/>
        <v>0</v>
      </c>
      <c r="O182" s="528">
        <f t="shared" si="79"/>
        <v>0</v>
      </c>
      <c r="P182" s="529">
        <f t="shared" si="80"/>
        <v>66.6033333333333</v>
      </c>
      <c r="Q182" s="24">
        <f t="shared" si="81"/>
        <v>3</v>
      </c>
      <c r="R182" s="530">
        <f t="shared" si="82"/>
        <v>0.005859375</v>
      </c>
    </row>
    <row r="183" hidden="1" spans="1:18">
      <c r="A183" s="524"/>
      <c r="B183" s="24" t="s">
        <v>92</v>
      </c>
      <c r="C183" s="538">
        <v>0</v>
      </c>
      <c r="D183" s="539">
        <v>0</v>
      </c>
      <c r="E183" s="539">
        <v>0</v>
      </c>
      <c r="F183" s="539">
        <v>0</v>
      </c>
      <c r="G183" s="539">
        <v>0</v>
      </c>
      <c r="H183" s="539">
        <v>0</v>
      </c>
      <c r="I183" s="539">
        <v>0</v>
      </c>
      <c r="J183" s="539">
        <v>0</v>
      </c>
      <c r="K183" s="527">
        <f>IF(E183=0,0,E183/D183)</f>
        <v>0</v>
      </c>
      <c r="L183" s="528">
        <f t="shared" si="77"/>
        <v>0</v>
      </c>
      <c r="M183" s="528">
        <f>IF(D183=0,0,C183/D183*1000)</f>
        <v>0</v>
      </c>
      <c r="N183" s="528">
        <f t="shared" si="78"/>
        <v>0</v>
      </c>
      <c r="O183" s="528">
        <f t="shared" si="79"/>
        <v>0</v>
      </c>
      <c r="P183" s="529">
        <f t="shared" si="80"/>
        <v>0</v>
      </c>
      <c r="Q183" s="24">
        <f t="shared" si="81"/>
        <v>0</v>
      </c>
      <c r="R183" s="530">
        <f t="shared" si="82"/>
        <v>0</v>
      </c>
    </row>
    <row r="184" hidden="1" spans="1:18">
      <c r="A184" s="524"/>
      <c r="B184" s="24" t="s">
        <v>93</v>
      </c>
      <c r="C184" s="538">
        <v>3478.89</v>
      </c>
      <c r="D184" s="539">
        <v>486030</v>
      </c>
      <c r="E184" s="539">
        <v>3718</v>
      </c>
      <c r="F184" s="539">
        <v>1</v>
      </c>
      <c r="G184" s="539">
        <v>33330</v>
      </c>
      <c r="H184" s="539">
        <v>61</v>
      </c>
      <c r="I184" s="539">
        <v>317</v>
      </c>
      <c r="J184" s="539">
        <v>7</v>
      </c>
      <c r="K184" s="527">
        <f>IF(E184=0,0,E184/D184)</f>
        <v>0.00764973355554184</v>
      </c>
      <c r="L184" s="528">
        <f t="shared" si="77"/>
        <v>0.935688542227004</v>
      </c>
      <c r="M184" s="528">
        <f>IF(D184=0,0,C184/D184*1000)</f>
        <v>7.15776803900994</v>
      </c>
      <c r="N184" s="528">
        <f t="shared" si="78"/>
        <v>9.58064210135992</v>
      </c>
      <c r="O184" s="528">
        <f t="shared" si="79"/>
        <v>0.000268961807423346</v>
      </c>
      <c r="P184" s="529">
        <f t="shared" si="80"/>
        <v>9.2034126984127</v>
      </c>
      <c r="Q184" s="24">
        <f t="shared" si="81"/>
        <v>378</v>
      </c>
      <c r="R184" s="530">
        <f t="shared" si="82"/>
        <v>0.101667563206025</v>
      </c>
    </row>
    <row r="185" hidden="1" spans="1:18">
      <c r="A185" s="524"/>
      <c r="B185" s="24" t="s">
        <v>95</v>
      </c>
      <c r="C185" s="538">
        <v>197.82</v>
      </c>
      <c r="D185" s="539">
        <v>1104488</v>
      </c>
      <c r="E185" s="539">
        <v>2692</v>
      </c>
      <c r="F185" s="539">
        <v>0</v>
      </c>
      <c r="G185" s="539">
        <v>0</v>
      </c>
      <c r="H185" s="539">
        <v>3</v>
      </c>
      <c r="I185" s="539">
        <v>4</v>
      </c>
      <c r="J185" s="539">
        <v>0</v>
      </c>
      <c r="K185" s="527">
        <f>IF(E185=0,0,E185/D185)</f>
        <v>0.00243732842728939</v>
      </c>
      <c r="L185" s="528">
        <f t="shared" si="77"/>
        <v>0.0734843982169391</v>
      </c>
      <c r="M185" s="528">
        <f>IF(D185=0,0,C185/D185*1000)</f>
        <v>0.179105612736399</v>
      </c>
      <c r="N185" s="528">
        <f t="shared" si="78"/>
        <v>0</v>
      </c>
      <c r="O185" s="528">
        <f t="shared" si="79"/>
        <v>0</v>
      </c>
      <c r="P185" s="529">
        <f t="shared" si="80"/>
        <v>28.26</v>
      </c>
      <c r="Q185" s="24">
        <f t="shared" si="81"/>
        <v>7</v>
      </c>
      <c r="R185" s="530">
        <f t="shared" si="82"/>
        <v>0.00260029717682021</v>
      </c>
    </row>
    <row r="186" hidden="1" spans="1:18">
      <c r="A186" s="524"/>
      <c r="B186" s="531" t="s">
        <v>96</v>
      </c>
      <c r="C186" s="532">
        <f t="shared" ref="C186:J186" si="86">SUM(C182:C185)</f>
        <v>3876.52</v>
      </c>
      <c r="D186" s="533">
        <f t="shared" si="86"/>
        <v>1612814</v>
      </c>
      <c r="E186" s="533">
        <f t="shared" si="86"/>
        <v>6922</v>
      </c>
      <c r="F186" s="533">
        <f t="shared" si="86"/>
        <v>1</v>
      </c>
      <c r="G186" s="533">
        <f t="shared" si="86"/>
        <v>33330</v>
      </c>
      <c r="H186" s="533">
        <f t="shared" si="86"/>
        <v>65</v>
      </c>
      <c r="I186" s="533">
        <f t="shared" si="86"/>
        <v>323</v>
      </c>
      <c r="J186" s="533">
        <f t="shared" si="86"/>
        <v>14</v>
      </c>
      <c r="K186" s="534">
        <f>E186/D186</f>
        <v>0.00429187742665924</v>
      </c>
      <c r="L186" s="535">
        <f t="shared" si="77"/>
        <v>0.560028893383415</v>
      </c>
      <c r="M186" s="535">
        <f>C186/D186*1000</f>
        <v>2.40357536578924</v>
      </c>
      <c r="N186" s="535">
        <f t="shared" si="78"/>
        <v>8.59791772001692</v>
      </c>
      <c r="O186" s="535">
        <f t="shared" si="79"/>
        <v>0.00014446691707599</v>
      </c>
      <c r="P186" s="536">
        <f t="shared" si="80"/>
        <v>9.99103092783505</v>
      </c>
      <c r="Q186" s="531">
        <f t="shared" si="81"/>
        <v>388</v>
      </c>
      <c r="R186" s="537">
        <f t="shared" si="82"/>
        <v>0.056053163825484</v>
      </c>
    </row>
    <row r="187" hidden="1" spans="1:18">
      <c r="A187" s="524">
        <v>45475</v>
      </c>
      <c r="B187" s="24" t="s">
        <v>91</v>
      </c>
      <c r="C187" s="538">
        <v>199.97</v>
      </c>
      <c r="D187" s="539">
        <v>16449</v>
      </c>
      <c r="E187" s="539">
        <v>390</v>
      </c>
      <c r="F187" s="539">
        <v>0</v>
      </c>
      <c r="G187" s="539">
        <v>0</v>
      </c>
      <c r="H187" s="539">
        <v>3</v>
      </c>
      <c r="I187" s="539">
        <v>2</v>
      </c>
      <c r="J187" s="539">
        <v>6</v>
      </c>
      <c r="K187" s="527">
        <f>IF(E187=0,0,E187/D187)</f>
        <v>0.0237096480029181</v>
      </c>
      <c r="L187" s="528">
        <f t="shared" si="77"/>
        <v>0.51274358974359</v>
      </c>
      <c r="M187" s="528">
        <f>IF(D187=0,0,C187/D187*1000)</f>
        <v>12.1569700285732</v>
      </c>
      <c r="N187" s="528">
        <f t="shared" si="78"/>
        <v>0</v>
      </c>
      <c r="O187" s="528">
        <f t="shared" si="79"/>
        <v>0</v>
      </c>
      <c r="P187" s="529">
        <f t="shared" si="80"/>
        <v>39.994</v>
      </c>
      <c r="Q187" s="24">
        <f t="shared" si="81"/>
        <v>5</v>
      </c>
      <c r="R187" s="530">
        <f t="shared" si="82"/>
        <v>0.0128205128205128</v>
      </c>
    </row>
    <row r="188" hidden="1" spans="1:18">
      <c r="A188" s="524"/>
      <c r="B188" s="24" t="s">
        <v>92</v>
      </c>
      <c r="C188" s="538">
        <v>0</v>
      </c>
      <c r="D188" s="539">
        <v>0</v>
      </c>
      <c r="E188" s="539">
        <v>0</v>
      </c>
      <c r="F188" s="539">
        <v>0</v>
      </c>
      <c r="G188" s="539">
        <v>0</v>
      </c>
      <c r="H188" s="539">
        <v>0</v>
      </c>
      <c r="I188" s="539">
        <v>0</v>
      </c>
      <c r="J188" s="539">
        <v>0</v>
      </c>
      <c r="K188" s="527">
        <f>IF(E188=0,0,E188/D188)</f>
        <v>0</v>
      </c>
      <c r="L188" s="528">
        <f t="shared" si="77"/>
        <v>0</v>
      </c>
      <c r="M188" s="528">
        <f>IF(D188=0,0,C188/D188*1000)</f>
        <v>0</v>
      </c>
      <c r="N188" s="528">
        <f t="shared" si="78"/>
        <v>0</v>
      </c>
      <c r="O188" s="528">
        <f t="shared" si="79"/>
        <v>0</v>
      </c>
      <c r="P188" s="529">
        <f t="shared" si="80"/>
        <v>0</v>
      </c>
      <c r="Q188" s="24">
        <f t="shared" si="81"/>
        <v>0</v>
      </c>
      <c r="R188" s="530">
        <f t="shared" si="82"/>
        <v>0</v>
      </c>
    </row>
    <row r="189" hidden="1" spans="1:18">
      <c r="A189" s="524"/>
      <c r="B189" s="24" t="s">
        <v>93</v>
      </c>
      <c r="C189" s="538">
        <v>2767.84</v>
      </c>
      <c r="D189" s="539">
        <v>411983</v>
      </c>
      <c r="E189" s="539">
        <v>3316</v>
      </c>
      <c r="F189" s="539">
        <v>0</v>
      </c>
      <c r="G189" s="539">
        <v>0</v>
      </c>
      <c r="H189" s="539">
        <v>53</v>
      </c>
      <c r="I189" s="539">
        <v>303</v>
      </c>
      <c r="J189" s="539">
        <v>11</v>
      </c>
      <c r="K189" s="527">
        <f>IF(E189=0,0,E189/D189)</f>
        <v>0.0080488758031278</v>
      </c>
      <c r="L189" s="528">
        <f t="shared" si="77"/>
        <v>0.834692400482509</v>
      </c>
      <c r="M189" s="528">
        <f>IF(D189=0,0,C189/D189*1000)</f>
        <v>6.71833546529833</v>
      </c>
      <c r="N189" s="528">
        <f t="shared" si="78"/>
        <v>0</v>
      </c>
      <c r="O189" s="528">
        <f t="shared" si="79"/>
        <v>0</v>
      </c>
      <c r="P189" s="529">
        <f t="shared" si="80"/>
        <v>7.77483146067416</v>
      </c>
      <c r="Q189" s="24">
        <f t="shared" si="81"/>
        <v>356</v>
      </c>
      <c r="R189" s="530">
        <f t="shared" si="82"/>
        <v>0.107358262967431</v>
      </c>
    </row>
    <row r="190" hidden="1" spans="1:18">
      <c r="A190" s="524"/>
      <c r="B190" s="24" t="s">
        <v>95</v>
      </c>
      <c r="C190" s="538">
        <v>197.63</v>
      </c>
      <c r="D190" s="539">
        <v>1158677</v>
      </c>
      <c r="E190" s="539">
        <v>2770</v>
      </c>
      <c r="F190" s="539">
        <v>0</v>
      </c>
      <c r="G190" s="539">
        <v>0</v>
      </c>
      <c r="H190" s="539">
        <v>2</v>
      </c>
      <c r="I190" s="539">
        <v>1</v>
      </c>
      <c r="J190" s="539">
        <v>2</v>
      </c>
      <c r="K190" s="527">
        <f>IF(E190=0,0,E190/D190)</f>
        <v>0.00239065762071742</v>
      </c>
      <c r="L190" s="528">
        <f t="shared" si="77"/>
        <v>0.0713465703971119</v>
      </c>
      <c r="M190" s="528">
        <f>IF(D190=0,0,C190/D190*1000)</f>
        <v>0.170565222231908</v>
      </c>
      <c r="N190" s="528">
        <f t="shared" si="78"/>
        <v>0</v>
      </c>
      <c r="O190" s="528">
        <f t="shared" si="79"/>
        <v>0</v>
      </c>
      <c r="P190" s="529">
        <f t="shared" si="80"/>
        <v>65.8766666666667</v>
      </c>
      <c r="Q190" s="24">
        <f t="shared" si="81"/>
        <v>3</v>
      </c>
      <c r="R190" s="530">
        <f t="shared" si="82"/>
        <v>0.00108303249097473</v>
      </c>
    </row>
    <row r="191" hidden="1" spans="1:18">
      <c r="A191" s="524"/>
      <c r="B191" s="531" t="s">
        <v>96</v>
      </c>
      <c r="C191" s="532">
        <f t="shared" ref="C191:J191" si="87">SUM(C187:C190)</f>
        <v>3165.44</v>
      </c>
      <c r="D191" s="533">
        <f t="shared" si="87"/>
        <v>1587109</v>
      </c>
      <c r="E191" s="533">
        <f t="shared" si="87"/>
        <v>6476</v>
      </c>
      <c r="F191" s="533">
        <f t="shared" si="87"/>
        <v>0</v>
      </c>
      <c r="G191" s="533">
        <f t="shared" si="87"/>
        <v>0</v>
      </c>
      <c r="H191" s="533">
        <f t="shared" si="87"/>
        <v>58</v>
      </c>
      <c r="I191" s="533">
        <f t="shared" si="87"/>
        <v>306</v>
      </c>
      <c r="J191" s="533">
        <f t="shared" si="87"/>
        <v>19</v>
      </c>
      <c r="K191" s="534">
        <f>E191/D191</f>
        <v>0.00408037507190747</v>
      </c>
      <c r="L191" s="535">
        <f t="shared" si="77"/>
        <v>0.488795552810377</v>
      </c>
      <c r="M191" s="535">
        <f>C191/D191*1000</f>
        <v>1.9944691889467</v>
      </c>
      <c r="N191" s="535">
        <f t="shared" si="78"/>
        <v>0</v>
      </c>
      <c r="O191" s="535">
        <f t="shared" si="79"/>
        <v>0</v>
      </c>
      <c r="P191" s="536">
        <f t="shared" si="80"/>
        <v>8.69626373626374</v>
      </c>
      <c r="Q191" s="531">
        <f t="shared" si="81"/>
        <v>364</v>
      </c>
      <c r="R191" s="537">
        <f t="shared" si="82"/>
        <v>0.0562075355157505</v>
      </c>
    </row>
    <row r="192" hidden="1" spans="1:18">
      <c r="A192" s="524">
        <v>45476</v>
      </c>
      <c r="B192" s="24" t="s">
        <v>91</v>
      </c>
      <c r="C192" s="538">
        <v>199.76</v>
      </c>
      <c r="D192" s="539">
        <v>16391</v>
      </c>
      <c r="E192" s="539">
        <v>324</v>
      </c>
      <c r="F192" s="539">
        <v>0</v>
      </c>
      <c r="G192" s="539">
        <v>0</v>
      </c>
      <c r="H192" s="539">
        <v>1</v>
      </c>
      <c r="I192" s="539">
        <v>1</v>
      </c>
      <c r="J192" s="539">
        <v>5</v>
      </c>
      <c r="K192" s="527">
        <f>IF(E192=0,0,E192/D192)</f>
        <v>0.019766945274846</v>
      </c>
      <c r="L192" s="528">
        <f t="shared" si="77"/>
        <v>0.616543209876543</v>
      </c>
      <c r="M192" s="528">
        <f>IF(D192=0,0,C192/D192*1000)</f>
        <v>12.1871758892075</v>
      </c>
      <c r="N192" s="528">
        <f t="shared" si="78"/>
        <v>0</v>
      </c>
      <c r="O192" s="528">
        <f t="shared" si="79"/>
        <v>0</v>
      </c>
      <c r="P192" s="529">
        <f t="shared" si="80"/>
        <v>99.88</v>
      </c>
      <c r="Q192" s="24">
        <f t="shared" si="81"/>
        <v>2</v>
      </c>
      <c r="R192" s="530">
        <f t="shared" si="82"/>
        <v>0.00617283950617284</v>
      </c>
    </row>
    <row r="193" hidden="1" spans="1:18">
      <c r="A193" s="524"/>
      <c r="B193" s="24" t="s">
        <v>92</v>
      </c>
      <c r="C193" s="538">
        <v>500</v>
      </c>
      <c r="D193" s="539">
        <v>7728</v>
      </c>
      <c r="E193" s="539">
        <v>906</v>
      </c>
      <c r="F193" s="539">
        <v>0</v>
      </c>
      <c r="G193" s="539">
        <v>0</v>
      </c>
      <c r="H193" s="539">
        <v>9</v>
      </c>
      <c r="I193" s="539">
        <v>8</v>
      </c>
      <c r="J193" s="539">
        <v>0</v>
      </c>
      <c r="K193" s="527">
        <f>IF(E193=0,0,E193/D193)</f>
        <v>0.11723602484472</v>
      </c>
      <c r="L193" s="528">
        <f t="shared" si="77"/>
        <v>0.551876379690949</v>
      </c>
      <c r="M193" s="528">
        <f>IF(D193=0,0,C193/D193*1000)</f>
        <v>64.6997929606625</v>
      </c>
      <c r="N193" s="528">
        <f t="shared" si="78"/>
        <v>0</v>
      </c>
      <c r="O193" s="528">
        <f t="shared" si="79"/>
        <v>0</v>
      </c>
      <c r="P193" s="529">
        <f t="shared" si="80"/>
        <v>29.4117647058824</v>
      </c>
      <c r="Q193" s="24">
        <f t="shared" si="81"/>
        <v>17</v>
      </c>
      <c r="R193" s="530">
        <f t="shared" si="82"/>
        <v>0.0187637969094923</v>
      </c>
    </row>
    <row r="194" hidden="1" spans="1:18">
      <c r="A194" s="524"/>
      <c r="B194" s="24" t="s">
        <v>93</v>
      </c>
      <c r="C194" s="538">
        <v>2784.9</v>
      </c>
      <c r="D194" s="539">
        <v>360546</v>
      </c>
      <c r="E194" s="539">
        <v>4146</v>
      </c>
      <c r="F194" s="539">
        <v>2</v>
      </c>
      <c r="G194" s="539">
        <v>35416</v>
      </c>
      <c r="H194" s="539">
        <v>57</v>
      </c>
      <c r="I194" s="539">
        <v>291</v>
      </c>
      <c r="J194" s="539">
        <v>13</v>
      </c>
      <c r="K194" s="527">
        <f>IF(E194=0,0,E194/D194)</f>
        <v>0.0114992261736367</v>
      </c>
      <c r="L194" s="528">
        <f t="shared" si="77"/>
        <v>0.671707670043415</v>
      </c>
      <c r="M194" s="528">
        <f>IF(D194=0,0,C194/D194*1000)</f>
        <v>7.72411842039573</v>
      </c>
      <c r="N194" s="528">
        <f t="shared" si="78"/>
        <v>12.7171532191461</v>
      </c>
      <c r="O194" s="528">
        <f t="shared" si="79"/>
        <v>0.000482392667631452</v>
      </c>
      <c r="P194" s="529">
        <f t="shared" si="80"/>
        <v>8.00258620689655</v>
      </c>
      <c r="Q194" s="24">
        <f t="shared" si="81"/>
        <v>348</v>
      </c>
      <c r="R194" s="530">
        <f t="shared" si="82"/>
        <v>0.0839363241678727</v>
      </c>
    </row>
    <row r="195" hidden="1" spans="1:18">
      <c r="A195" s="524"/>
      <c r="B195" s="24" t="s">
        <v>95</v>
      </c>
      <c r="C195" s="538">
        <v>197.33</v>
      </c>
      <c r="D195" s="539">
        <v>1202331</v>
      </c>
      <c r="E195" s="539">
        <v>2918</v>
      </c>
      <c r="F195" s="539">
        <v>0</v>
      </c>
      <c r="G195" s="539">
        <v>0</v>
      </c>
      <c r="H195" s="539">
        <v>1</v>
      </c>
      <c r="I195" s="539">
        <v>2</v>
      </c>
      <c r="J195" s="539">
        <v>0</v>
      </c>
      <c r="K195" s="527">
        <f>IF(E195=0,0,E195/D195)</f>
        <v>0.00242695231180099</v>
      </c>
      <c r="L195" s="528">
        <f t="shared" si="77"/>
        <v>0.0676250856751199</v>
      </c>
      <c r="M195" s="528">
        <f>IF(D195=0,0,C195/D195*1000)</f>
        <v>0.164122858014973</v>
      </c>
      <c r="N195" s="528">
        <f t="shared" si="78"/>
        <v>0</v>
      </c>
      <c r="O195" s="528">
        <f t="shared" si="79"/>
        <v>0</v>
      </c>
      <c r="P195" s="529">
        <f t="shared" si="80"/>
        <v>65.7766666666667</v>
      </c>
      <c r="Q195" s="24">
        <f t="shared" si="81"/>
        <v>3</v>
      </c>
      <c r="R195" s="530">
        <f t="shared" si="82"/>
        <v>0.00102810143934202</v>
      </c>
    </row>
    <row r="196" hidden="1" spans="1:18">
      <c r="A196" s="524"/>
      <c r="B196" s="531" t="s">
        <v>96</v>
      </c>
      <c r="C196" s="532">
        <f t="shared" ref="C196:J196" si="88">SUM(C192:C195)</f>
        <v>3681.99</v>
      </c>
      <c r="D196" s="533">
        <f t="shared" si="88"/>
        <v>1586996</v>
      </c>
      <c r="E196" s="533">
        <f t="shared" si="88"/>
        <v>8294</v>
      </c>
      <c r="F196" s="533">
        <f t="shared" si="88"/>
        <v>2</v>
      </c>
      <c r="G196" s="533">
        <f t="shared" si="88"/>
        <v>35416</v>
      </c>
      <c r="H196" s="533">
        <f t="shared" si="88"/>
        <v>68</v>
      </c>
      <c r="I196" s="533">
        <f t="shared" si="88"/>
        <v>302</v>
      </c>
      <c r="J196" s="533">
        <f t="shared" si="88"/>
        <v>18</v>
      </c>
      <c r="K196" s="534">
        <f>E196/D196</f>
        <v>0.00522622615305899</v>
      </c>
      <c r="L196" s="535">
        <f t="shared" si="77"/>
        <v>0.443934169278997</v>
      </c>
      <c r="M196" s="535">
        <f>C196/D196*1000</f>
        <v>2.32010036572241</v>
      </c>
      <c r="N196" s="535">
        <f t="shared" si="78"/>
        <v>9.6187116206182</v>
      </c>
      <c r="O196" s="535">
        <f t="shared" si="79"/>
        <v>0.000241138172172655</v>
      </c>
      <c r="P196" s="536">
        <f t="shared" si="80"/>
        <v>9.95132432432432</v>
      </c>
      <c r="Q196" s="531">
        <f t="shared" si="81"/>
        <v>370</v>
      </c>
      <c r="R196" s="537">
        <f t="shared" si="82"/>
        <v>0.0446105618519412</v>
      </c>
    </row>
    <row r="197" hidden="1" spans="1:18">
      <c r="A197" s="524">
        <v>45477</v>
      </c>
      <c r="B197" s="24" t="s">
        <v>91</v>
      </c>
      <c r="C197" s="538">
        <v>199.91</v>
      </c>
      <c r="D197" s="539">
        <v>15691</v>
      </c>
      <c r="E197" s="539">
        <v>315</v>
      </c>
      <c r="F197" s="539">
        <v>0</v>
      </c>
      <c r="G197" s="539">
        <v>0</v>
      </c>
      <c r="H197" s="539">
        <v>1</v>
      </c>
      <c r="I197" s="539">
        <v>1</v>
      </c>
      <c r="J197" s="539">
        <v>4</v>
      </c>
      <c r="K197" s="527">
        <f>IF(E197=0,0,E197/D197)</f>
        <v>0.0200752023452935</v>
      </c>
      <c r="L197" s="528">
        <f t="shared" si="77"/>
        <v>0.634634920634921</v>
      </c>
      <c r="M197" s="528">
        <f>IF(D197=0,0,C197/D197*1000)</f>
        <v>12.7404244471353</v>
      </c>
      <c r="N197" s="528">
        <f t="shared" si="78"/>
        <v>0</v>
      </c>
      <c r="O197" s="528">
        <f t="shared" si="79"/>
        <v>0</v>
      </c>
      <c r="P197" s="529">
        <f t="shared" si="80"/>
        <v>99.955</v>
      </c>
      <c r="Q197" s="24">
        <f t="shared" si="81"/>
        <v>2</v>
      </c>
      <c r="R197" s="530">
        <f t="shared" si="82"/>
        <v>0.00634920634920635</v>
      </c>
    </row>
    <row r="198" hidden="1" spans="1:18">
      <c r="A198" s="524"/>
      <c r="B198" s="24" t="s">
        <v>92</v>
      </c>
      <c r="C198" s="538">
        <v>0</v>
      </c>
      <c r="D198" s="539">
        <v>0</v>
      </c>
      <c r="E198" s="539">
        <v>0</v>
      </c>
      <c r="F198" s="539">
        <v>0</v>
      </c>
      <c r="G198" s="539">
        <v>0</v>
      </c>
      <c r="H198" s="539">
        <v>0</v>
      </c>
      <c r="I198" s="539">
        <v>0</v>
      </c>
      <c r="J198" s="539">
        <v>0</v>
      </c>
      <c r="K198" s="527">
        <f>IF(E198=0,0,E198/D198)</f>
        <v>0</v>
      </c>
      <c r="L198" s="528">
        <f t="shared" si="77"/>
        <v>0</v>
      </c>
      <c r="M198" s="528">
        <f>IF(D198=0,0,C198/D198*1000)</f>
        <v>0</v>
      </c>
      <c r="N198" s="528">
        <f t="shared" si="78"/>
        <v>0</v>
      </c>
      <c r="O198" s="528">
        <f t="shared" si="79"/>
        <v>0</v>
      </c>
      <c r="P198" s="529">
        <f t="shared" si="80"/>
        <v>0</v>
      </c>
      <c r="Q198" s="24">
        <f t="shared" si="81"/>
        <v>0</v>
      </c>
      <c r="R198" s="530">
        <f t="shared" si="82"/>
        <v>0</v>
      </c>
    </row>
    <row r="199" hidden="1" spans="1:18">
      <c r="A199" s="524"/>
      <c r="B199" s="24" t="s">
        <v>93</v>
      </c>
      <c r="C199" s="538">
        <v>2128.86</v>
      </c>
      <c r="D199" s="539">
        <v>246234</v>
      </c>
      <c r="E199" s="539">
        <v>2396</v>
      </c>
      <c r="F199" s="539">
        <v>0</v>
      </c>
      <c r="G199" s="539">
        <v>0</v>
      </c>
      <c r="H199" s="539">
        <v>40</v>
      </c>
      <c r="I199" s="539">
        <v>256</v>
      </c>
      <c r="J199" s="539">
        <v>9</v>
      </c>
      <c r="K199" s="527">
        <f>IF(E199=0,0,E199/D199)</f>
        <v>0.00973058147940577</v>
      </c>
      <c r="L199" s="528">
        <f t="shared" si="77"/>
        <v>0.888505843071786</v>
      </c>
      <c r="M199" s="528">
        <f>IF(D199=0,0,C199/D199*1000)</f>
        <v>8.64567850093813</v>
      </c>
      <c r="N199" s="528">
        <f t="shared" si="78"/>
        <v>0</v>
      </c>
      <c r="O199" s="528">
        <f t="shared" si="79"/>
        <v>0</v>
      </c>
      <c r="P199" s="529">
        <f t="shared" si="80"/>
        <v>7.19209459459459</v>
      </c>
      <c r="Q199" s="24">
        <f t="shared" si="81"/>
        <v>296</v>
      </c>
      <c r="R199" s="530">
        <f t="shared" si="82"/>
        <v>0.123539232053422</v>
      </c>
    </row>
    <row r="200" hidden="1" spans="1:18">
      <c r="A200" s="524"/>
      <c r="B200" s="24" t="s">
        <v>95</v>
      </c>
      <c r="C200" s="538">
        <v>197.26</v>
      </c>
      <c r="D200" s="539">
        <v>655153</v>
      </c>
      <c r="E200" s="539">
        <v>2375</v>
      </c>
      <c r="F200" s="539">
        <v>0</v>
      </c>
      <c r="G200" s="539">
        <v>0</v>
      </c>
      <c r="H200" s="539">
        <v>0</v>
      </c>
      <c r="I200" s="539">
        <v>1</v>
      </c>
      <c r="J200" s="539">
        <v>0</v>
      </c>
      <c r="K200" s="527">
        <f>IF(E200=0,0,E200/D200)</f>
        <v>0.00362510741765664</v>
      </c>
      <c r="L200" s="528">
        <f t="shared" si="77"/>
        <v>0.0830568421052632</v>
      </c>
      <c r="M200" s="528">
        <f>IF(D200=0,0,C200/D200*1000)</f>
        <v>0.301089974402926</v>
      </c>
      <c r="N200" s="528">
        <f t="shared" si="78"/>
        <v>0</v>
      </c>
      <c r="O200" s="528">
        <f t="shared" si="79"/>
        <v>0</v>
      </c>
      <c r="P200" s="529">
        <f t="shared" si="80"/>
        <v>197.26</v>
      </c>
      <c r="Q200" s="24">
        <f t="shared" si="81"/>
        <v>1</v>
      </c>
      <c r="R200" s="530">
        <f t="shared" si="82"/>
        <v>0.000421052631578947</v>
      </c>
    </row>
    <row r="201" hidden="1" spans="1:18">
      <c r="A201" s="524"/>
      <c r="B201" s="531" t="s">
        <v>96</v>
      </c>
      <c r="C201" s="532">
        <f t="shared" ref="C201:J201" si="89">SUM(C197:C200)</f>
        <v>2526.03</v>
      </c>
      <c r="D201" s="533">
        <f t="shared" si="89"/>
        <v>917078</v>
      </c>
      <c r="E201" s="533">
        <f t="shared" si="89"/>
        <v>5086</v>
      </c>
      <c r="F201" s="533">
        <f t="shared" si="89"/>
        <v>0</v>
      </c>
      <c r="G201" s="533">
        <f t="shared" si="89"/>
        <v>0</v>
      </c>
      <c r="H201" s="533">
        <f t="shared" si="89"/>
        <v>41</v>
      </c>
      <c r="I201" s="533">
        <f t="shared" si="89"/>
        <v>258</v>
      </c>
      <c r="J201" s="533">
        <f t="shared" si="89"/>
        <v>13</v>
      </c>
      <c r="K201" s="534">
        <f>E201/D201</f>
        <v>0.00554587505097712</v>
      </c>
      <c r="L201" s="535">
        <f t="shared" si="77"/>
        <v>0.496663389697208</v>
      </c>
      <c r="M201" s="535">
        <f>C201/D201*1000</f>
        <v>2.75443310165547</v>
      </c>
      <c r="N201" s="535">
        <f t="shared" si="78"/>
        <v>0</v>
      </c>
      <c r="O201" s="535">
        <f t="shared" si="79"/>
        <v>0</v>
      </c>
      <c r="P201" s="536">
        <f t="shared" si="80"/>
        <v>8.44826086956522</v>
      </c>
      <c r="Q201" s="531">
        <f t="shared" si="81"/>
        <v>299</v>
      </c>
      <c r="R201" s="537">
        <f t="shared" si="82"/>
        <v>0.0587888320880849</v>
      </c>
    </row>
    <row r="202" hidden="1" spans="1:18">
      <c r="A202" s="524">
        <v>45478</v>
      </c>
      <c r="B202" s="24" t="s">
        <v>91</v>
      </c>
      <c r="C202" s="540">
        <v>199.63</v>
      </c>
      <c r="D202" s="540">
        <v>22890</v>
      </c>
      <c r="E202" s="540">
        <v>390</v>
      </c>
      <c r="F202" s="540">
        <v>0</v>
      </c>
      <c r="G202" s="540">
        <v>0</v>
      </c>
      <c r="H202" s="540">
        <v>7</v>
      </c>
      <c r="I202" s="540">
        <v>1</v>
      </c>
      <c r="J202" s="540">
        <v>8</v>
      </c>
      <c r="K202" s="527">
        <f>IF(E202=0,0,E202/D202)</f>
        <v>0.0170380078636959</v>
      </c>
      <c r="L202" s="528">
        <f t="shared" si="77"/>
        <v>0.511871794871795</v>
      </c>
      <c r="M202" s="528">
        <f>IF(D202=0,0,C202/D202*1000)</f>
        <v>8.72127566622979</v>
      </c>
      <c r="N202" s="528">
        <f t="shared" si="78"/>
        <v>0</v>
      </c>
      <c r="O202" s="528">
        <f t="shared" si="79"/>
        <v>0</v>
      </c>
      <c r="P202" s="529">
        <f t="shared" si="80"/>
        <v>24.95375</v>
      </c>
      <c r="Q202" s="24">
        <f t="shared" si="81"/>
        <v>8</v>
      </c>
      <c r="R202" s="530">
        <f t="shared" si="82"/>
        <v>0.0205128205128205</v>
      </c>
    </row>
    <row r="203" hidden="1" spans="1:18">
      <c r="A203" s="524"/>
      <c r="B203" s="24" t="s">
        <v>92</v>
      </c>
      <c r="C203" s="540">
        <v>0</v>
      </c>
      <c r="D203" s="540">
        <v>0</v>
      </c>
      <c r="E203" s="540">
        <v>0</v>
      </c>
      <c r="F203" s="540">
        <v>0</v>
      </c>
      <c r="G203" s="540">
        <v>0</v>
      </c>
      <c r="H203" s="540">
        <v>0</v>
      </c>
      <c r="I203" s="540">
        <v>0</v>
      </c>
      <c r="J203" s="540">
        <v>0</v>
      </c>
      <c r="K203" s="527">
        <f>IF(E203=0,0,E203/D203)</f>
        <v>0</v>
      </c>
      <c r="L203" s="528">
        <f t="shared" si="77"/>
        <v>0</v>
      </c>
      <c r="M203" s="528">
        <f>IF(D203=0,0,C203/D203*1000)</f>
        <v>0</v>
      </c>
      <c r="N203" s="528">
        <f t="shared" si="78"/>
        <v>0</v>
      </c>
      <c r="O203" s="528">
        <f t="shared" si="79"/>
        <v>0</v>
      </c>
      <c r="P203" s="529">
        <f t="shared" si="80"/>
        <v>0</v>
      </c>
      <c r="Q203" s="24">
        <f t="shared" si="81"/>
        <v>0</v>
      </c>
      <c r="R203" s="530">
        <f t="shared" si="82"/>
        <v>0</v>
      </c>
    </row>
    <row r="204" hidden="1" spans="1:18">
      <c r="A204" s="524"/>
      <c r="B204" s="24" t="s">
        <v>93</v>
      </c>
      <c r="C204" s="540">
        <v>2147.21</v>
      </c>
      <c r="D204" s="540">
        <v>248938</v>
      </c>
      <c r="E204" s="540">
        <v>2335</v>
      </c>
      <c r="F204" s="540">
        <v>0</v>
      </c>
      <c r="G204" s="540">
        <v>0</v>
      </c>
      <c r="H204" s="540">
        <v>43</v>
      </c>
      <c r="I204" s="540">
        <v>279</v>
      </c>
      <c r="J204" s="540">
        <v>5</v>
      </c>
      <c r="K204" s="527">
        <f>IF(E204=0,0,E204/D204)</f>
        <v>0.00937984558404101</v>
      </c>
      <c r="L204" s="528">
        <f t="shared" si="77"/>
        <v>0.919576017130621</v>
      </c>
      <c r="M204" s="528">
        <f>IF(D204=0,0,C204/D204*1000)</f>
        <v>8.62548104347267</v>
      </c>
      <c r="N204" s="528">
        <f t="shared" si="78"/>
        <v>0</v>
      </c>
      <c r="O204" s="528">
        <f t="shared" si="79"/>
        <v>0</v>
      </c>
      <c r="P204" s="529">
        <f t="shared" si="80"/>
        <v>6.66835403726708</v>
      </c>
      <c r="Q204" s="24">
        <f t="shared" si="81"/>
        <v>322</v>
      </c>
      <c r="R204" s="530">
        <f t="shared" si="82"/>
        <v>0.137901498929336</v>
      </c>
    </row>
    <row r="205" hidden="1" spans="1:18">
      <c r="A205" s="524"/>
      <c r="B205" s="24" t="s">
        <v>95</v>
      </c>
      <c r="C205" s="540">
        <v>197.87</v>
      </c>
      <c r="D205" s="540">
        <v>852083</v>
      </c>
      <c r="E205" s="540">
        <v>2553</v>
      </c>
      <c r="F205" s="540">
        <v>0</v>
      </c>
      <c r="G205" s="540">
        <v>0</v>
      </c>
      <c r="H205" s="540">
        <v>1</v>
      </c>
      <c r="I205" s="540">
        <v>3</v>
      </c>
      <c r="J205" s="540">
        <v>0</v>
      </c>
      <c r="K205" s="527">
        <f>IF(E205=0,0,E205/D205)</f>
        <v>0.0029961869911734</v>
      </c>
      <c r="L205" s="528">
        <f t="shared" si="77"/>
        <v>0.0775048962005484</v>
      </c>
      <c r="M205" s="528">
        <f>IF(D205=0,0,C205/D205*1000)</f>
        <v>0.232219161748327</v>
      </c>
      <c r="N205" s="528">
        <f t="shared" si="78"/>
        <v>0</v>
      </c>
      <c r="O205" s="528">
        <f t="shared" si="79"/>
        <v>0</v>
      </c>
      <c r="P205" s="529">
        <f t="shared" si="80"/>
        <v>49.4675</v>
      </c>
      <c r="Q205" s="24">
        <f t="shared" si="81"/>
        <v>4</v>
      </c>
      <c r="R205" s="530">
        <f t="shared" si="82"/>
        <v>0.00156678417547983</v>
      </c>
    </row>
    <row r="206" hidden="1" spans="1:18">
      <c r="A206" s="524"/>
      <c r="B206" s="531" t="s">
        <v>96</v>
      </c>
      <c r="C206" s="532">
        <f t="shared" ref="C206:J206" si="90">SUM(C202:C205)</f>
        <v>2544.71</v>
      </c>
      <c r="D206" s="533">
        <f t="shared" si="90"/>
        <v>1123911</v>
      </c>
      <c r="E206" s="533">
        <f t="shared" si="90"/>
        <v>5278</v>
      </c>
      <c r="F206" s="533">
        <f t="shared" si="90"/>
        <v>0</v>
      </c>
      <c r="G206" s="533">
        <f t="shared" si="90"/>
        <v>0</v>
      </c>
      <c r="H206" s="533">
        <f t="shared" si="90"/>
        <v>51</v>
      </c>
      <c r="I206" s="533">
        <f t="shared" si="90"/>
        <v>283</v>
      </c>
      <c r="J206" s="533">
        <f t="shared" si="90"/>
        <v>13</v>
      </c>
      <c r="K206" s="534">
        <f>E206/D206</f>
        <v>0.00469610138169303</v>
      </c>
      <c r="L206" s="535">
        <f t="shared" si="77"/>
        <v>0.482135278514589</v>
      </c>
      <c r="M206" s="535">
        <f>C206/D206*1000</f>
        <v>2.26415614759532</v>
      </c>
      <c r="N206" s="535">
        <f t="shared" si="78"/>
        <v>0</v>
      </c>
      <c r="O206" s="535">
        <f t="shared" si="79"/>
        <v>0</v>
      </c>
      <c r="P206" s="536">
        <f t="shared" si="80"/>
        <v>7.61889221556886</v>
      </c>
      <c r="Q206" s="531">
        <f t="shared" si="81"/>
        <v>334</v>
      </c>
      <c r="R206" s="537">
        <f t="shared" si="82"/>
        <v>0.0632815460401667</v>
      </c>
    </row>
    <row r="207" hidden="1" spans="1:18">
      <c r="A207" s="524">
        <v>45479</v>
      </c>
      <c r="B207" s="24" t="s">
        <v>91</v>
      </c>
      <c r="C207" s="540">
        <v>199.91</v>
      </c>
      <c r="D207" s="540">
        <v>25733</v>
      </c>
      <c r="E207" s="540">
        <v>499</v>
      </c>
      <c r="F207" s="540">
        <v>0</v>
      </c>
      <c r="G207" s="540">
        <v>0</v>
      </c>
      <c r="H207" s="540">
        <v>3</v>
      </c>
      <c r="I207" s="540">
        <v>2</v>
      </c>
      <c r="J207" s="540">
        <v>6</v>
      </c>
      <c r="K207" s="527">
        <f>IF(E207=0,0,E207/D207)</f>
        <v>0.019391442894338</v>
      </c>
      <c r="L207" s="528">
        <f t="shared" si="77"/>
        <v>0.40062124248497</v>
      </c>
      <c r="M207" s="528">
        <f>IF(D207=0,0,C207/D207*1000)</f>
        <v>7.76862394590603</v>
      </c>
      <c r="N207" s="528">
        <f t="shared" si="78"/>
        <v>0</v>
      </c>
      <c r="O207" s="528">
        <f t="shared" si="79"/>
        <v>0</v>
      </c>
      <c r="P207" s="529">
        <f t="shared" si="80"/>
        <v>39.982</v>
      </c>
      <c r="Q207" s="24">
        <f t="shared" si="81"/>
        <v>5</v>
      </c>
      <c r="R207" s="530">
        <f t="shared" si="82"/>
        <v>0.0100200400801603</v>
      </c>
    </row>
    <row r="208" hidden="1" spans="1:18">
      <c r="A208" s="524"/>
      <c r="B208" s="24" t="s">
        <v>92</v>
      </c>
      <c r="C208" s="540">
        <v>0</v>
      </c>
      <c r="D208" s="540">
        <v>0</v>
      </c>
      <c r="E208" s="540">
        <v>0</v>
      </c>
      <c r="F208" s="540">
        <v>0</v>
      </c>
      <c r="G208" s="540">
        <v>0</v>
      </c>
      <c r="H208" s="540">
        <v>0</v>
      </c>
      <c r="I208" s="540">
        <v>0</v>
      </c>
      <c r="J208" s="540">
        <v>0</v>
      </c>
      <c r="K208" s="527">
        <f>IF(E208=0,0,E208/D208)</f>
        <v>0</v>
      </c>
      <c r="L208" s="528">
        <f t="shared" si="77"/>
        <v>0</v>
      </c>
      <c r="M208" s="528">
        <f>IF(D208=0,0,C208/D208*1000)</f>
        <v>0</v>
      </c>
      <c r="N208" s="528">
        <f t="shared" si="78"/>
        <v>0</v>
      </c>
      <c r="O208" s="528">
        <f t="shared" si="79"/>
        <v>0</v>
      </c>
      <c r="P208" s="529">
        <f t="shared" si="80"/>
        <v>0</v>
      </c>
      <c r="Q208" s="24">
        <f t="shared" si="81"/>
        <v>0</v>
      </c>
      <c r="R208" s="530">
        <f t="shared" si="82"/>
        <v>0</v>
      </c>
    </row>
    <row r="209" hidden="1" spans="1:18">
      <c r="A209" s="524"/>
      <c r="B209" s="24" t="s">
        <v>93</v>
      </c>
      <c r="C209" s="540">
        <v>2141.36</v>
      </c>
      <c r="D209" s="540">
        <v>137369</v>
      </c>
      <c r="E209" s="540">
        <v>2523</v>
      </c>
      <c r="F209" s="540">
        <v>3</v>
      </c>
      <c r="G209" s="540">
        <v>79138</v>
      </c>
      <c r="H209" s="540">
        <v>41</v>
      </c>
      <c r="I209" s="540">
        <v>322</v>
      </c>
      <c r="J209" s="540">
        <v>7</v>
      </c>
      <c r="K209" s="527">
        <f>IF(E209=0,0,E209/D209)</f>
        <v>0.0183665892595855</v>
      </c>
      <c r="L209" s="528">
        <f t="shared" si="77"/>
        <v>0.848735632183908</v>
      </c>
      <c r="M209" s="528">
        <f>IF(D209=0,0,C209/D209*1000)</f>
        <v>15.5883787462965</v>
      </c>
      <c r="N209" s="528">
        <f t="shared" si="78"/>
        <v>36.9568872118654</v>
      </c>
      <c r="O209" s="528">
        <f t="shared" si="79"/>
        <v>0.00118906064209275</v>
      </c>
      <c r="P209" s="529">
        <f t="shared" si="80"/>
        <v>5.89906336088154</v>
      </c>
      <c r="Q209" s="24">
        <f t="shared" si="81"/>
        <v>363</v>
      </c>
      <c r="R209" s="530">
        <f t="shared" si="82"/>
        <v>0.143876337693222</v>
      </c>
    </row>
    <row r="210" hidden="1" spans="1:18">
      <c r="A210" s="524"/>
      <c r="B210" s="24" t="s">
        <v>95</v>
      </c>
      <c r="C210" s="540">
        <v>196.7</v>
      </c>
      <c r="D210" s="540">
        <v>799581</v>
      </c>
      <c r="E210" s="540">
        <v>2519</v>
      </c>
      <c r="F210" s="540">
        <v>0</v>
      </c>
      <c r="G210" s="540">
        <v>0</v>
      </c>
      <c r="H210" s="540">
        <v>1</v>
      </c>
      <c r="I210" s="540">
        <v>2</v>
      </c>
      <c r="J210" s="540">
        <v>0</v>
      </c>
      <c r="K210" s="527">
        <f>IF(E210=0,0,E210/D210)</f>
        <v>0.00315040002201153</v>
      </c>
      <c r="L210" s="528">
        <f t="shared" si="77"/>
        <v>0.078086542278682</v>
      </c>
      <c r="M210" s="528">
        <f>IF(D210=0,0,C210/D210*1000)</f>
        <v>0.246003844513564</v>
      </c>
      <c r="N210" s="528">
        <f t="shared" si="78"/>
        <v>0</v>
      </c>
      <c r="O210" s="528">
        <f t="shared" si="79"/>
        <v>0</v>
      </c>
      <c r="P210" s="529">
        <f t="shared" si="80"/>
        <v>65.5666666666667</v>
      </c>
      <c r="Q210" s="24">
        <f t="shared" si="81"/>
        <v>3</v>
      </c>
      <c r="R210" s="530">
        <f t="shared" si="82"/>
        <v>0.00119094878920206</v>
      </c>
    </row>
    <row r="211" hidden="1" spans="1:18">
      <c r="A211" s="524"/>
      <c r="B211" s="531" t="s">
        <v>96</v>
      </c>
      <c r="C211" s="532">
        <f t="shared" ref="C211:J211" si="91">SUM(C207:C210)</f>
        <v>2537.97</v>
      </c>
      <c r="D211" s="533">
        <f t="shared" si="91"/>
        <v>962683</v>
      </c>
      <c r="E211" s="533">
        <f t="shared" si="91"/>
        <v>5541</v>
      </c>
      <c r="F211" s="533">
        <f t="shared" si="91"/>
        <v>3</v>
      </c>
      <c r="G211" s="533">
        <f t="shared" si="91"/>
        <v>79138</v>
      </c>
      <c r="H211" s="533">
        <f t="shared" si="91"/>
        <v>45</v>
      </c>
      <c r="I211" s="533">
        <f t="shared" si="91"/>
        <v>326</v>
      </c>
      <c r="J211" s="533">
        <f t="shared" si="91"/>
        <v>13</v>
      </c>
      <c r="K211" s="534">
        <f>E211/D211</f>
        <v>0.00575578876951187</v>
      </c>
      <c r="L211" s="535">
        <f t="shared" si="77"/>
        <v>0.458034650785057</v>
      </c>
      <c r="M211" s="535">
        <f>C211/D211*1000</f>
        <v>2.63635069903592</v>
      </c>
      <c r="N211" s="535">
        <f t="shared" si="78"/>
        <v>31.1816136518556</v>
      </c>
      <c r="O211" s="535">
        <f t="shared" si="79"/>
        <v>0.000541418516513265</v>
      </c>
      <c r="P211" s="536">
        <f t="shared" si="80"/>
        <v>6.84088948787062</v>
      </c>
      <c r="Q211" s="531">
        <f t="shared" si="81"/>
        <v>371</v>
      </c>
      <c r="R211" s="537">
        <f t="shared" si="82"/>
        <v>0.0669554232088071</v>
      </c>
    </row>
    <row r="212" hidden="1" spans="1:18">
      <c r="A212" s="524">
        <v>45480</v>
      </c>
      <c r="B212" s="24" t="s">
        <v>91</v>
      </c>
      <c r="C212" s="540">
        <v>199.69</v>
      </c>
      <c r="D212" s="540">
        <v>25324</v>
      </c>
      <c r="E212" s="540">
        <v>507</v>
      </c>
      <c r="F212" s="540">
        <v>0</v>
      </c>
      <c r="G212" s="540">
        <v>0</v>
      </c>
      <c r="H212" s="540">
        <v>2</v>
      </c>
      <c r="I212" s="540">
        <v>2</v>
      </c>
      <c r="J212" s="540">
        <v>11</v>
      </c>
      <c r="K212" s="527">
        <f>IF(E212=0,0,E212/D212)</f>
        <v>0.0200205338809035</v>
      </c>
      <c r="L212" s="528">
        <f t="shared" si="77"/>
        <v>0.393865877712032</v>
      </c>
      <c r="M212" s="528">
        <f>IF(D212=0,0,C212/D212*1000)</f>
        <v>7.88540514926552</v>
      </c>
      <c r="N212" s="528">
        <f t="shared" si="78"/>
        <v>0</v>
      </c>
      <c r="O212" s="528">
        <f t="shared" si="79"/>
        <v>0</v>
      </c>
      <c r="P212" s="529">
        <f t="shared" si="80"/>
        <v>49.9225</v>
      </c>
      <c r="Q212" s="24">
        <f t="shared" si="81"/>
        <v>4</v>
      </c>
      <c r="R212" s="530">
        <f t="shared" si="82"/>
        <v>0.00788954635108481</v>
      </c>
    </row>
    <row r="213" hidden="1" spans="1:18">
      <c r="A213" s="524"/>
      <c r="B213" s="24" t="s">
        <v>92</v>
      </c>
      <c r="C213" s="540">
        <v>0</v>
      </c>
      <c r="D213" s="540">
        <v>0</v>
      </c>
      <c r="E213" s="540">
        <v>0</v>
      </c>
      <c r="F213" s="540">
        <v>0</v>
      </c>
      <c r="G213" s="540">
        <v>0</v>
      </c>
      <c r="H213" s="540">
        <v>0</v>
      </c>
      <c r="I213" s="540">
        <v>0</v>
      </c>
      <c r="J213" s="540">
        <v>0</v>
      </c>
      <c r="K213" s="527">
        <f>IF(E213=0,0,E213/D213)</f>
        <v>0</v>
      </c>
      <c r="L213" s="528">
        <f t="shared" si="77"/>
        <v>0</v>
      </c>
      <c r="M213" s="528">
        <f>IF(D213=0,0,C213/D213*1000)</f>
        <v>0</v>
      </c>
      <c r="N213" s="528">
        <f t="shared" si="78"/>
        <v>0</v>
      </c>
      <c r="O213" s="528">
        <f t="shared" si="79"/>
        <v>0</v>
      </c>
      <c r="P213" s="529">
        <f t="shared" si="80"/>
        <v>0</v>
      </c>
      <c r="Q213" s="24">
        <f t="shared" si="81"/>
        <v>0</v>
      </c>
      <c r="R213" s="530">
        <f t="shared" si="82"/>
        <v>0</v>
      </c>
    </row>
    <row r="214" hidden="1" spans="1:18">
      <c r="A214" s="524"/>
      <c r="B214" s="24" t="s">
        <v>93</v>
      </c>
      <c r="C214" s="540">
        <v>2105.99</v>
      </c>
      <c r="D214" s="540">
        <v>175999</v>
      </c>
      <c r="E214" s="540">
        <v>2250</v>
      </c>
      <c r="F214" s="540">
        <v>0</v>
      </c>
      <c r="G214" s="540">
        <v>0</v>
      </c>
      <c r="H214" s="540">
        <v>41</v>
      </c>
      <c r="I214" s="540">
        <v>271</v>
      </c>
      <c r="J214" s="540">
        <v>1</v>
      </c>
      <c r="K214" s="527">
        <f>IF(E214=0,0,E214/D214)</f>
        <v>0.0127841635463838</v>
      </c>
      <c r="L214" s="528">
        <f t="shared" si="77"/>
        <v>0.935995555555555</v>
      </c>
      <c r="M214" s="528">
        <f>IF(D214=0,0,C214/D214*1000)</f>
        <v>11.9659202609106</v>
      </c>
      <c r="N214" s="528">
        <f t="shared" si="78"/>
        <v>0</v>
      </c>
      <c r="O214" s="528">
        <f t="shared" si="79"/>
        <v>0</v>
      </c>
      <c r="P214" s="529">
        <f t="shared" si="80"/>
        <v>6.74996794871795</v>
      </c>
      <c r="Q214" s="24">
        <f t="shared" si="81"/>
        <v>312</v>
      </c>
      <c r="R214" s="530">
        <f t="shared" si="82"/>
        <v>0.138666666666667</v>
      </c>
    </row>
    <row r="215" hidden="1" spans="1:18">
      <c r="A215" s="524"/>
      <c r="B215" s="24" t="s">
        <v>95</v>
      </c>
      <c r="C215" s="540">
        <v>197.87</v>
      </c>
      <c r="D215" s="540">
        <v>927158</v>
      </c>
      <c r="E215" s="540">
        <v>2542</v>
      </c>
      <c r="F215" s="540">
        <v>0</v>
      </c>
      <c r="G215" s="540">
        <v>0</v>
      </c>
      <c r="H215" s="540">
        <v>0</v>
      </c>
      <c r="I215" s="540">
        <v>3</v>
      </c>
      <c r="J215" s="540">
        <v>0</v>
      </c>
      <c r="K215" s="527">
        <f>IF(E215=0,0,E215/D215)</f>
        <v>0.00274171176865216</v>
      </c>
      <c r="L215" s="528">
        <f t="shared" si="77"/>
        <v>0.0778402832415421</v>
      </c>
      <c r="M215" s="528">
        <f>IF(D215=0,0,C215/D215*1000)</f>
        <v>0.213415620638554</v>
      </c>
      <c r="N215" s="528">
        <f t="shared" si="78"/>
        <v>0</v>
      </c>
      <c r="O215" s="528">
        <f t="shared" si="79"/>
        <v>0</v>
      </c>
      <c r="P215" s="529">
        <f t="shared" si="80"/>
        <v>65.9566666666667</v>
      </c>
      <c r="Q215" s="24">
        <f t="shared" si="81"/>
        <v>3</v>
      </c>
      <c r="R215" s="530">
        <f t="shared" si="82"/>
        <v>0.0011801730920535</v>
      </c>
    </row>
    <row r="216" hidden="1" spans="1:18">
      <c r="A216" s="524"/>
      <c r="B216" s="531" t="s">
        <v>96</v>
      </c>
      <c r="C216" s="532">
        <f t="shared" ref="C216:J216" si="92">SUM(C212:C215)</f>
        <v>2503.55</v>
      </c>
      <c r="D216" s="533">
        <f t="shared" si="92"/>
        <v>1128481</v>
      </c>
      <c r="E216" s="533">
        <f t="shared" si="92"/>
        <v>5299</v>
      </c>
      <c r="F216" s="533">
        <f t="shared" si="92"/>
        <v>0</v>
      </c>
      <c r="G216" s="533">
        <f t="shared" si="92"/>
        <v>0</v>
      </c>
      <c r="H216" s="533">
        <f t="shared" si="92"/>
        <v>43</v>
      </c>
      <c r="I216" s="533">
        <f t="shared" si="92"/>
        <v>276</v>
      </c>
      <c r="J216" s="533">
        <f t="shared" si="92"/>
        <v>12</v>
      </c>
      <c r="K216" s="534">
        <f>E216/D216</f>
        <v>0.00469569270550412</v>
      </c>
      <c r="L216" s="535">
        <f t="shared" si="77"/>
        <v>0.472457067371202</v>
      </c>
      <c r="M216" s="535">
        <f>C216/D216*1000</f>
        <v>2.21851320491882</v>
      </c>
      <c r="N216" s="535">
        <f t="shared" si="78"/>
        <v>0</v>
      </c>
      <c r="O216" s="535">
        <f t="shared" si="79"/>
        <v>0</v>
      </c>
      <c r="P216" s="536">
        <f t="shared" si="80"/>
        <v>7.84811912225705</v>
      </c>
      <c r="Q216" s="531">
        <f t="shared" si="81"/>
        <v>319</v>
      </c>
      <c r="R216" s="537">
        <f t="shared" si="82"/>
        <v>0.0602000377429704</v>
      </c>
    </row>
    <row r="217" hidden="1" spans="1:18">
      <c r="A217" s="524">
        <v>45481</v>
      </c>
      <c r="B217" s="24" t="s">
        <v>91</v>
      </c>
      <c r="C217" s="538">
        <v>199.94</v>
      </c>
      <c r="D217" s="539">
        <v>16382</v>
      </c>
      <c r="E217" s="539">
        <v>345</v>
      </c>
      <c r="F217" s="539">
        <v>0</v>
      </c>
      <c r="G217" s="539">
        <v>0</v>
      </c>
      <c r="H217" s="539">
        <v>1</v>
      </c>
      <c r="I217" s="539">
        <v>3</v>
      </c>
      <c r="J217" s="539">
        <v>3</v>
      </c>
      <c r="K217" s="527">
        <f>IF(E217=0,0,E217/D217)</f>
        <v>0.0210596996703699</v>
      </c>
      <c r="L217" s="528">
        <f t="shared" si="77"/>
        <v>0.579536231884058</v>
      </c>
      <c r="M217" s="528">
        <f>IF(D217=0,0,C217/D217*1000)</f>
        <v>12.2048589915761</v>
      </c>
      <c r="N217" s="528">
        <f t="shared" si="78"/>
        <v>0</v>
      </c>
      <c r="O217" s="528">
        <f t="shared" si="79"/>
        <v>0</v>
      </c>
      <c r="P217" s="529">
        <f t="shared" si="80"/>
        <v>49.985</v>
      </c>
      <c r="Q217" s="24">
        <f t="shared" si="81"/>
        <v>4</v>
      </c>
      <c r="R217" s="530">
        <f t="shared" si="82"/>
        <v>0.0115942028985507</v>
      </c>
    </row>
    <row r="218" hidden="1" spans="1:18">
      <c r="A218" s="524"/>
      <c r="B218" s="24" t="s">
        <v>92</v>
      </c>
      <c r="C218" s="538">
        <v>0</v>
      </c>
      <c r="D218" s="539">
        <v>0</v>
      </c>
      <c r="E218" s="539">
        <v>0</v>
      </c>
      <c r="F218" s="539">
        <v>0</v>
      </c>
      <c r="G218" s="539">
        <v>0</v>
      </c>
      <c r="H218" s="539">
        <v>0</v>
      </c>
      <c r="I218" s="539">
        <v>0</v>
      </c>
      <c r="J218" s="539">
        <v>0</v>
      </c>
      <c r="K218" s="527">
        <f>IF(E218=0,0,E218/D218)</f>
        <v>0</v>
      </c>
      <c r="L218" s="528">
        <f t="shared" si="77"/>
        <v>0</v>
      </c>
      <c r="M218" s="528">
        <f>IF(D218=0,0,C218/D218*1000)</f>
        <v>0</v>
      </c>
      <c r="N218" s="528">
        <f t="shared" si="78"/>
        <v>0</v>
      </c>
      <c r="O218" s="528">
        <f t="shared" si="79"/>
        <v>0</v>
      </c>
      <c r="P218" s="529">
        <f t="shared" si="80"/>
        <v>0</v>
      </c>
      <c r="Q218" s="24">
        <f t="shared" si="81"/>
        <v>0</v>
      </c>
      <c r="R218" s="530">
        <f t="shared" si="82"/>
        <v>0</v>
      </c>
    </row>
    <row r="219" hidden="1" spans="1:18">
      <c r="A219" s="524"/>
      <c r="B219" s="24" t="s">
        <v>93</v>
      </c>
      <c r="C219" s="538">
        <v>2109.51</v>
      </c>
      <c r="D219" s="539">
        <v>179180</v>
      </c>
      <c r="E219" s="539">
        <v>1971</v>
      </c>
      <c r="F219" s="539">
        <v>0</v>
      </c>
      <c r="G219" s="539">
        <v>0</v>
      </c>
      <c r="H219" s="539">
        <v>51</v>
      </c>
      <c r="I219" s="539">
        <v>248</v>
      </c>
      <c r="J219" s="539">
        <v>2</v>
      </c>
      <c r="K219" s="527">
        <f>IF(E219=0,0,E219/D219)</f>
        <v>0.0110001116196004</v>
      </c>
      <c r="L219" s="528">
        <f t="shared" si="77"/>
        <v>1.07027397260274</v>
      </c>
      <c r="M219" s="528">
        <f>IF(D219=0,0,C219/D219*1000)</f>
        <v>11.7731331621833</v>
      </c>
      <c r="N219" s="528">
        <f t="shared" si="78"/>
        <v>0</v>
      </c>
      <c r="O219" s="528">
        <f t="shared" si="79"/>
        <v>0</v>
      </c>
      <c r="P219" s="529">
        <f t="shared" si="80"/>
        <v>7.05521739130435</v>
      </c>
      <c r="Q219" s="24">
        <f t="shared" si="81"/>
        <v>299</v>
      </c>
      <c r="R219" s="530">
        <f t="shared" si="82"/>
        <v>0.15169964485033</v>
      </c>
    </row>
    <row r="220" hidden="1" spans="1:18">
      <c r="A220" s="524"/>
      <c r="B220" s="24" t="s">
        <v>95</v>
      </c>
      <c r="C220" s="538">
        <v>196.98</v>
      </c>
      <c r="D220" s="539">
        <v>692689</v>
      </c>
      <c r="E220" s="539">
        <v>2459</v>
      </c>
      <c r="F220" s="539">
        <v>0</v>
      </c>
      <c r="G220" s="539">
        <v>0</v>
      </c>
      <c r="H220" s="539">
        <v>1</v>
      </c>
      <c r="I220" s="539">
        <v>3</v>
      </c>
      <c r="J220" s="539">
        <v>0</v>
      </c>
      <c r="K220" s="527">
        <f>IF(E220=0,0,E220/D220)</f>
        <v>0.003549933664314</v>
      </c>
      <c r="L220" s="528">
        <f t="shared" si="77"/>
        <v>0.0801057340382269</v>
      </c>
      <c r="M220" s="528">
        <f>IF(D220=0,0,C220/D220*1000)</f>
        <v>0.284370041966886</v>
      </c>
      <c r="N220" s="528">
        <f t="shared" si="78"/>
        <v>0</v>
      </c>
      <c r="O220" s="528">
        <f t="shared" si="79"/>
        <v>0</v>
      </c>
      <c r="P220" s="529">
        <f t="shared" si="80"/>
        <v>49.245</v>
      </c>
      <c r="Q220" s="24">
        <f t="shared" si="81"/>
        <v>4</v>
      </c>
      <c r="R220" s="530">
        <f t="shared" si="82"/>
        <v>0.00162667751118341</v>
      </c>
    </row>
    <row r="221" hidden="1" spans="1:18">
      <c r="A221" s="524"/>
      <c r="B221" s="531" t="s">
        <v>96</v>
      </c>
      <c r="C221" s="532">
        <f t="shared" ref="C221:J221" si="93">SUM(C217:C220)</f>
        <v>2506.43</v>
      </c>
      <c r="D221" s="533">
        <f t="shared" si="93"/>
        <v>888251</v>
      </c>
      <c r="E221" s="533">
        <f t="shared" si="93"/>
        <v>4775</v>
      </c>
      <c r="F221" s="533">
        <f t="shared" si="93"/>
        <v>0</v>
      </c>
      <c r="G221" s="533">
        <f t="shared" si="93"/>
        <v>0</v>
      </c>
      <c r="H221" s="533">
        <f t="shared" si="93"/>
        <v>53</v>
      </c>
      <c r="I221" s="533">
        <f t="shared" si="93"/>
        <v>254</v>
      </c>
      <c r="J221" s="533">
        <f t="shared" si="93"/>
        <v>5</v>
      </c>
      <c r="K221" s="534">
        <f>E221/D221</f>
        <v>0.00537573276022205</v>
      </c>
      <c r="L221" s="535">
        <f t="shared" si="77"/>
        <v>0.524906806282723</v>
      </c>
      <c r="M221" s="535">
        <f>C221/D221*1000</f>
        <v>2.82175871459756</v>
      </c>
      <c r="N221" s="535">
        <f t="shared" si="78"/>
        <v>0</v>
      </c>
      <c r="O221" s="535">
        <f t="shared" si="79"/>
        <v>0</v>
      </c>
      <c r="P221" s="536">
        <f t="shared" si="80"/>
        <v>8.1642671009772</v>
      </c>
      <c r="Q221" s="531">
        <f t="shared" si="81"/>
        <v>307</v>
      </c>
      <c r="R221" s="537">
        <f t="shared" si="82"/>
        <v>0.0642931937172775</v>
      </c>
    </row>
    <row r="222" hidden="1" spans="1:18">
      <c r="A222" s="524">
        <v>45482</v>
      </c>
      <c r="B222" s="24" t="s">
        <v>91</v>
      </c>
      <c r="C222" s="538">
        <v>199.66</v>
      </c>
      <c r="D222" s="539">
        <v>18915</v>
      </c>
      <c r="E222" s="539">
        <v>396</v>
      </c>
      <c r="F222" s="539">
        <v>0</v>
      </c>
      <c r="G222" s="539">
        <v>0</v>
      </c>
      <c r="H222" s="539">
        <v>2</v>
      </c>
      <c r="I222" s="539">
        <v>3</v>
      </c>
      <c r="J222" s="539">
        <v>8</v>
      </c>
      <c r="K222" s="527">
        <f>IF(E222=0,0,E222/D222)</f>
        <v>0.0209357652656622</v>
      </c>
      <c r="L222" s="528">
        <f t="shared" si="77"/>
        <v>0.504191919191919</v>
      </c>
      <c r="M222" s="528">
        <f>IF(D222=0,0,C222/D222*1000)</f>
        <v>10.5556436690457</v>
      </c>
      <c r="N222" s="528">
        <f t="shared" si="78"/>
        <v>0</v>
      </c>
      <c r="O222" s="528">
        <f t="shared" si="79"/>
        <v>0</v>
      </c>
      <c r="P222" s="529">
        <f t="shared" si="80"/>
        <v>39.932</v>
      </c>
      <c r="Q222" s="24">
        <f t="shared" si="81"/>
        <v>5</v>
      </c>
      <c r="R222" s="530">
        <f t="shared" si="82"/>
        <v>0.0126262626262626</v>
      </c>
    </row>
    <row r="223" hidden="1" spans="1:18">
      <c r="A223" s="524"/>
      <c r="B223" s="24" t="s">
        <v>92</v>
      </c>
      <c r="C223" s="538">
        <v>0</v>
      </c>
      <c r="D223" s="539">
        <v>0</v>
      </c>
      <c r="E223" s="539">
        <v>0</v>
      </c>
      <c r="F223" s="539">
        <v>0</v>
      </c>
      <c r="G223" s="539">
        <v>0</v>
      </c>
      <c r="H223" s="539">
        <v>0</v>
      </c>
      <c r="I223" s="539">
        <v>0</v>
      </c>
      <c r="J223" s="539">
        <v>0</v>
      </c>
      <c r="K223" s="527">
        <f>IF(E223=0,0,E223/D223)</f>
        <v>0</v>
      </c>
      <c r="L223" s="528">
        <f t="shared" si="77"/>
        <v>0</v>
      </c>
      <c r="M223" s="528">
        <f>IF(D223=0,0,C223/D223*1000)</f>
        <v>0</v>
      </c>
      <c r="N223" s="528">
        <f t="shared" si="78"/>
        <v>0</v>
      </c>
      <c r="O223" s="528">
        <f t="shared" si="79"/>
        <v>0</v>
      </c>
      <c r="P223" s="529">
        <f t="shared" si="80"/>
        <v>0</v>
      </c>
      <c r="Q223" s="24">
        <f t="shared" si="81"/>
        <v>0</v>
      </c>
      <c r="R223" s="530">
        <f t="shared" si="82"/>
        <v>0</v>
      </c>
    </row>
    <row r="224" hidden="1" spans="1:18">
      <c r="A224" s="524"/>
      <c r="B224" s="24" t="s">
        <v>93</v>
      </c>
      <c r="C224" s="538">
        <v>2266.82</v>
      </c>
      <c r="D224" s="539">
        <v>207865</v>
      </c>
      <c r="E224" s="539">
        <v>1929</v>
      </c>
      <c r="F224" s="539">
        <v>0</v>
      </c>
      <c r="G224" s="539">
        <v>0</v>
      </c>
      <c r="H224" s="539">
        <v>44</v>
      </c>
      <c r="I224" s="539">
        <v>260</v>
      </c>
      <c r="J224" s="539">
        <v>7</v>
      </c>
      <c r="K224" s="527">
        <f>IF(E224=0,0,E224/D224)</f>
        <v>0.00928006157842831</v>
      </c>
      <c r="L224" s="528">
        <f t="shared" si="77"/>
        <v>1.17512700881286</v>
      </c>
      <c r="M224" s="528">
        <f>IF(D224=0,0,C224/D224*1000)</f>
        <v>10.9052510042576</v>
      </c>
      <c r="N224" s="528">
        <f t="shared" si="78"/>
        <v>0</v>
      </c>
      <c r="O224" s="528">
        <f t="shared" si="79"/>
        <v>0</v>
      </c>
      <c r="P224" s="529">
        <f t="shared" si="80"/>
        <v>7.45664473684211</v>
      </c>
      <c r="Q224" s="24">
        <f t="shared" si="81"/>
        <v>304</v>
      </c>
      <c r="R224" s="530">
        <f t="shared" si="82"/>
        <v>0.157594608605495</v>
      </c>
    </row>
    <row r="225" hidden="1" spans="1:18">
      <c r="A225" s="524"/>
      <c r="B225" s="24" t="s">
        <v>95</v>
      </c>
      <c r="C225" s="538">
        <v>197.03</v>
      </c>
      <c r="D225" s="539">
        <v>810152</v>
      </c>
      <c r="E225" s="539">
        <v>2338</v>
      </c>
      <c r="F225" s="539">
        <v>0</v>
      </c>
      <c r="G225" s="539">
        <v>0</v>
      </c>
      <c r="H225" s="539">
        <v>2</v>
      </c>
      <c r="I225" s="539">
        <v>5</v>
      </c>
      <c r="J225" s="539">
        <v>0</v>
      </c>
      <c r="K225" s="527">
        <f>IF(E225=0,0,E225/D225)</f>
        <v>0.0028858782055713</v>
      </c>
      <c r="L225" s="528">
        <f t="shared" si="77"/>
        <v>0.0842728828058169</v>
      </c>
      <c r="M225" s="528">
        <f>IF(D225=0,0,C225/D225*1000)</f>
        <v>0.243201275809971</v>
      </c>
      <c r="N225" s="528">
        <f t="shared" si="78"/>
        <v>0</v>
      </c>
      <c r="O225" s="528">
        <f t="shared" si="79"/>
        <v>0</v>
      </c>
      <c r="P225" s="529">
        <f t="shared" si="80"/>
        <v>28.1471428571429</v>
      </c>
      <c r="Q225" s="24">
        <f t="shared" si="81"/>
        <v>7</v>
      </c>
      <c r="R225" s="530">
        <f t="shared" si="82"/>
        <v>0.0029940119760479</v>
      </c>
    </row>
    <row r="226" hidden="1" spans="1:18">
      <c r="A226" s="524"/>
      <c r="B226" s="531" t="s">
        <v>96</v>
      </c>
      <c r="C226" s="532">
        <f t="shared" ref="C226:J226" si="94">SUM(C222:C225)</f>
        <v>2663.51</v>
      </c>
      <c r="D226" s="533">
        <f t="shared" si="94"/>
        <v>1036932</v>
      </c>
      <c r="E226" s="533">
        <f t="shared" si="94"/>
        <v>4663</v>
      </c>
      <c r="F226" s="533">
        <f t="shared" si="94"/>
        <v>0</v>
      </c>
      <c r="G226" s="533">
        <f t="shared" si="94"/>
        <v>0</v>
      </c>
      <c r="H226" s="533">
        <f t="shared" si="94"/>
        <v>48</v>
      </c>
      <c r="I226" s="533">
        <f t="shared" si="94"/>
        <v>268</v>
      </c>
      <c r="J226" s="533">
        <f t="shared" si="94"/>
        <v>15</v>
      </c>
      <c r="K226" s="534">
        <f>E226/D226</f>
        <v>0.00449691975944421</v>
      </c>
      <c r="L226" s="535">
        <f t="shared" si="77"/>
        <v>0.571200943598542</v>
      </c>
      <c r="M226" s="535">
        <f>C226/D226*1000</f>
        <v>2.56864480988146</v>
      </c>
      <c r="N226" s="535">
        <f t="shared" si="78"/>
        <v>0</v>
      </c>
      <c r="O226" s="535">
        <f t="shared" si="79"/>
        <v>0</v>
      </c>
      <c r="P226" s="536">
        <f t="shared" si="80"/>
        <v>8.42882911392405</v>
      </c>
      <c r="Q226" s="531">
        <f t="shared" si="81"/>
        <v>316</v>
      </c>
      <c r="R226" s="537">
        <f t="shared" si="82"/>
        <v>0.0677675316319966</v>
      </c>
    </row>
    <row r="227" hidden="1" spans="1:18">
      <c r="A227" s="524">
        <v>45483</v>
      </c>
      <c r="B227" s="24" t="s">
        <v>91</v>
      </c>
      <c r="C227" s="538">
        <v>200</v>
      </c>
      <c r="D227" s="539">
        <v>9558</v>
      </c>
      <c r="E227" s="539">
        <v>213</v>
      </c>
      <c r="F227" s="539">
        <v>0</v>
      </c>
      <c r="G227" s="539">
        <v>0</v>
      </c>
      <c r="H227" s="539">
        <v>2</v>
      </c>
      <c r="I227" s="539">
        <v>2</v>
      </c>
      <c r="J227" s="539">
        <v>2</v>
      </c>
      <c r="K227" s="527">
        <f>IF(E227=0,0,E227/D227)</f>
        <v>0.022284996861268</v>
      </c>
      <c r="L227" s="528">
        <f t="shared" si="77"/>
        <v>0.938967136150235</v>
      </c>
      <c r="M227" s="528">
        <f>IF(D227=0,0,C227/D227*1000)</f>
        <v>20.9248796819418</v>
      </c>
      <c r="N227" s="528">
        <f t="shared" si="78"/>
        <v>0</v>
      </c>
      <c r="O227" s="528">
        <f t="shared" si="79"/>
        <v>0</v>
      </c>
      <c r="P227" s="529">
        <f t="shared" si="80"/>
        <v>50</v>
      </c>
      <c r="Q227" s="24">
        <f t="shared" si="81"/>
        <v>4</v>
      </c>
      <c r="R227" s="530">
        <f t="shared" si="82"/>
        <v>0.0187793427230047</v>
      </c>
    </row>
    <row r="228" hidden="1" spans="1:18">
      <c r="A228" s="524"/>
      <c r="B228" s="24" t="s">
        <v>92</v>
      </c>
      <c r="C228" s="538">
        <v>0</v>
      </c>
      <c r="D228" s="539">
        <v>0</v>
      </c>
      <c r="E228" s="539">
        <v>0</v>
      </c>
      <c r="F228" s="539">
        <v>0</v>
      </c>
      <c r="G228" s="539">
        <v>0</v>
      </c>
      <c r="H228" s="539">
        <v>0</v>
      </c>
      <c r="I228" s="539">
        <v>0</v>
      </c>
      <c r="J228" s="539">
        <v>0</v>
      </c>
      <c r="K228" s="527">
        <f>IF(E228=0,0,E228/D228)</f>
        <v>0</v>
      </c>
      <c r="L228" s="528">
        <f t="shared" ref="L228:L291" si="95">IF(C228=0,0,C228/E228)</f>
        <v>0</v>
      </c>
      <c r="M228" s="528">
        <f>IF(D228=0,0,C228/D228*1000)</f>
        <v>0</v>
      </c>
      <c r="N228" s="528">
        <f t="shared" ref="N228:N291" si="96">IF(G228=0,0,G228/C228)</f>
        <v>0</v>
      </c>
      <c r="O228" s="528">
        <f t="shared" ref="O228:O291" si="97">IF(F228=0,0,F228/E228)</f>
        <v>0</v>
      </c>
      <c r="P228" s="529">
        <f t="shared" ref="P228:P291" si="98">IF(H228+I228=0,0,C228/(H228+I228))</f>
        <v>0</v>
      </c>
      <c r="Q228" s="24">
        <f t="shared" ref="Q228:Q291" si="99">H228+I228</f>
        <v>0</v>
      </c>
      <c r="R228" s="530">
        <f t="shared" ref="R228:R291" si="100">IF(Q228=0,0,Q228/E228)</f>
        <v>0</v>
      </c>
    </row>
    <row r="229" hidden="1" spans="1:18">
      <c r="A229" s="524"/>
      <c r="B229" s="24" t="s">
        <v>93</v>
      </c>
      <c r="C229" s="538">
        <v>2392.57</v>
      </c>
      <c r="D229" s="539">
        <v>255392</v>
      </c>
      <c r="E229" s="539">
        <v>1977</v>
      </c>
      <c r="F229" s="539">
        <v>0</v>
      </c>
      <c r="G229" s="539">
        <v>0</v>
      </c>
      <c r="H229" s="539">
        <v>44</v>
      </c>
      <c r="I229" s="539">
        <v>322</v>
      </c>
      <c r="J229" s="539">
        <v>12</v>
      </c>
      <c r="K229" s="527">
        <f>IF(E229=0,0,E229/D229)</f>
        <v>0.0077410412229044</v>
      </c>
      <c r="L229" s="528">
        <f t="shared" si="95"/>
        <v>1.21020232675771</v>
      </c>
      <c r="M229" s="528">
        <f>IF(D229=0,0,C229/D229*1000)</f>
        <v>9.36822609948628</v>
      </c>
      <c r="N229" s="528">
        <f t="shared" si="96"/>
        <v>0</v>
      </c>
      <c r="O229" s="528">
        <f t="shared" si="97"/>
        <v>0</v>
      </c>
      <c r="P229" s="529">
        <f t="shared" si="98"/>
        <v>6.53707650273224</v>
      </c>
      <c r="Q229" s="24">
        <f t="shared" si="99"/>
        <v>366</v>
      </c>
      <c r="R229" s="530">
        <f t="shared" si="100"/>
        <v>0.185128983308042</v>
      </c>
    </row>
    <row r="230" hidden="1" spans="1:18">
      <c r="A230" s="524"/>
      <c r="B230" s="24" t="s">
        <v>95</v>
      </c>
      <c r="C230" s="538">
        <v>196.7</v>
      </c>
      <c r="D230" s="539">
        <v>1008266</v>
      </c>
      <c r="E230" s="539">
        <v>2373</v>
      </c>
      <c r="F230" s="539">
        <v>0</v>
      </c>
      <c r="G230" s="539">
        <v>0</v>
      </c>
      <c r="H230" s="539">
        <v>0</v>
      </c>
      <c r="I230" s="539">
        <v>3</v>
      </c>
      <c r="J230" s="539">
        <v>0</v>
      </c>
      <c r="K230" s="527">
        <f>IF(E230=0,0,E230/D230)</f>
        <v>0.00235354559213541</v>
      </c>
      <c r="L230" s="528">
        <f t="shared" si="95"/>
        <v>0.0828908554572271</v>
      </c>
      <c r="M230" s="528">
        <f>IF(D230=0,0,C230/D230*1000)</f>
        <v>0.19508740748969</v>
      </c>
      <c r="N230" s="528">
        <f t="shared" si="96"/>
        <v>0</v>
      </c>
      <c r="O230" s="528">
        <f t="shared" si="97"/>
        <v>0</v>
      </c>
      <c r="P230" s="529">
        <f t="shared" si="98"/>
        <v>65.5666666666667</v>
      </c>
      <c r="Q230" s="24">
        <f t="shared" si="99"/>
        <v>3</v>
      </c>
      <c r="R230" s="530">
        <f t="shared" si="100"/>
        <v>0.00126422250316056</v>
      </c>
    </row>
    <row r="231" hidden="1" spans="1:18">
      <c r="A231" s="524"/>
      <c r="B231" s="531" t="s">
        <v>96</v>
      </c>
      <c r="C231" s="532">
        <f t="shared" ref="C231:J231" si="101">SUM(C227:C230)</f>
        <v>2789.27</v>
      </c>
      <c r="D231" s="533">
        <f t="shared" si="101"/>
        <v>1273216</v>
      </c>
      <c r="E231" s="533">
        <f t="shared" si="101"/>
        <v>4563</v>
      </c>
      <c r="F231" s="533">
        <f t="shared" si="101"/>
        <v>0</v>
      </c>
      <c r="G231" s="533">
        <f t="shared" si="101"/>
        <v>0</v>
      </c>
      <c r="H231" s="533">
        <f t="shared" si="101"/>
        <v>46</v>
      </c>
      <c r="I231" s="533">
        <f t="shared" si="101"/>
        <v>327</v>
      </c>
      <c r="J231" s="533">
        <f t="shared" si="101"/>
        <v>14</v>
      </c>
      <c r="K231" s="534">
        <f>E231/D231</f>
        <v>0.003583838091887</v>
      </c>
      <c r="L231" s="535">
        <f t="shared" si="95"/>
        <v>0.611279859741398</v>
      </c>
      <c r="M231" s="535">
        <f>C231/D231*1000</f>
        <v>2.19072804614457</v>
      </c>
      <c r="N231" s="535">
        <f t="shared" si="96"/>
        <v>0</v>
      </c>
      <c r="O231" s="535">
        <f t="shared" si="97"/>
        <v>0</v>
      </c>
      <c r="P231" s="536">
        <f t="shared" si="98"/>
        <v>7.47793565683646</v>
      </c>
      <c r="Q231" s="531">
        <f t="shared" si="99"/>
        <v>373</v>
      </c>
      <c r="R231" s="537">
        <f t="shared" si="100"/>
        <v>0.081744466359851</v>
      </c>
    </row>
    <row r="232" hidden="1" spans="1:18">
      <c r="A232" s="524">
        <v>45484</v>
      </c>
      <c r="B232" s="24" t="s">
        <v>91</v>
      </c>
      <c r="C232" s="538">
        <v>199.78</v>
      </c>
      <c r="D232" s="539">
        <v>10334</v>
      </c>
      <c r="E232" s="539">
        <v>271</v>
      </c>
      <c r="F232" s="539">
        <v>0</v>
      </c>
      <c r="G232" s="539">
        <v>0</v>
      </c>
      <c r="H232" s="539">
        <v>1</v>
      </c>
      <c r="I232" s="539">
        <v>1</v>
      </c>
      <c r="J232" s="539">
        <v>5</v>
      </c>
      <c r="K232" s="527">
        <f>IF(E232=0,0,E232/D232)</f>
        <v>0.0262241145732533</v>
      </c>
      <c r="L232" s="528">
        <f t="shared" si="95"/>
        <v>0.73719557195572</v>
      </c>
      <c r="M232" s="528">
        <f>IF(D232=0,0,C232/D232*1000)</f>
        <v>19.3323011418618</v>
      </c>
      <c r="N232" s="528">
        <f t="shared" si="96"/>
        <v>0</v>
      </c>
      <c r="O232" s="528">
        <f t="shared" si="97"/>
        <v>0</v>
      </c>
      <c r="P232" s="529">
        <f t="shared" si="98"/>
        <v>99.89</v>
      </c>
      <c r="Q232" s="24">
        <f t="shared" si="99"/>
        <v>2</v>
      </c>
      <c r="R232" s="530">
        <f t="shared" si="100"/>
        <v>0.00738007380073801</v>
      </c>
    </row>
    <row r="233" hidden="1" spans="1:18">
      <c r="A233" s="524"/>
      <c r="B233" s="24" t="s">
        <v>92</v>
      </c>
      <c r="C233" s="538">
        <v>0</v>
      </c>
      <c r="D233" s="539">
        <v>0</v>
      </c>
      <c r="E233" s="539">
        <v>0</v>
      </c>
      <c r="F233" s="539">
        <v>0</v>
      </c>
      <c r="G233" s="539">
        <v>0</v>
      </c>
      <c r="H233" s="539">
        <v>0</v>
      </c>
      <c r="I233" s="539">
        <v>0</v>
      </c>
      <c r="J233" s="539">
        <v>0</v>
      </c>
      <c r="K233" s="527">
        <f>IF(E233=0,0,E233/D233)</f>
        <v>0</v>
      </c>
      <c r="L233" s="528">
        <f t="shared" si="95"/>
        <v>0</v>
      </c>
      <c r="M233" s="528">
        <f>IF(D233=0,0,C233/D233*1000)</f>
        <v>0</v>
      </c>
      <c r="N233" s="528">
        <f t="shared" si="96"/>
        <v>0</v>
      </c>
      <c r="O233" s="528">
        <f t="shared" si="97"/>
        <v>0</v>
      </c>
      <c r="P233" s="529">
        <f t="shared" si="98"/>
        <v>0</v>
      </c>
      <c r="Q233" s="24">
        <f t="shared" si="99"/>
        <v>0</v>
      </c>
      <c r="R233" s="530">
        <f t="shared" si="100"/>
        <v>0</v>
      </c>
    </row>
    <row r="234" hidden="1" spans="1:18">
      <c r="A234" s="524"/>
      <c r="B234" s="24" t="s">
        <v>93</v>
      </c>
      <c r="C234" s="538">
        <v>2341.58</v>
      </c>
      <c r="D234" s="539">
        <v>230742</v>
      </c>
      <c r="E234" s="539">
        <v>2010</v>
      </c>
      <c r="F234" s="539">
        <v>1</v>
      </c>
      <c r="G234" s="539">
        <v>10562</v>
      </c>
      <c r="H234" s="539">
        <v>42</v>
      </c>
      <c r="I234" s="539">
        <v>335</v>
      </c>
      <c r="J234" s="539">
        <v>6</v>
      </c>
      <c r="K234" s="527">
        <f>IF(E234=0,0,E234/D234)</f>
        <v>0.00871102790129235</v>
      </c>
      <c r="L234" s="528">
        <f t="shared" si="95"/>
        <v>1.16496517412935</v>
      </c>
      <c r="M234" s="528">
        <f>IF(D234=0,0,C234/D234*1000)</f>
        <v>10.1480441358747</v>
      </c>
      <c r="N234" s="528">
        <f t="shared" si="96"/>
        <v>4.51062957490242</v>
      </c>
      <c r="O234" s="528">
        <f t="shared" si="97"/>
        <v>0.000497512437810945</v>
      </c>
      <c r="P234" s="529">
        <f t="shared" si="98"/>
        <v>6.2110875331565</v>
      </c>
      <c r="Q234" s="24">
        <f t="shared" si="99"/>
        <v>377</v>
      </c>
      <c r="R234" s="530">
        <f t="shared" si="100"/>
        <v>0.187562189054726</v>
      </c>
    </row>
    <row r="235" hidden="1" spans="1:18">
      <c r="A235" s="524"/>
      <c r="B235" s="24" t="s">
        <v>95</v>
      </c>
      <c r="C235" s="538">
        <v>197.93</v>
      </c>
      <c r="D235" s="539">
        <v>531184</v>
      </c>
      <c r="E235" s="539">
        <v>1866</v>
      </c>
      <c r="F235" s="539">
        <v>0</v>
      </c>
      <c r="G235" s="539">
        <v>0</v>
      </c>
      <c r="H235" s="539">
        <v>0</v>
      </c>
      <c r="I235" s="539">
        <v>1</v>
      </c>
      <c r="J235" s="539">
        <v>0</v>
      </c>
      <c r="K235" s="527">
        <f>IF(E235=0,0,E235/D235)</f>
        <v>0.00351290701527154</v>
      </c>
      <c r="L235" s="528">
        <f t="shared" si="95"/>
        <v>0.1060718113612</v>
      </c>
      <c r="M235" s="528">
        <f>IF(D235=0,0,C235/D235*1000)</f>
        <v>0.372620410253321</v>
      </c>
      <c r="N235" s="528">
        <f t="shared" si="96"/>
        <v>0</v>
      </c>
      <c r="O235" s="528">
        <f t="shared" si="97"/>
        <v>0</v>
      </c>
      <c r="P235" s="529">
        <f t="shared" si="98"/>
        <v>197.93</v>
      </c>
      <c r="Q235" s="24">
        <f t="shared" si="99"/>
        <v>1</v>
      </c>
      <c r="R235" s="530">
        <f t="shared" si="100"/>
        <v>0.000535905680600214</v>
      </c>
    </row>
    <row r="236" hidden="1" spans="1:18">
      <c r="A236" s="524"/>
      <c r="B236" s="531" t="s">
        <v>96</v>
      </c>
      <c r="C236" s="532">
        <f t="shared" ref="C236:J236" si="102">SUM(C232:C235)</f>
        <v>2739.29</v>
      </c>
      <c r="D236" s="533">
        <f t="shared" si="102"/>
        <v>772260</v>
      </c>
      <c r="E236" s="533">
        <f t="shared" si="102"/>
        <v>4147</v>
      </c>
      <c r="F236" s="533">
        <f t="shared" si="102"/>
        <v>1</v>
      </c>
      <c r="G236" s="533">
        <f t="shared" si="102"/>
        <v>10562</v>
      </c>
      <c r="H236" s="533">
        <f t="shared" si="102"/>
        <v>43</v>
      </c>
      <c r="I236" s="533">
        <f t="shared" si="102"/>
        <v>337</v>
      </c>
      <c r="J236" s="533">
        <f t="shared" si="102"/>
        <v>11</v>
      </c>
      <c r="K236" s="534">
        <f>E236/D236</f>
        <v>0.00536995312459534</v>
      </c>
      <c r="L236" s="535">
        <f t="shared" si="95"/>
        <v>0.660547383650832</v>
      </c>
      <c r="M236" s="535">
        <f>C236/D236*1000</f>
        <v>3.54710848677906</v>
      </c>
      <c r="N236" s="535">
        <f t="shared" si="96"/>
        <v>3.85574364160056</v>
      </c>
      <c r="O236" s="535">
        <f t="shared" si="97"/>
        <v>0.000241138172172655</v>
      </c>
      <c r="P236" s="536">
        <f t="shared" si="98"/>
        <v>7.20865789473684</v>
      </c>
      <c r="Q236" s="531">
        <f t="shared" si="99"/>
        <v>380</v>
      </c>
      <c r="R236" s="537">
        <f t="shared" si="100"/>
        <v>0.0916325054256089</v>
      </c>
    </row>
    <row r="237" hidden="1" spans="1:18">
      <c r="A237" s="524">
        <v>45485</v>
      </c>
      <c r="B237" s="24" t="s">
        <v>91</v>
      </c>
      <c r="C237" s="540">
        <v>199.19</v>
      </c>
      <c r="D237" s="540">
        <v>11329</v>
      </c>
      <c r="E237" s="540">
        <v>282</v>
      </c>
      <c r="F237" s="540">
        <v>0</v>
      </c>
      <c r="G237" s="540">
        <v>0</v>
      </c>
      <c r="H237" s="540">
        <v>3</v>
      </c>
      <c r="I237" s="540">
        <v>2</v>
      </c>
      <c r="J237" s="540">
        <v>7</v>
      </c>
      <c r="K237" s="527">
        <f>IF(E237=0,0,E237/D237)</f>
        <v>0.0248918704210433</v>
      </c>
      <c r="L237" s="528">
        <f t="shared" si="95"/>
        <v>0.706347517730496</v>
      </c>
      <c r="M237" s="528">
        <f>IF(D237=0,0,C237/D237*1000)</f>
        <v>17.5823108835731</v>
      </c>
      <c r="N237" s="528">
        <f t="shared" si="96"/>
        <v>0</v>
      </c>
      <c r="O237" s="528">
        <f t="shared" si="97"/>
        <v>0</v>
      </c>
      <c r="P237" s="529">
        <f t="shared" si="98"/>
        <v>39.838</v>
      </c>
      <c r="Q237" s="24">
        <f t="shared" si="99"/>
        <v>5</v>
      </c>
      <c r="R237" s="530">
        <f t="shared" si="100"/>
        <v>0.0177304964539007</v>
      </c>
    </row>
    <row r="238" hidden="1" spans="1:18">
      <c r="A238" s="524"/>
      <c r="B238" s="24" t="s">
        <v>92</v>
      </c>
      <c r="C238" s="540">
        <v>0</v>
      </c>
      <c r="D238" s="540">
        <v>0</v>
      </c>
      <c r="E238" s="540">
        <v>0</v>
      </c>
      <c r="F238" s="540">
        <v>0</v>
      </c>
      <c r="G238" s="540">
        <v>0</v>
      </c>
      <c r="H238" s="540">
        <v>0</v>
      </c>
      <c r="I238" s="540">
        <v>0</v>
      </c>
      <c r="J238" s="540">
        <v>0</v>
      </c>
      <c r="K238" s="527">
        <f>IF(E238=0,0,E238/D238)</f>
        <v>0</v>
      </c>
      <c r="L238" s="528">
        <f t="shared" si="95"/>
        <v>0</v>
      </c>
      <c r="M238" s="528">
        <f>IF(D238=0,0,C238/D238*1000)</f>
        <v>0</v>
      </c>
      <c r="N238" s="528">
        <f t="shared" si="96"/>
        <v>0</v>
      </c>
      <c r="O238" s="528">
        <f t="shared" si="97"/>
        <v>0</v>
      </c>
      <c r="P238" s="529">
        <f t="shared" si="98"/>
        <v>0</v>
      </c>
      <c r="Q238" s="24">
        <f t="shared" si="99"/>
        <v>0</v>
      </c>
      <c r="R238" s="530">
        <f t="shared" si="100"/>
        <v>0</v>
      </c>
    </row>
    <row r="239" hidden="1" spans="1:18">
      <c r="A239" s="524"/>
      <c r="B239" s="24" t="s">
        <v>93</v>
      </c>
      <c r="C239" s="540">
        <v>2624.47</v>
      </c>
      <c r="D239" s="540">
        <v>692033</v>
      </c>
      <c r="E239" s="540">
        <v>4203</v>
      </c>
      <c r="F239" s="540">
        <v>0</v>
      </c>
      <c r="G239" s="540">
        <v>0</v>
      </c>
      <c r="H239" s="540">
        <v>54</v>
      </c>
      <c r="I239" s="540">
        <v>326</v>
      </c>
      <c r="J239" s="540">
        <v>11</v>
      </c>
      <c r="K239" s="527">
        <f>IF(E239=0,0,E239/D239)</f>
        <v>0.00607340979404161</v>
      </c>
      <c r="L239" s="528">
        <f t="shared" si="95"/>
        <v>0.624427789674042</v>
      </c>
      <c r="M239" s="528">
        <f>IF(D239=0,0,C239/D239*1000)</f>
        <v>3.79240585347809</v>
      </c>
      <c r="N239" s="528">
        <f t="shared" si="96"/>
        <v>0</v>
      </c>
      <c r="O239" s="528">
        <f t="shared" si="97"/>
        <v>0</v>
      </c>
      <c r="P239" s="529">
        <f t="shared" si="98"/>
        <v>6.9065</v>
      </c>
      <c r="Q239" s="24">
        <f t="shared" si="99"/>
        <v>380</v>
      </c>
      <c r="R239" s="530">
        <f t="shared" si="100"/>
        <v>0.0904116107542232</v>
      </c>
    </row>
    <row r="240" hidden="1" spans="1:18">
      <c r="A240" s="524"/>
      <c r="B240" s="24" t="s">
        <v>95</v>
      </c>
      <c r="C240" s="538">
        <v>0</v>
      </c>
      <c r="D240" s="539">
        <v>0</v>
      </c>
      <c r="E240" s="539">
        <v>0</v>
      </c>
      <c r="F240" s="539">
        <v>0</v>
      </c>
      <c r="G240" s="539">
        <v>0</v>
      </c>
      <c r="H240" s="539">
        <v>0</v>
      </c>
      <c r="I240" s="539">
        <v>0</v>
      </c>
      <c r="J240" s="539">
        <v>0</v>
      </c>
      <c r="K240" s="527">
        <f>IF(E240=0,0,E240/D240)</f>
        <v>0</v>
      </c>
      <c r="L240" s="528">
        <f t="shared" si="95"/>
        <v>0</v>
      </c>
      <c r="M240" s="528">
        <f>IF(D240=0,0,C240/D240*1000)</f>
        <v>0</v>
      </c>
      <c r="N240" s="528">
        <f t="shared" si="96"/>
        <v>0</v>
      </c>
      <c r="O240" s="528">
        <f t="shared" si="97"/>
        <v>0</v>
      </c>
      <c r="P240" s="529">
        <f t="shared" si="98"/>
        <v>0</v>
      </c>
      <c r="Q240" s="24">
        <f t="shared" si="99"/>
        <v>0</v>
      </c>
      <c r="R240" s="530">
        <f t="shared" si="100"/>
        <v>0</v>
      </c>
    </row>
    <row r="241" hidden="1" spans="1:18">
      <c r="A241" s="524"/>
      <c r="B241" s="531" t="s">
        <v>96</v>
      </c>
      <c r="C241" s="532">
        <f t="shared" ref="C241:J241" si="103">SUM(C237:C240)</f>
        <v>2823.66</v>
      </c>
      <c r="D241" s="533">
        <f t="shared" si="103"/>
        <v>703362</v>
      </c>
      <c r="E241" s="533">
        <f t="shared" si="103"/>
        <v>4485</v>
      </c>
      <c r="F241" s="533">
        <f t="shared" si="103"/>
        <v>0</v>
      </c>
      <c r="G241" s="533">
        <f t="shared" si="103"/>
        <v>0</v>
      </c>
      <c r="H241" s="533">
        <f t="shared" si="103"/>
        <v>57</v>
      </c>
      <c r="I241" s="533">
        <f t="shared" si="103"/>
        <v>328</v>
      </c>
      <c r="J241" s="533">
        <f t="shared" si="103"/>
        <v>18</v>
      </c>
      <c r="K241" s="534">
        <f>E241/D241</f>
        <v>0.0063765173552168</v>
      </c>
      <c r="L241" s="535">
        <f t="shared" si="95"/>
        <v>0.629578595317726</v>
      </c>
      <c r="M241" s="535">
        <f>C241/D241*1000</f>
        <v>4.01451883951649</v>
      </c>
      <c r="N241" s="535">
        <f t="shared" si="96"/>
        <v>0</v>
      </c>
      <c r="O241" s="535">
        <f t="shared" si="97"/>
        <v>0</v>
      </c>
      <c r="P241" s="536">
        <f t="shared" si="98"/>
        <v>7.33418181818182</v>
      </c>
      <c r="Q241" s="531">
        <f t="shared" si="99"/>
        <v>385</v>
      </c>
      <c r="R241" s="537">
        <f t="shared" si="100"/>
        <v>0.0858416945373467</v>
      </c>
    </row>
    <row r="242" hidden="1" spans="1:18">
      <c r="A242" s="524">
        <v>45486</v>
      </c>
      <c r="B242" s="24" t="s">
        <v>91</v>
      </c>
      <c r="C242" s="540">
        <v>199.26</v>
      </c>
      <c r="D242" s="540">
        <v>11669</v>
      </c>
      <c r="E242" s="540">
        <v>268</v>
      </c>
      <c r="F242" s="540">
        <v>0</v>
      </c>
      <c r="G242" s="540">
        <v>0</v>
      </c>
      <c r="H242" s="540">
        <v>1</v>
      </c>
      <c r="I242" s="540">
        <v>4</v>
      </c>
      <c r="J242" s="540">
        <v>7</v>
      </c>
      <c r="K242" s="527">
        <f>IF(E242=0,0,E242/D242)</f>
        <v>0.0229668352043877</v>
      </c>
      <c r="L242" s="528">
        <f t="shared" si="95"/>
        <v>0.743507462686567</v>
      </c>
      <c r="M242" s="528">
        <f>IF(D242=0,0,C242/D242*1000)</f>
        <v>17.0760133687548</v>
      </c>
      <c r="N242" s="528">
        <f t="shared" si="96"/>
        <v>0</v>
      </c>
      <c r="O242" s="528">
        <f t="shared" si="97"/>
        <v>0</v>
      </c>
      <c r="P242" s="529">
        <f t="shared" si="98"/>
        <v>39.852</v>
      </c>
      <c r="Q242" s="24">
        <f t="shared" si="99"/>
        <v>5</v>
      </c>
      <c r="R242" s="530">
        <f t="shared" si="100"/>
        <v>0.0186567164179104</v>
      </c>
    </row>
    <row r="243" hidden="1" spans="1:18">
      <c r="A243" s="524"/>
      <c r="B243" s="24" t="s">
        <v>92</v>
      </c>
      <c r="C243" s="540">
        <v>474.87</v>
      </c>
      <c r="D243" s="540">
        <v>10922</v>
      </c>
      <c r="E243" s="540">
        <v>1110</v>
      </c>
      <c r="F243" s="540">
        <v>1</v>
      </c>
      <c r="G243" s="540">
        <v>516</v>
      </c>
      <c r="H243" s="540">
        <v>29</v>
      </c>
      <c r="I243" s="540">
        <v>10</v>
      </c>
      <c r="J243" s="540">
        <v>0</v>
      </c>
      <c r="K243" s="527">
        <f>IF(E243=0,0,E243/D243)</f>
        <v>0.101629738143197</v>
      </c>
      <c r="L243" s="528">
        <f t="shared" si="95"/>
        <v>0.427810810810811</v>
      </c>
      <c r="M243" s="528">
        <f>IF(D243=0,0,C243/D243*1000)</f>
        <v>43.4783006775316</v>
      </c>
      <c r="N243" s="528">
        <f t="shared" si="96"/>
        <v>1.08661317834355</v>
      </c>
      <c r="O243" s="528">
        <f t="shared" si="97"/>
        <v>0.000900900900900901</v>
      </c>
      <c r="P243" s="529">
        <f t="shared" si="98"/>
        <v>12.1761538461538</v>
      </c>
      <c r="Q243" s="24">
        <f t="shared" si="99"/>
        <v>39</v>
      </c>
      <c r="R243" s="530">
        <f t="shared" si="100"/>
        <v>0.0351351351351351</v>
      </c>
    </row>
    <row r="244" hidden="1" spans="1:18">
      <c r="A244" s="524"/>
      <c r="B244" s="24" t="s">
        <v>93</v>
      </c>
      <c r="C244" s="540">
        <v>2576.89</v>
      </c>
      <c r="D244" s="540">
        <v>967042</v>
      </c>
      <c r="E244" s="540">
        <v>4603</v>
      </c>
      <c r="F244" s="540">
        <v>1</v>
      </c>
      <c r="G244" s="540">
        <v>30708</v>
      </c>
      <c r="H244" s="540">
        <v>76</v>
      </c>
      <c r="I244" s="540">
        <v>354</v>
      </c>
      <c r="J244" s="540">
        <v>12</v>
      </c>
      <c r="K244" s="527">
        <f>IF(E244=0,0,E244/D244)</f>
        <v>0.00475987599297652</v>
      </c>
      <c r="L244" s="528">
        <f t="shared" si="95"/>
        <v>0.559828372800348</v>
      </c>
      <c r="M244" s="528">
        <f>IF(D244=0,0,C244/D244*1000)</f>
        <v>2.66471363187948</v>
      </c>
      <c r="N244" s="528">
        <f t="shared" si="96"/>
        <v>11.9166902739349</v>
      </c>
      <c r="O244" s="528">
        <f t="shared" si="97"/>
        <v>0.000217249619813165</v>
      </c>
      <c r="P244" s="529">
        <f t="shared" si="98"/>
        <v>5.99276744186046</v>
      </c>
      <c r="Q244" s="24">
        <f t="shared" si="99"/>
        <v>430</v>
      </c>
      <c r="R244" s="530">
        <f t="shared" si="100"/>
        <v>0.0934173365196611</v>
      </c>
    </row>
    <row r="245" hidden="1" spans="1:18">
      <c r="A245" s="524"/>
      <c r="B245" s="24" t="s">
        <v>95</v>
      </c>
      <c r="C245" s="538">
        <v>0</v>
      </c>
      <c r="D245" s="539">
        <v>0</v>
      </c>
      <c r="E245" s="539">
        <v>0</v>
      </c>
      <c r="F245" s="539">
        <v>0</v>
      </c>
      <c r="G245" s="539">
        <v>0</v>
      </c>
      <c r="H245" s="539">
        <v>0</v>
      </c>
      <c r="I245" s="539">
        <v>0</v>
      </c>
      <c r="J245" s="539">
        <v>0</v>
      </c>
      <c r="K245" s="527">
        <f>IF(E245=0,0,E245/D245)</f>
        <v>0</v>
      </c>
      <c r="L245" s="528">
        <f t="shared" si="95"/>
        <v>0</v>
      </c>
      <c r="M245" s="528">
        <f>IF(D245=0,0,C245/D245*1000)</f>
        <v>0</v>
      </c>
      <c r="N245" s="528">
        <f t="shared" si="96"/>
        <v>0</v>
      </c>
      <c r="O245" s="528">
        <f t="shared" si="97"/>
        <v>0</v>
      </c>
      <c r="P245" s="529">
        <f t="shared" si="98"/>
        <v>0</v>
      </c>
      <c r="Q245" s="24">
        <f t="shared" si="99"/>
        <v>0</v>
      </c>
      <c r="R245" s="530">
        <f t="shared" si="100"/>
        <v>0</v>
      </c>
    </row>
    <row r="246" hidden="1" spans="1:18">
      <c r="A246" s="524"/>
      <c r="B246" s="531" t="s">
        <v>96</v>
      </c>
      <c r="C246" s="532">
        <f t="shared" ref="C246:J246" si="104">SUM(C242:C245)</f>
        <v>3251.02</v>
      </c>
      <c r="D246" s="533">
        <f t="shared" si="104"/>
        <v>989633</v>
      </c>
      <c r="E246" s="533">
        <f t="shared" si="104"/>
        <v>5981</v>
      </c>
      <c r="F246" s="533">
        <f t="shared" si="104"/>
        <v>2</v>
      </c>
      <c r="G246" s="533">
        <f t="shared" si="104"/>
        <v>31224</v>
      </c>
      <c r="H246" s="533">
        <f t="shared" si="104"/>
        <v>106</v>
      </c>
      <c r="I246" s="533">
        <f t="shared" si="104"/>
        <v>368</v>
      </c>
      <c r="J246" s="533">
        <f t="shared" si="104"/>
        <v>19</v>
      </c>
      <c r="K246" s="534">
        <f>E246/D246</f>
        <v>0.006043654566895</v>
      </c>
      <c r="L246" s="535">
        <f t="shared" si="95"/>
        <v>0.543557933455944</v>
      </c>
      <c r="M246" s="535">
        <f>C246/D246*1000</f>
        <v>3.28507638690302</v>
      </c>
      <c r="N246" s="535">
        <f t="shared" si="96"/>
        <v>9.60437032069935</v>
      </c>
      <c r="O246" s="535">
        <f t="shared" si="97"/>
        <v>0.000334392242099983</v>
      </c>
      <c r="P246" s="536">
        <f t="shared" si="98"/>
        <v>6.85869198312236</v>
      </c>
      <c r="Q246" s="531">
        <f t="shared" si="99"/>
        <v>474</v>
      </c>
      <c r="R246" s="537">
        <f t="shared" si="100"/>
        <v>0.079250961377696</v>
      </c>
    </row>
    <row r="247" hidden="1" spans="1:18">
      <c r="A247" s="524">
        <v>45487</v>
      </c>
      <c r="B247" s="24" t="s">
        <v>91</v>
      </c>
      <c r="C247" s="540">
        <v>199.76</v>
      </c>
      <c r="D247" s="540">
        <v>12188</v>
      </c>
      <c r="E247" s="540">
        <v>251</v>
      </c>
      <c r="F247" s="540">
        <v>0</v>
      </c>
      <c r="G247" s="540">
        <v>0</v>
      </c>
      <c r="H247" s="540">
        <v>4</v>
      </c>
      <c r="I247" s="540">
        <v>0</v>
      </c>
      <c r="J247" s="540">
        <v>2</v>
      </c>
      <c r="K247" s="527">
        <f>IF(E247=0,0,E247/D247)</f>
        <v>0.0205940269117164</v>
      </c>
      <c r="L247" s="528">
        <f t="shared" si="95"/>
        <v>0.795856573705179</v>
      </c>
      <c r="M247" s="528">
        <f>IF(D247=0,0,C247/D247*1000)</f>
        <v>16.3898916967509</v>
      </c>
      <c r="N247" s="528">
        <f t="shared" si="96"/>
        <v>0</v>
      </c>
      <c r="O247" s="528">
        <f t="shared" si="97"/>
        <v>0</v>
      </c>
      <c r="P247" s="529">
        <f t="shared" si="98"/>
        <v>49.94</v>
      </c>
      <c r="Q247" s="24">
        <f t="shared" si="99"/>
        <v>4</v>
      </c>
      <c r="R247" s="530">
        <f t="shared" si="100"/>
        <v>0.0159362549800797</v>
      </c>
    </row>
    <row r="248" hidden="1" spans="1:18">
      <c r="A248" s="524"/>
      <c r="B248" s="24" t="s">
        <v>92</v>
      </c>
      <c r="C248" s="540">
        <v>318.64</v>
      </c>
      <c r="D248" s="540">
        <v>8993</v>
      </c>
      <c r="E248" s="540">
        <v>548</v>
      </c>
      <c r="F248" s="540">
        <v>0</v>
      </c>
      <c r="G248" s="540">
        <v>0</v>
      </c>
      <c r="H248" s="540">
        <v>1</v>
      </c>
      <c r="I248" s="540">
        <v>7</v>
      </c>
      <c r="J248" s="540">
        <v>0</v>
      </c>
      <c r="K248" s="527">
        <f>IF(E248=0,0,E248/D248)</f>
        <v>0.0609362837762704</v>
      </c>
      <c r="L248" s="528">
        <f t="shared" si="95"/>
        <v>0.581459854014599</v>
      </c>
      <c r="M248" s="528">
        <f>IF(D248=0,0,C248/D248*1000)</f>
        <v>35.4320026687423</v>
      </c>
      <c r="N248" s="528">
        <f t="shared" si="96"/>
        <v>0</v>
      </c>
      <c r="O248" s="528">
        <f t="shared" si="97"/>
        <v>0</v>
      </c>
      <c r="P248" s="529">
        <f t="shared" si="98"/>
        <v>39.83</v>
      </c>
      <c r="Q248" s="24">
        <f t="shared" si="99"/>
        <v>8</v>
      </c>
      <c r="R248" s="530">
        <f t="shared" si="100"/>
        <v>0.0145985401459854</v>
      </c>
    </row>
    <row r="249" hidden="1" spans="1:18">
      <c r="A249" s="524"/>
      <c r="B249" s="24" t="s">
        <v>93</v>
      </c>
      <c r="C249" s="540">
        <v>2577.9</v>
      </c>
      <c r="D249" s="540">
        <v>1349895</v>
      </c>
      <c r="E249" s="540">
        <v>5070</v>
      </c>
      <c r="F249" s="540">
        <v>0</v>
      </c>
      <c r="G249" s="540">
        <v>0</v>
      </c>
      <c r="H249" s="540">
        <v>58</v>
      </c>
      <c r="I249" s="540">
        <v>343</v>
      </c>
      <c r="J249" s="540">
        <v>5</v>
      </c>
      <c r="K249" s="527">
        <f>IF(E249=0,0,E249/D249)</f>
        <v>0.00375584767704155</v>
      </c>
      <c r="L249" s="528">
        <f t="shared" si="95"/>
        <v>0.508461538461539</v>
      </c>
      <c r="M249" s="528">
        <f>IF(D249=0,0,C249/D249*1000)</f>
        <v>1.90970408809574</v>
      </c>
      <c r="N249" s="528">
        <f t="shared" si="96"/>
        <v>0</v>
      </c>
      <c r="O249" s="528">
        <f t="shared" si="97"/>
        <v>0</v>
      </c>
      <c r="P249" s="529">
        <f t="shared" si="98"/>
        <v>6.4286783042394</v>
      </c>
      <c r="Q249" s="24">
        <f t="shared" si="99"/>
        <v>401</v>
      </c>
      <c r="R249" s="530">
        <f t="shared" si="100"/>
        <v>0.0790927021696252</v>
      </c>
    </row>
    <row r="250" hidden="1" spans="1:18">
      <c r="A250" s="524"/>
      <c r="B250" s="24" t="s">
        <v>95</v>
      </c>
      <c r="C250" s="538">
        <v>0</v>
      </c>
      <c r="D250" s="539">
        <v>0</v>
      </c>
      <c r="E250" s="539">
        <v>0</v>
      </c>
      <c r="F250" s="539">
        <v>0</v>
      </c>
      <c r="G250" s="539">
        <v>0</v>
      </c>
      <c r="H250" s="539">
        <v>0</v>
      </c>
      <c r="I250" s="539">
        <v>0</v>
      </c>
      <c r="J250" s="539">
        <v>0</v>
      </c>
      <c r="K250" s="527">
        <f>IF(E250=0,0,E250/D250)</f>
        <v>0</v>
      </c>
      <c r="L250" s="528">
        <f t="shared" si="95"/>
        <v>0</v>
      </c>
      <c r="M250" s="528">
        <f>IF(D250=0,0,C250/D250*1000)</f>
        <v>0</v>
      </c>
      <c r="N250" s="528">
        <f t="shared" si="96"/>
        <v>0</v>
      </c>
      <c r="O250" s="528">
        <f t="shared" si="97"/>
        <v>0</v>
      </c>
      <c r="P250" s="529">
        <f t="shared" si="98"/>
        <v>0</v>
      </c>
      <c r="Q250" s="24">
        <f t="shared" si="99"/>
        <v>0</v>
      </c>
      <c r="R250" s="530">
        <f t="shared" si="100"/>
        <v>0</v>
      </c>
    </row>
    <row r="251" hidden="1" spans="1:18">
      <c r="A251" s="524"/>
      <c r="B251" s="531" t="s">
        <v>96</v>
      </c>
      <c r="C251" s="532">
        <f t="shared" ref="C251:J251" si="105">SUM(C247:C250)</f>
        <v>3096.3</v>
      </c>
      <c r="D251" s="533">
        <f t="shared" si="105"/>
        <v>1371076</v>
      </c>
      <c r="E251" s="533">
        <f t="shared" si="105"/>
        <v>5869</v>
      </c>
      <c r="F251" s="533">
        <f t="shared" si="105"/>
        <v>0</v>
      </c>
      <c r="G251" s="533">
        <f t="shared" si="105"/>
        <v>0</v>
      </c>
      <c r="H251" s="533">
        <f t="shared" si="105"/>
        <v>63</v>
      </c>
      <c r="I251" s="533">
        <f t="shared" si="105"/>
        <v>350</v>
      </c>
      <c r="J251" s="533">
        <f t="shared" si="105"/>
        <v>7</v>
      </c>
      <c r="K251" s="534">
        <f>E251/D251</f>
        <v>0.00428057963234715</v>
      </c>
      <c r="L251" s="535">
        <f t="shared" si="95"/>
        <v>0.527568580678139</v>
      </c>
      <c r="M251" s="535">
        <f>C251/D251*1000</f>
        <v>2.25829932111714</v>
      </c>
      <c r="N251" s="535">
        <f t="shared" si="96"/>
        <v>0</v>
      </c>
      <c r="O251" s="535">
        <f t="shared" si="97"/>
        <v>0</v>
      </c>
      <c r="P251" s="536">
        <f t="shared" si="98"/>
        <v>7.49709443099274</v>
      </c>
      <c r="Q251" s="531">
        <f t="shared" si="99"/>
        <v>413</v>
      </c>
      <c r="R251" s="537">
        <f t="shared" si="100"/>
        <v>0.0703697393082297</v>
      </c>
    </row>
    <row r="252" hidden="1" spans="1:18">
      <c r="A252" s="524">
        <v>45488</v>
      </c>
      <c r="B252" s="24" t="s">
        <v>91</v>
      </c>
      <c r="C252" s="538">
        <v>199.98</v>
      </c>
      <c r="D252" s="539">
        <v>21041</v>
      </c>
      <c r="E252" s="539">
        <v>522</v>
      </c>
      <c r="F252" s="539">
        <v>0</v>
      </c>
      <c r="G252" s="539">
        <v>0</v>
      </c>
      <c r="H252" s="539">
        <v>0</v>
      </c>
      <c r="I252" s="539">
        <v>2</v>
      </c>
      <c r="J252" s="539">
        <v>11</v>
      </c>
      <c r="K252" s="527">
        <f>IF(E252=0,0,E252/D252)</f>
        <v>0.0248087068105128</v>
      </c>
      <c r="L252" s="528">
        <f t="shared" si="95"/>
        <v>0.383103448275862</v>
      </c>
      <c r="M252" s="528">
        <f>IF(D252=0,0,C252/D252*1000)</f>
        <v>9.50430112637232</v>
      </c>
      <c r="N252" s="528">
        <f t="shared" si="96"/>
        <v>0</v>
      </c>
      <c r="O252" s="528">
        <f t="shared" si="97"/>
        <v>0</v>
      </c>
      <c r="P252" s="529">
        <f t="shared" si="98"/>
        <v>99.99</v>
      </c>
      <c r="Q252" s="24">
        <f t="shared" si="99"/>
        <v>2</v>
      </c>
      <c r="R252" s="530">
        <f t="shared" si="100"/>
        <v>0.00383141762452107</v>
      </c>
    </row>
    <row r="253" hidden="1" spans="1:18">
      <c r="A253" s="524"/>
      <c r="B253" s="24" t="s">
        <v>92</v>
      </c>
      <c r="C253" s="538">
        <v>0</v>
      </c>
      <c r="D253" s="539">
        <v>0</v>
      </c>
      <c r="E253" s="539">
        <v>0</v>
      </c>
      <c r="F253" s="539">
        <v>0</v>
      </c>
      <c r="G253" s="539">
        <v>0</v>
      </c>
      <c r="H253" s="539">
        <v>0</v>
      </c>
      <c r="I253" s="539">
        <v>0</v>
      </c>
      <c r="J253" s="539">
        <v>0</v>
      </c>
      <c r="K253" s="527">
        <f>IF(E253=0,0,E253/D253)</f>
        <v>0</v>
      </c>
      <c r="L253" s="528">
        <f t="shared" si="95"/>
        <v>0</v>
      </c>
      <c r="M253" s="528">
        <f>IF(D253=0,0,C253/D253*1000)</f>
        <v>0</v>
      </c>
      <c r="N253" s="528">
        <f t="shared" si="96"/>
        <v>0</v>
      </c>
      <c r="O253" s="528">
        <f t="shared" si="97"/>
        <v>0</v>
      </c>
      <c r="P253" s="529">
        <f t="shared" si="98"/>
        <v>0</v>
      </c>
      <c r="Q253" s="24">
        <f t="shared" si="99"/>
        <v>0</v>
      </c>
      <c r="R253" s="530">
        <f t="shared" si="100"/>
        <v>0</v>
      </c>
    </row>
    <row r="254" hidden="1" spans="1:18">
      <c r="A254" s="524"/>
      <c r="B254" s="24" t="s">
        <v>97</v>
      </c>
      <c r="C254" s="538">
        <v>2206.95</v>
      </c>
      <c r="D254" s="539">
        <v>1597901</v>
      </c>
      <c r="E254" s="539">
        <v>4608</v>
      </c>
      <c r="F254" s="539">
        <v>0</v>
      </c>
      <c r="G254" s="539">
        <v>0</v>
      </c>
      <c r="H254" s="539">
        <v>46</v>
      </c>
      <c r="I254" s="539">
        <v>252</v>
      </c>
      <c r="J254" s="539">
        <v>12</v>
      </c>
      <c r="K254" s="527">
        <f>IF(E254=0,0,E254/D254)</f>
        <v>0.00288378316303701</v>
      </c>
      <c r="L254" s="528">
        <f t="shared" si="95"/>
        <v>0.478938802083333</v>
      </c>
      <c r="M254" s="528">
        <f>IF(D254=0,0,C254/D254*1000)</f>
        <v>1.38115565357303</v>
      </c>
      <c r="N254" s="528">
        <f t="shared" si="96"/>
        <v>0</v>
      </c>
      <c r="O254" s="528">
        <f t="shared" si="97"/>
        <v>0</v>
      </c>
      <c r="P254" s="529">
        <f t="shared" si="98"/>
        <v>7.40587248322148</v>
      </c>
      <c r="Q254" s="24">
        <f t="shared" si="99"/>
        <v>298</v>
      </c>
      <c r="R254" s="530">
        <f t="shared" si="100"/>
        <v>0.0646701388888889</v>
      </c>
    </row>
    <row r="255" hidden="1" spans="1:18">
      <c r="A255" s="524"/>
      <c r="B255" s="24" t="s">
        <v>95</v>
      </c>
      <c r="C255" s="538">
        <v>0</v>
      </c>
      <c r="D255" s="539">
        <v>0</v>
      </c>
      <c r="E255" s="539">
        <v>0</v>
      </c>
      <c r="F255" s="539">
        <v>0</v>
      </c>
      <c r="G255" s="539">
        <v>0</v>
      </c>
      <c r="H255" s="539">
        <v>0</v>
      </c>
      <c r="I255" s="539">
        <v>0</v>
      </c>
      <c r="J255" s="539">
        <v>0</v>
      </c>
      <c r="K255" s="527">
        <f>IF(E255=0,0,E255/D255)</f>
        <v>0</v>
      </c>
      <c r="L255" s="528">
        <f t="shared" si="95"/>
        <v>0</v>
      </c>
      <c r="M255" s="528">
        <f>IF(D255=0,0,C255/D255*1000)</f>
        <v>0</v>
      </c>
      <c r="N255" s="528">
        <f t="shared" si="96"/>
        <v>0</v>
      </c>
      <c r="O255" s="528">
        <f t="shared" si="97"/>
        <v>0</v>
      </c>
      <c r="P255" s="529">
        <f t="shared" si="98"/>
        <v>0</v>
      </c>
      <c r="Q255" s="24">
        <f t="shared" si="99"/>
        <v>0</v>
      </c>
      <c r="R255" s="530">
        <f t="shared" si="100"/>
        <v>0</v>
      </c>
    </row>
    <row r="256" hidden="1" spans="1:18">
      <c r="A256" s="524"/>
      <c r="B256" s="531" t="s">
        <v>96</v>
      </c>
      <c r="C256" s="532">
        <f t="shared" ref="C256:J256" si="106">SUM(C252:C255)</f>
        <v>2406.93</v>
      </c>
      <c r="D256" s="533">
        <f t="shared" si="106"/>
        <v>1618942</v>
      </c>
      <c r="E256" s="533">
        <f t="shared" si="106"/>
        <v>5130</v>
      </c>
      <c r="F256" s="533">
        <f t="shared" si="106"/>
        <v>0</v>
      </c>
      <c r="G256" s="533">
        <f t="shared" si="106"/>
        <v>0</v>
      </c>
      <c r="H256" s="533">
        <f t="shared" si="106"/>
        <v>46</v>
      </c>
      <c r="I256" s="533">
        <f t="shared" si="106"/>
        <v>254</v>
      </c>
      <c r="J256" s="533">
        <f t="shared" si="106"/>
        <v>23</v>
      </c>
      <c r="K256" s="534">
        <f>E256/D256</f>
        <v>0.00316873612519781</v>
      </c>
      <c r="L256" s="535">
        <f t="shared" si="95"/>
        <v>0.469187134502924</v>
      </c>
      <c r="M256" s="535">
        <f>C256/D256*1000</f>
        <v>1.48673022257746</v>
      </c>
      <c r="N256" s="535">
        <f t="shared" si="96"/>
        <v>0</v>
      </c>
      <c r="O256" s="535">
        <f t="shared" si="97"/>
        <v>0</v>
      </c>
      <c r="P256" s="536">
        <f t="shared" si="98"/>
        <v>8.0231</v>
      </c>
      <c r="Q256" s="531">
        <f t="shared" si="99"/>
        <v>300</v>
      </c>
      <c r="R256" s="537">
        <f t="shared" si="100"/>
        <v>0.0584795321637427</v>
      </c>
    </row>
    <row r="257" hidden="1" spans="1:18">
      <c r="A257" s="524">
        <v>45489</v>
      </c>
      <c r="B257" s="24" t="s">
        <v>91</v>
      </c>
      <c r="C257" s="538">
        <v>178.91</v>
      </c>
      <c r="D257" s="539">
        <v>23161</v>
      </c>
      <c r="E257" s="539">
        <v>451</v>
      </c>
      <c r="F257" s="539">
        <v>0</v>
      </c>
      <c r="G257" s="539">
        <v>0</v>
      </c>
      <c r="H257" s="539">
        <v>0</v>
      </c>
      <c r="I257" s="539">
        <v>1</v>
      </c>
      <c r="J257" s="539">
        <v>4</v>
      </c>
      <c r="K257" s="527">
        <f>IF(E257=0,0,E257/D257)</f>
        <v>0.0194723889296663</v>
      </c>
      <c r="L257" s="528">
        <f t="shared" si="95"/>
        <v>0.39669623059867</v>
      </c>
      <c r="M257" s="528">
        <f>IF(D257=0,0,C257/D257*1000)</f>
        <v>7.72462328914986</v>
      </c>
      <c r="N257" s="528">
        <f t="shared" si="96"/>
        <v>0</v>
      </c>
      <c r="O257" s="528">
        <f t="shared" si="97"/>
        <v>0</v>
      </c>
      <c r="P257" s="529">
        <f t="shared" si="98"/>
        <v>178.91</v>
      </c>
      <c r="Q257" s="24">
        <f t="shared" si="99"/>
        <v>1</v>
      </c>
      <c r="R257" s="530">
        <f t="shared" si="100"/>
        <v>0.00221729490022173</v>
      </c>
    </row>
    <row r="258" hidden="1" spans="1:18">
      <c r="A258" s="524"/>
      <c r="B258" s="24" t="s">
        <v>92</v>
      </c>
      <c r="C258" s="538">
        <v>0</v>
      </c>
      <c r="D258" s="539">
        <v>0</v>
      </c>
      <c r="E258" s="539">
        <v>0</v>
      </c>
      <c r="F258" s="539">
        <v>0</v>
      </c>
      <c r="G258" s="539">
        <v>0</v>
      </c>
      <c r="H258" s="539">
        <v>0</v>
      </c>
      <c r="I258" s="539">
        <v>0</v>
      </c>
      <c r="J258" s="539">
        <v>0</v>
      </c>
      <c r="K258" s="527">
        <f>IF(E258=0,0,E258/D258)</f>
        <v>0</v>
      </c>
      <c r="L258" s="528">
        <f t="shared" si="95"/>
        <v>0</v>
      </c>
      <c r="M258" s="528">
        <f>IF(D258=0,0,C258/D258*1000)</f>
        <v>0</v>
      </c>
      <c r="N258" s="528">
        <f t="shared" si="96"/>
        <v>0</v>
      </c>
      <c r="O258" s="528">
        <f t="shared" si="97"/>
        <v>0</v>
      </c>
      <c r="P258" s="529">
        <f t="shared" si="98"/>
        <v>0</v>
      </c>
      <c r="Q258" s="24">
        <f t="shared" si="99"/>
        <v>0</v>
      </c>
      <c r="R258" s="530">
        <f t="shared" si="100"/>
        <v>0</v>
      </c>
    </row>
    <row r="259" hidden="1" spans="1:18">
      <c r="A259" s="524"/>
      <c r="B259" s="24" t="s">
        <v>97</v>
      </c>
      <c r="C259" s="538">
        <v>1846.22</v>
      </c>
      <c r="D259" s="539">
        <v>427700</v>
      </c>
      <c r="E259" s="539">
        <v>2431</v>
      </c>
      <c r="F259" s="539">
        <v>0</v>
      </c>
      <c r="G259" s="539">
        <v>0</v>
      </c>
      <c r="H259" s="539">
        <v>49</v>
      </c>
      <c r="I259" s="539">
        <v>223</v>
      </c>
      <c r="J259" s="539">
        <v>3</v>
      </c>
      <c r="K259" s="527">
        <f>IF(E259=0,0,E259/D259)</f>
        <v>0.0056838905775076</v>
      </c>
      <c r="L259" s="528">
        <f t="shared" si="95"/>
        <v>0.75944878650761</v>
      </c>
      <c r="M259" s="528">
        <f>IF(D259=0,0,C259/D259*1000)</f>
        <v>4.31662380173019</v>
      </c>
      <c r="N259" s="528">
        <f t="shared" si="96"/>
        <v>0</v>
      </c>
      <c r="O259" s="528">
        <f t="shared" si="97"/>
        <v>0</v>
      </c>
      <c r="P259" s="529">
        <f t="shared" si="98"/>
        <v>6.78757352941177</v>
      </c>
      <c r="Q259" s="24">
        <f t="shared" si="99"/>
        <v>272</v>
      </c>
      <c r="R259" s="530">
        <f t="shared" si="100"/>
        <v>0.111888111888112</v>
      </c>
    </row>
    <row r="260" hidden="1" spans="1:18">
      <c r="A260" s="524"/>
      <c r="B260" s="24" t="s">
        <v>95</v>
      </c>
      <c r="C260" s="538">
        <v>0</v>
      </c>
      <c r="D260" s="539">
        <v>0</v>
      </c>
      <c r="E260" s="539">
        <v>0</v>
      </c>
      <c r="F260" s="539">
        <v>0</v>
      </c>
      <c r="G260" s="539">
        <v>0</v>
      </c>
      <c r="H260" s="539">
        <v>0</v>
      </c>
      <c r="I260" s="539">
        <v>0</v>
      </c>
      <c r="J260" s="539">
        <v>0</v>
      </c>
      <c r="K260" s="527">
        <f>IF(E260=0,0,E260/D260)</f>
        <v>0</v>
      </c>
      <c r="L260" s="528">
        <f t="shared" si="95"/>
        <v>0</v>
      </c>
      <c r="M260" s="528">
        <f>IF(D260=0,0,C260/D260*1000)</f>
        <v>0</v>
      </c>
      <c r="N260" s="528">
        <f t="shared" si="96"/>
        <v>0</v>
      </c>
      <c r="O260" s="528">
        <f t="shared" si="97"/>
        <v>0</v>
      </c>
      <c r="P260" s="529">
        <f t="shared" si="98"/>
        <v>0</v>
      </c>
      <c r="Q260" s="24">
        <f t="shared" si="99"/>
        <v>0</v>
      </c>
      <c r="R260" s="530">
        <f t="shared" si="100"/>
        <v>0</v>
      </c>
    </row>
    <row r="261" hidden="1" spans="1:18">
      <c r="A261" s="524"/>
      <c r="B261" s="531" t="s">
        <v>96</v>
      </c>
      <c r="C261" s="532">
        <f t="shared" ref="C261:J261" si="107">SUM(C257:C260)</f>
        <v>2025.13</v>
      </c>
      <c r="D261" s="533">
        <f t="shared" si="107"/>
        <v>450861</v>
      </c>
      <c r="E261" s="533">
        <f t="shared" si="107"/>
        <v>2882</v>
      </c>
      <c r="F261" s="533">
        <f t="shared" si="107"/>
        <v>0</v>
      </c>
      <c r="G261" s="533">
        <f t="shared" si="107"/>
        <v>0</v>
      </c>
      <c r="H261" s="533">
        <f t="shared" si="107"/>
        <v>49</v>
      </c>
      <c r="I261" s="533">
        <f t="shared" si="107"/>
        <v>224</v>
      </c>
      <c r="J261" s="533">
        <f t="shared" si="107"/>
        <v>7</v>
      </c>
      <c r="K261" s="534">
        <f>E261/D261</f>
        <v>0.00639221400830855</v>
      </c>
      <c r="L261" s="535">
        <f t="shared" si="95"/>
        <v>0.702682165163081</v>
      </c>
      <c r="M261" s="535">
        <f>C261/D261*1000</f>
        <v>4.49169477954403</v>
      </c>
      <c r="N261" s="535">
        <f t="shared" si="96"/>
        <v>0</v>
      </c>
      <c r="O261" s="535">
        <f t="shared" si="97"/>
        <v>0</v>
      </c>
      <c r="P261" s="536">
        <f t="shared" si="98"/>
        <v>7.41805860805861</v>
      </c>
      <c r="Q261" s="531">
        <f t="shared" si="99"/>
        <v>273</v>
      </c>
      <c r="R261" s="537">
        <f t="shared" si="100"/>
        <v>0.0947258848022207</v>
      </c>
    </row>
    <row r="262" hidden="1" spans="1:18">
      <c r="A262" s="524">
        <v>45490</v>
      </c>
      <c r="B262" s="24" t="s">
        <v>91</v>
      </c>
      <c r="C262" s="538">
        <v>184.29</v>
      </c>
      <c r="D262" s="539">
        <v>12477</v>
      </c>
      <c r="E262" s="539">
        <v>272</v>
      </c>
      <c r="F262" s="539">
        <v>0</v>
      </c>
      <c r="G262" s="539">
        <v>0</v>
      </c>
      <c r="H262" s="539">
        <v>5</v>
      </c>
      <c r="I262" s="539">
        <v>3</v>
      </c>
      <c r="J262" s="539">
        <v>3</v>
      </c>
      <c r="K262" s="527">
        <f>IF(E262=0,0,E262/D262)</f>
        <v>0.0218001122064599</v>
      </c>
      <c r="L262" s="528">
        <f t="shared" si="95"/>
        <v>0.677536764705882</v>
      </c>
      <c r="M262" s="528">
        <f>IF(D262=0,0,C262/D262*1000)</f>
        <v>14.77037749459</v>
      </c>
      <c r="N262" s="528">
        <f t="shared" si="96"/>
        <v>0</v>
      </c>
      <c r="O262" s="528">
        <f t="shared" si="97"/>
        <v>0</v>
      </c>
      <c r="P262" s="529">
        <f t="shared" si="98"/>
        <v>23.03625</v>
      </c>
      <c r="Q262" s="24">
        <f t="shared" si="99"/>
        <v>8</v>
      </c>
      <c r="R262" s="530">
        <f t="shared" si="100"/>
        <v>0.0294117647058824</v>
      </c>
    </row>
    <row r="263" hidden="1" spans="1:18">
      <c r="A263" s="524"/>
      <c r="B263" s="24" t="s">
        <v>92</v>
      </c>
      <c r="C263" s="538">
        <v>0</v>
      </c>
      <c r="D263" s="539">
        <v>0</v>
      </c>
      <c r="E263" s="539">
        <v>0</v>
      </c>
      <c r="F263" s="539">
        <v>0</v>
      </c>
      <c r="G263" s="539">
        <v>0</v>
      </c>
      <c r="H263" s="539">
        <v>0</v>
      </c>
      <c r="I263" s="539">
        <v>0</v>
      </c>
      <c r="J263" s="539">
        <v>0</v>
      </c>
      <c r="K263" s="527">
        <f>IF(E263=0,0,E263/D263)</f>
        <v>0</v>
      </c>
      <c r="L263" s="528">
        <f t="shared" si="95"/>
        <v>0</v>
      </c>
      <c r="M263" s="528">
        <f>IF(D263=0,0,C263/D263*1000)</f>
        <v>0</v>
      </c>
      <c r="N263" s="528">
        <f t="shared" si="96"/>
        <v>0</v>
      </c>
      <c r="O263" s="528">
        <f t="shared" si="97"/>
        <v>0</v>
      </c>
      <c r="P263" s="529">
        <f t="shared" si="98"/>
        <v>0</v>
      </c>
      <c r="Q263" s="24">
        <f t="shared" si="99"/>
        <v>0</v>
      </c>
      <c r="R263" s="530">
        <f t="shared" si="100"/>
        <v>0</v>
      </c>
    </row>
    <row r="264" hidden="1" spans="1:18">
      <c r="A264" s="524"/>
      <c r="B264" s="24" t="s">
        <v>97</v>
      </c>
      <c r="C264" s="538">
        <v>1752.01</v>
      </c>
      <c r="D264" s="539">
        <v>376946</v>
      </c>
      <c r="E264" s="539">
        <v>2261</v>
      </c>
      <c r="F264" s="539">
        <v>0</v>
      </c>
      <c r="G264" s="539">
        <v>0</v>
      </c>
      <c r="H264" s="539">
        <v>48</v>
      </c>
      <c r="I264" s="539">
        <v>237</v>
      </c>
      <c r="J264" s="539">
        <v>10</v>
      </c>
      <c r="K264" s="527">
        <f>IF(E264=0,0,E264/D264)</f>
        <v>0.00599820663967783</v>
      </c>
      <c r="L264" s="528">
        <f t="shared" si="95"/>
        <v>0.774882795223352</v>
      </c>
      <c r="M264" s="528">
        <f>IF(D264=0,0,C264/D264*1000)</f>
        <v>4.64790712728083</v>
      </c>
      <c r="N264" s="528">
        <f t="shared" si="96"/>
        <v>0</v>
      </c>
      <c r="O264" s="528">
        <f t="shared" si="97"/>
        <v>0</v>
      </c>
      <c r="P264" s="529">
        <f t="shared" si="98"/>
        <v>6.14740350877193</v>
      </c>
      <c r="Q264" s="24">
        <f t="shared" si="99"/>
        <v>285</v>
      </c>
      <c r="R264" s="530">
        <f t="shared" si="100"/>
        <v>0.126050420168067</v>
      </c>
    </row>
    <row r="265" hidden="1" spans="1:18">
      <c r="A265" s="524"/>
      <c r="B265" s="24" t="s">
        <v>95</v>
      </c>
      <c r="C265" s="538">
        <v>0</v>
      </c>
      <c r="D265" s="539">
        <v>0</v>
      </c>
      <c r="E265" s="539">
        <v>0</v>
      </c>
      <c r="F265" s="539">
        <v>0</v>
      </c>
      <c r="G265" s="539">
        <v>0</v>
      </c>
      <c r="H265" s="539">
        <v>0</v>
      </c>
      <c r="I265" s="539">
        <v>0</v>
      </c>
      <c r="J265" s="539">
        <v>0</v>
      </c>
      <c r="K265" s="527">
        <f>IF(E265=0,0,E265/D265)</f>
        <v>0</v>
      </c>
      <c r="L265" s="528">
        <f t="shared" si="95"/>
        <v>0</v>
      </c>
      <c r="M265" s="528">
        <f>IF(D265=0,0,C265/D265*1000)</f>
        <v>0</v>
      </c>
      <c r="N265" s="528">
        <f t="shared" si="96"/>
        <v>0</v>
      </c>
      <c r="O265" s="528">
        <f t="shared" si="97"/>
        <v>0</v>
      </c>
      <c r="P265" s="529">
        <f t="shared" si="98"/>
        <v>0</v>
      </c>
      <c r="Q265" s="24">
        <f t="shared" si="99"/>
        <v>0</v>
      </c>
      <c r="R265" s="530">
        <f t="shared" si="100"/>
        <v>0</v>
      </c>
    </row>
    <row r="266" hidden="1" spans="1:18">
      <c r="A266" s="524"/>
      <c r="B266" s="531" t="s">
        <v>96</v>
      </c>
      <c r="C266" s="532">
        <f t="shared" ref="C266:J266" si="108">SUM(C262:C265)</f>
        <v>1936.3</v>
      </c>
      <c r="D266" s="533">
        <f t="shared" si="108"/>
        <v>389423</v>
      </c>
      <c r="E266" s="533">
        <f t="shared" si="108"/>
        <v>2533</v>
      </c>
      <c r="F266" s="533">
        <f t="shared" si="108"/>
        <v>0</v>
      </c>
      <c r="G266" s="533">
        <f t="shared" si="108"/>
        <v>0</v>
      </c>
      <c r="H266" s="533">
        <f t="shared" si="108"/>
        <v>53</v>
      </c>
      <c r="I266" s="533">
        <f t="shared" si="108"/>
        <v>240</v>
      </c>
      <c r="J266" s="533">
        <f t="shared" si="108"/>
        <v>13</v>
      </c>
      <c r="K266" s="534">
        <f>E266/D266</f>
        <v>0.00650449511199903</v>
      </c>
      <c r="L266" s="535">
        <f t="shared" si="95"/>
        <v>0.764429530201342</v>
      </c>
      <c r="M266" s="535">
        <f>C266/D266*1000</f>
        <v>4.97222814266235</v>
      </c>
      <c r="N266" s="535">
        <f t="shared" si="96"/>
        <v>0</v>
      </c>
      <c r="O266" s="535">
        <f t="shared" si="97"/>
        <v>0</v>
      </c>
      <c r="P266" s="536">
        <f t="shared" si="98"/>
        <v>6.60853242320819</v>
      </c>
      <c r="Q266" s="531">
        <f t="shared" si="99"/>
        <v>293</v>
      </c>
      <c r="R266" s="537">
        <f t="shared" si="100"/>
        <v>0.115673114883537</v>
      </c>
    </row>
    <row r="267" hidden="1" spans="1:18">
      <c r="A267" s="524">
        <v>45491</v>
      </c>
      <c r="B267" s="24" t="s">
        <v>91</v>
      </c>
      <c r="C267" s="538">
        <v>193.58</v>
      </c>
      <c r="D267" s="539">
        <v>15574</v>
      </c>
      <c r="E267" s="539">
        <v>332</v>
      </c>
      <c r="F267" s="539">
        <v>0</v>
      </c>
      <c r="G267" s="539">
        <v>0</v>
      </c>
      <c r="H267" s="539">
        <v>4</v>
      </c>
      <c r="I267" s="539">
        <v>3</v>
      </c>
      <c r="J267" s="539">
        <v>4</v>
      </c>
      <c r="K267" s="527">
        <f>IF(E267=0,0,E267/D267)</f>
        <v>0.021317580583023</v>
      </c>
      <c r="L267" s="528">
        <f t="shared" si="95"/>
        <v>0.583072289156627</v>
      </c>
      <c r="M267" s="528">
        <f>IF(D267=0,0,C267/D267*1000)</f>
        <v>12.4296905098241</v>
      </c>
      <c r="N267" s="528">
        <f t="shared" si="96"/>
        <v>0</v>
      </c>
      <c r="O267" s="528">
        <f t="shared" si="97"/>
        <v>0</v>
      </c>
      <c r="P267" s="529">
        <f t="shared" si="98"/>
        <v>27.6542857142857</v>
      </c>
      <c r="Q267" s="24">
        <f t="shared" si="99"/>
        <v>7</v>
      </c>
      <c r="R267" s="530">
        <f t="shared" si="100"/>
        <v>0.0210843373493976</v>
      </c>
    </row>
    <row r="268" hidden="1" spans="1:18">
      <c r="A268" s="524"/>
      <c r="B268" s="24" t="s">
        <v>92</v>
      </c>
      <c r="C268" s="538">
        <v>0</v>
      </c>
      <c r="D268" s="539">
        <v>0</v>
      </c>
      <c r="E268" s="539">
        <v>0</v>
      </c>
      <c r="F268" s="539">
        <v>0</v>
      </c>
      <c r="G268" s="539">
        <v>0</v>
      </c>
      <c r="H268" s="539">
        <v>0</v>
      </c>
      <c r="I268" s="539">
        <v>0</v>
      </c>
      <c r="J268" s="539">
        <v>0</v>
      </c>
      <c r="K268" s="527">
        <f>IF(E268=0,0,E268/D268)</f>
        <v>0</v>
      </c>
      <c r="L268" s="528">
        <f t="shared" si="95"/>
        <v>0</v>
      </c>
      <c r="M268" s="528">
        <f>IF(D268=0,0,C268/D268*1000)</f>
        <v>0</v>
      </c>
      <c r="N268" s="528">
        <f t="shared" si="96"/>
        <v>0</v>
      </c>
      <c r="O268" s="528">
        <f t="shared" si="97"/>
        <v>0</v>
      </c>
      <c r="P268" s="529">
        <f t="shared" si="98"/>
        <v>0</v>
      </c>
      <c r="Q268" s="24">
        <f t="shared" si="99"/>
        <v>0</v>
      </c>
      <c r="R268" s="530">
        <f t="shared" si="100"/>
        <v>0</v>
      </c>
    </row>
    <row r="269" hidden="1" spans="1:18">
      <c r="A269" s="524"/>
      <c r="B269" s="24" t="s">
        <v>97</v>
      </c>
      <c r="C269" s="538">
        <v>1700.75</v>
      </c>
      <c r="D269" s="539">
        <v>205318</v>
      </c>
      <c r="E269" s="539">
        <v>1484</v>
      </c>
      <c r="F269" s="539">
        <v>0</v>
      </c>
      <c r="G269" s="539">
        <v>0</v>
      </c>
      <c r="H269" s="539">
        <v>37</v>
      </c>
      <c r="I269" s="539">
        <v>232</v>
      </c>
      <c r="J269" s="539">
        <v>7</v>
      </c>
      <c r="K269" s="527">
        <f>IF(E269=0,0,E269/D269)</f>
        <v>0.00722781246651536</v>
      </c>
      <c r="L269" s="528">
        <f t="shared" si="95"/>
        <v>1.14605795148248</v>
      </c>
      <c r="M269" s="528">
        <f>IF(D269=0,0,C269/D269*1000)</f>
        <v>8.28349194907412</v>
      </c>
      <c r="N269" s="528">
        <f t="shared" si="96"/>
        <v>0</v>
      </c>
      <c r="O269" s="528">
        <f t="shared" si="97"/>
        <v>0</v>
      </c>
      <c r="P269" s="529">
        <f t="shared" si="98"/>
        <v>6.3224907063197</v>
      </c>
      <c r="Q269" s="24">
        <f t="shared" si="99"/>
        <v>269</v>
      </c>
      <c r="R269" s="530">
        <f t="shared" si="100"/>
        <v>0.181266846361186</v>
      </c>
    </row>
    <row r="270" hidden="1" spans="1:18">
      <c r="A270" s="524"/>
      <c r="B270" s="24" t="s">
        <v>95</v>
      </c>
      <c r="C270" s="538">
        <v>0</v>
      </c>
      <c r="D270" s="539">
        <v>0</v>
      </c>
      <c r="E270" s="539">
        <v>0</v>
      </c>
      <c r="F270" s="539">
        <v>0</v>
      </c>
      <c r="G270" s="539">
        <v>0</v>
      </c>
      <c r="H270" s="539">
        <v>0</v>
      </c>
      <c r="I270" s="539">
        <v>0</v>
      </c>
      <c r="J270" s="539">
        <v>0</v>
      </c>
      <c r="K270" s="527">
        <f>IF(E270=0,0,E270/D270)</f>
        <v>0</v>
      </c>
      <c r="L270" s="528">
        <f t="shared" si="95"/>
        <v>0</v>
      </c>
      <c r="M270" s="528">
        <f>IF(D270=0,0,C270/D270*1000)</f>
        <v>0</v>
      </c>
      <c r="N270" s="528">
        <f t="shared" si="96"/>
        <v>0</v>
      </c>
      <c r="O270" s="528">
        <f t="shared" si="97"/>
        <v>0</v>
      </c>
      <c r="P270" s="529">
        <f t="shared" si="98"/>
        <v>0</v>
      </c>
      <c r="Q270" s="24">
        <f t="shared" si="99"/>
        <v>0</v>
      </c>
      <c r="R270" s="530">
        <f t="shared" si="100"/>
        <v>0</v>
      </c>
    </row>
    <row r="271" hidden="1" spans="1:18">
      <c r="A271" s="524"/>
      <c r="B271" s="531" t="s">
        <v>96</v>
      </c>
      <c r="C271" s="532">
        <f t="shared" ref="C271:J271" si="109">SUM(C267:C270)</f>
        <v>1894.33</v>
      </c>
      <c r="D271" s="533">
        <f t="shared" si="109"/>
        <v>220892</v>
      </c>
      <c r="E271" s="533">
        <f t="shared" si="109"/>
        <v>1816</v>
      </c>
      <c r="F271" s="533">
        <f t="shared" si="109"/>
        <v>0</v>
      </c>
      <c r="G271" s="533">
        <f t="shared" si="109"/>
        <v>0</v>
      </c>
      <c r="H271" s="533">
        <f t="shared" si="109"/>
        <v>41</v>
      </c>
      <c r="I271" s="533">
        <f t="shared" si="109"/>
        <v>235</v>
      </c>
      <c r="J271" s="533">
        <f t="shared" si="109"/>
        <v>11</v>
      </c>
      <c r="K271" s="534">
        <f>E271/D271</f>
        <v>0.00822121217608605</v>
      </c>
      <c r="L271" s="535">
        <f t="shared" si="95"/>
        <v>1.04313325991189</v>
      </c>
      <c r="M271" s="535">
        <f>C271/D271*1000</f>
        <v>8.575819857668</v>
      </c>
      <c r="N271" s="535">
        <f t="shared" si="96"/>
        <v>0</v>
      </c>
      <c r="O271" s="535">
        <f t="shared" si="97"/>
        <v>0</v>
      </c>
      <c r="P271" s="536">
        <f t="shared" si="98"/>
        <v>6.86351449275362</v>
      </c>
      <c r="Q271" s="531">
        <f t="shared" si="99"/>
        <v>276</v>
      </c>
      <c r="R271" s="537">
        <f t="shared" si="100"/>
        <v>0.151982378854626</v>
      </c>
    </row>
    <row r="272" hidden="1" spans="1:18">
      <c r="A272" s="524">
        <v>45492</v>
      </c>
      <c r="B272" s="24" t="s">
        <v>91</v>
      </c>
      <c r="C272" s="540">
        <v>193.79</v>
      </c>
      <c r="D272" s="540">
        <v>24642</v>
      </c>
      <c r="E272" s="540">
        <v>558</v>
      </c>
      <c r="F272" s="540">
        <v>0</v>
      </c>
      <c r="G272" s="540">
        <v>0</v>
      </c>
      <c r="H272" s="540">
        <v>4</v>
      </c>
      <c r="I272" s="540">
        <v>4</v>
      </c>
      <c r="J272" s="540">
        <v>6</v>
      </c>
      <c r="K272" s="527">
        <f>IF(E272=0,0,E272/D272)</f>
        <v>0.0226442658875091</v>
      </c>
      <c r="L272" s="528">
        <f t="shared" si="95"/>
        <v>0.347293906810036</v>
      </c>
      <c r="M272" s="528">
        <f>IF(D272=0,0,C272/D272*1000)</f>
        <v>7.86421556691827</v>
      </c>
      <c r="N272" s="528">
        <f t="shared" si="96"/>
        <v>0</v>
      </c>
      <c r="O272" s="528">
        <f t="shared" si="97"/>
        <v>0</v>
      </c>
      <c r="P272" s="529">
        <f t="shared" si="98"/>
        <v>24.22375</v>
      </c>
      <c r="Q272" s="24">
        <f t="shared" si="99"/>
        <v>8</v>
      </c>
      <c r="R272" s="530">
        <f t="shared" si="100"/>
        <v>0.014336917562724</v>
      </c>
    </row>
    <row r="273" hidden="1" spans="1:18">
      <c r="A273" s="524"/>
      <c r="B273" s="24" t="s">
        <v>92</v>
      </c>
      <c r="C273" s="540">
        <v>0</v>
      </c>
      <c r="D273" s="540">
        <v>0</v>
      </c>
      <c r="E273" s="540">
        <v>0</v>
      </c>
      <c r="F273" s="540">
        <v>0</v>
      </c>
      <c r="G273" s="540">
        <v>0</v>
      </c>
      <c r="H273" s="540">
        <v>0</v>
      </c>
      <c r="I273" s="540">
        <v>0</v>
      </c>
      <c r="J273" s="540">
        <v>0</v>
      </c>
      <c r="K273" s="527">
        <f>IF(E273=0,0,E273/D273)</f>
        <v>0</v>
      </c>
      <c r="L273" s="528">
        <f t="shared" si="95"/>
        <v>0</v>
      </c>
      <c r="M273" s="528">
        <f>IF(D273=0,0,C273/D273*1000)</f>
        <v>0</v>
      </c>
      <c r="N273" s="528">
        <f t="shared" si="96"/>
        <v>0</v>
      </c>
      <c r="O273" s="528">
        <f t="shared" si="97"/>
        <v>0</v>
      </c>
      <c r="P273" s="529">
        <f t="shared" si="98"/>
        <v>0</v>
      </c>
      <c r="Q273" s="24">
        <f t="shared" si="99"/>
        <v>0</v>
      </c>
      <c r="R273" s="530">
        <f t="shared" si="100"/>
        <v>0</v>
      </c>
    </row>
    <row r="274" hidden="1" spans="1:18">
      <c r="A274" s="524"/>
      <c r="B274" s="24" t="s">
        <v>97</v>
      </c>
      <c r="C274" s="540">
        <v>1771.81</v>
      </c>
      <c r="D274" s="540">
        <v>215208</v>
      </c>
      <c r="E274" s="540">
        <v>1447</v>
      </c>
      <c r="F274" s="540">
        <v>2</v>
      </c>
      <c r="G274" s="540">
        <v>23953</v>
      </c>
      <c r="H274" s="540">
        <v>53</v>
      </c>
      <c r="I274" s="540">
        <v>260</v>
      </c>
      <c r="J274" s="540">
        <v>5</v>
      </c>
      <c r="K274" s="527">
        <f>IF(E274=0,0,E274/D274)</f>
        <v>0.00672372774246311</v>
      </c>
      <c r="L274" s="528">
        <f t="shared" si="95"/>
        <v>1.22447131997236</v>
      </c>
      <c r="M274" s="528">
        <f>IF(D274=0,0,C274/D274*1000)</f>
        <v>8.23301178394855</v>
      </c>
      <c r="N274" s="528">
        <f t="shared" si="96"/>
        <v>13.5189439048205</v>
      </c>
      <c r="O274" s="528">
        <f t="shared" si="97"/>
        <v>0.00138217000691085</v>
      </c>
      <c r="P274" s="529">
        <f t="shared" si="98"/>
        <v>5.66073482428115</v>
      </c>
      <c r="Q274" s="24">
        <f t="shared" si="99"/>
        <v>313</v>
      </c>
      <c r="R274" s="530">
        <f t="shared" si="100"/>
        <v>0.216309606081548</v>
      </c>
    </row>
    <row r="275" hidden="1" spans="1:18">
      <c r="A275" s="524"/>
      <c r="B275" s="24" t="s">
        <v>95</v>
      </c>
      <c r="C275" s="538">
        <v>0</v>
      </c>
      <c r="D275" s="539">
        <v>0</v>
      </c>
      <c r="E275" s="539">
        <v>0</v>
      </c>
      <c r="F275" s="539">
        <v>0</v>
      </c>
      <c r="G275" s="539">
        <v>0</v>
      </c>
      <c r="H275" s="539">
        <v>0</v>
      </c>
      <c r="I275" s="539">
        <v>0</v>
      </c>
      <c r="J275" s="539">
        <v>0</v>
      </c>
      <c r="K275" s="527">
        <f>IF(E275=0,0,E275/D275)</f>
        <v>0</v>
      </c>
      <c r="L275" s="528">
        <f t="shared" si="95"/>
        <v>0</v>
      </c>
      <c r="M275" s="528">
        <f>IF(D275=0,0,C275/D275*1000)</f>
        <v>0</v>
      </c>
      <c r="N275" s="528">
        <f t="shared" si="96"/>
        <v>0</v>
      </c>
      <c r="O275" s="528">
        <f t="shared" si="97"/>
        <v>0</v>
      </c>
      <c r="P275" s="529">
        <f t="shared" si="98"/>
        <v>0</v>
      </c>
      <c r="Q275" s="24">
        <f t="shared" si="99"/>
        <v>0</v>
      </c>
      <c r="R275" s="530">
        <f t="shared" si="100"/>
        <v>0</v>
      </c>
    </row>
    <row r="276" hidden="1" spans="1:18">
      <c r="A276" s="524"/>
      <c r="B276" s="531" t="s">
        <v>96</v>
      </c>
      <c r="C276" s="532">
        <f t="shared" ref="C276:J276" si="110">SUM(C272:C275)</f>
        <v>1965.6</v>
      </c>
      <c r="D276" s="533">
        <f t="shared" si="110"/>
        <v>239850</v>
      </c>
      <c r="E276" s="533">
        <f t="shared" si="110"/>
        <v>2005</v>
      </c>
      <c r="F276" s="533">
        <f t="shared" si="110"/>
        <v>2</v>
      </c>
      <c r="G276" s="533">
        <f t="shared" si="110"/>
        <v>23953</v>
      </c>
      <c r="H276" s="533">
        <f t="shared" si="110"/>
        <v>57</v>
      </c>
      <c r="I276" s="533">
        <f t="shared" si="110"/>
        <v>264</v>
      </c>
      <c r="J276" s="533">
        <f t="shared" si="110"/>
        <v>11</v>
      </c>
      <c r="K276" s="534">
        <f>E276/D276</f>
        <v>0.00835939128622055</v>
      </c>
      <c r="L276" s="535">
        <f t="shared" si="95"/>
        <v>0.980349127182045</v>
      </c>
      <c r="M276" s="535">
        <f>C276/D276*1000</f>
        <v>8.19512195121951</v>
      </c>
      <c r="N276" s="535">
        <f t="shared" si="96"/>
        <v>12.1861009361009</v>
      </c>
      <c r="O276" s="535">
        <f t="shared" si="97"/>
        <v>0.000997506234413965</v>
      </c>
      <c r="P276" s="536">
        <f t="shared" si="98"/>
        <v>6.12336448598131</v>
      </c>
      <c r="Q276" s="531">
        <f t="shared" si="99"/>
        <v>321</v>
      </c>
      <c r="R276" s="537">
        <f t="shared" si="100"/>
        <v>0.160099750623441</v>
      </c>
    </row>
    <row r="277" hidden="1" spans="1:18">
      <c r="A277" s="524">
        <v>45493</v>
      </c>
      <c r="B277" s="24" t="s">
        <v>91</v>
      </c>
      <c r="C277" s="540">
        <v>195.84</v>
      </c>
      <c r="D277" s="540">
        <v>29603</v>
      </c>
      <c r="E277" s="540">
        <v>652</v>
      </c>
      <c r="F277" s="540">
        <v>0</v>
      </c>
      <c r="G277" s="540">
        <v>0</v>
      </c>
      <c r="H277" s="540">
        <v>9</v>
      </c>
      <c r="I277" s="540">
        <v>5</v>
      </c>
      <c r="J277" s="540">
        <v>11</v>
      </c>
      <c r="K277" s="527">
        <f>IF(E277=0,0,E277/D277)</f>
        <v>0.0220247947843124</v>
      </c>
      <c r="L277" s="528">
        <f t="shared" si="95"/>
        <v>0.300368098159509</v>
      </c>
      <c r="M277" s="528">
        <f>IF(D277=0,0,C277/D277*1000)</f>
        <v>6.61554572171739</v>
      </c>
      <c r="N277" s="528">
        <f t="shared" si="96"/>
        <v>0</v>
      </c>
      <c r="O277" s="528">
        <f t="shared" si="97"/>
        <v>0</v>
      </c>
      <c r="P277" s="529">
        <f t="shared" si="98"/>
        <v>13.9885714285714</v>
      </c>
      <c r="Q277" s="24">
        <f t="shared" si="99"/>
        <v>14</v>
      </c>
      <c r="R277" s="530">
        <f t="shared" si="100"/>
        <v>0.0214723926380368</v>
      </c>
    </row>
    <row r="278" hidden="1" spans="1:18">
      <c r="A278" s="524"/>
      <c r="B278" s="24" t="s">
        <v>92</v>
      </c>
      <c r="C278" s="540">
        <v>0</v>
      </c>
      <c r="D278" s="540">
        <v>0</v>
      </c>
      <c r="E278" s="540">
        <v>0</v>
      </c>
      <c r="F278" s="540">
        <v>0</v>
      </c>
      <c r="G278" s="540">
        <v>0</v>
      </c>
      <c r="H278" s="540">
        <v>0</v>
      </c>
      <c r="I278" s="540">
        <v>0</v>
      </c>
      <c r="J278" s="540">
        <v>0</v>
      </c>
      <c r="K278" s="527">
        <f>IF(E278=0,0,E278/D278)</f>
        <v>0</v>
      </c>
      <c r="L278" s="528">
        <f t="shared" si="95"/>
        <v>0</v>
      </c>
      <c r="M278" s="528">
        <f>IF(D278=0,0,C278/D278*1000)</f>
        <v>0</v>
      </c>
      <c r="N278" s="528">
        <f t="shared" si="96"/>
        <v>0</v>
      </c>
      <c r="O278" s="528">
        <f t="shared" si="97"/>
        <v>0</v>
      </c>
      <c r="P278" s="529">
        <f t="shared" si="98"/>
        <v>0</v>
      </c>
      <c r="Q278" s="24">
        <f t="shared" si="99"/>
        <v>0</v>
      </c>
      <c r="R278" s="530">
        <f t="shared" si="100"/>
        <v>0</v>
      </c>
    </row>
    <row r="279" hidden="1" spans="1:18">
      <c r="A279" s="524"/>
      <c r="B279" s="24" t="s">
        <v>97</v>
      </c>
      <c r="C279" s="540">
        <v>1764.48</v>
      </c>
      <c r="D279" s="540">
        <v>157806</v>
      </c>
      <c r="E279" s="540">
        <v>1411</v>
      </c>
      <c r="F279" s="540">
        <v>1</v>
      </c>
      <c r="G279" s="540">
        <v>9897</v>
      </c>
      <c r="H279" s="540">
        <v>32</v>
      </c>
      <c r="I279" s="540">
        <v>273</v>
      </c>
      <c r="J279" s="540">
        <v>3</v>
      </c>
      <c r="K279" s="527">
        <f>IF(E279=0,0,E279/D279)</f>
        <v>0.00894135837674106</v>
      </c>
      <c r="L279" s="528">
        <f t="shared" si="95"/>
        <v>1.25051736357193</v>
      </c>
      <c r="M279" s="528">
        <f>IF(D279=0,0,C279/D279*1000)</f>
        <v>11.1813239040341</v>
      </c>
      <c r="N279" s="528">
        <f t="shared" si="96"/>
        <v>5.60901795429815</v>
      </c>
      <c r="O279" s="528">
        <f t="shared" si="97"/>
        <v>0.00070871722182849</v>
      </c>
      <c r="P279" s="529">
        <f t="shared" si="98"/>
        <v>5.78518032786885</v>
      </c>
      <c r="Q279" s="24">
        <f t="shared" si="99"/>
        <v>305</v>
      </c>
      <c r="R279" s="530">
        <f t="shared" si="100"/>
        <v>0.21615875265769</v>
      </c>
    </row>
    <row r="280" hidden="1" spans="1:18">
      <c r="A280" s="524"/>
      <c r="B280" s="24" t="s">
        <v>95</v>
      </c>
      <c r="C280" s="538">
        <v>0</v>
      </c>
      <c r="D280" s="539">
        <v>0</v>
      </c>
      <c r="E280" s="539">
        <v>0</v>
      </c>
      <c r="F280" s="539">
        <v>0</v>
      </c>
      <c r="G280" s="539">
        <v>0</v>
      </c>
      <c r="H280" s="539">
        <v>0</v>
      </c>
      <c r="I280" s="539">
        <v>0</v>
      </c>
      <c r="J280" s="539">
        <v>0</v>
      </c>
      <c r="K280" s="527">
        <f>IF(E280=0,0,E280/D280)</f>
        <v>0</v>
      </c>
      <c r="L280" s="528">
        <f t="shared" si="95"/>
        <v>0</v>
      </c>
      <c r="M280" s="528">
        <f>IF(D280=0,0,C280/D280*1000)</f>
        <v>0</v>
      </c>
      <c r="N280" s="528">
        <f t="shared" si="96"/>
        <v>0</v>
      </c>
      <c r="O280" s="528">
        <f t="shared" si="97"/>
        <v>0</v>
      </c>
      <c r="P280" s="529">
        <f t="shared" si="98"/>
        <v>0</v>
      </c>
      <c r="Q280" s="24">
        <f t="shared" si="99"/>
        <v>0</v>
      </c>
      <c r="R280" s="530">
        <f t="shared" si="100"/>
        <v>0</v>
      </c>
    </row>
    <row r="281" hidden="1" spans="1:18">
      <c r="A281" s="524"/>
      <c r="B281" s="531" t="s">
        <v>96</v>
      </c>
      <c r="C281" s="532">
        <f t="shared" ref="C281:J281" si="111">SUM(C277:C280)</f>
        <v>1960.32</v>
      </c>
      <c r="D281" s="533">
        <f t="shared" si="111"/>
        <v>187409</v>
      </c>
      <c r="E281" s="533">
        <f t="shared" si="111"/>
        <v>2063</v>
      </c>
      <c r="F281" s="533">
        <f t="shared" si="111"/>
        <v>1</v>
      </c>
      <c r="G281" s="533">
        <f t="shared" si="111"/>
        <v>9897</v>
      </c>
      <c r="H281" s="533">
        <f t="shared" si="111"/>
        <v>41</v>
      </c>
      <c r="I281" s="533">
        <f t="shared" si="111"/>
        <v>278</v>
      </c>
      <c r="J281" s="533">
        <f t="shared" si="111"/>
        <v>14</v>
      </c>
      <c r="K281" s="534">
        <f>E281/D281</f>
        <v>0.011008009220475</v>
      </c>
      <c r="L281" s="535">
        <f t="shared" si="95"/>
        <v>0.950227823557925</v>
      </c>
      <c r="M281" s="535">
        <f>C281/D281*1000</f>
        <v>10.4601166432775</v>
      </c>
      <c r="N281" s="535">
        <f t="shared" si="96"/>
        <v>5.04866552399608</v>
      </c>
      <c r="O281" s="535">
        <f t="shared" si="97"/>
        <v>0.000484730974309258</v>
      </c>
      <c r="P281" s="536">
        <f t="shared" si="98"/>
        <v>6.14520376175549</v>
      </c>
      <c r="Q281" s="531">
        <f t="shared" si="99"/>
        <v>319</v>
      </c>
      <c r="R281" s="537">
        <f t="shared" si="100"/>
        <v>0.154629180804653</v>
      </c>
    </row>
    <row r="282" hidden="1" spans="1:18">
      <c r="A282" s="524">
        <v>45494</v>
      </c>
      <c r="B282" s="24" t="s">
        <v>91</v>
      </c>
      <c r="C282" s="540">
        <v>194.67</v>
      </c>
      <c r="D282" s="540">
        <v>69353</v>
      </c>
      <c r="E282" s="540">
        <v>1077</v>
      </c>
      <c r="F282" s="540">
        <v>1</v>
      </c>
      <c r="G282" s="540">
        <v>6798</v>
      </c>
      <c r="H282" s="540">
        <v>5</v>
      </c>
      <c r="I282" s="540">
        <v>3</v>
      </c>
      <c r="J282" s="540">
        <v>8</v>
      </c>
      <c r="K282" s="527">
        <f>IF(E282=0,0,E282/D282)</f>
        <v>0.0155292489149712</v>
      </c>
      <c r="L282" s="528">
        <f t="shared" si="95"/>
        <v>0.18075208913649</v>
      </c>
      <c r="M282" s="528">
        <f>IF(D282=0,0,C282/D282*1000)</f>
        <v>2.80694418410163</v>
      </c>
      <c r="N282" s="528">
        <f t="shared" si="96"/>
        <v>34.9206349206349</v>
      </c>
      <c r="O282" s="528">
        <f t="shared" si="97"/>
        <v>0.000928505106778087</v>
      </c>
      <c r="P282" s="529">
        <f t="shared" si="98"/>
        <v>24.33375</v>
      </c>
      <c r="Q282" s="24">
        <f t="shared" si="99"/>
        <v>8</v>
      </c>
      <c r="R282" s="530">
        <f t="shared" si="100"/>
        <v>0.0074280408542247</v>
      </c>
    </row>
    <row r="283" hidden="1" spans="1:18">
      <c r="A283" s="524"/>
      <c r="B283" s="24" t="s">
        <v>92</v>
      </c>
      <c r="C283" s="538">
        <v>591.29</v>
      </c>
      <c r="D283" s="539">
        <v>9778</v>
      </c>
      <c r="E283" s="539">
        <v>1304</v>
      </c>
      <c r="F283" s="539">
        <v>11</v>
      </c>
      <c r="G283" s="539">
        <v>112872</v>
      </c>
      <c r="H283" s="539">
        <v>22</v>
      </c>
      <c r="I283" s="539">
        <v>13</v>
      </c>
      <c r="J283" s="539">
        <v>0</v>
      </c>
      <c r="K283" s="527">
        <f>IF(E283=0,0,E283/D283)</f>
        <v>0.133360605440785</v>
      </c>
      <c r="L283" s="528">
        <f t="shared" si="95"/>
        <v>0.453443251533742</v>
      </c>
      <c r="M283" s="528">
        <f>IF(D283=0,0,C283/D283*1000)</f>
        <v>60.4714665575782</v>
      </c>
      <c r="N283" s="528">
        <f t="shared" si="96"/>
        <v>190.891102504693</v>
      </c>
      <c r="O283" s="528">
        <f t="shared" si="97"/>
        <v>0.00843558282208589</v>
      </c>
      <c r="P283" s="529">
        <f t="shared" si="98"/>
        <v>16.894</v>
      </c>
      <c r="Q283" s="24">
        <f t="shared" si="99"/>
        <v>35</v>
      </c>
      <c r="R283" s="530">
        <f t="shared" si="100"/>
        <v>0.026840490797546</v>
      </c>
    </row>
    <row r="284" hidden="1" spans="1:18">
      <c r="A284" s="524"/>
      <c r="B284" s="24" t="s">
        <v>97</v>
      </c>
      <c r="C284" s="540">
        <v>1755.5</v>
      </c>
      <c r="D284" s="540">
        <v>159568</v>
      </c>
      <c r="E284" s="540">
        <v>1507</v>
      </c>
      <c r="F284" s="540">
        <v>6</v>
      </c>
      <c r="G284" s="540">
        <v>64584</v>
      </c>
      <c r="H284" s="540">
        <v>52</v>
      </c>
      <c r="I284" s="540">
        <v>260</v>
      </c>
      <c r="J284" s="540">
        <v>9</v>
      </c>
      <c r="K284" s="527">
        <f>IF(E284=0,0,E284/D284)</f>
        <v>0.00944424947357866</v>
      </c>
      <c r="L284" s="528">
        <f t="shared" si="95"/>
        <v>1.16489714664897</v>
      </c>
      <c r="M284" s="528">
        <f>IF(D284=0,0,C284/D284*1000)</f>
        <v>11.0015792640128</v>
      </c>
      <c r="N284" s="528">
        <f t="shared" si="96"/>
        <v>36.7895186556537</v>
      </c>
      <c r="O284" s="528">
        <f t="shared" si="97"/>
        <v>0.0039814200398142</v>
      </c>
      <c r="P284" s="529">
        <f t="shared" si="98"/>
        <v>5.62660256410256</v>
      </c>
      <c r="Q284" s="24">
        <f t="shared" si="99"/>
        <v>312</v>
      </c>
      <c r="R284" s="530">
        <f t="shared" si="100"/>
        <v>0.207033842070338</v>
      </c>
    </row>
    <row r="285" hidden="1" spans="1:18">
      <c r="A285" s="524"/>
      <c r="B285" s="24" t="s">
        <v>95</v>
      </c>
      <c r="C285" s="538">
        <v>0</v>
      </c>
      <c r="D285" s="539">
        <v>0</v>
      </c>
      <c r="E285" s="539">
        <v>0</v>
      </c>
      <c r="F285" s="539">
        <v>0</v>
      </c>
      <c r="G285" s="539">
        <v>0</v>
      </c>
      <c r="H285" s="539">
        <v>0</v>
      </c>
      <c r="I285" s="539">
        <v>0</v>
      </c>
      <c r="J285" s="539">
        <v>0</v>
      </c>
      <c r="K285" s="527">
        <f>IF(E285=0,0,E285/D285)</f>
        <v>0</v>
      </c>
      <c r="L285" s="528">
        <f t="shared" si="95"/>
        <v>0</v>
      </c>
      <c r="M285" s="528">
        <f>IF(D285=0,0,C285/D285*1000)</f>
        <v>0</v>
      </c>
      <c r="N285" s="528">
        <f t="shared" si="96"/>
        <v>0</v>
      </c>
      <c r="O285" s="528">
        <f t="shared" si="97"/>
        <v>0</v>
      </c>
      <c r="P285" s="529">
        <f t="shared" si="98"/>
        <v>0</v>
      </c>
      <c r="Q285" s="24">
        <f t="shared" si="99"/>
        <v>0</v>
      </c>
      <c r="R285" s="530">
        <f t="shared" si="100"/>
        <v>0</v>
      </c>
    </row>
    <row r="286" hidden="1" spans="1:18">
      <c r="A286" s="524"/>
      <c r="B286" s="531" t="s">
        <v>96</v>
      </c>
      <c r="C286" s="532">
        <f t="shared" ref="C286:J286" si="112">SUM(C282:C285)</f>
        <v>2541.46</v>
      </c>
      <c r="D286" s="533">
        <f t="shared" si="112"/>
        <v>238699</v>
      </c>
      <c r="E286" s="533">
        <f t="shared" si="112"/>
        <v>3888</v>
      </c>
      <c r="F286" s="533">
        <f t="shared" si="112"/>
        <v>18</v>
      </c>
      <c r="G286" s="533">
        <f t="shared" si="112"/>
        <v>184254</v>
      </c>
      <c r="H286" s="533">
        <f t="shared" si="112"/>
        <v>79</v>
      </c>
      <c r="I286" s="533">
        <f t="shared" si="112"/>
        <v>276</v>
      </c>
      <c r="J286" s="533">
        <f t="shared" si="112"/>
        <v>17</v>
      </c>
      <c r="K286" s="534">
        <f>E286/D286</f>
        <v>0.0162882961386516</v>
      </c>
      <c r="L286" s="535">
        <f t="shared" si="95"/>
        <v>0.653667695473251</v>
      </c>
      <c r="M286" s="535">
        <f>C286/D286*1000</f>
        <v>10.6471330001383</v>
      </c>
      <c r="N286" s="535">
        <f t="shared" si="96"/>
        <v>72.4992720719586</v>
      </c>
      <c r="O286" s="535">
        <f t="shared" si="97"/>
        <v>0.00462962962962963</v>
      </c>
      <c r="P286" s="536">
        <f t="shared" si="98"/>
        <v>7.15904225352113</v>
      </c>
      <c r="Q286" s="531">
        <f t="shared" si="99"/>
        <v>355</v>
      </c>
      <c r="R286" s="537">
        <f t="shared" si="100"/>
        <v>0.0913065843621399</v>
      </c>
    </row>
    <row r="287" hidden="1" spans="1:18">
      <c r="A287" s="524">
        <v>45495</v>
      </c>
      <c r="B287" s="24" t="s">
        <v>91</v>
      </c>
      <c r="C287" s="538">
        <v>193.36</v>
      </c>
      <c r="D287" s="539">
        <v>47890</v>
      </c>
      <c r="E287" s="539">
        <v>856</v>
      </c>
      <c r="F287" s="539">
        <v>0</v>
      </c>
      <c r="G287" s="539">
        <v>0</v>
      </c>
      <c r="H287" s="539">
        <v>2</v>
      </c>
      <c r="I287" s="539">
        <v>2</v>
      </c>
      <c r="J287" s="539">
        <v>7</v>
      </c>
      <c r="K287" s="527">
        <f>IF(E287=0,0,E287/D287)</f>
        <v>0.0178742952599708</v>
      </c>
      <c r="L287" s="528">
        <f t="shared" si="95"/>
        <v>0.22588785046729</v>
      </c>
      <c r="M287" s="528">
        <f>IF(D287=0,0,C287/D287*1000)</f>
        <v>4.03758613489246</v>
      </c>
      <c r="N287" s="528">
        <f t="shared" si="96"/>
        <v>0</v>
      </c>
      <c r="O287" s="528">
        <f t="shared" si="97"/>
        <v>0</v>
      </c>
      <c r="P287" s="529">
        <f t="shared" si="98"/>
        <v>48.34</v>
      </c>
      <c r="Q287" s="24">
        <f t="shared" si="99"/>
        <v>4</v>
      </c>
      <c r="R287" s="530">
        <f t="shared" si="100"/>
        <v>0.00467289719626168</v>
      </c>
    </row>
    <row r="288" hidden="1" spans="1:18">
      <c r="A288" s="524"/>
      <c r="B288" s="24" t="s">
        <v>92</v>
      </c>
      <c r="C288" s="538">
        <v>498.55</v>
      </c>
      <c r="D288" s="539">
        <v>9171</v>
      </c>
      <c r="E288" s="539">
        <v>903</v>
      </c>
      <c r="F288" s="539">
        <v>1</v>
      </c>
      <c r="G288" s="539">
        <v>11997</v>
      </c>
      <c r="H288" s="539">
        <v>10</v>
      </c>
      <c r="I288" s="539">
        <v>9</v>
      </c>
      <c r="J288" s="539">
        <v>0</v>
      </c>
      <c r="K288" s="527">
        <f>IF(E288=0,0,E288/D288)</f>
        <v>0.0984625449787373</v>
      </c>
      <c r="L288" s="528">
        <f t="shared" si="95"/>
        <v>0.552104097452935</v>
      </c>
      <c r="M288" s="528">
        <f>IF(D288=0,0,C288/D288*1000)</f>
        <v>54.3615745284048</v>
      </c>
      <c r="N288" s="528">
        <f t="shared" si="96"/>
        <v>24.0637849764317</v>
      </c>
      <c r="O288" s="528">
        <f t="shared" si="97"/>
        <v>0.00110741971207087</v>
      </c>
      <c r="P288" s="529">
        <f t="shared" si="98"/>
        <v>26.2394736842105</v>
      </c>
      <c r="Q288" s="24">
        <f t="shared" si="99"/>
        <v>19</v>
      </c>
      <c r="R288" s="530">
        <f t="shared" si="100"/>
        <v>0.0210409745293466</v>
      </c>
    </row>
    <row r="289" hidden="1" spans="1:18">
      <c r="A289" s="524"/>
      <c r="B289" s="24" t="s">
        <v>97</v>
      </c>
      <c r="C289" s="538">
        <v>1764.39</v>
      </c>
      <c r="D289" s="539">
        <v>194971</v>
      </c>
      <c r="E289" s="539">
        <v>1609</v>
      </c>
      <c r="F289" s="539">
        <v>2</v>
      </c>
      <c r="G289" s="539">
        <v>22388</v>
      </c>
      <c r="H289" s="539">
        <v>33</v>
      </c>
      <c r="I289" s="539">
        <v>236</v>
      </c>
      <c r="J289" s="539">
        <v>4</v>
      </c>
      <c r="K289" s="527">
        <f>IF(E289=0,0,E289/D289)</f>
        <v>0.00825250934754399</v>
      </c>
      <c r="L289" s="528">
        <f t="shared" si="95"/>
        <v>1.09657551274083</v>
      </c>
      <c r="M289" s="528">
        <f>IF(D289=0,0,C289/D289*1000)</f>
        <v>9.04949966918157</v>
      </c>
      <c r="N289" s="528">
        <f t="shared" si="96"/>
        <v>12.688804629362</v>
      </c>
      <c r="O289" s="528">
        <f t="shared" si="97"/>
        <v>0.00124300807955252</v>
      </c>
      <c r="P289" s="529">
        <f t="shared" si="98"/>
        <v>6.55907063197026</v>
      </c>
      <c r="Q289" s="24">
        <f t="shared" si="99"/>
        <v>269</v>
      </c>
      <c r="R289" s="530">
        <f t="shared" si="100"/>
        <v>0.167184586699814</v>
      </c>
    </row>
    <row r="290" hidden="1" spans="1:18">
      <c r="A290" s="524"/>
      <c r="B290" s="24" t="s">
        <v>95</v>
      </c>
      <c r="C290" s="538">
        <v>0</v>
      </c>
      <c r="D290" s="539">
        <v>0</v>
      </c>
      <c r="E290" s="539">
        <v>0</v>
      </c>
      <c r="F290" s="539">
        <v>0</v>
      </c>
      <c r="G290" s="539">
        <v>0</v>
      </c>
      <c r="H290" s="539">
        <v>0</v>
      </c>
      <c r="I290" s="539">
        <v>0</v>
      </c>
      <c r="J290" s="539">
        <v>0</v>
      </c>
      <c r="K290" s="527">
        <f>IF(E290=0,0,E290/D290)</f>
        <v>0</v>
      </c>
      <c r="L290" s="528">
        <f t="shared" si="95"/>
        <v>0</v>
      </c>
      <c r="M290" s="528">
        <f>IF(D290=0,0,C290/D290*1000)</f>
        <v>0</v>
      </c>
      <c r="N290" s="528">
        <f t="shared" si="96"/>
        <v>0</v>
      </c>
      <c r="O290" s="528">
        <f t="shared" si="97"/>
        <v>0</v>
      </c>
      <c r="P290" s="529">
        <f t="shared" si="98"/>
        <v>0</v>
      </c>
      <c r="Q290" s="24">
        <f t="shared" si="99"/>
        <v>0</v>
      </c>
      <c r="R290" s="530">
        <f t="shared" si="100"/>
        <v>0</v>
      </c>
    </row>
    <row r="291" hidden="1" spans="1:18">
      <c r="A291" s="524"/>
      <c r="B291" s="531" t="s">
        <v>96</v>
      </c>
      <c r="C291" s="532">
        <f t="shared" ref="C291:J291" si="113">SUM(C287:C290)</f>
        <v>2456.3</v>
      </c>
      <c r="D291" s="533">
        <f t="shared" si="113"/>
        <v>252032</v>
      </c>
      <c r="E291" s="533">
        <f t="shared" si="113"/>
        <v>3368</v>
      </c>
      <c r="F291" s="533">
        <f t="shared" si="113"/>
        <v>3</v>
      </c>
      <c r="G291" s="533">
        <f t="shared" si="113"/>
        <v>34385</v>
      </c>
      <c r="H291" s="533">
        <f t="shared" si="113"/>
        <v>45</v>
      </c>
      <c r="I291" s="533">
        <f t="shared" si="113"/>
        <v>247</v>
      </c>
      <c r="J291" s="533">
        <f t="shared" si="113"/>
        <v>11</v>
      </c>
      <c r="K291" s="534">
        <f>E291/D291</f>
        <v>0.0133633824276282</v>
      </c>
      <c r="L291" s="535">
        <f t="shared" si="95"/>
        <v>0.729305225653207</v>
      </c>
      <c r="M291" s="535">
        <f>C291/D291*1000</f>
        <v>9.74598463687151</v>
      </c>
      <c r="N291" s="535">
        <f t="shared" si="96"/>
        <v>13.9986972275374</v>
      </c>
      <c r="O291" s="535">
        <f t="shared" si="97"/>
        <v>0.000890736342042755</v>
      </c>
      <c r="P291" s="536">
        <f t="shared" si="98"/>
        <v>8.41198630136986</v>
      </c>
      <c r="Q291" s="531">
        <f t="shared" si="99"/>
        <v>292</v>
      </c>
      <c r="R291" s="537">
        <f t="shared" si="100"/>
        <v>0.0866983372921615</v>
      </c>
    </row>
    <row r="292" hidden="1" spans="1:18">
      <c r="A292" s="524">
        <v>45496</v>
      </c>
      <c r="B292" s="24" t="s">
        <v>91</v>
      </c>
      <c r="C292" s="538">
        <v>199.39</v>
      </c>
      <c r="D292" s="539">
        <v>41151</v>
      </c>
      <c r="E292" s="539">
        <v>859</v>
      </c>
      <c r="F292" s="539">
        <v>0</v>
      </c>
      <c r="G292" s="539">
        <v>0</v>
      </c>
      <c r="H292" s="539">
        <v>2</v>
      </c>
      <c r="I292" s="539">
        <v>1</v>
      </c>
      <c r="J292" s="539">
        <v>10</v>
      </c>
      <c r="K292" s="527">
        <f>IF(E292=0,0,E292/D292)</f>
        <v>0.0208743408422639</v>
      </c>
      <c r="L292" s="528">
        <f t="shared" ref="L292:L314" si="114">IF(C292=0,0,C292/E292)</f>
        <v>0.232118742724098</v>
      </c>
      <c r="M292" s="528">
        <f>IF(D292=0,0,C292/D292*1000)</f>
        <v>4.84532575150057</v>
      </c>
      <c r="N292" s="528">
        <f t="shared" ref="N292:N314" si="115">IF(G292=0,0,G292/C292)</f>
        <v>0</v>
      </c>
      <c r="O292" s="528">
        <f t="shared" ref="O292:O314" si="116">IF(F292=0,0,F292/E292)</f>
        <v>0</v>
      </c>
      <c r="P292" s="529">
        <f t="shared" ref="P292:P314" si="117">IF(H292+I292=0,0,C292/(H292+I292))</f>
        <v>66.4633333333333</v>
      </c>
      <c r="Q292" s="24">
        <f t="shared" ref="Q292:Q314" si="118">H292+I292</f>
        <v>3</v>
      </c>
      <c r="R292" s="530">
        <f t="shared" ref="R292:R314" si="119">IF(Q292=0,0,Q292/E292)</f>
        <v>0.00349243306169965</v>
      </c>
    </row>
    <row r="293" hidden="1" spans="1:18">
      <c r="A293" s="524"/>
      <c r="B293" s="24" t="s">
        <v>92</v>
      </c>
      <c r="C293" s="538">
        <v>0</v>
      </c>
      <c r="D293" s="539">
        <v>0</v>
      </c>
      <c r="E293" s="539">
        <v>0</v>
      </c>
      <c r="F293" s="539">
        <v>0</v>
      </c>
      <c r="G293" s="539">
        <v>0</v>
      </c>
      <c r="H293" s="539">
        <v>0</v>
      </c>
      <c r="I293" s="539">
        <v>0</v>
      </c>
      <c r="J293" s="539">
        <v>0</v>
      </c>
      <c r="K293" s="527">
        <f>IF(E293=0,0,E293/D293)</f>
        <v>0</v>
      </c>
      <c r="L293" s="528">
        <f t="shared" si="114"/>
        <v>0</v>
      </c>
      <c r="M293" s="528">
        <f>IF(D293=0,0,C293/D293*1000)</f>
        <v>0</v>
      </c>
      <c r="N293" s="528">
        <f t="shared" si="115"/>
        <v>0</v>
      </c>
      <c r="O293" s="528">
        <f t="shared" si="116"/>
        <v>0</v>
      </c>
      <c r="P293" s="529">
        <f t="shared" si="117"/>
        <v>0</v>
      </c>
      <c r="Q293" s="24">
        <f t="shared" si="118"/>
        <v>0</v>
      </c>
      <c r="R293" s="530">
        <f t="shared" si="119"/>
        <v>0</v>
      </c>
    </row>
    <row r="294" hidden="1" spans="1:18">
      <c r="A294" s="524"/>
      <c r="B294" s="24" t="s">
        <v>97</v>
      </c>
      <c r="C294" s="538">
        <v>1784.69</v>
      </c>
      <c r="D294" s="539">
        <v>146674</v>
      </c>
      <c r="E294" s="539">
        <v>1472</v>
      </c>
      <c r="F294" s="539">
        <v>0</v>
      </c>
      <c r="G294" s="539">
        <v>0</v>
      </c>
      <c r="H294" s="539">
        <v>30</v>
      </c>
      <c r="I294" s="539">
        <v>180</v>
      </c>
      <c r="J294" s="539">
        <v>11</v>
      </c>
      <c r="K294" s="527">
        <f>IF(E294=0,0,E294/D294)</f>
        <v>0.0100358618432715</v>
      </c>
      <c r="L294" s="528">
        <f t="shared" si="114"/>
        <v>1.21242527173913</v>
      </c>
      <c r="M294" s="528">
        <f>IF(D294=0,0,C294/D294*1000)</f>
        <v>12.1677325224648</v>
      </c>
      <c r="N294" s="528">
        <f t="shared" si="115"/>
        <v>0</v>
      </c>
      <c r="O294" s="528">
        <f t="shared" si="116"/>
        <v>0</v>
      </c>
      <c r="P294" s="529">
        <f t="shared" si="117"/>
        <v>8.49852380952381</v>
      </c>
      <c r="Q294" s="24">
        <f t="shared" si="118"/>
        <v>210</v>
      </c>
      <c r="R294" s="530">
        <f t="shared" si="119"/>
        <v>0.142663043478261</v>
      </c>
    </row>
    <row r="295" hidden="1" spans="1:18">
      <c r="A295" s="524"/>
      <c r="B295" s="24" t="s">
        <v>95</v>
      </c>
      <c r="C295" s="538">
        <v>0</v>
      </c>
      <c r="D295" s="539">
        <v>0</v>
      </c>
      <c r="E295" s="539">
        <v>0</v>
      </c>
      <c r="F295" s="539">
        <v>0</v>
      </c>
      <c r="G295" s="539">
        <v>0</v>
      </c>
      <c r="H295" s="539">
        <v>0</v>
      </c>
      <c r="I295" s="539">
        <v>0</v>
      </c>
      <c r="J295" s="539">
        <v>0</v>
      </c>
      <c r="K295" s="527">
        <f>IF(E295=0,0,E295/D295)</f>
        <v>0</v>
      </c>
      <c r="L295" s="528">
        <f t="shared" si="114"/>
        <v>0</v>
      </c>
      <c r="M295" s="528">
        <f>IF(D295=0,0,C295/D295*1000)</f>
        <v>0</v>
      </c>
      <c r="N295" s="528">
        <f t="shared" si="115"/>
        <v>0</v>
      </c>
      <c r="O295" s="528">
        <f t="shared" si="116"/>
        <v>0</v>
      </c>
      <c r="P295" s="529">
        <f t="shared" si="117"/>
        <v>0</v>
      </c>
      <c r="Q295" s="24">
        <f t="shared" si="118"/>
        <v>0</v>
      </c>
      <c r="R295" s="530">
        <f t="shared" si="119"/>
        <v>0</v>
      </c>
    </row>
    <row r="296" hidden="1" spans="1:18">
      <c r="A296" s="524"/>
      <c r="B296" s="531" t="s">
        <v>96</v>
      </c>
      <c r="C296" s="532">
        <f t="shared" ref="C296:J296" si="120">SUM(C292:C295)</f>
        <v>1984.08</v>
      </c>
      <c r="D296" s="533">
        <f t="shared" si="120"/>
        <v>187825</v>
      </c>
      <c r="E296" s="533">
        <f t="shared" si="120"/>
        <v>2331</v>
      </c>
      <c r="F296" s="533">
        <f t="shared" si="120"/>
        <v>0</v>
      </c>
      <c r="G296" s="533">
        <f t="shared" si="120"/>
        <v>0</v>
      </c>
      <c r="H296" s="533">
        <f t="shared" si="120"/>
        <v>32</v>
      </c>
      <c r="I296" s="533">
        <f t="shared" si="120"/>
        <v>181</v>
      </c>
      <c r="J296" s="533">
        <f t="shared" si="120"/>
        <v>21</v>
      </c>
      <c r="K296" s="534">
        <f>E296/D296</f>
        <v>0.0124104884866232</v>
      </c>
      <c r="L296" s="535">
        <f t="shared" si="114"/>
        <v>0.851171171171171</v>
      </c>
      <c r="M296" s="535">
        <f>C296/D296*1000</f>
        <v>10.5634500199654</v>
      </c>
      <c r="N296" s="535">
        <f t="shared" si="115"/>
        <v>0</v>
      </c>
      <c r="O296" s="535">
        <f t="shared" si="116"/>
        <v>0</v>
      </c>
      <c r="P296" s="536">
        <f t="shared" si="117"/>
        <v>9.31492957746479</v>
      </c>
      <c r="Q296" s="531">
        <f t="shared" si="118"/>
        <v>213</v>
      </c>
      <c r="R296" s="537">
        <f t="shared" si="119"/>
        <v>0.0913770913770914</v>
      </c>
    </row>
    <row r="297" hidden="1" spans="1:18">
      <c r="A297" s="524">
        <v>45497</v>
      </c>
      <c r="B297" s="24" t="s">
        <v>91</v>
      </c>
      <c r="C297" s="538">
        <v>199.3</v>
      </c>
      <c r="D297" s="539">
        <v>30763</v>
      </c>
      <c r="E297" s="539">
        <v>555</v>
      </c>
      <c r="F297" s="539">
        <v>0</v>
      </c>
      <c r="G297" s="539">
        <v>0</v>
      </c>
      <c r="H297" s="539">
        <v>4</v>
      </c>
      <c r="I297" s="539">
        <v>2</v>
      </c>
      <c r="J297" s="539">
        <v>8</v>
      </c>
      <c r="K297" s="527">
        <f>IF(E297=0,0,E297/D297)</f>
        <v>0.01804115333355</v>
      </c>
      <c r="L297" s="528">
        <f t="shared" si="114"/>
        <v>0.359099099099099</v>
      </c>
      <c r="M297" s="528">
        <f>IF(D297=0,0,C297/D297*1000)</f>
        <v>6.47856190878653</v>
      </c>
      <c r="N297" s="528">
        <f t="shared" si="115"/>
        <v>0</v>
      </c>
      <c r="O297" s="528">
        <f t="shared" si="116"/>
        <v>0</v>
      </c>
      <c r="P297" s="529">
        <f t="shared" si="117"/>
        <v>33.2166666666667</v>
      </c>
      <c r="Q297" s="24">
        <f t="shared" si="118"/>
        <v>6</v>
      </c>
      <c r="R297" s="530">
        <f t="shared" si="119"/>
        <v>0.0108108108108108</v>
      </c>
    </row>
    <row r="298" hidden="1" spans="1:18">
      <c r="A298" s="524"/>
      <c r="B298" s="24" t="s">
        <v>92</v>
      </c>
      <c r="C298" s="538">
        <v>0</v>
      </c>
      <c r="D298" s="539">
        <v>0</v>
      </c>
      <c r="E298" s="539">
        <v>0</v>
      </c>
      <c r="F298" s="539">
        <v>0</v>
      </c>
      <c r="G298" s="539">
        <v>0</v>
      </c>
      <c r="H298" s="539">
        <v>0</v>
      </c>
      <c r="I298" s="539">
        <v>0</v>
      </c>
      <c r="J298" s="539">
        <v>0</v>
      </c>
      <c r="K298" s="527">
        <f>IF(E298=0,0,E298/D298)</f>
        <v>0</v>
      </c>
      <c r="L298" s="528">
        <f t="shared" si="114"/>
        <v>0</v>
      </c>
      <c r="M298" s="528">
        <f>IF(D298=0,0,C298/D298*1000)</f>
        <v>0</v>
      </c>
      <c r="N298" s="528">
        <f t="shared" si="115"/>
        <v>0</v>
      </c>
      <c r="O298" s="528">
        <f t="shared" si="116"/>
        <v>0</v>
      </c>
      <c r="P298" s="529">
        <f t="shared" si="117"/>
        <v>0</v>
      </c>
      <c r="Q298" s="24">
        <f t="shared" si="118"/>
        <v>0</v>
      </c>
      <c r="R298" s="530">
        <f t="shared" si="119"/>
        <v>0</v>
      </c>
    </row>
    <row r="299" hidden="1" spans="1:18">
      <c r="A299" s="524"/>
      <c r="B299" s="24" t="s">
        <v>97</v>
      </c>
      <c r="C299" s="538">
        <v>1759.04</v>
      </c>
      <c r="D299" s="539">
        <v>154889</v>
      </c>
      <c r="E299" s="539">
        <v>1461</v>
      </c>
      <c r="F299" s="539">
        <v>0</v>
      </c>
      <c r="G299" s="539">
        <v>0</v>
      </c>
      <c r="H299" s="539">
        <v>25</v>
      </c>
      <c r="I299" s="539">
        <v>226</v>
      </c>
      <c r="J299" s="539">
        <v>8</v>
      </c>
      <c r="K299" s="527">
        <f>IF(E299=0,0,E299/D299)</f>
        <v>0.00943256138266759</v>
      </c>
      <c r="L299" s="528">
        <f t="shared" si="114"/>
        <v>1.20399726214921</v>
      </c>
      <c r="M299" s="528">
        <f>IF(D299=0,0,C299/D299*1000)</f>
        <v>11.3567780797862</v>
      </c>
      <c r="N299" s="528">
        <f t="shared" si="115"/>
        <v>0</v>
      </c>
      <c r="O299" s="528">
        <f t="shared" si="116"/>
        <v>0</v>
      </c>
      <c r="P299" s="529">
        <f t="shared" si="117"/>
        <v>7.00812749003984</v>
      </c>
      <c r="Q299" s="24">
        <f t="shared" si="118"/>
        <v>251</v>
      </c>
      <c r="R299" s="530">
        <f t="shared" si="119"/>
        <v>0.171800136892539</v>
      </c>
    </row>
    <row r="300" hidden="1" spans="1:18">
      <c r="A300" s="524"/>
      <c r="B300" s="24" t="s">
        <v>95</v>
      </c>
      <c r="C300" s="538">
        <v>0</v>
      </c>
      <c r="D300" s="539">
        <v>0</v>
      </c>
      <c r="E300" s="539">
        <v>0</v>
      </c>
      <c r="F300" s="539">
        <v>0</v>
      </c>
      <c r="G300" s="539">
        <v>0</v>
      </c>
      <c r="H300" s="539">
        <v>0</v>
      </c>
      <c r="I300" s="539">
        <v>0</v>
      </c>
      <c r="J300" s="539">
        <v>0</v>
      </c>
      <c r="K300" s="527">
        <f>IF(E300=0,0,E300/D300)</f>
        <v>0</v>
      </c>
      <c r="L300" s="528">
        <f t="shared" si="114"/>
        <v>0</v>
      </c>
      <c r="M300" s="528">
        <f>IF(D300=0,0,C300/D300*1000)</f>
        <v>0</v>
      </c>
      <c r="N300" s="528">
        <f t="shared" si="115"/>
        <v>0</v>
      </c>
      <c r="O300" s="528">
        <f t="shared" si="116"/>
        <v>0</v>
      </c>
      <c r="P300" s="529">
        <f t="shared" si="117"/>
        <v>0</v>
      </c>
      <c r="Q300" s="24">
        <f t="shared" si="118"/>
        <v>0</v>
      </c>
      <c r="R300" s="530">
        <f t="shared" si="119"/>
        <v>0</v>
      </c>
    </row>
    <row r="301" hidden="1" spans="1:18">
      <c r="A301" s="524"/>
      <c r="B301" s="531" t="s">
        <v>96</v>
      </c>
      <c r="C301" s="532">
        <f t="shared" ref="C301:J301" si="121">SUM(C297:C300)</f>
        <v>1958.34</v>
      </c>
      <c r="D301" s="533">
        <f t="shared" si="121"/>
        <v>185652</v>
      </c>
      <c r="E301" s="533">
        <f t="shared" si="121"/>
        <v>2016</v>
      </c>
      <c r="F301" s="533">
        <f t="shared" si="121"/>
        <v>0</v>
      </c>
      <c r="G301" s="533">
        <f t="shared" si="121"/>
        <v>0</v>
      </c>
      <c r="H301" s="533">
        <f t="shared" si="121"/>
        <v>29</v>
      </c>
      <c r="I301" s="533">
        <f t="shared" si="121"/>
        <v>228</v>
      </c>
      <c r="J301" s="533">
        <f t="shared" si="121"/>
        <v>16</v>
      </c>
      <c r="K301" s="534">
        <f>E301/D301</f>
        <v>0.0108590265658328</v>
      </c>
      <c r="L301" s="535">
        <f t="shared" si="114"/>
        <v>0.97139880952381</v>
      </c>
      <c r="M301" s="535">
        <f>C301/D301*1000</f>
        <v>10.5484454786375</v>
      </c>
      <c r="N301" s="535">
        <f t="shared" si="115"/>
        <v>0</v>
      </c>
      <c r="O301" s="535">
        <f t="shared" si="116"/>
        <v>0</v>
      </c>
      <c r="P301" s="536">
        <f t="shared" si="117"/>
        <v>7.62</v>
      </c>
      <c r="Q301" s="531">
        <f t="shared" si="118"/>
        <v>257</v>
      </c>
      <c r="R301" s="537">
        <f t="shared" si="119"/>
        <v>0.127480158730159</v>
      </c>
    </row>
    <row r="302" hidden="1" spans="1:18">
      <c r="A302" s="524">
        <v>45498</v>
      </c>
      <c r="B302" s="24" t="s">
        <v>91</v>
      </c>
      <c r="C302" s="538">
        <v>199.59</v>
      </c>
      <c r="D302" s="539">
        <v>28405</v>
      </c>
      <c r="E302" s="539">
        <v>526</v>
      </c>
      <c r="F302" s="539">
        <v>0</v>
      </c>
      <c r="G302" s="539">
        <v>0</v>
      </c>
      <c r="H302" s="539">
        <v>2</v>
      </c>
      <c r="I302" s="539">
        <v>1</v>
      </c>
      <c r="J302" s="539">
        <v>8</v>
      </c>
      <c r="K302" s="527">
        <f>IF(E302=0,0,E302/D302)</f>
        <v>0.0185178665727865</v>
      </c>
      <c r="L302" s="528">
        <f t="shared" si="114"/>
        <v>0.379448669201521</v>
      </c>
      <c r="M302" s="528">
        <f>IF(D302=0,0,C302/D302*1000)</f>
        <v>7.02657982749516</v>
      </c>
      <c r="N302" s="528">
        <f t="shared" si="115"/>
        <v>0</v>
      </c>
      <c r="O302" s="528">
        <f t="shared" si="116"/>
        <v>0</v>
      </c>
      <c r="P302" s="529">
        <f t="shared" si="117"/>
        <v>66.53</v>
      </c>
      <c r="Q302" s="24">
        <f t="shared" si="118"/>
        <v>3</v>
      </c>
      <c r="R302" s="530">
        <f t="shared" si="119"/>
        <v>0.00570342205323194</v>
      </c>
    </row>
    <row r="303" hidden="1" spans="1:18">
      <c r="A303" s="524"/>
      <c r="B303" s="24" t="s">
        <v>92</v>
      </c>
      <c r="C303" s="538">
        <v>0</v>
      </c>
      <c r="D303" s="539">
        <v>0</v>
      </c>
      <c r="E303" s="539">
        <v>0</v>
      </c>
      <c r="F303" s="539">
        <v>0</v>
      </c>
      <c r="G303" s="539">
        <v>0</v>
      </c>
      <c r="H303" s="539">
        <v>0</v>
      </c>
      <c r="I303" s="539">
        <v>0</v>
      </c>
      <c r="J303" s="539">
        <v>0</v>
      </c>
      <c r="K303" s="527">
        <f>IF(E303=0,0,E303/D303)</f>
        <v>0</v>
      </c>
      <c r="L303" s="528">
        <f t="shared" si="114"/>
        <v>0</v>
      </c>
      <c r="M303" s="528">
        <f>IF(D303=0,0,C303/D303*1000)</f>
        <v>0</v>
      </c>
      <c r="N303" s="528">
        <f t="shared" si="115"/>
        <v>0</v>
      </c>
      <c r="O303" s="528">
        <f t="shared" si="116"/>
        <v>0</v>
      </c>
      <c r="P303" s="529">
        <f t="shared" si="117"/>
        <v>0</v>
      </c>
      <c r="Q303" s="24">
        <f t="shared" si="118"/>
        <v>0</v>
      </c>
      <c r="R303" s="530">
        <f t="shared" si="119"/>
        <v>0</v>
      </c>
    </row>
    <row r="304" hidden="1" spans="1:18">
      <c r="A304" s="524"/>
      <c r="B304" s="24" t="s">
        <v>97</v>
      </c>
      <c r="C304" s="538">
        <v>1798.33</v>
      </c>
      <c r="D304" s="539">
        <v>207667</v>
      </c>
      <c r="E304" s="539">
        <v>1787</v>
      </c>
      <c r="F304" s="539">
        <v>0</v>
      </c>
      <c r="G304" s="539">
        <v>0</v>
      </c>
      <c r="H304" s="539">
        <v>41</v>
      </c>
      <c r="I304" s="539">
        <v>199</v>
      </c>
      <c r="J304" s="539">
        <v>9</v>
      </c>
      <c r="K304" s="527">
        <f>IF(E304=0,0,E304/D304)</f>
        <v>0.00860512262420125</v>
      </c>
      <c r="L304" s="528">
        <f t="shared" si="114"/>
        <v>1.00634023503078</v>
      </c>
      <c r="M304" s="528">
        <f>IF(D304=0,0,C304/D304*1000)</f>
        <v>8.65968112410735</v>
      </c>
      <c r="N304" s="528">
        <f t="shared" si="115"/>
        <v>0</v>
      </c>
      <c r="O304" s="528">
        <f t="shared" si="116"/>
        <v>0</v>
      </c>
      <c r="P304" s="529">
        <f t="shared" si="117"/>
        <v>7.49304166666667</v>
      </c>
      <c r="Q304" s="24">
        <f t="shared" si="118"/>
        <v>240</v>
      </c>
      <c r="R304" s="530">
        <f t="shared" si="119"/>
        <v>0.134303301622832</v>
      </c>
    </row>
    <row r="305" hidden="1" spans="1:18">
      <c r="A305" s="524"/>
      <c r="B305" s="24" t="s">
        <v>95</v>
      </c>
      <c r="C305" s="538">
        <v>0</v>
      </c>
      <c r="D305" s="539">
        <v>0</v>
      </c>
      <c r="E305" s="539">
        <v>0</v>
      </c>
      <c r="F305" s="539">
        <v>0</v>
      </c>
      <c r="G305" s="539">
        <v>0</v>
      </c>
      <c r="H305" s="539">
        <v>0</v>
      </c>
      <c r="I305" s="539">
        <v>0</v>
      </c>
      <c r="J305" s="539">
        <v>0</v>
      </c>
      <c r="K305" s="527">
        <f>IF(E305=0,0,E305/D305)</f>
        <v>0</v>
      </c>
      <c r="L305" s="528">
        <f t="shared" si="114"/>
        <v>0</v>
      </c>
      <c r="M305" s="528">
        <f>IF(D305=0,0,C305/D305*1000)</f>
        <v>0</v>
      </c>
      <c r="N305" s="528">
        <f t="shared" si="115"/>
        <v>0</v>
      </c>
      <c r="O305" s="528">
        <f t="shared" si="116"/>
        <v>0</v>
      </c>
      <c r="P305" s="529">
        <f t="shared" si="117"/>
        <v>0</v>
      </c>
      <c r="Q305" s="24">
        <f t="shared" si="118"/>
        <v>0</v>
      </c>
      <c r="R305" s="530">
        <f t="shared" si="119"/>
        <v>0</v>
      </c>
    </row>
    <row r="306" hidden="1" spans="1:18">
      <c r="A306" s="524"/>
      <c r="B306" s="531" t="s">
        <v>96</v>
      </c>
      <c r="C306" s="532">
        <f t="shared" ref="C306:J306" si="122">SUM(C302:C305)</f>
        <v>1997.92</v>
      </c>
      <c r="D306" s="533">
        <f t="shared" si="122"/>
        <v>236072</v>
      </c>
      <c r="E306" s="533">
        <f t="shared" si="122"/>
        <v>2313</v>
      </c>
      <c r="F306" s="533">
        <f t="shared" si="122"/>
        <v>0</v>
      </c>
      <c r="G306" s="533">
        <f t="shared" si="122"/>
        <v>0</v>
      </c>
      <c r="H306" s="533">
        <f t="shared" si="122"/>
        <v>43</v>
      </c>
      <c r="I306" s="533">
        <f t="shared" si="122"/>
        <v>200</v>
      </c>
      <c r="J306" s="533">
        <f t="shared" si="122"/>
        <v>17</v>
      </c>
      <c r="K306" s="534">
        <f>E306/D306</f>
        <v>0.00979785828052459</v>
      </c>
      <c r="L306" s="535">
        <f t="shared" si="114"/>
        <v>0.863778642455685</v>
      </c>
      <c r="M306" s="535">
        <f>C306/D306*1000</f>
        <v>8.46318072452472</v>
      </c>
      <c r="N306" s="535">
        <f t="shared" si="115"/>
        <v>0</v>
      </c>
      <c r="O306" s="535">
        <f t="shared" si="116"/>
        <v>0</v>
      </c>
      <c r="P306" s="536">
        <f t="shared" si="117"/>
        <v>8.22189300411523</v>
      </c>
      <c r="Q306" s="531">
        <f t="shared" si="118"/>
        <v>243</v>
      </c>
      <c r="R306" s="537">
        <f t="shared" si="119"/>
        <v>0.105058365758755</v>
      </c>
    </row>
    <row r="307" hidden="1" spans="1:18">
      <c r="A307" s="524">
        <v>45499</v>
      </c>
      <c r="B307" s="24" t="s">
        <v>91</v>
      </c>
      <c r="C307" s="540">
        <v>198.94</v>
      </c>
      <c r="D307" s="540">
        <v>24106</v>
      </c>
      <c r="E307" s="540">
        <v>406</v>
      </c>
      <c r="F307" s="540">
        <v>0</v>
      </c>
      <c r="G307" s="540">
        <v>0</v>
      </c>
      <c r="H307" s="540">
        <v>1</v>
      </c>
      <c r="I307" s="540">
        <v>0</v>
      </c>
      <c r="J307" s="540">
        <v>2</v>
      </c>
      <c r="K307" s="527">
        <f>IF(E307=0,0,E307/D307)</f>
        <v>0.0168422799303078</v>
      </c>
      <c r="L307" s="528">
        <f t="shared" si="114"/>
        <v>0.49</v>
      </c>
      <c r="M307" s="528">
        <f>IF(D307=0,0,C307/D307*1000)</f>
        <v>8.25271716585083</v>
      </c>
      <c r="N307" s="528">
        <f t="shared" si="115"/>
        <v>0</v>
      </c>
      <c r="O307" s="528">
        <f t="shared" si="116"/>
        <v>0</v>
      </c>
      <c r="P307" s="529">
        <f t="shared" si="117"/>
        <v>198.94</v>
      </c>
      <c r="Q307" s="24">
        <f t="shared" si="118"/>
        <v>1</v>
      </c>
      <c r="R307" s="530">
        <f t="shared" si="119"/>
        <v>0.00246305418719212</v>
      </c>
    </row>
    <row r="308" hidden="1" spans="1:18">
      <c r="A308" s="524"/>
      <c r="B308" s="24" t="s">
        <v>92</v>
      </c>
      <c r="C308" s="538">
        <v>0</v>
      </c>
      <c r="D308" s="539">
        <v>0</v>
      </c>
      <c r="E308" s="539">
        <v>0</v>
      </c>
      <c r="F308" s="539">
        <v>0</v>
      </c>
      <c r="G308" s="539">
        <v>0</v>
      </c>
      <c r="H308" s="539">
        <v>0</v>
      </c>
      <c r="I308" s="539">
        <v>0</v>
      </c>
      <c r="J308" s="539">
        <v>0</v>
      </c>
      <c r="K308" s="527">
        <f>IF(E308=0,0,E308/D308)</f>
        <v>0</v>
      </c>
      <c r="L308" s="528">
        <f t="shared" si="114"/>
        <v>0</v>
      </c>
      <c r="M308" s="528">
        <f>IF(D308=0,0,C308/D308*1000)</f>
        <v>0</v>
      </c>
      <c r="N308" s="528">
        <f t="shared" si="115"/>
        <v>0</v>
      </c>
      <c r="O308" s="528">
        <f t="shared" si="116"/>
        <v>0</v>
      </c>
      <c r="P308" s="529">
        <f t="shared" si="117"/>
        <v>0</v>
      </c>
      <c r="Q308" s="24">
        <f t="shared" si="118"/>
        <v>0</v>
      </c>
      <c r="R308" s="530">
        <f t="shared" si="119"/>
        <v>0</v>
      </c>
    </row>
    <row r="309" hidden="1" spans="1:18">
      <c r="A309" s="524"/>
      <c r="B309" s="24" t="s">
        <v>97</v>
      </c>
      <c r="C309" s="540">
        <v>1779.71</v>
      </c>
      <c r="D309" s="540">
        <v>185941</v>
      </c>
      <c r="E309" s="540">
        <v>1613</v>
      </c>
      <c r="F309" s="540">
        <v>1</v>
      </c>
      <c r="G309" s="540">
        <v>21220</v>
      </c>
      <c r="H309" s="540">
        <v>34</v>
      </c>
      <c r="I309" s="540">
        <v>212</v>
      </c>
      <c r="J309" s="540">
        <v>9</v>
      </c>
      <c r="K309" s="527">
        <f>IF(E309=0,0,E309/D309)</f>
        <v>0.00867479469294023</v>
      </c>
      <c r="L309" s="528">
        <f t="shared" si="114"/>
        <v>1.10335399876007</v>
      </c>
      <c r="M309" s="528">
        <f>IF(D309=0,0,C309/D309*1000)</f>
        <v>9.57136941287828</v>
      </c>
      <c r="N309" s="528">
        <f t="shared" si="115"/>
        <v>11.9232908732322</v>
      </c>
      <c r="O309" s="528">
        <f t="shared" si="116"/>
        <v>0.000619962802231866</v>
      </c>
      <c r="P309" s="529">
        <f t="shared" si="117"/>
        <v>7.23459349593496</v>
      </c>
      <c r="Q309" s="24">
        <f t="shared" si="118"/>
        <v>246</v>
      </c>
      <c r="R309" s="530">
        <f t="shared" si="119"/>
        <v>0.152510849349039</v>
      </c>
    </row>
    <row r="310" hidden="1" spans="1:18">
      <c r="A310" s="524"/>
      <c r="B310" s="24" t="s">
        <v>95</v>
      </c>
      <c r="C310" s="538">
        <v>0</v>
      </c>
      <c r="D310" s="539">
        <v>0</v>
      </c>
      <c r="E310" s="539">
        <v>0</v>
      </c>
      <c r="F310" s="539">
        <v>0</v>
      </c>
      <c r="G310" s="539">
        <v>0</v>
      </c>
      <c r="H310" s="539">
        <v>0</v>
      </c>
      <c r="I310" s="539">
        <v>0</v>
      </c>
      <c r="J310" s="539">
        <v>0</v>
      </c>
      <c r="K310" s="527">
        <f>IF(E310=0,0,E310/D310)</f>
        <v>0</v>
      </c>
      <c r="L310" s="528">
        <f t="shared" si="114"/>
        <v>0</v>
      </c>
      <c r="M310" s="528">
        <f>IF(D310=0,0,C310/D310*1000)</f>
        <v>0</v>
      </c>
      <c r="N310" s="528">
        <f t="shared" si="115"/>
        <v>0</v>
      </c>
      <c r="O310" s="528">
        <f t="shared" si="116"/>
        <v>0</v>
      </c>
      <c r="P310" s="529">
        <f t="shared" si="117"/>
        <v>0</v>
      </c>
      <c r="Q310" s="24">
        <f t="shared" si="118"/>
        <v>0</v>
      </c>
      <c r="R310" s="530">
        <f t="shared" si="119"/>
        <v>0</v>
      </c>
    </row>
    <row r="311" hidden="1" spans="1:18">
      <c r="A311" s="524"/>
      <c r="B311" s="531" t="s">
        <v>96</v>
      </c>
      <c r="C311" s="532">
        <f t="shared" ref="C311:J311" si="123">SUM(C307:C310)</f>
        <v>1978.65</v>
      </c>
      <c r="D311" s="533">
        <f t="shared" si="123"/>
        <v>210047</v>
      </c>
      <c r="E311" s="533">
        <f t="shared" si="123"/>
        <v>2019</v>
      </c>
      <c r="F311" s="533">
        <f t="shared" si="123"/>
        <v>1</v>
      </c>
      <c r="G311" s="533">
        <f t="shared" si="123"/>
        <v>21220</v>
      </c>
      <c r="H311" s="533">
        <f t="shared" si="123"/>
        <v>35</v>
      </c>
      <c r="I311" s="533">
        <f t="shared" si="123"/>
        <v>212</v>
      </c>
      <c r="J311" s="533">
        <f t="shared" si="123"/>
        <v>11</v>
      </c>
      <c r="K311" s="534">
        <f>E311/D311</f>
        <v>0.0096121344270568</v>
      </c>
      <c r="L311" s="535">
        <f t="shared" si="114"/>
        <v>0.98001485884101</v>
      </c>
      <c r="M311" s="535">
        <f>C311/D311*1000</f>
        <v>9.42003456369289</v>
      </c>
      <c r="N311" s="535">
        <f t="shared" si="115"/>
        <v>10.7244838652617</v>
      </c>
      <c r="O311" s="535">
        <f t="shared" si="116"/>
        <v>0.000495294700346706</v>
      </c>
      <c r="P311" s="536">
        <f t="shared" si="117"/>
        <v>8.01072874493927</v>
      </c>
      <c r="Q311" s="531">
        <f t="shared" si="118"/>
        <v>247</v>
      </c>
      <c r="R311" s="537">
        <f t="shared" si="119"/>
        <v>0.122337790985636</v>
      </c>
    </row>
    <row r="312" hidden="1" spans="1:18">
      <c r="A312" s="524">
        <v>45500</v>
      </c>
      <c r="B312" s="24" t="s">
        <v>91</v>
      </c>
      <c r="C312" s="540">
        <v>199.31</v>
      </c>
      <c r="D312" s="540">
        <v>15713</v>
      </c>
      <c r="E312" s="540">
        <v>328</v>
      </c>
      <c r="F312" s="540">
        <v>0</v>
      </c>
      <c r="G312" s="540">
        <v>0</v>
      </c>
      <c r="H312" s="540">
        <v>3</v>
      </c>
      <c r="I312" s="540">
        <v>1</v>
      </c>
      <c r="J312" s="540">
        <v>2</v>
      </c>
      <c r="K312" s="527">
        <f>IF(E312=0,0,E312/D312)</f>
        <v>0.0208744351810603</v>
      </c>
      <c r="L312" s="528">
        <f t="shared" si="114"/>
        <v>0.60765243902439</v>
      </c>
      <c r="M312" s="528">
        <f>IF(D312=0,0,C312/D312*1000)</f>
        <v>12.6844014510278</v>
      </c>
      <c r="N312" s="528">
        <f t="shared" si="115"/>
        <v>0</v>
      </c>
      <c r="O312" s="528">
        <f t="shared" si="116"/>
        <v>0</v>
      </c>
      <c r="P312" s="529">
        <f t="shared" si="117"/>
        <v>49.8275</v>
      </c>
      <c r="Q312" s="24">
        <f t="shared" si="118"/>
        <v>4</v>
      </c>
      <c r="R312" s="530">
        <f t="shared" si="119"/>
        <v>0.0121951219512195</v>
      </c>
    </row>
    <row r="313" hidden="1" spans="1:18">
      <c r="A313" s="524"/>
      <c r="B313" s="24" t="s">
        <v>92</v>
      </c>
      <c r="C313" s="538">
        <v>0</v>
      </c>
      <c r="D313" s="539">
        <v>0</v>
      </c>
      <c r="E313" s="539">
        <v>0</v>
      </c>
      <c r="F313" s="539">
        <v>0</v>
      </c>
      <c r="G313" s="539">
        <v>0</v>
      </c>
      <c r="H313" s="539">
        <v>0</v>
      </c>
      <c r="I313" s="539">
        <v>0</v>
      </c>
      <c r="J313" s="539">
        <v>0</v>
      </c>
      <c r="K313" s="527">
        <f>IF(E313=0,0,E313/D313)</f>
        <v>0</v>
      </c>
      <c r="L313" s="528">
        <f t="shared" si="114"/>
        <v>0</v>
      </c>
      <c r="M313" s="528">
        <f>IF(D313=0,0,C313/D313*1000)</f>
        <v>0</v>
      </c>
      <c r="N313" s="528">
        <f t="shared" si="115"/>
        <v>0</v>
      </c>
      <c r="O313" s="528">
        <f t="shared" si="116"/>
        <v>0</v>
      </c>
      <c r="P313" s="529">
        <f t="shared" si="117"/>
        <v>0</v>
      </c>
      <c r="Q313" s="24">
        <f t="shared" si="118"/>
        <v>0</v>
      </c>
      <c r="R313" s="530">
        <f t="shared" si="119"/>
        <v>0</v>
      </c>
    </row>
    <row r="314" hidden="1" spans="1:18">
      <c r="A314" s="524"/>
      <c r="B314" s="24" t="s">
        <v>97</v>
      </c>
      <c r="C314" s="540">
        <v>1792.49</v>
      </c>
      <c r="D314" s="540">
        <v>151953</v>
      </c>
      <c r="E314" s="540">
        <v>1604</v>
      </c>
      <c r="F314" s="540">
        <v>0</v>
      </c>
      <c r="G314" s="540">
        <v>0</v>
      </c>
      <c r="H314" s="540">
        <v>32</v>
      </c>
      <c r="I314" s="540">
        <v>195</v>
      </c>
      <c r="J314" s="540">
        <v>10</v>
      </c>
      <c r="K314" s="527">
        <f>IF(E314=0,0,E314/D314)</f>
        <v>0.0105558955729732</v>
      </c>
      <c r="L314" s="528">
        <f t="shared" si="114"/>
        <v>1.11751246882793</v>
      </c>
      <c r="M314" s="528">
        <f>IF(D314=0,0,C314/D314*1000)</f>
        <v>11.7963449224431</v>
      </c>
      <c r="N314" s="528">
        <f t="shared" si="115"/>
        <v>0</v>
      </c>
      <c r="O314" s="528">
        <f t="shared" si="116"/>
        <v>0</v>
      </c>
      <c r="P314" s="529">
        <f t="shared" si="117"/>
        <v>7.89643171806167</v>
      </c>
      <c r="Q314" s="24">
        <f t="shared" si="118"/>
        <v>227</v>
      </c>
      <c r="R314" s="530">
        <f t="shared" si="119"/>
        <v>0.141521197007481</v>
      </c>
    </row>
    <row r="315" hidden="1" spans="1:18">
      <c r="A315" s="524"/>
      <c r="B315" s="24" t="s">
        <v>95</v>
      </c>
      <c r="C315" s="538">
        <v>0</v>
      </c>
      <c r="D315" s="539">
        <v>0</v>
      </c>
      <c r="E315" s="539">
        <v>0</v>
      </c>
      <c r="F315" s="539">
        <v>0</v>
      </c>
      <c r="G315" s="539">
        <v>0</v>
      </c>
      <c r="H315" s="539">
        <v>0</v>
      </c>
      <c r="I315" s="539">
        <v>0</v>
      </c>
      <c r="J315" s="539">
        <v>0</v>
      </c>
      <c r="K315" s="527">
        <f>IF(E315=0,0,E315/D315)</f>
        <v>0</v>
      </c>
      <c r="L315" s="528">
        <f t="shared" ref="L315:L345" si="124">IF(C315=0,0,C315/E315)</f>
        <v>0</v>
      </c>
      <c r="M315" s="528">
        <f>IF(D315=0,0,C315/D315*1000)</f>
        <v>0</v>
      </c>
      <c r="N315" s="528">
        <f t="shared" ref="N315:N345" si="125">IF(G315=0,0,G315/C315)</f>
        <v>0</v>
      </c>
      <c r="O315" s="528">
        <f t="shared" ref="O315:O345" si="126">IF(F315=0,0,F315/E315)</f>
        <v>0</v>
      </c>
      <c r="P315" s="529">
        <f t="shared" ref="P315:P345" si="127">IF(H315+I315=0,0,C315/(H315+I315))</f>
        <v>0</v>
      </c>
      <c r="Q315" s="24">
        <f t="shared" ref="Q315:Q345" si="128">H315+I315</f>
        <v>0</v>
      </c>
      <c r="R315" s="530">
        <f t="shared" ref="R315:R345" si="129">IF(Q315=0,0,Q315/E315)</f>
        <v>0</v>
      </c>
    </row>
    <row r="316" hidden="1" spans="1:18">
      <c r="A316" s="524"/>
      <c r="B316" s="531" t="s">
        <v>96</v>
      </c>
      <c r="C316" s="532">
        <f t="shared" ref="C316:J316" si="130">SUM(C312:C315)</f>
        <v>1991.8</v>
      </c>
      <c r="D316" s="533">
        <f t="shared" si="130"/>
        <v>167666</v>
      </c>
      <c r="E316" s="533">
        <f t="shared" si="130"/>
        <v>1932</v>
      </c>
      <c r="F316" s="533">
        <f t="shared" si="130"/>
        <v>0</v>
      </c>
      <c r="G316" s="533">
        <f t="shared" si="130"/>
        <v>0</v>
      </c>
      <c r="H316" s="533">
        <f t="shared" si="130"/>
        <v>35</v>
      </c>
      <c r="I316" s="533">
        <f t="shared" si="130"/>
        <v>196</v>
      </c>
      <c r="J316" s="533">
        <f t="shared" si="130"/>
        <v>12</v>
      </c>
      <c r="K316" s="534">
        <f>E316/D316</f>
        <v>0.0115229086397958</v>
      </c>
      <c r="L316" s="535">
        <f t="shared" si="124"/>
        <v>1.03095238095238</v>
      </c>
      <c r="M316" s="535">
        <f>C316/D316*1000</f>
        <v>11.8795700976942</v>
      </c>
      <c r="N316" s="535">
        <f t="shared" si="125"/>
        <v>0</v>
      </c>
      <c r="O316" s="535">
        <f t="shared" si="126"/>
        <v>0</v>
      </c>
      <c r="P316" s="536">
        <f t="shared" si="127"/>
        <v>8.62251082251082</v>
      </c>
      <c r="Q316" s="531">
        <f t="shared" si="128"/>
        <v>231</v>
      </c>
      <c r="R316" s="537">
        <f t="shared" si="129"/>
        <v>0.119565217391304</v>
      </c>
    </row>
    <row r="317" hidden="1" spans="1:18">
      <c r="A317" s="524">
        <v>45501</v>
      </c>
      <c r="B317" s="24" t="s">
        <v>91</v>
      </c>
      <c r="C317" s="540">
        <v>199.41</v>
      </c>
      <c r="D317" s="540">
        <v>14082</v>
      </c>
      <c r="E317" s="540">
        <v>259</v>
      </c>
      <c r="F317" s="540">
        <v>0</v>
      </c>
      <c r="G317" s="540">
        <v>0</v>
      </c>
      <c r="H317" s="540">
        <v>0</v>
      </c>
      <c r="I317" s="540">
        <v>2</v>
      </c>
      <c r="J317" s="540">
        <v>4</v>
      </c>
      <c r="K317" s="527">
        <f>IF(E317=0,0,E317/D317)</f>
        <v>0.0183922738247408</v>
      </c>
      <c r="L317" s="528">
        <f t="shared" si="124"/>
        <v>0.76992277992278</v>
      </c>
      <c r="M317" s="528">
        <f>IF(D317=0,0,C317/D317*1000)</f>
        <v>14.1606305922454</v>
      </c>
      <c r="N317" s="528">
        <f t="shared" si="125"/>
        <v>0</v>
      </c>
      <c r="O317" s="528">
        <f t="shared" si="126"/>
        <v>0</v>
      </c>
      <c r="P317" s="529">
        <f t="shared" si="127"/>
        <v>99.705</v>
      </c>
      <c r="Q317" s="24">
        <f t="shared" si="128"/>
        <v>2</v>
      </c>
      <c r="R317" s="530">
        <f t="shared" si="129"/>
        <v>0.00772200772200772</v>
      </c>
    </row>
    <row r="318" hidden="1" spans="1:18">
      <c r="A318" s="524"/>
      <c r="B318" s="24" t="s">
        <v>92</v>
      </c>
      <c r="C318" s="538">
        <v>0</v>
      </c>
      <c r="D318" s="539">
        <v>0</v>
      </c>
      <c r="E318" s="539">
        <v>0</v>
      </c>
      <c r="F318" s="539">
        <v>0</v>
      </c>
      <c r="G318" s="539">
        <v>0</v>
      </c>
      <c r="H318" s="539">
        <v>0</v>
      </c>
      <c r="I318" s="539">
        <v>0</v>
      </c>
      <c r="J318" s="539">
        <v>0</v>
      </c>
      <c r="K318" s="527">
        <f>IF(E318=0,0,E318/D318)</f>
        <v>0</v>
      </c>
      <c r="L318" s="528">
        <f t="shared" si="124"/>
        <v>0</v>
      </c>
      <c r="M318" s="528">
        <f>IF(D318=0,0,C318/D318*1000)</f>
        <v>0</v>
      </c>
      <c r="N318" s="528">
        <f t="shared" si="125"/>
        <v>0</v>
      </c>
      <c r="O318" s="528">
        <f t="shared" si="126"/>
        <v>0</v>
      </c>
      <c r="P318" s="529">
        <f t="shared" si="127"/>
        <v>0</v>
      </c>
      <c r="Q318" s="24">
        <f t="shared" si="128"/>
        <v>0</v>
      </c>
      <c r="R318" s="530">
        <f t="shared" si="129"/>
        <v>0</v>
      </c>
    </row>
    <row r="319" hidden="1" spans="1:18">
      <c r="A319" s="524"/>
      <c r="B319" s="24" t="s">
        <v>97</v>
      </c>
      <c r="C319" s="540">
        <v>1751.72</v>
      </c>
      <c r="D319" s="540">
        <v>172385</v>
      </c>
      <c r="E319" s="540">
        <v>1705</v>
      </c>
      <c r="F319" s="540">
        <v>0</v>
      </c>
      <c r="G319" s="540">
        <v>0</v>
      </c>
      <c r="H319" s="540">
        <v>46</v>
      </c>
      <c r="I319" s="540">
        <v>222</v>
      </c>
      <c r="J319" s="540">
        <v>13</v>
      </c>
      <c r="K319" s="527">
        <f>IF(E319=0,0,E319/D319)</f>
        <v>0.00989065173884039</v>
      </c>
      <c r="L319" s="528">
        <f t="shared" si="124"/>
        <v>1.02740175953079</v>
      </c>
      <c r="M319" s="528">
        <f>IF(D319=0,0,C319/D319*1000)</f>
        <v>10.1616729993909</v>
      </c>
      <c r="N319" s="528">
        <f t="shared" si="125"/>
        <v>0</v>
      </c>
      <c r="O319" s="528">
        <f t="shared" si="126"/>
        <v>0</v>
      </c>
      <c r="P319" s="529">
        <f t="shared" si="127"/>
        <v>6.53626865671642</v>
      </c>
      <c r="Q319" s="24">
        <f t="shared" si="128"/>
        <v>268</v>
      </c>
      <c r="R319" s="530">
        <f t="shared" si="129"/>
        <v>0.157184750733138</v>
      </c>
    </row>
    <row r="320" hidden="1" spans="1:18">
      <c r="A320" s="524"/>
      <c r="B320" s="24" t="s">
        <v>94</v>
      </c>
      <c r="C320" s="538">
        <v>0</v>
      </c>
      <c r="D320" s="539">
        <v>0</v>
      </c>
      <c r="E320" s="539">
        <v>0</v>
      </c>
      <c r="F320" s="539">
        <v>0</v>
      </c>
      <c r="G320" s="539">
        <v>0</v>
      </c>
      <c r="H320" s="539">
        <v>0</v>
      </c>
      <c r="I320" s="539">
        <v>0</v>
      </c>
      <c r="J320" s="539">
        <v>0</v>
      </c>
      <c r="K320" s="527">
        <f>IF(E320=0,0,E320/D320)</f>
        <v>0</v>
      </c>
      <c r="L320" s="528">
        <f t="shared" si="124"/>
        <v>0</v>
      </c>
      <c r="M320" s="528">
        <f>IF(D320=0,0,C320/D320*1000)</f>
        <v>0</v>
      </c>
      <c r="N320" s="528">
        <f t="shared" si="125"/>
        <v>0</v>
      </c>
      <c r="O320" s="528">
        <f t="shared" si="126"/>
        <v>0</v>
      </c>
      <c r="P320" s="529">
        <f t="shared" si="127"/>
        <v>0</v>
      </c>
      <c r="Q320" s="24">
        <f t="shared" si="128"/>
        <v>0</v>
      </c>
      <c r="R320" s="530">
        <f t="shared" si="129"/>
        <v>0</v>
      </c>
    </row>
    <row r="321" hidden="1" spans="1:18">
      <c r="A321" s="524"/>
      <c r="B321" s="24" t="s">
        <v>95</v>
      </c>
      <c r="C321" s="538">
        <v>0</v>
      </c>
      <c r="D321" s="539">
        <v>0</v>
      </c>
      <c r="E321" s="539">
        <v>0</v>
      </c>
      <c r="F321" s="539">
        <v>0</v>
      </c>
      <c r="G321" s="539">
        <v>0</v>
      </c>
      <c r="H321" s="539">
        <v>0</v>
      </c>
      <c r="I321" s="539">
        <v>0</v>
      </c>
      <c r="J321" s="539">
        <v>0</v>
      </c>
      <c r="K321" s="527">
        <f>IF(E321=0,0,E321/D321)</f>
        <v>0</v>
      </c>
      <c r="L321" s="528">
        <f t="shared" si="124"/>
        <v>0</v>
      </c>
      <c r="M321" s="528">
        <f>IF(D321=0,0,C321/D321*1000)</f>
        <v>0</v>
      </c>
      <c r="N321" s="528">
        <f t="shared" si="125"/>
        <v>0</v>
      </c>
      <c r="O321" s="528">
        <f t="shared" si="126"/>
        <v>0</v>
      </c>
      <c r="P321" s="529">
        <f t="shared" si="127"/>
        <v>0</v>
      </c>
      <c r="Q321" s="24">
        <f t="shared" si="128"/>
        <v>0</v>
      </c>
      <c r="R321" s="530">
        <f t="shared" si="129"/>
        <v>0</v>
      </c>
    </row>
    <row r="322" hidden="1" spans="1:18">
      <c r="A322" s="524"/>
      <c r="B322" s="531" t="s">
        <v>96</v>
      </c>
      <c r="C322" s="532">
        <f t="shared" ref="C322:J322" si="131">SUM(C317:C321)</f>
        <v>1951.13</v>
      </c>
      <c r="D322" s="533">
        <f t="shared" si="131"/>
        <v>186467</v>
      </c>
      <c r="E322" s="533">
        <f t="shared" si="131"/>
        <v>1964</v>
      </c>
      <c r="F322" s="533">
        <f t="shared" si="131"/>
        <v>0</v>
      </c>
      <c r="G322" s="533">
        <f t="shared" si="131"/>
        <v>0</v>
      </c>
      <c r="H322" s="533">
        <f t="shared" si="131"/>
        <v>46</v>
      </c>
      <c r="I322" s="533">
        <f t="shared" si="131"/>
        <v>224</v>
      </c>
      <c r="J322" s="533">
        <f t="shared" si="131"/>
        <v>17</v>
      </c>
      <c r="K322" s="534">
        <f>E322/D322</f>
        <v>0.0105326947931806</v>
      </c>
      <c r="L322" s="535">
        <f t="shared" si="124"/>
        <v>0.993447046843177</v>
      </c>
      <c r="M322" s="535">
        <f>C322/D322*1000</f>
        <v>10.4636745375857</v>
      </c>
      <c r="N322" s="535">
        <f t="shared" si="125"/>
        <v>0</v>
      </c>
      <c r="O322" s="535">
        <f t="shared" si="126"/>
        <v>0</v>
      </c>
      <c r="P322" s="536">
        <f t="shared" si="127"/>
        <v>7.22640740740741</v>
      </c>
      <c r="Q322" s="531">
        <f t="shared" si="128"/>
        <v>270</v>
      </c>
      <c r="R322" s="537">
        <f t="shared" si="129"/>
        <v>0.137474541751527</v>
      </c>
    </row>
    <row r="323" hidden="1" spans="1:18">
      <c r="A323" s="524">
        <v>45502</v>
      </c>
      <c r="B323" s="24" t="s">
        <v>91</v>
      </c>
      <c r="C323" s="538">
        <v>199.63</v>
      </c>
      <c r="D323" s="539">
        <v>22723</v>
      </c>
      <c r="E323" s="539">
        <v>372</v>
      </c>
      <c r="F323" s="539">
        <v>0</v>
      </c>
      <c r="G323" s="539">
        <v>0</v>
      </c>
      <c r="H323" s="539">
        <v>0</v>
      </c>
      <c r="I323" s="539">
        <v>3</v>
      </c>
      <c r="J323" s="539">
        <v>6</v>
      </c>
      <c r="K323" s="527">
        <f>IF(E323=0,0,E323/D323)</f>
        <v>0.0163710777626194</v>
      </c>
      <c r="L323" s="528">
        <f t="shared" si="124"/>
        <v>0.536639784946237</v>
      </c>
      <c r="M323" s="528">
        <f>IF(D323=0,0,C323/D323*1000)</f>
        <v>8.78537164987018</v>
      </c>
      <c r="N323" s="528">
        <f t="shared" si="125"/>
        <v>0</v>
      </c>
      <c r="O323" s="528">
        <f t="shared" si="126"/>
        <v>0</v>
      </c>
      <c r="P323" s="529">
        <f t="shared" si="127"/>
        <v>66.5433333333333</v>
      </c>
      <c r="Q323" s="24">
        <f t="shared" si="128"/>
        <v>3</v>
      </c>
      <c r="R323" s="530">
        <f t="shared" si="129"/>
        <v>0.00806451612903226</v>
      </c>
    </row>
    <row r="324" hidden="1" spans="1:18">
      <c r="A324" s="524"/>
      <c r="B324" s="24" t="s">
        <v>92</v>
      </c>
      <c r="C324" s="538">
        <v>0</v>
      </c>
      <c r="D324" s="539">
        <v>0</v>
      </c>
      <c r="E324" s="539">
        <v>0</v>
      </c>
      <c r="F324" s="539">
        <v>0</v>
      </c>
      <c r="G324" s="539">
        <v>0</v>
      </c>
      <c r="H324" s="539">
        <v>0</v>
      </c>
      <c r="I324" s="539">
        <v>0</v>
      </c>
      <c r="J324" s="539">
        <v>0</v>
      </c>
      <c r="K324" s="527">
        <f>IF(E324=0,0,E324/D324)</f>
        <v>0</v>
      </c>
      <c r="L324" s="528">
        <f t="shared" si="124"/>
        <v>0</v>
      </c>
      <c r="M324" s="528">
        <f>IF(D324=0,0,C324/D324*1000)</f>
        <v>0</v>
      </c>
      <c r="N324" s="528">
        <f t="shared" si="125"/>
        <v>0</v>
      </c>
      <c r="O324" s="528">
        <f t="shared" si="126"/>
        <v>0</v>
      </c>
      <c r="P324" s="529">
        <f t="shared" si="127"/>
        <v>0</v>
      </c>
      <c r="Q324" s="24">
        <f t="shared" si="128"/>
        <v>0</v>
      </c>
      <c r="R324" s="530">
        <f t="shared" si="129"/>
        <v>0</v>
      </c>
    </row>
    <row r="325" hidden="1" spans="1:18">
      <c r="A325" s="524"/>
      <c r="B325" s="24" t="s">
        <v>97</v>
      </c>
      <c r="C325" s="538">
        <v>1750.66</v>
      </c>
      <c r="D325" s="539">
        <v>175797</v>
      </c>
      <c r="E325" s="539">
        <v>1537</v>
      </c>
      <c r="F325" s="539">
        <v>0</v>
      </c>
      <c r="G325" s="539">
        <v>0</v>
      </c>
      <c r="H325" s="539">
        <v>22</v>
      </c>
      <c r="I325" s="539">
        <v>193</v>
      </c>
      <c r="J325" s="539">
        <v>10</v>
      </c>
      <c r="K325" s="527">
        <f>IF(E325=0,0,E325/D325)</f>
        <v>0.00874303884594163</v>
      </c>
      <c r="L325" s="528">
        <f t="shared" si="124"/>
        <v>1.13901106050748</v>
      </c>
      <c r="M325" s="528">
        <f>IF(D325=0,0,C325/D325*1000)</f>
        <v>9.95841794797408</v>
      </c>
      <c r="N325" s="528">
        <f t="shared" si="125"/>
        <v>0</v>
      </c>
      <c r="O325" s="528">
        <f t="shared" si="126"/>
        <v>0</v>
      </c>
      <c r="P325" s="529">
        <f t="shared" si="127"/>
        <v>8.14260465116279</v>
      </c>
      <c r="Q325" s="24">
        <f t="shared" si="128"/>
        <v>215</v>
      </c>
      <c r="R325" s="530">
        <f t="shared" si="129"/>
        <v>0.139882888744307</v>
      </c>
    </row>
    <row r="326" hidden="1" spans="1:18">
      <c r="A326" s="524"/>
      <c r="B326" s="24" t="s">
        <v>95</v>
      </c>
      <c r="C326" s="538">
        <v>0</v>
      </c>
      <c r="D326" s="539">
        <v>0</v>
      </c>
      <c r="E326" s="539">
        <v>0</v>
      </c>
      <c r="F326" s="539">
        <v>0</v>
      </c>
      <c r="G326" s="539">
        <v>0</v>
      </c>
      <c r="H326" s="539">
        <v>0</v>
      </c>
      <c r="I326" s="539">
        <v>0</v>
      </c>
      <c r="J326" s="539">
        <v>0</v>
      </c>
      <c r="K326" s="527">
        <f>IF(E326=0,0,E326/D326)</f>
        <v>0</v>
      </c>
      <c r="L326" s="528">
        <f t="shared" si="124"/>
        <v>0</v>
      </c>
      <c r="M326" s="528">
        <f>IF(D326=0,0,C326/D326*1000)</f>
        <v>0</v>
      </c>
      <c r="N326" s="528">
        <f t="shared" si="125"/>
        <v>0</v>
      </c>
      <c r="O326" s="528">
        <f t="shared" si="126"/>
        <v>0</v>
      </c>
      <c r="P326" s="529">
        <f t="shared" si="127"/>
        <v>0</v>
      </c>
      <c r="Q326" s="24">
        <f t="shared" si="128"/>
        <v>0</v>
      </c>
      <c r="R326" s="530">
        <f t="shared" si="129"/>
        <v>0</v>
      </c>
    </row>
    <row r="327" hidden="1" spans="1:18">
      <c r="A327" s="524"/>
      <c r="B327" s="531" t="s">
        <v>96</v>
      </c>
      <c r="C327" s="532">
        <f t="shared" ref="C327:J327" si="132">SUM(C323:C326)</f>
        <v>1950.29</v>
      </c>
      <c r="D327" s="533">
        <f t="shared" si="132"/>
        <v>198520</v>
      </c>
      <c r="E327" s="533">
        <f t="shared" si="132"/>
        <v>1909</v>
      </c>
      <c r="F327" s="533">
        <f t="shared" si="132"/>
        <v>0</v>
      </c>
      <c r="G327" s="533">
        <f t="shared" si="132"/>
        <v>0</v>
      </c>
      <c r="H327" s="533">
        <f t="shared" si="132"/>
        <v>22</v>
      </c>
      <c r="I327" s="533">
        <f t="shared" si="132"/>
        <v>196</v>
      </c>
      <c r="J327" s="533">
        <f t="shared" si="132"/>
        <v>16</v>
      </c>
      <c r="K327" s="534">
        <f>E327/D327</f>
        <v>0.00961615958089865</v>
      </c>
      <c r="L327" s="535">
        <f t="shared" si="124"/>
        <v>1.02162912519644</v>
      </c>
      <c r="M327" s="535">
        <f>C327/D327*1000</f>
        <v>9.82414870038283</v>
      </c>
      <c r="N327" s="535">
        <f t="shared" si="125"/>
        <v>0</v>
      </c>
      <c r="O327" s="535">
        <f t="shared" si="126"/>
        <v>0</v>
      </c>
      <c r="P327" s="536">
        <f t="shared" si="127"/>
        <v>8.94628440366972</v>
      </c>
      <c r="Q327" s="531">
        <f t="shared" si="128"/>
        <v>218</v>
      </c>
      <c r="R327" s="537">
        <f t="shared" si="129"/>
        <v>0.114195914091147</v>
      </c>
    </row>
    <row r="328" hidden="1" spans="1:18">
      <c r="A328" s="524">
        <v>45503</v>
      </c>
      <c r="B328" s="24" t="s">
        <v>91</v>
      </c>
      <c r="C328" s="538">
        <v>118.15</v>
      </c>
      <c r="D328" s="539">
        <v>13759</v>
      </c>
      <c r="E328" s="539">
        <v>204</v>
      </c>
      <c r="F328" s="539">
        <v>0</v>
      </c>
      <c r="G328" s="539">
        <v>0</v>
      </c>
      <c r="H328" s="539">
        <v>0</v>
      </c>
      <c r="I328" s="539">
        <v>1</v>
      </c>
      <c r="J328" s="539">
        <v>2</v>
      </c>
      <c r="K328" s="527">
        <f>IF(E328=0,0,E328/D328)</f>
        <v>0.0148266589141653</v>
      </c>
      <c r="L328" s="528">
        <f t="shared" si="124"/>
        <v>0.579166666666667</v>
      </c>
      <c r="M328" s="528">
        <f>IF(D328=0,0,C328/D328*1000)</f>
        <v>8.58710662112072</v>
      </c>
      <c r="N328" s="528">
        <f t="shared" si="125"/>
        <v>0</v>
      </c>
      <c r="O328" s="528">
        <f t="shared" si="126"/>
        <v>0</v>
      </c>
      <c r="P328" s="529">
        <f t="shared" si="127"/>
        <v>118.15</v>
      </c>
      <c r="Q328" s="24">
        <f t="shared" si="128"/>
        <v>1</v>
      </c>
      <c r="R328" s="530">
        <f t="shared" si="129"/>
        <v>0.00490196078431373</v>
      </c>
    </row>
    <row r="329" hidden="1" spans="1:18">
      <c r="A329" s="524"/>
      <c r="B329" s="24" t="s">
        <v>92</v>
      </c>
      <c r="C329" s="538">
        <v>0</v>
      </c>
      <c r="D329" s="539">
        <v>0</v>
      </c>
      <c r="E329" s="539">
        <v>0</v>
      </c>
      <c r="F329" s="539">
        <v>0</v>
      </c>
      <c r="G329" s="539">
        <v>0</v>
      </c>
      <c r="H329" s="539">
        <v>0</v>
      </c>
      <c r="I329" s="539">
        <v>0</v>
      </c>
      <c r="J329" s="539">
        <v>0</v>
      </c>
      <c r="K329" s="527">
        <f>IF(E329=0,0,E329/D329)</f>
        <v>0</v>
      </c>
      <c r="L329" s="528">
        <f t="shared" si="124"/>
        <v>0</v>
      </c>
      <c r="M329" s="528">
        <f>IF(D329=0,0,C329/D329*1000)</f>
        <v>0</v>
      </c>
      <c r="N329" s="528">
        <f t="shared" si="125"/>
        <v>0</v>
      </c>
      <c r="O329" s="528">
        <f t="shared" si="126"/>
        <v>0</v>
      </c>
      <c r="P329" s="529">
        <f t="shared" si="127"/>
        <v>0</v>
      </c>
      <c r="Q329" s="24">
        <f t="shared" si="128"/>
        <v>0</v>
      </c>
      <c r="R329" s="530">
        <f t="shared" si="129"/>
        <v>0</v>
      </c>
    </row>
    <row r="330" hidden="1" spans="1:18">
      <c r="A330" s="524"/>
      <c r="B330" s="24" t="s">
        <v>97</v>
      </c>
      <c r="C330" s="538">
        <v>1340.79</v>
      </c>
      <c r="D330" s="539">
        <v>109814</v>
      </c>
      <c r="E330" s="539">
        <v>1306</v>
      </c>
      <c r="F330" s="539">
        <v>2</v>
      </c>
      <c r="G330" s="539">
        <v>11284</v>
      </c>
      <c r="H330" s="539">
        <v>24</v>
      </c>
      <c r="I330" s="539">
        <v>160</v>
      </c>
      <c r="J330" s="539">
        <v>7</v>
      </c>
      <c r="K330" s="527">
        <f>IF(E330=0,0,E330/D330)</f>
        <v>0.0118928369788916</v>
      </c>
      <c r="L330" s="528">
        <f t="shared" si="124"/>
        <v>1.02663859111792</v>
      </c>
      <c r="M330" s="528">
        <f>IF(D330=0,0,C330/D330*1000)</f>
        <v>12.2096454004043</v>
      </c>
      <c r="N330" s="528">
        <f t="shared" si="125"/>
        <v>8.41593388972173</v>
      </c>
      <c r="O330" s="528">
        <f t="shared" si="126"/>
        <v>0.00153139356814701</v>
      </c>
      <c r="P330" s="529">
        <f t="shared" si="127"/>
        <v>7.28690217391304</v>
      </c>
      <c r="Q330" s="24">
        <f t="shared" si="128"/>
        <v>184</v>
      </c>
      <c r="R330" s="530">
        <f t="shared" si="129"/>
        <v>0.140888208269525</v>
      </c>
    </row>
    <row r="331" hidden="1" spans="1:18">
      <c r="A331" s="524"/>
      <c r="B331" s="24" t="s">
        <v>95</v>
      </c>
      <c r="C331" s="538">
        <v>0</v>
      </c>
      <c r="D331" s="539">
        <v>0</v>
      </c>
      <c r="E331" s="539">
        <v>0</v>
      </c>
      <c r="F331" s="539">
        <v>0</v>
      </c>
      <c r="G331" s="539">
        <v>0</v>
      </c>
      <c r="H331" s="539">
        <v>0</v>
      </c>
      <c r="I331" s="539">
        <v>0</v>
      </c>
      <c r="J331" s="539">
        <v>0</v>
      </c>
      <c r="K331" s="527">
        <f>IF(E331=0,0,E331/D331)</f>
        <v>0</v>
      </c>
      <c r="L331" s="528">
        <f t="shared" si="124"/>
        <v>0</v>
      </c>
      <c r="M331" s="528">
        <f>IF(D331=0,0,C331/D331*1000)</f>
        <v>0</v>
      </c>
      <c r="N331" s="528">
        <f t="shared" si="125"/>
        <v>0</v>
      </c>
      <c r="O331" s="528">
        <f t="shared" si="126"/>
        <v>0</v>
      </c>
      <c r="P331" s="529">
        <f t="shared" si="127"/>
        <v>0</v>
      </c>
      <c r="Q331" s="24">
        <f t="shared" si="128"/>
        <v>0</v>
      </c>
      <c r="R331" s="530">
        <f t="shared" si="129"/>
        <v>0</v>
      </c>
    </row>
    <row r="332" hidden="1" spans="1:18">
      <c r="A332" s="524"/>
      <c r="B332" s="531" t="s">
        <v>96</v>
      </c>
      <c r="C332" s="532">
        <f t="shared" ref="C332:J332" si="133">SUM(C328:C331)</f>
        <v>1458.94</v>
      </c>
      <c r="D332" s="533">
        <f t="shared" si="133"/>
        <v>123573</v>
      </c>
      <c r="E332" s="533">
        <f t="shared" si="133"/>
        <v>1510</v>
      </c>
      <c r="F332" s="533">
        <f t="shared" si="133"/>
        <v>2</v>
      </c>
      <c r="G332" s="533">
        <f t="shared" si="133"/>
        <v>11284</v>
      </c>
      <c r="H332" s="533">
        <f t="shared" si="133"/>
        <v>24</v>
      </c>
      <c r="I332" s="533">
        <f t="shared" si="133"/>
        <v>161</v>
      </c>
      <c r="J332" s="533">
        <f t="shared" si="133"/>
        <v>9</v>
      </c>
      <c r="K332" s="534">
        <f>E332/D332</f>
        <v>0.0122194977867333</v>
      </c>
      <c r="L332" s="535">
        <f t="shared" si="124"/>
        <v>0.966185430463576</v>
      </c>
      <c r="M332" s="535">
        <f>C332/D332*1000</f>
        <v>11.8063007291237</v>
      </c>
      <c r="N332" s="535">
        <f t="shared" si="125"/>
        <v>7.7343824968813</v>
      </c>
      <c r="O332" s="535">
        <f t="shared" si="126"/>
        <v>0.00132450331125828</v>
      </c>
      <c r="P332" s="536">
        <f t="shared" si="127"/>
        <v>7.88616216216216</v>
      </c>
      <c r="Q332" s="531">
        <f t="shared" si="128"/>
        <v>185</v>
      </c>
      <c r="R332" s="537">
        <f t="shared" si="129"/>
        <v>0.122516556291391</v>
      </c>
    </row>
    <row r="333" hidden="1" spans="1:18">
      <c r="A333" s="524">
        <v>45504</v>
      </c>
      <c r="B333" s="24" t="s">
        <v>91</v>
      </c>
      <c r="C333" s="538">
        <v>99.18</v>
      </c>
      <c r="D333" s="539">
        <v>5883</v>
      </c>
      <c r="E333" s="539">
        <v>98</v>
      </c>
      <c r="F333" s="539">
        <v>0</v>
      </c>
      <c r="G333" s="539">
        <v>0</v>
      </c>
      <c r="H333" s="539">
        <v>0</v>
      </c>
      <c r="I333" s="539">
        <v>0</v>
      </c>
      <c r="J333" s="539">
        <v>3</v>
      </c>
      <c r="K333" s="527">
        <f>IF(E333=0,0,E333/D333)</f>
        <v>0.0166581676015638</v>
      </c>
      <c r="L333" s="528">
        <f t="shared" si="124"/>
        <v>1.01204081632653</v>
      </c>
      <c r="M333" s="528">
        <f>IF(D333=0,0,C333/D333*1000)</f>
        <v>16.8587455379908</v>
      </c>
      <c r="N333" s="528">
        <f t="shared" si="125"/>
        <v>0</v>
      </c>
      <c r="O333" s="528">
        <f t="shared" si="126"/>
        <v>0</v>
      </c>
      <c r="P333" s="529">
        <f t="shared" si="127"/>
        <v>0</v>
      </c>
      <c r="Q333" s="24">
        <f t="shared" si="128"/>
        <v>0</v>
      </c>
      <c r="R333" s="530">
        <f t="shared" si="129"/>
        <v>0</v>
      </c>
    </row>
    <row r="334" hidden="1" spans="1:18">
      <c r="A334" s="524"/>
      <c r="B334" s="24" t="s">
        <v>92</v>
      </c>
      <c r="C334" s="538">
        <v>0</v>
      </c>
      <c r="D334" s="539">
        <v>0</v>
      </c>
      <c r="E334" s="539">
        <v>0</v>
      </c>
      <c r="F334" s="539">
        <v>0</v>
      </c>
      <c r="G334" s="539">
        <v>0</v>
      </c>
      <c r="H334" s="539">
        <v>0</v>
      </c>
      <c r="I334" s="539">
        <v>0</v>
      </c>
      <c r="J334" s="539">
        <v>0</v>
      </c>
      <c r="K334" s="527">
        <f>IF(E334=0,0,E334/D334)</f>
        <v>0</v>
      </c>
      <c r="L334" s="528">
        <f t="shared" si="124"/>
        <v>0</v>
      </c>
      <c r="M334" s="528">
        <f>IF(D334=0,0,C334/D334*1000)</f>
        <v>0</v>
      </c>
      <c r="N334" s="528">
        <f t="shared" si="125"/>
        <v>0</v>
      </c>
      <c r="O334" s="528">
        <f t="shared" si="126"/>
        <v>0</v>
      </c>
      <c r="P334" s="529">
        <f t="shared" si="127"/>
        <v>0</v>
      </c>
      <c r="Q334" s="24">
        <f t="shared" si="128"/>
        <v>0</v>
      </c>
      <c r="R334" s="530">
        <f t="shared" si="129"/>
        <v>0</v>
      </c>
    </row>
    <row r="335" hidden="1" spans="1:18">
      <c r="A335" s="524"/>
      <c r="B335" s="24" t="s">
        <v>97</v>
      </c>
      <c r="C335" s="538">
        <v>1331.07</v>
      </c>
      <c r="D335" s="539">
        <v>82720</v>
      </c>
      <c r="E335" s="539">
        <v>1197</v>
      </c>
      <c r="F335" s="539">
        <v>0</v>
      </c>
      <c r="G335" s="539">
        <v>0</v>
      </c>
      <c r="H335" s="539">
        <v>20</v>
      </c>
      <c r="I335" s="539">
        <v>158</v>
      </c>
      <c r="J335" s="539">
        <v>8</v>
      </c>
      <c r="K335" s="527">
        <f>IF(E335=0,0,E335/D335)</f>
        <v>0.014470502901354</v>
      </c>
      <c r="L335" s="528">
        <f t="shared" si="124"/>
        <v>1.11200501253133</v>
      </c>
      <c r="M335" s="528">
        <f>IF(D335=0,0,C335/D335*1000)</f>
        <v>16.0912717601547</v>
      </c>
      <c r="N335" s="528">
        <f t="shared" si="125"/>
        <v>0</v>
      </c>
      <c r="O335" s="528">
        <f t="shared" si="126"/>
        <v>0</v>
      </c>
      <c r="P335" s="529">
        <f t="shared" si="127"/>
        <v>7.47792134831461</v>
      </c>
      <c r="Q335" s="24">
        <f t="shared" si="128"/>
        <v>178</v>
      </c>
      <c r="R335" s="530">
        <f t="shared" si="129"/>
        <v>0.148705096073517</v>
      </c>
    </row>
    <row r="336" hidden="1" spans="1:18">
      <c r="A336" s="524"/>
      <c r="B336" s="24" t="s">
        <v>95</v>
      </c>
      <c r="C336" s="538">
        <v>0</v>
      </c>
      <c r="D336" s="539">
        <v>0</v>
      </c>
      <c r="E336" s="539">
        <v>0</v>
      </c>
      <c r="F336" s="539">
        <v>0</v>
      </c>
      <c r="G336" s="539">
        <v>0</v>
      </c>
      <c r="H336" s="539">
        <v>0</v>
      </c>
      <c r="I336" s="539">
        <v>0</v>
      </c>
      <c r="J336" s="539">
        <v>0</v>
      </c>
      <c r="K336" s="527">
        <f>IF(E336=0,0,E336/D336)</f>
        <v>0</v>
      </c>
      <c r="L336" s="528">
        <f t="shared" si="124"/>
        <v>0</v>
      </c>
      <c r="M336" s="528">
        <f>IF(D336=0,0,C336/D336*1000)</f>
        <v>0</v>
      </c>
      <c r="N336" s="528">
        <f t="shared" si="125"/>
        <v>0</v>
      </c>
      <c r="O336" s="528">
        <f t="shared" si="126"/>
        <v>0</v>
      </c>
      <c r="P336" s="529">
        <f t="shared" si="127"/>
        <v>0</v>
      </c>
      <c r="Q336" s="24">
        <f t="shared" si="128"/>
        <v>0</v>
      </c>
      <c r="R336" s="530">
        <f t="shared" si="129"/>
        <v>0</v>
      </c>
    </row>
    <row r="337" hidden="1" spans="1:18">
      <c r="A337" s="524"/>
      <c r="B337" s="531" t="s">
        <v>96</v>
      </c>
      <c r="C337" s="532">
        <f t="shared" ref="C337:J337" si="134">SUM(C333:C336)</f>
        <v>1430.25</v>
      </c>
      <c r="D337" s="533">
        <f t="shared" si="134"/>
        <v>88603</v>
      </c>
      <c r="E337" s="533">
        <f t="shared" si="134"/>
        <v>1295</v>
      </c>
      <c r="F337" s="533">
        <f t="shared" si="134"/>
        <v>0</v>
      </c>
      <c r="G337" s="533">
        <f t="shared" si="134"/>
        <v>0</v>
      </c>
      <c r="H337" s="533">
        <f t="shared" si="134"/>
        <v>20</v>
      </c>
      <c r="I337" s="533">
        <f t="shared" si="134"/>
        <v>158</v>
      </c>
      <c r="J337" s="533">
        <f t="shared" si="134"/>
        <v>11</v>
      </c>
      <c r="K337" s="534">
        <f>E337/D337</f>
        <v>0.014615757931447</v>
      </c>
      <c r="L337" s="535">
        <f t="shared" si="124"/>
        <v>1.10444015444015</v>
      </c>
      <c r="M337" s="535">
        <f>C337/D337*1000</f>
        <v>16.1422299470673</v>
      </c>
      <c r="N337" s="535">
        <f t="shared" si="125"/>
        <v>0</v>
      </c>
      <c r="O337" s="535">
        <f t="shared" si="126"/>
        <v>0</v>
      </c>
      <c r="P337" s="536">
        <f t="shared" si="127"/>
        <v>8.03511235955056</v>
      </c>
      <c r="Q337" s="531">
        <f t="shared" si="128"/>
        <v>178</v>
      </c>
      <c r="R337" s="537">
        <f t="shared" si="129"/>
        <v>0.137451737451737</v>
      </c>
    </row>
    <row r="338" hidden="1" spans="1:18">
      <c r="A338" s="524">
        <v>45505</v>
      </c>
      <c r="B338" s="24" t="s">
        <v>91</v>
      </c>
      <c r="C338" s="540">
        <v>99.77</v>
      </c>
      <c r="D338" s="540">
        <v>5859</v>
      </c>
      <c r="E338" s="540">
        <v>119</v>
      </c>
      <c r="F338" s="540">
        <v>2</v>
      </c>
      <c r="G338" s="540">
        <v>9942</v>
      </c>
      <c r="H338" s="540">
        <v>0</v>
      </c>
      <c r="I338" s="540">
        <v>1</v>
      </c>
      <c r="J338" s="540">
        <v>2</v>
      </c>
      <c r="K338" s="527">
        <f>IF(E338=0,0,E338/D338)</f>
        <v>0.020310633213859</v>
      </c>
      <c r="L338" s="528">
        <f t="shared" si="124"/>
        <v>0.838403361344538</v>
      </c>
      <c r="M338" s="528">
        <f>IF(D338=0,0,C338/D338*1000)</f>
        <v>17.0285031575354</v>
      </c>
      <c r="N338" s="528">
        <f t="shared" si="125"/>
        <v>99.6491931442317</v>
      </c>
      <c r="O338" s="528">
        <f t="shared" si="126"/>
        <v>0.0168067226890756</v>
      </c>
      <c r="P338" s="529">
        <f t="shared" si="127"/>
        <v>99.77</v>
      </c>
      <c r="Q338" s="24">
        <f t="shared" si="128"/>
        <v>1</v>
      </c>
      <c r="R338" s="530">
        <f t="shared" si="129"/>
        <v>0.00840336134453781</v>
      </c>
    </row>
    <row r="339" hidden="1" spans="1:18">
      <c r="A339" s="524"/>
      <c r="B339" s="24" t="s">
        <v>92</v>
      </c>
      <c r="C339" s="540">
        <v>0</v>
      </c>
      <c r="D339" s="540">
        <v>6</v>
      </c>
      <c r="E339" s="540">
        <v>0</v>
      </c>
      <c r="F339" s="540">
        <v>0</v>
      </c>
      <c r="G339" s="540">
        <v>0</v>
      </c>
      <c r="H339" s="540">
        <v>0</v>
      </c>
      <c r="I339" s="540">
        <v>0</v>
      </c>
      <c r="J339" s="540">
        <v>0</v>
      </c>
      <c r="K339" s="527">
        <f>IF(E339=0,0,E339/D339)</f>
        <v>0</v>
      </c>
      <c r="L339" s="528">
        <f t="shared" si="124"/>
        <v>0</v>
      </c>
      <c r="M339" s="528">
        <f>IF(D339=0,0,C339/D339*1000)</f>
        <v>0</v>
      </c>
      <c r="N339" s="528">
        <f t="shared" si="125"/>
        <v>0</v>
      </c>
      <c r="O339" s="528">
        <f t="shared" si="126"/>
        <v>0</v>
      </c>
      <c r="P339" s="529">
        <f t="shared" si="127"/>
        <v>0</v>
      </c>
      <c r="Q339" s="24">
        <f t="shared" si="128"/>
        <v>0</v>
      </c>
      <c r="R339" s="530">
        <f t="shared" si="129"/>
        <v>0</v>
      </c>
    </row>
    <row r="340" hidden="1" spans="1:18">
      <c r="A340" s="524"/>
      <c r="B340" s="24" t="s">
        <v>97</v>
      </c>
      <c r="C340" s="540">
        <v>1850.21</v>
      </c>
      <c r="D340" s="540">
        <v>97827</v>
      </c>
      <c r="E340" s="540">
        <v>1509</v>
      </c>
      <c r="F340" s="540">
        <v>0</v>
      </c>
      <c r="G340" s="540">
        <v>0</v>
      </c>
      <c r="H340" s="540">
        <v>22</v>
      </c>
      <c r="I340" s="540">
        <v>248</v>
      </c>
      <c r="J340" s="540">
        <v>3</v>
      </c>
      <c r="K340" s="527">
        <f>IF(E340=0,0,E340/D340)</f>
        <v>0.0154251893648993</v>
      </c>
      <c r="L340" s="528">
        <f t="shared" si="124"/>
        <v>1.22611663353214</v>
      </c>
      <c r="M340" s="528">
        <f>IF(D340=0,0,C340/D340*1000)</f>
        <v>18.9130812556861</v>
      </c>
      <c r="N340" s="528">
        <f t="shared" si="125"/>
        <v>0</v>
      </c>
      <c r="O340" s="528">
        <f t="shared" si="126"/>
        <v>0</v>
      </c>
      <c r="P340" s="529">
        <f t="shared" si="127"/>
        <v>6.85262962962963</v>
      </c>
      <c r="Q340" s="24">
        <f t="shared" si="128"/>
        <v>270</v>
      </c>
      <c r="R340" s="530">
        <f t="shared" si="129"/>
        <v>0.178926441351889</v>
      </c>
    </row>
    <row r="341" hidden="1" spans="1:18">
      <c r="A341" s="524"/>
      <c r="B341" s="531" t="s">
        <v>96</v>
      </c>
      <c r="C341" s="533">
        <f t="shared" ref="C341:J341" si="135">SUM(C338:C340)</f>
        <v>1949.98</v>
      </c>
      <c r="D341" s="533">
        <f t="shared" si="135"/>
        <v>103692</v>
      </c>
      <c r="E341" s="533">
        <f t="shared" si="135"/>
        <v>1628</v>
      </c>
      <c r="F341" s="533">
        <f t="shared" si="135"/>
        <v>2</v>
      </c>
      <c r="G341" s="533">
        <f t="shared" si="135"/>
        <v>9942</v>
      </c>
      <c r="H341" s="533">
        <f t="shared" si="135"/>
        <v>22</v>
      </c>
      <c r="I341" s="533">
        <f t="shared" si="135"/>
        <v>249</v>
      </c>
      <c r="J341" s="533">
        <f t="shared" si="135"/>
        <v>5</v>
      </c>
      <c r="K341" s="534">
        <f>E341/D341</f>
        <v>0.0157003433244609</v>
      </c>
      <c r="L341" s="535">
        <f t="shared" si="124"/>
        <v>1.19777641277641</v>
      </c>
      <c r="M341" s="535">
        <f>C341/D341*1000</f>
        <v>18.8055009065309</v>
      </c>
      <c r="N341" s="535">
        <f t="shared" si="125"/>
        <v>5.09851383091109</v>
      </c>
      <c r="O341" s="535">
        <f t="shared" si="126"/>
        <v>0.00122850122850123</v>
      </c>
      <c r="P341" s="536">
        <f t="shared" si="127"/>
        <v>7.19549815498155</v>
      </c>
      <c r="Q341" s="531">
        <f t="shared" si="128"/>
        <v>271</v>
      </c>
      <c r="R341" s="537">
        <f t="shared" si="129"/>
        <v>0.166461916461916</v>
      </c>
    </row>
    <row r="342" hidden="1" spans="1:18">
      <c r="A342" s="524">
        <v>45506</v>
      </c>
      <c r="B342" s="24" t="s">
        <v>91</v>
      </c>
      <c r="C342" s="540">
        <v>99.94</v>
      </c>
      <c r="D342" s="540">
        <v>6211</v>
      </c>
      <c r="E342" s="540">
        <v>75</v>
      </c>
      <c r="F342" s="540">
        <v>0</v>
      </c>
      <c r="G342" s="540">
        <v>0</v>
      </c>
      <c r="H342" s="540">
        <v>1</v>
      </c>
      <c r="I342" s="540">
        <v>0</v>
      </c>
      <c r="J342" s="540">
        <v>2</v>
      </c>
      <c r="K342" s="527">
        <f>IF(E342=0,0,E342/D342)</f>
        <v>0.0120753501851554</v>
      </c>
      <c r="L342" s="528">
        <f t="shared" si="124"/>
        <v>1.33253333333333</v>
      </c>
      <c r="M342" s="528">
        <f>IF(D342=0,0,C342/D342*1000)</f>
        <v>16.0908066333924</v>
      </c>
      <c r="N342" s="528">
        <f t="shared" si="125"/>
        <v>0</v>
      </c>
      <c r="O342" s="528">
        <f t="shared" si="126"/>
        <v>0</v>
      </c>
      <c r="P342" s="529">
        <f t="shared" si="127"/>
        <v>99.94</v>
      </c>
      <c r="Q342" s="24">
        <f t="shared" si="128"/>
        <v>1</v>
      </c>
      <c r="R342" s="530">
        <f t="shared" si="129"/>
        <v>0.0133333333333333</v>
      </c>
    </row>
    <row r="343" hidden="1" spans="1:18">
      <c r="A343" s="524"/>
      <c r="B343" s="24" t="s">
        <v>92</v>
      </c>
      <c r="C343" s="540">
        <v>0</v>
      </c>
      <c r="D343" s="540">
        <v>1</v>
      </c>
      <c r="E343" s="540">
        <v>0</v>
      </c>
      <c r="F343" s="540">
        <v>0</v>
      </c>
      <c r="G343" s="540">
        <v>0</v>
      </c>
      <c r="H343" s="540">
        <v>0</v>
      </c>
      <c r="I343" s="540">
        <v>0</v>
      </c>
      <c r="J343" s="540">
        <v>0</v>
      </c>
      <c r="K343" s="527">
        <f>IF(E343=0,0,E343/D343)</f>
        <v>0</v>
      </c>
      <c r="L343" s="528">
        <f t="shared" si="124"/>
        <v>0</v>
      </c>
      <c r="M343" s="528">
        <f>IF(D343=0,0,C343/D343*1000)</f>
        <v>0</v>
      </c>
      <c r="N343" s="528">
        <f t="shared" si="125"/>
        <v>0</v>
      </c>
      <c r="O343" s="528">
        <f t="shared" si="126"/>
        <v>0</v>
      </c>
      <c r="P343" s="529">
        <f t="shared" si="127"/>
        <v>0</v>
      </c>
      <c r="Q343" s="24">
        <f t="shared" si="128"/>
        <v>0</v>
      </c>
      <c r="R343" s="530">
        <f t="shared" si="129"/>
        <v>0</v>
      </c>
    </row>
    <row r="344" hidden="1" spans="1:18">
      <c r="A344" s="524"/>
      <c r="B344" s="24" t="s">
        <v>97</v>
      </c>
      <c r="C344" s="540">
        <v>1899.71</v>
      </c>
      <c r="D344" s="540">
        <v>105154</v>
      </c>
      <c r="E344" s="540">
        <v>1621</v>
      </c>
      <c r="F344" s="540">
        <v>0</v>
      </c>
      <c r="G344" s="540">
        <v>0</v>
      </c>
      <c r="H344" s="540">
        <v>34</v>
      </c>
      <c r="I344" s="540">
        <v>232</v>
      </c>
      <c r="J344" s="540">
        <v>11</v>
      </c>
      <c r="K344" s="527">
        <f>IF(E344=0,0,E344/D344)</f>
        <v>0.0154154858588356</v>
      </c>
      <c r="L344" s="528">
        <f t="shared" si="124"/>
        <v>1.17193707587909</v>
      </c>
      <c r="M344" s="528">
        <f>IF(D344=0,0,C344/D344*1000)</f>
        <v>18.0659794206592</v>
      </c>
      <c r="N344" s="528">
        <f t="shared" si="125"/>
        <v>0</v>
      </c>
      <c r="O344" s="528">
        <f t="shared" si="126"/>
        <v>0</v>
      </c>
      <c r="P344" s="529">
        <f t="shared" si="127"/>
        <v>7.14176691729323</v>
      </c>
      <c r="Q344" s="24">
        <f t="shared" si="128"/>
        <v>266</v>
      </c>
      <c r="R344" s="530">
        <f t="shared" si="129"/>
        <v>0.164096236890808</v>
      </c>
    </row>
    <row r="345" hidden="1" spans="1:18">
      <c r="A345" s="524"/>
      <c r="B345" s="531" t="s">
        <v>96</v>
      </c>
      <c r="C345" s="533">
        <f t="shared" ref="C345:J345" si="136">SUM(C342:C344)</f>
        <v>1999.65</v>
      </c>
      <c r="D345" s="533">
        <f t="shared" si="136"/>
        <v>111366</v>
      </c>
      <c r="E345" s="533">
        <f t="shared" si="136"/>
        <v>1696</v>
      </c>
      <c r="F345" s="533">
        <f t="shared" si="136"/>
        <v>0</v>
      </c>
      <c r="G345" s="533">
        <f t="shared" si="136"/>
        <v>0</v>
      </c>
      <c r="H345" s="533">
        <f t="shared" si="136"/>
        <v>35</v>
      </c>
      <c r="I345" s="533">
        <f t="shared" si="136"/>
        <v>232</v>
      </c>
      <c r="J345" s="533">
        <f t="shared" si="136"/>
        <v>13</v>
      </c>
      <c r="K345" s="534">
        <f>E345/D345</f>
        <v>0.0152290645259774</v>
      </c>
      <c r="L345" s="535">
        <f t="shared" si="124"/>
        <v>1.17903891509434</v>
      </c>
      <c r="M345" s="535">
        <f>C345/D345*1000</f>
        <v>17.9556597166101</v>
      </c>
      <c r="N345" s="535">
        <f t="shared" si="125"/>
        <v>0</v>
      </c>
      <c r="O345" s="535">
        <f t="shared" si="126"/>
        <v>0</v>
      </c>
      <c r="P345" s="536">
        <f t="shared" si="127"/>
        <v>7.48932584269663</v>
      </c>
      <c r="Q345" s="531">
        <f t="shared" si="128"/>
        <v>267</v>
      </c>
      <c r="R345" s="537">
        <f t="shared" si="129"/>
        <v>0.157429245283019</v>
      </c>
    </row>
    <row r="346" hidden="1" spans="1:18">
      <c r="A346" s="524">
        <v>45507</v>
      </c>
      <c r="B346" s="24" t="s">
        <v>91</v>
      </c>
      <c r="C346" s="540">
        <v>99.28</v>
      </c>
      <c r="D346" s="540">
        <v>6437</v>
      </c>
      <c r="E346" s="540">
        <v>95</v>
      </c>
      <c r="F346" s="540">
        <v>0</v>
      </c>
      <c r="G346" s="540">
        <v>0</v>
      </c>
      <c r="H346" s="540">
        <v>1</v>
      </c>
      <c r="I346" s="540">
        <v>0</v>
      </c>
      <c r="J346" s="540">
        <v>1</v>
      </c>
      <c r="K346" s="527">
        <f>IF(E346=0,0,E346/D346)</f>
        <v>0.0147584278390555</v>
      </c>
      <c r="L346" s="528">
        <f t="shared" ref="L346:L377" si="137">IF(C346=0,0,C346/E346)</f>
        <v>1.04505263157895</v>
      </c>
      <c r="M346" s="528">
        <f>IF(D346=0,0,C346/D346*1000)</f>
        <v>15.4233338511729</v>
      </c>
      <c r="N346" s="528">
        <f t="shared" ref="N346:N377" si="138">IF(G346=0,0,G346/C346)</f>
        <v>0</v>
      </c>
      <c r="O346" s="528">
        <f t="shared" ref="O346:O377" si="139">IF(F346=0,0,F346/E346)</f>
        <v>0</v>
      </c>
      <c r="P346" s="529">
        <f t="shared" ref="P346:P377" si="140">IF(H346+I346=0,0,C346/(H346+I346))</f>
        <v>99.28</v>
      </c>
      <c r="Q346" s="24">
        <f t="shared" ref="Q346:Q377" si="141">H346+I346</f>
        <v>1</v>
      </c>
      <c r="R346" s="530">
        <f t="shared" ref="R346:R377" si="142">IF(Q346=0,0,Q346/E346)</f>
        <v>0.0105263157894737</v>
      </c>
    </row>
    <row r="347" hidden="1" spans="1:18">
      <c r="A347" s="524"/>
      <c r="B347" s="24" t="s">
        <v>92</v>
      </c>
      <c r="C347" s="540">
        <v>0</v>
      </c>
      <c r="D347" s="540">
        <v>0</v>
      </c>
      <c r="E347" s="540">
        <v>0</v>
      </c>
      <c r="F347" s="540">
        <v>0</v>
      </c>
      <c r="G347" s="540">
        <v>0</v>
      </c>
      <c r="H347" s="540">
        <v>0</v>
      </c>
      <c r="I347" s="540">
        <v>0</v>
      </c>
      <c r="J347" s="540">
        <v>0</v>
      </c>
      <c r="K347" s="527">
        <f>IF(E347=0,0,E347/D347)</f>
        <v>0</v>
      </c>
      <c r="L347" s="528">
        <f t="shared" si="137"/>
        <v>0</v>
      </c>
      <c r="M347" s="528">
        <f>IF(D347=0,0,C347/D347*1000)</f>
        <v>0</v>
      </c>
      <c r="N347" s="528">
        <f t="shared" si="138"/>
        <v>0</v>
      </c>
      <c r="O347" s="528">
        <f t="shared" si="139"/>
        <v>0</v>
      </c>
      <c r="P347" s="529">
        <f t="shared" si="140"/>
        <v>0</v>
      </c>
      <c r="Q347" s="24">
        <f t="shared" si="141"/>
        <v>0</v>
      </c>
      <c r="R347" s="530">
        <f t="shared" si="142"/>
        <v>0</v>
      </c>
    </row>
    <row r="348" hidden="1" spans="1:18">
      <c r="A348" s="524"/>
      <c r="B348" s="24" t="s">
        <v>97</v>
      </c>
      <c r="C348" s="540">
        <v>1937</v>
      </c>
      <c r="D348" s="540">
        <v>169871</v>
      </c>
      <c r="E348" s="540">
        <v>2084</v>
      </c>
      <c r="F348" s="540">
        <v>0</v>
      </c>
      <c r="G348" s="540">
        <v>0</v>
      </c>
      <c r="H348" s="540">
        <v>33</v>
      </c>
      <c r="I348" s="540">
        <v>220</v>
      </c>
      <c r="J348" s="540">
        <v>6</v>
      </c>
      <c r="K348" s="527">
        <f>IF(E348=0,0,E348/D348)</f>
        <v>0.012268132877301</v>
      </c>
      <c r="L348" s="528">
        <f t="shared" si="137"/>
        <v>0.929462571976967</v>
      </c>
      <c r="M348" s="528">
        <f>IF(D348=0,0,C348/D348*1000)</f>
        <v>11.4027703374914</v>
      </c>
      <c r="N348" s="528">
        <f t="shared" si="138"/>
        <v>0</v>
      </c>
      <c r="O348" s="528">
        <f t="shared" si="139"/>
        <v>0</v>
      </c>
      <c r="P348" s="529">
        <f t="shared" si="140"/>
        <v>7.65612648221344</v>
      </c>
      <c r="Q348" s="24">
        <f t="shared" si="141"/>
        <v>253</v>
      </c>
      <c r="R348" s="530">
        <f t="shared" si="142"/>
        <v>0.121401151631478</v>
      </c>
    </row>
    <row r="349" hidden="1" spans="1:18">
      <c r="A349" s="524"/>
      <c r="B349" s="531" t="s">
        <v>96</v>
      </c>
      <c r="C349" s="533">
        <f t="shared" ref="C349:J349" si="143">SUM(C346:C348)</f>
        <v>2036.28</v>
      </c>
      <c r="D349" s="533">
        <f t="shared" si="143"/>
        <v>176308</v>
      </c>
      <c r="E349" s="533">
        <f t="shared" si="143"/>
        <v>2179</v>
      </c>
      <c r="F349" s="533">
        <f t="shared" si="143"/>
        <v>0</v>
      </c>
      <c r="G349" s="533">
        <f t="shared" si="143"/>
        <v>0</v>
      </c>
      <c r="H349" s="533">
        <f t="shared" si="143"/>
        <v>34</v>
      </c>
      <c r="I349" s="533">
        <f t="shared" si="143"/>
        <v>220</v>
      </c>
      <c r="J349" s="533">
        <f t="shared" si="143"/>
        <v>7</v>
      </c>
      <c r="K349" s="534">
        <f>E349/D349</f>
        <v>0.0123590534746013</v>
      </c>
      <c r="L349" s="535">
        <f t="shared" si="137"/>
        <v>0.934502065167508</v>
      </c>
      <c r="M349" s="535">
        <f>C349/D349*1000</f>
        <v>11.5495609955305</v>
      </c>
      <c r="N349" s="535">
        <f t="shared" si="138"/>
        <v>0</v>
      </c>
      <c r="O349" s="535">
        <f t="shared" si="139"/>
        <v>0</v>
      </c>
      <c r="P349" s="536">
        <f t="shared" si="140"/>
        <v>8.01685039370079</v>
      </c>
      <c r="Q349" s="531">
        <f t="shared" si="141"/>
        <v>254</v>
      </c>
      <c r="R349" s="537">
        <f t="shared" si="142"/>
        <v>0.116567232675539</v>
      </c>
    </row>
    <row r="350" hidden="1" spans="1:18">
      <c r="A350" s="524">
        <v>45508</v>
      </c>
      <c r="B350" s="24" t="s">
        <v>91</v>
      </c>
      <c r="C350" s="540">
        <v>99.39</v>
      </c>
      <c r="D350" s="540">
        <v>6747</v>
      </c>
      <c r="E350" s="540">
        <v>133</v>
      </c>
      <c r="F350" s="540">
        <v>0</v>
      </c>
      <c r="G350" s="540">
        <v>0</v>
      </c>
      <c r="H350" s="540">
        <v>1</v>
      </c>
      <c r="I350" s="540">
        <v>1</v>
      </c>
      <c r="J350" s="540">
        <v>0</v>
      </c>
      <c r="K350" s="527">
        <f>IF(E350=0,0,E350/D350)</f>
        <v>0.01971246479917</v>
      </c>
      <c r="L350" s="528">
        <f t="shared" si="137"/>
        <v>0.747293233082707</v>
      </c>
      <c r="M350" s="528">
        <f>IF(D350=0,0,C350/D350*1000)</f>
        <v>14.7309915518008</v>
      </c>
      <c r="N350" s="528">
        <f t="shared" si="138"/>
        <v>0</v>
      </c>
      <c r="O350" s="528">
        <f t="shared" si="139"/>
        <v>0</v>
      </c>
      <c r="P350" s="529">
        <f t="shared" si="140"/>
        <v>49.695</v>
      </c>
      <c r="Q350" s="24">
        <f t="shared" si="141"/>
        <v>2</v>
      </c>
      <c r="R350" s="530">
        <f t="shared" si="142"/>
        <v>0.0150375939849624</v>
      </c>
    </row>
    <row r="351" hidden="1" spans="1:18">
      <c r="A351" s="524"/>
      <c r="B351" s="24" t="s">
        <v>92</v>
      </c>
      <c r="C351" s="540">
        <v>0</v>
      </c>
      <c r="D351" s="540">
        <v>0</v>
      </c>
      <c r="E351" s="540">
        <v>0</v>
      </c>
      <c r="F351" s="540">
        <v>0</v>
      </c>
      <c r="G351" s="540">
        <v>0</v>
      </c>
      <c r="H351" s="540">
        <v>0</v>
      </c>
      <c r="I351" s="540">
        <v>0</v>
      </c>
      <c r="J351" s="540">
        <v>0</v>
      </c>
      <c r="K351" s="527">
        <f>IF(E351=0,0,E351/D351)</f>
        <v>0</v>
      </c>
      <c r="L351" s="528">
        <f t="shared" si="137"/>
        <v>0</v>
      </c>
      <c r="M351" s="528">
        <f>IF(D351=0,0,C351/D351*1000)</f>
        <v>0</v>
      </c>
      <c r="N351" s="528">
        <f t="shared" si="138"/>
        <v>0</v>
      </c>
      <c r="O351" s="528">
        <f t="shared" si="139"/>
        <v>0</v>
      </c>
      <c r="P351" s="529">
        <f t="shared" si="140"/>
        <v>0</v>
      </c>
      <c r="Q351" s="24">
        <f t="shared" si="141"/>
        <v>0</v>
      </c>
      <c r="R351" s="530">
        <f t="shared" si="142"/>
        <v>0</v>
      </c>
    </row>
    <row r="352" hidden="1" spans="1:18">
      <c r="A352" s="524"/>
      <c r="B352" s="24" t="s">
        <v>97</v>
      </c>
      <c r="C352" s="540">
        <v>1901.59</v>
      </c>
      <c r="D352" s="540">
        <v>104591</v>
      </c>
      <c r="E352" s="540">
        <v>2004</v>
      </c>
      <c r="F352" s="540">
        <v>1</v>
      </c>
      <c r="G352" s="540">
        <v>13154</v>
      </c>
      <c r="H352" s="540">
        <v>26</v>
      </c>
      <c r="I352" s="540">
        <v>287</v>
      </c>
      <c r="J352" s="540">
        <v>6</v>
      </c>
      <c r="K352" s="527">
        <f>IF(E352=0,0,E352/D352)</f>
        <v>0.0191603484047385</v>
      </c>
      <c r="L352" s="528">
        <f t="shared" si="137"/>
        <v>0.948897205588822</v>
      </c>
      <c r="M352" s="528">
        <f>IF(D352=0,0,C352/D352*1000)</f>
        <v>18.1812010593646</v>
      </c>
      <c r="N352" s="528">
        <f t="shared" si="138"/>
        <v>6.91736914897533</v>
      </c>
      <c r="O352" s="528">
        <f t="shared" si="139"/>
        <v>0.000499001996007984</v>
      </c>
      <c r="P352" s="529">
        <f t="shared" si="140"/>
        <v>6.07536741214057</v>
      </c>
      <c r="Q352" s="24">
        <f t="shared" si="141"/>
        <v>313</v>
      </c>
      <c r="R352" s="530">
        <f t="shared" si="142"/>
        <v>0.156187624750499</v>
      </c>
    </row>
    <row r="353" hidden="1" spans="1:18">
      <c r="A353" s="524"/>
      <c r="B353" s="531" t="s">
        <v>96</v>
      </c>
      <c r="C353" s="533">
        <f t="shared" ref="C353:J353" si="144">SUM(C350:C352)</f>
        <v>2000.98</v>
      </c>
      <c r="D353" s="533">
        <f t="shared" si="144"/>
        <v>111338</v>
      </c>
      <c r="E353" s="533">
        <f t="shared" si="144"/>
        <v>2137</v>
      </c>
      <c r="F353" s="533">
        <f t="shared" si="144"/>
        <v>1</v>
      </c>
      <c r="G353" s="533">
        <f t="shared" si="144"/>
        <v>13154</v>
      </c>
      <c r="H353" s="533">
        <f t="shared" si="144"/>
        <v>27</v>
      </c>
      <c r="I353" s="533">
        <f t="shared" si="144"/>
        <v>288</v>
      </c>
      <c r="J353" s="533">
        <f t="shared" si="144"/>
        <v>6</v>
      </c>
      <c r="K353" s="534">
        <f>E353/D353</f>
        <v>0.0191938062476423</v>
      </c>
      <c r="L353" s="535">
        <f t="shared" si="137"/>
        <v>0.936350023397286</v>
      </c>
      <c r="M353" s="535">
        <f>C353/D353*1000</f>
        <v>17.9721209290629</v>
      </c>
      <c r="N353" s="535">
        <f t="shared" si="138"/>
        <v>6.5737788483643</v>
      </c>
      <c r="O353" s="535">
        <f t="shared" si="139"/>
        <v>0.000467945718296678</v>
      </c>
      <c r="P353" s="536">
        <f t="shared" si="140"/>
        <v>6.35231746031746</v>
      </c>
      <c r="Q353" s="531">
        <f t="shared" si="141"/>
        <v>315</v>
      </c>
      <c r="R353" s="537">
        <f t="shared" si="142"/>
        <v>0.147402901263453</v>
      </c>
    </row>
    <row r="354" hidden="1" spans="1:18">
      <c r="A354" s="524">
        <v>45509</v>
      </c>
      <c r="B354" s="24" t="s">
        <v>91</v>
      </c>
      <c r="C354" s="540">
        <v>99.14</v>
      </c>
      <c r="D354" s="540">
        <v>8075</v>
      </c>
      <c r="E354" s="540">
        <v>142</v>
      </c>
      <c r="F354" s="540">
        <v>0</v>
      </c>
      <c r="G354" s="540">
        <v>0</v>
      </c>
      <c r="H354" s="540">
        <v>0</v>
      </c>
      <c r="I354" s="540">
        <v>1</v>
      </c>
      <c r="J354" s="540">
        <v>2</v>
      </c>
      <c r="K354" s="527">
        <f>IF(E354=0,0,E354/D354)</f>
        <v>0.0175851393188854</v>
      </c>
      <c r="L354" s="528">
        <f t="shared" si="137"/>
        <v>0.698169014084507</v>
      </c>
      <c r="M354" s="528">
        <f>IF(D354=0,0,C354/D354*1000)</f>
        <v>12.277399380805</v>
      </c>
      <c r="N354" s="528">
        <f t="shared" si="138"/>
        <v>0</v>
      </c>
      <c r="O354" s="528">
        <f t="shared" si="139"/>
        <v>0</v>
      </c>
      <c r="P354" s="529">
        <f t="shared" si="140"/>
        <v>99.14</v>
      </c>
      <c r="Q354" s="24">
        <f t="shared" si="141"/>
        <v>1</v>
      </c>
      <c r="R354" s="530">
        <f t="shared" si="142"/>
        <v>0.00704225352112676</v>
      </c>
    </row>
    <row r="355" hidden="1" spans="1:18">
      <c r="A355" s="524"/>
      <c r="B355" s="24" t="s">
        <v>92</v>
      </c>
      <c r="C355" s="540">
        <v>496.21</v>
      </c>
      <c r="D355" s="540">
        <v>11211</v>
      </c>
      <c r="E355" s="540">
        <v>1021</v>
      </c>
      <c r="F355" s="540">
        <v>0</v>
      </c>
      <c r="G355" s="540">
        <v>0</v>
      </c>
      <c r="H355" s="540">
        <v>4</v>
      </c>
      <c r="I355" s="540">
        <v>5</v>
      </c>
      <c r="J355" s="540">
        <v>0</v>
      </c>
      <c r="K355" s="527">
        <f>IF(E355=0,0,E355/D355)</f>
        <v>0.0910712692890911</v>
      </c>
      <c r="L355" s="528">
        <f t="shared" si="137"/>
        <v>0.486003917727718</v>
      </c>
      <c r="M355" s="528">
        <f>IF(D355=0,0,C355/D355*1000)</f>
        <v>44.2609936669343</v>
      </c>
      <c r="N355" s="528">
        <f t="shared" si="138"/>
        <v>0</v>
      </c>
      <c r="O355" s="528">
        <f t="shared" si="139"/>
        <v>0</v>
      </c>
      <c r="P355" s="529">
        <f t="shared" si="140"/>
        <v>55.1344444444444</v>
      </c>
      <c r="Q355" s="24">
        <f t="shared" si="141"/>
        <v>9</v>
      </c>
      <c r="R355" s="530">
        <f t="shared" si="142"/>
        <v>0.00881488736532811</v>
      </c>
    </row>
    <row r="356" hidden="1" spans="1:18">
      <c r="A356" s="524"/>
      <c r="B356" s="24" t="s">
        <v>97</v>
      </c>
      <c r="C356" s="540">
        <v>1833.24</v>
      </c>
      <c r="D356" s="540">
        <v>99527</v>
      </c>
      <c r="E356" s="540">
        <v>1606</v>
      </c>
      <c r="F356" s="540">
        <v>0</v>
      </c>
      <c r="G356" s="540">
        <v>0</v>
      </c>
      <c r="H356" s="540">
        <v>27</v>
      </c>
      <c r="I356" s="540">
        <v>226</v>
      </c>
      <c r="J356" s="540">
        <v>12</v>
      </c>
      <c r="K356" s="527">
        <f>IF(E356=0,0,E356/D356)</f>
        <v>0.0161363248163815</v>
      </c>
      <c r="L356" s="528">
        <f t="shared" si="137"/>
        <v>1.14149439601494</v>
      </c>
      <c r="M356" s="528">
        <f>IF(D356=0,0,C356/D356*1000)</f>
        <v>18.4195243501763</v>
      </c>
      <c r="N356" s="528">
        <f t="shared" si="138"/>
        <v>0</v>
      </c>
      <c r="O356" s="528">
        <f t="shared" si="139"/>
        <v>0</v>
      </c>
      <c r="P356" s="529">
        <f t="shared" si="140"/>
        <v>7.24600790513834</v>
      </c>
      <c r="Q356" s="24">
        <f t="shared" si="141"/>
        <v>253</v>
      </c>
      <c r="R356" s="530">
        <f t="shared" si="142"/>
        <v>0.157534246575342</v>
      </c>
    </row>
    <row r="357" hidden="1" spans="1:18">
      <c r="A357" s="524"/>
      <c r="B357" s="531" t="s">
        <v>96</v>
      </c>
      <c r="C357" s="533">
        <f t="shared" ref="C357:J357" si="145">SUM(C354:C356)</f>
        <v>2428.59</v>
      </c>
      <c r="D357" s="533">
        <f t="shared" si="145"/>
        <v>118813</v>
      </c>
      <c r="E357" s="533">
        <f t="shared" si="145"/>
        <v>2769</v>
      </c>
      <c r="F357" s="533">
        <f t="shared" si="145"/>
        <v>0</v>
      </c>
      <c r="G357" s="533">
        <f t="shared" si="145"/>
        <v>0</v>
      </c>
      <c r="H357" s="533">
        <f t="shared" si="145"/>
        <v>31</v>
      </c>
      <c r="I357" s="533">
        <f t="shared" si="145"/>
        <v>232</v>
      </c>
      <c r="J357" s="533">
        <f t="shared" si="145"/>
        <v>14</v>
      </c>
      <c r="K357" s="534">
        <f>E357/D357</f>
        <v>0.0233055305395874</v>
      </c>
      <c r="L357" s="535">
        <f t="shared" si="137"/>
        <v>0.877063921993499</v>
      </c>
      <c r="M357" s="535">
        <f>C357/D357*1000</f>
        <v>20.4404400191898</v>
      </c>
      <c r="N357" s="535">
        <f t="shared" si="138"/>
        <v>0</v>
      </c>
      <c r="O357" s="535">
        <f t="shared" si="139"/>
        <v>0</v>
      </c>
      <c r="P357" s="536">
        <f t="shared" si="140"/>
        <v>9.2341825095057</v>
      </c>
      <c r="Q357" s="531">
        <f t="shared" si="141"/>
        <v>263</v>
      </c>
      <c r="R357" s="537">
        <f t="shared" si="142"/>
        <v>0.0949801372336584</v>
      </c>
    </row>
    <row r="358" hidden="1" spans="1:18">
      <c r="A358" s="524">
        <v>45510</v>
      </c>
      <c r="B358" s="24" t="s">
        <v>91</v>
      </c>
      <c r="C358" s="540">
        <v>199.77</v>
      </c>
      <c r="D358" s="540">
        <v>10994</v>
      </c>
      <c r="E358" s="540">
        <v>200</v>
      </c>
      <c r="F358" s="540">
        <v>0</v>
      </c>
      <c r="G358" s="540">
        <v>0</v>
      </c>
      <c r="H358" s="540">
        <v>1</v>
      </c>
      <c r="I358" s="540">
        <v>5</v>
      </c>
      <c r="J358" s="540">
        <v>6</v>
      </c>
      <c r="K358" s="527">
        <f>IF(E358=0,0,E358/D358)</f>
        <v>0.0181917409496089</v>
      </c>
      <c r="L358" s="528">
        <f t="shared" si="137"/>
        <v>0.99885</v>
      </c>
      <c r="M358" s="528">
        <f>IF(D358=0,0,C358/D358*1000)</f>
        <v>18.1708204475168</v>
      </c>
      <c r="N358" s="528">
        <f t="shared" si="138"/>
        <v>0</v>
      </c>
      <c r="O358" s="528">
        <f t="shared" si="139"/>
        <v>0</v>
      </c>
      <c r="P358" s="529">
        <f t="shared" si="140"/>
        <v>33.295</v>
      </c>
      <c r="Q358" s="24">
        <f t="shared" si="141"/>
        <v>6</v>
      </c>
      <c r="R358" s="530">
        <f t="shared" si="142"/>
        <v>0.03</v>
      </c>
    </row>
    <row r="359" hidden="1" spans="1:18">
      <c r="A359" s="524"/>
      <c r="B359" s="24" t="s">
        <v>92</v>
      </c>
      <c r="C359" s="540">
        <v>0</v>
      </c>
      <c r="D359" s="540">
        <v>11</v>
      </c>
      <c r="E359" s="540">
        <v>0</v>
      </c>
      <c r="F359" s="540">
        <v>0</v>
      </c>
      <c r="G359" s="540">
        <v>0</v>
      </c>
      <c r="H359" s="540">
        <v>0</v>
      </c>
      <c r="I359" s="540">
        <v>0</v>
      </c>
      <c r="J359" s="540">
        <v>0</v>
      </c>
      <c r="K359" s="527">
        <f>IF(E359=0,0,E359/D359)</f>
        <v>0</v>
      </c>
      <c r="L359" s="528">
        <f t="shared" si="137"/>
        <v>0</v>
      </c>
      <c r="M359" s="528">
        <f>IF(D359=0,0,C359/D359*1000)</f>
        <v>0</v>
      </c>
      <c r="N359" s="528">
        <f t="shared" si="138"/>
        <v>0</v>
      </c>
      <c r="O359" s="528">
        <f t="shared" si="139"/>
        <v>0</v>
      </c>
      <c r="P359" s="529">
        <f t="shared" si="140"/>
        <v>0</v>
      </c>
      <c r="Q359" s="24">
        <f t="shared" si="141"/>
        <v>0</v>
      </c>
      <c r="R359" s="530">
        <f t="shared" si="142"/>
        <v>0</v>
      </c>
    </row>
    <row r="360" hidden="1" spans="1:18">
      <c r="A360" s="524"/>
      <c r="B360" s="24" t="s">
        <v>97</v>
      </c>
      <c r="C360" s="540">
        <v>1888.4</v>
      </c>
      <c r="D360" s="540">
        <v>81057</v>
      </c>
      <c r="E360" s="540">
        <v>1508</v>
      </c>
      <c r="F360" s="540">
        <v>1</v>
      </c>
      <c r="G360" s="540">
        <v>24788</v>
      </c>
      <c r="H360" s="540">
        <v>18</v>
      </c>
      <c r="I360" s="540">
        <v>206</v>
      </c>
      <c r="J360" s="540">
        <v>8</v>
      </c>
      <c r="K360" s="527">
        <f>IF(E360=0,0,E360/D360)</f>
        <v>0.0186041921117238</v>
      </c>
      <c r="L360" s="528">
        <f t="shared" si="137"/>
        <v>1.25225464190981</v>
      </c>
      <c r="M360" s="528">
        <f>IF(D360=0,0,C360/D360*1000)</f>
        <v>23.2971859308881</v>
      </c>
      <c r="N360" s="528">
        <f t="shared" si="138"/>
        <v>13.1264562592671</v>
      </c>
      <c r="O360" s="528">
        <f t="shared" si="139"/>
        <v>0.000663129973474801</v>
      </c>
      <c r="P360" s="529">
        <f t="shared" si="140"/>
        <v>8.43035714285714</v>
      </c>
      <c r="Q360" s="24">
        <f t="shared" si="141"/>
        <v>224</v>
      </c>
      <c r="R360" s="530">
        <f t="shared" si="142"/>
        <v>0.148541114058355</v>
      </c>
    </row>
    <row r="361" hidden="1" spans="1:18">
      <c r="A361" s="524"/>
      <c r="B361" s="531" t="s">
        <v>96</v>
      </c>
      <c r="C361" s="533">
        <f t="shared" ref="C361:J361" si="146">SUM(C358:C360)</f>
        <v>2088.17</v>
      </c>
      <c r="D361" s="533">
        <f t="shared" si="146"/>
        <v>92062</v>
      </c>
      <c r="E361" s="533">
        <f t="shared" si="146"/>
        <v>1708</v>
      </c>
      <c r="F361" s="533">
        <f t="shared" si="146"/>
        <v>1</v>
      </c>
      <c r="G361" s="533">
        <f t="shared" si="146"/>
        <v>24788</v>
      </c>
      <c r="H361" s="533">
        <f t="shared" si="146"/>
        <v>19</v>
      </c>
      <c r="I361" s="533">
        <f t="shared" si="146"/>
        <v>211</v>
      </c>
      <c r="J361" s="533">
        <f t="shared" si="146"/>
        <v>14</v>
      </c>
      <c r="K361" s="534">
        <f>E361/D361</f>
        <v>0.0185527144750277</v>
      </c>
      <c r="L361" s="535">
        <f t="shared" si="137"/>
        <v>1.22258196721311</v>
      </c>
      <c r="M361" s="535">
        <f>C361/D361*1000</f>
        <v>22.6822141600226</v>
      </c>
      <c r="N361" s="535">
        <f t="shared" si="138"/>
        <v>11.8706810269279</v>
      </c>
      <c r="O361" s="535">
        <f t="shared" si="139"/>
        <v>0.000585480093676815</v>
      </c>
      <c r="P361" s="536">
        <f t="shared" si="140"/>
        <v>9.079</v>
      </c>
      <c r="Q361" s="531">
        <f t="shared" si="141"/>
        <v>230</v>
      </c>
      <c r="R361" s="537">
        <f t="shared" si="142"/>
        <v>0.134660421545667</v>
      </c>
    </row>
    <row r="362" hidden="1" spans="1:18">
      <c r="A362" s="524">
        <v>45511</v>
      </c>
      <c r="B362" s="24" t="s">
        <v>91</v>
      </c>
      <c r="C362" s="540">
        <v>199.64</v>
      </c>
      <c r="D362" s="540">
        <v>10606</v>
      </c>
      <c r="E362" s="540">
        <v>200</v>
      </c>
      <c r="F362" s="540">
        <v>0</v>
      </c>
      <c r="G362" s="540">
        <v>0</v>
      </c>
      <c r="H362" s="540">
        <v>0</v>
      </c>
      <c r="I362" s="540">
        <v>8</v>
      </c>
      <c r="J362" s="540">
        <v>1</v>
      </c>
      <c r="K362" s="527">
        <f>IF(E362=0,0,E362/D362)</f>
        <v>0.0188572506128606</v>
      </c>
      <c r="L362" s="528">
        <f t="shared" si="137"/>
        <v>0.9982</v>
      </c>
      <c r="M362" s="528">
        <f>IF(D362=0,0,C362/D362*1000)</f>
        <v>18.8233075617575</v>
      </c>
      <c r="N362" s="528">
        <f t="shared" si="138"/>
        <v>0</v>
      </c>
      <c r="O362" s="528">
        <f t="shared" si="139"/>
        <v>0</v>
      </c>
      <c r="P362" s="529">
        <f t="shared" si="140"/>
        <v>24.955</v>
      </c>
      <c r="Q362" s="24">
        <f t="shared" si="141"/>
        <v>8</v>
      </c>
      <c r="R362" s="530">
        <f t="shared" si="142"/>
        <v>0.04</v>
      </c>
    </row>
    <row r="363" hidden="1" spans="1:18">
      <c r="A363" s="524"/>
      <c r="B363" s="24" t="s">
        <v>92</v>
      </c>
      <c r="C363" s="540">
        <v>0</v>
      </c>
      <c r="D363" s="540">
        <v>0</v>
      </c>
      <c r="E363" s="540">
        <v>0</v>
      </c>
      <c r="F363" s="540">
        <v>0</v>
      </c>
      <c r="G363" s="540">
        <v>0</v>
      </c>
      <c r="H363" s="540">
        <v>0</v>
      </c>
      <c r="I363" s="540">
        <v>0</v>
      </c>
      <c r="J363" s="540">
        <v>0</v>
      </c>
      <c r="K363" s="527">
        <f>IF(E363=0,0,E363/D363)</f>
        <v>0</v>
      </c>
      <c r="L363" s="528">
        <f t="shared" si="137"/>
        <v>0</v>
      </c>
      <c r="M363" s="528">
        <f>IF(D363=0,0,C363/D363*1000)</f>
        <v>0</v>
      </c>
      <c r="N363" s="528">
        <f t="shared" si="138"/>
        <v>0</v>
      </c>
      <c r="O363" s="528">
        <f t="shared" si="139"/>
        <v>0</v>
      </c>
      <c r="P363" s="529">
        <f t="shared" si="140"/>
        <v>0</v>
      </c>
      <c r="Q363" s="24">
        <f t="shared" si="141"/>
        <v>0</v>
      </c>
      <c r="R363" s="530">
        <f t="shared" si="142"/>
        <v>0</v>
      </c>
    </row>
    <row r="364" hidden="1" spans="1:18">
      <c r="A364" s="524"/>
      <c r="B364" s="24" t="s">
        <v>97</v>
      </c>
      <c r="C364" s="540">
        <v>1828.25</v>
      </c>
      <c r="D364" s="540">
        <v>71466</v>
      </c>
      <c r="E364" s="540">
        <v>1353</v>
      </c>
      <c r="F364" s="540">
        <v>1</v>
      </c>
      <c r="G364" s="540">
        <v>11554</v>
      </c>
      <c r="H364" s="540">
        <v>26</v>
      </c>
      <c r="I364" s="540">
        <v>201</v>
      </c>
      <c r="J364" s="540">
        <v>6</v>
      </c>
      <c r="K364" s="527">
        <f>IF(E364=0,0,E364/D364)</f>
        <v>0.0189320795902947</v>
      </c>
      <c r="L364" s="528">
        <f t="shared" si="137"/>
        <v>1.35125646711013</v>
      </c>
      <c r="M364" s="528">
        <f>IF(D364=0,0,C364/D364*1000)</f>
        <v>25.5820949822293</v>
      </c>
      <c r="N364" s="528">
        <f t="shared" si="138"/>
        <v>6.31970463558047</v>
      </c>
      <c r="O364" s="528">
        <f t="shared" si="139"/>
        <v>0.00073909830007391</v>
      </c>
      <c r="P364" s="529">
        <f t="shared" si="140"/>
        <v>8.05396475770925</v>
      </c>
      <c r="Q364" s="24">
        <f t="shared" si="141"/>
        <v>227</v>
      </c>
      <c r="R364" s="530">
        <f t="shared" si="142"/>
        <v>0.167775314116778</v>
      </c>
    </row>
    <row r="365" hidden="1" spans="1:18">
      <c r="A365" s="524"/>
      <c r="B365" s="531" t="s">
        <v>96</v>
      </c>
      <c r="C365" s="533">
        <f t="shared" ref="C365:J365" si="147">SUM(C362:C364)</f>
        <v>2027.89</v>
      </c>
      <c r="D365" s="533">
        <f t="shared" si="147"/>
        <v>82072</v>
      </c>
      <c r="E365" s="533">
        <f t="shared" si="147"/>
        <v>1553</v>
      </c>
      <c r="F365" s="533">
        <f t="shared" si="147"/>
        <v>1</v>
      </c>
      <c r="G365" s="533">
        <f t="shared" si="147"/>
        <v>11554</v>
      </c>
      <c r="H365" s="533">
        <f t="shared" si="147"/>
        <v>26</v>
      </c>
      <c r="I365" s="533">
        <f t="shared" si="147"/>
        <v>209</v>
      </c>
      <c r="J365" s="533">
        <f t="shared" si="147"/>
        <v>7</v>
      </c>
      <c r="K365" s="534">
        <f>E365/D365</f>
        <v>0.0189224095915781</v>
      </c>
      <c r="L365" s="535">
        <f t="shared" si="137"/>
        <v>1.30578879587894</v>
      </c>
      <c r="M365" s="535">
        <f>C365/D365*1000</f>
        <v>24.708670435715</v>
      </c>
      <c r="N365" s="535">
        <f t="shared" si="138"/>
        <v>5.69754769736031</v>
      </c>
      <c r="O365" s="535">
        <f t="shared" si="139"/>
        <v>0.000643915003219575</v>
      </c>
      <c r="P365" s="536">
        <f t="shared" si="140"/>
        <v>8.62931914893617</v>
      </c>
      <c r="Q365" s="531">
        <f t="shared" si="141"/>
        <v>235</v>
      </c>
      <c r="R365" s="537">
        <f t="shared" si="142"/>
        <v>0.1513200257566</v>
      </c>
    </row>
    <row r="366" hidden="1" spans="1:18">
      <c r="A366" s="524">
        <v>45512</v>
      </c>
      <c r="B366" s="24" t="s">
        <v>91</v>
      </c>
      <c r="C366" s="540">
        <v>200</v>
      </c>
      <c r="D366" s="540">
        <v>9973</v>
      </c>
      <c r="E366" s="540">
        <v>161</v>
      </c>
      <c r="F366" s="540">
        <v>0</v>
      </c>
      <c r="G366" s="540">
        <v>0</v>
      </c>
      <c r="H366" s="540">
        <v>1</v>
      </c>
      <c r="I366" s="540">
        <v>4</v>
      </c>
      <c r="J366" s="540">
        <v>3</v>
      </c>
      <c r="K366" s="527">
        <f>IF(E366=0,0,E366/D366)</f>
        <v>0.0161435876867542</v>
      </c>
      <c r="L366" s="528">
        <f t="shared" si="137"/>
        <v>1.24223602484472</v>
      </c>
      <c r="M366" s="528">
        <f>IF(D366=0,0,C366/D366*1000)</f>
        <v>20.0541461947258</v>
      </c>
      <c r="N366" s="528">
        <f t="shared" si="138"/>
        <v>0</v>
      </c>
      <c r="O366" s="528">
        <f t="shared" si="139"/>
        <v>0</v>
      </c>
      <c r="P366" s="529">
        <f t="shared" si="140"/>
        <v>40</v>
      </c>
      <c r="Q366" s="24">
        <f t="shared" si="141"/>
        <v>5</v>
      </c>
      <c r="R366" s="530">
        <f t="shared" si="142"/>
        <v>0.031055900621118</v>
      </c>
    </row>
    <row r="367" hidden="1" spans="1:18">
      <c r="A367" s="524"/>
      <c r="B367" s="24" t="s">
        <v>92</v>
      </c>
      <c r="C367" s="540">
        <v>0</v>
      </c>
      <c r="D367" s="540">
        <v>0</v>
      </c>
      <c r="E367" s="540">
        <v>0</v>
      </c>
      <c r="F367" s="540">
        <v>0</v>
      </c>
      <c r="G367" s="540">
        <v>0</v>
      </c>
      <c r="H367" s="540">
        <v>0</v>
      </c>
      <c r="I367" s="540">
        <v>0</v>
      </c>
      <c r="J367" s="540">
        <v>0</v>
      </c>
      <c r="K367" s="527">
        <f>IF(E367=0,0,E367/D367)</f>
        <v>0</v>
      </c>
      <c r="L367" s="528">
        <f t="shared" si="137"/>
        <v>0</v>
      </c>
      <c r="M367" s="528">
        <f>IF(D367=0,0,C367/D367*1000)</f>
        <v>0</v>
      </c>
      <c r="N367" s="528">
        <f t="shared" si="138"/>
        <v>0</v>
      </c>
      <c r="O367" s="528">
        <f t="shared" si="139"/>
        <v>0</v>
      </c>
      <c r="P367" s="529">
        <f t="shared" si="140"/>
        <v>0</v>
      </c>
      <c r="Q367" s="24">
        <f t="shared" si="141"/>
        <v>0</v>
      </c>
      <c r="R367" s="530">
        <f t="shared" si="142"/>
        <v>0</v>
      </c>
    </row>
    <row r="368" hidden="1" spans="1:18">
      <c r="A368" s="524"/>
      <c r="B368" s="24" t="s">
        <v>97</v>
      </c>
      <c r="C368" s="540">
        <v>1809.04</v>
      </c>
      <c r="D368" s="540">
        <v>81107</v>
      </c>
      <c r="E368" s="540">
        <v>1278</v>
      </c>
      <c r="F368" s="540">
        <v>2</v>
      </c>
      <c r="G368" s="540">
        <v>22128</v>
      </c>
      <c r="H368" s="540">
        <v>41</v>
      </c>
      <c r="I368" s="540">
        <v>167</v>
      </c>
      <c r="J368" s="540">
        <v>7</v>
      </c>
      <c r="K368" s="527">
        <f>IF(E368=0,0,E368/D368)</f>
        <v>0.0157569630241533</v>
      </c>
      <c r="L368" s="528">
        <f t="shared" si="137"/>
        <v>1.41552425665102</v>
      </c>
      <c r="M368" s="528">
        <f>IF(D368=0,0,C368/D368*1000)</f>
        <v>22.3043633718421</v>
      </c>
      <c r="N368" s="528">
        <f t="shared" si="138"/>
        <v>12.2319020032725</v>
      </c>
      <c r="O368" s="528">
        <f t="shared" si="139"/>
        <v>0.00156494522691706</v>
      </c>
      <c r="P368" s="529">
        <f t="shared" si="140"/>
        <v>8.69730769230769</v>
      </c>
      <c r="Q368" s="24">
        <f t="shared" si="141"/>
        <v>208</v>
      </c>
      <c r="R368" s="530">
        <f t="shared" si="142"/>
        <v>0.162754303599374</v>
      </c>
    </row>
    <row r="369" hidden="1" spans="1:18">
      <c r="A369" s="524"/>
      <c r="B369" s="531" t="s">
        <v>96</v>
      </c>
      <c r="C369" s="533">
        <f t="shared" ref="C369:J369" si="148">SUM(C366:C368)</f>
        <v>2009.04</v>
      </c>
      <c r="D369" s="533">
        <f t="shared" si="148"/>
        <v>91080</v>
      </c>
      <c r="E369" s="533">
        <f t="shared" si="148"/>
        <v>1439</v>
      </c>
      <c r="F369" s="533">
        <f t="shared" si="148"/>
        <v>2</v>
      </c>
      <c r="G369" s="533">
        <f t="shared" si="148"/>
        <v>22128</v>
      </c>
      <c r="H369" s="533">
        <f t="shared" si="148"/>
        <v>42</v>
      </c>
      <c r="I369" s="533">
        <f t="shared" si="148"/>
        <v>171</v>
      </c>
      <c r="J369" s="533">
        <f t="shared" si="148"/>
        <v>10</v>
      </c>
      <c r="K369" s="534">
        <f>E369/D369</f>
        <v>0.0157992973210365</v>
      </c>
      <c r="L369" s="535">
        <f t="shared" si="137"/>
        <v>1.3961362056984</v>
      </c>
      <c r="M369" s="535">
        <f>C369/D369*1000</f>
        <v>22.0579710144928</v>
      </c>
      <c r="N369" s="535">
        <f t="shared" si="138"/>
        <v>11.0142157448334</v>
      </c>
      <c r="O369" s="535">
        <f t="shared" si="139"/>
        <v>0.00138985406532314</v>
      </c>
      <c r="P369" s="536">
        <f t="shared" si="140"/>
        <v>9.43211267605634</v>
      </c>
      <c r="Q369" s="531">
        <f t="shared" si="141"/>
        <v>213</v>
      </c>
      <c r="R369" s="537">
        <f t="shared" si="142"/>
        <v>0.148019457956915</v>
      </c>
    </row>
    <row r="370" hidden="1" spans="1:18">
      <c r="A370" s="524">
        <v>45513</v>
      </c>
      <c r="B370" s="24" t="s">
        <v>91</v>
      </c>
      <c r="C370" s="540">
        <v>199.74</v>
      </c>
      <c r="D370" s="540">
        <v>11958</v>
      </c>
      <c r="E370" s="540">
        <v>239</v>
      </c>
      <c r="F370" s="540">
        <v>0</v>
      </c>
      <c r="G370" s="540">
        <v>0</v>
      </c>
      <c r="H370" s="540">
        <v>1</v>
      </c>
      <c r="I370" s="540">
        <v>11</v>
      </c>
      <c r="J370" s="540">
        <v>2</v>
      </c>
      <c r="K370" s="527">
        <f>IF(E370=0,0,E370/D370)</f>
        <v>0.019986619836093</v>
      </c>
      <c r="L370" s="528">
        <f t="shared" si="137"/>
        <v>0.835732217573222</v>
      </c>
      <c r="M370" s="528">
        <f>IF(D370=0,0,C370/D370*1000)</f>
        <v>16.7034621174109</v>
      </c>
      <c r="N370" s="528">
        <f t="shared" si="138"/>
        <v>0</v>
      </c>
      <c r="O370" s="528">
        <f t="shared" si="139"/>
        <v>0</v>
      </c>
      <c r="P370" s="529">
        <f t="shared" si="140"/>
        <v>16.645</v>
      </c>
      <c r="Q370" s="24">
        <f t="shared" si="141"/>
        <v>12</v>
      </c>
      <c r="R370" s="530">
        <f t="shared" si="142"/>
        <v>0.0502092050209205</v>
      </c>
    </row>
    <row r="371" hidden="1" spans="1:18">
      <c r="A371" s="524"/>
      <c r="B371" s="24" t="s">
        <v>92</v>
      </c>
      <c r="C371" s="540">
        <v>0</v>
      </c>
      <c r="D371" s="540">
        <v>0</v>
      </c>
      <c r="E371" s="540">
        <v>0</v>
      </c>
      <c r="F371" s="540">
        <v>0</v>
      </c>
      <c r="G371" s="540">
        <v>0</v>
      </c>
      <c r="H371" s="540">
        <v>0</v>
      </c>
      <c r="I371" s="540">
        <v>0</v>
      </c>
      <c r="J371" s="540">
        <v>0</v>
      </c>
      <c r="K371" s="527">
        <f>IF(E371=0,0,E371/D371)</f>
        <v>0</v>
      </c>
      <c r="L371" s="528">
        <f t="shared" si="137"/>
        <v>0</v>
      </c>
      <c r="M371" s="528">
        <f>IF(D371=0,0,C371/D371*1000)</f>
        <v>0</v>
      </c>
      <c r="N371" s="528">
        <f t="shared" si="138"/>
        <v>0</v>
      </c>
      <c r="O371" s="528">
        <f t="shared" si="139"/>
        <v>0</v>
      </c>
      <c r="P371" s="529">
        <f t="shared" si="140"/>
        <v>0</v>
      </c>
      <c r="Q371" s="24">
        <f t="shared" si="141"/>
        <v>0</v>
      </c>
      <c r="R371" s="530">
        <f t="shared" si="142"/>
        <v>0</v>
      </c>
    </row>
    <row r="372" hidden="1" spans="1:18">
      <c r="A372" s="524"/>
      <c r="B372" s="24" t="s">
        <v>97</v>
      </c>
      <c r="C372" s="540">
        <v>1610.76</v>
      </c>
      <c r="D372" s="540">
        <v>68858</v>
      </c>
      <c r="E372" s="540">
        <v>1157</v>
      </c>
      <c r="F372" s="540">
        <v>0</v>
      </c>
      <c r="G372" s="540">
        <v>0</v>
      </c>
      <c r="H372" s="540">
        <v>33</v>
      </c>
      <c r="I372" s="540">
        <v>139</v>
      </c>
      <c r="J372" s="540">
        <v>7</v>
      </c>
      <c r="K372" s="527">
        <f>IF(E372=0,0,E372/D372)</f>
        <v>0.0168026954021319</v>
      </c>
      <c r="L372" s="528">
        <f t="shared" si="137"/>
        <v>1.39218668971478</v>
      </c>
      <c r="M372" s="528">
        <f>IF(D372=0,0,C372/D372*1000)</f>
        <v>23.3924888901798</v>
      </c>
      <c r="N372" s="528">
        <f t="shared" si="138"/>
        <v>0</v>
      </c>
      <c r="O372" s="528">
        <f t="shared" si="139"/>
        <v>0</v>
      </c>
      <c r="P372" s="529">
        <f t="shared" si="140"/>
        <v>9.36488372093023</v>
      </c>
      <c r="Q372" s="24">
        <f t="shared" si="141"/>
        <v>172</v>
      </c>
      <c r="R372" s="530">
        <f t="shared" si="142"/>
        <v>0.148660328435609</v>
      </c>
    </row>
    <row r="373" hidden="1" spans="1:18">
      <c r="A373" s="524"/>
      <c r="B373" s="531" t="s">
        <v>96</v>
      </c>
      <c r="C373" s="533">
        <f t="shared" ref="C373:J373" si="149">SUM(C370:C372)</f>
        <v>1810.5</v>
      </c>
      <c r="D373" s="533">
        <f t="shared" si="149"/>
        <v>80816</v>
      </c>
      <c r="E373" s="533">
        <f t="shared" si="149"/>
        <v>1396</v>
      </c>
      <c r="F373" s="533">
        <f t="shared" si="149"/>
        <v>0</v>
      </c>
      <c r="G373" s="533">
        <f t="shared" si="149"/>
        <v>0</v>
      </c>
      <c r="H373" s="533">
        <f t="shared" si="149"/>
        <v>34</v>
      </c>
      <c r="I373" s="533">
        <f t="shared" si="149"/>
        <v>150</v>
      </c>
      <c r="J373" s="533">
        <f t="shared" si="149"/>
        <v>9</v>
      </c>
      <c r="K373" s="534">
        <f>E373/D373</f>
        <v>0.0172738071668976</v>
      </c>
      <c r="L373" s="535">
        <f t="shared" si="137"/>
        <v>1.29691977077364</v>
      </c>
      <c r="M373" s="535">
        <f>C373/D373*1000</f>
        <v>22.4027420312809</v>
      </c>
      <c r="N373" s="535">
        <f t="shared" si="138"/>
        <v>0</v>
      </c>
      <c r="O373" s="535">
        <f t="shared" si="139"/>
        <v>0</v>
      </c>
      <c r="P373" s="536">
        <f t="shared" si="140"/>
        <v>9.83967391304348</v>
      </c>
      <c r="Q373" s="531">
        <f t="shared" si="141"/>
        <v>184</v>
      </c>
      <c r="R373" s="537">
        <f t="shared" si="142"/>
        <v>0.131805157593123</v>
      </c>
    </row>
    <row r="374" hidden="1" spans="1:18">
      <c r="A374" s="524">
        <v>45514</v>
      </c>
      <c r="B374" s="24" t="s">
        <v>91</v>
      </c>
      <c r="C374" s="540">
        <v>198.51</v>
      </c>
      <c r="D374" s="540">
        <v>13742</v>
      </c>
      <c r="E374" s="540">
        <v>330</v>
      </c>
      <c r="F374" s="540">
        <v>0</v>
      </c>
      <c r="G374" s="540">
        <v>0</v>
      </c>
      <c r="H374" s="540">
        <v>4</v>
      </c>
      <c r="I374" s="540">
        <v>11</v>
      </c>
      <c r="J374" s="540">
        <v>3</v>
      </c>
      <c r="K374" s="527">
        <f>IF(E374=0,0,E374/D374)</f>
        <v>0.0240139717653908</v>
      </c>
      <c r="L374" s="528">
        <f t="shared" si="137"/>
        <v>0.601545454545454</v>
      </c>
      <c r="M374" s="528">
        <f>IF(D374=0,0,C374/D374*1000)</f>
        <v>14.4454955610537</v>
      </c>
      <c r="N374" s="528">
        <f t="shared" si="138"/>
        <v>0</v>
      </c>
      <c r="O374" s="528">
        <f t="shared" si="139"/>
        <v>0</v>
      </c>
      <c r="P374" s="529">
        <f t="shared" si="140"/>
        <v>13.234</v>
      </c>
      <c r="Q374" s="24">
        <f t="shared" si="141"/>
        <v>15</v>
      </c>
      <c r="R374" s="530">
        <f t="shared" si="142"/>
        <v>0.0454545454545455</v>
      </c>
    </row>
    <row r="375" hidden="1" spans="1:18">
      <c r="A375" s="524"/>
      <c r="B375" s="24" t="s">
        <v>92</v>
      </c>
      <c r="C375" s="540">
        <v>0</v>
      </c>
      <c r="D375" s="540">
        <v>0</v>
      </c>
      <c r="E375" s="540">
        <v>0</v>
      </c>
      <c r="F375" s="540">
        <v>0</v>
      </c>
      <c r="G375" s="540">
        <v>0</v>
      </c>
      <c r="H375" s="540">
        <v>0</v>
      </c>
      <c r="I375" s="540">
        <v>0</v>
      </c>
      <c r="J375" s="540">
        <v>0</v>
      </c>
      <c r="K375" s="527">
        <f>IF(E375=0,0,E375/D375)</f>
        <v>0</v>
      </c>
      <c r="L375" s="528">
        <f t="shared" si="137"/>
        <v>0</v>
      </c>
      <c r="M375" s="528">
        <f>IF(D375=0,0,C375/D375*1000)</f>
        <v>0</v>
      </c>
      <c r="N375" s="528">
        <f t="shared" si="138"/>
        <v>0</v>
      </c>
      <c r="O375" s="528">
        <f t="shared" si="139"/>
        <v>0</v>
      </c>
      <c r="P375" s="529">
        <f t="shared" si="140"/>
        <v>0</v>
      </c>
      <c r="Q375" s="24">
        <f t="shared" si="141"/>
        <v>0</v>
      </c>
      <c r="R375" s="530">
        <f t="shared" si="142"/>
        <v>0</v>
      </c>
    </row>
    <row r="376" hidden="1" spans="1:18">
      <c r="A376" s="524"/>
      <c r="B376" s="24" t="s">
        <v>97</v>
      </c>
      <c r="C376" s="540">
        <v>1619.57</v>
      </c>
      <c r="D376" s="540">
        <v>153594</v>
      </c>
      <c r="E376" s="540">
        <v>1398</v>
      </c>
      <c r="F376" s="540">
        <v>0</v>
      </c>
      <c r="G376" s="540">
        <v>0</v>
      </c>
      <c r="H376" s="540">
        <v>36</v>
      </c>
      <c r="I376" s="540">
        <v>132</v>
      </c>
      <c r="J376" s="540">
        <v>6</v>
      </c>
      <c r="K376" s="527">
        <f>IF(E376=0,0,E376/D376)</f>
        <v>0.00910191804367358</v>
      </c>
      <c r="L376" s="528">
        <f t="shared" si="137"/>
        <v>1.15849070100143</v>
      </c>
      <c r="M376" s="528">
        <f>IF(D376=0,0,C376/D376*1000)</f>
        <v>10.544487414873</v>
      </c>
      <c r="N376" s="528">
        <f t="shared" si="138"/>
        <v>0</v>
      </c>
      <c r="O376" s="528">
        <f t="shared" si="139"/>
        <v>0</v>
      </c>
      <c r="P376" s="529">
        <f t="shared" si="140"/>
        <v>9.64029761904762</v>
      </c>
      <c r="Q376" s="24">
        <f t="shared" si="141"/>
        <v>168</v>
      </c>
      <c r="R376" s="530">
        <f t="shared" si="142"/>
        <v>0.120171673819742</v>
      </c>
    </row>
    <row r="377" hidden="1" spans="1:18">
      <c r="A377" s="524"/>
      <c r="B377" s="531" t="s">
        <v>96</v>
      </c>
      <c r="C377" s="533">
        <f t="shared" ref="C377:J377" si="150">SUM(C374:C376)</f>
        <v>1818.08</v>
      </c>
      <c r="D377" s="533">
        <f t="shared" si="150"/>
        <v>167336</v>
      </c>
      <c r="E377" s="533">
        <f t="shared" si="150"/>
        <v>1728</v>
      </c>
      <c r="F377" s="533">
        <f t="shared" si="150"/>
        <v>0</v>
      </c>
      <c r="G377" s="533">
        <f t="shared" si="150"/>
        <v>0</v>
      </c>
      <c r="H377" s="533">
        <f t="shared" si="150"/>
        <v>40</v>
      </c>
      <c r="I377" s="533">
        <f t="shared" si="150"/>
        <v>143</v>
      </c>
      <c r="J377" s="533">
        <f t="shared" si="150"/>
        <v>9</v>
      </c>
      <c r="K377" s="534">
        <f>E377/D377</f>
        <v>0.0103265286608978</v>
      </c>
      <c r="L377" s="535">
        <f t="shared" si="137"/>
        <v>1.05212962962963</v>
      </c>
      <c r="M377" s="535">
        <f>C377/D377*1000</f>
        <v>10.8648467753502</v>
      </c>
      <c r="N377" s="535">
        <f t="shared" si="138"/>
        <v>0</v>
      </c>
      <c r="O377" s="535">
        <f t="shared" si="139"/>
        <v>0</v>
      </c>
      <c r="P377" s="536">
        <f t="shared" si="140"/>
        <v>9.93486338797814</v>
      </c>
      <c r="Q377" s="531">
        <f t="shared" si="141"/>
        <v>183</v>
      </c>
      <c r="R377" s="537">
        <f t="shared" si="142"/>
        <v>0.105902777777778</v>
      </c>
    </row>
    <row r="378" hidden="1" spans="1:18">
      <c r="A378" s="524">
        <v>45515</v>
      </c>
      <c r="B378" s="24" t="s">
        <v>91</v>
      </c>
      <c r="C378" s="540">
        <v>199.46</v>
      </c>
      <c r="D378" s="540">
        <v>14758</v>
      </c>
      <c r="E378" s="540">
        <v>450</v>
      </c>
      <c r="F378" s="540">
        <v>0</v>
      </c>
      <c r="G378" s="540">
        <v>0</v>
      </c>
      <c r="H378" s="540">
        <v>1</v>
      </c>
      <c r="I378" s="540">
        <v>4</v>
      </c>
      <c r="J378" s="540">
        <v>7</v>
      </c>
      <c r="K378" s="527">
        <f>IF(E378=0,0,E378/D378)</f>
        <v>0.0304919365767719</v>
      </c>
      <c r="L378" s="528">
        <f t="shared" ref="L378:L409" si="151">IF(C378=0,0,C378/E378)</f>
        <v>0.443244444444444</v>
      </c>
      <c r="M378" s="528">
        <f>IF(D378=0,0,C378/D378*1000)</f>
        <v>13.5153814880065</v>
      </c>
      <c r="N378" s="528">
        <f t="shared" ref="N378:N409" si="152">IF(G378=0,0,G378/C378)</f>
        <v>0</v>
      </c>
      <c r="O378" s="528">
        <f t="shared" ref="O378:O409" si="153">IF(F378=0,0,F378/E378)</f>
        <v>0</v>
      </c>
      <c r="P378" s="529">
        <f t="shared" ref="P378:P409" si="154">IF(H378+I378=0,0,C378/(H378+I378))</f>
        <v>39.892</v>
      </c>
      <c r="Q378" s="24">
        <f t="shared" ref="Q378:Q409" si="155">H378+I378</f>
        <v>5</v>
      </c>
      <c r="R378" s="530">
        <f t="shared" ref="R378:R409" si="156">IF(Q378=0,0,Q378/E378)</f>
        <v>0.0111111111111111</v>
      </c>
    </row>
    <row r="379" hidden="1" spans="1:18">
      <c r="A379" s="524"/>
      <c r="B379" s="24" t="s">
        <v>92</v>
      </c>
      <c r="C379" s="540">
        <v>0</v>
      </c>
      <c r="D379" s="540">
        <v>0</v>
      </c>
      <c r="E379" s="540">
        <v>0</v>
      </c>
      <c r="F379" s="540">
        <v>0</v>
      </c>
      <c r="G379" s="540">
        <v>0</v>
      </c>
      <c r="H379" s="540">
        <v>0</v>
      </c>
      <c r="I379" s="540">
        <v>0</v>
      </c>
      <c r="J379" s="540">
        <v>0</v>
      </c>
      <c r="K379" s="527">
        <f>IF(E379=0,0,E379/D379)</f>
        <v>0</v>
      </c>
      <c r="L379" s="528">
        <f t="shared" si="151"/>
        <v>0</v>
      </c>
      <c r="M379" s="528">
        <f>IF(D379=0,0,C379/D379*1000)</f>
        <v>0</v>
      </c>
      <c r="N379" s="528">
        <f t="shared" si="152"/>
        <v>0</v>
      </c>
      <c r="O379" s="528">
        <f t="shared" si="153"/>
        <v>0</v>
      </c>
      <c r="P379" s="529">
        <f t="shared" si="154"/>
        <v>0</v>
      </c>
      <c r="Q379" s="24">
        <f t="shared" si="155"/>
        <v>0</v>
      </c>
      <c r="R379" s="530">
        <f t="shared" si="156"/>
        <v>0</v>
      </c>
    </row>
    <row r="380" hidden="1" spans="1:18">
      <c r="A380" s="524"/>
      <c r="B380" s="24" t="s">
        <v>97</v>
      </c>
      <c r="C380" s="540">
        <v>1618.57</v>
      </c>
      <c r="D380" s="540">
        <v>103327</v>
      </c>
      <c r="E380" s="540">
        <v>1709</v>
      </c>
      <c r="F380" s="540">
        <v>0</v>
      </c>
      <c r="G380" s="540">
        <v>0</v>
      </c>
      <c r="H380" s="540">
        <v>47</v>
      </c>
      <c r="I380" s="540">
        <v>166</v>
      </c>
      <c r="J380" s="540">
        <v>11</v>
      </c>
      <c r="K380" s="527">
        <f>IF(E380=0,0,E380/D380)</f>
        <v>0.0165397234024021</v>
      </c>
      <c r="L380" s="528">
        <f t="shared" si="151"/>
        <v>0.947086015213575</v>
      </c>
      <c r="M380" s="528">
        <f>IF(D380=0,0,C380/D380*1000)</f>
        <v>15.6645407299157</v>
      </c>
      <c r="N380" s="528">
        <f t="shared" si="152"/>
        <v>0</v>
      </c>
      <c r="O380" s="528">
        <f t="shared" si="153"/>
        <v>0</v>
      </c>
      <c r="P380" s="529">
        <f t="shared" si="154"/>
        <v>7.59892018779343</v>
      </c>
      <c r="Q380" s="24">
        <f t="shared" si="155"/>
        <v>213</v>
      </c>
      <c r="R380" s="530">
        <f t="shared" si="156"/>
        <v>0.124634289057929</v>
      </c>
    </row>
    <row r="381" hidden="1" spans="1:18">
      <c r="A381" s="524"/>
      <c r="B381" s="531" t="s">
        <v>96</v>
      </c>
      <c r="C381" s="533">
        <f t="shared" ref="C381:J381" si="157">SUM(C378:C380)</f>
        <v>1818.03</v>
      </c>
      <c r="D381" s="533">
        <f t="shared" si="157"/>
        <v>118085</v>
      </c>
      <c r="E381" s="533">
        <f t="shared" si="157"/>
        <v>2159</v>
      </c>
      <c r="F381" s="533">
        <f t="shared" si="157"/>
        <v>0</v>
      </c>
      <c r="G381" s="533">
        <f t="shared" si="157"/>
        <v>0</v>
      </c>
      <c r="H381" s="533">
        <f t="shared" si="157"/>
        <v>48</v>
      </c>
      <c r="I381" s="533">
        <f t="shared" si="157"/>
        <v>170</v>
      </c>
      <c r="J381" s="533">
        <f t="shared" si="157"/>
        <v>18</v>
      </c>
      <c r="K381" s="534">
        <f>E381/D381</f>
        <v>0.0182834398949909</v>
      </c>
      <c r="L381" s="535">
        <f t="shared" si="151"/>
        <v>0.842070402964335</v>
      </c>
      <c r="M381" s="535">
        <f>C381/D381*1000</f>
        <v>15.3959435999492</v>
      </c>
      <c r="N381" s="535">
        <f t="shared" si="152"/>
        <v>0</v>
      </c>
      <c r="O381" s="535">
        <f t="shared" si="153"/>
        <v>0</v>
      </c>
      <c r="P381" s="536">
        <f t="shared" si="154"/>
        <v>8.3395871559633</v>
      </c>
      <c r="Q381" s="531">
        <f t="shared" si="155"/>
        <v>218</v>
      </c>
      <c r="R381" s="537">
        <f t="shared" si="156"/>
        <v>0.10097267253358</v>
      </c>
    </row>
    <row r="382" hidden="1" spans="1:18">
      <c r="A382" s="524">
        <v>45516</v>
      </c>
      <c r="B382" s="24" t="s">
        <v>91</v>
      </c>
      <c r="C382" s="540">
        <v>199.48</v>
      </c>
      <c r="D382" s="540">
        <v>12540</v>
      </c>
      <c r="E382" s="540">
        <v>337</v>
      </c>
      <c r="F382" s="540">
        <v>0</v>
      </c>
      <c r="G382" s="540">
        <v>0</v>
      </c>
      <c r="H382" s="540">
        <v>3</v>
      </c>
      <c r="I382" s="540">
        <v>5</v>
      </c>
      <c r="J382" s="540">
        <v>4</v>
      </c>
      <c r="K382" s="527">
        <f>IF(E382=0,0,E382/D382)</f>
        <v>0.0268740031897927</v>
      </c>
      <c r="L382" s="528">
        <f t="shared" si="151"/>
        <v>0.591928783382789</v>
      </c>
      <c r="M382" s="528">
        <f>IF(D382=0,0,C382/D382*1000)</f>
        <v>15.9074960127592</v>
      </c>
      <c r="N382" s="528">
        <f t="shared" si="152"/>
        <v>0</v>
      </c>
      <c r="O382" s="528">
        <f t="shared" si="153"/>
        <v>0</v>
      </c>
      <c r="P382" s="529">
        <f t="shared" si="154"/>
        <v>24.935</v>
      </c>
      <c r="Q382" s="24">
        <f t="shared" si="155"/>
        <v>8</v>
      </c>
      <c r="R382" s="530">
        <f t="shared" si="156"/>
        <v>0.0237388724035608</v>
      </c>
    </row>
    <row r="383" hidden="1" spans="1:18">
      <c r="A383" s="524"/>
      <c r="B383" s="24" t="s">
        <v>92</v>
      </c>
      <c r="C383" s="540">
        <v>0</v>
      </c>
      <c r="D383" s="540">
        <v>0</v>
      </c>
      <c r="E383" s="540">
        <v>0</v>
      </c>
      <c r="F383" s="540">
        <v>0</v>
      </c>
      <c r="G383" s="540">
        <v>0</v>
      </c>
      <c r="H383" s="540">
        <v>0</v>
      </c>
      <c r="I383" s="540">
        <v>0</v>
      </c>
      <c r="J383" s="540">
        <v>0</v>
      </c>
      <c r="K383" s="527">
        <f>IF(E383=0,0,E383/D383)</f>
        <v>0</v>
      </c>
      <c r="L383" s="528">
        <f t="shared" si="151"/>
        <v>0</v>
      </c>
      <c r="M383" s="528">
        <f>IF(D383=0,0,C383/D383*1000)</f>
        <v>0</v>
      </c>
      <c r="N383" s="528">
        <f t="shared" si="152"/>
        <v>0</v>
      </c>
      <c r="O383" s="528">
        <f t="shared" si="153"/>
        <v>0</v>
      </c>
      <c r="P383" s="529">
        <f t="shared" si="154"/>
        <v>0</v>
      </c>
      <c r="Q383" s="24">
        <f t="shared" si="155"/>
        <v>0</v>
      </c>
      <c r="R383" s="530">
        <f t="shared" si="156"/>
        <v>0</v>
      </c>
    </row>
    <row r="384" hidden="1" spans="1:18">
      <c r="A384" s="524"/>
      <c r="B384" s="24" t="s">
        <v>97</v>
      </c>
      <c r="C384" s="540">
        <v>1636.06</v>
      </c>
      <c r="D384" s="540">
        <v>107730</v>
      </c>
      <c r="E384" s="540">
        <v>1671</v>
      </c>
      <c r="F384" s="540">
        <v>1</v>
      </c>
      <c r="G384" s="540">
        <v>9798</v>
      </c>
      <c r="H384" s="540">
        <v>41</v>
      </c>
      <c r="I384" s="540">
        <v>168</v>
      </c>
      <c r="J384" s="540">
        <v>7</v>
      </c>
      <c r="K384" s="527">
        <f>IF(E384=0,0,E384/D384)</f>
        <v>0.015510999721526</v>
      </c>
      <c r="L384" s="528">
        <f t="shared" si="151"/>
        <v>0.979090365050868</v>
      </c>
      <c r="M384" s="528">
        <f>IF(D384=0,0,C384/D384*1000)</f>
        <v>15.1866703796528</v>
      </c>
      <c r="N384" s="528">
        <f t="shared" si="152"/>
        <v>5.98877791768028</v>
      </c>
      <c r="O384" s="528">
        <f t="shared" si="153"/>
        <v>0.000598444045481747</v>
      </c>
      <c r="P384" s="529">
        <f t="shared" si="154"/>
        <v>7.82803827751196</v>
      </c>
      <c r="Q384" s="24">
        <f t="shared" si="155"/>
        <v>209</v>
      </c>
      <c r="R384" s="530">
        <f t="shared" si="156"/>
        <v>0.125074805505685</v>
      </c>
    </row>
    <row r="385" hidden="1" spans="1:18">
      <c r="A385" s="524"/>
      <c r="B385" s="531" t="s">
        <v>96</v>
      </c>
      <c r="C385" s="533">
        <f t="shared" ref="C385:J385" si="158">SUM(C382:C384)</f>
        <v>1835.54</v>
      </c>
      <c r="D385" s="533">
        <f t="shared" si="158"/>
        <v>120270</v>
      </c>
      <c r="E385" s="533">
        <f t="shared" si="158"/>
        <v>2008</v>
      </c>
      <c r="F385" s="533">
        <f t="shared" si="158"/>
        <v>1</v>
      </c>
      <c r="G385" s="533">
        <f t="shared" si="158"/>
        <v>9798</v>
      </c>
      <c r="H385" s="533">
        <f t="shared" si="158"/>
        <v>44</v>
      </c>
      <c r="I385" s="533">
        <f t="shared" si="158"/>
        <v>173</v>
      </c>
      <c r="J385" s="533">
        <f t="shared" si="158"/>
        <v>11</v>
      </c>
      <c r="K385" s="534">
        <f>E385/D385</f>
        <v>0.0166957678556581</v>
      </c>
      <c r="L385" s="535">
        <f t="shared" si="151"/>
        <v>0.914113545816733</v>
      </c>
      <c r="M385" s="535">
        <f>C385/D385*1000</f>
        <v>15.2618275546687</v>
      </c>
      <c r="N385" s="535">
        <f t="shared" si="152"/>
        <v>5.33793869923837</v>
      </c>
      <c r="O385" s="535">
        <f t="shared" si="153"/>
        <v>0.00049800796812749</v>
      </c>
      <c r="P385" s="536">
        <f t="shared" si="154"/>
        <v>8.45870967741936</v>
      </c>
      <c r="Q385" s="531">
        <f t="shared" si="155"/>
        <v>217</v>
      </c>
      <c r="R385" s="537">
        <f t="shared" si="156"/>
        <v>0.108067729083665</v>
      </c>
    </row>
    <row r="386" hidden="1" spans="1:18">
      <c r="A386" s="524">
        <v>45517</v>
      </c>
      <c r="B386" s="24" t="s">
        <v>91</v>
      </c>
      <c r="C386" s="540">
        <v>199.74</v>
      </c>
      <c r="D386" s="540">
        <v>10840</v>
      </c>
      <c r="E386" s="540">
        <v>304</v>
      </c>
      <c r="F386" s="540">
        <v>0</v>
      </c>
      <c r="G386" s="540">
        <v>0</v>
      </c>
      <c r="H386" s="540">
        <v>2</v>
      </c>
      <c r="I386" s="540">
        <v>0</v>
      </c>
      <c r="J386" s="540">
        <v>6</v>
      </c>
      <c r="K386" s="527">
        <f>IF(E386=0,0,E386/D386)</f>
        <v>0.0280442804428044</v>
      </c>
      <c r="L386" s="528">
        <f t="shared" si="151"/>
        <v>0.657039473684211</v>
      </c>
      <c r="M386" s="528">
        <f>IF(D386=0,0,C386/D386*1000)</f>
        <v>18.4261992619926</v>
      </c>
      <c r="N386" s="528">
        <f t="shared" si="152"/>
        <v>0</v>
      </c>
      <c r="O386" s="528">
        <f t="shared" si="153"/>
        <v>0</v>
      </c>
      <c r="P386" s="529">
        <f t="shared" si="154"/>
        <v>99.87</v>
      </c>
      <c r="Q386" s="24">
        <f t="shared" si="155"/>
        <v>2</v>
      </c>
      <c r="R386" s="530">
        <f t="shared" si="156"/>
        <v>0.00657894736842105</v>
      </c>
    </row>
    <row r="387" hidden="1" spans="1:18">
      <c r="A387" s="524"/>
      <c r="B387" s="24" t="s">
        <v>92</v>
      </c>
      <c r="C387" s="540">
        <v>0</v>
      </c>
      <c r="D387" s="540">
        <v>0</v>
      </c>
      <c r="E387" s="540">
        <v>0</v>
      </c>
      <c r="F387" s="540">
        <v>0</v>
      </c>
      <c r="G387" s="540">
        <v>0</v>
      </c>
      <c r="H387" s="540">
        <v>0</v>
      </c>
      <c r="I387" s="540">
        <v>0</v>
      </c>
      <c r="J387" s="540">
        <v>0</v>
      </c>
      <c r="K387" s="527">
        <f>IF(E387=0,0,E387/D387)</f>
        <v>0</v>
      </c>
      <c r="L387" s="528">
        <f t="shared" si="151"/>
        <v>0</v>
      </c>
      <c r="M387" s="528">
        <f>IF(D387=0,0,C387/D387*1000)</f>
        <v>0</v>
      </c>
      <c r="N387" s="528">
        <f t="shared" si="152"/>
        <v>0</v>
      </c>
      <c r="O387" s="528">
        <f t="shared" si="153"/>
        <v>0</v>
      </c>
      <c r="P387" s="529">
        <f t="shared" si="154"/>
        <v>0</v>
      </c>
      <c r="Q387" s="24">
        <f t="shared" si="155"/>
        <v>0</v>
      </c>
      <c r="R387" s="530">
        <f t="shared" si="156"/>
        <v>0</v>
      </c>
    </row>
    <row r="388" hidden="1" spans="1:18">
      <c r="A388" s="524"/>
      <c r="B388" s="24" t="s">
        <v>97</v>
      </c>
      <c r="C388" s="540">
        <v>1794.06</v>
      </c>
      <c r="D388" s="540">
        <v>146386</v>
      </c>
      <c r="E388" s="540">
        <v>2014</v>
      </c>
      <c r="F388" s="540">
        <v>0</v>
      </c>
      <c r="G388" s="540">
        <v>0</v>
      </c>
      <c r="H388" s="540">
        <v>62</v>
      </c>
      <c r="I388" s="540">
        <v>188</v>
      </c>
      <c r="J388" s="540">
        <v>6</v>
      </c>
      <c r="K388" s="527">
        <f>IF(E388=0,0,E388/D388)</f>
        <v>0.0137581462708182</v>
      </c>
      <c r="L388" s="528">
        <f t="shared" si="151"/>
        <v>0.890794438927507</v>
      </c>
      <c r="M388" s="528">
        <f>IF(D388=0,0,C388/D388*1000)</f>
        <v>12.2556801879961</v>
      </c>
      <c r="N388" s="528">
        <f t="shared" si="152"/>
        <v>0</v>
      </c>
      <c r="O388" s="528">
        <f t="shared" si="153"/>
        <v>0</v>
      </c>
      <c r="P388" s="529">
        <f t="shared" si="154"/>
        <v>7.17624</v>
      </c>
      <c r="Q388" s="24">
        <f t="shared" si="155"/>
        <v>250</v>
      </c>
      <c r="R388" s="530">
        <f t="shared" si="156"/>
        <v>0.124131082423039</v>
      </c>
    </row>
    <row r="389" hidden="1" spans="1:18">
      <c r="A389" s="524"/>
      <c r="B389" s="531" t="s">
        <v>96</v>
      </c>
      <c r="C389" s="533">
        <f t="shared" ref="C389:J389" si="159">SUM(C386:C388)</f>
        <v>1993.8</v>
      </c>
      <c r="D389" s="533">
        <f t="shared" si="159"/>
        <v>157226</v>
      </c>
      <c r="E389" s="533">
        <f t="shared" si="159"/>
        <v>2318</v>
      </c>
      <c r="F389" s="533">
        <f t="shared" si="159"/>
        <v>0</v>
      </c>
      <c r="G389" s="533">
        <f t="shared" si="159"/>
        <v>0</v>
      </c>
      <c r="H389" s="533">
        <f t="shared" si="159"/>
        <v>64</v>
      </c>
      <c r="I389" s="533">
        <f t="shared" si="159"/>
        <v>188</v>
      </c>
      <c r="J389" s="533">
        <f t="shared" si="159"/>
        <v>12</v>
      </c>
      <c r="K389" s="534">
        <f>E389/D389</f>
        <v>0.0147431086461527</v>
      </c>
      <c r="L389" s="535">
        <f t="shared" si="151"/>
        <v>0.860138050043141</v>
      </c>
      <c r="M389" s="535">
        <f>C389/D389*1000</f>
        <v>12.6811087224759</v>
      </c>
      <c r="N389" s="535">
        <f t="shared" si="152"/>
        <v>0</v>
      </c>
      <c r="O389" s="535">
        <f t="shared" si="153"/>
        <v>0</v>
      </c>
      <c r="P389" s="536">
        <f t="shared" si="154"/>
        <v>7.91190476190476</v>
      </c>
      <c r="Q389" s="531">
        <f t="shared" si="155"/>
        <v>252</v>
      </c>
      <c r="R389" s="537">
        <f t="shared" si="156"/>
        <v>0.108714408973253</v>
      </c>
    </row>
    <row r="390" hidden="1" spans="1:18">
      <c r="A390" s="524">
        <v>45518</v>
      </c>
      <c r="B390" s="24" t="s">
        <v>91</v>
      </c>
      <c r="C390" s="540">
        <v>198.86</v>
      </c>
      <c r="D390" s="540">
        <v>12539</v>
      </c>
      <c r="E390" s="540">
        <v>385</v>
      </c>
      <c r="F390" s="540">
        <v>0</v>
      </c>
      <c r="G390" s="540">
        <v>0</v>
      </c>
      <c r="H390" s="540">
        <v>2</v>
      </c>
      <c r="I390" s="540">
        <v>8</v>
      </c>
      <c r="J390" s="540">
        <v>4</v>
      </c>
      <c r="K390" s="527">
        <f>IF(E390=0,0,E390/D390)</f>
        <v>0.0307042028869926</v>
      </c>
      <c r="L390" s="528">
        <f t="shared" si="151"/>
        <v>0.516519480519481</v>
      </c>
      <c r="M390" s="528">
        <f>IF(D390=0,0,C390/D390*1000)</f>
        <v>15.8593189249541</v>
      </c>
      <c r="N390" s="528">
        <f t="shared" si="152"/>
        <v>0</v>
      </c>
      <c r="O390" s="528">
        <f t="shared" si="153"/>
        <v>0</v>
      </c>
      <c r="P390" s="529">
        <f t="shared" si="154"/>
        <v>19.886</v>
      </c>
      <c r="Q390" s="24">
        <f t="shared" si="155"/>
        <v>10</v>
      </c>
      <c r="R390" s="530">
        <f t="shared" si="156"/>
        <v>0.025974025974026</v>
      </c>
    </row>
    <row r="391" hidden="1" spans="1:18">
      <c r="A391" s="524"/>
      <c r="B391" s="24" t="s">
        <v>92</v>
      </c>
      <c r="C391" s="540">
        <v>500</v>
      </c>
      <c r="D391" s="540">
        <v>14216</v>
      </c>
      <c r="E391" s="540">
        <v>1027</v>
      </c>
      <c r="F391" s="540">
        <v>0</v>
      </c>
      <c r="G391" s="540">
        <v>0</v>
      </c>
      <c r="H391" s="540">
        <v>6</v>
      </c>
      <c r="I391" s="540">
        <v>6</v>
      </c>
      <c r="J391" s="540">
        <v>0</v>
      </c>
      <c r="K391" s="527">
        <f>IF(E391=0,0,E391/D391)</f>
        <v>0.0722425436128306</v>
      </c>
      <c r="L391" s="528">
        <f t="shared" si="151"/>
        <v>0.486854917234664</v>
      </c>
      <c r="M391" s="528">
        <f>IF(D391=0,0,C391/D391*1000)</f>
        <v>35.1716375914463</v>
      </c>
      <c r="N391" s="528">
        <f t="shared" si="152"/>
        <v>0</v>
      </c>
      <c r="O391" s="528">
        <f t="shared" si="153"/>
        <v>0</v>
      </c>
      <c r="P391" s="529">
        <f t="shared" si="154"/>
        <v>41.6666666666667</v>
      </c>
      <c r="Q391" s="24">
        <f t="shared" si="155"/>
        <v>12</v>
      </c>
      <c r="R391" s="530">
        <f t="shared" si="156"/>
        <v>0.0116845180136319</v>
      </c>
    </row>
    <row r="392" hidden="1" spans="1:18">
      <c r="A392" s="524"/>
      <c r="B392" s="24" t="s">
        <v>97</v>
      </c>
      <c r="C392" s="540">
        <v>1797.84</v>
      </c>
      <c r="D392" s="540">
        <v>163023</v>
      </c>
      <c r="E392" s="540">
        <v>1841</v>
      </c>
      <c r="F392" s="540">
        <v>1</v>
      </c>
      <c r="G392" s="540">
        <v>10894</v>
      </c>
      <c r="H392" s="540">
        <v>74</v>
      </c>
      <c r="I392" s="540">
        <v>178</v>
      </c>
      <c r="J392" s="540">
        <v>13</v>
      </c>
      <c r="K392" s="527">
        <f>IF(E392=0,0,E392/D392)</f>
        <v>0.0112928850530293</v>
      </c>
      <c r="L392" s="528">
        <f t="shared" si="151"/>
        <v>0.976556219445953</v>
      </c>
      <c r="M392" s="528">
        <f>IF(D392=0,0,C392/D392*1000)</f>
        <v>11.028137134024</v>
      </c>
      <c r="N392" s="528">
        <f t="shared" si="152"/>
        <v>6.05949361455969</v>
      </c>
      <c r="O392" s="528">
        <f t="shared" si="153"/>
        <v>0.000543183052688756</v>
      </c>
      <c r="P392" s="529">
        <f t="shared" si="154"/>
        <v>7.13428571428571</v>
      </c>
      <c r="Q392" s="24">
        <f t="shared" si="155"/>
        <v>252</v>
      </c>
      <c r="R392" s="530">
        <f t="shared" si="156"/>
        <v>0.136882129277567</v>
      </c>
    </row>
    <row r="393" hidden="1" spans="1:18">
      <c r="A393" s="524"/>
      <c r="B393" s="531" t="s">
        <v>96</v>
      </c>
      <c r="C393" s="533">
        <f t="shared" ref="C393:J393" si="160">SUM(C390:C392)</f>
        <v>2496.7</v>
      </c>
      <c r="D393" s="533">
        <f t="shared" si="160"/>
        <v>189778</v>
      </c>
      <c r="E393" s="533">
        <f t="shared" si="160"/>
        <v>3253</v>
      </c>
      <c r="F393" s="533">
        <f t="shared" si="160"/>
        <v>1</v>
      </c>
      <c r="G393" s="533">
        <f t="shared" si="160"/>
        <v>10894</v>
      </c>
      <c r="H393" s="533">
        <f t="shared" si="160"/>
        <v>82</v>
      </c>
      <c r="I393" s="533">
        <f t="shared" si="160"/>
        <v>192</v>
      </c>
      <c r="J393" s="533">
        <f t="shared" si="160"/>
        <v>17</v>
      </c>
      <c r="K393" s="534">
        <f>E393/D393</f>
        <v>0.0171410806310531</v>
      </c>
      <c r="L393" s="535">
        <f t="shared" si="151"/>
        <v>0.767506916692284</v>
      </c>
      <c r="M393" s="535">
        <f>C393/D393*1000</f>
        <v>13.1558979439134</v>
      </c>
      <c r="N393" s="535">
        <f t="shared" si="152"/>
        <v>4.36335963471783</v>
      </c>
      <c r="O393" s="535">
        <f t="shared" si="153"/>
        <v>0.000307408545957578</v>
      </c>
      <c r="P393" s="536">
        <f t="shared" si="154"/>
        <v>9.11204379562044</v>
      </c>
      <c r="Q393" s="531">
        <f t="shared" si="155"/>
        <v>274</v>
      </c>
      <c r="R393" s="537">
        <f t="shared" si="156"/>
        <v>0.0842299415923763</v>
      </c>
    </row>
    <row r="394" hidden="1" spans="1:18">
      <c r="A394" s="524">
        <v>45519</v>
      </c>
      <c r="B394" s="24" t="s">
        <v>91</v>
      </c>
      <c r="C394" s="540">
        <v>200</v>
      </c>
      <c r="D394" s="540">
        <v>14043</v>
      </c>
      <c r="E394" s="540">
        <v>414</v>
      </c>
      <c r="F394" s="540">
        <v>0</v>
      </c>
      <c r="G394" s="540">
        <v>0</v>
      </c>
      <c r="H394" s="540">
        <v>3</v>
      </c>
      <c r="I394" s="540">
        <v>3</v>
      </c>
      <c r="J394" s="540">
        <v>2</v>
      </c>
      <c r="K394" s="527">
        <f>IF(E394=0,0,E394/D394)</f>
        <v>0.0294808801538133</v>
      </c>
      <c r="L394" s="528">
        <f t="shared" si="151"/>
        <v>0.483091787439614</v>
      </c>
      <c r="M394" s="528">
        <f>IF(D394=0,0,C394/D394*1000)</f>
        <v>14.2419710887987</v>
      </c>
      <c r="N394" s="528">
        <f t="shared" si="152"/>
        <v>0</v>
      </c>
      <c r="O394" s="528">
        <f t="shared" si="153"/>
        <v>0</v>
      </c>
      <c r="P394" s="529">
        <f t="shared" si="154"/>
        <v>33.3333333333333</v>
      </c>
      <c r="Q394" s="24">
        <f t="shared" si="155"/>
        <v>6</v>
      </c>
      <c r="R394" s="530">
        <f t="shared" si="156"/>
        <v>0.0144927536231884</v>
      </c>
    </row>
    <row r="395" hidden="1" spans="1:18">
      <c r="A395" s="524"/>
      <c r="B395" s="24" t="s">
        <v>92</v>
      </c>
      <c r="C395" s="540">
        <v>0</v>
      </c>
      <c r="D395" s="540">
        <v>6</v>
      </c>
      <c r="E395" s="540">
        <v>0</v>
      </c>
      <c r="F395" s="540">
        <v>0</v>
      </c>
      <c r="G395" s="540">
        <v>0</v>
      </c>
      <c r="H395" s="540">
        <v>0</v>
      </c>
      <c r="I395" s="540">
        <v>0</v>
      </c>
      <c r="J395" s="540">
        <v>0</v>
      </c>
      <c r="K395" s="527">
        <f>IF(E395=0,0,E395/D395)</f>
        <v>0</v>
      </c>
      <c r="L395" s="528">
        <f t="shared" si="151"/>
        <v>0</v>
      </c>
      <c r="M395" s="528">
        <f>IF(D395=0,0,C395/D395*1000)</f>
        <v>0</v>
      </c>
      <c r="N395" s="528">
        <f t="shared" si="152"/>
        <v>0</v>
      </c>
      <c r="O395" s="528">
        <f t="shared" si="153"/>
        <v>0</v>
      </c>
      <c r="P395" s="529">
        <f t="shared" si="154"/>
        <v>0</v>
      </c>
      <c r="Q395" s="24">
        <f t="shared" si="155"/>
        <v>0</v>
      </c>
      <c r="R395" s="530">
        <f t="shared" si="156"/>
        <v>0</v>
      </c>
    </row>
    <row r="396" hidden="1" spans="1:18">
      <c r="A396" s="524"/>
      <c r="B396" s="24" t="s">
        <v>97</v>
      </c>
      <c r="C396" s="540">
        <v>1828.79</v>
      </c>
      <c r="D396" s="540">
        <v>144439</v>
      </c>
      <c r="E396" s="540">
        <v>1889</v>
      </c>
      <c r="F396" s="540">
        <v>0</v>
      </c>
      <c r="G396" s="540">
        <v>0</v>
      </c>
      <c r="H396" s="540">
        <v>55</v>
      </c>
      <c r="I396" s="540">
        <v>188</v>
      </c>
      <c r="J396" s="540">
        <v>7</v>
      </c>
      <c r="K396" s="527">
        <f>IF(E396=0,0,E396/D396)</f>
        <v>0.013078185254675</v>
      </c>
      <c r="L396" s="528">
        <f t="shared" si="151"/>
        <v>0.968125992588671</v>
      </c>
      <c r="M396" s="528">
        <f>IF(D396=0,0,C396/D396*1000)</f>
        <v>12.6613310809407</v>
      </c>
      <c r="N396" s="528">
        <f t="shared" si="152"/>
        <v>0</v>
      </c>
      <c r="O396" s="528">
        <f t="shared" si="153"/>
        <v>0</v>
      </c>
      <c r="P396" s="529">
        <f t="shared" si="154"/>
        <v>7.52588477366255</v>
      </c>
      <c r="Q396" s="24">
        <f t="shared" si="155"/>
        <v>243</v>
      </c>
      <c r="R396" s="530">
        <f t="shared" si="156"/>
        <v>0.1286394917946</v>
      </c>
    </row>
    <row r="397" hidden="1" spans="1:18">
      <c r="A397" s="524"/>
      <c r="B397" s="531" t="s">
        <v>96</v>
      </c>
      <c r="C397" s="533">
        <f t="shared" ref="C397:J397" si="161">SUM(C394:C396)</f>
        <v>2028.79</v>
      </c>
      <c r="D397" s="533">
        <f t="shared" si="161"/>
        <v>158488</v>
      </c>
      <c r="E397" s="533">
        <f t="shared" si="161"/>
        <v>2303</v>
      </c>
      <c r="F397" s="533">
        <f t="shared" si="161"/>
        <v>0</v>
      </c>
      <c r="G397" s="533">
        <f t="shared" si="161"/>
        <v>0</v>
      </c>
      <c r="H397" s="533">
        <f t="shared" si="161"/>
        <v>58</v>
      </c>
      <c r="I397" s="533">
        <f t="shared" si="161"/>
        <v>191</v>
      </c>
      <c r="J397" s="533">
        <f t="shared" si="161"/>
        <v>9</v>
      </c>
      <c r="K397" s="534">
        <f>E397/D397</f>
        <v>0.0145310685982535</v>
      </c>
      <c r="L397" s="535">
        <f t="shared" si="151"/>
        <v>0.880933564915328</v>
      </c>
      <c r="M397" s="535">
        <f>C397/D397*1000</f>
        <v>12.8009060622886</v>
      </c>
      <c r="N397" s="535">
        <f t="shared" si="152"/>
        <v>0</v>
      </c>
      <c r="O397" s="535">
        <f t="shared" si="153"/>
        <v>0</v>
      </c>
      <c r="P397" s="536">
        <f t="shared" si="154"/>
        <v>8.14775100401606</v>
      </c>
      <c r="Q397" s="531">
        <f t="shared" si="155"/>
        <v>249</v>
      </c>
      <c r="R397" s="537">
        <f t="shared" si="156"/>
        <v>0.108119843682154</v>
      </c>
    </row>
    <row r="398" hidden="1" spans="1:18">
      <c r="A398" s="524">
        <v>45520</v>
      </c>
      <c r="B398" s="24" t="s">
        <v>91</v>
      </c>
      <c r="C398" s="540">
        <v>199.34</v>
      </c>
      <c r="D398" s="540">
        <v>20389</v>
      </c>
      <c r="E398" s="540">
        <v>483</v>
      </c>
      <c r="F398" s="540">
        <v>2</v>
      </c>
      <c r="G398" s="540">
        <v>22732</v>
      </c>
      <c r="H398" s="540">
        <v>4</v>
      </c>
      <c r="I398" s="540">
        <v>2</v>
      </c>
      <c r="J398" s="540">
        <v>6</v>
      </c>
      <c r="K398" s="527">
        <f>IF(E398=0,0,E398/D398)</f>
        <v>0.0236892442003041</v>
      </c>
      <c r="L398" s="528">
        <f t="shared" si="151"/>
        <v>0.412712215320911</v>
      </c>
      <c r="M398" s="528">
        <f>IF(D398=0,0,C398/D398*1000)</f>
        <v>9.77684045318554</v>
      </c>
      <c r="N398" s="528">
        <f t="shared" si="152"/>
        <v>114.036319855523</v>
      </c>
      <c r="O398" s="528">
        <f t="shared" si="153"/>
        <v>0.0041407867494824</v>
      </c>
      <c r="P398" s="529">
        <f t="shared" si="154"/>
        <v>33.2233333333333</v>
      </c>
      <c r="Q398" s="24">
        <f t="shared" si="155"/>
        <v>6</v>
      </c>
      <c r="R398" s="530">
        <f t="shared" si="156"/>
        <v>0.0124223602484472</v>
      </c>
    </row>
    <row r="399" hidden="1" spans="1:18">
      <c r="A399" s="524"/>
      <c r="B399" s="24" t="s">
        <v>92</v>
      </c>
      <c r="C399" s="540">
        <v>0</v>
      </c>
      <c r="D399" s="540">
        <v>0</v>
      </c>
      <c r="E399" s="540">
        <v>0</v>
      </c>
      <c r="F399" s="540">
        <v>0</v>
      </c>
      <c r="G399" s="540">
        <v>0</v>
      </c>
      <c r="H399" s="540">
        <v>0</v>
      </c>
      <c r="I399" s="540">
        <v>0</v>
      </c>
      <c r="J399" s="540">
        <v>0</v>
      </c>
      <c r="K399" s="527">
        <f>IF(E399=0,0,E399/D399)</f>
        <v>0</v>
      </c>
      <c r="L399" s="528">
        <f t="shared" si="151"/>
        <v>0</v>
      </c>
      <c r="M399" s="528">
        <f>IF(D399=0,0,C399/D399*1000)</f>
        <v>0</v>
      </c>
      <c r="N399" s="528">
        <f t="shared" si="152"/>
        <v>0</v>
      </c>
      <c r="O399" s="528">
        <f t="shared" si="153"/>
        <v>0</v>
      </c>
      <c r="P399" s="529">
        <f t="shared" si="154"/>
        <v>0</v>
      </c>
      <c r="Q399" s="24">
        <f t="shared" si="155"/>
        <v>0</v>
      </c>
      <c r="R399" s="530">
        <f t="shared" si="156"/>
        <v>0</v>
      </c>
    </row>
    <row r="400" hidden="1" spans="1:18">
      <c r="A400" s="524"/>
      <c r="B400" s="24" t="s">
        <v>97</v>
      </c>
      <c r="C400" s="540">
        <v>1829.58</v>
      </c>
      <c r="D400" s="540">
        <v>245500</v>
      </c>
      <c r="E400" s="540">
        <v>2121</v>
      </c>
      <c r="F400" s="540">
        <v>0</v>
      </c>
      <c r="G400" s="540">
        <v>0</v>
      </c>
      <c r="H400" s="540">
        <v>51</v>
      </c>
      <c r="I400" s="540">
        <v>208</v>
      </c>
      <c r="J400" s="540">
        <v>5</v>
      </c>
      <c r="K400" s="527">
        <f>IF(E400=0,0,E400/D400)</f>
        <v>0.00863951120162933</v>
      </c>
      <c r="L400" s="528">
        <f t="shared" si="151"/>
        <v>0.862602545968883</v>
      </c>
      <c r="M400" s="528">
        <f>IF(D400=0,0,C400/D400*1000)</f>
        <v>7.45246435845214</v>
      </c>
      <c r="N400" s="528">
        <f t="shared" si="152"/>
        <v>0</v>
      </c>
      <c r="O400" s="528">
        <f t="shared" si="153"/>
        <v>0</v>
      </c>
      <c r="P400" s="529">
        <f t="shared" si="154"/>
        <v>7.06401544401544</v>
      </c>
      <c r="Q400" s="24">
        <f t="shared" si="155"/>
        <v>259</v>
      </c>
      <c r="R400" s="530">
        <f t="shared" si="156"/>
        <v>0.122112211221122</v>
      </c>
    </row>
    <row r="401" hidden="1" spans="1:18">
      <c r="A401" s="524"/>
      <c r="B401" s="531" t="s">
        <v>96</v>
      </c>
      <c r="C401" s="533">
        <f t="shared" ref="C401:J401" si="162">SUM(C398:C400)</f>
        <v>2028.92</v>
      </c>
      <c r="D401" s="533">
        <f t="shared" si="162"/>
        <v>265889</v>
      </c>
      <c r="E401" s="533">
        <f t="shared" si="162"/>
        <v>2604</v>
      </c>
      <c r="F401" s="533">
        <f t="shared" si="162"/>
        <v>2</v>
      </c>
      <c r="G401" s="533">
        <f t="shared" si="162"/>
        <v>22732</v>
      </c>
      <c r="H401" s="533">
        <f t="shared" si="162"/>
        <v>55</v>
      </c>
      <c r="I401" s="533">
        <f t="shared" si="162"/>
        <v>210</v>
      </c>
      <c r="J401" s="533">
        <f t="shared" si="162"/>
        <v>11</v>
      </c>
      <c r="K401" s="534">
        <f>E401/D401</f>
        <v>0.00979356047072275</v>
      </c>
      <c r="L401" s="535">
        <f t="shared" si="151"/>
        <v>0.779155145929339</v>
      </c>
      <c r="M401" s="535">
        <f>C401/D401*1000</f>
        <v>7.63070303773379</v>
      </c>
      <c r="N401" s="535">
        <f t="shared" si="152"/>
        <v>11.2039903002583</v>
      </c>
      <c r="O401" s="535">
        <f t="shared" si="153"/>
        <v>0.000768049155145929</v>
      </c>
      <c r="P401" s="536">
        <f t="shared" si="154"/>
        <v>7.65630188679245</v>
      </c>
      <c r="Q401" s="531">
        <f t="shared" si="155"/>
        <v>265</v>
      </c>
      <c r="R401" s="537">
        <f t="shared" si="156"/>
        <v>0.101766513056836</v>
      </c>
    </row>
    <row r="402" hidden="1" spans="1:18">
      <c r="A402" s="524">
        <v>45521</v>
      </c>
      <c r="B402" s="24" t="s">
        <v>91</v>
      </c>
      <c r="C402" s="540">
        <v>199.84</v>
      </c>
      <c r="D402" s="540">
        <v>14521</v>
      </c>
      <c r="E402" s="540">
        <v>361</v>
      </c>
      <c r="F402" s="540">
        <v>0</v>
      </c>
      <c r="G402" s="540">
        <v>0</v>
      </c>
      <c r="H402" s="540">
        <v>2</v>
      </c>
      <c r="I402" s="540">
        <v>4</v>
      </c>
      <c r="J402" s="540">
        <v>5</v>
      </c>
      <c r="K402" s="527">
        <f>IF(E402=0,0,E402/D402)</f>
        <v>0.0248605467942979</v>
      </c>
      <c r="L402" s="528">
        <f t="shared" si="151"/>
        <v>0.553573407202216</v>
      </c>
      <c r="M402" s="528">
        <f>IF(D402=0,0,C402/D402*1000)</f>
        <v>13.7621375938296</v>
      </c>
      <c r="N402" s="528">
        <f t="shared" si="152"/>
        <v>0</v>
      </c>
      <c r="O402" s="528">
        <f t="shared" si="153"/>
        <v>0</v>
      </c>
      <c r="P402" s="529">
        <f t="shared" si="154"/>
        <v>33.3066666666667</v>
      </c>
      <c r="Q402" s="24">
        <f t="shared" si="155"/>
        <v>6</v>
      </c>
      <c r="R402" s="530">
        <f t="shared" si="156"/>
        <v>0.0166204986149584</v>
      </c>
    </row>
    <row r="403" hidden="1" spans="1:18">
      <c r="A403" s="524"/>
      <c r="B403" s="24" t="s">
        <v>92</v>
      </c>
      <c r="C403" s="540">
        <v>0</v>
      </c>
      <c r="D403" s="540">
        <v>0</v>
      </c>
      <c r="E403" s="540">
        <v>0</v>
      </c>
      <c r="F403" s="540">
        <v>0</v>
      </c>
      <c r="G403" s="540">
        <v>0</v>
      </c>
      <c r="H403" s="540">
        <v>0</v>
      </c>
      <c r="I403" s="540">
        <v>0</v>
      </c>
      <c r="J403" s="540">
        <v>0</v>
      </c>
      <c r="K403" s="527">
        <f>IF(E403=0,0,E403/D403)</f>
        <v>0</v>
      </c>
      <c r="L403" s="528">
        <f t="shared" si="151"/>
        <v>0</v>
      </c>
      <c r="M403" s="528">
        <f>IF(D403=0,0,C403/D403*1000)</f>
        <v>0</v>
      </c>
      <c r="N403" s="528">
        <f t="shared" si="152"/>
        <v>0</v>
      </c>
      <c r="O403" s="528">
        <f t="shared" si="153"/>
        <v>0</v>
      </c>
      <c r="P403" s="529">
        <f t="shared" si="154"/>
        <v>0</v>
      </c>
      <c r="Q403" s="24">
        <f t="shared" si="155"/>
        <v>0</v>
      </c>
      <c r="R403" s="530">
        <f t="shared" si="156"/>
        <v>0</v>
      </c>
    </row>
    <row r="404" hidden="1" spans="1:18">
      <c r="A404" s="524"/>
      <c r="B404" s="24" t="s">
        <v>97</v>
      </c>
      <c r="C404" s="540">
        <v>1875.09</v>
      </c>
      <c r="D404" s="540">
        <v>262467</v>
      </c>
      <c r="E404" s="540">
        <v>2130</v>
      </c>
      <c r="F404" s="540">
        <v>2</v>
      </c>
      <c r="G404" s="540">
        <v>19.8</v>
      </c>
      <c r="H404" s="540">
        <v>54</v>
      </c>
      <c r="I404" s="540">
        <v>162</v>
      </c>
      <c r="J404" s="540">
        <v>10</v>
      </c>
      <c r="K404" s="527">
        <f>IF(E404=0,0,E404/D404)</f>
        <v>0.00811530592417332</v>
      </c>
      <c r="L404" s="528">
        <f t="shared" si="151"/>
        <v>0.880323943661972</v>
      </c>
      <c r="M404" s="528">
        <f>IF(D404=0,0,C404/D404*1000)</f>
        <v>7.14409811519162</v>
      </c>
      <c r="N404" s="528">
        <f t="shared" si="152"/>
        <v>0.0105594931443291</v>
      </c>
      <c r="O404" s="528">
        <f t="shared" si="153"/>
        <v>0.000938967136150235</v>
      </c>
      <c r="P404" s="529">
        <f t="shared" si="154"/>
        <v>8.68097222222222</v>
      </c>
      <c r="Q404" s="24">
        <f t="shared" si="155"/>
        <v>216</v>
      </c>
      <c r="R404" s="530">
        <f t="shared" si="156"/>
        <v>0.101408450704225</v>
      </c>
    </row>
    <row r="405" hidden="1" spans="1:18">
      <c r="A405" s="524"/>
      <c r="B405" s="531" t="s">
        <v>96</v>
      </c>
      <c r="C405" s="533">
        <f t="shared" ref="C405:J405" si="163">SUM(C402:C404)</f>
        <v>2074.93</v>
      </c>
      <c r="D405" s="533">
        <f t="shared" si="163"/>
        <v>276988</v>
      </c>
      <c r="E405" s="533">
        <f t="shared" si="163"/>
        <v>2491</v>
      </c>
      <c r="F405" s="533">
        <f t="shared" si="163"/>
        <v>2</v>
      </c>
      <c r="G405" s="533">
        <f t="shared" si="163"/>
        <v>19.8</v>
      </c>
      <c r="H405" s="533">
        <f t="shared" si="163"/>
        <v>56</v>
      </c>
      <c r="I405" s="533">
        <f t="shared" si="163"/>
        <v>166</v>
      </c>
      <c r="J405" s="533">
        <f t="shared" si="163"/>
        <v>15</v>
      </c>
      <c r="K405" s="534">
        <f>E405/D405</f>
        <v>0.00899316937917888</v>
      </c>
      <c r="L405" s="535">
        <f t="shared" si="151"/>
        <v>0.832970694500201</v>
      </c>
      <c r="M405" s="535">
        <f>C405/D405*1000</f>
        <v>7.49104654353257</v>
      </c>
      <c r="N405" s="535">
        <f t="shared" si="152"/>
        <v>0.009542490590044</v>
      </c>
      <c r="O405" s="535">
        <f t="shared" si="153"/>
        <v>0.000802890405459655</v>
      </c>
      <c r="P405" s="536">
        <f t="shared" si="154"/>
        <v>9.34653153153153</v>
      </c>
      <c r="Q405" s="531">
        <f t="shared" si="155"/>
        <v>222</v>
      </c>
      <c r="R405" s="537">
        <f t="shared" si="156"/>
        <v>0.0891208350060217</v>
      </c>
    </row>
    <row r="406" hidden="1" spans="1:18">
      <c r="A406" s="524">
        <v>45522</v>
      </c>
      <c r="B406" s="24" t="s">
        <v>91</v>
      </c>
      <c r="C406" s="540">
        <v>199.12</v>
      </c>
      <c r="D406" s="540">
        <v>18910</v>
      </c>
      <c r="E406" s="540">
        <v>464</v>
      </c>
      <c r="F406" s="540">
        <v>0</v>
      </c>
      <c r="G406" s="540">
        <v>0</v>
      </c>
      <c r="H406" s="540">
        <v>2</v>
      </c>
      <c r="I406" s="540">
        <v>6</v>
      </c>
      <c r="J406" s="540">
        <v>6</v>
      </c>
      <c r="K406" s="527">
        <f>IF(E406=0,0,E406/D406)</f>
        <v>0.024537281861449</v>
      </c>
      <c r="L406" s="528">
        <f t="shared" si="151"/>
        <v>0.429137931034483</v>
      </c>
      <c r="M406" s="528">
        <f>IF(D406=0,0,C406/D406*1000)</f>
        <v>10.5298783712322</v>
      </c>
      <c r="N406" s="528">
        <f t="shared" si="152"/>
        <v>0</v>
      </c>
      <c r="O406" s="528">
        <f t="shared" si="153"/>
        <v>0</v>
      </c>
      <c r="P406" s="529">
        <f t="shared" si="154"/>
        <v>24.89</v>
      </c>
      <c r="Q406" s="24">
        <f t="shared" si="155"/>
        <v>8</v>
      </c>
      <c r="R406" s="530">
        <f t="shared" si="156"/>
        <v>0.0172413793103448</v>
      </c>
    </row>
    <row r="407" hidden="1" spans="1:18">
      <c r="A407" s="524"/>
      <c r="B407" s="24" t="s">
        <v>92</v>
      </c>
      <c r="C407" s="540">
        <v>0</v>
      </c>
      <c r="D407" s="540">
        <v>1</v>
      </c>
      <c r="E407" s="540">
        <v>0</v>
      </c>
      <c r="F407" s="540">
        <v>0</v>
      </c>
      <c r="G407" s="540">
        <v>0</v>
      </c>
      <c r="H407" s="540">
        <v>0</v>
      </c>
      <c r="I407" s="540">
        <v>0</v>
      </c>
      <c r="J407" s="540">
        <v>0</v>
      </c>
      <c r="K407" s="527">
        <f>IF(E407=0,0,E407/D407)</f>
        <v>0</v>
      </c>
      <c r="L407" s="528">
        <f t="shared" si="151"/>
        <v>0</v>
      </c>
      <c r="M407" s="528">
        <f>IF(D407=0,0,C407/D407*1000)</f>
        <v>0</v>
      </c>
      <c r="N407" s="528">
        <f t="shared" si="152"/>
        <v>0</v>
      </c>
      <c r="O407" s="528">
        <f t="shared" si="153"/>
        <v>0</v>
      </c>
      <c r="P407" s="529">
        <f t="shared" si="154"/>
        <v>0</v>
      </c>
      <c r="Q407" s="24">
        <f t="shared" si="155"/>
        <v>0</v>
      </c>
      <c r="R407" s="530">
        <f t="shared" si="156"/>
        <v>0</v>
      </c>
    </row>
    <row r="408" hidden="1" spans="1:18">
      <c r="A408" s="524"/>
      <c r="B408" s="24" t="s">
        <v>97</v>
      </c>
      <c r="C408" s="540">
        <v>1830.36</v>
      </c>
      <c r="D408" s="540">
        <v>276077</v>
      </c>
      <c r="E408" s="540">
        <v>2086</v>
      </c>
      <c r="F408" s="540">
        <v>2</v>
      </c>
      <c r="G408" s="540">
        <v>49629</v>
      </c>
      <c r="H408" s="540">
        <v>67</v>
      </c>
      <c r="I408" s="540">
        <v>172</v>
      </c>
      <c r="J408" s="540">
        <v>10</v>
      </c>
      <c r="K408" s="527">
        <f>IF(E408=0,0,E408/D408)</f>
        <v>0.00755586303821035</v>
      </c>
      <c r="L408" s="528">
        <f t="shared" si="151"/>
        <v>0.87744966442953</v>
      </c>
      <c r="M408" s="528">
        <f>IF(D408=0,0,C408/D408*1000)</f>
        <v>6.62988948735317</v>
      </c>
      <c r="N408" s="528">
        <f t="shared" si="152"/>
        <v>27.1143381629843</v>
      </c>
      <c r="O408" s="528">
        <f t="shared" si="153"/>
        <v>0.000958772770853308</v>
      </c>
      <c r="P408" s="529">
        <f t="shared" si="154"/>
        <v>7.658410041841</v>
      </c>
      <c r="Q408" s="24">
        <f t="shared" si="155"/>
        <v>239</v>
      </c>
      <c r="R408" s="530">
        <f t="shared" si="156"/>
        <v>0.11457334611697</v>
      </c>
    </row>
    <row r="409" hidden="1" spans="1:18">
      <c r="A409" s="524"/>
      <c r="B409" s="531" t="s">
        <v>96</v>
      </c>
      <c r="C409" s="533">
        <f t="shared" ref="C409:J409" si="164">SUM(C406:C408)</f>
        <v>2029.48</v>
      </c>
      <c r="D409" s="533">
        <f t="shared" si="164"/>
        <v>294988</v>
      </c>
      <c r="E409" s="533">
        <f t="shared" si="164"/>
        <v>2550</v>
      </c>
      <c r="F409" s="533">
        <f t="shared" si="164"/>
        <v>2</v>
      </c>
      <c r="G409" s="533">
        <f t="shared" si="164"/>
        <v>49629</v>
      </c>
      <c r="H409" s="533">
        <f t="shared" si="164"/>
        <v>69</v>
      </c>
      <c r="I409" s="533">
        <f t="shared" si="164"/>
        <v>178</v>
      </c>
      <c r="J409" s="533">
        <f t="shared" si="164"/>
        <v>16</v>
      </c>
      <c r="K409" s="534">
        <f>E409/D409</f>
        <v>0.00864441943401087</v>
      </c>
      <c r="L409" s="535">
        <f t="shared" si="151"/>
        <v>0.795874509803922</v>
      </c>
      <c r="M409" s="535">
        <f>C409/D409*1000</f>
        <v>6.8798730795829</v>
      </c>
      <c r="N409" s="535">
        <f t="shared" si="152"/>
        <v>24.4540473421763</v>
      </c>
      <c r="O409" s="535">
        <f t="shared" si="153"/>
        <v>0.000784313725490196</v>
      </c>
      <c r="P409" s="536">
        <f t="shared" si="154"/>
        <v>8.21651821862348</v>
      </c>
      <c r="Q409" s="531">
        <f t="shared" si="155"/>
        <v>247</v>
      </c>
      <c r="R409" s="537">
        <f t="shared" si="156"/>
        <v>0.0968627450980392</v>
      </c>
    </row>
    <row r="410" hidden="1" spans="1:18">
      <c r="A410" s="524">
        <v>45523</v>
      </c>
      <c r="B410" s="24" t="s">
        <v>91</v>
      </c>
      <c r="C410" s="540">
        <v>198.86</v>
      </c>
      <c r="D410" s="540">
        <v>22696</v>
      </c>
      <c r="E410" s="540">
        <v>469</v>
      </c>
      <c r="F410" s="540">
        <v>0</v>
      </c>
      <c r="G410" s="540">
        <v>0</v>
      </c>
      <c r="H410" s="540">
        <v>2</v>
      </c>
      <c r="I410" s="540">
        <v>2</v>
      </c>
      <c r="J410" s="540">
        <v>6</v>
      </c>
      <c r="K410" s="527">
        <f>IF(E410=0,0,E410/D410)</f>
        <v>0.0206644342615439</v>
      </c>
      <c r="L410" s="528">
        <f t="shared" ref="L410:L441" si="165">IF(C410=0,0,C410/E410)</f>
        <v>0.424008528784648</v>
      </c>
      <c r="M410" s="528">
        <f>IF(D410=0,0,C410/D410*1000)</f>
        <v>8.7618963694043</v>
      </c>
      <c r="N410" s="528">
        <f t="shared" ref="N410:N441" si="166">IF(G410=0,0,G410/C410)</f>
        <v>0</v>
      </c>
      <c r="O410" s="528">
        <f t="shared" ref="O410:O441" si="167">IF(F410=0,0,F410/E410)</f>
        <v>0</v>
      </c>
      <c r="P410" s="529">
        <f t="shared" ref="P410:P441" si="168">IF(H410+I410=0,0,C410/(H410+I410))</f>
        <v>49.715</v>
      </c>
      <c r="Q410" s="24">
        <f t="shared" ref="Q410:Q441" si="169">H410+I410</f>
        <v>4</v>
      </c>
      <c r="R410" s="530">
        <f t="shared" ref="R410:R441" si="170">IF(Q410=0,0,Q410/E410)</f>
        <v>0.00852878464818763</v>
      </c>
    </row>
    <row r="411" hidden="1" spans="1:18">
      <c r="A411" s="524"/>
      <c r="B411" s="24" t="s">
        <v>92</v>
      </c>
      <c r="C411" s="540">
        <v>0</v>
      </c>
      <c r="D411" s="540">
        <v>0</v>
      </c>
      <c r="E411" s="540">
        <v>0</v>
      </c>
      <c r="F411" s="540">
        <v>0</v>
      </c>
      <c r="G411" s="540">
        <v>0</v>
      </c>
      <c r="H411" s="540">
        <v>0</v>
      </c>
      <c r="I411" s="540">
        <v>0</v>
      </c>
      <c r="J411" s="540">
        <v>0</v>
      </c>
      <c r="K411" s="527">
        <f>IF(E411=0,0,E411/D411)</f>
        <v>0</v>
      </c>
      <c r="L411" s="528">
        <f t="shared" si="165"/>
        <v>0</v>
      </c>
      <c r="M411" s="528">
        <f>IF(D411=0,0,C411/D411*1000)</f>
        <v>0</v>
      </c>
      <c r="N411" s="528">
        <f t="shared" si="166"/>
        <v>0</v>
      </c>
      <c r="O411" s="528">
        <f t="shared" si="167"/>
        <v>0</v>
      </c>
      <c r="P411" s="529">
        <f t="shared" si="168"/>
        <v>0</v>
      </c>
      <c r="Q411" s="24">
        <f t="shared" si="169"/>
        <v>0</v>
      </c>
      <c r="R411" s="530">
        <f t="shared" si="170"/>
        <v>0</v>
      </c>
    </row>
    <row r="412" hidden="1" spans="1:18">
      <c r="A412" s="524"/>
      <c r="B412" s="24" t="s">
        <v>97</v>
      </c>
      <c r="C412" s="540">
        <v>1811.95</v>
      </c>
      <c r="D412" s="540">
        <v>299691</v>
      </c>
      <c r="E412" s="540">
        <v>2034</v>
      </c>
      <c r="F412" s="540">
        <v>2</v>
      </c>
      <c r="G412" s="540">
        <v>38298</v>
      </c>
      <c r="H412" s="540">
        <v>76</v>
      </c>
      <c r="I412" s="540">
        <v>182</v>
      </c>
      <c r="J412" s="540">
        <v>12</v>
      </c>
      <c r="K412" s="527">
        <f>IF(E412=0,0,E412/D412)</f>
        <v>0.00678699060031833</v>
      </c>
      <c r="L412" s="528">
        <f t="shared" si="165"/>
        <v>0.890830875122911</v>
      </c>
      <c r="M412" s="528">
        <f>IF(D412=0,0,C412/D412*1000)</f>
        <v>6.04606077593254</v>
      </c>
      <c r="N412" s="528">
        <f t="shared" si="166"/>
        <v>21.136344821877</v>
      </c>
      <c r="O412" s="528">
        <f t="shared" si="167"/>
        <v>0.000983284169124877</v>
      </c>
      <c r="P412" s="529">
        <f t="shared" si="168"/>
        <v>7.02306201550388</v>
      </c>
      <c r="Q412" s="24">
        <f t="shared" si="169"/>
        <v>258</v>
      </c>
      <c r="R412" s="530">
        <f t="shared" si="170"/>
        <v>0.126843657817109</v>
      </c>
    </row>
    <row r="413" hidden="1" spans="1:18">
      <c r="A413" s="524"/>
      <c r="B413" s="531" t="s">
        <v>96</v>
      </c>
      <c r="C413" s="533">
        <f t="shared" ref="C413:J413" si="171">SUM(C410:C412)</f>
        <v>2010.81</v>
      </c>
      <c r="D413" s="533">
        <f t="shared" si="171"/>
        <v>322387</v>
      </c>
      <c r="E413" s="533">
        <f t="shared" si="171"/>
        <v>2503</v>
      </c>
      <c r="F413" s="533">
        <f t="shared" si="171"/>
        <v>2</v>
      </c>
      <c r="G413" s="533">
        <f t="shared" si="171"/>
        <v>38298</v>
      </c>
      <c r="H413" s="533">
        <f t="shared" si="171"/>
        <v>78</v>
      </c>
      <c r="I413" s="533">
        <f t="shared" si="171"/>
        <v>184</v>
      </c>
      <c r="J413" s="533">
        <f t="shared" si="171"/>
        <v>18</v>
      </c>
      <c r="K413" s="534">
        <f>E413/D413</f>
        <v>0.00776396070561158</v>
      </c>
      <c r="L413" s="535">
        <f t="shared" si="165"/>
        <v>0.803359968038354</v>
      </c>
      <c r="M413" s="535">
        <f>C413/D413*1000</f>
        <v>6.23725522431115</v>
      </c>
      <c r="N413" s="535">
        <f t="shared" si="166"/>
        <v>19.0460560669581</v>
      </c>
      <c r="O413" s="535">
        <f t="shared" si="167"/>
        <v>0.000799041150619257</v>
      </c>
      <c r="P413" s="536">
        <f t="shared" si="168"/>
        <v>7.67484732824427</v>
      </c>
      <c r="Q413" s="531">
        <f t="shared" si="169"/>
        <v>262</v>
      </c>
      <c r="R413" s="537">
        <f t="shared" si="170"/>
        <v>0.104674390731123</v>
      </c>
    </row>
    <row r="414" hidden="1" spans="1:18">
      <c r="A414" s="524">
        <v>45524</v>
      </c>
      <c r="B414" s="24" t="s">
        <v>91</v>
      </c>
      <c r="C414" s="540">
        <v>199.22</v>
      </c>
      <c r="D414" s="540">
        <v>19720</v>
      </c>
      <c r="E414" s="540">
        <v>388</v>
      </c>
      <c r="F414" s="540">
        <v>0</v>
      </c>
      <c r="G414" s="540">
        <v>0</v>
      </c>
      <c r="H414" s="540">
        <v>2</v>
      </c>
      <c r="I414" s="540">
        <v>2</v>
      </c>
      <c r="J414" s="540">
        <v>1</v>
      </c>
      <c r="K414" s="527">
        <f>IF(E414=0,0,E414/D414)</f>
        <v>0.0196754563894523</v>
      </c>
      <c r="L414" s="528">
        <f t="shared" si="165"/>
        <v>0.513453608247423</v>
      </c>
      <c r="M414" s="528">
        <f>IF(D414=0,0,C414/D414*1000)</f>
        <v>10.1024340770791</v>
      </c>
      <c r="N414" s="528">
        <f t="shared" si="166"/>
        <v>0</v>
      </c>
      <c r="O414" s="528">
        <f t="shared" si="167"/>
        <v>0</v>
      </c>
      <c r="P414" s="529">
        <f t="shared" si="168"/>
        <v>49.805</v>
      </c>
      <c r="Q414" s="24">
        <f t="shared" si="169"/>
        <v>4</v>
      </c>
      <c r="R414" s="530">
        <f t="shared" si="170"/>
        <v>0.0103092783505155</v>
      </c>
    </row>
    <row r="415" hidden="1" spans="1:18">
      <c r="A415" s="524"/>
      <c r="B415" s="24" t="s">
        <v>92</v>
      </c>
      <c r="C415" s="540">
        <v>0</v>
      </c>
      <c r="D415" s="540">
        <v>0</v>
      </c>
      <c r="E415" s="540">
        <v>0</v>
      </c>
      <c r="F415" s="540">
        <v>0</v>
      </c>
      <c r="G415" s="540">
        <v>0</v>
      </c>
      <c r="H415" s="540">
        <v>0</v>
      </c>
      <c r="I415" s="540">
        <v>0</v>
      </c>
      <c r="J415" s="540">
        <v>0</v>
      </c>
      <c r="K415" s="527">
        <f>IF(E415=0,0,E415/D415)</f>
        <v>0</v>
      </c>
      <c r="L415" s="528">
        <f t="shared" si="165"/>
        <v>0</v>
      </c>
      <c r="M415" s="528">
        <f>IF(D415=0,0,C415/D415*1000)</f>
        <v>0</v>
      </c>
      <c r="N415" s="528">
        <f t="shared" si="166"/>
        <v>0</v>
      </c>
      <c r="O415" s="528">
        <f t="shared" si="167"/>
        <v>0</v>
      </c>
      <c r="P415" s="529">
        <f t="shared" si="168"/>
        <v>0</v>
      </c>
      <c r="Q415" s="24">
        <f t="shared" si="169"/>
        <v>0</v>
      </c>
      <c r="R415" s="530">
        <f t="shared" si="170"/>
        <v>0</v>
      </c>
    </row>
    <row r="416" hidden="1" spans="1:18">
      <c r="A416" s="524"/>
      <c r="B416" s="24" t="s">
        <v>97</v>
      </c>
      <c r="C416" s="540">
        <v>1824.19</v>
      </c>
      <c r="D416" s="540">
        <v>273087</v>
      </c>
      <c r="E416" s="540">
        <v>1839</v>
      </c>
      <c r="F416" s="540">
        <v>2</v>
      </c>
      <c r="G416" s="540">
        <v>21525</v>
      </c>
      <c r="H416" s="540">
        <v>48</v>
      </c>
      <c r="I416" s="540">
        <v>163</v>
      </c>
      <c r="J416" s="540">
        <v>4</v>
      </c>
      <c r="K416" s="527">
        <f>IF(E416=0,0,E416/D416)</f>
        <v>0.00673411769875534</v>
      </c>
      <c r="L416" s="528">
        <f t="shared" si="165"/>
        <v>0.99194671016857</v>
      </c>
      <c r="M416" s="528">
        <f>IF(D416=0,0,C416/D416*1000)</f>
        <v>6.6798858971683</v>
      </c>
      <c r="N416" s="528">
        <f t="shared" si="166"/>
        <v>11.7997577006781</v>
      </c>
      <c r="O416" s="528">
        <f t="shared" si="167"/>
        <v>0.00108754758020663</v>
      </c>
      <c r="P416" s="529">
        <f t="shared" si="168"/>
        <v>8.64545023696683</v>
      </c>
      <c r="Q416" s="24">
        <f t="shared" si="169"/>
        <v>211</v>
      </c>
      <c r="R416" s="530">
        <f t="shared" si="170"/>
        <v>0.1147362697118</v>
      </c>
    </row>
    <row r="417" hidden="1" spans="1:18">
      <c r="A417" s="524"/>
      <c r="B417" s="531" t="s">
        <v>96</v>
      </c>
      <c r="C417" s="533">
        <f t="shared" ref="C417:J417" si="172">SUM(C414:C416)</f>
        <v>2023.41</v>
      </c>
      <c r="D417" s="533">
        <f t="shared" si="172"/>
        <v>292807</v>
      </c>
      <c r="E417" s="533">
        <f t="shared" si="172"/>
        <v>2227</v>
      </c>
      <c r="F417" s="533">
        <f t="shared" si="172"/>
        <v>2</v>
      </c>
      <c r="G417" s="533">
        <f t="shared" si="172"/>
        <v>21525</v>
      </c>
      <c r="H417" s="533">
        <f t="shared" si="172"/>
        <v>50</v>
      </c>
      <c r="I417" s="533">
        <f t="shared" si="172"/>
        <v>165</v>
      </c>
      <c r="J417" s="533">
        <f t="shared" si="172"/>
        <v>5</v>
      </c>
      <c r="K417" s="534">
        <f>E417/D417</f>
        <v>0.00760569248685995</v>
      </c>
      <c r="L417" s="535">
        <f t="shared" si="165"/>
        <v>0.908581050740907</v>
      </c>
      <c r="M417" s="535">
        <f>C417/D417*1000</f>
        <v>6.91038807132343</v>
      </c>
      <c r="N417" s="535">
        <f t="shared" si="166"/>
        <v>10.6379824158228</v>
      </c>
      <c r="O417" s="535">
        <f t="shared" si="167"/>
        <v>0.000898069151324652</v>
      </c>
      <c r="P417" s="536">
        <f t="shared" si="168"/>
        <v>9.41120930232558</v>
      </c>
      <c r="Q417" s="531">
        <f t="shared" si="169"/>
        <v>215</v>
      </c>
      <c r="R417" s="537">
        <f t="shared" si="170"/>
        <v>0.0965424337674001</v>
      </c>
    </row>
    <row r="418" hidden="1" spans="1:18">
      <c r="A418" s="524">
        <v>45525</v>
      </c>
      <c r="B418" s="24" t="s">
        <v>91</v>
      </c>
      <c r="C418" s="540">
        <v>197.95</v>
      </c>
      <c r="D418" s="540">
        <v>20649</v>
      </c>
      <c r="E418" s="540">
        <v>449</v>
      </c>
      <c r="F418" s="540">
        <v>0</v>
      </c>
      <c r="G418" s="540">
        <v>0</v>
      </c>
      <c r="H418" s="540">
        <v>4</v>
      </c>
      <c r="I418" s="540">
        <v>5</v>
      </c>
      <c r="J418" s="540">
        <v>10</v>
      </c>
      <c r="K418" s="527">
        <f>IF(E418=0,0,E418/D418)</f>
        <v>0.0217443944016659</v>
      </c>
      <c r="L418" s="528">
        <f t="shared" si="165"/>
        <v>0.44086859688196</v>
      </c>
      <c r="M418" s="528">
        <f>IF(D418=0,0,C418/D418*1000)</f>
        <v>9.58642064991041</v>
      </c>
      <c r="N418" s="528">
        <f t="shared" si="166"/>
        <v>0</v>
      </c>
      <c r="O418" s="528">
        <f t="shared" si="167"/>
        <v>0</v>
      </c>
      <c r="P418" s="529">
        <f t="shared" si="168"/>
        <v>21.9944444444444</v>
      </c>
      <c r="Q418" s="24">
        <f t="shared" si="169"/>
        <v>9</v>
      </c>
      <c r="R418" s="530">
        <f t="shared" si="170"/>
        <v>0.0200445434298441</v>
      </c>
    </row>
    <row r="419" hidden="1" spans="1:18">
      <c r="A419" s="524"/>
      <c r="B419" s="24" t="s">
        <v>92</v>
      </c>
      <c r="C419" s="540">
        <v>0</v>
      </c>
      <c r="D419" s="540">
        <v>0</v>
      </c>
      <c r="E419" s="540">
        <v>0</v>
      </c>
      <c r="F419" s="540">
        <v>0</v>
      </c>
      <c r="G419" s="540">
        <v>0</v>
      </c>
      <c r="H419" s="540">
        <v>0</v>
      </c>
      <c r="I419" s="540">
        <v>0</v>
      </c>
      <c r="J419" s="540">
        <v>0</v>
      </c>
      <c r="K419" s="527">
        <f>IF(E419=0,0,E419/D419)</f>
        <v>0</v>
      </c>
      <c r="L419" s="528">
        <f t="shared" si="165"/>
        <v>0</v>
      </c>
      <c r="M419" s="528">
        <f>IF(D419=0,0,C419/D419*1000)</f>
        <v>0</v>
      </c>
      <c r="N419" s="528">
        <f t="shared" si="166"/>
        <v>0</v>
      </c>
      <c r="O419" s="528">
        <f t="shared" si="167"/>
        <v>0</v>
      </c>
      <c r="P419" s="529">
        <f t="shared" si="168"/>
        <v>0</v>
      </c>
      <c r="Q419" s="24">
        <f t="shared" si="169"/>
        <v>0</v>
      </c>
      <c r="R419" s="530">
        <f t="shared" si="170"/>
        <v>0</v>
      </c>
    </row>
    <row r="420" hidden="1" spans="1:18">
      <c r="A420" s="524"/>
      <c r="B420" s="24" t="s">
        <v>97</v>
      </c>
      <c r="C420" s="540">
        <v>1820.18</v>
      </c>
      <c r="D420" s="540">
        <v>213138</v>
      </c>
      <c r="E420" s="540">
        <v>1749</v>
      </c>
      <c r="F420" s="540">
        <v>0</v>
      </c>
      <c r="G420" s="540">
        <v>0</v>
      </c>
      <c r="H420" s="540">
        <v>38</v>
      </c>
      <c r="I420" s="540">
        <v>144</v>
      </c>
      <c r="J420" s="540">
        <v>7</v>
      </c>
      <c r="K420" s="527">
        <f>IF(E420=0,0,E420/D420)</f>
        <v>0.00820595107395209</v>
      </c>
      <c r="L420" s="528">
        <f t="shared" si="165"/>
        <v>1.04069754145226</v>
      </c>
      <c r="M420" s="528">
        <f>IF(D420=0,0,C420/D420*1000)</f>
        <v>8.53991310793946</v>
      </c>
      <c r="N420" s="528">
        <f t="shared" si="166"/>
        <v>0</v>
      </c>
      <c r="O420" s="528">
        <f t="shared" si="167"/>
        <v>0</v>
      </c>
      <c r="P420" s="529">
        <f t="shared" si="168"/>
        <v>10.000989010989</v>
      </c>
      <c r="Q420" s="24">
        <f t="shared" si="169"/>
        <v>182</v>
      </c>
      <c r="R420" s="530">
        <f t="shared" si="170"/>
        <v>0.104059462550029</v>
      </c>
    </row>
    <row r="421" hidden="1" spans="1:18">
      <c r="A421" s="524"/>
      <c r="B421" s="531" t="s">
        <v>96</v>
      </c>
      <c r="C421" s="533">
        <f t="shared" ref="C421:J421" si="173">SUM(C418:C420)</f>
        <v>2018.13</v>
      </c>
      <c r="D421" s="533">
        <f t="shared" si="173"/>
        <v>233787</v>
      </c>
      <c r="E421" s="533">
        <f t="shared" si="173"/>
        <v>2198</v>
      </c>
      <c r="F421" s="533">
        <f t="shared" si="173"/>
        <v>0</v>
      </c>
      <c r="G421" s="533">
        <f t="shared" si="173"/>
        <v>0</v>
      </c>
      <c r="H421" s="533">
        <f t="shared" si="173"/>
        <v>42</v>
      </c>
      <c r="I421" s="533">
        <f t="shared" si="173"/>
        <v>149</v>
      </c>
      <c r="J421" s="533">
        <f t="shared" si="173"/>
        <v>17</v>
      </c>
      <c r="K421" s="534">
        <f>E421/D421</f>
        <v>0.00940172036939608</v>
      </c>
      <c r="L421" s="535">
        <f t="shared" si="165"/>
        <v>0.918166515013649</v>
      </c>
      <c r="M421" s="535">
        <f>C421/D421*1000</f>
        <v>8.63234482670123</v>
      </c>
      <c r="N421" s="535">
        <f t="shared" si="166"/>
        <v>0</v>
      </c>
      <c r="O421" s="535">
        <f t="shared" si="167"/>
        <v>0</v>
      </c>
      <c r="P421" s="536">
        <f t="shared" si="168"/>
        <v>10.5661256544503</v>
      </c>
      <c r="Q421" s="531">
        <f t="shared" si="169"/>
        <v>191</v>
      </c>
      <c r="R421" s="537">
        <f t="shared" si="170"/>
        <v>0.0868971792538672</v>
      </c>
    </row>
    <row r="422" hidden="1" spans="1:18">
      <c r="A422" s="524">
        <v>45526</v>
      </c>
      <c r="B422" s="24" t="s">
        <v>91</v>
      </c>
      <c r="C422" s="540">
        <v>198.44</v>
      </c>
      <c r="D422" s="540">
        <v>19272</v>
      </c>
      <c r="E422" s="540">
        <v>486</v>
      </c>
      <c r="F422" s="540">
        <v>1</v>
      </c>
      <c r="G422" s="540">
        <v>11997</v>
      </c>
      <c r="H422" s="540">
        <v>5</v>
      </c>
      <c r="I422" s="540">
        <v>8</v>
      </c>
      <c r="J422" s="540">
        <v>7</v>
      </c>
      <c r="K422" s="527">
        <f>IF(E422=0,0,E422/D422)</f>
        <v>0.0252179327521793</v>
      </c>
      <c r="L422" s="528">
        <f t="shared" si="165"/>
        <v>0.408312757201646</v>
      </c>
      <c r="M422" s="528">
        <f>IF(D422=0,0,C422/D422*1000)</f>
        <v>10.296803652968</v>
      </c>
      <c r="N422" s="528">
        <f t="shared" si="166"/>
        <v>60.456561177182</v>
      </c>
      <c r="O422" s="528">
        <f t="shared" si="167"/>
        <v>0.00205761316872428</v>
      </c>
      <c r="P422" s="529">
        <f t="shared" si="168"/>
        <v>15.2646153846154</v>
      </c>
      <c r="Q422" s="24">
        <f t="shared" si="169"/>
        <v>13</v>
      </c>
      <c r="R422" s="530">
        <f t="shared" si="170"/>
        <v>0.0267489711934156</v>
      </c>
    </row>
    <row r="423" hidden="1" spans="1:18">
      <c r="A423" s="524"/>
      <c r="B423" s="24" t="s">
        <v>92</v>
      </c>
      <c r="C423" s="540">
        <v>0</v>
      </c>
      <c r="D423" s="540">
        <v>0</v>
      </c>
      <c r="E423" s="540">
        <v>0</v>
      </c>
      <c r="F423" s="540">
        <v>0</v>
      </c>
      <c r="G423" s="540">
        <v>0</v>
      </c>
      <c r="H423" s="540">
        <v>0</v>
      </c>
      <c r="I423" s="540">
        <v>0</v>
      </c>
      <c r="J423" s="540">
        <v>0</v>
      </c>
      <c r="K423" s="527">
        <f>IF(E423=0,0,E423/D423)</f>
        <v>0</v>
      </c>
      <c r="L423" s="528">
        <f t="shared" si="165"/>
        <v>0</v>
      </c>
      <c r="M423" s="528">
        <f>IF(D423=0,0,C423/D423*1000)</f>
        <v>0</v>
      </c>
      <c r="N423" s="528">
        <f t="shared" si="166"/>
        <v>0</v>
      </c>
      <c r="O423" s="528">
        <f t="shared" si="167"/>
        <v>0</v>
      </c>
      <c r="P423" s="529">
        <f t="shared" si="168"/>
        <v>0</v>
      </c>
      <c r="Q423" s="24">
        <f t="shared" si="169"/>
        <v>0</v>
      </c>
      <c r="R423" s="530">
        <f t="shared" si="170"/>
        <v>0</v>
      </c>
    </row>
    <row r="424" hidden="1" spans="1:18">
      <c r="A424" s="524"/>
      <c r="B424" s="24" t="s">
        <v>97</v>
      </c>
      <c r="C424" s="540">
        <v>1820.49</v>
      </c>
      <c r="D424" s="540">
        <v>291693</v>
      </c>
      <c r="E424" s="540">
        <v>1943</v>
      </c>
      <c r="F424" s="540">
        <v>1</v>
      </c>
      <c r="G424" s="540">
        <v>11954</v>
      </c>
      <c r="H424" s="540">
        <v>64</v>
      </c>
      <c r="I424" s="540">
        <v>161</v>
      </c>
      <c r="J424" s="540">
        <v>7</v>
      </c>
      <c r="K424" s="527">
        <f>IF(E424=0,0,E424/D424)</f>
        <v>0.00666111288237976</v>
      </c>
      <c r="L424" s="528">
        <f t="shared" si="165"/>
        <v>0.936948018528049</v>
      </c>
      <c r="M424" s="528">
        <f>IF(D424=0,0,C424/D424*1000)</f>
        <v>6.24111651633738</v>
      </c>
      <c r="N424" s="528">
        <f t="shared" si="166"/>
        <v>6.56636400090086</v>
      </c>
      <c r="O424" s="528">
        <f t="shared" si="167"/>
        <v>0.000514668039114771</v>
      </c>
      <c r="P424" s="529">
        <f t="shared" si="168"/>
        <v>8.09106666666667</v>
      </c>
      <c r="Q424" s="24">
        <f t="shared" si="169"/>
        <v>225</v>
      </c>
      <c r="R424" s="530">
        <f t="shared" si="170"/>
        <v>0.115800308800823</v>
      </c>
    </row>
    <row r="425" hidden="1" spans="1:18">
      <c r="A425" s="524"/>
      <c r="B425" s="531" t="s">
        <v>96</v>
      </c>
      <c r="C425" s="533">
        <f t="shared" ref="C425:J425" si="174">SUM(C422:C424)</f>
        <v>2018.93</v>
      </c>
      <c r="D425" s="533">
        <f t="shared" si="174"/>
        <v>310965</v>
      </c>
      <c r="E425" s="533">
        <f t="shared" si="174"/>
        <v>2429</v>
      </c>
      <c r="F425" s="533">
        <f t="shared" si="174"/>
        <v>2</v>
      </c>
      <c r="G425" s="533">
        <f t="shared" si="174"/>
        <v>23951</v>
      </c>
      <c r="H425" s="533">
        <f t="shared" si="174"/>
        <v>69</v>
      </c>
      <c r="I425" s="533">
        <f t="shared" si="174"/>
        <v>169</v>
      </c>
      <c r="J425" s="533">
        <f t="shared" si="174"/>
        <v>14</v>
      </c>
      <c r="K425" s="534">
        <f>E425/D425</f>
        <v>0.00781116845947293</v>
      </c>
      <c r="L425" s="535">
        <f t="shared" si="165"/>
        <v>0.831177439275422</v>
      </c>
      <c r="M425" s="535">
        <f>C425/D425*1000</f>
        <v>6.49246699789365</v>
      </c>
      <c r="N425" s="535">
        <f t="shared" si="166"/>
        <v>11.8632146731189</v>
      </c>
      <c r="O425" s="535">
        <f t="shared" si="167"/>
        <v>0.000823384108686702</v>
      </c>
      <c r="P425" s="536">
        <f t="shared" si="168"/>
        <v>8.48289915966387</v>
      </c>
      <c r="Q425" s="531">
        <f t="shared" si="169"/>
        <v>238</v>
      </c>
      <c r="R425" s="537">
        <f t="shared" si="170"/>
        <v>0.0979827089337176</v>
      </c>
    </row>
    <row r="426" hidden="1" spans="1:18">
      <c r="A426" s="524">
        <v>45527</v>
      </c>
      <c r="B426" s="24" t="s">
        <v>91</v>
      </c>
      <c r="C426" s="540">
        <v>197.75</v>
      </c>
      <c r="D426" s="540">
        <v>19101</v>
      </c>
      <c r="E426" s="540">
        <v>450</v>
      </c>
      <c r="F426" s="540">
        <v>0</v>
      </c>
      <c r="G426" s="540">
        <v>0</v>
      </c>
      <c r="H426" s="540">
        <v>5</v>
      </c>
      <c r="I426" s="540">
        <v>3</v>
      </c>
      <c r="J426" s="540">
        <v>4</v>
      </c>
      <c r="K426" s="527">
        <f>IF(E426=0,0,E426/D426)</f>
        <v>0.0235589759698445</v>
      </c>
      <c r="L426" s="528">
        <f t="shared" si="165"/>
        <v>0.439444444444444</v>
      </c>
      <c r="M426" s="528">
        <f>IF(D426=0,0,C426/D426*1000)</f>
        <v>10.3528611067483</v>
      </c>
      <c r="N426" s="528">
        <f t="shared" si="166"/>
        <v>0</v>
      </c>
      <c r="O426" s="528">
        <f t="shared" si="167"/>
        <v>0</v>
      </c>
      <c r="P426" s="529">
        <f t="shared" si="168"/>
        <v>24.71875</v>
      </c>
      <c r="Q426" s="24">
        <f t="shared" si="169"/>
        <v>8</v>
      </c>
      <c r="R426" s="530">
        <f t="shared" si="170"/>
        <v>0.0177777777777778</v>
      </c>
    </row>
    <row r="427" hidden="1" spans="1:18">
      <c r="A427" s="524"/>
      <c r="B427" s="24" t="s">
        <v>92</v>
      </c>
      <c r="C427" s="540">
        <v>0</v>
      </c>
      <c r="D427" s="540">
        <v>0</v>
      </c>
      <c r="E427" s="540">
        <v>0</v>
      </c>
      <c r="F427" s="540">
        <v>0</v>
      </c>
      <c r="G427" s="540">
        <v>0</v>
      </c>
      <c r="H427" s="540">
        <v>0</v>
      </c>
      <c r="I427" s="540">
        <v>0</v>
      </c>
      <c r="J427" s="540">
        <v>0</v>
      </c>
      <c r="K427" s="527">
        <f>IF(E427=0,0,E427/D427)</f>
        <v>0</v>
      </c>
      <c r="L427" s="528">
        <f t="shared" si="165"/>
        <v>0</v>
      </c>
      <c r="M427" s="528">
        <f>IF(D427=0,0,C427/D427*1000)</f>
        <v>0</v>
      </c>
      <c r="N427" s="528">
        <f t="shared" si="166"/>
        <v>0</v>
      </c>
      <c r="O427" s="528">
        <f t="shared" si="167"/>
        <v>0</v>
      </c>
      <c r="P427" s="529">
        <f t="shared" si="168"/>
        <v>0</v>
      </c>
      <c r="Q427" s="24">
        <f t="shared" si="169"/>
        <v>0</v>
      </c>
      <c r="R427" s="530">
        <f t="shared" si="170"/>
        <v>0</v>
      </c>
    </row>
    <row r="428" hidden="1" spans="1:18">
      <c r="A428" s="524"/>
      <c r="B428" s="24" t="s">
        <v>97</v>
      </c>
      <c r="C428" s="540">
        <v>1862.24</v>
      </c>
      <c r="D428" s="540">
        <v>256103</v>
      </c>
      <c r="E428" s="540">
        <v>1826</v>
      </c>
      <c r="F428" s="540">
        <v>9</v>
      </c>
      <c r="G428" s="540">
        <v>54279.98</v>
      </c>
      <c r="H428" s="540">
        <v>41</v>
      </c>
      <c r="I428" s="540">
        <v>157</v>
      </c>
      <c r="J428" s="540">
        <v>8</v>
      </c>
      <c r="K428" s="527">
        <f>IF(E428=0,0,E428/D428)</f>
        <v>0.00712994381166952</v>
      </c>
      <c r="L428" s="528">
        <f t="shared" si="165"/>
        <v>1.01984665936473</v>
      </c>
      <c r="M428" s="528">
        <f>IF(D428=0,0,C428/D428*1000)</f>
        <v>7.2714493777894</v>
      </c>
      <c r="N428" s="528">
        <f t="shared" si="166"/>
        <v>29.1476823610276</v>
      </c>
      <c r="O428" s="528">
        <f t="shared" si="167"/>
        <v>0.00492880613362541</v>
      </c>
      <c r="P428" s="529">
        <f t="shared" si="168"/>
        <v>9.40525252525252</v>
      </c>
      <c r="Q428" s="24">
        <f t="shared" si="169"/>
        <v>198</v>
      </c>
      <c r="R428" s="530">
        <f t="shared" si="170"/>
        <v>0.108433734939759</v>
      </c>
    </row>
    <row r="429" hidden="1" spans="1:18">
      <c r="A429" s="524"/>
      <c r="B429" s="531" t="s">
        <v>96</v>
      </c>
      <c r="C429" s="533">
        <f t="shared" ref="C429:J429" si="175">SUM(C426:C428)</f>
        <v>2059.99</v>
      </c>
      <c r="D429" s="533">
        <f t="shared" si="175"/>
        <v>275204</v>
      </c>
      <c r="E429" s="533">
        <f t="shared" si="175"/>
        <v>2276</v>
      </c>
      <c r="F429" s="533">
        <f t="shared" si="175"/>
        <v>9</v>
      </c>
      <c r="G429" s="533">
        <f t="shared" si="175"/>
        <v>54279.98</v>
      </c>
      <c r="H429" s="533">
        <f t="shared" si="175"/>
        <v>46</v>
      </c>
      <c r="I429" s="533">
        <f t="shared" si="175"/>
        <v>160</v>
      </c>
      <c r="J429" s="533">
        <f t="shared" si="175"/>
        <v>12</v>
      </c>
      <c r="K429" s="534">
        <f>E429/D429</f>
        <v>0.00827022863039781</v>
      </c>
      <c r="L429" s="535">
        <f t="shared" si="165"/>
        <v>0.905092267135325</v>
      </c>
      <c r="M429" s="535">
        <f>C429/D429*1000</f>
        <v>7.48531998081423</v>
      </c>
      <c r="N429" s="535">
        <f t="shared" si="166"/>
        <v>26.3496327652076</v>
      </c>
      <c r="O429" s="535">
        <f t="shared" si="167"/>
        <v>0.00395430579964851</v>
      </c>
      <c r="P429" s="536">
        <f t="shared" si="168"/>
        <v>9.99995145631068</v>
      </c>
      <c r="Q429" s="531">
        <f t="shared" si="169"/>
        <v>206</v>
      </c>
      <c r="R429" s="537">
        <f t="shared" si="170"/>
        <v>0.0905096660808436</v>
      </c>
    </row>
    <row r="430" hidden="1" spans="1:18">
      <c r="A430" s="524">
        <v>45528</v>
      </c>
      <c r="B430" s="24" t="s">
        <v>91</v>
      </c>
      <c r="C430" s="540">
        <v>198.89</v>
      </c>
      <c r="D430" s="540">
        <v>24896</v>
      </c>
      <c r="E430" s="540">
        <v>501</v>
      </c>
      <c r="F430" s="540">
        <v>1</v>
      </c>
      <c r="G430" s="540">
        <v>11997</v>
      </c>
      <c r="H430" s="540">
        <v>5</v>
      </c>
      <c r="I430" s="540">
        <v>3</v>
      </c>
      <c r="J430" s="540">
        <v>4</v>
      </c>
      <c r="K430" s="527">
        <f>IF(E430=0,0,E430/D430)</f>
        <v>0.0201237146529563</v>
      </c>
      <c r="L430" s="528">
        <f t="shared" si="165"/>
        <v>0.396986027944112</v>
      </c>
      <c r="M430" s="528">
        <f>IF(D430=0,0,C430/D430*1000)</f>
        <v>7.98883354755784</v>
      </c>
      <c r="N430" s="528">
        <f t="shared" si="166"/>
        <v>60.3197747498617</v>
      </c>
      <c r="O430" s="528">
        <f t="shared" si="167"/>
        <v>0.00199600798403194</v>
      </c>
      <c r="P430" s="529">
        <f t="shared" si="168"/>
        <v>24.86125</v>
      </c>
      <c r="Q430" s="24">
        <f t="shared" si="169"/>
        <v>8</v>
      </c>
      <c r="R430" s="530">
        <f t="shared" si="170"/>
        <v>0.0159680638722555</v>
      </c>
    </row>
    <row r="431" hidden="1" spans="1:18">
      <c r="A431" s="524"/>
      <c r="B431" s="24" t="s">
        <v>92</v>
      </c>
      <c r="C431" s="540">
        <v>0</v>
      </c>
      <c r="D431" s="540">
        <v>0</v>
      </c>
      <c r="E431" s="540">
        <v>0</v>
      </c>
      <c r="F431" s="540">
        <v>0</v>
      </c>
      <c r="G431" s="540">
        <v>0</v>
      </c>
      <c r="H431" s="540">
        <v>0</v>
      </c>
      <c r="I431" s="540">
        <v>0</v>
      </c>
      <c r="J431" s="540">
        <v>0</v>
      </c>
      <c r="K431" s="527">
        <f>IF(E431=0,0,E431/D431)</f>
        <v>0</v>
      </c>
      <c r="L431" s="528">
        <f t="shared" si="165"/>
        <v>0</v>
      </c>
      <c r="M431" s="528">
        <f>IF(D431=0,0,C431/D431*1000)</f>
        <v>0</v>
      </c>
      <c r="N431" s="528">
        <f t="shared" si="166"/>
        <v>0</v>
      </c>
      <c r="O431" s="528">
        <f t="shared" si="167"/>
        <v>0</v>
      </c>
      <c r="P431" s="529">
        <f t="shared" si="168"/>
        <v>0</v>
      </c>
      <c r="Q431" s="24">
        <f t="shared" si="169"/>
        <v>0</v>
      </c>
      <c r="R431" s="530">
        <f t="shared" si="170"/>
        <v>0</v>
      </c>
    </row>
    <row r="432" hidden="1" spans="1:18">
      <c r="A432" s="524"/>
      <c r="B432" s="24" t="s">
        <v>97</v>
      </c>
      <c r="C432" s="540">
        <v>1897.33</v>
      </c>
      <c r="D432" s="540">
        <v>254796</v>
      </c>
      <c r="E432" s="540">
        <v>2245</v>
      </c>
      <c r="F432" s="540">
        <v>2</v>
      </c>
      <c r="G432" s="540">
        <v>21615</v>
      </c>
      <c r="H432" s="540">
        <v>53</v>
      </c>
      <c r="I432" s="540">
        <v>208</v>
      </c>
      <c r="J432" s="540">
        <v>8</v>
      </c>
      <c r="K432" s="527">
        <f>IF(E432=0,0,E432/D432)</f>
        <v>0.00881097034490337</v>
      </c>
      <c r="L432" s="528">
        <f t="shared" si="165"/>
        <v>0.845135857461024</v>
      </c>
      <c r="M432" s="528">
        <f>IF(D432=0,0,C432/D432*1000)</f>
        <v>7.44646697750357</v>
      </c>
      <c r="N432" s="528">
        <f t="shared" si="166"/>
        <v>11.3923250040847</v>
      </c>
      <c r="O432" s="528">
        <f t="shared" si="167"/>
        <v>0.00089086859688196</v>
      </c>
      <c r="P432" s="529">
        <f t="shared" si="168"/>
        <v>7.26946360153257</v>
      </c>
      <c r="Q432" s="24">
        <f t="shared" si="169"/>
        <v>261</v>
      </c>
      <c r="R432" s="530">
        <f t="shared" si="170"/>
        <v>0.116258351893096</v>
      </c>
    </row>
    <row r="433" hidden="1" spans="1:18">
      <c r="A433" s="524"/>
      <c r="B433" s="531" t="s">
        <v>96</v>
      </c>
      <c r="C433" s="533">
        <f t="shared" ref="C433:J433" si="176">SUM(C430:C432)</f>
        <v>2096.22</v>
      </c>
      <c r="D433" s="533">
        <f t="shared" si="176"/>
        <v>279692</v>
      </c>
      <c r="E433" s="533">
        <f t="shared" si="176"/>
        <v>2746</v>
      </c>
      <c r="F433" s="533">
        <f t="shared" si="176"/>
        <v>3</v>
      </c>
      <c r="G433" s="533">
        <f t="shared" si="176"/>
        <v>33612</v>
      </c>
      <c r="H433" s="533">
        <f t="shared" si="176"/>
        <v>58</v>
      </c>
      <c r="I433" s="533">
        <f t="shared" si="176"/>
        <v>211</v>
      </c>
      <c r="J433" s="533">
        <f t="shared" si="176"/>
        <v>12</v>
      </c>
      <c r="K433" s="534">
        <f>E433/D433</f>
        <v>0.00981794259399625</v>
      </c>
      <c r="L433" s="535">
        <f t="shared" si="165"/>
        <v>0.763372177713037</v>
      </c>
      <c r="M433" s="535">
        <f>C433/D433*1000</f>
        <v>7.4947442186405</v>
      </c>
      <c r="N433" s="535">
        <f t="shared" si="166"/>
        <v>16.0345765234565</v>
      </c>
      <c r="O433" s="535">
        <f t="shared" si="167"/>
        <v>0.0010924981791697</v>
      </c>
      <c r="P433" s="536">
        <f t="shared" si="168"/>
        <v>7.79263940520446</v>
      </c>
      <c r="Q433" s="531">
        <f t="shared" si="169"/>
        <v>269</v>
      </c>
      <c r="R433" s="537">
        <f t="shared" si="170"/>
        <v>0.0979606700655499</v>
      </c>
    </row>
    <row r="434" hidden="1" spans="1:18">
      <c r="A434" s="524">
        <v>45529</v>
      </c>
      <c r="B434" s="24" t="s">
        <v>91</v>
      </c>
      <c r="C434" s="540">
        <v>198.8</v>
      </c>
      <c r="D434" s="540">
        <v>15997</v>
      </c>
      <c r="E434" s="540">
        <v>381</v>
      </c>
      <c r="F434" s="540">
        <v>0</v>
      </c>
      <c r="G434" s="540">
        <v>0</v>
      </c>
      <c r="H434" s="540">
        <v>4</v>
      </c>
      <c r="I434" s="540">
        <v>4</v>
      </c>
      <c r="J434" s="540">
        <v>6</v>
      </c>
      <c r="K434" s="527">
        <f>IF(E434=0,0,E434/D434)</f>
        <v>0.0238169656810652</v>
      </c>
      <c r="L434" s="528">
        <f t="shared" si="165"/>
        <v>0.521784776902887</v>
      </c>
      <c r="M434" s="528">
        <f>IF(D434=0,0,C434/D434*1000)</f>
        <v>12.4273301243983</v>
      </c>
      <c r="N434" s="528">
        <f t="shared" si="166"/>
        <v>0</v>
      </c>
      <c r="O434" s="528">
        <f t="shared" si="167"/>
        <v>0</v>
      </c>
      <c r="P434" s="529">
        <f t="shared" si="168"/>
        <v>24.85</v>
      </c>
      <c r="Q434" s="24">
        <f t="shared" si="169"/>
        <v>8</v>
      </c>
      <c r="R434" s="530">
        <f t="shared" si="170"/>
        <v>0.020997375328084</v>
      </c>
    </row>
    <row r="435" hidden="1" spans="1:18">
      <c r="A435" s="524"/>
      <c r="B435" s="24" t="s">
        <v>92</v>
      </c>
      <c r="C435" s="540">
        <v>0</v>
      </c>
      <c r="D435" s="540">
        <v>0</v>
      </c>
      <c r="E435" s="540">
        <v>0</v>
      </c>
      <c r="F435" s="540">
        <v>0</v>
      </c>
      <c r="G435" s="540">
        <v>0</v>
      </c>
      <c r="H435" s="540">
        <v>0</v>
      </c>
      <c r="I435" s="540">
        <v>0</v>
      </c>
      <c r="J435" s="540">
        <v>0</v>
      </c>
      <c r="K435" s="527">
        <f>IF(E435=0,0,E435/D435)</f>
        <v>0</v>
      </c>
      <c r="L435" s="528">
        <f t="shared" si="165"/>
        <v>0</v>
      </c>
      <c r="M435" s="528">
        <f>IF(D435=0,0,C435/D435*1000)</f>
        <v>0</v>
      </c>
      <c r="N435" s="528">
        <f t="shared" si="166"/>
        <v>0</v>
      </c>
      <c r="O435" s="528">
        <f t="shared" si="167"/>
        <v>0</v>
      </c>
      <c r="P435" s="529">
        <f t="shared" si="168"/>
        <v>0</v>
      </c>
      <c r="Q435" s="24">
        <f t="shared" si="169"/>
        <v>0</v>
      </c>
      <c r="R435" s="530">
        <f t="shared" si="170"/>
        <v>0</v>
      </c>
    </row>
    <row r="436" hidden="1" spans="1:18">
      <c r="A436" s="524"/>
      <c r="B436" s="24" t="s">
        <v>97</v>
      </c>
      <c r="C436" s="540">
        <v>1873.08</v>
      </c>
      <c r="D436" s="540">
        <v>273050</v>
      </c>
      <c r="E436" s="540">
        <v>2112</v>
      </c>
      <c r="F436" s="540">
        <v>0</v>
      </c>
      <c r="G436" s="540">
        <v>0</v>
      </c>
      <c r="H436" s="540">
        <v>52</v>
      </c>
      <c r="I436" s="540">
        <v>225</v>
      </c>
      <c r="J436" s="540">
        <v>5</v>
      </c>
      <c r="K436" s="527">
        <f>IF(E436=0,0,E436/D436)</f>
        <v>0.00773484709760117</v>
      </c>
      <c r="L436" s="528">
        <f t="shared" si="165"/>
        <v>0.886875</v>
      </c>
      <c r="M436" s="528">
        <f>IF(D436=0,0,C436/D436*1000)</f>
        <v>6.85984251968504</v>
      </c>
      <c r="N436" s="528">
        <f t="shared" si="166"/>
        <v>0</v>
      </c>
      <c r="O436" s="528">
        <f t="shared" si="167"/>
        <v>0</v>
      </c>
      <c r="P436" s="529">
        <f t="shared" si="168"/>
        <v>6.76202166064982</v>
      </c>
      <c r="Q436" s="24">
        <f t="shared" si="169"/>
        <v>277</v>
      </c>
      <c r="R436" s="530">
        <f t="shared" si="170"/>
        <v>0.131155303030303</v>
      </c>
    </row>
    <row r="437" hidden="1" spans="1:18">
      <c r="A437" s="524"/>
      <c r="B437" s="531" t="s">
        <v>96</v>
      </c>
      <c r="C437" s="533">
        <f t="shared" ref="C437:J437" si="177">SUM(C434:C436)</f>
        <v>2071.88</v>
      </c>
      <c r="D437" s="533">
        <f t="shared" si="177"/>
        <v>289047</v>
      </c>
      <c r="E437" s="533">
        <f t="shared" si="177"/>
        <v>2493</v>
      </c>
      <c r="F437" s="533">
        <f t="shared" si="177"/>
        <v>0</v>
      </c>
      <c r="G437" s="533">
        <f t="shared" si="177"/>
        <v>0</v>
      </c>
      <c r="H437" s="533">
        <f t="shared" si="177"/>
        <v>56</v>
      </c>
      <c r="I437" s="533">
        <f t="shared" si="177"/>
        <v>229</v>
      </c>
      <c r="J437" s="533">
        <f t="shared" si="177"/>
        <v>11</v>
      </c>
      <c r="K437" s="534">
        <f>E437/D437</f>
        <v>0.008624894913284</v>
      </c>
      <c r="L437" s="535">
        <f t="shared" si="165"/>
        <v>0.831079021259527</v>
      </c>
      <c r="M437" s="535">
        <f>C437/D437*1000</f>
        <v>7.16796922299834</v>
      </c>
      <c r="N437" s="535">
        <f t="shared" si="166"/>
        <v>0</v>
      </c>
      <c r="O437" s="535">
        <f t="shared" si="167"/>
        <v>0</v>
      </c>
      <c r="P437" s="536">
        <f t="shared" si="168"/>
        <v>7.26975438596491</v>
      </c>
      <c r="Q437" s="531">
        <f t="shared" si="169"/>
        <v>285</v>
      </c>
      <c r="R437" s="537">
        <f t="shared" si="170"/>
        <v>0.114320096269555</v>
      </c>
    </row>
    <row r="438" hidden="1" spans="1:18">
      <c r="A438" s="524">
        <v>45530</v>
      </c>
      <c r="B438" s="24" t="s">
        <v>91</v>
      </c>
      <c r="C438" s="540">
        <v>199.36</v>
      </c>
      <c r="D438" s="540">
        <v>13700</v>
      </c>
      <c r="E438" s="540">
        <v>334</v>
      </c>
      <c r="F438" s="540">
        <v>0</v>
      </c>
      <c r="G438" s="540">
        <v>0</v>
      </c>
      <c r="H438" s="540">
        <v>2</v>
      </c>
      <c r="I438" s="540">
        <v>5</v>
      </c>
      <c r="J438" s="540">
        <v>7</v>
      </c>
      <c r="K438" s="527">
        <f>IF(E438=0,0,E438/D438)</f>
        <v>0.0243795620437956</v>
      </c>
      <c r="L438" s="528">
        <f t="shared" si="165"/>
        <v>0.59688622754491</v>
      </c>
      <c r="M438" s="528">
        <f>IF(D438=0,0,C438/D438*1000)</f>
        <v>14.5518248175182</v>
      </c>
      <c r="N438" s="528">
        <f t="shared" si="166"/>
        <v>0</v>
      </c>
      <c r="O438" s="528">
        <f t="shared" si="167"/>
        <v>0</v>
      </c>
      <c r="P438" s="529">
        <f t="shared" si="168"/>
        <v>28.48</v>
      </c>
      <c r="Q438" s="24">
        <f t="shared" si="169"/>
        <v>7</v>
      </c>
      <c r="R438" s="530">
        <f t="shared" si="170"/>
        <v>0.0209580838323353</v>
      </c>
    </row>
    <row r="439" hidden="1" spans="1:18">
      <c r="A439" s="524"/>
      <c r="B439" s="24" t="s">
        <v>92</v>
      </c>
      <c r="C439" s="540">
        <v>500</v>
      </c>
      <c r="D439" s="540">
        <v>17848</v>
      </c>
      <c r="E439" s="540">
        <v>813</v>
      </c>
      <c r="F439" s="540">
        <v>2</v>
      </c>
      <c r="G439" s="540">
        <v>21795</v>
      </c>
      <c r="H439" s="540">
        <v>10</v>
      </c>
      <c r="I439" s="540">
        <v>8</v>
      </c>
      <c r="J439" s="540">
        <v>0</v>
      </c>
      <c r="K439" s="527">
        <f>IF(E439=0,0,E439/D439)</f>
        <v>0.0455513222770058</v>
      </c>
      <c r="L439" s="528">
        <f t="shared" si="165"/>
        <v>0.615006150061501</v>
      </c>
      <c r="M439" s="528">
        <f>IF(D439=0,0,C439/D439*1000)</f>
        <v>28.014343343792</v>
      </c>
      <c r="N439" s="528">
        <f t="shared" si="166"/>
        <v>43.59</v>
      </c>
      <c r="O439" s="528">
        <f t="shared" si="167"/>
        <v>0.002460024600246</v>
      </c>
      <c r="P439" s="529">
        <f t="shared" si="168"/>
        <v>27.7777777777778</v>
      </c>
      <c r="Q439" s="24">
        <f t="shared" si="169"/>
        <v>18</v>
      </c>
      <c r="R439" s="530">
        <f t="shared" si="170"/>
        <v>0.022140221402214</v>
      </c>
    </row>
    <row r="440" hidden="1" spans="1:18">
      <c r="A440" s="524"/>
      <c r="B440" s="24" t="s">
        <v>97</v>
      </c>
      <c r="C440" s="540">
        <v>2551.43</v>
      </c>
      <c r="D440" s="540">
        <v>599026</v>
      </c>
      <c r="E440" s="540">
        <v>4225</v>
      </c>
      <c r="F440" s="540">
        <v>2</v>
      </c>
      <c r="G440" s="540">
        <v>19596</v>
      </c>
      <c r="H440" s="540">
        <v>56</v>
      </c>
      <c r="I440" s="540">
        <v>228</v>
      </c>
      <c r="J440" s="540">
        <v>9</v>
      </c>
      <c r="K440" s="527">
        <f>IF(E440=0,0,E440/D440)</f>
        <v>0.00705311622533913</v>
      </c>
      <c r="L440" s="528">
        <f t="shared" si="165"/>
        <v>0.60388875739645</v>
      </c>
      <c r="M440" s="528">
        <f>IF(D440=0,0,C440/D440*1000)</f>
        <v>4.25929759309279</v>
      </c>
      <c r="N440" s="528">
        <f t="shared" si="166"/>
        <v>7.68039883516303</v>
      </c>
      <c r="O440" s="528">
        <f t="shared" si="167"/>
        <v>0.000473372781065089</v>
      </c>
      <c r="P440" s="529">
        <f t="shared" si="168"/>
        <v>8.98390845070423</v>
      </c>
      <c r="Q440" s="24">
        <f t="shared" si="169"/>
        <v>284</v>
      </c>
      <c r="R440" s="530">
        <f t="shared" si="170"/>
        <v>0.0672189349112426</v>
      </c>
    </row>
    <row r="441" hidden="1" spans="1:18">
      <c r="A441" s="524"/>
      <c r="B441" s="531" t="s">
        <v>96</v>
      </c>
      <c r="C441" s="533">
        <f t="shared" ref="C441:J441" si="178">SUM(C438:C440)</f>
        <v>3250.79</v>
      </c>
      <c r="D441" s="533">
        <f t="shared" si="178"/>
        <v>630574</v>
      </c>
      <c r="E441" s="533">
        <f t="shared" si="178"/>
        <v>5372</v>
      </c>
      <c r="F441" s="533">
        <f t="shared" si="178"/>
        <v>4</v>
      </c>
      <c r="G441" s="533">
        <f t="shared" si="178"/>
        <v>41391</v>
      </c>
      <c r="H441" s="533">
        <f t="shared" si="178"/>
        <v>68</v>
      </c>
      <c r="I441" s="533">
        <f t="shared" si="178"/>
        <v>241</v>
      </c>
      <c r="J441" s="533">
        <f t="shared" si="178"/>
        <v>16</v>
      </c>
      <c r="K441" s="534">
        <f>E441/D441</f>
        <v>0.00851922216900792</v>
      </c>
      <c r="L441" s="535">
        <f t="shared" si="165"/>
        <v>0.605135889798958</v>
      </c>
      <c r="M441" s="535">
        <f>C441/D441*1000</f>
        <v>5.15528708763761</v>
      </c>
      <c r="N441" s="535">
        <f t="shared" si="166"/>
        <v>12.7325973071161</v>
      </c>
      <c r="O441" s="535">
        <f t="shared" si="167"/>
        <v>0.000744601638123604</v>
      </c>
      <c r="P441" s="536">
        <f t="shared" si="168"/>
        <v>10.520355987055</v>
      </c>
      <c r="Q441" s="531">
        <f t="shared" si="169"/>
        <v>309</v>
      </c>
      <c r="R441" s="537">
        <f t="shared" si="170"/>
        <v>0.0575204765450484</v>
      </c>
    </row>
    <row r="442" hidden="1" spans="1:18">
      <c r="A442" s="524">
        <v>45531</v>
      </c>
      <c r="B442" s="24" t="s">
        <v>91</v>
      </c>
      <c r="C442" s="540">
        <v>199.47</v>
      </c>
      <c r="D442" s="540">
        <v>15738</v>
      </c>
      <c r="E442" s="540">
        <v>370</v>
      </c>
      <c r="F442" s="540">
        <v>0</v>
      </c>
      <c r="G442" s="540">
        <v>0</v>
      </c>
      <c r="H442" s="540">
        <v>1</v>
      </c>
      <c r="I442" s="540">
        <v>2</v>
      </c>
      <c r="J442" s="540">
        <v>5</v>
      </c>
      <c r="K442" s="527">
        <f>IF(E442=0,0,E442/D442)</f>
        <v>0.0235099758546194</v>
      </c>
      <c r="L442" s="528">
        <f t="shared" ref="L442:L465" si="179">IF(C442=0,0,C442/E442)</f>
        <v>0.539108108108108</v>
      </c>
      <c r="M442" s="528">
        <f>IF(D442=0,0,C442/D442*1000)</f>
        <v>12.6744186046512</v>
      </c>
      <c r="N442" s="528">
        <f t="shared" ref="N442:N465" si="180">IF(G442=0,0,G442/C442)</f>
        <v>0</v>
      </c>
      <c r="O442" s="528">
        <f t="shared" ref="O442:O465" si="181">IF(F442=0,0,F442/E442)</f>
        <v>0</v>
      </c>
      <c r="P442" s="529">
        <f t="shared" ref="P442:P465" si="182">IF(H442+I442=0,0,C442/(H442+I442))</f>
        <v>66.49</v>
      </c>
      <c r="Q442" s="24">
        <f t="shared" ref="Q442:Q465" si="183">H442+I442</f>
        <v>3</v>
      </c>
      <c r="R442" s="530">
        <f t="shared" ref="R442:R465" si="184">IF(Q442=0,0,Q442/E442)</f>
        <v>0.00810810810810811</v>
      </c>
    </row>
    <row r="443" hidden="1" spans="1:18">
      <c r="A443" s="524"/>
      <c r="B443" s="24" t="s">
        <v>92</v>
      </c>
      <c r="C443" s="540">
        <v>0</v>
      </c>
      <c r="D443" s="540">
        <v>13</v>
      </c>
      <c r="E443" s="540">
        <v>0</v>
      </c>
      <c r="F443" s="540">
        <v>0</v>
      </c>
      <c r="G443" s="540">
        <v>0</v>
      </c>
      <c r="H443" s="540">
        <v>0</v>
      </c>
      <c r="I443" s="540">
        <v>0</v>
      </c>
      <c r="J443" s="540">
        <v>0</v>
      </c>
      <c r="K443" s="527">
        <f>IF(E443=0,0,E443/D443)</f>
        <v>0</v>
      </c>
      <c r="L443" s="528">
        <f t="shared" si="179"/>
        <v>0</v>
      </c>
      <c r="M443" s="528">
        <f>IF(D443=0,0,C443/D443*1000)</f>
        <v>0</v>
      </c>
      <c r="N443" s="528">
        <f t="shared" si="180"/>
        <v>0</v>
      </c>
      <c r="O443" s="528">
        <f t="shared" si="181"/>
        <v>0</v>
      </c>
      <c r="P443" s="529">
        <f t="shared" si="182"/>
        <v>0</v>
      </c>
      <c r="Q443" s="24">
        <f t="shared" si="183"/>
        <v>0</v>
      </c>
      <c r="R443" s="530">
        <f t="shared" si="184"/>
        <v>0</v>
      </c>
    </row>
    <row r="444" hidden="1" spans="1:18">
      <c r="A444" s="524"/>
      <c r="B444" s="24" t="s">
        <v>97</v>
      </c>
      <c r="C444" s="540">
        <v>2709.93</v>
      </c>
      <c r="D444" s="540">
        <v>1158171</v>
      </c>
      <c r="E444" s="540">
        <v>5525</v>
      </c>
      <c r="F444" s="540">
        <v>0</v>
      </c>
      <c r="G444" s="540">
        <v>0</v>
      </c>
      <c r="H444" s="540">
        <v>63</v>
      </c>
      <c r="I444" s="540">
        <v>207</v>
      </c>
      <c r="J444" s="540">
        <v>12</v>
      </c>
      <c r="K444" s="527">
        <f>IF(E444=0,0,E444/D444)</f>
        <v>0.00477045272243909</v>
      </c>
      <c r="L444" s="528">
        <f t="shared" si="179"/>
        <v>0.490485067873303</v>
      </c>
      <c r="M444" s="528">
        <f>IF(D444=0,0,C444/D444*1000)</f>
        <v>2.33983582735192</v>
      </c>
      <c r="N444" s="528">
        <f t="shared" si="180"/>
        <v>0</v>
      </c>
      <c r="O444" s="528">
        <f t="shared" si="181"/>
        <v>0</v>
      </c>
      <c r="P444" s="529">
        <f t="shared" si="182"/>
        <v>10.0367777777778</v>
      </c>
      <c r="Q444" s="24">
        <f t="shared" si="183"/>
        <v>270</v>
      </c>
      <c r="R444" s="530">
        <f t="shared" si="184"/>
        <v>0.048868778280543</v>
      </c>
    </row>
    <row r="445" hidden="1" spans="1:18">
      <c r="A445" s="524"/>
      <c r="B445" s="531" t="s">
        <v>96</v>
      </c>
      <c r="C445" s="533">
        <f t="shared" ref="C445:J445" si="185">SUM(C442:C444)</f>
        <v>2909.4</v>
      </c>
      <c r="D445" s="533">
        <f t="shared" si="185"/>
        <v>1173922</v>
      </c>
      <c r="E445" s="533">
        <f t="shared" si="185"/>
        <v>5895</v>
      </c>
      <c r="F445" s="533">
        <f t="shared" si="185"/>
        <v>0</v>
      </c>
      <c r="G445" s="533">
        <f t="shared" si="185"/>
        <v>0</v>
      </c>
      <c r="H445" s="533">
        <f t="shared" si="185"/>
        <v>64</v>
      </c>
      <c r="I445" s="533">
        <f t="shared" si="185"/>
        <v>209</v>
      </c>
      <c r="J445" s="533">
        <f t="shared" si="185"/>
        <v>17</v>
      </c>
      <c r="K445" s="534">
        <f>E445/D445</f>
        <v>0.00502162835350219</v>
      </c>
      <c r="L445" s="535">
        <f t="shared" si="179"/>
        <v>0.4935368956743</v>
      </c>
      <c r="M445" s="535">
        <f>C445/D445*1000</f>
        <v>2.47835886881752</v>
      </c>
      <c r="N445" s="535">
        <f t="shared" si="180"/>
        <v>0</v>
      </c>
      <c r="O445" s="535">
        <f t="shared" si="181"/>
        <v>0</v>
      </c>
      <c r="P445" s="536">
        <f t="shared" si="182"/>
        <v>10.6571428571429</v>
      </c>
      <c r="Q445" s="531">
        <f t="shared" si="183"/>
        <v>273</v>
      </c>
      <c r="R445" s="537">
        <f t="shared" si="184"/>
        <v>0.0463104325699746</v>
      </c>
    </row>
    <row r="446" hidden="1" spans="1:18">
      <c r="A446" s="524">
        <v>45532</v>
      </c>
      <c r="B446" s="24" t="s">
        <v>91</v>
      </c>
      <c r="C446" s="540">
        <v>198.17</v>
      </c>
      <c r="D446" s="540">
        <v>13356</v>
      </c>
      <c r="E446" s="540">
        <v>351</v>
      </c>
      <c r="F446" s="540">
        <v>0</v>
      </c>
      <c r="G446" s="540">
        <v>0</v>
      </c>
      <c r="H446" s="540">
        <v>1</v>
      </c>
      <c r="I446" s="540">
        <v>1</v>
      </c>
      <c r="J446" s="540">
        <v>4</v>
      </c>
      <c r="K446" s="527">
        <f>IF(E446=0,0,E446/D446)</f>
        <v>0.0262803234501348</v>
      </c>
      <c r="L446" s="528">
        <f t="shared" si="179"/>
        <v>0.564586894586895</v>
      </c>
      <c r="M446" s="528">
        <f>IF(D446=0,0,C446/D446*1000)</f>
        <v>14.8375262054507</v>
      </c>
      <c r="N446" s="528">
        <f t="shared" si="180"/>
        <v>0</v>
      </c>
      <c r="O446" s="528">
        <f t="shared" si="181"/>
        <v>0</v>
      </c>
      <c r="P446" s="529">
        <f t="shared" si="182"/>
        <v>99.085</v>
      </c>
      <c r="Q446" s="24">
        <f t="shared" si="183"/>
        <v>2</v>
      </c>
      <c r="R446" s="530">
        <f t="shared" si="184"/>
        <v>0.0056980056980057</v>
      </c>
    </row>
    <row r="447" hidden="1" spans="1:18">
      <c r="A447" s="524"/>
      <c r="B447" s="24" t="s">
        <v>92</v>
      </c>
      <c r="C447" s="540">
        <v>500</v>
      </c>
      <c r="D447" s="540">
        <v>13216</v>
      </c>
      <c r="E447" s="540">
        <v>816</v>
      </c>
      <c r="F447" s="540">
        <v>0</v>
      </c>
      <c r="G447" s="540">
        <v>0</v>
      </c>
      <c r="H447" s="540">
        <v>4</v>
      </c>
      <c r="I447" s="540">
        <v>1</v>
      </c>
      <c r="J447" s="540">
        <v>1</v>
      </c>
      <c r="K447" s="527">
        <f>IF(E447=0,0,E447/D447)</f>
        <v>0.0617433414043584</v>
      </c>
      <c r="L447" s="528">
        <f t="shared" si="179"/>
        <v>0.612745098039216</v>
      </c>
      <c r="M447" s="528">
        <f>IF(D447=0,0,C447/D447*1000)</f>
        <v>37.8329297820823</v>
      </c>
      <c r="N447" s="528">
        <f t="shared" si="180"/>
        <v>0</v>
      </c>
      <c r="O447" s="528">
        <f t="shared" si="181"/>
        <v>0</v>
      </c>
      <c r="P447" s="529">
        <f t="shared" si="182"/>
        <v>100</v>
      </c>
      <c r="Q447" s="24">
        <f t="shared" si="183"/>
        <v>5</v>
      </c>
      <c r="R447" s="530">
        <f t="shared" si="184"/>
        <v>0.00612745098039216</v>
      </c>
    </row>
    <row r="448" hidden="1" spans="1:18">
      <c r="A448" s="524"/>
      <c r="B448" s="24" t="s">
        <v>97</v>
      </c>
      <c r="C448" s="540">
        <v>2706.84</v>
      </c>
      <c r="D448" s="540">
        <v>769584</v>
      </c>
      <c r="E448" s="540">
        <v>4319</v>
      </c>
      <c r="F448" s="540">
        <v>3</v>
      </c>
      <c r="G448" s="540">
        <v>60710</v>
      </c>
      <c r="H448" s="540">
        <v>52</v>
      </c>
      <c r="I448" s="540">
        <v>205</v>
      </c>
      <c r="J448" s="540">
        <v>6</v>
      </c>
      <c r="K448" s="527">
        <f>IF(E448=0,0,E448/D448)</f>
        <v>0.00561212291315828</v>
      </c>
      <c r="L448" s="528">
        <f t="shared" si="179"/>
        <v>0.626728409354017</v>
      </c>
      <c r="M448" s="528">
        <f>IF(D448=0,0,C448/D448*1000)</f>
        <v>3.51727686646292</v>
      </c>
      <c r="N448" s="528">
        <f t="shared" si="180"/>
        <v>22.4283666563225</v>
      </c>
      <c r="O448" s="528">
        <f t="shared" si="181"/>
        <v>0.000694605232692753</v>
      </c>
      <c r="P448" s="529">
        <f t="shared" si="182"/>
        <v>10.5324513618677</v>
      </c>
      <c r="Q448" s="24">
        <f t="shared" si="183"/>
        <v>257</v>
      </c>
      <c r="R448" s="530">
        <f t="shared" si="184"/>
        <v>0.0595045149340125</v>
      </c>
    </row>
    <row r="449" hidden="1" spans="1:18">
      <c r="A449" s="524"/>
      <c r="B449" s="531" t="s">
        <v>96</v>
      </c>
      <c r="C449" s="533">
        <f t="shared" ref="C449:J449" si="186">SUM(C446:C448)</f>
        <v>3405.01</v>
      </c>
      <c r="D449" s="533">
        <f t="shared" si="186"/>
        <v>796156</v>
      </c>
      <c r="E449" s="533">
        <f t="shared" si="186"/>
        <v>5486</v>
      </c>
      <c r="F449" s="533">
        <f t="shared" si="186"/>
        <v>3</v>
      </c>
      <c r="G449" s="533">
        <f t="shared" si="186"/>
        <v>60710</v>
      </c>
      <c r="H449" s="533">
        <f t="shared" si="186"/>
        <v>57</v>
      </c>
      <c r="I449" s="533">
        <f t="shared" si="186"/>
        <v>207</v>
      </c>
      <c r="J449" s="533">
        <f t="shared" si="186"/>
        <v>11</v>
      </c>
      <c r="K449" s="534">
        <f>E449/D449</f>
        <v>0.00689060937806159</v>
      </c>
      <c r="L449" s="535">
        <f t="shared" si="179"/>
        <v>0.620672621217645</v>
      </c>
      <c r="M449" s="535">
        <f>C449/D449*1000</f>
        <v>4.27681258446837</v>
      </c>
      <c r="N449" s="535">
        <f t="shared" si="180"/>
        <v>17.8296098983557</v>
      </c>
      <c r="O449" s="535">
        <f t="shared" si="181"/>
        <v>0.000546846518410499</v>
      </c>
      <c r="P449" s="536">
        <f t="shared" si="182"/>
        <v>12.8977651515152</v>
      </c>
      <c r="Q449" s="531">
        <f t="shared" si="183"/>
        <v>264</v>
      </c>
      <c r="R449" s="537">
        <f t="shared" si="184"/>
        <v>0.048122493620124</v>
      </c>
    </row>
    <row r="450" hidden="1" spans="1:18">
      <c r="A450" s="524">
        <v>45533</v>
      </c>
      <c r="B450" s="24" t="s">
        <v>91</v>
      </c>
      <c r="C450" s="540">
        <v>199.65</v>
      </c>
      <c r="D450" s="540">
        <v>13583</v>
      </c>
      <c r="E450" s="540">
        <v>352</v>
      </c>
      <c r="F450" s="540">
        <v>1</v>
      </c>
      <c r="G450" s="540">
        <v>9.9</v>
      </c>
      <c r="H450" s="540">
        <v>3</v>
      </c>
      <c r="I450" s="540">
        <v>2</v>
      </c>
      <c r="J450" s="540">
        <v>6</v>
      </c>
      <c r="K450" s="527">
        <f>IF(E450=0,0,E450/D450)</f>
        <v>0.0259147463741442</v>
      </c>
      <c r="L450" s="528">
        <f t="shared" si="179"/>
        <v>0.5671875</v>
      </c>
      <c r="M450" s="528">
        <f>IF(D450=0,0,C450/D450*1000)</f>
        <v>14.6985202090849</v>
      </c>
      <c r="N450" s="528">
        <f t="shared" si="180"/>
        <v>0.0495867768595041</v>
      </c>
      <c r="O450" s="528">
        <f t="shared" si="181"/>
        <v>0.00284090909090909</v>
      </c>
      <c r="P450" s="529">
        <f t="shared" si="182"/>
        <v>39.93</v>
      </c>
      <c r="Q450" s="24">
        <f t="shared" si="183"/>
        <v>5</v>
      </c>
      <c r="R450" s="530">
        <f t="shared" si="184"/>
        <v>0.0142045454545455</v>
      </c>
    </row>
    <row r="451" hidden="1" spans="1:18">
      <c r="A451" s="524"/>
      <c r="B451" s="24" t="s">
        <v>92</v>
      </c>
      <c r="C451" s="540">
        <v>0</v>
      </c>
      <c r="D451" s="540">
        <v>3</v>
      </c>
      <c r="E451" s="540">
        <v>0</v>
      </c>
      <c r="F451" s="540">
        <v>0</v>
      </c>
      <c r="G451" s="540">
        <v>0</v>
      </c>
      <c r="H451" s="540">
        <v>0</v>
      </c>
      <c r="I451" s="540">
        <v>0</v>
      </c>
      <c r="J451" s="540">
        <v>0</v>
      </c>
      <c r="K451" s="527">
        <f>IF(E451=0,0,E451/D451)</f>
        <v>0</v>
      </c>
      <c r="L451" s="528">
        <f t="shared" si="179"/>
        <v>0</v>
      </c>
      <c r="M451" s="528">
        <f>IF(D451=0,0,C451/D451*1000)</f>
        <v>0</v>
      </c>
      <c r="N451" s="528">
        <f t="shared" si="180"/>
        <v>0</v>
      </c>
      <c r="O451" s="528">
        <f t="shared" si="181"/>
        <v>0</v>
      </c>
      <c r="P451" s="529">
        <f t="shared" si="182"/>
        <v>0</v>
      </c>
      <c r="Q451" s="24">
        <f t="shared" si="183"/>
        <v>0</v>
      </c>
      <c r="R451" s="530">
        <f t="shared" si="184"/>
        <v>0</v>
      </c>
    </row>
    <row r="452" hidden="1" spans="1:18">
      <c r="A452" s="524"/>
      <c r="B452" s="24" t="s">
        <v>97</v>
      </c>
      <c r="C452" s="540">
        <v>2679.62</v>
      </c>
      <c r="D452" s="540">
        <v>493045</v>
      </c>
      <c r="E452" s="540">
        <v>3590</v>
      </c>
      <c r="F452" s="540">
        <v>1</v>
      </c>
      <c r="G452" s="540">
        <v>9.9</v>
      </c>
      <c r="H452" s="540">
        <v>58</v>
      </c>
      <c r="I452" s="540">
        <v>210</v>
      </c>
      <c r="J452" s="540">
        <v>11</v>
      </c>
      <c r="K452" s="527">
        <f>IF(E452=0,0,E452/D452)</f>
        <v>0.00728128264154388</v>
      </c>
      <c r="L452" s="528">
        <f t="shared" si="179"/>
        <v>0.746412256267409</v>
      </c>
      <c r="M452" s="528">
        <f>IF(D452=0,0,C452/D452*1000)</f>
        <v>5.43483860499549</v>
      </c>
      <c r="N452" s="528">
        <f t="shared" si="180"/>
        <v>0.00369455370537614</v>
      </c>
      <c r="O452" s="528">
        <f t="shared" si="181"/>
        <v>0.000278551532033426</v>
      </c>
      <c r="P452" s="529">
        <f t="shared" si="182"/>
        <v>9.99858208955224</v>
      </c>
      <c r="Q452" s="24">
        <f t="shared" si="183"/>
        <v>268</v>
      </c>
      <c r="R452" s="530">
        <f t="shared" si="184"/>
        <v>0.0746518105849582</v>
      </c>
    </row>
    <row r="453" hidden="1" spans="1:18">
      <c r="A453" s="524"/>
      <c r="B453" s="531" t="s">
        <v>96</v>
      </c>
      <c r="C453" s="533">
        <f t="shared" ref="C453:J453" si="187">SUM(C450:C452)</f>
        <v>2879.27</v>
      </c>
      <c r="D453" s="533">
        <f t="shared" si="187"/>
        <v>506631</v>
      </c>
      <c r="E453" s="533">
        <f t="shared" si="187"/>
        <v>3942</v>
      </c>
      <c r="F453" s="533">
        <f t="shared" si="187"/>
        <v>2</v>
      </c>
      <c r="G453" s="533">
        <f t="shared" si="187"/>
        <v>19.8</v>
      </c>
      <c r="H453" s="533">
        <f t="shared" si="187"/>
        <v>61</v>
      </c>
      <c r="I453" s="533">
        <f t="shared" si="187"/>
        <v>212</v>
      </c>
      <c r="J453" s="533">
        <f t="shared" si="187"/>
        <v>17</v>
      </c>
      <c r="K453" s="534">
        <f>E453/D453</f>
        <v>0.00778081088602948</v>
      </c>
      <c r="L453" s="535">
        <f t="shared" si="179"/>
        <v>0.730408422120751</v>
      </c>
      <c r="M453" s="535">
        <f>C453/D453*1000</f>
        <v>5.68316980208475</v>
      </c>
      <c r="N453" s="535">
        <f t="shared" si="180"/>
        <v>0.00687674306334592</v>
      </c>
      <c r="O453" s="535">
        <f t="shared" si="181"/>
        <v>0.000507356671740233</v>
      </c>
      <c r="P453" s="536">
        <f t="shared" si="182"/>
        <v>10.5467765567766</v>
      </c>
      <c r="Q453" s="531">
        <f t="shared" si="183"/>
        <v>273</v>
      </c>
      <c r="R453" s="537">
        <f t="shared" si="184"/>
        <v>0.0692541856925419</v>
      </c>
    </row>
    <row r="454" hidden="1" spans="1:18">
      <c r="A454" s="524">
        <v>45534</v>
      </c>
      <c r="B454" s="24" t="s">
        <v>91</v>
      </c>
      <c r="C454" s="540">
        <v>199.51</v>
      </c>
      <c r="D454" s="540">
        <v>9033</v>
      </c>
      <c r="E454" s="540">
        <v>281</v>
      </c>
      <c r="F454" s="540">
        <v>0</v>
      </c>
      <c r="G454" s="540">
        <v>0</v>
      </c>
      <c r="H454" s="540">
        <v>3</v>
      </c>
      <c r="I454" s="540">
        <v>8</v>
      </c>
      <c r="J454" s="540">
        <v>3</v>
      </c>
      <c r="K454" s="527">
        <f>IF(E454=0,0,E454/D454)</f>
        <v>0.0311081589726558</v>
      </c>
      <c r="L454" s="528">
        <f t="shared" si="179"/>
        <v>0.71</v>
      </c>
      <c r="M454" s="528">
        <f>IF(D454=0,0,C454/D454*1000)</f>
        <v>22.0867928705856</v>
      </c>
      <c r="N454" s="528">
        <f t="shared" si="180"/>
        <v>0</v>
      </c>
      <c r="O454" s="528">
        <f t="shared" si="181"/>
        <v>0</v>
      </c>
      <c r="P454" s="529">
        <f t="shared" si="182"/>
        <v>18.1372727272727</v>
      </c>
      <c r="Q454" s="24">
        <f t="shared" si="183"/>
        <v>11</v>
      </c>
      <c r="R454" s="530">
        <f t="shared" si="184"/>
        <v>0.0391459074733096</v>
      </c>
    </row>
    <row r="455" hidden="1" spans="1:18">
      <c r="A455" s="524"/>
      <c r="B455" s="24" t="s">
        <v>92</v>
      </c>
      <c r="C455" s="540">
        <v>0</v>
      </c>
      <c r="D455" s="540">
        <v>1</v>
      </c>
      <c r="E455" s="540">
        <v>0</v>
      </c>
      <c r="F455" s="540">
        <v>0</v>
      </c>
      <c r="G455" s="540">
        <v>0</v>
      </c>
      <c r="H455" s="540">
        <v>0</v>
      </c>
      <c r="I455" s="540">
        <v>0</v>
      </c>
      <c r="J455" s="540">
        <v>0</v>
      </c>
      <c r="K455" s="527">
        <f>IF(E455=0,0,E455/D455)</f>
        <v>0</v>
      </c>
      <c r="L455" s="528">
        <f t="shared" si="179"/>
        <v>0</v>
      </c>
      <c r="M455" s="528">
        <f>IF(D455=0,0,C455/D455*1000)</f>
        <v>0</v>
      </c>
      <c r="N455" s="528">
        <f t="shared" si="180"/>
        <v>0</v>
      </c>
      <c r="O455" s="528">
        <f t="shared" si="181"/>
        <v>0</v>
      </c>
      <c r="P455" s="529">
        <f t="shared" si="182"/>
        <v>0</v>
      </c>
      <c r="Q455" s="24">
        <f t="shared" si="183"/>
        <v>0</v>
      </c>
      <c r="R455" s="530">
        <f t="shared" si="184"/>
        <v>0</v>
      </c>
    </row>
    <row r="456" hidden="1" spans="1:18">
      <c r="A456" s="524"/>
      <c r="B456" s="24" t="s">
        <v>97</v>
      </c>
      <c r="C456" s="540">
        <v>2719</v>
      </c>
      <c r="D456" s="540">
        <v>294661</v>
      </c>
      <c r="E456" s="540">
        <v>2621</v>
      </c>
      <c r="F456" s="540">
        <v>0</v>
      </c>
      <c r="G456" s="540">
        <v>0</v>
      </c>
      <c r="H456" s="540">
        <v>60</v>
      </c>
      <c r="I456" s="540">
        <v>170</v>
      </c>
      <c r="J456" s="540">
        <v>13</v>
      </c>
      <c r="K456" s="527">
        <f>IF(E456=0,0,E456/D456)</f>
        <v>0.0088949674371566</v>
      </c>
      <c r="L456" s="528">
        <f t="shared" si="179"/>
        <v>1.03739030904235</v>
      </c>
      <c r="M456" s="528">
        <f>IF(D456=0,0,C456/D456*1000)</f>
        <v>9.22755301855353</v>
      </c>
      <c r="N456" s="528">
        <f t="shared" si="180"/>
        <v>0</v>
      </c>
      <c r="O456" s="528">
        <f t="shared" si="181"/>
        <v>0</v>
      </c>
      <c r="P456" s="529">
        <f t="shared" si="182"/>
        <v>11.8217391304348</v>
      </c>
      <c r="Q456" s="24">
        <f t="shared" si="183"/>
        <v>230</v>
      </c>
      <c r="R456" s="530">
        <f t="shared" si="184"/>
        <v>0.0877527661198016</v>
      </c>
    </row>
    <row r="457" hidden="1" spans="1:18">
      <c r="A457" s="524"/>
      <c r="B457" s="531" t="s">
        <v>96</v>
      </c>
      <c r="C457" s="533">
        <f t="shared" ref="C457:J457" si="188">SUM(C454:C456)</f>
        <v>2918.51</v>
      </c>
      <c r="D457" s="533">
        <f t="shared" si="188"/>
        <v>303695</v>
      </c>
      <c r="E457" s="533">
        <f t="shared" si="188"/>
        <v>2902</v>
      </c>
      <c r="F457" s="533">
        <f t="shared" si="188"/>
        <v>0</v>
      </c>
      <c r="G457" s="533">
        <f t="shared" si="188"/>
        <v>0</v>
      </c>
      <c r="H457" s="533">
        <f t="shared" si="188"/>
        <v>63</v>
      </c>
      <c r="I457" s="533">
        <f t="shared" si="188"/>
        <v>178</v>
      </c>
      <c r="J457" s="533">
        <f t="shared" si="188"/>
        <v>16</v>
      </c>
      <c r="K457" s="534">
        <f>E457/D457</f>
        <v>0.0095556397043086</v>
      </c>
      <c r="L457" s="535">
        <f t="shared" si="179"/>
        <v>1.00568917987595</v>
      </c>
      <c r="M457" s="535">
        <f>C457/D457*1000</f>
        <v>9.61000345741616</v>
      </c>
      <c r="N457" s="535">
        <f t="shared" si="180"/>
        <v>0</v>
      </c>
      <c r="O457" s="535">
        <f t="shared" si="181"/>
        <v>0</v>
      </c>
      <c r="P457" s="536">
        <f t="shared" si="182"/>
        <v>12.11</v>
      </c>
      <c r="Q457" s="531">
        <f t="shared" si="183"/>
        <v>241</v>
      </c>
      <c r="R457" s="537">
        <f t="shared" si="184"/>
        <v>0.0830461750516885</v>
      </c>
    </row>
    <row r="458" hidden="1" spans="1:18">
      <c r="A458" s="524">
        <v>45535</v>
      </c>
      <c r="B458" s="24" t="s">
        <v>91</v>
      </c>
      <c r="C458" s="540">
        <v>197.94</v>
      </c>
      <c r="D458" s="540">
        <v>11447</v>
      </c>
      <c r="E458" s="540">
        <v>266</v>
      </c>
      <c r="F458" s="540">
        <v>1</v>
      </c>
      <c r="G458" s="540">
        <v>14067</v>
      </c>
      <c r="H458" s="540">
        <v>5</v>
      </c>
      <c r="I458" s="540">
        <v>7</v>
      </c>
      <c r="J458" s="540">
        <v>2</v>
      </c>
      <c r="K458" s="527">
        <f>IF(E458=0,0,E458/D458)</f>
        <v>0.0232375294837075</v>
      </c>
      <c r="L458" s="528">
        <f t="shared" si="179"/>
        <v>0.744135338345865</v>
      </c>
      <c r="M458" s="528">
        <f>IF(D458=0,0,C458/D458*1000)</f>
        <v>17.2918668646807</v>
      </c>
      <c r="N458" s="528">
        <f t="shared" si="180"/>
        <v>71.0669899969688</v>
      </c>
      <c r="O458" s="528">
        <f t="shared" si="181"/>
        <v>0.0037593984962406</v>
      </c>
      <c r="P458" s="529">
        <f t="shared" si="182"/>
        <v>16.495</v>
      </c>
      <c r="Q458" s="24">
        <f t="shared" si="183"/>
        <v>12</v>
      </c>
      <c r="R458" s="530">
        <f t="shared" si="184"/>
        <v>0.0451127819548872</v>
      </c>
    </row>
    <row r="459" hidden="1" spans="1:18">
      <c r="A459" s="524"/>
      <c r="B459" s="24" t="s">
        <v>92</v>
      </c>
      <c r="C459" s="540">
        <v>0</v>
      </c>
      <c r="D459" s="540">
        <v>0</v>
      </c>
      <c r="E459" s="540">
        <v>0</v>
      </c>
      <c r="F459" s="540">
        <v>0</v>
      </c>
      <c r="G459" s="540">
        <v>0</v>
      </c>
      <c r="H459" s="540">
        <v>0</v>
      </c>
      <c r="I459" s="540">
        <v>0</v>
      </c>
      <c r="J459" s="540">
        <v>0</v>
      </c>
      <c r="K459" s="527">
        <f>IF(E459=0,0,E459/D459)</f>
        <v>0</v>
      </c>
      <c r="L459" s="528">
        <f t="shared" si="179"/>
        <v>0</v>
      </c>
      <c r="M459" s="528">
        <f>IF(D459=0,0,C459/D459*1000)</f>
        <v>0</v>
      </c>
      <c r="N459" s="528">
        <f t="shared" si="180"/>
        <v>0</v>
      </c>
      <c r="O459" s="528">
        <f t="shared" si="181"/>
        <v>0</v>
      </c>
      <c r="P459" s="529">
        <f t="shared" si="182"/>
        <v>0</v>
      </c>
      <c r="Q459" s="24">
        <f t="shared" si="183"/>
        <v>0</v>
      </c>
      <c r="R459" s="530">
        <f t="shared" si="184"/>
        <v>0</v>
      </c>
    </row>
    <row r="460" hidden="1" spans="1:18">
      <c r="A460" s="524"/>
      <c r="B460" s="24" t="s">
        <v>97</v>
      </c>
      <c r="C460" s="540">
        <v>4696.91</v>
      </c>
      <c r="D460" s="540">
        <v>661930</v>
      </c>
      <c r="E460" s="540">
        <v>5172</v>
      </c>
      <c r="F460" s="540">
        <v>0</v>
      </c>
      <c r="G460" s="540">
        <v>0</v>
      </c>
      <c r="H460" s="540">
        <v>99</v>
      </c>
      <c r="I460" s="540">
        <v>280</v>
      </c>
      <c r="J460" s="540">
        <v>19</v>
      </c>
      <c r="K460" s="527">
        <f>IF(E460=0,0,E460/D460)</f>
        <v>0.00781351502424728</v>
      </c>
      <c r="L460" s="528">
        <f t="shared" si="179"/>
        <v>0.908141918020108</v>
      </c>
      <c r="M460" s="528">
        <f>IF(D460=0,0,C460/D460*1000)</f>
        <v>7.09578052059885</v>
      </c>
      <c r="N460" s="528">
        <f t="shared" si="180"/>
        <v>0</v>
      </c>
      <c r="O460" s="528">
        <f t="shared" si="181"/>
        <v>0</v>
      </c>
      <c r="P460" s="529">
        <f t="shared" si="182"/>
        <v>12.3929023746702</v>
      </c>
      <c r="Q460" s="24">
        <f t="shared" si="183"/>
        <v>379</v>
      </c>
      <c r="R460" s="530">
        <f t="shared" si="184"/>
        <v>0.0732791956689869</v>
      </c>
    </row>
    <row r="461" hidden="1" spans="1:18">
      <c r="A461" s="524"/>
      <c r="B461" s="531" t="s">
        <v>96</v>
      </c>
      <c r="C461" s="533">
        <f t="shared" ref="C461:J461" si="189">SUM(C458:C460)</f>
        <v>4894.85</v>
      </c>
      <c r="D461" s="533">
        <f t="shared" si="189"/>
        <v>673377</v>
      </c>
      <c r="E461" s="533">
        <f t="shared" si="189"/>
        <v>5438</v>
      </c>
      <c r="F461" s="533">
        <f t="shared" si="189"/>
        <v>1</v>
      </c>
      <c r="G461" s="533">
        <f t="shared" si="189"/>
        <v>14067</v>
      </c>
      <c r="H461" s="533">
        <f t="shared" si="189"/>
        <v>104</v>
      </c>
      <c r="I461" s="533">
        <f t="shared" si="189"/>
        <v>287</v>
      </c>
      <c r="J461" s="533">
        <f t="shared" si="189"/>
        <v>21</v>
      </c>
      <c r="K461" s="534">
        <f>E461/D461</f>
        <v>0.00807571390172221</v>
      </c>
      <c r="L461" s="535">
        <f t="shared" si="179"/>
        <v>0.900119529238691</v>
      </c>
      <c r="M461" s="535">
        <f>C461/D461*1000</f>
        <v>7.26910779548455</v>
      </c>
      <c r="N461" s="535">
        <f t="shared" si="180"/>
        <v>2.87383678764416</v>
      </c>
      <c r="O461" s="535">
        <f t="shared" si="181"/>
        <v>0.000183891136447223</v>
      </c>
      <c r="P461" s="536">
        <f t="shared" si="182"/>
        <v>12.5187979539642</v>
      </c>
      <c r="Q461" s="531">
        <f t="shared" si="183"/>
        <v>391</v>
      </c>
      <c r="R461" s="537">
        <f t="shared" si="184"/>
        <v>0.0719014343508643</v>
      </c>
    </row>
    <row r="462" hidden="1" spans="1:18">
      <c r="A462" s="524">
        <v>45536</v>
      </c>
      <c r="B462" s="540" t="s">
        <v>98</v>
      </c>
      <c r="C462" s="540">
        <v>199.17</v>
      </c>
      <c r="D462" s="540">
        <v>12462</v>
      </c>
      <c r="E462" s="540">
        <v>310</v>
      </c>
      <c r="F462" s="540">
        <v>0</v>
      </c>
      <c r="G462" s="540">
        <v>0</v>
      </c>
      <c r="H462" s="540">
        <v>0</v>
      </c>
      <c r="I462" s="540">
        <v>2</v>
      </c>
      <c r="J462" s="540">
        <v>2</v>
      </c>
      <c r="K462" s="527">
        <f>IF(E462=0,0,E462/D462)</f>
        <v>0.0248756218905473</v>
      </c>
      <c r="L462" s="528">
        <f t="shared" si="179"/>
        <v>0.642483870967742</v>
      </c>
      <c r="M462" s="528">
        <f>IF(D462=0,0,C462/D462*1000)</f>
        <v>15.9821858449687</v>
      </c>
      <c r="N462" s="528">
        <f t="shared" si="180"/>
        <v>0</v>
      </c>
      <c r="O462" s="528">
        <f t="shared" si="181"/>
        <v>0</v>
      </c>
      <c r="P462" s="529">
        <f t="shared" si="182"/>
        <v>99.585</v>
      </c>
      <c r="Q462" s="24">
        <f t="shared" si="183"/>
        <v>2</v>
      </c>
      <c r="R462" s="530">
        <f t="shared" si="184"/>
        <v>0.00645161290322581</v>
      </c>
    </row>
    <row r="463" hidden="1" spans="1:18">
      <c r="A463" s="524"/>
      <c r="B463" s="540" t="s">
        <v>99</v>
      </c>
      <c r="C463" s="540">
        <v>0</v>
      </c>
      <c r="D463" s="540">
        <v>0</v>
      </c>
      <c r="E463" s="540">
        <v>0</v>
      </c>
      <c r="F463" s="540">
        <v>0</v>
      </c>
      <c r="G463" s="540">
        <v>0</v>
      </c>
      <c r="H463" s="540">
        <v>0</v>
      </c>
      <c r="I463" s="540">
        <v>0</v>
      </c>
      <c r="J463" s="540">
        <v>0</v>
      </c>
      <c r="K463" s="527">
        <f>IF(E463=0,0,E463/D463)</f>
        <v>0</v>
      </c>
      <c r="L463" s="528">
        <f t="shared" si="179"/>
        <v>0</v>
      </c>
      <c r="M463" s="528">
        <f>IF(D463=0,0,C463/D463*1000)</f>
        <v>0</v>
      </c>
      <c r="N463" s="528">
        <f t="shared" si="180"/>
        <v>0</v>
      </c>
      <c r="O463" s="528">
        <f t="shared" si="181"/>
        <v>0</v>
      </c>
      <c r="P463" s="529">
        <f t="shared" si="182"/>
        <v>0</v>
      </c>
      <c r="Q463" s="24">
        <f t="shared" si="183"/>
        <v>0</v>
      </c>
      <c r="R463" s="530">
        <f t="shared" si="184"/>
        <v>0</v>
      </c>
    </row>
    <row r="464" hidden="1" spans="1:18">
      <c r="A464" s="524"/>
      <c r="B464" s="540" t="s">
        <v>100</v>
      </c>
      <c r="C464" s="540">
        <v>4817.15</v>
      </c>
      <c r="D464" s="540">
        <v>661237</v>
      </c>
      <c r="E464" s="540">
        <v>5538</v>
      </c>
      <c r="F464" s="540">
        <v>1</v>
      </c>
      <c r="G464" s="540">
        <v>9.9</v>
      </c>
      <c r="H464" s="540">
        <v>121</v>
      </c>
      <c r="I464" s="540">
        <v>281</v>
      </c>
      <c r="J464" s="540">
        <v>18</v>
      </c>
      <c r="K464" s="527">
        <f>IF(E464=0,0,E464/D464)</f>
        <v>0.00837521191342892</v>
      </c>
      <c r="L464" s="528">
        <f t="shared" si="179"/>
        <v>0.869835680751174</v>
      </c>
      <c r="M464" s="528">
        <f>IF(D464=0,0,C464/D464*1000)</f>
        <v>7.28505815615279</v>
      </c>
      <c r="N464" s="528">
        <f t="shared" si="180"/>
        <v>0.00205515709496279</v>
      </c>
      <c r="O464" s="528">
        <f t="shared" si="181"/>
        <v>0.000180570603105814</v>
      </c>
      <c r="P464" s="529">
        <f t="shared" si="182"/>
        <v>11.982960199005</v>
      </c>
      <c r="Q464" s="24">
        <f t="shared" si="183"/>
        <v>402</v>
      </c>
      <c r="R464" s="530">
        <f t="shared" si="184"/>
        <v>0.0725893824485374</v>
      </c>
    </row>
    <row r="465" hidden="1" spans="1:18">
      <c r="A465" s="524"/>
      <c r="B465" s="531" t="s">
        <v>96</v>
      </c>
      <c r="C465" s="533">
        <f t="shared" ref="C465:J465" si="190">SUM(C462:C464)</f>
        <v>5016.32</v>
      </c>
      <c r="D465" s="533">
        <f t="shared" si="190"/>
        <v>673699</v>
      </c>
      <c r="E465" s="533">
        <f t="shared" si="190"/>
        <v>5848</v>
      </c>
      <c r="F465" s="533">
        <f t="shared" si="190"/>
        <v>1</v>
      </c>
      <c r="G465" s="533">
        <f t="shared" si="190"/>
        <v>9.9</v>
      </c>
      <c r="H465" s="533">
        <f t="shared" si="190"/>
        <v>121</v>
      </c>
      <c r="I465" s="533">
        <f t="shared" si="190"/>
        <v>283</v>
      </c>
      <c r="J465" s="533">
        <f t="shared" si="190"/>
        <v>20</v>
      </c>
      <c r="K465" s="534">
        <f>E465/D465</f>
        <v>0.00868043443733774</v>
      </c>
      <c r="L465" s="535">
        <f t="shared" si="179"/>
        <v>0.857783857729138</v>
      </c>
      <c r="M465" s="535">
        <f>C465/D465*1000</f>
        <v>7.44593653842443</v>
      </c>
      <c r="N465" s="535">
        <f t="shared" si="180"/>
        <v>0.00197355830569023</v>
      </c>
      <c r="O465" s="535">
        <f t="shared" si="181"/>
        <v>0.000170998632010944</v>
      </c>
      <c r="P465" s="536">
        <f t="shared" si="182"/>
        <v>12.4166336633663</v>
      </c>
      <c r="Q465" s="531">
        <f t="shared" si="183"/>
        <v>404</v>
      </c>
      <c r="R465" s="537">
        <f t="shared" si="184"/>
        <v>0.0690834473324213</v>
      </c>
    </row>
    <row r="466" hidden="1" spans="1:18">
      <c r="A466" s="524">
        <v>45537</v>
      </c>
      <c r="B466" s="540" t="s">
        <v>98</v>
      </c>
      <c r="C466" s="540">
        <v>199.41</v>
      </c>
      <c r="D466" s="540">
        <v>15611</v>
      </c>
      <c r="E466" s="540">
        <v>336</v>
      </c>
      <c r="F466" s="540">
        <v>0</v>
      </c>
      <c r="G466" s="540">
        <v>0</v>
      </c>
      <c r="H466" s="540">
        <v>5</v>
      </c>
      <c r="I466" s="540">
        <v>2</v>
      </c>
      <c r="J466" s="540">
        <v>5</v>
      </c>
      <c r="K466" s="527">
        <f>IF(E466=0,0,E466/D466)</f>
        <v>0.0215232848632375</v>
      </c>
      <c r="L466" s="528">
        <f t="shared" ref="L466:L497" si="191">IF(C466=0,0,C466/E466)</f>
        <v>0.593482142857143</v>
      </c>
      <c r="M466" s="528">
        <f>IF(D466=0,0,C466/D466*1000)</f>
        <v>12.7736852219589</v>
      </c>
      <c r="N466" s="528">
        <f t="shared" ref="N466:N497" si="192">IF(G466=0,0,G466/C466)</f>
        <v>0</v>
      </c>
      <c r="O466" s="528">
        <f t="shared" ref="O466:O497" si="193">IF(F466=0,0,F466/E466)</f>
        <v>0</v>
      </c>
      <c r="P466" s="529">
        <f t="shared" ref="P466:P497" si="194">IF(H466+I466=0,0,C466/(H466+I466))</f>
        <v>28.4871428571429</v>
      </c>
      <c r="Q466" s="24">
        <f t="shared" ref="Q466:Q497" si="195">H466+I466</f>
        <v>7</v>
      </c>
      <c r="R466" s="530">
        <f t="shared" ref="R466:R497" si="196">IF(Q466=0,0,Q466/E466)</f>
        <v>0.0208333333333333</v>
      </c>
    </row>
    <row r="467" hidden="1" spans="1:18">
      <c r="A467" s="524"/>
      <c r="B467" s="540" t="s">
        <v>99</v>
      </c>
      <c r="C467" s="540">
        <v>0</v>
      </c>
      <c r="D467" s="540">
        <v>0</v>
      </c>
      <c r="E467" s="540">
        <v>0</v>
      </c>
      <c r="F467" s="540">
        <v>0</v>
      </c>
      <c r="G467" s="540">
        <v>0</v>
      </c>
      <c r="H467" s="540">
        <v>0</v>
      </c>
      <c r="I467" s="540">
        <v>0</v>
      </c>
      <c r="J467" s="540">
        <v>0</v>
      </c>
      <c r="K467" s="527">
        <f>IF(E467=0,0,E467/D467)</f>
        <v>0</v>
      </c>
      <c r="L467" s="528">
        <f t="shared" si="191"/>
        <v>0</v>
      </c>
      <c r="M467" s="528">
        <f>IF(D467=0,0,C467/D467*1000)</f>
        <v>0</v>
      </c>
      <c r="N467" s="528">
        <f t="shared" si="192"/>
        <v>0</v>
      </c>
      <c r="O467" s="528">
        <f t="shared" si="193"/>
        <v>0</v>
      </c>
      <c r="P467" s="529">
        <f t="shared" si="194"/>
        <v>0</v>
      </c>
      <c r="Q467" s="24">
        <f t="shared" si="195"/>
        <v>0</v>
      </c>
      <c r="R467" s="530">
        <f t="shared" si="196"/>
        <v>0</v>
      </c>
    </row>
    <row r="468" hidden="1" spans="1:18">
      <c r="A468" s="524"/>
      <c r="B468" s="540" t="s">
        <v>100</v>
      </c>
      <c r="C468" s="540">
        <v>4963.18</v>
      </c>
      <c r="D468" s="540">
        <v>839377</v>
      </c>
      <c r="E468" s="540">
        <v>5712</v>
      </c>
      <c r="F468" s="540">
        <v>5</v>
      </c>
      <c r="G468" s="540">
        <v>24964.7</v>
      </c>
      <c r="H468" s="540">
        <v>103</v>
      </c>
      <c r="I468" s="540">
        <v>260</v>
      </c>
      <c r="J468" s="540">
        <v>19</v>
      </c>
      <c r="K468" s="527">
        <f>IF(E468=0,0,E468/D468)</f>
        <v>0.0068050470765818</v>
      </c>
      <c r="L468" s="528">
        <f t="shared" si="191"/>
        <v>0.86890406162465</v>
      </c>
      <c r="M468" s="528">
        <f>IF(D468=0,0,C468/D468*1000)</f>
        <v>5.91293304438887</v>
      </c>
      <c r="N468" s="528">
        <f t="shared" si="192"/>
        <v>5.02998077845252</v>
      </c>
      <c r="O468" s="528">
        <f t="shared" si="193"/>
        <v>0.000875350140056022</v>
      </c>
      <c r="P468" s="529">
        <f t="shared" si="194"/>
        <v>13.6726721763085</v>
      </c>
      <c r="Q468" s="24">
        <f t="shared" si="195"/>
        <v>363</v>
      </c>
      <c r="R468" s="530">
        <f t="shared" si="196"/>
        <v>0.0635504201680672</v>
      </c>
    </row>
    <row r="469" hidden="1" spans="1:18">
      <c r="A469" s="524"/>
      <c r="B469" s="531" t="s">
        <v>96</v>
      </c>
      <c r="C469" s="533">
        <f t="shared" ref="C469:J469" si="197">SUM(C466:C468)</f>
        <v>5162.59</v>
      </c>
      <c r="D469" s="533">
        <f t="shared" si="197"/>
        <v>854988</v>
      </c>
      <c r="E469" s="533">
        <f t="shared" si="197"/>
        <v>6048</v>
      </c>
      <c r="F469" s="533">
        <f t="shared" si="197"/>
        <v>5</v>
      </c>
      <c r="G469" s="533">
        <f t="shared" si="197"/>
        <v>24964.7</v>
      </c>
      <c r="H469" s="533">
        <f t="shared" si="197"/>
        <v>108</v>
      </c>
      <c r="I469" s="533">
        <f t="shared" si="197"/>
        <v>262</v>
      </c>
      <c r="J469" s="533">
        <f t="shared" si="197"/>
        <v>24</v>
      </c>
      <c r="K469" s="534">
        <f>E469/D469</f>
        <v>0.00707378349169813</v>
      </c>
      <c r="L469" s="535">
        <f t="shared" si="191"/>
        <v>0.853602843915344</v>
      </c>
      <c r="M469" s="535">
        <f>C469/D469*1000</f>
        <v>6.03820170575493</v>
      </c>
      <c r="N469" s="535">
        <f t="shared" si="192"/>
        <v>4.83569293707228</v>
      </c>
      <c r="O469" s="535">
        <f t="shared" si="193"/>
        <v>0.000826719576719577</v>
      </c>
      <c r="P469" s="536">
        <f t="shared" si="194"/>
        <v>13.9529459459459</v>
      </c>
      <c r="Q469" s="531">
        <f t="shared" si="195"/>
        <v>370</v>
      </c>
      <c r="R469" s="537">
        <f t="shared" si="196"/>
        <v>0.0611772486772487</v>
      </c>
    </row>
    <row r="470" hidden="1" spans="1:18">
      <c r="A470" s="524">
        <v>45538</v>
      </c>
      <c r="B470" s="540" t="s">
        <v>98</v>
      </c>
      <c r="C470" s="540">
        <v>200</v>
      </c>
      <c r="D470" s="540">
        <v>11846</v>
      </c>
      <c r="E470" s="540">
        <v>243</v>
      </c>
      <c r="F470" s="540">
        <v>0</v>
      </c>
      <c r="G470" s="540">
        <v>0</v>
      </c>
      <c r="H470" s="540">
        <v>2</v>
      </c>
      <c r="I470" s="540">
        <v>2</v>
      </c>
      <c r="J470" s="540">
        <v>2</v>
      </c>
      <c r="K470" s="527">
        <f>IF(E470=0,0,E470/D470)</f>
        <v>0.0205132534188756</v>
      </c>
      <c r="L470" s="528">
        <f t="shared" si="191"/>
        <v>0.823045267489712</v>
      </c>
      <c r="M470" s="528">
        <f>IF(D470=0,0,C470/D470*1000)</f>
        <v>16.8833361472227</v>
      </c>
      <c r="N470" s="528">
        <f t="shared" si="192"/>
        <v>0</v>
      </c>
      <c r="O470" s="528">
        <f t="shared" si="193"/>
        <v>0</v>
      </c>
      <c r="P470" s="529">
        <f t="shared" si="194"/>
        <v>50</v>
      </c>
      <c r="Q470" s="24">
        <f t="shared" si="195"/>
        <v>4</v>
      </c>
      <c r="R470" s="530">
        <f t="shared" si="196"/>
        <v>0.0164609053497942</v>
      </c>
    </row>
    <row r="471" hidden="1" spans="1:18">
      <c r="A471" s="524"/>
      <c r="B471" s="540" t="s">
        <v>99</v>
      </c>
      <c r="C471" s="540">
        <v>495.21</v>
      </c>
      <c r="D471" s="540">
        <v>17528</v>
      </c>
      <c r="E471" s="540">
        <v>1021</v>
      </c>
      <c r="F471" s="540">
        <v>1</v>
      </c>
      <c r="G471" s="540">
        <v>9274</v>
      </c>
      <c r="H471" s="540">
        <v>5</v>
      </c>
      <c r="I471" s="540">
        <v>2</v>
      </c>
      <c r="J471" s="540">
        <v>4</v>
      </c>
      <c r="K471" s="527">
        <f>IF(E471=0,0,E471/D471)</f>
        <v>0.0582496576905523</v>
      </c>
      <c r="L471" s="528">
        <f t="shared" si="191"/>
        <v>0.485024485798237</v>
      </c>
      <c r="M471" s="528">
        <f>IF(D471=0,0,C471/D471*1000)</f>
        <v>28.2525102692834</v>
      </c>
      <c r="N471" s="528">
        <f t="shared" si="192"/>
        <v>18.7274085741403</v>
      </c>
      <c r="O471" s="528">
        <f t="shared" si="193"/>
        <v>0.000979431929480901</v>
      </c>
      <c r="P471" s="529">
        <f t="shared" si="194"/>
        <v>70.7442857142857</v>
      </c>
      <c r="Q471" s="24">
        <f t="shared" si="195"/>
        <v>7</v>
      </c>
      <c r="R471" s="530">
        <f t="shared" si="196"/>
        <v>0.00685602350636631</v>
      </c>
    </row>
    <row r="472" hidden="1" spans="1:18">
      <c r="A472" s="524"/>
      <c r="B472" s="540" t="s">
        <v>100</v>
      </c>
      <c r="C472" s="540">
        <v>4967.11</v>
      </c>
      <c r="D472" s="540">
        <v>953401</v>
      </c>
      <c r="E472" s="540">
        <v>6187</v>
      </c>
      <c r="F472" s="540">
        <v>1</v>
      </c>
      <c r="G472" s="540">
        <v>9.9</v>
      </c>
      <c r="H472" s="540">
        <v>92</v>
      </c>
      <c r="I472" s="540">
        <v>259</v>
      </c>
      <c r="J472" s="540">
        <v>23</v>
      </c>
      <c r="K472" s="527">
        <f>IF(E472=0,0,E472/D472)</f>
        <v>0.00648939952863486</v>
      </c>
      <c r="L472" s="528">
        <f t="shared" si="191"/>
        <v>0.802830127687086</v>
      </c>
      <c r="M472" s="528">
        <f>IF(D472=0,0,C472/D472*1000)</f>
        <v>5.20988545218643</v>
      </c>
      <c r="N472" s="528">
        <f t="shared" si="192"/>
        <v>0.00199311068206663</v>
      </c>
      <c r="O472" s="528">
        <f t="shared" si="193"/>
        <v>0.000161629222563439</v>
      </c>
      <c r="P472" s="529">
        <f t="shared" si="194"/>
        <v>14.1513105413105</v>
      </c>
      <c r="Q472" s="24">
        <f t="shared" si="195"/>
        <v>351</v>
      </c>
      <c r="R472" s="530">
        <f t="shared" si="196"/>
        <v>0.0567318571197673</v>
      </c>
    </row>
    <row r="473" hidden="1" spans="1:18">
      <c r="A473" s="524"/>
      <c r="B473" s="531" t="s">
        <v>96</v>
      </c>
      <c r="C473" s="533">
        <f t="shared" ref="C473:J473" si="198">SUM(C470:C472)</f>
        <v>5662.32</v>
      </c>
      <c r="D473" s="533">
        <f t="shared" si="198"/>
        <v>982775</v>
      </c>
      <c r="E473" s="533">
        <f t="shared" si="198"/>
        <v>7451</v>
      </c>
      <c r="F473" s="533">
        <f t="shared" si="198"/>
        <v>2</v>
      </c>
      <c r="G473" s="533">
        <f t="shared" si="198"/>
        <v>9283.9</v>
      </c>
      <c r="H473" s="533">
        <f t="shared" si="198"/>
        <v>99</v>
      </c>
      <c r="I473" s="533">
        <f t="shared" si="198"/>
        <v>263</v>
      </c>
      <c r="J473" s="533">
        <f t="shared" si="198"/>
        <v>29</v>
      </c>
      <c r="K473" s="534">
        <f>E473/D473</f>
        <v>0.00758159293836331</v>
      </c>
      <c r="L473" s="535">
        <f t="shared" si="191"/>
        <v>0.759940947523822</v>
      </c>
      <c r="M473" s="535">
        <f>C473/D473*1000</f>
        <v>5.76156292131973</v>
      </c>
      <c r="N473" s="535">
        <f t="shared" si="192"/>
        <v>1.63959295836336</v>
      </c>
      <c r="O473" s="535">
        <f t="shared" si="193"/>
        <v>0.000268420346262247</v>
      </c>
      <c r="P473" s="536">
        <f t="shared" si="194"/>
        <v>15.6417679558011</v>
      </c>
      <c r="Q473" s="531">
        <f t="shared" si="195"/>
        <v>362</v>
      </c>
      <c r="R473" s="537">
        <f t="shared" si="196"/>
        <v>0.0485840826734667</v>
      </c>
    </row>
    <row r="474" hidden="1" spans="1:18">
      <c r="A474" s="524">
        <v>45539</v>
      </c>
      <c r="B474" s="540" t="s">
        <v>98</v>
      </c>
      <c r="C474" s="540">
        <v>200</v>
      </c>
      <c r="D474" s="540">
        <v>14887</v>
      </c>
      <c r="E474" s="540">
        <v>317</v>
      </c>
      <c r="F474" s="540">
        <v>0</v>
      </c>
      <c r="G474" s="540">
        <v>0</v>
      </c>
      <c r="H474" s="540">
        <v>0</v>
      </c>
      <c r="I474" s="540">
        <v>1</v>
      </c>
      <c r="J474" s="540">
        <v>4</v>
      </c>
      <c r="K474" s="527">
        <f>IF(E474=0,0,E474/D474)</f>
        <v>0.0212937462215356</v>
      </c>
      <c r="L474" s="528">
        <f t="shared" si="191"/>
        <v>0.630914826498423</v>
      </c>
      <c r="M474" s="528">
        <f>IF(D474=0,0,C474/D474*1000)</f>
        <v>13.4345402028616</v>
      </c>
      <c r="N474" s="528">
        <f t="shared" si="192"/>
        <v>0</v>
      </c>
      <c r="O474" s="528">
        <f t="shared" si="193"/>
        <v>0</v>
      </c>
      <c r="P474" s="529">
        <f t="shared" si="194"/>
        <v>200</v>
      </c>
      <c r="Q474" s="24">
        <f t="shared" si="195"/>
        <v>1</v>
      </c>
      <c r="R474" s="530">
        <f t="shared" si="196"/>
        <v>0.00315457413249211</v>
      </c>
    </row>
    <row r="475" hidden="1" spans="1:18">
      <c r="A475" s="524"/>
      <c r="B475" s="540" t="s">
        <v>99</v>
      </c>
      <c r="C475" s="540">
        <v>0</v>
      </c>
      <c r="D475" s="540">
        <v>8</v>
      </c>
      <c r="E475" s="540">
        <v>0</v>
      </c>
      <c r="F475" s="540">
        <v>0</v>
      </c>
      <c r="G475" s="540">
        <v>0</v>
      </c>
      <c r="H475" s="540">
        <v>0</v>
      </c>
      <c r="I475" s="540">
        <v>0</v>
      </c>
      <c r="J475" s="540">
        <v>0</v>
      </c>
      <c r="K475" s="527">
        <f>IF(E475=0,0,E475/D475)</f>
        <v>0</v>
      </c>
      <c r="L475" s="528">
        <f t="shared" si="191"/>
        <v>0</v>
      </c>
      <c r="M475" s="528">
        <f>IF(D475=0,0,C475/D475*1000)</f>
        <v>0</v>
      </c>
      <c r="N475" s="528">
        <f t="shared" si="192"/>
        <v>0</v>
      </c>
      <c r="O475" s="528">
        <f t="shared" si="193"/>
        <v>0</v>
      </c>
      <c r="P475" s="529">
        <f t="shared" si="194"/>
        <v>0</v>
      </c>
      <c r="Q475" s="24">
        <f t="shared" si="195"/>
        <v>0</v>
      </c>
      <c r="R475" s="530">
        <f t="shared" si="196"/>
        <v>0</v>
      </c>
    </row>
    <row r="476" hidden="1" spans="1:18">
      <c r="A476" s="524"/>
      <c r="B476" s="540" t="s">
        <v>100</v>
      </c>
      <c r="C476" s="540">
        <v>4428</v>
      </c>
      <c r="D476" s="540">
        <v>995966</v>
      </c>
      <c r="E476" s="540">
        <v>6567</v>
      </c>
      <c r="F476" s="540">
        <v>2</v>
      </c>
      <c r="G476" s="540">
        <v>14123.9</v>
      </c>
      <c r="H476" s="540">
        <v>86</v>
      </c>
      <c r="I476" s="540">
        <v>255</v>
      </c>
      <c r="J476" s="540">
        <v>18</v>
      </c>
      <c r="K476" s="527">
        <f>IF(E476=0,0,E476/D476)</f>
        <v>0.00659359857665824</v>
      </c>
      <c r="L476" s="528">
        <f t="shared" si="191"/>
        <v>0.674280493375971</v>
      </c>
      <c r="M476" s="528">
        <f>IF(D476=0,0,C476/D476*1000)</f>
        <v>4.44593490139222</v>
      </c>
      <c r="N476" s="528">
        <f t="shared" si="192"/>
        <v>3.1896793134598</v>
      </c>
      <c r="O476" s="528">
        <f t="shared" si="193"/>
        <v>0.000304553068372164</v>
      </c>
      <c r="P476" s="529">
        <f t="shared" si="194"/>
        <v>12.9853372434018</v>
      </c>
      <c r="Q476" s="24">
        <f t="shared" si="195"/>
        <v>341</v>
      </c>
      <c r="R476" s="530">
        <f t="shared" si="196"/>
        <v>0.0519262981574539</v>
      </c>
    </row>
    <row r="477" hidden="1" spans="1:18">
      <c r="A477" s="524"/>
      <c r="B477" s="531" t="s">
        <v>96</v>
      </c>
      <c r="C477" s="533">
        <f t="shared" ref="C477:J477" si="199">SUM(C474:C476)</f>
        <v>4628</v>
      </c>
      <c r="D477" s="533">
        <f t="shared" si="199"/>
        <v>1010861</v>
      </c>
      <c r="E477" s="533">
        <f t="shared" si="199"/>
        <v>6884</v>
      </c>
      <c r="F477" s="533">
        <f t="shared" si="199"/>
        <v>2</v>
      </c>
      <c r="G477" s="533">
        <f t="shared" si="199"/>
        <v>14123.9</v>
      </c>
      <c r="H477" s="533">
        <f t="shared" si="199"/>
        <v>86</v>
      </c>
      <c r="I477" s="533">
        <f t="shared" si="199"/>
        <v>256</v>
      </c>
      <c r="J477" s="533">
        <f t="shared" si="199"/>
        <v>22</v>
      </c>
      <c r="K477" s="534">
        <f>E477/D477</f>
        <v>0.00681003619686584</v>
      </c>
      <c r="L477" s="535">
        <f t="shared" si="191"/>
        <v>0.672283556072051</v>
      </c>
      <c r="M477" s="535">
        <f>C477/D477*1000</f>
        <v>4.57827535140835</v>
      </c>
      <c r="N477" s="535">
        <f t="shared" si="192"/>
        <v>3.05183664649957</v>
      </c>
      <c r="O477" s="535">
        <f t="shared" si="193"/>
        <v>0.000290528762347472</v>
      </c>
      <c r="P477" s="536">
        <f t="shared" si="194"/>
        <v>13.5321637426901</v>
      </c>
      <c r="Q477" s="531">
        <f t="shared" si="195"/>
        <v>342</v>
      </c>
      <c r="R477" s="537">
        <f t="shared" si="196"/>
        <v>0.0496804183614178</v>
      </c>
    </row>
    <row r="478" hidden="1" spans="1:18">
      <c r="A478" s="524">
        <v>45540</v>
      </c>
      <c r="B478" s="540" t="s">
        <v>98</v>
      </c>
      <c r="C478" s="540">
        <v>199.9</v>
      </c>
      <c r="D478" s="540">
        <v>8150</v>
      </c>
      <c r="E478" s="540">
        <v>223</v>
      </c>
      <c r="F478" s="540">
        <v>0</v>
      </c>
      <c r="G478" s="540">
        <v>0</v>
      </c>
      <c r="H478" s="540">
        <v>4</v>
      </c>
      <c r="I478" s="540">
        <v>3</v>
      </c>
      <c r="J478" s="540">
        <v>4</v>
      </c>
      <c r="K478" s="527">
        <f>IF(E478=0,0,E478/D478)</f>
        <v>0.027361963190184</v>
      </c>
      <c r="L478" s="528">
        <f t="shared" si="191"/>
        <v>0.896412556053812</v>
      </c>
      <c r="M478" s="528">
        <f>IF(D478=0,0,C478/D478*1000)</f>
        <v>24.5276073619632</v>
      </c>
      <c r="N478" s="528">
        <f t="shared" si="192"/>
        <v>0</v>
      </c>
      <c r="O478" s="528">
        <f t="shared" si="193"/>
        <v>0</v>
      </c>
      <c r="P478" s="529">
        <f t="shared" si="194"/>
        <v>28.5571428571429</v>
      </c>
      <c r="Q478" s="24">
        <f t="shared" si="195"/>
        <v>7</v>
      </c>
      <c r="R478" s="530">
        <f t="shared" si="196"/>
        <v>0.031390134529148</v>
      </c>
    </row>
    <row r="479" hidden="1" spans="1:18">
      <c r="A479" s="524"/>
      <c r="B479" s="540" t="s">
        <v>99</v>
      </c>
      <c r="C479" s="540">
        <v>0</v>
      </c>
      <c r="D479" s="540">
        <v>0</v>
      </c>
      <c r="E479" s="540">
        <v>0</v>
      </c>
      <c r="F479" s="540">
        <v>0</v>
      </c>
      <c r="G479" s="540">
        <v>0</v>
      </c>
      <c r="H479" s="540">
        <v>0</v>
      </c>
      <c r="I479" s="540">
        <v>0</v>
      </c>
      <c r="J479" s="540">
        <v>0</v>
      </c>
      <c r="K479" s="527">
        <f>IF(E479=0,0,E479/D479)</f>
        <v>0</v>
      </c>
      <c r="L479" s="528">
        <f t="shared" si="191"/>
        <v>0</v>
      </c>
      <c r="M479" s="528">
        <f>IF(D479=0,0,C479/D479*1000)</f>
        <v>0</v>
      </c>
      <c r="N479" s="528">
        <f t="shared" si="192"/>
        <v>0</v>
      </c>
      <c r="O479" s="528">
        <f t="shared" si="193"/>
        <v>0</v>
      </c>
      <c r="P479" s="529">
        <f t="shared" si="194"/>
        <v>0</v>
      </c>
      <c r="Q479" s="24">
        <f t="shared" si="195"/>
        <v>0</v>
      </c>
      <c r="R479" s="530">
        <f t="shared" si="196"/>
        <v>0</v>
      </c>
    </row>
    <row r="480" hidden="1" spans="1:18">
      <c r="A480" s="524"/>
      <c r="B480" s="540" t="s">
        <v>100</v>
      </c>
      <c r="C480" s="540">
        <v>4478.21</v>
      </c>
      <c r="D480" s="540">
        <v>589149</v>
      </c>
      <c r="E480" s="540">
        <v>4483</v>
      </c>
      <c r="F480" s="540">
        <v>3</v>
      </c>
      <c r="G480" s="540">
        <v>23257.9</v>
      </c>
      <c r="H480" s="540">
        <v>84</v>
      </c>
      <c r="I480" s="540">
        <v>265</v>
      </c>
      <c r="J480" s="540">
        <v>12</v>
      </c>
      <c r="K480" s="527">
        <f>IF(E480=0,0,E480/D480)</f>
        <v>0.00760928050459222</v>
      </c>
      <c r="L480" s="528">
        <f t="shared" si="191"/>
        <v>0.99893151907205</v>
      </c>
      <c r="M480" s="528">
        <f>IF(D480=0,0,C480/D480*1000)</f>
        <v>7.60115013349764</v>
      </c>
      <c r="N480" s="528">
        <f t="shared" si="192"/>
        <v>5.19357064541413</v>
      </c>
      <c r="O480" s="528">
        <f t="shared" si="193"/>
        <v>0.000669194735668079</v>
      </c>
      <c r="P480" s="529">
        <f t="shared" si="194"/>
        <v>12.831547277937</v>
      </c>
      <c r="Q480" s="24">
        <f t="shared" si="195"/>
        <v>349</v>
      </c>
      <c r="R480" s="530">
        <f t="shared" si="196"/>
        <v>0.0778496542493866</v>
      </c>
    </row>
    <row r="481" hidden="1" spans="1:18">
      <c r="A481" s="524"/>
      <c r="B481" s="531" t="s">
        <v>96</v>
      </c>
      <c r="C481" s="533">
        <f t="shared" ref="C481:J481" si="200">SUM(C478:C480)</f>
        <v>4678.11</v>
      </c>
      <c r="D481" s="533">
        <f t="shared" si="200"/>
        <v>597299</v>
      </c>
      <c r="E481" s="533">
        <f t="shared" si="200"/>
        <v>4706</v>
      </c>
      <c r="F481" s="533">
        <f t="shared" si="200"/>
        <v>3</v>
      </c>
      <c r="G481" s="533">
        <f t="shared" si="200"/>
        <v>23257.9</v>
      </c>
      <c r="H481" s="533">
        <f t="shared" si="200"/>
        <v>88</v>
      </c>
      <c r="I481" s="533">
        <f t="shared" si="200"/>
        <v>268</v>
      </c>
      <c r="J481" s="533">
        <f t="shared" si="200"/>
        <v>16</v>
      </c>
      <c r="K481" s="534">
        <f>E481/D481</f>
        <v>0.00787880106948111</v>
      </c>
      <c r="L481" s="535">
        <f t="shared" si="191"/>
        <v>0.994073523161921</v>
      </c>
      <c r="M481" s="535">
        <f>C481/D481*1000</f>
        <v>7.832107537431</v>
      </c>
      <c r="N481" s="535">
        <f t="shared" si="192"/>
        <v>4.97164453165915</v>
      </c>
      <c r="O481" s="535">
        <f t="shared" si="193"/>
        <v>0.000637484062898428</v>
      </c>
      <c r="P481" s="536">
        <f t="shared" si="194"/>
        <v>13.1407584269663</v>
      </c>
      <c r="Q481" s="531">
        <f t="shared" si="195"/>
        <v>356</v>
      </c>
      <c r="R481" s="537">
        <f t="shared" si="196"/>
        <v>0.0756481087972801</v>
      </c>
    </row>
    <row r="482" hidden="1" spans="1:18">
      <c r="A482" s="524">
        <v>45541</v>
      </c>
      <c r="B482" s="540" t="s">
        <v>98</v>
      </c>
      <c r="C482" s="540">
        <v>199.04</v>
      </c>
      <c r="D482" s="540">
        <v>18488</v>
      </c>
      <c r="E482" s="540">
        <v>320</v>
      </c>
      <c r="F482" s="540">
        <v>0</v>
      </c>
      <c r="G482" s="540">
        <v>0</v>
      </c>
      <c r="H482" s="540">
        <v>3</v>
      </c>
      <c r="I482" s="540">
        <v>1</v>
      </c>
      <c r="J482" s="540">
        <v>1</v>
      </c>
      <c r="K482" s="527">
        <f>IF(E482=0,0,E482/D482)</f>
        <v>0.0173085244482908</v>
      </c>
      <c r="L482" s="528">
        <f t="shared" si="191"/>
        <v>0.622</v>
      </c>
      <c r="M482" s="528">
        <f>IF(D482=0,0,C482/D482*1000)</f>
        <v>10.7659022068369</v>
      </c>
      <c r="N482" s="528">
        <f t="shared" si="192"/>
        <v>0</v>
      </c>
      <c r="O482" s="528">
        <f t="shared" si="193"/>
        <v>0</v>
      </c>
      <c r="P482" s="529">
        <f t="shared" si="194"/>
        <v>49.76</v>
      </c>
      <c r="Q482" s="24">
        <f t="shared" si="195"/>
        <v>4</v>
      </c>
      <c r="R482" s="530">
        <f t="shared" si="196"/>
        <v>0.0125</v>
      </c>
    </row>
    <row r="483" hidden="1" spans="1:18">
      <c r="A483" s="524"/>
      <c r="B483" s="540" t="s">
        <v>99</v>
      </c>
      <c r="C483" s="540">
        <v>0</v>
      </c>
      <c r="D483" s="540">
        <v>1</v>
      </c>
      <c r="E483" s="540">
        <v>0</v>
      </c>
      <c r="F483" s="540">
        <v>0</v>
      </c>
      <c r="G483" s="540">
        <v>0</v>
      </c>
      <c r="H483" s="540">
        <v>0</v>
      </c>
      <c r="I483" s="540">
        <v>0</v>
      </c>
      <c r="J483" s="540">
        <v>0</v>
      </c>
      <c r="K483" s="527">
        <f>IF(E483=0,0,E483/D483)</f>
        <v>0</v>
      </c>
      <c r="L483" s="528">
        <f t="shared" si="191"/>
        <v>0</v>
      </c>
      <c r="M483" s="528">
        <f>IF(D483=0,0,C483/D483*1000)</f>
        <v>0</v>
      </c>
      <c r="N483" s="528">
        <f t="shared" si="192"/>
        <v>0</v>
      </c>
      <c r="O483" s="528">
        <f t="shared" si="193"/>
        <v>0</v>
      </c>
      <c r="P483" s="529">
        <f t="shared" si="194"/>
        <v>0</v>
      </c>
      <c r="Q483" s="24">
        <f t="shared" si="195"/>
        <v>0</v>
      </c>
      <c r="R483" s="530">
        <f t="shared" si="196"/>
        <v>0</v>
      </c>
    </row>
    <row r="484" hidden="1" spans="1:18">
      <c r="A484" s="524"/>
      <c r="B484" s="540" t="s">
        <v>100</v>
      </c>
      <c r="C484" s="540">
        <v>4466.26</v>
      </c>
      <c r="D484" s="540">
        <v>661047</v>
      </c>
      <c r="E484" s="540">
        <v>4773</v>
      </c>
      <c r="F484" s="540">
        <v>0</v>
      </c>
      <c r="G484" s="540">
        <v>0</v>
      </c>
      <c r="H484" s="540">
        <v>109</v>
      </c>
      <c r="I484" s="540">
        <v>273</v>
      </c>
      <c r="J484" s="540">
        <v>17</v>
      </c>
      <c r="K484" s="527">
        <f>IF(E484=0,0,E484/D484)</f>
        <v>0.00722036405883394</v>
      </c>
      <c r="L484" s="528">
        <f t="shared" si="191"/>
        <v>0.935734338990153</v>
      </c>
      <c r="M484" s="528">
        <f>IF(D484=0,0,C484/D484*1000)</f>
        <v>6.75634258986124</v>
      </c>
      <c r="N484" s="528">
        <f t="shared" si="192"/>
        <v>0</v>
      </c>
      <c r="O484" s="528">
        <f t="shared" si="193"/>
        <v>0</v>
      </c>
      <c r="P484" s="529">
        <f t="shared" si="194"/>
        <v>11.691780104712</v>
      </c>
      <c r="Q484" s="24">
        <f t="shared" si="195"/>
        <v>382</v>
      </c>
      <c r="R484" s="530">
        <f t="shared" si="196"/>
        <v>0.080033521893987</v>
      </c>
    </row>
    <row r="485" hidden="1" spans="1:18">
      <c r="A485" s="524"/>
      <c r="B485" s="531" t="s">
        <v>96</v>
      </c>
      <c r="C485" s="533">
        <f t="shared" ref="C485:J485" si="201">SUM(C482:C484)</f>
        <v>4665.3</v>
      </c>
      <c r="D485" s="533">
        <f t="shared" si="201"/>
        <v>679536</v>
      </c>
      <c r="E485" s="533">
        <f t="shared" si="201"/>
        <v>5093</v>
      </c>
      <c r="F485" s="533">
        <f t="shared" si="201"/>
        <v>0</v>
      </c>
      <c r="G485" s="533">
        <f t="shared" si="201"/>
        <v>0</v>
      </c>
      <c r="H485" s="533">
        <f t="shared" si="201"/>
        <v>112</v>
      </c>
      <c r="I485" s="533">
        <f t="shared" si="201"/>
        <v>274</v>
      </c>
      <c r="J485" s="533">
        <f t="shared" si="201"/>
        <v>18</v>
      </c>
      <c r="K485" s="534">
        <f>E485/D485</f>
        <v>0.00749481999481999</v>
      </c>
      <c r="L485" s="535">
        <f t="shared" si="191"/>
        <v>0.916021990967995</v>
      </c>
      <c r="M485" s="535">
        <f>C485/D485*1000</f>
        <v>6.86541993360175</v>
      </c>
      <c r="N485" s="535">
        <f t="shared" si="192"/>
        <v>0</v>
      </c>
      <c r="O485" s="535">
        <f t="shared" si="193"/>
        <v>0</v>
      </c>
      <c r="P485" s="536">
        <f t="shared" si="194"/>
        <v>12.0862694300518</v>
      </c>
      <c r="Q485" s="531">
        <f t="shared" si="195"/>
        <v>386</v>
      </c>
      <c r="R485" s="537">
        <f t="shared" si="196"/>
        <v>0.0757903004123306</v>
      </c>
    </row>
    <row r="486" hidden="1" spans="1:18">
      <c r="A486" s="524">
        <v>45542</v>
      </c>
      <c r="B486" s="540" t="s">
        <v>98</v>
      </c>
      <c r="C486" s="540">
        <v>200</v>
      </c>
      <c r="D486" s="540">
        <v>18816</v>
      </c>
      <c r="E486" s="540">
        <v>295</v>
      </c>
      <c r="F486" s="540">
        <v>0</v>
      </c>
      <c r="G486" s="540">
        <v>0</v>
      </c>
      <c r="H486" s="540">
        <v>2</v>
      </c>
      <c r="I486" s="540">
        <v>4</v>
      </c>
      <c r="J486" s="540">
        <v>4</v>
      </c>
      <c r="K486" s="527">
        <f>IF(E486=0,0,E486/D486)</f>
        <v>0.0156781462585034</v>
      </c>
      <c r="L486" s="528">
        <f t="shared" si="191"/>
        <v>0.677966101694915</v>
      </c>
      <c r="M486" s="528">
        <f>IF(D486=0,0,C486/D486*1000)</f>
        <v>10.6292517006803</v>
      </c>
      <c r="N486" s="528">
        <f t="shared" si="192"/>
        <v>0</v>
      </c>
      <c r="O486" s="528">
        <f t="shared" si="193"/>
        <v>0</v>
      </c>
      <c r="P486" s="529">
        <f t="shared" si="194"/>
        <v>33.3333333333333</v>
      </c>
      <c r="Q486" s="24">
        <f t="shared" si="195"/>
        <v>6</v>
      </c>
      <c r="R486" s="530">
        <f t="shared" si="196"/>
        <v>0.0203389830508475</v>
      </c>
    </row>
    <row r="487" hidden="1" spans="1:18">
      <c r="A487" s="524"/>
      <c r="B487" s="540" t="s">
        <v>99</v>
      </c>
      <c r="C487" s="540">
        <v>0</v>
      </c>
      <c r="D487" s="540">
        <v>0</v>
      </c>
      <c r="E487" s="540">
        <v>0</v>
      </c>
      <c r="F487" s="540">
        <v>0</v>
      </c>
      <c r="G487" s="540">
        <v>0</v>
      </c>
      <c r="H487" s="540">
        <v>0</v>
      </c>
      <c r="I487" s="540">
        <v>0</v>
      </c>
      <c r="J487" s="540">
        <v>0</v>
      </c>
      <c r="K487" s="527">
        <f>IF(E487=0,0,E487/D487)</f>
        <v>0</v>
      </c>
      <c r="L487" s="528">
        <f t="shared" si="191"/>
        <v>0</v>
      </c>
      <c r="M487" s="528">
        <f>IF(D487=0,0,C487/D487*1000)</f>
        <v>0</v>
      </c>
      <c r="N487" s="528">
        <f t="shared" si="192"/>
        <v>0</v>
      </c>
      <c r="O487" s="528">
        <f t="shared" si="193"/>
        <v>0</v>
      </c>
      <c r="P487" s="529">
        <f t="shared" si="194"/>
        <v>0</v>
      </c>
      <c r="Q487" s="24">
        <f t="shared" si="195"/>
        <v>0</v>
      </c>
      <c r="R487" s="530">
        <f t="shared" si="196"/>
        <v>0</v>
      </c>
    </row>
    <row r="488" hidden="1" spans="1:18">
      <c r="A488" s="524"/>
      <c r="B488" s="540" t="s">
        <v>100</v>
      </c>
      <c r="C488" s="540">
        <v>4495.88</v>
      </c>
      <c r="D488" s="540">
        <v>500876</v>
      </c>
      <c r="E488" s="540">
        <v>4648</v>
      </c>
      <c r="F488" s="540">
        <v>0</v>
      </c>
      <c r="G488" s="540">
        <v>0</v>
      </c>
      <c r="H488" s="540">
        <v>76</v>
      </c>
      <c r="I488" s="540">
        <v>360</v>
      </c>
      <c r="J488" s="540">
        <v>13</v>
      </c>
      <c r="K488" s="527">
        <f>IF(E488=0,0,E488/D488)</f>
        <v>0.00927974189220486</v>
      </c>
      <c r="L488" s="528">
        <f t="shared" si="191"/>
        <v>0.967271944922547</v>
      </c>
      <c r="M488" s="528">
        <f>IF(D488=0,0,C488/D488*1000)</f>
        <v>8.97603398845223</v>
      </c>
      <c r="N488" s="528">
        <f t="shared" si="192"/>
        <v>0</v>
      </c>
      <c r="O488" s="528">
        <f t="shared" si="193"/>
        <v>0</v>
      </c>
      <c r="P488" s="529">
        <f t="shared" si="194"/>
        <v>10.3116513761468</v>
      </c>
      <c r="Q488" s="24">
        <f t="shared" si="195"/>
        <v>436</v>
      </c>
      <c r="R488" s="530">
        <f t="shared" si="196"/>
        <v>0.0938037865748709</v>
      </c>
    </row>
    <row r="489" hidden="1" spans="1:18">
      <c r="A489" s="524"/>
      <c r="B489" s="531" t="s">
        <v>96</v>
      </c>
      <c r="C489" s="533">
        <f t="shared" ref="C489:J489" si="202">SUM(C486:C488)</f>
        <v>4695.88</v>
      </c>
      <c r="D489" s="533">
        <f t="shared" si="202"/>
        <v>519692</v>
      </c>
      <c r="E489" s="533">
        <f t="shared" si="202"/>
        <v>4943</v>
      </c>
      <c r="F489" s="533">
        <f t="shared" si="202"/>
        <v>0</v>
      </c>
      <c r="G489" s="533">
        <f t="shared" si="202"/>
        <v>0</v>
      </c>
      <c r="H489" s="533">
        <f t="shared" si="202"/>
        <v>78</v>
      </c>
      <c r="I489" s="533">
        <f t="shared" si="202"/>
        <v>364</v>
      </c>
      <c r="J489" s="533">
        <f t="shared" si="202"/>
        <v>17</v>
      </c>
      <c r="K489" s="534">
        <f>E489/D489</f>
        <v>0.0095114029078762</v>
      </c>
      <c r="L489" s="535">
        <f t="shared" si="191"/>
        <v>0.950006069188752</v>
      </c>
      <c r="M489" s="535">
        <f>C489/D489*1000</f>
        <v>9.03589048898194</v>
      </c>
      <c r="N489" s="535">
        <f t="shared" si="192"/>
        <v>0</v>
      </c>
      <c r="O489" s="535">
        <f t="shared" si="193"/>
        <v>0</v>
      </c>
      <c r="P489" s="536">
        <f t="shared" si="194"/>
        <v>10.6241628959276</v>
      </c>
      <c r="Q489" s="531">
        <f t="shared" si="195"/>
        <v>442</v>
      </c>
      <c r="R489" s="537">
        <f t="shared" si="196"/>
        <v>0.0894193809427473</v>
      </c>
    </row>
    <row r="490" hidden="1" spans="1:18">
      <c r="A490" s="524">
        <v>45543</v>
      </c>
      <c r="B490" s="540" t="s">
        <v>98</v>
      </c>
      <c r="C490" s="540">
        <v>121.63</v>
      </c>
      <c r="D490" s="540">
        <v>14034</v>
      </c>
      <c r="E490" s="540">
        <v>200</v>
      </c>
      <c r="F490" s="540">
        <v>0</v>
      </c>
      <c r="G490" s="540">
        <v>0</v>
      </c>
      <c r="H490" s="540">
        <v>1</v>
      </c>
      <c r="I490" s="540">
        <v>1</v>
      </c>
      <c r="J490" s="540">
        <v>3</v>
      </c>
      <c r="K490" s="527">
        <f>IF(E490=0,0,E490/D490)</f>
        <v>0.0142511044605957</v>
      </c>
      <c r="L490" s="528">
        <f t="shared" si="191"/>
        <v>0.60815</v>
      </c>
      <c r="M490" s="528">
        <f>IF(D490=0,0,C490/D490*1000)</f>
        <v>8.66680917771127</v>
      </c>
      <c r="N490" s="528">
        <f t="shared" si="192"/>
        <v>0</v>
      </c>
      <c r="O490" s="528">
        <f t="shared" si="193"/>
        <v>0</v>
      </c>
      <c r="P490" s="529">
        <f t="shared" si="194"/>
        <v>60.815</v>
      </c>
      <c r="Q490" s="24">
        <f t="shared" si="195"/>
        <v>2</v>
      </c>
      <c r="R490" s="530">
        <f t="shared" si="196"/>
        <v>0.01</v>
      </c>
    </row>
    <row r="491" hidden="1" spans="1:18">
      <c r="A491" s="524"/>
      <c r="B491" s="540" t="s">
        <v>99</v>
      </c>
      <c r="C491" s="540">
        <v>0</v>
      </c>
      <c r="D491" s="540">
        <v>0</v>
      </c>
      <c r="E491" s="540">
        <v>0</v>
      </c>
      <c r="F491" s="540">
        <v>0</v>
      </c>
      <c r="G491" s="540">
        <v>0</v>
      </c>
      <c r="H491" s="540">
        <v>0</v>
      </c>
      <c r="I491" s="540">
        <v>0</v>
      </c>
      <c r="J491" s="540">
        <v>0</v>
      </c>
      <c r="K491" s="527">
        <f>IF(E491=0,0,E491/D491)</f>
        <v>0</v>
      </c>
      <c r="L491" s="528">
        <f t="shared" si="191"/>
        <v>0</v>
      </c>
      <c r="M491" s="528">
        <f>IF(D491=0,0,C491/D491*1000)</f>
        <v>0</v>
      </c>
      <c r="N491" s="528">
        <f t="shared" si="192"/>
        <v>0</v>
      </c>
      <c r="O491" s="528">
        <f t="shared" si="193"/>
        <v>0</v>
      </c>
      <c r="P491" s="529">
        <f t="shared" si="194"/>
        <v>0</v>
      </c>
      <c r="Q491" s="24">
        <f t="shared" si="195"/>
        <v>0</v>
      </c>
      <c r="R491" s="530">
        <f t="shared" si="196"/>
        <v>0</v>
      </c>
    </row>
    <row r="492" hidden="1" spans="1:18">
      <c r="A492" s="524"/>
      <c r="B492" s="540" t="s">
        <v>100</v>
      </c>
      <c r="C492" s="540">
        <v>2773.28</v>
      </c>
      <c r="D492" s="540">
        <v>335827</v>
      </c>
      <c r="E492" s="540">
        <v>2957</v>
      </c>
      <c r="F492" s="540">
        <v>0</v>
      </c>
      <c r="G492" s="540">
        <v>0</v>
      </c>
      <c r="H492" s="540">
        <v>52</v>
      </c>
      <c r="I492" s="540">
        <v>181</v>
      </c>
      <c r="J492" s="540">
        <v>12</v>
      </c>
      <c r="K492" s="527">
        <f>IF(E492=0,0,E492/D492)</f>
        <v>0.00880512883121369</v>
      </c>
      <c r="L492" s="528">
        <f t="shared" si="191"/>
        <v>0.937869462292864</v>
      </c>
      <c r="M492" s="528">
        <f>IF(D492=0,0,C492/D492*1000)</f>
        <v>8.25806144234978</v>
      </c>
      <c r="N492" s="528">
        <f t="shared" si="192"/>
        <v>0</v>
      </c>
      <c r="O492" s="528">
        <f t="shared" si="193"/>
        <v>0</v>
      </c>
      <c r="P492" s="529">
        <f t="shared" si="194"/>
        <v>11.9024892703863</v>
      </c>
      <c r="Q492" s="24">
        <f t="shared" si="195"/>
        <v>233</v>
      </c>
      <c r="R492" s="530">
        <f t="shared" si="196"/>
        <v>0.0787960771051742</v>
      </c>
    </row>
    <row r="493" hidden="1" spans="1:18">
      <c r="A493" s="524"/>
      <c r="B493" s="531" t="s">
        <v>96</v>
      </c>
      <c r="C493" s="533">
        <f t="shared" ref="C493:J493" si="203">SUM(C490:C492)</f>
        <v>2894.91</v>
      </c>
      <c r="D493" s="533">
        <f t="shared" si="203"/>
        <v>349861</v>
      </c>
      <c r="E493" s="533">
        <f t="shared" si="203"/>
        <v>3157</v>
      </c>
      <c r="F493" s="533">
        <f t="shared" si="203"/>
        <v>0</v>
      </c>
      <c r="G493" s="533">
        <f t="shared" si="203"/>
        <v>0</v>
      </c>
      <c r="H493" s="533">
        <f t="shared" si="203"/>
        <v>53</v>
      </c>
      <c r="I493" s="533">
        <f t="shared" si="203"/>
        <v>182</v>
      </c>
      <c r="J493" s="533">
        <f t="shared" si="203"/>
        <v>15</v>
      </c>
      <c r="K493" s="534">
        <f>E493/D493</f>
        <v>0.00902358365179314</v>
      </c>
      <c r="L493" s="535">
        <f t="shared" si="191"/>
        <v>0.916981311371555</v>
      </c>
      <c r="M493" s="535">
        <f>C493/D493*1000</f>
        <v>8.2744575702922</v>
      </c>
      <c r="N493" s="535">
        <f t="shared" si="192"/>
        <v>0</v>
      </c>
      <c r="O493" s="535">
        <f t="shared" si="193"/>
        <v>0</v>
      </c>
      <c r="P493" s="536">
        <f t="shared" si="194"/>
        <v>12.3187659574468</v>
      </c>
      <c r="Q493" s="531">
        <f t="shared" si="195"/>
        <v>235</v>
      </c>
      <c r="R493" s="537">
        <f t="shared" si="196"/>
        <v>0.0744377573645866</v>
      </c>
    </row>
    <row r="494" hidden="1" spans="1:18">
      <c r="A494" s="524">
        <v>45544</v>
      </c>
      <c r="B494" s="540" t="s">
        <v>98</v>
      </c>
      <c r="C494" s="540">
        <v>198.69</v>
      </c>
      <c r="D494" s="540">
        <v>11255</v>
      </c>
      <c r="E494" s="540">
        <v>179</v>
      </c>
      <c r="F494" s="540">
        <v>0</v>
      </c>
      <c r="G494" s="540">
        <v>0</v>
      </c>
      <c r="H494" s="540">
        <v>1</v>
      </c>
      <c r="I494" s="540">
        <v>3</v>
      </c>
      <c r="J494" s="540">
        <v>4</v>
      </c>
      <c r="K494" s="527">
        <f>IF(E494=0,0,E494/D494)</f>
        <v>0.0159040426477121</v>
      </c>
      <c r="L494" s="528">
        <f t="shared" si="191"/>
        <v>1.11</v>
      </c>
      <c r="M494" s="528">
        <f>IF(D494=0,0,C494/D494*1000)</f>
        <v>17.6534873389605</v>
      </c>
      <c r="N494" s="528">
        <f t="shared" si="192"/>
        <v>0</v>
      </c>
      <c r="O494" s="528">
        <f t="shared" si="193"/>
        <v>0</v>
      </c>
      <c r="P494" s="529">
        <f t="shared" si="194"/>
        <v>49.6725</v>
      </c>
      <c r="Q494" s="24">
        <f t="shared" si="195"/>
        <v>4</v>
      </c>
      <c r="R494" s="530">
        <f t="shared" si="196"/>
        <v>0.0223463687150838</v>
      </c>
    </row>
    <row r="495" hidden="1" spans="1:18">
      <c r="A495" s="524"/>
      <c r="B495" s="540" t="s">
        <v>99</v>
      </c>
      <c r="C495" s="540">
        <v>0</v>
      </c>
      <c r="D495" s="540">
        <v>0</v>
      </c>
      <c r="E495" s="540">
        <v>0</v>
      </c>
      <c r="F495" s="540">
        <v>0</v>
      </c>
      <c r="G495" s="540">
        <v>0</v>
      </c>
      <c r="H495" s="540">
        <v>0</v>
      </c>
      <c r="I495" s="540">
        <v>0</v>
      </c>
      <c r="J495" s="540">
        <v>0</v>
      </c>
      <c r="K495" s="527">
        <f>IF(E495=0,0,E495/D495)</f>
        <v>0</v>
      </c>
      <c r="L495" s="528">
        <f t="shared" si="191"/>
        <v>0</v>
      </c>
      <c r="M495" s="528">
        <f>IF(D495=0,0,C495/D495*1000)</f>
        <v>0</v>
      </c>
      <c r="N495" s="528">
        <f t="shared" si="192"/>
        <v>0</v>
      </c>
      <c r="O495" s="528">
        <f t="shared" si="193"/>
        <v>0</v>
      </c>
      <c r="P495" s="529">
        <f t="shared" si="194"/>
        <v>0</v>
      </c>
      <c r="Q495" s="24">
        <f t="shared" si="195"/>
        <v>0</v>
      </c>
      <c r="R495" s="530">
        <f t="shared" si="196"/>
        <v>0</v>
      </c>
    </row>
    <row r="496" hidden="1" spans="1:18">
      <c r="A496" s="524"/>
      <c r="B496" s="540" t="s">
        <v>100</v>
      </c>
      <c r="C496" s="540">
        <v>4238.75</v>
      </c>
      <c r="D496" s="540">
        <v>459180</v>
      </c>
      <c r="E496" s="540">
        <v>3619</v>
      </c>
      <c r="F496" s="540">
        <v>2</v>
      </c>
      <c r="G496" s="540">
        <v>11163.9</v>
      </c>
      <c r="H496" s="540">
        <v>71</v>
      </c>
      <c r="I496" s="540">
        <v>160</v>
      </c>
      <c r="J496" s="540">
        <v>7</v>
      </c>
      <c r="K496" s="527">
        <f>IF(E496=0,0,E496/D496)</f>
        <v>0.00788144082930441</v>
      </c>
      <c r="L496" s="528">
        <f t="shared" si="191"/>
        <v>1.17124896380216</v>
      </c>
      <c r="M496" s="528">
        <f>IF(D496=0,0,C496/D496*1000)</f>
        <v>9.23112940459079</v>
      </c>
      <c r="N496" s="528">
        <f t="shared" si="192"/>
        <v>2.63377174874668</v>
      </c>
      <c r="O496" s="528">
        <f t="shared" si="193"/>
        <v>0.000552638850511191</v>
      </c>
      <c r="P496" s="529">
        <f t="shared" si="194"/>
        <v>18.3495670995671</v>
      </c>
      <c r="Q496" s="24">
        <f t="shared" si="195"/>
        <v>231</v>
      </c>
      <c r="R496" s="530">
        <f t="shared" si="196"/>
        <v>0.0638297872340425</v>
      </c>
    </row>
    <row r="497" hidden="1" spans="1:18">
      <c r="A497" s="524"/>
      <c r="B497" s="531" t="s">
        <v>96</v>
      </c>
      <c r="C497" s="533">
        <f t="shared" ref="C497:J497" si="204">SUM(C494:C496)</f>
        <v>4437.44</v>
      </c>
      <c r="D497" s="533">
        <f t="shared" si="204"/>
        <v>470435</v>
      </c>
      <c r="E497" s="533">
        <f t="shared" si="204"/>
        <v>3798</v>
      </c>
      <c r="F497" s="533">
        <f t="shared" si="204"/>
        <v>2</v>
      </c>
      <c r="G497" s="533">
        <f t="shared" si="204"/>
        <v>11163.9</v>
      </c>
      <c r="H497" s="533">
        <f t="shared" si="204"/>
        <v>72</v>
      </c>
      <c r="I497" s="533">
        <f t="shared" si="204"/>
        <v>163</v>
      </c>
      <c r="J497" s="533">
        <f t="shared" si="204"/>
        <v>11</v>
      </c>
      <c r="K497" s="534">
        <f>E497/D497</f>
        <v>0.00807337889400236</v>
      </c>
      <c r="L497" s="535">
        <f t="shared" si="191"/>
        <v>1.16836229594523</v>
      </c>
      <c r="M497" s="535">
        <f>C497/D497*1000</f>
        <v>9.43263150063239</v>
      </c>
      <c r="N497" s="535">
        <f t="shared" si="192"/>
        <v>2.51584246772914</v>
      </c>
      <c r="O497" s="535">
        <f t="shared" si="193"/>
        <v>0.000526592943654555</v>
      </c>
      <c r="P497" s="536">
        <f t="shared" si="194"/>
        <v>18.8827234042553</v>
      </c>
      <c r="Q497" s="531">
        <f t="shared" si="195"/>
        <v>235</v>
      </c>
      <c r="R497" s="537">
        <f t="shared" si="196"/>
        <v>0.0618746708794102</v>
      </c>
    </row>
    <row r="498" hidden="1" spans="1:18">
      <c r="A498" s="524">
        <v>45545</v>
      </c>
      <c r="B498" s="540" t="s">
        <v>98</v>
      </c>
      <c r="C498" s="540">
        <v>200</v>
      </c>
      <c r="D498" s="540">
        <v>13983</v>
      </c>
      <c r="E498" s="540">
        <v>226</v>
      </c>
      <c r="F498" s="540">
        <v>0</v>
      </c>
      <c r="G498" s="540">
        <v>0</v>
      </c>
      <c r="H498" s="540">
        <v>1</v>
      </c>
      <c r="I498" s="540">
        <v>0</v>
      </c>
      <c r="J498" s="540">
        <v>2</v>
      </c>
      <c r="K498" s="527">
        <f>IF(E498=0,0,E498/D498)</f>
        <v>0.0161624830150898</v>
      </c>
      <c r="L498" s="528">
        <f t="shared" ref="L498:L529" si="205">IF(C498=0,0,C498/E498)</f>
        <v>0.884955752212389</v>
      </c>
      <c r="M498" s="528">
        <f>IF(D498=0,0,C498/D498*1000)</f>
        <v>14.3030823142387</v>
      </c>
      <c r="N498" s="528">
        <f t="shared" ref="N498:N529" si="206">IF(G498=0,0,G498/C498)</f>
        <v>0</v>
      </c>
      <c r="O498" s="528">
        <f t="shared" ref="O498:O529" si="207">IF(F498=0,0,F498/E498)</f>
        <v>0</v>
      </c>
      <c r="P498" s="529">
        <f t="shared" ref="P498:P529" si="208">IF(H498+I498=0,0,C498/(H498+I498))</f>
        <v>200</v>
      </c>
      <c r="Q498" s="24">
        <f t="shared" ref="Q498:Q529" si="209">H498+I498</f>
        <v>1</v>
      </c>
      <c r="R498" s="530">
        <f t="shared" ref="R498:R529" si="210">IF(Q498=0,0,Q498/E498)</f>
        <v>0.00442477876106195</v>
      </c>
    </row>
    <row r="499" hidden="1" spans="1:18">
      <c r="A499" s="524"/>
      <c r="B499" s="540" t="s">
        <v>99</v>
      </c>
      <c r="C499" s="540">
        <v>0</v>
      </c>
      <c r="D499" s="540">
        <v>0</v>
      </c>
      <c r="E499" s="540">
        <v>0</v>
      </c>
      <c r="F499" s="540">
        <v>0</v>
      </c>
      <c r="G499" s="540">
        <v>0</v>
      </c>
      <c r="H499" s="540">
        <v>0</v>
      </c>
      <c r="I499" s="540">
        <v>0</v>
      </c>
      <c r="J499" s="540">
        <v>0</v>
      </c>
      <c r="K499" s="527">
        <f>IF(E499=0,0,E499/D499)</f>
        <v>0</v>
      </c>
      <c r="L499" s="528">
        <f t="shared" si="205"/>
        <v>0</v>
      </c>
      <c r="M499" s="528">
        <f>IF(D499=0,0,C499/D499*1000)</f>
        <v>0</v>
      </c>
      <c r="N499" s="528">
        <f t="shared" si="206"/>
        <v>0</v>
      </c>
      <c r="O499" s="528">
        <f t="shared" si="207"/>
        <v>0</v>
      </c>
      <c r="P499" s="529">
        <f t="shared" si="208"/>
        <v>0</v>
      </c>
      <c r="Q499" s="24">
        <f t="shared" si="209"/>
        <v>0</v>
      </c>
      <c r="R499" s="530">
        <f t="shared" si="210"/>
        <v>0</v>
      </c>
    </row>
    <row r="500" hidden="1" spans="1:18">
      <c r="A500" s="524"/>
      <c r="B500" s="540" t="s">
        <v>100</v>
      </c>
      <c r="C500" s="540">
        <v>3894.18</v>
      </c>
      <c r="D500" s="540">
        <v>398224</v>
      </c>
      <c r="E500" s="540">
        <v>3016</v>
      </c>
      <c r="F500" s="540">
        <v>2</v>
      </c>
      <c r="G500" s="540">
        <v>51118</v>
      </c>
      <c r="H500" s="540">
        <v>64</v>
      </c>
      <c r="I500" s="540">
        <v>159</v>
      </c>
      <c r="J500" s="540">
        <v>9</v>
      </c>
      <c r="K500" s="527">
        <f>IF(E500=0,0,E500/D500)</f>
        <v>0.00757362690345132</v>
      </c>
      <c r="L500" s="528">
        <f t="shared" si="205"/>
        <v>1.29117374005305</v>
      </c>
      <c r="M500" s="528">
        <f>IF(D500=0,0,C500/D500*1000)</f>
        <v>9.77886817469565</v>
      </c>
      <c r="N500" s="528">
        <f t="shared" si="206"/>
        <v>13.1267686650335</v>
      </c>
      <c r="O500" s="528">
        <f t="shared" si="207"/>
        <v>0.000663129973474801</v>
      </c>
      <c r="P500" s="529">
        <f t="shared" si="208"/>
        <v>17.4626905829596</v>
      </c>
      <c r="Q500" s="24">
        <f t="shared" si="209"/>
        <v>223</v>
      </c>
      <c r="R500" s="530">
        <f t="shared" si="210"/>
        <v>0.0739389920424403</v>
      </c>
    </row>
    <row r="501" hidden="1" spans="1:18">
      <c r="A501" s="524"/>
      <c r="B501" s="531" t="s">
        <v>96</v>
      </c>
      <c r="C501" s="533">
        <f t="shared" ref="C501:J501" si="211">SUM(C498:C500)</f>
        <v>4094.18</v>
      </c>
      <c r="D501" s="533">
        <f t="shared" si="211"/>
        <v>412207</v>
      </c>
      <c r="E501" s="533">
        <f t="shared" si="211"/>
        <v>3242</v>
      </c>
      <c r="F501" s="533">
        <f t="shared" si="211"/>
        <v>2</v>
      </c>
      <c r="G501" s="533">
        <f t="shared" si="211"/>
        <v>51118</v>
      </c>
      <c r="H501" s="533">
        <f t="shared" si="211"/>
        <v>65</v>
      </c>
      <c r="I501" s="533">
        <f t="shared" si="211"/>
        <v>159</v>
      </c>
      <c r="J501" s="533">
        <f t="shared" si="211"/>
        <v>11</v>
      </c>
      <c r="K501" s="534">
        <f>E501/D501</f>
        <v>0.00786498045884713</v>
      </c>
      <c r="L501" s="535">
        <f t="shared" si="205"/>
        <v>1.26285626156693</v>
      </c>
      <c r="M501" s="535">
        <f>C501/D501*1000</f>
        <v>9.93233981955668</v>
      </c>
      <c r="N501" s="535">
        <f t="shared" si="206"/>
        <v>12.4855282376447</v>
      </c>
      <c r="O501" s="535">
        <f t="shared" si="207"/>
        <v>0.000616903146206046</v>
      </c>
      <c r="P501" s="536">
        <f t="shared" si="208"/>
        <v>18.2775892857143</v>
      </c>
      <c r="Q501" s="531">
        <f t="shared" si="209"/>
        <v>224</v>
      </c>
      <c r="R501" s="537">
        <f t="shared" si="210"/>
        <v>0.0690931523750771</v>
      </c>
    </row>
    <row r="502" hidden="1" spans="1:18">
      <c r="A502" s="524">
        <v>45546</v>
      </c>
      <c r="B502" s="540" t="s">
        <v>98</v>
      </c>
      <c r="C502" s="540">
        <v>200</v>
      </c>
      <c r="D502" s="540">
        <v>9556</v>
      </c>
      <c r="E502" s="540">
        <v>188</v>
      </c>
      <c r="F502" s="540">
        <v>0</v>
      </c>
      <c r="G502" s="540">
        <v>0</v>
      </c>
      <c r="H502" s="540">
        <v>0</v>
      </c>
      <c r="I502" s="540">
        <v>0</v>
      </c>
      <c r="J502" s="540">
        <v>2</v>
      </c>
      <c r="K502" s="527">
        <f>IF(E502=0,0,E502/D502)</f>
        <v>0.019673503557974</v>
      </c>
      <c r="L502" s="528">
        <f t="shared" si="205"/>
        <v>1.06382978723404</v>
      </c>
      <c r="M502" s="528">
        <f>IF(D502=0,0,C502/D502*1000)</f>
        <v>20.9292591042277</v>
      </c>
      <c r="N502" s="528">
        <f t="shared" si="206"/>
        <v>0</v>
      </c>
      <c r="O502" s="528">
        <f t="shared" si="207"/>
        <v>0</v>
      </c>
      <c r="P502" s="529">
        <f t="shared" si="208"/>
        <v>0</v>
      </c>
      <c r="Q502" s="24">
        <f t="shared" si="209"/>
        <v>0</v>
      </c>
      <c r="R502" s="530">
        <f t="shared" si="210"/>
        <v>0</v>
      </c>
    </row>
    <row r="503" hidden="1" spans="1:18">
      <c r="A503" s="524"/>
      <c r="B503" s="540" t="s">
        <v>99</v>
      </c>
      <c r="C503" s="540">
        <v>196.98</v>
      </c>
      <c r="D503" s="540">
        <v>4212</v>
      </c>
      <c r="E503" s="540">
        <v>346</v>
      </c>
      <c r="F503" s="540">
        <v>0</v>
      </c>
      <c r="G503" s="540">
        <v>0</v>
      </c>
      <c r="H503" s="540">
        <v>3</v>
      </c>
      <c r="I503" s="540">
        <v>0</v>
      </c>
      <c r="J503" s="540">
        <v>0</v>
      </c>
      <c r="K503" s="527">
        <f>IF(E503=0,0,E503/D503)</f>
        <v>0.0821462488129155</v>
      </c>
      <c r="L503" s="528">
        <f t="shared" si="205"/>
        <v>0.569306358381503</v>
      </c>
      <c r="M503" s="528">
        <f>IF(D503=0,0,C503/D503*1000)</f>
        <v>46.7663817663818</v>
      </c>
      <c r="N503" s="528">
        <f t="shared" si="206"/>
        <v>0</v>
      </c>
      <c r="O503" s="528">
        <f t="shared" si="207"/>
        <v>0</v>
      </c>
      <c r="P503" s="529">
        <f t="shared" si="208"/>
        <v>65.66</v>
      </c>
      <c r="Q503" s="24">
        <f t="shared" si="209"/>
        <v>3</v>
      </c>
      <c r="R503" s="530">
        <f t="shared" si="210"/>
        <v>0.00867052023121387</v>
      </c>
    </row>
    <row r="504" hidden="1" spans="1:18">
      <c r="A504" s="524"/>
      <c r="B504" s="540" t="s">
        <v>100</v>
      </c>
      <c r="C504" s="540">
        <v>3996.4</v>
      </c>
      <c r="D504" s="540">
        <v>445476</v>
      </c>
      <c r="E504" s="540">
        <v>3404</v>
      </c>
      <c r="F504" s="540">
        <v>4</v>
      </c>
      <c r="G504" s="540">
        <v>36871</v>
      </c>
      <c r="H504" s="540">
        <v>67</v>
      </c>
      <c r="I504" s="540">
        <v>166</v>
      </c>
      <c r="J504" s="540">
        <v>13</v>
      </c>
      <c r="K504" s="527">
        <f>IF(E504=0,0,E504/D504)</f>
        <v>0.00764126462480583</v>
      </c>
      <c r="L504" s="528">
        <f t="shared" si="205"/>
        <v>1.17403055229142</v>
      </c>
      <c r="M504" s="528">
        <f>IF(D504=0,0,C504/D504*1000)</f>
        <v>8.97107812766569</v>
      </c>
      <c r="N504" s="528">
        <f t="shared" si="206"/>
        <v>9.22605344810329</v>
      </c>
      <c r="O504" s="528">
        <f t="shared" si="207"/>
        <v>0.00117508813160987</v>
      </c>
      <c r="P504" s="529">
        <f t="shared" si="208"/>
        <v>17.1519313304721</v>
      </c>
      <c r="Q504" s="24">
        <f t="shared" si="209"/>
        <v>233</v>
      </c>
      <c r="R504" s="530">
        <f t="shared" si="210"/>
        <v>0.068448883666275</v>
      </c>
    </row>
    <row r="505" hidden="1" spans="1:18">
      <c r="A505" s="524"/>
      <c r="B505" s="531" t="s">
        <v>96</v>
      </c>
      <c r="C505" s="533">
        <f t="shared" ref="C505:J505" si="212">SUM(C502:C504)</f>
        <v>4393.38</v>
      </c>
      <c r="D505" s="533">
        <f t="shared" si="212"/>
        <v>459244</v>
      </c>
      <c r="E505" s="533">
        <f t="shared" si="212"/>
        <v>3938</v>
      </c>
      <c r="F505" s="533">
        <f t="shared" si="212"/>
        <v>4</v>
      </c>
      <c r="G505" s="533">
        <f t="shared" si="212"/>
        <v>36871</v>
      </c>
      <c r="H505" s="533">
        <f t="shared" si="212"/>
        <v>70</v>
      </c>
      <c r="I505" s="533">
        <f t="shared" si="212"/>
        <v>166</v>
      </c>
      <c r="J505" s="533">
        <f t="shared" si="212"/>
        <v>15</v>
      </c>
      <c r="K505" s="534">
        <f>E505/D505</f>
        <v>0.00857496232939352</v>
      </c>
      <c r="L505" s="535">
        <f t="shared" si="205"/>
        <v>1.1156373793804</v>
      </c>
      <c r="M505" s="535">
        <f>C505/D505*1000</f>
        <v>9.56654850145021</v>
      </c>
      <c r="N505" s="535">
        <f t="shared" si="206"/>
        <v>8.39239947375369</v>
      </c>
      <c r="O505" s="535">
        <f t="shared" si="207"/>
        <v>0.00101574403250381</v>
      </c>
      <c r="P505" s="536">
        <f t="shared" si="208"/>
        <v>18.6160169491525</v>
      </c>
      <c r="Q505" s="531">
        <f t="shared" si="209"/>
        <v>236</v>
      </c>
      <c r="R505" s="537">
        <f t="shared" si="210"/>
        <v>0.0599288979177247</v>
      </c>
    </row>
    <row r="506" hidden="1" spans="1:18">
      <c r="A506" s="524">
        <v>45547</v>
      </c>
      <c r="B506" s="540" t="s">
        <v>98</v>
      </c>
      <c r="C506" s="540">
        <v>200</v>
      </c>
      <c r="D506" s="540">
        <v>14277</v>
      </c>
      <c r="E506" s="540">
        <v>267</v>
      </c>
      <c r="F506" s="540">
        <v>0</v>
      </c>
      <c r="G506" s="540">
        <v>0</v>
      </c>
      <c r="H506" s="540">
        <v>0</v>
      </c>
      <c r="I506" s="540">
        <v>1</v>
      </c>
      <c r="J506" s="540">
        <v>1</v>
      </c>
      <c r="K506" s="527">
        <f>IF(E506=0,0,E506/D506)</f>
        <v>0.0187014078587939</v>
      </c>
      <c r="L506" s="528">
        <f t="shared" si="205"/>
        <v>0.749063670411985</v>
      </c>
      <c r="M506" s="528">
        <f>IF(D506=0,0,C506/D506*1000)</f>
        <v>14.0085452125797</v>
      </c>
      <c r="N506" s="528">
        <f t="shared" si="206"/>
        <v>0</v>
      </c>
      <c r="O506" s="528">
        <f t="shared" si="207"/>
        <v>0</v>
      </c>
      <c r="P506" s="529">
        <f t="shared" si="208"/>
        <v>200</v>
      </c>
      <c r="Q506" s="24">
        <f t="shared" si="209"/>
        <v>1</v>
      </c>
      <c r="R506" s="530">
        <f t="shared" si="210"/>
        <v>0.00374531835205993</v>
      </c>
    </row>
    <row r="507" hidden="1" spans="1:18">
      <c r="A507" s="524"/>
      <c r="B507" s="540" t="s">
        <v>99</v>
      </c>
      <c r="C507" s="540">
        <v>0</v>
      </c>
      <c r="D507" s="540">
        <v>0</v>
      </c>
      <c r="E507" s="540">
        <v>0</v>
      </c>
      <c r="F507" s="540">
        <v>0</v>
      </c>
      <c r="G507" s="540">
        <v>0</v>
      </c>
      <c r="H507" s="540">
        <v>0</v>
      </c>
      <c r="I507" s="540">
        <v>0</v>
      </c>
      <c r="J507" s="540">
        <v>0</v>
      </c>
      <c r="K507" s="527">
        <f>IF(E507=0,0,E507/D507)</f>
        <v>0</v>
      </c>
      <c r="L507" s="528">
        <f t="shared" si="205"/>
        <v>0</v>
      </c>
      <c r="M507" s="528">
        <f>IF(D507=0,0,C507/D507*1000)</f>
        <v>0</v>
      </c>
      <c r="N507" s="528">
        <f t="shared" si="206"/>
        <v>0</v>
      </c>
      <c r="O507" s="528">
        <f t="shared" si="207"/>
        <v>0</v>
      </c>
      <c r="P507" s="529">
        <f t="shared" si="208"/>
        <v>0</v>
      </c>
      <c r="Q507" s="24">
        <f t="shared" si="209"/>
        <v>0</v>
      </c>
      <c r="R507" s="530">
        <f t="shared" si="210"/>
        <v>0</v>
      </c>
    </row>
    <row r="508" hidden="1" spans="1:18">
      <c r="A508" s="524"/>
      <c r="B508" s="540" t="s">
        <v>100</v>
      </c>
      <c r="C508" s="540">
        <v>3748.18</v>
      </c>
      <c r="D508" s="540">
        <v>752435</v>
      </c>
      <c r="E508" s="540">
        <v>5172</v>
      </c>
      <c r="F508" s="540">
        <v>0</v>
      </c>
      <c r="G508" s="540">
        <v>0</v>
      </c>
      <c r="H508" s="540">
        <v>70</v>
      </c>
      <c r="I508" s="540">
        <v>155</v>
      </c>
      <c r="J508" s="540">
        <v>16</v>
      </c>
      <c r="K508" s="527">
        <f>IF(E508=0,0,E508/D508)</f>
        <v>0.00687368344109458</v>
      </c>
      <c r="L508" s="528">
        <f t="shared" si="205"/>
        <v>0.724706109822119</v>
      </c>
      <c r="M508" s="528">
        <f>IF(D508=0,0,C508/D508*1000)</f>
        <v>4.98140038674437</v>
      </c>
      <c r="N508" s="528">
        <f t="shared" si="206"/>
        <v>0</v>
      </c>
      <c r="O508" s="528">
        <f t="shared" si="207"/>
        <v>0</v>
      </c>
      <c r="P508" s="529">
        <f t="shared" si="208"/>
        <v>16.6585777777778</v>
      </c>
      <c r="Q508" s="24">
        <f t="shared" si="209"/>
        <v>225</v>
      </c>
      <c r="R508" s="530">
        <f t="shared" si="210"/>
        <v>0.0435034802784223</v>
      </c>
    </row>
    <row r="509" hidden="1" spans="1:18">
      <c r="A509" s="524"/>
      <c r="B509" s="531" t="s">
        <v>96</v>
      </c>
      <c r="C509" s="533">
        <f t="shared" ref="C509:J509" si="213">SUM(C506:C508)</f>
        <v>3948.18</v>
      </c>
      <c r="D509" s="533">
        <f t="shared" si="213"/>
        <v>766712</v>
      </c>
      <c r="E509" s="533">
        <f t="shared" si="213"/>
        <v>5439</v>
      </c>
      <c r="F509" s="533">
        <f t="shared" si="213"/>
        <v>0</v>
      </c>
      <c r="G509" s="533">
        <f t="shared" si="213"/>
        <v>0</v>
      </c>
      <c r="H509" s="533">
        <f t="shared" si="213"/>
        <v>70</v>
      </c>
      <c r="I509" s="533">
        <f t="shared" si="213"/>
        <v>156</v>
      </c>
      <c r="J509" s="533">
        <f t="shared" si="213"/>
        <v>17</v>
      </c>
      <c r="K509" s="534">
        <f>E509/D509</f>
        <v>0.00709392835901877</v>
      </c>
      <c r="L509" s="535">
        <f t="shared" si="205"/>
        <v>0.725901820187534</v>
      </c>
      <c r="M509" s="535">
        <f>C509/D509*1000</f>
        <v>5.14949550809169</v>
      </c>
      <c r="N509" s="535">
        <f t="shared" si="206"/>
        <v>0</v>
      </c>
      <c r="O509" s="535">
        <f t="shared" si="207"/>
        <v>0</v>
      </c>
      <c r="P509" s="536">
        <f t="shared" si="208"/>
        <v>17.4698230088496</v>
      </c>
      <c r="Q509" s="531">
        <f t="shared" si="209"/>
        <v>226</v>
      </c>
      <c r="R509" s="537">
        <f t="shared" si="210"/>
        <v>0.0415517558374701</v>
      </c>
    </row>
    <row r="510" hidden="1" spans="1:18">
      <c r="A510" s="524">
        <v>45548</v>
      </c>
      <c r="B510" s="540" t="s">
        <v>98</v>
      </c>
      <c r="C510" s="540">
        <v>200</v>
      </c>
      <c r="D510" s="540">
        <v>29183</v>
      </c>
      <c r="E510" s="540">
        <v>383</v>
      </c>
      <c r="F510" s="540">
        <v>0</v>
      </c>
      <c r="G510" s="540">
        <v>0</v>
      </c>
      <c r="H510" s="540">
        <v>2</v>
      </c>
      <c r="I510" s="540">
        <v>0</v>
      </c>
      <c r="J510" s="540">
        <v>2</v>
      </c>
      <c r="K510" s="527">
        <f>IF(E510=0,0,E510/D510)</f>
        <v>0.0131240790871398</v>
      </c>
      <c r="L510" s="528">
        <f t="shared" si="205"/>
        <v>0.522193211488251</v>
      </c>
      <c r="M510" s="528">
        <f>IF(D510=0,0,C510/D510*1000)</f>
        <v>6.85330500633931</v>
      </c>
      <c r="N510" s="528">
        <f t="shared" si="206"/>
        <v>0</v>
      </c>
      <c r="O510" s="528">
        <f t="shared" si="207"/>
        <v>0</v>
      </c>
      <c r="P510" s="529">
        <f t="shared" si="208"/>
        <v>100</v>
      </c>
      <c r="Q510" s="24">
        <f t="shared" si="209"/>
        <v>2</v>
      </c>
      <c r="R510" s="530">
        <f t="shared" si="210"/>
        <v>0.00522193211488251</v>
      </c>
    </row>
    <row r="511" hidden="1" spans="1:18">
      <c r="A511" s="524"/>
      <c r="B511" s="540" t="s">
        <v>99</v>
      </c>
      <c r="C511" s="540">
        <v>0</v>
      </c>
      <c r="D511" s="540">
        <v>0</v>
      </c>
      <c r="E511" s="540">
        <v>0</v>
      </c>
      <c r="F511" s="540">
        <v>0</v>
      </c>
      <c r="G511" s="540">
        <v>0</v>
      </c>
      <c r="H511" s="540">
        <v>0</v>
      </c>
      <c r="I511" s="540">
        <v>0</v>
      </c>
      <c r="J511" s="540">
        <v>0</v>
      </c>
      <c r="K511" s="527">
        <f>IF(E511=0,0,E511/D511)</f>
        <v>0</v>
      </c>
      <c r="L511" s="528">
        <f t="shared" si="205"/>
        <v>0</v>
      </c>
      <c r="M511" s="528">
        <f>IF(D511=0,0,C511/D511*1000)</f>
        <v>0</v>
      </c>
      <c r="N511" s="528">
        <f t="shared" si="206"/>
        <v>0</v>
      </c>
      <c r="O511" s="528">
        <f t="shared" si="207"/>
        <v>0</v>
      </c>
      <c r="P511" s="529">
        <f t="shared" si="208"/>
        <v>0</v>
      </c>
      <c r="Q511" s="24">
        <f t="shared" si="209"/>
        <v>0</v>
      </c>
      <c r="R511" s="530">
        <f t="shared" si="210"/>
        <v>0</v>
      </c>
    </row>
    <row r="512" hidden="1" spans="1:18">
      <c r="A512" s="524"/>
      <c r="B512" s="540" t="s">
        <v>100</v>
      </c>
      <c r="C512" s="540">
        <v>3924</v>
      </c>
      <c r="D512" s="540">
        <v>469873</v>
      </c>
      <c r="E512" s="540">
        <v>3558</v>
      </c>
      <c r="F512" s="540">
        <v>2</v>
      </c>
      <c r="G512" s="540">
        <v>14656</v>
      </c>
      <c r="H512" s="540">
        <v>46</v>
      </c>
      <c r="I512" s="540">
        <v>169</v>
      </c>
      <c r="J512" s="540">
        <v>9</v>
      </c>
      <c r="K512" s="527">
        <f>IF(E512=0,0,E512/D512)</f>
        <v>0.00757225888697584</v>
      </c>
      <c r="L512" s="528">
        <f t="shared" si="205"/>
        <v>1.10286677908938</v>
      </c>
      <c r="M512" s="528">
        <f>IF(D512=0,0,C512/D512*1000)</f>
        <v>8.35119276910995</v>
      </c>
      <c r="N512" s="528">
        <f t="shared" si="206"/>
        <v>3.73496432212029</v>
      </c>
      <c r="O512" s="528">
        <f t="shared" si="207"/>
        <v>0.000562113546936481</v>
      </c>
      <c r="P512" s="529">
        <f t="shared" si="208"/>
        <v>18.2511627906977</v>
      </c>
      <c r="Q512" s="24">
        <f t="shared" si="209"/>
        <v>215</v>
      </c>
      <c r="R512" s="530">
        <f t="shared" si="210"/>
        <v>0.0604272062956717</v>
      </c>
    </row>
    <row r="513" hidden="1" spans="1:18">
      <c r="A513" s="524"/>
      <c r="B513" s="531" t="s">
        <v>96</v>
      </c>
      <c r="C513" s="533">
        <f t="shared" ref="C513:J513" si="214">SUM(C510:C512)</f>
        <v>4124</v>
      </c>
      <c r="D513" s="533">
        <f t="shared" si="214"/>
        <v>499056</v>
      </c>
      <c r="E513" s="533">
        <f t="shared" si="214"/>
        <v>3941</v>
      </c>
      <c r="F513" s="533">
        <f t="shared" si="214"/>
        <v>2</v>
      </c>
      <c r="G513" s="533">
        <f t="shared" si="214"/>
        <v>14656</v>
      </c>
      <c r="H513" s="533">
        <f t="shared" si="214"/>
        <v>48</v>
      </c>
      <c r="I513" s="533">
        <f t="shared" si="214"/>
        <v>169</v>
      </c>
      <c r="J513" s="533">
        <f t="shared" si="214"/>
        <v>11</v>
      </c>
      <c r="K513" s="534">
        <f>E513/D513</f>
        <v>0.0078969093648809</v>
      </c>
      <c r="L513" s="535">
        <f t="shared" si="205"/>
        <v>1.04643491499619</v>
      </c>
      <c r="M513" s="535">
        <f>C513/D513*1000</f>
        <v>8.26360167997179</v>
      </c>
      <c r="N513" s="535">
        <f t="shared" si="206"/>
        <v>3.55383123181377</v>
      </c>
      <c r="O513" s="535">
        <f t="shared" si="207"/>
        <v>0.000507485409794468</v>
      </c>
      <c r="P513" s="536">
        <f t="shared" si="208"/>
        <v>19.0046082949309</v>
      </c>
      <c r="Q513" s="531">
        <f t="shared" si="209"/>
        <v>217</v>
      </c>
      <c r="R513" s="537">
        <f t="shared" si="210"/>
        <v>0.0550621669626998</v>
      </c>
    </row>
    <row r="514" hidden="1" spans="1:18">
      <c r="A514" s="524">
        <v>45549</v>
      </c>
      <c r="B514" s="540" t="s">
        <v>98</v>
      </c>
      <c r="C514" s="540">
        <v>200</v>
      </c>
      <c r="D514" s="540">
        <v>19513</v>
      </c>
      <c r="E514" s="540">
        <v>365</v>
      </c>
      <c r="F514" s="540">
        <v>0</v>
      </c>
      <c r="G514" s="540">
        <v>0</v>
      </c>
      <c r="H514" s="540">
        <v>6</v>
      </c>
      <c r="I514" s="540">
        <v>2</v>
      </c>
      <c r="J514" s="540">
        <v>4</v>
      </c>
      <c r="K514" s="527">
        <f>IF(E514=0,0,E514/D514)</f>
        <v>0.018705478399016</v>
      </c>
      <c r="L514" s="528">
        <f t="shared" si="205"/>
        <v>0.547945205479452</v>
      </c>
      <c r="M514" s="528">
        <f>IF(D514=0,0,C514/D514*1000)</f>
        <v>10.2495772049403</v>
      </c>
      <c r="N514" s="528">
        <f t="shared" si="206"/>
        <v>0</v>
      </c>
      <c r="O514" s="528">
        <f t="shared" si="207"/>
        <v>0</v>
      </c>
      <c r="P514" s="529">
        <f t="shared" si="208"/>
        <v>25</v>
      </c>
      <c r="Q514" s="24">
        <f t="shared" si="209"/>
        <v>8</v>
      </c>
      <c r="R514" s="530">
        <f t="shared" si="210"/>
        <v>0.0219178082191781</v>
      </c>
    </row>
    <row r="515" hidden="1" spans="1:18">
      <c r="A515" s="524"/>
      <c r="B515" s="540" t="s">
        <v>99</v>
      </c>
      <c r="C515" s="540">
        <v>0</v>
      </c>
      <c r="D515" s="540">
        <v>0</v>
      </c>
      <c r="E515" s="540">
        <v>0</v>
      </c>
      <c r="F515" s="540">
        <v>0</v>
      </c>
      <c r="G515" s="540">
        <v>0</v>
      </c>
      <c r="H515" s="540">
        <v>0</v>
      </c>
      <c r="I515" s="540">
        <v>0</v>
      </c>
      <c r="J515" s="540">
        <v>0</v>
      </c>
      <c r="K515" s="527">
        <f>IF(E515=0,0,E515/D515)</f>
        <v>0</v>
      </c>
      <c r="L515" s="528">
        <f t="shared" si="205"/>
        <v>0</v>
      </c>
      <c r="M515" s="528">
        <f>IF(D515=0,0,C515/D515*1000)</f>
        <v>0</v>
      </c>
      <c r="N515" s="528">
        <f t="shared" si="206"/>
        <v>0</v>
      </c>
      <c r="O515" s="528">
        <f t="shared" si="207"/>
        <v>0</v>
      </c>
      <c r="P515" s="529">
        <f t="shared" si="208"/>
        <v>0</v>
      </c>
      <c r="Q515" s="24">
        <f t="shared" si="209"/>
        <v>0</v>
      </c>
      <c r="R515" s="530">
        <f t="shared" si="210"/>
        <v>0</v>
      </c>
    </row>
    <row r="516" hidden="1" spans="1:18">
      <c r="A516" s="524"/>
      <c r="B516" s="540" t="s">
        <v>100</v>
      </c>
      <c r="C516" s="540">
        <v>3895.21</v>
      </c>
      <c r="D516" s="540">
        <v>409392</v>
      </c>
      <c r="E516" s="540">
        <v>3398</v>
      </c>
      <c r="F516" s="540">
        <v>1</v>
      </c>
      <c r="G516" s="540">
        <v>8907</v>
      </c>
      <c r="H516" s="540">
        <v>59</v>
      </c>
      <c r="I516" s="540">
        <v>165</v>
      </c>
      <c r="J516" s="540">
        <v>12</v>
      </c>
      <c r="K516" s="527">
        <f>IF(E516=0,0,E516/D516)</f>
        <v>0.00830011333880486</v>
      </c>
      <c r="L516" s="528">
        <f t="shared" si="205"/>
        <v>1.14632430841672</v>
      </c>
      <c r="M516" s="528">
        <f>IF(D516=0,0,C516/D516*1000)</f>
        <v>9.51462168288584</v>
      </c>
      <c r="N516" s="528">
        <f t="shared" si="206"/>
        <v>2.28665463479504</v>
      </c>
      <c r="O516" s="528">
        <f t="shared" si="207"/>
        <v>0.000294290759270159</v>
      </c>
      <c r="P516" s="529">
        <f t="shared" si="208"/>
        <v>17.3893303571429</v>
      </c>
      <c r="Q516" s="24">
        <f t="shared" si="209"/>
        <v>224</v>
      </c>
      <c r="R516" s="530">
        <f t="shared" si="210"/>
        <v>0.0659211300765156</v>
      </c>
    </row>
    <row r="517" hidden="1" spans="1:18">
      <c r="A517" s="524"/>
      <c r="B517" s="531" t="s">
        <v>96</v>
      </c>
      <c r="C517" s="533">
        <f t="shared" ref="C517:J517" si="215">SUM(C514:C516)</f>
        <v>4095.21</v>
      </c>
      <c r="D517" s="533">
        <f t="shared" si="215"/>
        <v>428905</v>
      </c>
      <c r="E517" s="533">
        <f t="shared" si="215"/>
        <v>3763</v>
      </c>
      <c r="F517" s="533">
        <f t="shared" si="215"/>
        <v>1</v>
      </c>
      <c r="G517" s="533">
        <f t="shared" si="215"/>
        <v>8907</v>
      </c>
      <c r="H517" s="533">
        <f t="shared" si="215"/>
        <v>65</v>
      </c>
      <c r="I517" s="533">
        <f t="shared" si="215"/>
        <v>167</v>
      </c>
      <c r="J517" s="533">
        <f t="shared" si="215"/>
        <v>16</v>
      </c>
      <c r="K517" s="534">
        <f>E517/D517</f>
        <v>0.00877350462223569</v>
      </c>
      <c r="L517" s="535">
        <f t="shared" si="205"/>
        <v>1.08828328461334</v>
      </c>
      <c r="M517" s="535">
        <f>C517/D517*1000</f>
        <v>9.54805842785698</v>
      </c>
      <c r="N517" s="535">
        <f t="shared" si="206"/>
        <v>2.17498003765375</v>
      </c>
      <c r="O517" s="535">
        <f t="shared" si="207"/>
        <v>0.000265745415891576</v>
      </c>
      <c r="P517" s="536">
        <f t="shared" si="208"/>
        <v>17.6517672413793</v>
      </c>
      <c r="Q517" s="531">
        <f t="shared" si="209"/>
        <v>232</v>
      </c>
      <c r="R517" s="537">
        <f t="shared" si="210"/>
        <v>0.0616529364868456</v>
      </c>
    </row>
    <row r="518" hidden="1" spans="1:18">
      <c r="A518" s="524">
        <v>45550</v>
      </c>
      <c r="B518" s="540" t="s">
        <v>98</v>
      </c>
      <c r="C518" s="540">
        <v>199.44</v>
      </c>
      <c r="D518" s="540">
        <v>14721</v>
      </c>
      <c r="E518" s="540">
        <v>332</v>
      </c>
      <c r="F518" s="540">
        <v>0</v>
      </c>
      <c r="G518" s="540">
        <v>0</v>
      </c>
      <c r="H518" s="540">
        <v>4</v>
      </c>
      <c r="I518" s="540">
        <v>2</v>
      </c>
      <c r="J518" s="540">
        <v>1</v>
      </c>
      <c r="K518" s="527">
        <f>IF(E518=0,0,E518/D518)</f>
        <v>0.0225528157054548</v>
      </c>
      <c r="L518" s="528">
        <f t="shared" si="205"/>
        <v>0.600722891566265</v>
      </c>
      <c r="M518" s="528">
        <f>IF(D518=0,0,C518/D518*1000)</f>
        <v>13.5479926635419</v>
      </c>
      <c r="N518" s="528">
        <f t="shared" si="206"/>
        <v>0</v>
      </c>
      <c r="O518" s="528">
        <f t="shared" si="207"/>
        <v>0</v>
      </c>
      <c r="P518" s="529">
        <f t="shared" si="208"/>
        <v>33.24</v>
      </c>
      <c r="Q518" s="24">
        <f t="shared" si="209"/>
        <v>6</v>
      </c>
      <c r="R518" s="530">
        <f t="shared" si="210"/>
        <v>0.0180722891566265</v>
      </c>
    </row>
    <row r="519" hidden="1" spans="1:18">
      <c r="A519" s="524"/>
      <c r="B519" s="540" t="s">
        <v>99</v>
      </c>
      <c r="C519" s="540">
        <v>0</v>
      </c>
      <c r="D519" s="540">
        <v>0</v>
      </c>
      <c r="E519" s="540">
        <v>0</v>
      </c>
      <c r="F519" s="540">
        <v>0</v>
      </c>
      <c r="G519" s="540">
        <v>0</v>
      </c>
      <c r="H519" s="540">
        <v>0</v>
      </c>
      <c r="I519" s="540">
        <v>0</v>
      </c>
      <c r="J519" s="540">
        <v>0</v>
      </c>
      <c r="K519" s="527">
        <f>IF(E519=0,0,E519/D519)</f>
        <v>0</v>
      </c>
      <c r="L519" s="528">
        <f t="shared" si="205"/>
        <v>0</v>
      </c>
      <c r="M519" s="528">
        <f>IF(D519=0,0,C519/D519*1000)</f>
        <v>0</v>
      </c>
      <c r="N519" s="528">
        <f t="shared" si="206"/>
        <v>0</v>
      </c>
      <c r="O519" s="528">
        <f t="shared" si="207"/>
        <v>0</v>
      </c>
      <c r="P519" s="529">
        <f t="shared" si="208"/>
        <v>0</v>
      </c>
      <c r="Q519" s="24">
        <f t="shared" si="209"/>
        <v>0</v>
      </c>
      <c r="R519" s="530">
        <f t="shared" si="210"/>
        <v>0</v>
      </c>
    </row>
    <row r="520" hidden="1" spans="1:18">
      <c r="A520" s="524"/>
      <c r="B520" s="540" t="s">
        <v>100</v>
      </c>
      <c r="C520" s="540">
        <v>4128.65</v>
      </c>
      <c r="D520" s="540">
        <v>281810</v>
      </c>
      <c r="E520" s="540">
        <v>3651</v>
      </c>
      <c r="F520" s="540">
        <v>0</v>
      </c>
      <c r="G520" s="540">
        <v>0</v>
      </c>
      <c r="H520" s="540">
        <v>41</v>
      </c>
      <c r="I520" s="540">
        <v>161</v>
      </c>
      <c r="J520" s="540">
        <v>8</v>
      </c>
      <c r="K520" s="527">
        <f>IF(E520=0,0,E520/D520)</f>
        <v>0.0129555374188283</v>
      </c>
      <c r="L520" s="528">
        <f t="shared" si="205"/>
        <v>1.13082717063818</v>
      </c>
      <c r="M520" s="528">
        <f>IF(D520=0,0,C520/D520*1000)</f>
        <v>14.6504737234307</v>
      </c>
      <c r="N520" s="528">
        <f t="shared" si="206"/>
        <v>0</v>
      </c>
      <c r="O520" s="528">
        <f t="shared" si="207"/>
        <v>0</v>
      </c>
      <c r="P520" s="529">
        <f t="shared" si="208"/>
        <v>20.4388613861386</v>
      </c>
      <c r="Q520" s="24">
        <f t="shared" si="209"/>
        <v>202</v>
      </c>
      <c r="R520" s="530">
        <f t="shared" si="210"/>
        <v>0.0553273075869625</v>
      </c>
    </row>
    <row r="521" hidden="1" spans="1:18">
      <c r="A521" s="524"/>
      <c r="B521" s="531" t="s">
        <v>96</v>
      </c>
      <c r="C521" s="533">
        <f t="shared" ref="C521:J521" si="216">SUM(C518:C520)</f>
        <v>4328.09</v>
      </c>
      <c r="D521" s="533">
        <f t="shared" si="216"/>
        <v>296531</v>
      </c>
      <c r="E521" s="533">
        <f t="shared" si="216"/>
        <v>3983</v>
      </c>
      <c r="F521" s="533">
        <f t="shared" si="216"/>
        <v>0</v>
      </c>
      <c r="G521" s="533">
        <f t="shared" si="216"/>
        <v>0</v>
      </c>
      <c r="H521" s="533">
        <f t="shared" si="216"/>
        <v>45</v>
      </c>
      <c r="I521" s="533">
        <f t="shared" si="216"/>
        <v>163</v>
      </c>
      <c r="J521" s="533">
        <f t="shared" si="216"/>
        <v>9</v>
      </c>
      <c r="K521" s="534">
        <f>E521/D521</f>
        <v>0.0134319851887324</v>
      </c>
      <c r="L521" s="535">
        <f t="shared" si="205"/>
        <v>1.08664072307306</v>
      </c>
      <c r="M521" s="535">
        <f>C521/D521*1000</f>
        <v>14.5957420977908</v>
      </c>
      <c r="N521" s="535">
        <f t="shared" si="206"/>
        <v>0</v>
      </c>
      <c r="O521" s="535">
        <f t="shared" si="207"/>
        <v>0</v>
      </c>
      <c r="P521" s="536">
        <f t="shared" si="208"/>
        <v>20.808125</v>
      </c>
      <c r="Q521" s="531">
        <f t="shared" si="209"/>
        <v>208</v>
      </c>
      <c r="R521" s="537">
        <f t="shared" si="210"/>
        <v>0.0522219432588501</v>
      </c>
    </row>
    <row r="522" hidden="1" spans="1:18">
      <c r="A522" s="524">
        <v>45551</v>
      </c>
      <c r="B522" s="540" t="s">
        <v>98</v>
      </c>
      <c r="C522" s="540">
        <v>199.4</v>
      </c>
      <c r="D522" s="540">
        <v>15248</v>
      </c>
      <c r="E522" s="540">
        <v>457</v>
      </c>
      <c r="F522" s="540">
        <v>0</v>
      </c>
      <c r="G522" s="540">
        <v>0</v>
      </c>
      <c r="H522" s="540">
        <v>8</v>
      </c>
      <c r="I522" s="540">
        <v>3</v>
      </c>
      <c r="J522" s="540">
        <v>5</v>
      </c>
      <c r="K522" s="527">
        <f>IF(E522=0,0,E522/D522)</f>
        <v>0.0299711437565582</v>
      </c>
      <c r="L522" s="528">
        <f t="shared" si="205"/>
        <v>0.436323851203501</v>
      </c>
      <c r="M522" s="528">
        <f>IF(D522=0,0,C522/D522*1000)</f>
        <v>13.0771248688353</v>
      </c>
      <c r="N522" s="528">
        <f t="shared" si="206"/>
        <v>0</v>
      </c>
      <c r="O522" s="528">
        <f t="shared" si="207"/>
        <v>0</v>
      </c>
      <c r="P522" s="529">
        <f t="shared" si="208"/>
        <v>18.1272727272727</v>
      </c>
      <c r="Q522" s="24">
        <f t="shared" si="209"/>
        <v>11</v>
      </c>
      <c r="R522" s="530">
        <f t="shared" si="210"/>
        <v>0.0240700218818381</v>
      </c>
    </row>
    <row r="523" hidden="1" spans="1:18">
      <c r="A523" s="524"/>
      <c r="B523" s="540" t="s">
        <v>99</v>
      </c>
      <c r="C523" s="540">
        <v>0</v>
      </c>
      <c r="D523" s="540">
        <v>0</v>
      </c>
      <c r="E523" s="540">
        <v>0</v>
      </c>
      <c r="F523" s="540">
        <v>0</v>
      </c>
      <c r="G523" s="540">
        <v>0</v>
      </c>
      <c r="H523" s="540">
        <v>0</v>
      </c>
      <c r="I523" s="540">
        <v>0</v>
      </c>
      <c r="J523" s="540">
        <v>0</v>
      </c>
      <c r="K523" s="527">
        <f>IF(E523=0,0,E523/D523)</f>
        <v>0</v>
      </c>
      <c r="L523" s="528">
        <f t="shared" si="205"/>
        <v>0</v>
      </c>
      <c r="M523" s="528">
        <f>IF(D523=0,0,C523/D523*1000)</f>
        <v>0</v>
      </c>
      <c r="N523" s="528">
        <f t="shared" si="206"/>
        <v>0</v>
      </c>
      <c r="O523" s="528">
        <f t="shared" si="207"/>
        <v>0</v>
      </c>
      <c r="P523" s="529">
        <f t="shared" si="208"/>
        <v>0</v>
      </c>
      <c r="Q523" s="24">
        <f t="shared" si="209"/>
        <v>0</v>
      </c>
      <c r="R523" s="530">
        <f t="shared" si="210"/>
        <v>0</v>
      </c>
    </row>
    <row r="524" hidden="1" spans="1:18">
      <c r="A524" s="524"/>
      <c r="B524" s="540" t="s">
        <v>100</v>
      </c>
      <c r="C524" s="540">
        <v>3621.38</v>
      </c>
      <c r="D524" s="540">
        <v>370894</v>
      </c>
      <c r="E524" s="540">
        <v>3351</v>
      </c>
      <c r="F524" s="540">
        <v>0</v>
      </c>
      <c r="G524" s="540">
        <v>0</v>
      </c>
      <c r="H524" s="540">
        <v>66</v>
      </c>
      <c r="I524" s="540">
        <v>177</v>
      </c>
      <c r="J524" s="540">
        <v>1</v>
      </c>
      <c r="K524" s="527">
        <f>IF(E524=0,0,E524/D524)</f>
        <v>0.00903492642102595</v>
      </c>
      <c r="L524" s="528">
        <f t="shared" si="205"/>
        <v>1.08068636227992</v>
      </c>
      <c r="M524" s="528">
        <f>IF(D524=0,0,C524/D524*1000)</f>
        <v>9.76392176740524</v>
      </c>
      <c r="N524" s="528">
        <f t="shared" si="206"/>
        <v>0</v>
      </c>
      <c r="O524" s="528">
        <f t="shared" si="207"/>
        <v>0</v>
      </c>
      <c r="P524" s="529">
        <f t="shared" si="208"/>
        <v>14.9027983539095</v>
      </c>
      <c r="Q524" s="24">
        <f t="shared" si="209"/>
        <v>243</v>
      </c>
      <c r="R524" s="530">
        <f t="shared" si="210"/>
        <v>0.072515666965085</v>
      </c>
    </row>
    <row r="525" hidden="1" spans="1:18">
      <c r="A525" s="524"/>
      <c r="B525" s="531" t="s">
        <v>96</v>
      </c>
      <c r="C525" s="533">
        <f t="shared" ref="C525:J525" si="217">SUM(C522:C524)</f>
        <v>3820.78</v>
      </c>
      <c r="D525" s="533">
        <f t="shared" si="217"/>
        <v>386142</v>
      </c>
      <c r="E525" s="533">
        <f t="shared" si="217"/>
        <v>3808</v>
      </c>
      <c r="F525" s="533">
        <f t="shared" si="217"/>
        <v>0</v>
      </c>
      <c r="G525" s="533">
        <f t="shared" si="217"/>
        <v>0</v>
      </c>
      <c r="H525" s="533">
        <f t="shared" si="217"/>
        <v>74</v>
      </c>
      <c r="I525" s="533">
        <f t="shared" si="217"/>
        <v>180</v>
      </c>
      <c r="J525" s="533">
        <f t="shared" si="217"/>
        <v>6</v>
      </c>
      <c r="K525" s="534">
        <f>E525/D525</f>
        <v>0.00986165711059662</v>
      </c>
      <c r="L525" s="535">
        <f t="shared" si="205"/>
        <v>1.00335609243697</v>
      </c>
      <c r="M525" s="535">
        <f>C525/D525*1000</f>
        <v>9.89475374344153</v>
      </c>
      <c r="N525" s="535">
        <f t="shared" si="206"/>
        <v>0</v>
      </c>
      <c r="O525" s="535">
        <f t="shared" si="207"/>
        <v>0</v>
      </c>
      <c r="P525" s="536">
        <f t="shared" si="208"/>
        <v>15.0424409448819</v>
      </c>
      <c r="Q525" s="531">
        <f t="shared" si="209"/>
        <v>254</v>
      </c>
      <c r="R525" s="537">
        <f t="shared" si="210"/>
        <v>0.0667016806722689</v>
      </c>
    </row>
    <row r="526" hidden="1" spans="1:18">
      <c r="A526" s="524">
        <v>45552</v>
      </c>
      <c r="B526" s="540" t="s">
        <v>98</v>
      </c>
      <c r="C526" s="540">
        <v>199.99</v>
      </c>
      <c r="D526" s="540">
        <v>19961</v>
      </c>
      <c r="E526" s="540">
        <v>367</v>
      </c>
      <c r="F526" s="540">
        <v>0</v>
      </c>
      <c r="G526" s="540">
        <v>0</v>
      </c>
      <c r="H526" s="540">
        <v>5</v>
      </c>
      <c r="I526" s="540">
        <v>4</v>
      </c>
      <c r="J526" s="540">
        <v>3</v>
      </c>
      <c r="K526" s="527">
        <f>IF(E526=0,0,E526/D526)</f>
        <v>0.0183858524122038</v>
      </c>
      <c r="L526" s="528">
        <f t="shared" si="205"/>
        <v>0.544931880108992</v>
      </c>
      <c r="M526" s="528">
        <f>IF(D526=0,0,C526/D526*1000)</f>
        <v>10.0190371223887</v>
      </c>
      <c r="N526" s="528">
        <f t="shared" si="206"/>
        <v>0</v>
      </c>
      <c r="O526" s="528">
        <f t="shared" si="207"/>
        <v>0</v>
      </c>
      <c r="P526" s="529">
        <f t="shared" si="208"/>
        <v>22.2211111111111</v>
      </c>
      <c r="Q526" s="24">
        <f t="shared" si="209"/>
        <v>9</v>
      </c>
      <c r="R526" s="530">
        <f t="shared" si="210"/>
        <v>0.0245231607629428</v>
      </c>
    </row>
    <row r="527" hidden="1" spans="1:18">
      <c r="A527" s="524"/>
      <c r="B527" s="540" t="s">
        <v>99</v>
      </c>
      <c r="C527" s="540">
        <v>0</v>
      </c>
      <c r="D527" s="540">
        <v>0</v>
      </c>
      <c r="E527" s="540">
        <v>0</v>
      </c>
      <c r="F527" s="540">
        <v>0</v>
      </c>
      <c r="G527" s="540">
        <v>0</v>
      </c>
      <c r="H527" s="540">
        <v>0</v>
      </c>
      <c r="I527" s="540">
        <v>0</v>
      </c>
      <c r="J527" s="540">
        <v>0</v>
      </c>
      <c r="K527" s="527">
        <f>IF(E527=0,0,E527/D527)</f>
        <v>0</v>
      </c>
      <c r="L527" s="528">
        <f t="shared" si="205"/>
        <v>0</v>
      </c>
      <c r="M527" s="528">
        <f>IF(D527=0,0,C527/D527*1000)</f>
        <v>0</v>
      </c>
      <c r="N527" s="528">
        <f t="shared" si="206"/>
        <v>0</v>
      </c>
      <c r="O527" s="528">
        <f t="shared" si="207"/>
        <v>0</v>
      </c>
      <c r="P527" s="529">
        <f t="shared" si="208"/>
        <v>0</v>
      </c>
      <c r="Q527" s="24">
        <f t="shared" si="209"/>
        <v>0</v>
      </c>
      <c r="R527" s="530">
        <f t="shared" si="210"/>
        <v>0</v>
      </c>
    </row>
    <row r="528" hidden="1" spans="1:18">
      <c r="A528" s="524"/>
      <c r="B528" s="540" t="s">
        <v>100</v>
      </c>
      <c r="C528" s="540">
        <v>3304.8</v>
      </c>
      <c r="D528" s="540">
        <v>405766</v>
      </c>
      <c r="E528" s="540">
        <v>3146</v>
      </c>
      <c r="F528" s="540">
        <v>1</v>
      </c>
      <c r="G528" s="540">
        <v>20468</v>
      </c>
      <c r="H528" s="540">
        <v>39</v>
      </c>
      <c r="I528" s="540">
        <v>105</v>
      </c>
      <c r="J528" s="540">
        <v>4</v>
      </c>
      <c r="K528" s="527">
        <f>IF(E528=0,0,E528/D528)</f>
        <v>0.00775323708738534</v>
      </c>
      <c r="L528" s="528">
        <f t="shared" si="205"/>
        <v>1.05047679593134</v>
      </c>
      <c r="M528" s="528">
        <f>IF(D528=0,0,C528/D528*1000)</f>
        <v>8.1445956536526</v>
      </c>
      <c r="N528" s="528">
        <f t="shared" si="206"/>
        <v>6.19341563786008</v>
      </c>
      <c r="O528" s="528">
        <f t="shared" si="207"/>
        <v>0.000317863954227591</v>
      </c>
      <c r="P528" s="529">
        <f t="shared" si="208"/>
        <v>22.95</v>
      </c>
      <c r="Q528" s="24">
        <f t="shared" si="209"/>
        <v>144</v>
      </c>
      <c r="R528" s="530">
        <f t="shared" si="210"/>
        <v>0.045772409408773</v>
      </c>
    </row>
    <row r="529" hidden="1" spans="1:18">
      <c r="A529" s="524"/>
      <c r="B529" s="531" t="s">
        <v>96</v>
      </c>
      <c r="C529" s="533">
        <f t="shared" ref="C529:J529" si="218">SUM(C526:C528)</f>
        <v>3504.79</v>
      </c>
      <c r="D529" s="533">
        <f t="shared" si="218"/>
        <v>425727</v>
      </c>
      <c r="E529" s="533">
        <f t="shared" si="218"/>
        <v>3513</v>
      </c>
      <c r="F529" s="533">
        <f t="shared" si="218"/>
        <v>1</v>
      </c>
      <c r="G529" s="533">
        <f t="shared" si="218"/>
        <v>20468</v>
      </c>
      <c r="H529" s="533">
        <f t="shared" si="218"/>
        <v>44</v>
      </c>
      <c r="I529" s="533">
        <f t="shared" si="218"/>
        <v>109</v>
      </c>
      <c r="J529" s="533">
        <f t="shared" si="218"/>
        <v>7</v>
      </c>
      <c r="K529" s="534">
        <f>E529/D529</f>
        <v>0.0082517669774292</v>
      </c>
      <c r="L529" s="535">
        <f t="shared" si="205"/>
        <v>0.997662966125818</v>
      </c>
      <c r="M529" s="535">
        <f>C529/D529*1000</f>
        <v>8.23248231848109</v>
      </c>
      <c r="N529" s="535">
        <f t="shared" si="206"/>
        <v>5.84000753254831</v>
      </c>
      <c r="O529" s="535">
        <f t="shared" si="207"/>
        <v>0.000284656988329063</v>
      </c>
      <c r="P529" s="536">
        <f t="shared" si="208"/>
        <v>22.9071241830065</v>
      </c>
      <c r="Q529" s="531">
        <f t="shared" si="209"/>
        <v>153</v>
      </c>
      <c r="R529" s="537">
        <f t="shared" si="210"/>
        <v>0.0435525192143467</v>
      </c>
    </row>
    <row r="530" hidden="1" spans="1:18">
      <c r="A530" s="524">
        <v>45553</v>
      </c>
      <c r="B530" s="540" t="s">
        <v>98</v>
      </c>
      <c r="C530" s="540">
        <v>200</v>
      </c>
      <c r="D530" s="540">
        <v>21560</v>
      </c>
      <c r="E530" s="540">
        <v>413</v>
      </c>
      <c r="F530" s="540">
        <v>0</v>
      </c>
      <c r="G530" s="540">
        <v>0</v>
      </c>
      <c r="H530" s="540">
        <v>8</v>
      </c>
      <c r="I530" s="540">
        <v>1</v>
      </c>
      <c r="J530" s="540">
        <v>2</v>
      </c>
      <c r="K530" s="527">
        <f>IF(E530=0,0,E530/D530)</f>
        <v>0.0191558441558442</v>
      </c>
      <c r="L530" s="528">
        <f t="shared" ref="L530:L593" si="219">IF(C530=0,0,C530/E530)</f>
        <v>0.484261501210654</v>
      </c>
      <c r="M530" s="528">
        <f>IF(D530=0,0,C530/D530*1000)</f>
        <v>9.27643784786642</v>
      </c>
      <c r="N530" s="528">
        <f t="shared" ref="N530:N593" si="220">IF(G530=0,0,G530/C530)</f>
        <v>0</v>
      </c>
      <c r="O530" s="528">
        <f t="shared" ref="O530:O593" si="221">IF(F530=0,0,F530/E530)</f>
        <v>0</v>
      </c>
      <c r="P530" s="529">
        <f t="shared" ref="P530:P593" si="222">IF(H530+I530=0,0,C530/(H530+I530))</f>
        <v>22.2222222222222</v>
      </c>
      <c r="Q530" s="24">
        <f t="shared" ref="Q530:Q593" si="223">H530+I530</f>
        <v>9</v>
      </c>
      <c r="R530" s="530">
        <f t="shared" ref="R530:R593" si="224">IF(Q530=0,0,Q530/E530)</f>
        <v>0.0217917675544794</v>
      </c>
    </row>
    <row r="531" hidden="1" spans="1:18">
      <c r="A531" s="524"/>
      <c r="B531" s="540" t="s">
        <v>99</v>
      </c>
      <c r="C531" s="540">
        <v>0</v>
      </c>
      <c r="D531" s="540">
        <v>0</v>
      </c>
      <c r="E531" s="540">
        <v>0</v>
      </c>
      <c r="F531" s="540">
        <v>0</v>
      </c>
      <c r="G531" s="540">
        <v>0</v>
      </c>
      <c r="H531" s="540">
        <v>0</v>
      </c>
      <c r="I531" s="540">
        <v>0</v>
      </c>
      <c r="J531" s="540">
        <v>0</v>
      </c>
      <c r="K531" s="527">
        <f>IF(E531=0,0,E531/D531)</f>
        <v>0</v>
      </c>
      <c r="L531" s="528">
        <f t="shared" si="219"/>
        <v>0</v>
      </c>
      <c r="M531" s="528">
        <f>IF(D531=0,0,C531/D531*1000)</f>
        <v>0</v>
      </c>
      <c r="N531" s="528">
        <f t="shared" si="220"/>
        <v>0</v>
      </c>
      <c r="O531" s="528">
        <f t="shared" si="221"/>
        <v>0</v>
      </c>
      <c r="P531" s="529">
        <f t="shared" si="222"/>
        <v>0</v>
      </c>
      <c r="Q531" s="24">
        <f t="shared" si="223"/>
        <v>0</v>
      </c>
      <c r="R531" s="530">
        <f t="shared" si="224"/>
        <v>0</v>
      </c>
    </row>
    <row r="532" hidden="1" spans="1:18">
      <c r="A532" s="524"/>
      <c r="B532" s="540" t="s">
        <v>100</v>
      </c>
      <c r="C532" s="540">
        <v>3595.47</v>
      </c>
      <c r="D532" s="540">
        <v>378547</v>
      </c>
      <c r="E532" s="540">
        <v>3189</v>
      </c>
      <c r="F532" s="540">
        <v>0</v>
      </c>
      <c r="G532" s="540">
        <v>0</v>
      </c>
      <c r="H532" s="540">
        <v>37</v>
      </c>
      <c r="I532" s="540">
        <v>112</v>
      </c>
      <c r="J532" s="540">
        <v>4</v>
      </c>
      <c r="K532" s="527">
        <f>IF(E532=0,0,E532/D532)</f>
        <v>0.0084243171917886</v>
      </c>
      <c r="L532" s="528">
        <f t="shared" si="219"/>
        <v>1.12746001881468</v>
      </c>
      <c r="M532" s="528">
        <f>IF(D532=0,0,C532/D532*1000)</f>
        <v>9.49808081955477</v>
      </c>
      <c r="N532" s="528">
        <f t="shared" si="220"/>
        <v>0</v>
      </c>
      <c r="O532" s="528">
        <f t="shared" si="221"/>
        <v>0</v>
      </c>
      <c r="P532" s="529">
        <f t="shared" si="222"/>
        <v>24.1306711409396</v>
      </c>
      <c r="Q532" s="24">
        <f t="shared" si="223"/>
        <v>149</v>
      </c>
      <c r="R532" s="530">
        <f t="shared" si="224"/>
        <v>0.0467231106930072</v>
      </c>
    </row>
    <row r="533" hidden="1" spans="1:18">
      <c r="A533" s="524"/>
      <c r="B533" s="531" t="s">
        <v>96</v>
      </c>
      <c r="C533" s="533">
        <f t="shared" ref="C533:J533" si="225">SUM(C530:C532)</f>
        <v>3795.47</v>
      </c>
      <c r="D533" s="533">
        <f t="shared" si="225"/>
        <v>400107</v>
      </c>
      <c r="E533" s="533">
        <f t="shared" si="225"/>
        <v>3602</v>
      </c>
      <c r="F533" s="533">
        <f t="shared" si="225"/>
        <v>0</v>
      </c>
      <c r="G533" s="533">
        <f t="shared" si="225"/>
        <v>0</v>
      </c>
      <c r="H533" s="533">
        <f t="shared" si="225"/>
        <v>45</v>
      </c>
      <c r="I533" s="533">
        <f t="shared" si="225"/>
        <v>113</v>
      </c>
      <c r="J533" s="533">
        <f t="shared" si="225"/>
        <v>6</v>
      </c>
      <c r="K533" s="534">
        <f>E533/D533</f>
        <v>0.00900259180669171</v>
      </c>
      <c r="L533" s="535">
        <f t="shared" si="219"/>
        <v>1.05371182676291</v>
      </c>
      <c r="M533" s="535">
        <f>C533/D533*1000</f>
        <v>9.48613745822992</v>
      </c>
      <c r="N533" s="535">
        <f t="shared" si="220"/>
        <v>0</v>
      </c>
      <c r="O533" s="535">
        <f t="shared" si="221"/>
        <v>0</v>
      </c>
      <c r="P533" s="536">
        <f t="shared" si="222"/>
        <v>24.0219620253165</v>
      </c>
      <c r="Q533" s="531">
        <f t="shared" si="223"/>
        <v>158</v>
      </c>
      <c r="R533" s="537">
        <f t="shared" si="224"/>
        <v>0.0438645197112715</v>
      </c>
    </row>
    <row r="534" hidden="1" spans="1:18">
      <c r="A534" s="524">
        <v>45554</v>
      </c>
      <c r="B534" s="540" t="s">
        <v>98</v>
      </c>
      <c r="C534" s="540">
        <v>198.91</v>
      </c>
      <c r="D534" s="540">
        <v>9774</v>
      </c>
      <c r="E534" s="540">
        <v>209</v>
      </c>
      <c r="F534" s="540">
        <v>0</v>
      </c>
      <c r="G534" s="540">
        <v>0</v>
      </c>
      <c r="H534" s="540">
        <v>4</v>
      </c>
      <c r="I534" s="540">
        <v>4</v>
      </c>
      <c r="J534" s="540">
        <v>1</v>
      </c>
      <c r="K534" s="527">
        <f>IF(E534=0,0,E534/D534)</f>
        <v>0.0213832617147534</v>
      </c>
      <c r="L534" s="528">
        <f t="shared" si="219"/>
        <v>0.951722488038278</v>
      </c>
      <c r="M534" s="528">
        <f>IF(D534=0,0,C534/D534*1000)</f>
        <v>20.3509310415388</v>
      </c>
      <c r="N534" s="528">
        <f t="shared" si="220"/>
        <v>0</v>
      </c>
      <c r="O534" s="528">
        <f t="shared" si="221"/>
        <v>0</v>
      </c>
      <c r="P534" s="529">
        <f t="shared" si="222"/>
        <v>24.86375</v>
      </c>
      <c r="Q534" s="24">
        <f t="shared" si="223"/>
        <v>8</v>
      </c>
      <c r="R534" s="530">
        <f t="shared" si="224"/>
        <v>0.0382775119617225</v>
      </c>
    </row>
    <row r="535" hidden="1" spans="1:18">
      <c r="A535" s="524"/>
      <c r="B535" s="540" t="s">
        <v>99</v>
      </c>
      <c r="C535" s="540">
        <v>0</v>
      </c>
      <c r="D535" s="540">
        <v>0</v>
      </c>
      <c r="E535" s="540">
        <v>0</v>
      </c>
      <c r="F535" s="540">
        <v>0</v>
      </c>
      <c r="G535" s="540">
        <v>0</v>
      </c>
      <c r="H535" s="540">
        <v>0</v>
      </c>
      <c r="I535" s="540">
        <v>0</v>
      </c>
      <c r="J535" s="540">
        <v>0</v>
      </c>
      <c r="K535" s="527">
        <f>IF(E535=0,0,E535/D535)</f>
        <v>0</v>
      </c>
      <c r="L535" s="528">
        <f t="shared" si="219"/>
        <v>0</v>
      </c>
      <c r="M535" s="528">
        <f>IF(D535=0,0,C535/D535*1000)</f>
        <v>0</v>
      </c>
      <c r="N535" s="528">
        <f t="shared" si="220"/>
        <v>0</v>
      </c>
      <c r="O535" s="528">
        <f t="shared" si="221"/>
        <v>0</v>
      </c>
      <c r="P535" s="529">
        <f t="shared" si="222"/>
        <v>0</v>
      </c>
      <c r="Q535" s="24">
        <f t="shared" si="223"/>
        <v>0</v>
      </c>
      <c r="R535" s="530">
        <f t="shared" si="224"/>
        <v>0</v>
      </c>
    </row>
    <row r="536" hidden="1" spans="1:18">
      <c r="A536" s="524"/>
      <c r="B536" s="540" t="s">
        <v>100</v>
      </c>
      <c r="C536" s="540">
        <v>3553.35</v>
      </c>
      <c r="D536" s="540">
        <v>454605</v>
      </c>
      <c r="E536" s="540">
        <v>3109</v>
      </c>
      <c r="F536" s="540">
        <v>1</v>
      </c>
      <c r="G536" s="540">
        <v>14367</v>
      </c>
      <c r="H536" s="540">
        <v>62</v>
      </c>
      <c r="I536" s="540">
        <v>116</v>
      </c>
      <c r="J536" s="540">
        <v>10</v>
      </c>
      <c r="K536" s="527">
        <f>IF(E536=0,0,E536/D536)</f>
        <v>0.00683890410356243</v>
      </c>
      <c r="L536" s="528">
        <f t="shared" si="219"/>
        <v>1.14292376970087</v>
      </c>
      <c r="M536" s="528">
        <f>IF(D536=0,0,C536/D536*1000)</f>
        <v>7.81634605866631</v>
      </c>
      <c r="N536" s="528">
        <f t="shared" si="220"/>
        <v>4.04322681413314</v>
      </c>
      <c r="O536" s="528">
        <f t="shared" si="221"/>
        <v>0.000321646831778707</v>
      </c>
      <c r="P536" s="529">
        <f t="shared" si="222"/>
        <v>19.9626404494382</v>
      </c>
      <c r="Q536" s="24">
        <f t="shared" si="223"/>
        <v>178</v>
      </c>
      <c r="R536" s="530">
        <f t="shared" si="224"/>
        <v>0.0572531360566098</v>
      </c>
    </row>
    <row r="537" hidden="1" spans="1:18">
      <c r="A537" s="524"/>
      <c r="B537" s="531" t="s">
        <v>96</v>
      </c>
      <c r="C537" s="533">
        <f t="shared" ref="C537:J537" si="226">SUM(C534:C536)</f>
        <v>3752.26</v>
      </c>
      <c r="D537" s="533">
        <f t="shared" si="226"/>
        <v>464379</v>
      </c>
      <c r="E537" s="533">
        <f t="shared" si="226"/>
        <v>3318</v>
      </c>
      <c r="F537" s="533">
        <f t="shared" si="226"/>
        <v>1</v>
      </c>
      <c r="G537" s="533">
        <f t="shared" si="226"/>
        <v>14367</v>
      </c>
      <c r="H537" s="533">
        <f t="shared" si="226"/>
        <v>66</v>
      </c>
      <c r="I537" s="533">
        <f t="shared" si="226"/>
        <v>120</v>
      </c>
      <c r="J537" s="533">
        <f t="shared" si="226"/>
        <v>11</v>
      </c>
      <c r="K537" s="534">
        <f>E537/D537</f>
        <v>0.00714502593786541</v>
      </c>
      <c r="L537" s="535">
        <f t="shared" si="219"/>
        <v>1.13088004822182</v>
      </c>
      <c r="M537" s="535">
        <f>C537/D537*1000</f>
        <v>8.08016727715939</v>
      </c>
      <c r="N537" s="535">
        <f t="shared" si="220"/>
        <v>3.82889245414763</v>
      </c>
      <c r="O537" s="535">
        <f t="shared" si="221"/>
        <v>0.000301386377335744</v>
      </c>
      <c r="P537" s="536">
        <f t="shared" si="222"/>
        <v>20.1734408602151</v>
      </c>
      <c r="Q537" s="531">
        <f t="shared" si="223"/>
        <v>186</v>
      </c>
      <c r="R537" s="537">
        <f t="shared" si="224"/>
        <v>0.0560578661844485</v>
      </c>
    </row>
    <row r="538" hidden="1" spans="1:18">
      <c r="A538" s="524">
        <v>45555</v>
      </c>
      <c r="B538" s="540" t="s">
        <v>98</v>
      </c>
      <c r="C538" s="540">
        <v>200</v>
      </c>
      <c r="D538" s="540">
        <v>8810</v>
      </c>
      <c r="E538" s="540">
        <v>210</v>
      </c>
      <c r="F538" s="540">
        <v>0</v>
      </c>
      <c r="G538" s="540">
        <v>0</v>
      </c>
      <c r="H538" s="540">
        <v>6</v>
      </c>
      <c r="I538" s="540">
        <v>8</v>
      </c>
      <c r="J538" s="540">
        <v>3</v>
      </c>
      <c r="K538" s="527">
        <f>IF(E538=0,0,E538/D538)</f>
        <v>0.0238365493757094</v>
      </c>
      <c r="L538" s="528">
        <f t="shared" si="219"/>
        <v>0.952380952380952</v>
      </c>
      <c r="M538" s="528">
        <f>IF(D538=0,0,C538/D538*1000)</f>
        <v>22.7014755959137</v>
      </c>
      <c r="N538" s="528">
        <f t="shared" si="220"/>
        <v>0</v>
      </c>
      <c r="O538" s="528">
        <f t="shared" si="221"/>
        <v>0</v>
      </c>
      <c r="P538" s="529">
        <f t="shared" si="222"/>
        <v>14.2857142857143</v>
      </c>
      <c r="Q538" s="24">
        <f t="shared" si="223"/>
        <v>14</v>
      </c>
      <c r="R538" s="530">
        <f t="shared" si="224"/>
        <v>0.0666666666666667</v>
      </c>
    </row>
    <row r="539" hidden="1" spans="1:18">
      <c r="A539" s="524"/>
      <c r="B539" s="540" t="s">
        <v>99</v>
      </c>
      <c r="C539" s="540">
        <v>0</v>
      </c>
      <c r="D539" s="540">
        <v>0</v>
      </c>
      <c r="E539" s="540">
        <v>0</v>
      </c>
      <c r="F539" s="540">
        <v>0</v>
      </c>
      <c r="G539" s="540">
        <v>0</v>
      </c>
      <c r="H539" s="540">
        <v>0</v>
      </c>
      <c r="I539" s="540">
        <v>0</v>
      </c>
      <c r="J539" s="540">
        <v>0</v>
      </c>
      <c r="K539" s="527">
        <f>IF(E539=0,0,E539/D539)</f>
        <v>0</v>
      </c>
      <c r="L539" s="528">
        <f t="shared" si="219"/>
        <v>0</v>
      </c>
      <c r="M539" s="528">
        <f>IF(D539=0,0,C539/D539*1000)</f>
        <v>0</v>
      </c>
      <c r="N539" s="528">
        <f t="shared" si="220"/>
        <v>0</v>
      </c>
      <c r="O539" s="528">
        <f t="shared" si="221"/>
        <v>0</v>
      </c>
      <c r="P539" s="529">
        <f t="shared" si="222"/>
        <v>0</v>
      </c>
      <c r="Q539" s="24">
        <f t="shared" si="223"/>
        <v>0</v>
      </c>
      <c r="R539" s="530">
        <f t="shared" si="224"/>
        <v>0</v>
      </c>
    </row>
    <row r="540" hidden="1" spans="1:18">
      <c r="A540" s="524"/>
      <c r="B540" s="540" t="s">
        <v>100</v>
      </c>
      <c r="C540" s="540">
        <v>3582.65</v>
      </c>
      <c r="D540" s="540">
        <v>362023</v>
      </c>
      <c r="E540" s="540">
        <v>2902</v>
      </c>
      <c r="F540" s="540">
        <v>1</v>
      </c>
      <c r="G540" s="540">
        <v>14256</v>
      </c>
      <c r="H540" s="540">
        <v>59</v>
      </c>
      <c r="I540" s="540">
        <v>133</v>
      </c>
      <c r="J540" s="540">
        <v>14</v>
      </c>
      <c r="K540" s="527">
        <f>IF(E540=0,0,E540/D540)</f>
        <v>0.00801606527762048</v>
      </c>
      <c r="L540" s="528">
        <f t="shared" si="219"/>
        <v>1.23454514128187</v>
      </c>
      <c r="M540" s="528">
        <f>IF(D540=0,0,C540/D540*1000)</f>
        <v>9.89619444068471</v>
      </c>
      <c r="N540" s="528">
        <f t="shared" si="220"/>
        <v>3.97917742453212</v>
      </c>
      <c r="O540" s="528">
        <f t="shared" si="221"/>
        <v>0.000344589937973811</v>
      </c>
      <c r="P540" s="529">
        <f t="shared" si="222"/>
        <v>18.6596354166667</v>
      </c>
      <c r="Q540" s="24">
        <f t="shared" si="223"/>
        <v>192</v>
      </c>
      <c r="R540" s="530">
        <f t="shared" si="224"/>
        <v>0.0661612680909717</v>
      </c>
    </row>
    <row r="541" hidden="1" spans="1:18">
      <c r="A541" s="524"/>
      <c r="B541" s="531" t="s">
        <v>96</v>
      </c>
      <c r="C541" s="533">
        <f t="shared" ref="C541:J541" si="227">SUM(C538:C540)</f>
        <v>3782.65</v>
      </c>
      <c r="D541" s="533">
        <f t="shared" si="227"/>
        <v>370833</v>
      </c>
      <c r="E541" s="533">
        <f t="shared" si="227"/>
        <v>3112</v>
      </c>
      <c r="F541" s="533">
        <f t="shared" si="227"/>
        <v>1</v>
      </c>
      <c r="G541" s="533">
        <f t="shared" si="227"/>
        <v>14256</v>
      </c>
      <c r="H541" s="533">
        <f t="shared" si="227"/>
        <v>65</v>
      </c>
      <c r="I541" s="533">
        <f t="shared" si="227"/>
        <v>141</v>
      </c>
      <c r="J541" s="533">
        <f t="shared" si="227"/>
        <v>17</v>
      </c>
      <c r="K541" s="534">
        <f>E541/D541</f>
        <v>0.00839191765565632</v>
      </c>
      <c r="L541" s="535">
        <f t="shared" si="219"/>
        <v>1.21550449871465</v>
      </c>
      <c r="M541" s="535">
        <f>C541/D541*1000</f>
        <v>10.2004136632932</v>
      </c>
      <c r="N541" s="535">
        <f t="shared" si="220"/>
        <v>3.76878643279183</v>
      </c>
      <c r="O541" s="535">
        <f t="shared" si="221"/>
        <v>0.00032133676092545</v>
      </c>
      <c r="P541" s="536">
        <f t="shared" si="222"/>
        <v>18.3623786407767</v>
      </c>
      <c r="Q541" s="531">
        <f t="shared" si="223"/>
        <v>206</v>
      </c>
      <c r="R541" s="537">
        <f t="shared" si="224"/>
        <v>0.0661953727506427</v>
      </c>
    </row>
    <row r="542" hidden="1" spans="1:18">
      <c r="A542" s="524">
        <v>45556</v>
      </c>
      <c r="B542" s="540" t="s">
        <v>98</v>
      </c>
      <c r="C542" s="540">
        <v>199.87</v>
      </c>
      <c r="D542" s="540">
        <v>8845</v>
      </c>
      <c r="E542" s="540">
        <v>219</v>
      </c>
      <c r="F542" s="540">
        <v>0</v>
      </c>
      <c r="G542" s="540">
        <v>0</v>
      </c>
      <c r="H542" s="540">
        <v>3</v>
      </c>
      <c r="I542" s="540">
        <v>5</v>
      </c>
      <c r="J542" s="540">
        <v>2</v>
      </c>
      <c r="K542" s="527">
        <f>IF(E542=0,0,E542/D542)</f>
        <v>0.024759751271905</v>
      </c>
      <c r="L542" s="528">
        <f t="shared" si="219"/>
        <v>0.912648401826484</v>
      </c>
      <c r="M542" s="528">
        <f>IF(D542=0,0,C542/D542*1000)</f>
        <v>22.5969474279254</v>
      </c>
      <c r="N542" s="528">
        <f t="shared" si="220"/>
        <v>0</v>
      </c>
      <c r="O542" s="528">
        <f t="shared" si="221"/>
        <v>0</v>
      </c>
      <c r="P542" s="529">
        <f t="shared" si="222"/>
        <v>24.98375</v>
      </c>
      <c r="Q542" s="24">
        <f t="shared" si="223"/>
        <v>8</v>
      </c>
      <c r="R542" s="530">
        <f t="shared" si="224"/>
        <v>0.0365296803652968</v>
      </c>
    </row>
    <row r="543" hidden="1" spans="1:18">
      <c r="A543" s="524"/>
      <c r="B543" s="540" t="s">
        <v>99</v>
      </c>
      <c r="C543" s="540">
        <v>0</v>
      </c>
      <c r="D543" s="540">
        <v>0</v>
      </c>
      <c r="E543" s="540">
        <v>0</v>
      </c>
      <c r="F543" s="540">
        <v>0</v>
      </c>
      <c r="G543" s="540">
        <v>0</v>
      </c>
      <c r="H543" s="540">
        <v>0</v>
      </c>
      <c r="I543" s="540">
        <v>0</v>
      </c>
      <c r="J543" s="540">
        <v>0</v>
      </c>
      <c r="K543" s="527">
        <f>IF(E543=0,0,E543/D543)</f>
        <v>0</v>
      </c>
      <c r="L543" s="528">
        <f t="shared" si="219"/>
        <v>0</v>
      </c>
      <c r="M543" s="528">
        <f>IF(D543=0,0,C543/D543*1000)</f>
        <v>0</v>
      </c>
      <c r="N543" s="528">
        <f t="shared" si="220"/>
        <v>0</v>
      </c>
      <c r="O543" s="528">
        <f t="shared" si="221"/>
        <v>0</v>
      </c>
      <c r="P543" s="529">
        <f t="shared" si="222"/>
        <v>0</v>
      </c>
      <c r="Q543" s="24">
        <f t="shared" si="223"/>
        <v>0</v>
      </c>
      <c r="R543" s="530">
        <f t="shared" si="224"/>
        <v>0</v>
      </c>
    </row>
    <row r="544" hidden="1" spans="1:18">
      <c r="A544" s="524"/>
      <c r="B544" s="540" t="s">
        <v>100</v>
      </c>
      <c r="C544" s="540">
        <v>3651.93</v>
      </c>
      <c r="D544" s="540">
        <v>215170</v>
      </c>
      <c r="E544" s="540">
        <v>2266</v>
      </c>
      <c r="F544" s="540">
        <v>0</v>
      </c>
      <c r="G544" s="540">
        <v>0</v>
      </c>
      <c r="H544" s="540">
        <v>50</v>
      </c>
      <c r="I544" s="540">
        <v>114</v>
      </c>
      <c r="J544" s="540">
        <v>8</v>
      </c>
      <c r="K544" s="527">
        <f>IF(E544=0,0,E544/D544)</f>
        <v>0.0105312078821397</v>
      </c>
      <c r="L544" s="528">
        <f t="shared" si="219"/>
        <v>1.61161959399823</v>
      </c>
      <c r="M544" s="528">
        <f>IF(D544=0,0,C544/D544*1000)</f>
        <v>16.972300971325</v>
      </c>
      <c r="N544" s="528">
        <f t="shared" si="220"/>
        <v>0</v>
      </c>
      <c r="O544" s="528">
        <f t="shared" si="221"/>
        <v>0</v>
      </c>
      <c r="P544" s="529">
        <f t="shared" si="222"/>
        <v>22.2678658536585</v>
      </c>
      <c r="Q544" s="24">
        <f t="shared" si="223"/>
        <v>164</v>
      </c>
      <c r="R544" s="530">
        <f t="shared" si="224"/>
        <v>0.0723742277140335</v>
      </c>
    </row>
    <row r="545" hidden="1" spans="1:18">
      <c r="A545" s="524"/>
      <c r="B545" s="531" t="s">
        <v>96</v>
      </c>
      <c r="C545" s="533">
        <f t="shared" ref="C545:J545" si="228">SUM(C542:C544)</f>
        <v>3851.8</v>
      </c>
      <c r="D545" s="533">
        <f t="shared" si="228"/>
        <v>224015</v>
      </c>
      <c r="E545" s="533">
        <f t="shared" si="228"/>
        <v>2485</v>
      </c>
      <c r="F545" s="533">
        <f t="shared" si="228"/>
        <v>0</v>
      </c>
      <c r="G545" s="533">
        <f t="shared" si="228"/>
        <v>0</v>
      </c>
      <c r="H545" s="533">
        <f t="shared" si="228"/>
        <v>53</v>
      </c>
      <c r="I545" s="533">
        <f t="shared" si="228"/>
        <v>119</v>
      </c>
      <c r="J545" s="533">
        <f t="shared" si="228"/>
        <v>10</v>
      </c>
      <c r="K545" s="534">
        <f>E545/D545</f>
        <v>0.0110930071646988</v>
      </c>
      <c r="L545" s="535">
        <f t="shared" si="219"/>
        <v>1.55002012072435</v>
      </c>
      <c r="M545" s="535">
        <f>C545/D545*1000</f>
        <v>17.1943843046225</v>
      </c>
      <c r="N545" s="535">
        <f t="shared" si="220"/>
        <v>0</v>
      </c>
      <c r="O545" s="535">
        <f t="shared" si="221"/>
        <v>0</v>
      </c>
      <c r="P545" s="536">
        <f t="shared" si="222"/>
        <v>22.3941860465116</v>
      </c>
      <c r="Q545" s="531">
        <f t="shared" si="223"/>
        <v>172</v>
      </c>
      <c r="R545" s="537">
        <f t="shared" si="224"/>
        <v>0.069215291750503</v>
      </c>
    </row>
    <row r="546" hidden="1" spans="1:18">
      <c r="A546" s="524">
        <v>45557</v>
      </c>
      <c r="B546" s="540" t="s">
        <v>98</v>
      </c>
      <c r="C546" s="540">
        <v>123.65</v>
      </c>
      <c r="D546" s="540">
        <v>6171</v>
      </c>
      <c r="E546" s="540">
        <v>138</v>
      </c>
      <c r="F546" s="540">
        <v>0</v>
      </c>
      <c r="G546" s="540">
        <v>0</v>
      </c>
      <c r="H546" s="540">
        <v>2</v>
      </c>
      <c r="I546" s="540">
        <v>4</v>
      </c>
      <c r="J546" s="540">
        <v>2</v>
      </c>
      <c r="K546" s="527">
        <f>IF(E546=0,0,E546/D546)</f>
        <v>0.022362664073894</v>
      </c>
      <c r="L546" s="528">
        <f t="shared" si="219"/>
        <v>0.896014492753623</v>
      </c>
      <c r="M546" s="528">
        <f>IF(D546=0,0,C546/D546*1000)</f>
        <v>20.0372711067898</v>
      </c>
      <c r="N546" s="528">
        <f t="shared" si="220"/>
        <v>0</v>
      </c>
      <c r="O546" s="528">
        <f t="shared" si="221"/>
        <v>0</v>
      </c>
      <c r="P546" s="529">
        <f t="shared" si="222"/>
        <v>20.6083333333333</v>
      </c>
      <c r="Q546" s="24">
        <f t="shared" si="223"/>
        <v>6</v>
      </c>
      <c r="R546" s="530">
        <f t="shared" si="224"/>
        <v>0.0434782608695652</v>
      </c>
    </row>
    <row r="547" hidden="1" spans="1:18">
      <c r="A547" s="524"/>
      <c r="B547" s="540" t="s">
        <v>99</v>
      </c>
      <c r="C547" s="540">
        <v>0</v>
      </c>
      <c r="D547" s="540">
        <v>0</v>
      </c>
      <c r="E547" s="540">
        <v>0</v>
      </c>
      <c r="F547" s="540">
        <v>0</v>
      </c>
      <c r="G547" s="540">
        <v>0</v>
      </c>
      <c r="H547" s="540">
        <v>0</v>
      </c>
      <c r="I547" s="540">
        <v>0</v>
      </c>
      <c r="J547" s="540">
        <v>0</v>
      </c>
      <c r="K547" s="527">
        <f>IF(E547=0,0,E547/D547)</f>
        <v>0</v>
      </c>
      <c r="L547" s="528">
        <f t="shared" si="219"/>
        <v>0</v>
      </c>
      <c r="M547" s="528">
        <f>IF(D547=0,0,C547/D547*1000)</f>
        <v>0</v>
      </c>
      <c r="N547" s="528">
        <f t="shared" si="220"/>
        <v>0</v>
      </c>
      <c r="O547" s="528">
        <f t="shared" si="221"/>
        <v>0</v>
      </c>
      <c r="P547" s="529">
        <f t="shared" si="222"/>
        <v>0</v>
      </c>
      <c r="Q547" s="24">
        <f t="shared" si="223"/>
        <v>0</v>
      </c>
      <c r="R547" s="530">
        <f t="shared" si="224"/>
        <v>0</v>
      </c>
    </row>
    <row r="548" hidden="1" spans="1:18">
      <c r="A548" s="524"/>
      <c r="B548" s="540" t="s">
        <v>100</v>
      </c>
      <c r="C548" s="540">
        <v>1614.67</v>
      </c>
      <c r="D548" s="540">
        <v>304501</v>
      </c>
      <c r="E548" s="540">
        <v>1995</v>
      </c>
      <c r="F548" s="540">
        <v>1</v>
      </c>
      <c r="G548" s="540">
        <v>13954</v>
      </c>
      <c r="H548" s="540">
        <v>31</v>
      </c>
      <c r="I548" s="540">
        <v>91</v>
      </c>
      <c r="J548" s="540">
        <v>7</v>
      </c>
      <c r="K548" s="527">
        <f>IF(E548=0,0,E548/D548)</f>
        <v>0.00655170262166627</v>
      </c>
      <c r="L548" s="528">
        <f t="shared" si="219"/>
        <v>0.809358395989975</v>
      </c>
      <c r="M548" s="528">
        <f>IF(D548=0,0,C548/D548*1000)</f>
        <v>5.30267552487512</v>
      </c>
      <c r="N548" s="528">
        <f t="shared" si="220"/>
        <v>8.64201353837007</v>
      </c>
      <c r="O548" s="528">
        <f t="shared" si="221"/>
        <v>0.00050125313283208</v>
      </c>
      <c r="P548" s="529">
        <f t="shared" si="222"/>
        <v>13.235</v>
      </c>
      <c r="Q548" s="24">
        <f t="shared" si="223"/>
        <v>122</v>
      </c>
      <c r="R548" s="530">
        <f t="shared" si="224"/>
        <v>0.0611528822055138</v>
      </c>
    </row>
    <row r="549" hidden="1" spans="1:18">
      <c r="A549" s="524"/>
      <c r="B549" s="531" t="s">
        <v>96</v>
      </c>
      <c r="C549" s="533">
        <f t="shared" ref="C549:J549" si="229">SUM(C546:C548)</f>
        <v>1738.32</v>
      </c>
      <c r="D549" s="533">
        <f t="shared" si="229"/>
        <v>310672</v>
      </c>
      <c r="E549" s="533">
        <f t="shared" si="229"/>
        <v>2133</v>
      </c>
      <c r="F549" s="533">
        <f t="shared" si="229"/>
        <v>1</v>
      </c>
      <c r="G549" s="533">
        <f t="shared" si="229"/>
        <v>13954</v>
      </c>
      <c r="H549" s="533">
        <f t="shared" si="229"/>
        <v>33</v>
      </c>
      <c r="I549" s="533">
        <f t="shared" si="229"/>
        <v>95</v>
      </c>
      <c r="J549" s="533">
        <f t="shared" si="229"/>
        <v>9</v>
      </c>
      <c r="K549" s="534">
        <f>E549/D549</f>
        <v>0.00686576196116805</v>
      </c>
      <c r="L549" s="535">
        <f t="shared" si="219"/>
        <v>0.814964838255978</v>
      </c>
      <c r="M549" s="535">
        <f>C549/D549*1000</f>
        <v>5.59535458618736</v>
      </c>
      <c r="N549" s="535">
        <f t="shared" si="220"/>
        <v>8.02729071747434</v>
      </c>
      <c r="O549" s="535">
        <f t="shared" si="221"/>
        <v>0.00046882325363338</v>
      </c>
      <c r="P549" s="536">
        <f t="shared" si="222"/>
        <v>13.580625</v>
      </c>
      <c r="Q549" s="531">
        <f t="shared" si="223"/>
        <v>128</v>
      </c>
      <c r="R549" s="537">
        <f t="shared" si="224"/>
        <v>0.0600093764650727</v>
      </c>
    </row>
    <row r="550" hidden="1" spans="1:18">
      <c r="A550" s="524">
        <v>45558</v>
      </c>
      <c r="B550" s="540" t="s">
        <v>98</v>
      </c>
      <c r="C550" s="540">
        <v>100</v>
      </c>
      <c r="D550" s="540">
        <v>10933</v>
      </c>
      <c r="E550" s="540">
        <v>146</v>
      </c>
      <c r="F550" s="540">
        <v>0</v>
      </c>
      <c r="G550" s="540">
        <v>0</v>
      </c>
      <c r="H550" s="540">
        <v>0</v>
      </c>
      <c r="I550" s="540">
        <v>4</v>
      </c>
      <c r="J550" s="540">
        <v>1</v>
      </c>
      <c r="K550" s="527">
        <f>IF(E550=0,0,E550/D550)</f>
        <v>0.0133540656727339</v>
      </c>
      <c r="L550" s="528">
        <f t="shared" si="219"/>
        <v>0.684931506849315</v>
      </c>
      <c r="M550" s="528">
        <f>IF(D550=0,0,C550/D550*1000)</f>
        <v>9.14662032379036</v>
      </c>
      <c r="N550" s="528">
        <f t="shared" si="220"/>
        <v>0</v>
      </c>
      <c r="O550" s="528">
        <f t="shared" si="221"/>
        <v>0</v>
      </c>
      <c r="P550" s="529">
        <f t="shared" si="222"/>
        <v>25</v>
      </c>
      <c r="Q550" s="24">
        <f t="shared" si="223"/>
        <v>4</v>
      </c>
      <c r="R550" s="530">
        <f t="shared" si="224"/>
        <v>0.0273972602739726</v>
      </c>
    </row>
    <row r="551" hidden="1" spans="1:18">
      <c r="A551" s="524"/>
      <c r="B551" s="540" t="s">
        <v>99</v>
      </c>
      <c r="C551" s="540">
        <v>0</v>
      </c>
      <c r="D551" s="540">
        <v>0</v>
      </c>
      <c r="E551" s="540">
        <v>0</v>
      </c>
      <c r="F551" s="540">
        <v>0</v>
      </c>
      <c r="G551" s="540">
        <v>0</v>
      </c>
      <c r="H551" s="540">
        <v>0</v>
      </c>
      <c r="I551" s="540">
        <v>0</v>
      </c>
      <c r="J551" s="540">
        <v>0</v>
      </c>
      <c r="K551" s="527">
        <f>IF(E551=0,0,E551/D551)</f>
        <v>0</v>
      </c>
      <c r="L551" s="528">
        <f t="shared" si="219"/>
        <v>0</v>
      </c>
      <c r="M551" s="528">
        <f>IF(D551=0,0,C551/D551*1000)</f>
        <v>0</v>
      </c>
      <c r="N551" s="528">
        <f t="shared" si="220"/>
        <v>0</v>
      </c>
      <c r="O551" s="528">
        <f t="shared" si="221"/>
        <v>0</v>
      </c>
      <c r="P551" s="529">
        <f t="shared" si="222"/>
        <v>0</v>
      </c>
      <c r="Q551" s="24">
        <f t="shared" si="223"/>
        <v>0</v>
      </c>
      <c r="R551" s="530">
        <f t="shared" si="224"/>
        <v>0</v>
      </c>
    </row>
    <row r="552" hidden="1" spans="1:18">
      <c r="A552" s="524"/>
      <c r="B552" s="540" t="s">
        <v>100</v>
      </c>
      <c r="C552" s="540">
        <v>1454.44</v>
      </c>
      <c r="D552" s="540">
        <v>265468</v>
      </c>
      <c r="E552" s="540">
        <v>1823</v>
      </c>
      <c r="F552" s="540">
        <v>0</v>
      </c>
      <c r="G552" s="540">
        <v>0</v>
      </c>
      <c r="H552" s="540">
        <v>47</v>
      </c>
      <c r="I552" s="540">
        <v>73</v>
      </c>
      <c r="J552" s="540">
        <v>5</v>
      </c>
      <c r="K552" s="527">
        <f>IF(E552=0,0,E552/D552)</f>
        <v>0.00686711769403469</v>
      </c>
      <c r="L552" s="528">
        <f t="shared" si="219"/>
        <v>0.79782775644542</v>
      </c>
      <c r="M552" s="528">
        <f>IF(D552=0,0,C552/D552*1000)</f>
        <v>5.47877710307834</v>
      </c>
      <c r="N552" s="528">
        <f t="shared" si="220"/>
        <v>0</v>
      </c>
      <c r="O552" s="528">
        <f t="shared" si="221"/>
        <v>0</v>
      </c>
      <c r="P552" s="529">
        <f t="shared" si="222"/>
        <v>12.1203333333333</v>
      </c>
      <c r="Q552" s="24">
        <f t="shared" si="223"/>
        <v>120</v>
      </c>
      <c r="R552" s="530">
        <f t="shared" si="224"/>
        <v>0.065825562260011</v>
      </c>
    </row>
    <row r="553" hidden="1" spans="1:18">
      <c r="A553" s="524"/>
      <c r="B553" s="531" t="s">
        <v>96</v>
      </c>
      <c r="C553" s="533">
        <f t="shared" ref="C553:J553" si="230">SUM(C550:C552)</f>
        <v>1554.44</v>
      </c>
      <c r="D553" s="533">
        <f t="shared" si="230"/>
        <v>276401</v>
      </c>
      <c r="E553" s="533">
        <f t="shared" si="230"/>
        <v>1969</v>
      </c>
      <c r="F553" s="533">
        <f t="shared" si="230"/>
        <v>0</v>
      </c>
      <c r="G553" s="533">
        <f t="shared" si="230"/>
        <v>0</v>
      </c>
      <c r="H553" s="533">
        <f t="shared" si="230"/>
        <v>47</v>
      </c>
      <c r="I553" s="533">
        <f t="shared" si="230"/>
        <v>77</v>
      </c>
      <c r="J553" s="533">
        <f t="shared" si="230"/>
        <v>6</v>
      </c>
      <c r="K553" s="534">
        <f>E553/D553</f>
        <v>0.00712370794606387</v>
      </c>
      <c r="L553" s="535">
        <f t="shared" si="219"/>
        <v>0.789456576942611</v>
      </c>
      <c r="M553" s="535">
        <f>C553/D553*1000</f>
        <v>5.62385809023846</v>
      </c>
      <c r="N553" s="535">
        <f t="shared" si="220"/>
        <v>0</v>
      </c>
      <c r="O553" s="535">
        <f t="shared" si="221"/>
        <v>0</v>
      </c>
      <c r="P553" s="536">
        <f t="shared" si="222"/>
        <v>12.5358064516129</v>
      </c>
      <c r="Q553" s="531">
        <f t="shared" si="223"/>
        <v>124</v>
      </c>
      <c r="R553" s="537">
        <f t="shared" si="224"/>
        <v>0.0629761300152362</v>
      </c>
    </row>
    <row r="554" hidden="1" spans="1:18">
      <c r="A554" s="524">
        <v>45559</v>
      </c>
      <c r="B554" s="540" t="s">
        <v>98</v>
      </c>
      <c r="C554" s="540">
        <v>100</v>
      </c>
      <c r="D554" s="540">
        <v>9072</v>
      </c>
      <c r="E554" s="540">
        <v>106</v>
      </c>
      <c r="F554" s="540">
        <v>0</v>
      </c>
      <c r="G554" s="540">
        <v>0</v>
      </c>
      <c r="H554" s="540">
        <v>1</v>
      </c>
      <c r="I554" s="540">
        <v>3</v>
      </c>
      <c r="J554" s="540">
        <v>0</v>
      </c>
      <c r="K554" s="527">
        <f>IF(E554=0,0,E554/D554)</f>
        <v>0.01168430335097</v>
      </c>
      <c r="L554" s="528">
        <f t="shared" si="219"/>
        <v>0.943396226415094</v>
      </c>
      <c r="M554" s="528">
        <f>IF(D554=0,0,C554/D554*1000)</f>
        <v>11.0229276895944</v>
      </c>
      <c r="N554" s="528">
        <f t="shared" si="220"/>
        <v>0</v>
      </c>
      <c r="O554" s="528">
        <f t="shared" si="221"/>
        <v>0</v>
      </c>
      <c r="P554" s="529">
        <f t="shared" si="222"/>
        <v>25</v>
      </c>
      <c r="Q554" s="24">
        <f t="shared" si="223"/>
        <v>4</v>
      </c>
      <c r="R554" s="530">
        <f t="shared" si="224"/>
        <v>0.0377358490566038</v>
      </c>
    </row>
    <row r="555" hidden="1" spans="1:18">
      <c r="A555" s="524"/>
      <c r="B555" s="540" t="s">
        <v>99</v>
      </c>
      <c r="C555" s="540">
        <v>0</v>
      </c>
      <c r="D555" s="540">
        <v>0</v>
      </c>
      <c r="E555" s="540">
        <v>0</v>
      </c>
      <c r="F555" s="540">
        <v>0</v>
      </c>
      <c r="G555" s="540">
        <v>0</v>
      </c>
      <c r="H555" s="540">
        <v>0</v>
      </c>
      <c r="I555" s="540">
        <v>0</v>
      </c>
      <c r="J555" s="540">
        <v>0</v>
      </c>
      <c r="K555" s="527">
        <f>IF(E555=0,0,E555/D555)</f>
        <v>0</v>
      </c>
      <c r="L555" s="528">
        <f t="shared" si="219"/>
        <v>0</v>
      </c>
      <c r="M555" s="528">
        <f>IF(D555=0,0,C555/D555*1000)</f>
        <v>0</v>
      </c>
      <c r="N555" s="528">
        <f t="shared" si="220"/>
        <v>0</v>
      </c>
      <c r="O555" s="528">
        <f t="shared" si="221"/>
        <v>0</v>
      </c>
      <c r="P555" s="529">
        <f t="shared" si="222"/>
        <v>0</v>
      </c>
      <c r="Q555" s="24">
        <f t="shared" si="223"/>
        <v>0</v>
      </c>
      <c r="R555" s="530">
        <f t="shared" si="224"/>
        <v>0</v>
      </c>
    </row>
    <row r="556" hidden="1" spans="1:18">
      <c r="A556" s="524"/>
      <c r="B556" s="540" t="s">
        <v>100</v>
      </c>
      <c r="C556" s="540">
        <v>1407.97</v>
      </c>
      <c r="D556" s="540">
        <v>218800</v>
      </c>
      <c r="E556" s="540">
        <v>1542</v>
      </c>
      <c r="F556" s="540">
        <v>0</v>
      </c>
      <c r="G556" s="540">
        <v>0</v>
      </c>
      <c r="H556" s="540">
        <v>24</v>
      </c>
      <c r="I556" s="540">
        <v>70</v>
      </c>
      <c r="J556" s="540">
        <v>6</v>
      </c>
      <c r="K556" s="527">
        <f>IF(E556=0,0,E556/D556)</f>
        <v>0.00704753199268739</v>
      </c>
      <c r="L556" s="528">
        <f t="shared" si="219"/>
        <v>0.913080415045396</v>
      </c>
      <c r="M556" s="528">
        <f>IF(D556=0,0,C556/D556*1000)</f>
        <v>6.4349634369287</v>
      </c>
      <c r="N556" s="528">
        <f t="shared" si="220"/>
        <v>0</v>
      </c>
      <c r="O556" s="528">
        <f t="shared" si="221"/>
        <v>0</v>
      </c>
      <c r="P556" s="529">
        <f t="shared" si="222"/>
        <v>14.9784042553192</v>
      </c>
      <c r="Q556" s="24">
        <f t="shared" si="223"/>
        <v>94</v>
      </c>
      <c r="R556" s="530">
        <f t="shared" si="224"/>
        <v>0.0609597924773022</v>
      </c>
    </row>
    <row r="557" hidden="1" spans="1:18">
      <c r="A557" s="524"/>
      <c r="B557" s="540" t="s">
        <v>101</v>
      </c>
      <c r="C557" s="540">
        <v>259.02</v>
      </c>
      <c r="D557" s="540">
        <v>3091</v>
      </c>
      <c r="E557" s="540">
        <v>93</v>
      </c>
      <c r="F557" s="540">
        <v>0</v>
      </c>
      <c r="G557" s="540">
        <v>0</v>
      </c>
      <c r="H557" s="540">
        <v>9</v>
      </c>
      <c r="I557" s="540">
        <v>2</v>
      </c>
      <c r="J557" s="540">
        <v>0</v>
      </c>
      <c r="K557" s="544">
        <f>IF(E557=0,0,E557/D557)</f>
        <v>0.0300873503720479</v>
      </c>
      <c r="L557" s="545">
        <f t="shared" si="219"/>
        <v>2.78516129032258</v>
      </c>
      <c r="M557" s="545">
        <f>IF(D557=0,0,C557/D557*1000)</f>
        <v>83.7981235846004</v>
      </c>
      <c r="N557" s="545">
        <f t="shared" si="220"/>
        <v>0</v>
      </c>
      <c r="O557" s="545">
        <f t="shared" si="221"/>
        <v>0</v>
      </c>
      <c r="P557" s="546">
        <f t="shared" si="222"/>
        <v>23.5472727272727</v>
      </c>
      <c r="Q557" s="547">
        <f t="shared" si="223"/>
        <v>11</v>
      </c>
      <c r="R557" s="548">
        <f t="shared" si="224"/>
        <v>0.118279569892473</v>
      </c>
    </row>
    <row r="558" hidden="1" spans="1:18">
      <c r="A558" s="524"/>
      <c r="B558" s="531" t="s">
        <v>96</v>
      </c>
      <c r="C558" s="533">
        <f>SUM(C554:C557)</f>
        <v>1766.99</v>
      </c>
      <c r="D558" s="533">
        <f t="shared" ref="D558:J558" si="231">SUM(D554:D557)</f>
        <v>230963</v>
      </c>
      <c r="E558" s="533">
        <f t="shared" si="231"/>
        <v>1741</v>
      </c>
      <c r="F558" s="533">
        <f t="shared" si="231"/>
        <v>0</v>
      </c>
      <c r="G558" s="533">
        <f t="shared" si="231"/>
        <v>0</v>
      </c>
      <c r="H558" s="533">
        <f t="shared" si="231"/>
        <v>34</v>
      </c>
      <c r="I558" s="533">
        <f t="shared" si="231"/>
        <v>75</v>
      </c>
      <c r="J558" s="533">
        <f t="shared" si="231"/>
        <v>6</v>
      </c>
      <c r="K558" s="534">
        <f>E558/D558</f>
        <v>0.00753800392270623</v>
      </c>
      <c r="L558" s="535">
        <f t="shared" si="219"/>
        <v>1.01492820218265</v>
      </c>
      <c r="M558" s="535">
        <f>C558/D558*1000</f>
        <v>7.65053276931803</v>
      </c>
      <c r="N558" s="535">
        <f t="shared" si="220"/>
        <v>0</v>
      </c>
      <c r="O558" s="535">
        <f t="shared" si="221"/>
        <v>0</v>
      </c>
      <c r="P558" s="536">
        <f t="shared" si="222"/>
        <v>16.2109174311927</v>
      </c>
      <c r="Q558" s="531">
        <f t="shared" si="223"/>
        <v>109</v>
      </c>
      <c r="R558" s="537">
        <f t="shared" si="224"/>
        <v>0.0626076967260195</v>
      </c>
    </row>
    <row r="559" hidden="1" spans="1:18">
      <c r="A559" s="524">
        <v>45560</v>
      </c>
      <c r="B559" s="540" t="s">
        <v>98</v>
      </c>
      <c r="C559" s="540">
        <v>100</v>
      </c>
      <c r="D559" s="540">
        <v>11395</v>
      </c>
      <c r="E559" s="540">
        <v>116</v>
      </c>
      <c r="F559" s="540">
        <v>0</v>
      </c>
      <c r="G559" s="540">
        <v>0</v>
      </c>
      <c r="H559" s="540">
        <v>0</v>
      </c>
      <c r="I559" s="540">
        <v>2</v>
      </c>
      <c r="J559" s="540">
        <v>1</v>
      </c>
      <c r="K559" s="527">
        <f t="shared" ref="K559:K622" si="232">IF(E559=0,0,E559/D559)</f>
        <v>0.0101799034664326</v>
      </c>
      <c r="L559" s="528">
        <f t="shared" si="219"/>
        <v>0.862068965517241</v>
      </c>
      <c r="M559" s="528">
        <f t="shared" ref="M559:M622" si="233">IF(D559=0,0,C559/D559*1000)</f>
        <v>8.77577885037297</v>
      </c>
      <c r="N559" s="528">
        <f t="shared" si="220"/>
        <v>0</v>
      </c>
      <c r="O559" s="528">
        <f t="shared" si="221"/>
        <v>0</v>
      </c>
      <c r="P559" s="529">
        <f t="shared" si="222"/>
        <v>50</v>
      </c>
      <c r="Q559" s="24">
        <f t="shared" si="223"/>
        <v>2</v>
      </c>
      <c r="R559" s="530">
        <f t="shared" si="224"/>
        <v>0.0172413793103448</v>
      </c>
    </row>
    <row r="560" hidden="1" spans="1:18">
      <c r="A560" s="524"/>
      <c r="B560" s="540" t="s">
        <v>100</v>
      </c>
      <c r="C560" s="540">
        <v>793.84</v>
      </c>
      <c r="D560" s="540">
        <v>112550</v>
      </c>
      <c r="E560" s="540">
        <v>911</v>
      </c>
      <c r="F560" s="540">
        <v>2</v>
      </c>
      <c r="G560" s="540">
        <v>20151</v>
      </c>
      <c r="H560" s="540">
        <v>26</v>
      </c>
      <c r="I560" s="540">
        <v>42</v>
      </c>
      <c r="J560" s="540">
        <v>1</v>
      </c>
      <c r="K560" s="527">
        <f t="shared" si="232"/>
        <v>0.00809418036428254</v>
      </c>
      <c r="L560" s="528">
        <f t="shared" si="219"/>
        <v>0.871394072447859</v>
      </c>
      <c r="M560" s="528">
        <f t="shared" si="233"/>
        <v>7.05322079075966</v>
      </c>
      <c r="N560" s="528">
        <f t="shared" si="220"/>
        <v>25.3842084047163</v>
      </c>
      <c r="O560" s="528">
        <f t="shared" si="221"/>
        <v>0.0021953896816685</v>
      </c>
      <c r="P560" s="529">
        <f t="shared" si="222"/>
        <v>11.6741176470588</v>
      </c>
      <c r="Q560" s="24">
        <f t="shared" si="223"/>
        <v>68</v>
      </c>
      <c r="R560" s="530">
        <f t="shared" si="224"/>
        <v>0.0746432491767289</v>
      </c>
    </row>
    <row r="561" hidden="1" spans="1:18">
      <c r="A561" s="524"/>
      <c r="B561" s="540" t="s">
        <v>101</v>
      </c>
      <c r="C561" s="540">
        <v>1078.49</v>
      </c>
      <c r="D561" s="540">
        <v>25606</v>
      </c>
      <c r="E561" s="540">
        <v>447</v>
      </c>
      <c r="F561" s="540">
        <v>0</v>
      </c>
      <c r="G561" s="540">
        <v>0</v>
      </c>
      <c r="H561" s="540">
        <v>30</v>
      </c>
      <c r="I561" s="540">
        <v>1</v>
      </c>
      <c r="J561" s="540">
        <v>2</v>
      </c>
      <c r="K561" s="527">
        <f t="shared" si="232"/>
        <v>0.0174568460517066</v>
      </c>
      <c r="L561" s="528">
        <f t="shared" si="219"/>
        <v>2.4127293064877</v>
      </c>
      <c r="M561" s="528">
        <f t="shared" si="233"/>
        <v>42.1186440677966</v>
      </c>
      <c r="N561" s="528">
        <f t="shared" si="220"/>
        <v>0</v>
      </c>
      <c r="O561" s="528">
        <f t="shared" si="221"/>
        <v>0</v>
      </c>
      <c r="P561" s="529">
        <f t="shared" si="222"/>
        <v>34.79</v>
      </c>
      <c r="Q561" s="24">
        <f t="shared" si="223"/>
        <v>31</v>
      </c>
      <c r="R561" s="530">
        <f t="shared" si="224"/>
        <v>0.0693512304250559</v>
      </c>
    </row>
    <row r="562" hidden="1" spans="1:18">
      <c r="A562" s="524"/>
      <c r="B562" s="531" t="s">
        <v>96</v>
      </c>
      <c r="C562" s="533">
        <f t="shared" ref="C562:J562" si="234">SUM(C559:C561)</f>
        <v>1972.33</v>
      </c>
      <c r="D562" s="533">
        <f t="shared" si="234"/>
        <v>149551</v>
      </c>
      <c r="E562" s="533">
        <f t="shared" si="234"/>
        <v>1474</v>
      </c>
      <c r="F562" s="533">
        <f t="shared" si="234"/>
        <v>2</v>
      </c>
      <c r="G562" s="533">
        <f t="shared" si="234"/>
        <v>20151</v>
      </c>
      <c r="H562" s="533">
        <f t="shared" si="234"/>
        <v>56</v>
      </c>
      <c r="I562" s="533">
        <f t="shared" si="234"/>
        <v>45</v>
      </c>
      <c r="J562" s="533">
        <f t="shared" si="234"/>
        <v>4</v>
      </c>
      <c r="K562" s="527">
        <f t="shared" si="232"/>
        <v>0.00985616946727203</v>
      </c>
      <c r="L562" s="528">
        <f t="shared" si="219"/>
        <v>1.33808005427408</v>
      </c>
      <c r="M562" s="528">
        <f t="shared" si="233"/>
        <v>13.1883437757019</v>
      </c>
      <c r="N562" s="528">
        <f t="shared" si="220"/>
        <v>10.21685012143</v>
      </c>
      <c r="O562" s="528">
        <f t="shared" si="221"/>
        <v>0.00135685210312076</v>
      </c>
      <c r="P562" s="529">
        <f t="shared" si="222"/>
        <v>19.5280198019802</v>
      </c>
      <c r="Q562" s="24">
        <f t="shared" si="223"/>
        <v>101</v>
      </c>
      <c r="R562" s="530">
        <f t="shared" si="224"/>
        <v>0.0685210312075984</v>
      </c>
    </row>
    <row r="563" hidden="1" spans="1:18">
      <c r="A563" s="524">
        <v>45561</v>
      </c>
      <c r="B563" s="540" t="s">
        <v>98</v>
      </c>
      <c r="C563" s="540">
        <v>100</v>
      </c>
      <c r="D563" s="540">
        <v>9337</v>
      </c>
      <c r="E563" s="540">
        <v>91</v>
      </c>
      <c r="F563" s="540">
        <v>0</v>
      </c>
      <c r="G563" s="540">
        <v>0</v>
      </c>
      <c r="H563" s="540">
        <v>1</v>
      </c>
      <c r="I563" s="540">
        <v>1</v>
      </c>
      <c r="J563" s="540">
        <v>1</v>
      </c>
      <c r="K563" s="527">
        <f t="shared" si="232"/>
        <v>0.00974617114704937</v>
      </c>
      <c r="L563" s="528">
        <f t="shared" si="219"/>
        <v>1.0989010989011</v>
      </c>
      <c r="M563" s="528">
        <f t="shared" si="233"/>
        <v>10.7100781835707</v>
      </c>
      <c r="N563" s="528">
        <f t="shared" si="220"/>
        <v>0</v>
      </c>
      <c r="O563" s="528">
        <f t="shared" si="221"/>
        <v>0</v>
      </c>
      <c r="P563" s="529">
        <f t="shared" si="222"/>
        <v>50</v>
      </c>
      <c r="Q563" s="24">
        <f t="shared" si="223"/>
        <v>2</v>
      </c>
      <c r="R563" s="530">
        <f t="shared" si="224"/>
        <v>0.021978021978022</v>
      </c>
    </row>
    <row r="564" hidden="1" spans="1:18">
      <c r="A564" s="524"/>
      <c r="B564" s="540" t="s">
        <v>99</v>
      </c>
      <c r="C564" s="540">
        <v>487.45</v>
      </c>
      <c r="D564" s="540">
        <v>9255</v>
      </c>
      <c r="E564" s="540">
        <v>1049</v>
      </c>
      <c r="F564" s="540">
        <v>1</v>
      </c>
      <c r="G564" s="540">
        <v>9492</v>
      </c>
      <c r="H564" s="540">
        <v>7</v>
      </c>
      <c r="I564" s="540">
        <v>0</v>
      </c>
      <c r="J564" s="540">
        <v>4</v>
      </c>
      <c r="K564" s="527">
        <f t="shared" si="232"/>
        <v>0.11334413830362</v>
      </c>
      <c r="L564" s="528">
        <f t="shared" si="219"/>
        <v>0.464680648236416</v>
      </c>
      <c r="M564" s="528">
        <f t="shared" si="233"/>
        <v>52.6688276607239</v>
      </c>
      <c r="N564" s="528">
        <f t="shared" si="220"/>
        <v>19.4727664375833</v>
      </c>
      <c r="O564" s="528">
        <f t="shared" si="221"/>
        <v>0.000953288846520496</v>
      </c>
      <c r="P564" s="529">
        <f t="shared" si="222"/>
        <v>69.6357142857143</v>
      </c>
      <c r="Q564" s="24">
        <f t="shared" si="223"/>
        <v>7</v>
      </c>
      <c r="R564" s="530">
        <f t="shared" si="224"/>
        <v>0.00667302192564347</v>
      </c>
    </row>
    <row r="565" hidden="1" spans="1:18">
      <c r="A565" s="524"/>
      <c r="B565" s="540" t="s">
        <v>100</v>
      </c>
      <c r="C565" s="540">
        <v>1296.1</v>
      </c>
      <c r="D565" s="540">
        <v>157989</v>
      </c>
      <c r="E565" s="540">
        <v>1159</v>
      </c>
      <c r="F565" s="540">
        <v>1</v>
      </c>
      <c r="G565" s="540">
        <v>12327</v>
      </c>
      <c r="H565" s="540">
        <v>32</v>
      </c>
      <c r="I565" s="540">
        <v>63</v>
      </c>
      <c r="J565" s="540">
        <v>4</v>
      </c>
      <c r="K565" s="527">
        <f t="shared" si="232"/>
        <v>0.00733595376893328</v>
      </c>
      <c r="L565" s="528">
        <f t="shared" si="219"/>
        <v>1.11829163071613</v>
      </c>
      <c r="M565" s="528">
        <f t="shared" si="233"/>
        <v>8.20373570311857</v>
      </c>
      <c r="N565" s="528">
        <f t="shared" si="220"/>
        <v>9.51084021294653</v>
      </c>
      <c r="O565" s="528">
        <f t="shared" si="221"/>
        <v>0.000862812769628991</v>
      </c>
      <c r="P565" s="529">
        <f t="shared" si="222"/>
        <v>13.6431578947368</v>
      </c>
      <c r="Q565" s="24">
        <f t="shared" si="223"/>
        <v>95</v>
      </c>
      <c r="R565" s="530">
        <f t="shared" si="224"/>
        <v>0.0819672131147541</v>
      </c>
    </row>
    <row r="566" hidden="1" spans="1:18">
      <c r="A566" s="524"/>
      <c r="B566" s="540" t="s">
        <v>101</v>
      </c>
      <c r="C566" s="540">
        <v>333.05</v>
      </c>
      <c r="D566" s="540">
        <v>8333</v>
      </c>
      <c r="E566" s="540">
        <v>160</v>
      </c>
      <c r="F566" s="540">
        <v>0</v>
      </c>
      <c r="G566" s="540">
        <v>0</v>
      </c>
      <c r="H566" s="540">
        <v>17</v>
      </c>
      <c r="I566" s="540">
        <v>2</v>
      </c>
      <c r="J566" s="540">
        <v>0</v>
      </c>
      <c r="K566" s="527">
        <f t="shared" si="232"/>
        <v>0.0192007680307212</v>
      </c>
      <c r="L566" s="528">
        <f t="shared" si="219"/>
        <v>2.0815625</v>
      </c>
      <c r="M566" s="528">
        <f t="shared" si="233"/>
        <v>39.9675987039482</v>
      </c>
      <c r="N566" s="528">
        <f t="shared" si="220"/>
        <v>0</v>
      </c>
      <c r="O566" s="528">
        <f t="shared" si="221"/>
        <v>0</v>
      </c>
      <c r="P566" s="529">
        <f t="shared" si="222"/>
        <v>17.5289473684211</v>
      </c>
      <c r="Q566" s="24">
        <f t="shared" si="223"/>
        <v>19</v>
      </c>
      <c r="R566" s="530">
        <f t="shared" si="224"/>
        <v>0.11875</v>
      </c>
    </row>
    <row r="567" hidden="1" spans="1:18">
      <c r="A567" s="524"/>
      <c r="B567" s="531" t="s">
        <v>96</v>
      </c>
      <c r="C567" s="533">
        <f t="shared" ref="C567:J567" si="235">SUM(C563:C566)</f>
        <v>2216.6</v>
      </c>
      <c r="D567" s="533">
        <f t="shared" si="235"/>
        <v>184914</v>
      </c>
      <c r="E567" s="533">
        <f t="shared" si="235"/>
        <v>2459</v>
      </c>
      <c r="F567" s="533">
        <f t="shared" si="235"/>
        <v>2</v>
      </c>
      <c r="G567" s="533">
        <f t="shared" si="235"/>
        <v>21819</v>
      </c>
      <c r="H567" s="533">
        <f t="shared" si="235"/>
        <v>57</v>
      </c>
      <c r="I567" s="533">
        <f t="shared" si="235"/>
        <v>66</v>
      </c>
      <c r="J567" s="533">
        <f t="shared" si="235"/>
        <v>9</v>
      </c>
      <c r="K567" s="527">
        <f t="shared" si="232"/>
        <v>0.013298073699125</v>
      </c>
      <c r="L567" s="528">
        <f t="shared" si="219"/>
        <v>0.901423342822285</v>
      </c>
      <c r="M567" s="528">
        <f t="shared" si="233"/>
        <v>11.9871940469624</v>
      </c>
      <c r="N567" s="528">
        <f t="shared" si="220"/>
        <v>9.84345393846431</v>
      </c>
      <c r="O567" s="528">
        <f t="shared" si="221"/>
        <v>0.000813338755591704</v>
      </c>
      <c r="P567" s="529">
        <f t="shared" si="222"/>
        <v>18.0211382113821</v>
      </c>
      <c r="Q567" s="24">
        <f t="shared" si="223"/>
        <v>123</v>
      </c>
      <c r="R567" s="530">
        <f t="shared" si="224"/>
        <v>0.0500203334688898</v>
      </c>
    </row>
    <row r="568" hidden="1" spans="1:18">
      <c r="A568" s="524">
        <v>45562</v>
      </c>
      <c r="B568" s="540" t="s">
        <v>98</v>
      </c>
      <c r="C568" s="540">
        <v>100</v>
      </c>
      <c r="D568" s="540">
        <v>8066</v>
      </c>
      <c r="E568" s="540">
        <v>89</v>
      </c>
      <c r="F568" s="540">
        <v>0</v>
      </c>
      <c r="G568" s="540">
        <v>0</v>
      </c>
      <c r="H568" s="540">
        <v>0</v>
      </c>
      <c r="I568" s="540">
        <v>1</v>
      </c>
      <c r="J568" s="540">
        <v>0</v>
      </c>
      <c r="K568" s="527">
        <f t="shared" si="232"/>
        <v>0.0110339697495661</v>
      </c>
      <c r="L568" s="528">
        <f t="shared" si="219"/>
        <v>1.12359550561798</v>
      </c>
      <c r="M568" s="528">
        <f t="shared" si="233"/>
        <v>12.3977188197372</v>
      </c>
      <c r="N568" s="528">
        <f t="shared" si="220"/>
        <v>0</v>
      </c>
      <c r="O568" s="528">
        <f t="shared" si="221"/>
        <v>0</v>
      </c>
      <c r="P568" s="529">
        <f t="shared" si="222"/>
        <v>100</v>
      </c>
      <c r="Q568" s="24">
        <f t="shared" si="223"/>
        <v>1</v>
      </c>
      <c r="R568" s="530">
        <f t="shared" si="224"/>
        <v>0.0112359550561798</v>
      </c>
    </row>
    <row r="569" hidden="1" spans="1:18">
      <c r="A569" s="524"/>
      <c r="B569" s="540" t="s">
        <v>99</v>
      </c>
      <c r="C569" s="540">
        <v>0</v>
      </c>
      <c r="D569" s="540">
        <v>1</v>
      </c>
      <c r="E569" s="540">
        <v>0</v>
      </c>
      <c r="F569" s="540">
        <v>0</v>
      </c>
      <c r="G569" s="540">
        <v>0</v>
      </c>
      <c r="H569" s="540">
        <v>0</v>
      </c>
      <c r="I569" s="540">
        <v>0</v>
      </c>
      <c r="J569" s="540">
        <v>0</v>
      </c>
      <c r="K569" s="527">
        <f t="shared" si="232"/>
        <v>0</v>
      </c>
      <c r="L569" s="528">
        <f t="shared" si="219"/>
        <v>0</v>
      </c>
      <c r="M569" s="528">
        <f t="shared" si="233"/>
        <v>0</v>
      </c>
      <c r="N569" s="528">
        <f t="shared" si="220"/>
        <v>0</v>
      </c>
      <c r="O569" s="528">
        <f t="shared" si="221"/>
        <v>0</v>
      </c>
      <c r="P569" s="529">
        <f t="shared" si="222"/>
        <v>0</v>
      </c>
      <c r="Q569" s="24">
        <f t="shared" si="223"/>
        <v>0</v>
      </c>
      <c r="R569" s="530">
        <f t="shared" si="224"/>
        <v>0</v>
      </c>
    </row>
    <row r="570" hidden="1" spans="1:18">
      <c r="A570" s="524"/>
      <c r="B570" s="540" t="s">
        <v>100</v>
      </c>
      <c r="C570" s="540">
        <v>1434.33</v>
      </c>
      <c r="D570" s="540">
        <v>180614</v>
      </c>
      <c r="E570" s="540">
        <v>1235</v>
      </c>
      <c r="F570" s="540">
        <v>0</v>
      </c>
      <c r="G570" s="540">
        <v>0</v>
      </c>
      <c r="H570" s="540">
        <v>44</v>
      </c>
      <c r="I570" s="540">
        <v>84</v>
      </c>
      <c r="J570" s="540">
        <v>7</v>
      </c>
      <c r="K570" s="527">
        <f t="shared" si="232"/>
        <v>0.00683778666105618</v>
      </c>
      <c r="L570" s="528">
        <f t="shared" si="219"/>
        <v>1.1614008097166</v>
      </c>
      <c r="M570" s="528">
        <f t="shared" si="233"/>
        <v>7.94141096482</v>
      </c>
      <c r="N570" s="528">
        <f t="shared" si="220"/>
        <v>0</v>
      </c>
      <c r="O570" s="528">
        <f t="shared" si="221"/>
        <v>0</v>
      </c>
      <c r="P570" s="529">
        <f t="shared" si="222"/>
        <v>11.205703125</v>
      </c>
      <c r="Q570" s="24">
        <f t="shared" si="223"/>
        <v>128</v>
      </c>
      <c r="R570" s="530">
        <f t="shared" si="224"/>
        <v>0.103643724696356</v>
      </c>
    </row>
    <row r="571" hidden="1" spans="1:18">
      <c r="A571" s="524"/>
      <c r="B571" s="540" t="s">
        <v>101</v>
      </c>
      <c r="C571" s="540">
        <v>0</v>
      </c>
      <c r="D571" s="540">
        <v>0</v>
      </c>
      <c r="E571" s="540">
        <v>0</v>
      </c>
      <c r="F571" s="540">
        <v>0</v>
      </c>
      <c r="G571" s="540">
        <v>0</v>
      </c>
      <c r="H571" s="540">
        <v>0</v>
      </c>
      <c r="I571" s="540">
        <v>0</v>
      </c>
      <c r="J571" s="540">
        <v>0</v>
      </c>
      <c r="K571" s="527">
        <f t="shared" si="232"/>
        <v>0</v>
      </c>
      <c r="L571" s="528">
        <f t="shared" si="219"/>
        <v>0</v>
      </c>
      <c r="M571" s="528">
        <f t="shared" si="233"/>
        <v>0</v>
      </c>
      <c r="N571" s="528">
        <f t="shared" si="220"/>
        <v>0</v>
      </c>
      <c r="O571" s="528">
        <f t="shared" si="221"/>
        <v>0</v>
      </c>
      <c r="P571" s="529">
        <f t="shared" si="222"/>
        <v>0</v>
      </c>
      <c r="Q571" s="24">
        <f t="shared" si="223"/>
        <v>0</v>
      </c>
      <c r="R571" s="530">
        <f t="shared" si="224"/>
        <v>0</v>
      </c>
    </row>
    <row r="572" hidden="1" spans="1:18">
      <c r="A572" s="524"/>
      <c r="B572" s="531" t="s">
        <v>96</v>
      </c>
      <c r="C572" s="533">
        <f t="shared" ref="C572:J572" si="236">SUM(C568:C571)</f>
        <v>1534.33</v>
      </c>
      <c r="D572" s="533">
        <f t="shared" si="236"/>
        <v>188681</v>
      </c>
      <c r="E572" s="533">
        <f t="shared" si="236"/>
        <v>1324</v>
      </c>
      <c r="F572" s="533">
        <f t="shared" si="236"/>
        <v>0</v>
      </c>
      <c r="G572" s="533">
        <f t="shared" si="236"/>
        <v>0</v>
      </c>
      <c r="H572" s="533">
        <f t="shared" si="236"/>
        <v>44</v>
      </c>
      <c r="I572" s="533">
        <f t="shared" si="236"/>
        <v>85</v>
      </c>
      <c r="J572" s="533">
        <f t="shared" si="236"/>
        <v>7</v>
      </c>
      <c r="K572" s="527">
        <f t="shared" si="232"/>
        <v>0.00701713474064691</v>
      </c>
      <c r="L572" s="528">
        <f t="shared" si="219"/>
        <v>1.15885951661631</v>
      </c>
      <c r="M572" s="528">
        <f t="shared" si="233"/>
        <v>8.13187337357762</v>
      </c>
      <c r="N572" s="528">
        <f t="shared" si="220"/>
        <v>0</v>
      </c>
      <c r="O572" s="528">
        <f t="shared" si="221"/>
        <v>0</v>
      </c>
      <c r="P572" s="529">
        <f t="shared" si="222"/>
        <v>11.8940310077519</v>
      </c>
      <c r="Q572" s="24">
        <f t="shared" si="223"/>
        <v>129</v>
      </c>
      <c r="R572" s="530">
        <f t="shared" si="224"/>
        <v>0.0974320241691843</v>
      </c>
    </row>
    <row r="573" hidden="1" spans="1:18">
      <c r="A573" s="524">
        <v>45563</v>
      </c>
      <c r="B573" s="540" t="s">
        <v>98</v>
      </c>
      <c r="C573" s="540">
        <v>100</v>
      </c>
      <c r="D573" s="540">
        <v>10823</v>
      </c>
      <c r="E573" s="540">
        <v>137</v>
      </c>
      <c r="F573" s="540">
        <v>0</v>
      </c>
      <c r="G573" s="540">
        <v>0</v>
      </c>
      <c r="H573" s="540">
        <v>1</v>
      </c>
      <c r="I573" s="540">
        <v>3</v>
      </c>
      <c r="J573" s="540">
        <v>0</v>
      </c>
      <c r="K573" s="527">
        <f t="shared" si="232"/>
        <v>0.0126582278481013</v>
      </c>
      <c r="L573" s="528">
        <f t="shared" si="219"/>
        <v>0.72992700729927</v>
      </c>
      <c r="M573" s="528">
        <f t="shared" si="233"/>
        <v>9.23958237087684</v>
      </c>
      <c r="N573" s="528">
        <f t="shared" si="220"/>
        <v>0</v>
      </c>
      <c r="O573" s="528">
        <f t="shared" si="221"/>
        <v>0</v>
      </c>
      <c r="P573" s="529">
        <f t="shared" si="222"/>
        <v>25</v>
      </c>
      <c r="Q573" s="24">
        <f t="shared" si="223"/>
        <v>4</v>
      </c>
      <c r="R573" s="530">
        <f t="shared" si="224"/>
        <v>0.0291970802919708</v>
      </c>
    </row>
    <row r="574" hidden="1" spans="1:18">
      <c r="A574" s="524"/>
      <c r="B574" s="540" t="s">
        <v>100</v>
      </c>
      <c r="C574" s="540">
        <v>1458.33</v>
      </c>
      <c r="D574" s="540">
        <v>139371</v>
      </c>
      <c r="E574" s="540">
        <v>1183</v>
      </c>
      <c r="F574" s="540">
        <v>0</v>
      </c>
      <c r="G574" s="540">
        <v>0</v>
      </c>
      <c r="H574" s="540">
        <v>43</v>
      </c>
      <c r="I574" s="540">
        <v>118</v>
      </c>
      <c r="J574" s="540">
        <v>6</v>
      </c>
      <c r="K574" s="527">
        <f t="shared" si="232"/>
        <v>0.00848813598237797</v>
      </c>
      <c r="L574" s="528">
        <f t="shared" si="219"/>
        <v>1.23273879966188</v>
      </c>
      <c r="M574" s="528">
        <f t="shared" si="233"/>
        <v>10.4636545622834</v>
      </c>
      <c r="N574" s="528">
        <f t="shared" si="220"/>
        <v>0</v>
      </c>
      <c r="O574" s="528">
        <f t="shared" si="221"/>
        <v>0</v>
      </c>
      <c r="P574" s="529">
        <f t="shared" si="222"/>
        <v>9.05795031055901</v>
      </c>
      <c r="Q574" s="24">
        <f t="shared" si="223"/>
        <v>161</v>
      </c>
      <c r="R574" s="530">
        <f t="shared" si="224"/>
        <v>0.136094674556213</v>
      </c>
    </row>
    <row r="575" hidden="1" spans="1:18">
      <c r="A575" s="524"/>
      <c r="B575" s="540" t="s">
        <v>101</v>
      </c>
      <c r="C575" s="540">
        <v>0</v>
      </c>
      <c r="D575" s="540">
        <v>0</v>
      </c>
      <c r="E575" s="540">
        <v>0</v>
      </c>
      <c r="F575" s="540">
        <v>0</v>
      </c>
      <c r="G575" s="540">
        <v>0</v>
      </c>
      <c r="H575" s="540">
        <v>0</v>
      </c>
      <c r="I575" s="540">
        <v>0</v>
      </c>
      <c r="J575" s="540">
        <v>0</v>
      </c>
      <c r="K575" s="527">
        <f t="shared" si="232"/>
        <v>0</v>
      </c>
      <c r="L575" s="528">
        <f t="shared" si="219"/>
        <v>0</v>
      </c>
      <c r="M575" s="528">
        <f t="shared" si="233"/>
        <v>0</v>
      </c>
      <c r="N575" s="528">
        <f t="shared" si="220"/>
        <v>0</v>
      </c>
      <c r="O575" s="528">
        <f t="shared" si="221"/>
        <v>0</v>
      </c>
      <c r="P575" s="529">
        <f t="shared" si="222"/>
        <v>0</v>
      </c>
      <c r="Q575" s="24">
        <f t="shared" si="223"/>
        <v>0</v>
      </c>
      <c r="R575" s="530">
        <f t="shared" si="224"/>
        <v>0</v>
      </c>
    </row>
    <row r="576" hidden="1" spans="1:18">
      <c r="A576" s="524"/>
      <c r="B576" s="531" t="s">
        <v>96</v>
      </c>
      <c r="C576" s="533">
        <f t="shared" ref="C576:J576" si="237">SUM(C573:C575)</f>
        <v>1558.33</v>
      </c>
      <c r="D576" s="533">
        <f t="shared" si="237"/>
        <v>150194</v>
      </c>
      <c r="E576" s="533">
        <f t="shared" si="237"/>
        <v>1320</v>
      </c>
      <c r="F576" s="533">
        <f t="shared" si="237"/>
        <v>0</v>
      </c>
      <c r="G576" s="533">
        <f t="shared" si="237"/>
        <v>0</v>
      </c>
      <c r="H576" s="533">
        <f t="shared" si="237"/>
        <v>44</v>
      </c>
      <c r="I576" s="533">
        <f t="shared" si="237"/>
        <v>121</v>
      </c>
      <c r="J576" s="533">
        <f t="shared" si="237"/>
        <v>6</v>
      </c>
      <c r="K576" s="527">
        <f t="shared" si="232"/>
        <v>0.00878863336751135</v>
      </c>
      <c r="L576" s="528">
        <f t="shared" si="219"/>
        <v>1.18055303030303</v>
      </c>
      <c r="M576" s="528">
        <f t="shared" si="233"/>
        <v>10.3754477542379</v>
      </c>
      <c r="N576" s="528">
        <f t="shared" si="220"/>
        <v>0</v>
      </c>
      <c r="O576" s="528">
        <f t="shared" si="221"/>
        <v>0</v>
      </c>
      <c r="P576" s="529">
        <f t="shared" si="222"/>
        <v>9.44442424242424</v>
      </c>
      <c r="Q576" s="24">
        <f t="shared" si="223"/>
        <v>165</v>
      </c>
      <c r="R576" s="530">
        <f t="shared" si="224"/>
        <v>0.125</v>
      </c>
    </row>
    <row r="577" hidden="1" spans="1:18">
      <c r="A577" s="524">
        <v>45564</v>
      </c>
      <c r="B577" s="540" t="s">
        <v>98</v>
      </c>
      <c r="C577" s="540">
        <v>100</v>
      </c>
      <c r="D577" s="540">
        <v>15185</v>
      </c>
      <c r="E577" s="540">
        <v>165</v>
      </c>
      <c r="F577" s="540">
        <v>0</v>
      </c>
      <c r="G577" s="540">
        <v>0</v>
      </c>
      <c r="H577" s="540">
        <v>1</v>
      </c>
      <c r="I577" s="540">
        <v>0</v>
      </c>
      <c r="J577" s="540">
        <v>1</v>
      </c>
      <c r="K577" s="527">
        <f t="shared" si="232"/>
        <v>0.0108659861705631</v>
      </c>
      <c r="L577" s="528">
        <f t="shared" si="219"/>
        <v>0.606060606060606</v>
      </c>
      <c r="M577" s="528">
        <f t="shared" si="233"/>
        <v>6.58544616397761</v>
      </c>
      <c r="N577" s="528">
        <f t="shared" si="220"/>
        <v>0</v>
      </c>
      <c r="O577" s="528">
        <f t="shared" si="221"/>
        <v>0</v>
      </c>
      <c r="P577" s="529">
        <f t="shared" si="222"/>
        <v>100</v>
      </c>
      <c r="Q577" s="24">
        <f t="shared" si="223"/>
        <v>1</v>
      </c>
      <c r="R577" s="530">
        <f t="shared" si="224"/>
        <v>0.00606060606060606</v>
      </c>
    </row>
    <row r="578" hidden="1" spans="1:18">
      <c r="A578" s="524"/>
      <c r="B578" s="540" t="s">
        <v>100</v>
      </c>
      <c r="C578" s="540">
        <v>1439.44</v>
      </c>
      <c r="D578" s="540">
        <v>206912</v>
      </c>
      <c r="E578" s="540">
        <v>1339</v>
      </c>
      <c r="F578" s="540">
        <v>0</v>
      </c>
      <c r="G578" s="540">
        <v>0</v>
      </c>
      <c r="H578" s="540">
        <v>41</v>
      </c>
      <c r="I578" s="540">
        <v>82</v>
      </c>
      <c r="J578" s="540">
        <v>4</v>
      </c>
      <c r="K578" s="527">
        <f t="shared" si="232"/>
        <v>0.00647135013918961</v>
      </c>
      <c r="L578" s="528">
        <f t="shared" si="219"/>
        <v>1.07501120238984</v>
      </c>
      <c r="M578" s="528">
        <f t="shared" si="233"/>
        <v>6.9567738942159</v>
      </c>
      <c r="N578" s="528">
        <f t="shared" si="220"/>
        <v>0</v>
      </c>
      <c r="O578" s="528">
        <f t="shared" si="221"/>
        <v>0</v>
      </c>
      <c r="P578" s="529">
        <f t="shared" si="222"/>
        <v>11.7027642276423</v>
      </c>
      <c r="Q578" s="24">
        <f t="shared" si="223"/>
        <v>123</v>
      </c>
      <c r="R578" s="530">
        <f t="shared" si="224"/>
        <v>0.0918595967139657</v>
      </c>
    </row>
    <row r="579" hidden="1" spans="1:18">
      <c r="A579" s="524"/>
      <c r="B579" s="540" t="s">
        <v>101</v>
      </c>
      <c r="C579" s="540">
        <v>0</v>
      </c>
      <c r="D579" s="540">
        <v>0</v>
      </c>
      <c r="E579" s="540">
        <v>0</v>
      </c>
      <c r="F579" s="540">
        <v>0</v>
      </c>
      <c r="G579" s="540">
        <v>0</v>
      </c>
      <c r="H579" s="540">
        <v>0</v>
      </c>
      <c r="I579" s="540">
        <v>0</v>
      </c>
      <c r="J579" s="540">
        <v>0</v>
      </c>
      <c r="K579" s="527">
        <f t="shared" si="232"/>
        <v>0</v>
      </c>
      <c r="L579" s="528">
        <f t="shared" si="219"/>
        <v>0</v>
      </c>
      <c r="M579" s="528">
        <f t="shared" si="233"/>
        <v>0</v>
      </c>
      <c r="N579" s="528">
        <f t="shared" si="220"/>
        <v>0</v>
      </c>
      <c r="O579" s="528">
        <f t="shared" si="221"/>
        <v>0</v>
      </c>
      <c r="P579" s="529">
        <f t="shared" si="222"/>
        <v>0</v>
      </c>
      <c r="Q579" s="24">
        <f t="shared" si="223"/>
        <v>0</v>
      </c>
      <c r="R579" s="530">
        <f t="shared" si="224"/>
        <v>0</v>
      </c>
    </row>
    <row r="580" hidden="1" spans="1:18">
      <c r="A580" s="524"/>
      <c r="B580" s="531" t="s">
        <v>96</v>
      </c>
      <c r="C580" s="533">
        <f t="shared" ref="C580:J580" si="238">SUM(C577:C579)</f>
        <v>1539.44</v>
      </c>
      <c r="D580" s="533">
        <f t="shared" si="238"/>
        <v>222097</v>
      </c>
      <c r="E580" s="533">
        <f t="shared" si="238"/>
        <v>1504</v>
      </c>
      <c r="F580" s="533">
        <f t="shared" si="238"/>
        <v>0</v>
      </c>
      <c r="G580" s="533">
        <f t="shared" si="238"/>
        <v>0</v>
      </c>
      <c r="H580" s="533">
        <f t="shared" si="238"/>
        <v>42</v>
      </c>
      <c r="I580" s="533">
        <f t="shared" si="238"/>
        <v>82</v>
      </c>
      <c r="J580" s="533">
        <f t="shared" si="238"/>
        <v>5</v>
      </c>
      <c r="K580" s="527">
        <f t="shared" si="232"/>
        <v>0.00677181591826994</v>
      </c>
      <c r="L580" s="528">
        <f t="shared" si="219"/>
        <v>1.02356382978723</v>
      </c>
      <c r="M580" s="528">
        <f t="shared" si="233"/>
        <v>6.93138583591854</v>
      </c>
      <c r="N580" s="528">
        <f t="shared" si="220"/>
        <v>0</v>
      </c>
      <c r="O580" s="528">
        <f t="shared" si="221"/>
        <v>0</v>
      </c>
      <c r="P580" s="529">
        <f t="shared" si="222"/>
        <v>12.4148387096774</v>
      </c>
      <c r="Q580" s="24">
        <f t="shared" si="223"/>
        <v>124</v>
      </c>
      <c r="R580" s="530">
        <f t="shared" si="224"/>
        <v>0.0824468085106383</v>
      </c>
    </row>
    <row r="581" hidden="1" spans="1:18">
      <c r="A581" s="524">
        <v>45565</v>
      </c>
      <c r="B581" s="540" t="s">
        <v>98</v>
      </c>
      <c r="C581" s="540">
        <v>100</v>
      </c>
      <c r="D581" s="540">
        <v>9162</v>
      </c>
      <c r="E581" s="540">
        <v>106</v>
      </c>
      <c r="F581" s="540">
        <v>0</v>
      </c>
      <c r="G581" s="540">
        <v>0</v>
      </c>
      <c r="H581" s="540">
        <v>0</v>
      </c>
      <c r="I581" s="540">
        <v>3</v>
      </c>
      <c r="J581" s="540">
        <v>2</v>
      </c>
      <c r="K581" s="527">
        <f t="shared" si="232"/>
        <v>0.0115695263043004</v>
      </c>
      <c r="L581" s="528">
        <f t="shared" si="219"/>
        <v>0.943396226415094</v>
      </c>
      <c r="M581" s="528">
        <f t="shared" si="233"/>
        <v>10.9146474568871</v>
      </c>
      <c r="N581" s="528">
        <f t="shared" si="220"/>
        <v>0</v>
      </c>
      <c r="O581" s="528">
        <f t="shared" si="221"/>
        <v>0</v>
      </c>
      <c r="P581" s="529">
        <f t="shared" si="222"/>
        <v>33.3333333333333</v>
      </c>
      <c r="Q581" s="24">
        <f t="shared" si="223"/>
        <v>3</v>
      </c>
      <c r="R581" s="530">
        <f t="shared" si="224"/>
        <v>0.0283018867924528</v>
      </c>
    </row>
    <row r="582" hidden="1" spans="1:18">
      <c r="A582" s="524"/>
      <c r="B582" s="540" t="s">
        <v>100</v>
      </c>
      <c r="C582" s="540">
        <v>1366.21</v>
      </c>
      <c r="D582" s="540">
        <v>197514</v>
      </c>
      <c r="E582" s="540">
        <v>1136</v>
      </c>
      <c r="F582" s="540">
        <v>1</v>
      </c>
      <c r="G582" s="540">
        <v>6934</v>
      </c>
      <c r="H582" s="540">
        <v>41</v>
      </c>
      <c r="I582" s="540">
        <v>79</v>
      </c>
      <c r="J582" s="540">
        <v>4</v>
      </c>
      <c r="K582" s="527">
        <f t="shared" si="232"/>
        <v>0.00575149103354699</v>
      </c>
      <c r="L582" s="528">
        <f t="shared" si="219"/>
        <v>1.20264964788732</v>
      </c>
      <c r="M582" s="528">
        <f t="shared" si="233"/>
        <v>6.91702866632239</v>
      </c>
      <c r="N582" s="528">
        <f t="shared" si="220"/>
        <v>5.0753544477057</v>
      </c>
      <c r="O582" s="528">
        <f t="shared" si="221"/>
        <v>0.000880281690140845</v>
      </c>
      <c r="P582" s="529">
        <f t="shared" si="222"/>
        <v>11.3850833333333</v>
      </c>
      <c r="Q582" s="24">
        <f t="shared" si="223"/>
        <v>120</v>
      </c>
      <c r="R582" s="530">
        <f t="shared" si="224"/>
        <v>0.105633802816901</v>
      </c>
    </row>
    <row r="583" hidden="1" spans="1:18">
      <c r="A583" s="524"/>
      <c r="B583" s="540" t="s">
        <v>101</v>
      </c>
      <c r="C583" s="540">
        <v>0</v>
      </c>
      <c r="D583" s="540">
        <v>0</v>
      </c>
      <c r="E583" s="540">
        <v>0</v>
      </c>
      <c r="F583" s="540">
        <v>0</v>
      </c>
      <c r="G583" s="540">
        <v>0</v>
      </c>
      <c r="H583" s="540">
        <v>0</v>
      </c>
      <c r="I583" s="540">
        <v>0</v>
      </c>
      <c r="J583" s="540">
        <v>0</v>
      </c>
      <c r="K583" s="527">
        <f t="shared" si="232"/>
        <v>0</v>
      </c>
      <c r="L583" s="528">
        <f t="shared" si="219"/>
        <v>0</v>
      </c>
      <c r="M583" s="528">
        <f t="shared" si="233"/>
        <v>0</v>
      </c>
      <c r="N583" s="528">
        <f t="shared" si="220"/>
        <v>0</v>
      </c>
      <c r="O583" s="528">
        <f t="shared" si="221"/>
        <v>0</v>
      </c>
      <c r="P583" s="529">
        <f t="shared" si="222"/>
        <v>0</v>
      </c>
      <c r="Q583" s="24">
        <f t="shared" si="223"/>
        <v>0</v>
      </c>
      <c r="R583" s="530">
        <f t="shared" si="224"/>
        <v>0</v>
      </c>
    </row>
    <row r="584" hidden="1" spans="1:18">
      <c r="A584" s="524"/>
      <c r="B584" s="531" t="s">
        <v>96</v>
      </c>
      <c r="C584" s="533">
        <f t="shared" ref="C584:J584" si="239">SUM(C581:C583)</f>
        <v>1466.21</v>
      </c>
      <c r="D584" s="533">
        <f t="shared" si="239"/>
        <v>206676</v>
      </c>
      <c r="E584" s="533">
        <f t="shared" si="239"/>
        <v>1242</v>
      </c>
      <c r="F584" s="533">
        <f t="shared" si="239"/>
        <v>1</v>
      </c>
      <c r="G584" s="533">
        <f t="shared" si="239"/>
        <v>6934</v>
      </c>
      <c r="H584" s="533">
        <f t="shared" si="239"/>
        <v>41</v>
      </c>
      <c r="I584" s="533">
        <f t="shared" si="239"/>
        <v>82</v>
      </c>
      <c r="J584" s="533">
        <f t="shared" si="239"/>
        <v>6</v>
      </c>
      <c r="K584" s="527">
        <f t="shared" si="232"/>
        <v>0.00600940602682459</v>
      </c>
      <c r="L584" s="528">
        <f t="shared" si="219"/>
        <v>1.18052334943639</v>
      </c>
      <c r="M584" s="528">
        <f t="shared" si="233"/>
        <v>7.09424413091022</v>
      </c>
      <c r="N584" s="528">
        <f t="shared" si="220"/>
        <v>4.72919977356586</v>
      </c>
      <c r="O584" s="528">
        <f t="shared" si="221"/>
        <v>0.000805152979066023</v>
      </c>
      <c r="P584" s="529">
        <f t="shared" si="222"/>
        <v>11.920406504065</v>
      </c>
      <c r="Q584" s="24">
        <f t="shared" si="223"/>
        <v>123</v>
      </c>
      <c r="R584" s="530">
        <f t="shared" si="224"/>
        <v>0.0990338164251208</v>
      </c>
    </row>
    <row r="585" hidden="1" spans="1:18">
      <c r="A585" s="524">
        <v>45566</v>
      </c>
      <c r="B585" s="540" t="s">
        <v>98</v>
      </c>
      <c r="C585" s="540">
        <v>100</v>
      </c>
      <c r="D585" s="540">
        <v>10967</v>
      </c>
      <c r="E585" s="540">
        <v>163</v>
      </c>
      <c r="F585" s="540">
        <v>0</v>
      </c>
      <c r="G585" s="540">
        <v>0</v>
      </c>
      <c r="H585" s="540">
        <v>0</v>
      </c>
      <c r="I585" s="540">
        <v>5</v>
      </c>
      <c r="J585" s="540">
        <v>1</v>
      </c>
      <c r="K585" s="527">
        <f t="shared" si="232"/>
        <v>0.0148627701285675</v>
      </c>
      <c r="L585" s="528">
        <f t="shared" si="219"/>
        <v>0.613496932515337</v>
      </c>
      <c r="M585" s="528">
        <f t="shared" si="233"/>
        <v>9.11826388255676</v>
      </c>
      <c r="N585" s="528">
        <f t="shared" si="220"/>
        <v>0</v>
      </c>
      <c r="O585" s="528">
        <f t="shared" si="221"/>
        <v>0</v>
      </c>
      <c r="P585" s="529">
        <f t="shared" si="222"/>
        <v>20</v>
      </c>
      <c r="Q585" s="24">
        <f t="shared" si="223"/>
        <v>5</v>
      </c>
      <c r="R585" s="530">
        <f t="shared" si="224"/>
        <v>0.0306748466257669</v>
      </c>
    </row>
    <row r="586" hidden="1" spans="1:18">
      <c r="A586" s="524"/>
      <c r="B586" s="540" t="s">
        <v>100</v>
      </c>
      <c r="C586" s="540">
        <v>1337.39</v>
      </c>
      <c r="D586" s="540">
        <v>170744</v>
      </c>
      <c r="E586" s="540">
        <v>1240</v>
      </c>
      <c r="F586" s="540">
        <v>1</v>
      </c>
      <c r="G586" s="540">
        <v>6798</v>
      </c>
      <c r="H586" s="540">
        <v>49</v>
      </c>
      <c r="I586" s="540">
        <v>107</v>
      </c>
      <c r="J586" s="540">
        <v>6</v>
      </c>
      <c r="K586" s="527">
        <f t="shared" si="232"/>
        <v>0.0072623342547908</v>
      </c>
      <c r="L586" s="528">
        <f t="shared" si="219"/>
        <v>1.07854032258065</v>
      </c>
      <c r="M586" s="528">
        <f t="shared" si="233"/>
        <v>7.83272032985054</v>
      </c>
      <c r="N586" s="528">
        <f t="shared" si="220"/>
        <v>5.08303486641892</v>
      </c>
      <c r="O586" s="528">
        <f t="shared" si="221"/>
        <v>0.000806451612903226</v>
      </c>
      <c r="P586" s="529">
        <f t="shared" si="222"/>
        <v>8.57301282051282</v>
      </c>
      <c r="Q586" s="24">
        <f t="shared" si="223"/>
        <v>156</v>
      </c>
      <c r="R586" s="530">
        <f t="shared" si="224"/>
        <v>0.125806451612903</v>
      </c>
    </row>
    <row r="587" hidden="1" spans="1:18">
      <c r="A587" s="524"/>
      <c r="B587" s="540" t="s">
        <v>101</v>
      </c>
      <c r="C587" s="540">
        <v>0</v>
      </c>
      <c r="D587" s="540">
        <v>0</v>
      </c>
      <c r="E587" s="540">
        <v>0</v>
      </c>
      <c r="F587" s="540">
        <v>0</v>
      </c>
      <c r="G587" s="540">
        <v>0</v>
      </c>
      <c r="H587" s="540">
        <v>0</v>
      </c>
      <c r="I587" s="540">
        <v>0</v>
      </c>
      <c r="J587" s="540">
        <v>0</v>
      </c>
      <c r="K587" s="527">
        <f t="shared" si="232"/>
        <v>0</v>
      </c>
      <c r="L587" s="528">
        <f t="shared" si="219"/>
        <v>0</v>
      </c>
      <c r="M587" s="528">
        <f t="shared" si="233"/>
        <v>0</v>
      </c>
      <c r="N587" s="528">
        <f t="shared" si="220"/>
        <v>0</v>
      </c>
      <c r="O587" s="528">
        <f t="shared" si="221"/>
        <v>0</v>
      </c>
      <c r="P587" s="529">
        <f t="shared" si="222"/>
        <v>0</v>
      </c>
      <c r="Q587" s="24">
        <f t="shared" si="223"/>
        <v>0</v>
      </c>
      <c r="R587" s="530">
        <f t="shared" si="224"/>
        <v>0</v>
      </c>
    </row>
    <row r="588" hidden="1" spans="1:18">
      <c r="A588" s="524"/>
      <c r="B588" s="531" t="s">
        <v>96</v>
      </c>
      <c r="C588" s="533">
        <f t="shared" ref="C588:J588" si="240">SUM(C585:C587)</f>
        <v>1437.39</v>
      </c>
      <c r="D588" s="533">
        <f t="shared" si="240"/>
        <v>181711</v>
      </c>
      <c r="E588" s="533">
        <f t="shared" si="240"/>
        <v>1403</v>
      </c>
      <c r="F588" s="533">
        <f t="shared" si="240"/>
        <v>1</v>
      </c>
      <c r="G588" s="533">
        <f t="shared" si="240"/>
        <v>6798</v>
      </c>
      <c r="H588" s="533">
        <f t="shared" si="240"/>
        <v>49</v>
      </c>
      <c r="I588" s="533">
        <f t="shared" si="240"/>
        <v>112</v>
      </c>
      <c r="J588" s="533">
        <f t="shared" si="240"/>
        <v>7</v>
      </c>
      <c r="K588" s="527">
        <f t="shared" si="232"/>
        <v>0.00772105155989456</v>
      </c>
      <c r="L588" s="528">
        <f t="shared" si="219"/>
        <v>1.02451176051319</v>
      </c>
      <c r="M588" s="528">
        <f t="shared" si="233"/>
        <v>7.91030812664066</v>
      </c>
      <c r="N588" s="528">
        <f t="shared" si="220"/>
        <v>4.72940538058564</v>
      </c>
      <c r="O588" s="528">
        <f t="shared" si="221"/>
        <v>0.000712758374910905</v>
      </c>
      <c r="P588" s="529">
        <f t="shared" si="222"/>
        <v>8.92788819875777</v>
      </c>
      <c r="Q588" s="24">
        <f t="shared" si="223"/>
        <v>161</v>
      </c>
      <c r="R588" s="530">
        <f t="shared" si="224"/>
        <v>0.114754098360656</v>
      </c>
    </row>
    <row r="589" hidden="1" spans="1:18">
      <c r="A589" s="524">
        <v>45567</v>
      </c>
      <c r="B589" s="540" t="s">
        <v>98</v>
      </c>
      <c r="C589" s="540">
        <v>100</v>
      </c>
      <c r="D589" s="540">
        <v>9326</v>
      </c>
      <c r="E589" s="540">
        <v>116</v>
      </c>
      <c r="F589" s="540">
        <v>0</v>
      </c>
      <c r="G589" s="540">
        <v>0</v>
      </c>
      <c r="H589" s="540">
        <v>0</v>
      </c>
      <c r="I589" s="540">
        <v>3</v>
      </c>
      <c r="J589" s="540">
        <v>0</v>
      </c>
      <c r="K589" s="527">
        <f t="shared" si="232"/>
        <v>0.0124383444134677</v>
      </c>
      <c r="L589" s="528">
        <f t="shared" si="219"/>
        <v>0.862068965517241</v>
      </c>
      <c r="M589" s="528">
        <f t="shared" si="233"/>
        <v>10.7227107012653</v>
      </c>
      <c r="N589" s="528">
        <f t="shared" si="220"/>
        <v>0</v>
      </c>
      <c r="O589" s="528">
        <f t="shared" si="221"/>
        <v>0</v>
      </c>
      <c r="P589" s="529">
        <f t="shared" si="222"/>
        <v>33.3333333333333</v>
      </c>
      <c r="Q589" s="24">
        <f t="shared" si="223"/>
        <v>3</v>
      </c>
      <c r="R589" s="530">
        <f t="shared" si="224"/>
        <v>0.0258620689655172</v>
      </c>
    </row>
    <row r="590" hidden="1" spans="1:18">
      <c r="A590" s="524"/>
      <c r="B590" s="540" t="s">
        <v>100</v>
      </c>
      <c r="C590" s="540">
        <v>1217.7</v>
      </c>
      <c r="D590" s="540">
        <v>169051</v>
      </c>
      <c r="E590" s="540">
        <v>1155</v>
      </c>
      <c r="F590" s="540">
        <v>0</v>
      </c>
      <c r="G590" s="540">
        <v>0</v>
      </c>
      <c r="H590" s="540">
        <v>42</v>
      </c>
      <c r="I590" s="540">
        <v>84</v>
      </c>
      <c r="J590" s="540">
        <v>6</v>
      </c>
      <c r="K590" s="527">
        <f t="shared" si="232"/>
        <v>0.00683225772104276</v>
      </c>
      <c r="L590" s="528">
        <f t="shared" si="219"/>
        <v>1.05428571428571</v>
      </c>
      <c r="M590" s="528">
        <f t="shared" si="233"/>
        <v>7.20315171161366</v>
      </c>
      <c r="N590" s="528">
        <f t="shared" si="220"/>
        <v>0</v>
      </c>
      <c r="O590" s="528">
        <f t="shared" si="221"/>
        <v>0</v>
      </c>
      <c r="P590" s="529">
        <f t="shared" si="222"/>
        <v>9.66428571428571</v>
      </c>
      <c r="Q590" s="24">
        <f t="shared" si="223"/>
        <v>126</v>
      </c>
      <c r="R590" s="530">
        <f t="shared" si="224"/>
        <v>0.109090909090909</v>
      </c>
    </row>
    <row r="591" hidden="1" spans="1:18">
      <c r="A591" s="524"/>
      <c r="B591" s="540" t="s">
        <v>101</v>
      </c>
      <c r="C591" s="540">
        <v>0</v>
      </c>
      <c r="D591" s="540">
        <v>0</v>
      </c>
      <c r="E591" s="540">
        <v>0</v>
      </c>
      <c r="F591" s="540">
        <v>0</v>
      </c>
      <c r="G591" s="540">
        <v>0</v>
      </c>
      <c r="H591" s="540">
        <v>0</v>
      </c>
      <c r="I591" s="540">
        <v>0</v>
      </c>
      <c r="J591" s="540">
        <v>0</v>
      </c>
      <c r="K591" s="527">
        <f t="shared" si="232"/>
        <v>0</v>
      </c>
      <c r="L591" s="528">
        <f t="shared" si="219"/>
        <v>0</v>
      </c>
      <c r="M591" s="528">
        <f t="shared" si="233"/>
        <v>0</v>
      </c>
      <c r="N591" s="528">
        <f t="shared" si="220"/>
        <v>0</v>
      </c>
      <c r="O591" s="528">
        <f t="shared" si="221"/>
        <v>0</v>
      </c>
      <c r="P591" s="529">
        <f t="shared" si="222"/>
        <v>0</v>
      </c>
      <c r="Q591" s="24">
        <f t="shared" si="223"/>
        <v>0</v>
      </c>
      <c r="R591" s="530">
        <f t="shared" si="224"/>
        <v>0</v>
      </c>
    </row>
    <row r="592" hidden="1" spans="1:18">
      <c r="A592" s="524"/>
      <c r="B592" s="531" t="s">
        <v>96</v>
      </c>
      <c r="C592" s="533">
        <f t="shared" ref="C592:J592" si="241">SUM(C589:C591)</f>
        <v>1317.7</v>
      </c>
      <c r="D592" s="533">
        <f t="shared" si="241"/>
        <v>178377</v>
      </c>
      <c r="E592" s="533">
        <f t="shared" si="241"/>
        <v>1271</v>
      </c>
      <c r="F592" s="533">
        <f t="shared" si="241"/>
        <v>0</v>
      </c>
      <c r="G592" s="533">
        <f t="shared" si="241"/>
        <v>0</v>
      </c>
      <c r="H592" s="533">
        <f t="shared" si="241"/>
        <v>42</v>
      </c>
      <c r="I592" s="533">
        <f t="shared" si="241"/>
        <v>87</v>
      </c>
      <c r="J592" s="533">
        <f t="shared" si="241"/>
        <v>6</v>
      </c>
      <c r="K592" s="527">
        <f t="shared" si="232"/>
        <v>0.00712535808988827</v>
      </c>
      <c r="L592" s="528">
        <f t="shared" si="219"/>
        <v>1.03674272226593</v>
      </c>
      <c r="M592" s="528">
        <f t="shared" si="233"/>
        <v>7.38716314323035</v>
      </c>
      <c r="N592" s="528">
        <f t="shared" si="220"/>
        <v>0</v>
      </c>
      <c r="O592" s="528">
        <f t="shared" si="221"/>
        <v>0</v>
      </c>
      <c r="P592" s="529">
        <f t="shared" si="222"/>
        <v>10.2147286821705</v>
      </c>
      <c r="Q592" s="24">
        <f t="shared" si="223"/>
        <v>129</v>
      </c>
      <c r="R592" s="530">
        <f t="shared" si="224"/>
        <v>0.101494885916601</v>
      </c>
    </row>
    <row r="593" hidden="1" spans="1:18">
      <c r="A593" s="524">
        <v>45568</v>
      </c>
      <c r="B593" s="540" t="s">
        <v>98</v>
      </c>
      <c r="C593" s="540">
        <v>100</v>
      </c>
      <c r="D593" s="540">
        <v>9319</v>
      </c>
      <c r="E593" s="540">
        <v>141</v>
      </c>
      <c r="F593" s="540">
        <v>0</v>
      </c>
      <c r="G593" s="540">
        <v>0</v>
      </c>
      <c r="H593" s="540">
        <v>0</v>
      </c>
      <c r="I593" s="540">
        <v>2</v>
      </c>
      <c r="J593" s="540">
        <v>0</v>
      </c>
      <c r="K593" s="527">
        <f t="shared" si="232"/>
        <v>0.0151303787960082</v>
      </c>
      <c r="L593" s="528">
        <f t="shared" si="219"/>
        <v>0.709219858156028</v>
      </c>
      <c r="M593" s="528">
        <f t="shared" si="233"/>
        <v>10.7307651035519</v>
      </c>
      <c r="N593" s="528">
        <f t="shared" si="220"/>
        <v>0</v>
      </c>
      <c r="O593" s="528">
        <f t="shared" si="221"/>
        <v>0</v>
      </c>
      <c r="P593" s="529">
        <f t="shared" si="222"/>
        <v>50</v>
      </c>
      <c r="Q593" s="24">
        <f t="shared" si="223"/>
        <v>2</v>
      </c>
      <c r="R593" s="530">
        <f t="shared" si="224"/>
        <v>0.0141843971631206</v>
      </c>
    </row>
    <row r="594" hidden="1" spans="1:18">
      <c r="A594" s="524"/>
      <c r="B594" s="540" t="s">
        <v>100</v>
      </c>
      <c r="C594" s="540">
        <v>1267.69</v>
      </c>
      <c r="D594" s="540">
        <v>159469</v>
      </c>
      <c r="E594" s="540">
        <v>1287</v>
      </c>
      <c r="F594" s="540">
        <v>0</v>
      </c>
      <c r="G594" s="540">
        <v>0</v>
      </c>
      <c r="H594" s="540">
        <v>35</v>
      </c>
      <c r="I594" s="540">
        <v>101</v>
      </c>
      <c r="J594" s="540">
        <v>3</v>
      </c>
      <c r="K594" s="527">
        <f t="shared" si="232"/>
        <v>0.00807053408499458</v>
      </c>
      <c r="L594" s="528">
        <f t="shared" ref="L594:L657" si="242">IF(C594=0,0,C594/E594)</f>
        <v>0.984996114996115</v>
      </c>
      <c r="M594" s="528">
        <f t="shared" si="233"/>
        <v>7.94944471966338</v>
      </c>
      <c r="N594" s="528">
        <f t="shared" ref="N594:N657" si="243">IF(G594=0,0,G594/C594)</f>
        <v>0</v>
      </c>
      <c r="O594" s="528">
        <f t="shared" ref="O594:O657" si="244">IF(F594=0,0,F594/E594)</f>
        <v>0</v>
      </c>
      <c r="P594" s="529">
        <f t="shared" ref="P594:P657" si="245">IF(H594+I594=0,0,C594/(H594+I594))</f>
        <v>9.32125</v>
      </c>
      <c r="Q594" s="24">
        <f t="shared" ref="Q594:Q657" si="246">H594+I594</f>
        <v>136</v>
      </c>
      <c r="R594" s="530">
        <f t="shared" ref="R594:R657" si="247">IF(Q594=0,0,Q594/E594)</f>
        <v>0.105672105672106</v>
      </c>
    </row>
    <row r="595" hidden="1" spans="1:18">
      <c r="A595" s="524"/>
      <c r="B595" s="540" t="s">
        <v>101</v>
      </c>
      <c r="C595" s="540">
        <v>0</v>
      </c>
      <c r="D595" s="540">
        <v>0</v>
      </c>
      <c r="E595" s="540">
        <v>0</v>
      </c>
      <c r="F595" s="540">
        <v>0</v>
      </c>
      <c r="G595" s="540">
        <v>0</v>
      </c>
      <c r="H595" s="540">
        <v>0</v>
      </c>
      <c r="I595" s="540">
        <v>0</v>
      </c>
      <c r="J595" s="540">
        <v>0</v>
      </c>
      <c r="K595" s="527">
        <f t="shared" si="232"/>
        <v>0</v>
      </c>
      <c r="L595" s="528">
        <f t="shared" si="242"/>
        <v>0</v>
      </c>
      <c r="M595" s="528">
        <f t="shared" si="233"/>
        <v>0</v>
      </c>
      <c r="N595" s="528">
        <f t="shared" si="243"/>
        <v>0</v>
      </c>
      <c r="O595" s="528">
        <f t="shared" si="244"/>
        <v>0</v>
      </c>
      <c r="P595" s="529">
        <f t="shared" si="245"/>
        <v>0</v>
      </c>
      <c r="Q595" s="24">
        <f t="shared" si="246"/>
        <v>0</v>
      </c>
      <c r="R595" s="530">
        <f t="shared" si="247"/>
        <v>0</v>
      </c>
    </row>
    <row r="596" hidden="1" spans="1:18">
      <c r="A596" s="524"/>
      <c r="B596" s="531" t="s">
        <v>96</v>
      </c>
      <c r="C596" s="533">
        <f t="shared" ref="C596:J596" si="248">SUM(C593:C595)</f>
        <v>1367.69</v>
      </c>
      <c r="D596" s="533">
        <f t="shared" si="248"/>
        <v>168788</v>
      </c>
      <c r="E596" s="533">
        <f t="shared" si="248"/>
        <v>1428</v>
      </c>
      <c r="F596" s="533">
        <f t="shared" si="248"/>
        <v>0</v>
      </c>
      <c r="G596" s="533">
        <f t="shared" si="248"/>
        <v>0</v>
      </c>
      <c r="H596" s="533">
        <f t="shared" si="248"/>
        <v>35</v>
      </c>
      <c r="I596" s="533">
        <f t="shared" si="248"/>
        <v>103</v>
      </c>
      <c r="J596" s="533">
        <f t="shared" si="248"/>
        <v>3</v>
      </c>
      <c r="K596" s="527">
        <f t="shared" si="232"/>
        <v>0.0084603170841529</v>
      </c>
      <c r="L596" s="528">
        <f t="shared" si="242"/>
        <v>0.957766106442577</v>
      </c>
      <c r="M596" s="528">
        <f t="shared" si="233"/>
        <v>8.10300495295874</v>
      </c>
      <c r="N596" s="528">
        <f t="shared" si="243"/>
        <v>0</v>
      </c>
      <c r="O596" s="528">
        <f t="shared" si="244"/>
        <v>0</v>
      </c>
      <c r="P596" s="529">
        <f t="shared" si="245"/>
        <v>9.91079710144928</v>
      </c>
      <c r="Q596" s="24">
        <f t="shared" si="246"/>
        <v>138</v>
      </c>
      <c r="R596" s="530">
        <f t="shared" si="247"/>
        <v>0.0966386554621849</v>
      </c>
    </row>
    <row r="597" hidden="1" spans="1:18">
      <c r="A597" s="524">
        <v>45569</v>
      </c>
      <c r="B597" s="540" t="s">
        <v>98</v>
      </c>
      <c r="C597" s="540">
        <v>100</v>
      </c>
      <c r="D597" s="540">
        <v>4471</v>
      </c>
      <c r="E597" s="540">
        <v>76</v>
      </c>
      <c r="F597" s="540">
        <v>0</v>
      </c>
      <c r="G597" s="540">
        <v>0</v>
      </c>
      <c r="H597" s="540">
        <v>0</v>
      </c>
      <c r="I597" s="540">
        <v>4</v>
      </c>
      <c r="J597" s="540">
        <v>0</v>
      </c>
      <c r="K597" s="527">
        <f t="shared" si="232"/>
        <v>0.0169984343547305</v>
      </c>
      <c r="L597" s="528">
        <f t="shared" si="242"/>
        <v>1.31578947368421</v>
      </c>
      <c r="M597" s="528">
        <f t="shared" si="233"/>
        <v>22.3663609930664</v>
      </c>
      <c r="N597" s="528">
        <f t="shared" si="243"/>
        <v>0</v>
      </c>
      <c r="O597" s="528">
        <f t="shared" si="244"/>
        <v>0</v>
      </c>
      <c r="P597" s="529">
        <f t="shared" si="245"/>
        <v>25</v>
      </c>
      <c r="Q597" s="24">
        <f t="shared" si="246"/>
        <v>4</v>
      </c>
      <c r="R597" s="530">
        <f t="shared" si="247"/>
        <v>0.0526315789473684</v>
      </c>
    </row>
    <row r="598" hidden="1" spans="1:18">
      <c r="A598" s="524"/>
      <c r="B598" s="540" t="s">
        <v>100</v>
      </c>
      <c r="C598" s="540">
        <v>1255.78</v>
      </c>
      <c r="D598" s="540">
        <v>156957</v>
      </c>
      <c r="E598" s="540">
        <v>1732</v>
      </c>
      <c r="F598" s="540">
        <v>0</v>
      </c>
      <c r="G598" s="540">
        <v>0</v>
      </c>
      <c r="H598" s="540">
        <v>46</v>
      </c>
      <c r="I598" s="540">
        <v>99</v>
      </c>
      <c r="J598" s="540">
        <v>6</v>
      </c>
      <c r="K598" s="527">
        <f t="shared" si="232"/>
        <v>0.0110348694228356</v>
      </c>
      <c r="L598" s="528">
        <f t="shared" si="242"/>
        <v>0.725046189376443</v>
      </c>
      <c r="M598" s="528">
        <f t="shared" si="233"/>
        <v>8.00079002529355</v>
      </c>
      <c r="N598" s="528">
        <f t="shared" si="243"/>
        <v>0</v>
      </c>
      <c r="O598" s="528">
        <f t="shared" si="244"/>
        <v>0</v>
      </c>
      <c r="P598" s="529">
        <f t="shared" si="245"/>
        <v>8.66055172413793</v>
      </c>
      <c r="Q598" s="24">
        <f t="shared" si="246"/>
        <v>145</v>
      </c>
      <c r="R598" s="530">
        <f t="shared" si="247"/>
        <v>0.0837182448036951</v>
      </c>
    </row>
    <row r="599" hidden="1" spans="1:18">
      <c r="A599" s="524"/>
      <c r="B599" s="540" t="s">
        <v>101</v>
      </c>
      <c r="C599" s="540">
        <v>0</v>
      </c>
      <c r="D599" s="540">
        <v>0</v>
      </c>
      <c r="E599" s="540">
        <v>0</v>
      </c>
      <c r="F599" s="540">
        <v>0</v>
      </c>
      <c r="G599" s="540">
        <v>0</v>
      </c>
      <c r="H599" s="540">
        <v>0</v>
      </c>
      <c r="I599" s="540">
        <v>0</v>
      </c>
      <c r="J599" s="540">
        <v>0</v>
      </c>
      <c r="K599" s="527">
        <f t="shared" si="232"/>
        <v>0</v>
      </c>
      <c r="L599" s="528">
        <f t="shared" si="242"/>
        <v>0</v>
      </c>
      <c r="M599" s="528">
        <f t="shared" si="233"/>
        <v>0</v>
      </c>
      <c r="N599" s="528">
        <f t="shared" si="243"/>
        <v>0</v>
      </c>
      <c r="O599" s="528">
        <f t="shared" si="244"/>
        <v>0</v>
      </c>
      <c r="P599" s="529">
        <f t="shared" si="245"/>
        <v>0</v>
      </c>
      <c r="Q599" s="24">
        <f t="shared" si="246"/>
        <v>0</v>
      </c>
      <c r="R599" s="530">
        <f t="shared" si="247"/>
        <v>0</v>
      </c>
    </row>
    <row r="600" hidden="1" spans="1:18">
      <c r="A600" s="524"/>
      <c r="B600" s="531" t="s">
        <v>96</v>
      </c>
      <c r="C600" s="533">
        <f t="shared" ref="C600:J600" si="249">SUM(C597:C599)</f>
        <v>1355.78</v>
      </c>
      <c r="D600" s="533">
        <f t="shared" si="249"/>
        <v>161428</v>
      </c>
      <c r="E600" s="533">
        <f t="shared" si="249"/>
        <v>1808</v>
      </c>
      <c r="F600" s="533">
        <f t="shared" si="249"/>
        <v>0</v>
      </c>
      <c r="G600" s="533">
        <f t="shared" si="249"/>
        <v>0</v>
      </c>
      <c r="H600" s="533">
        <f t="shared" si="249"/>
        <v>46</v>
      </c>
      <c r="I600" s="533">
        <f t="shared" si="249"/>
        <v>103</v>
      </c>
      <c r="J600" s="533">
        <f t="shared" si="249"/>
        <v>6</v>
      </c>
      <c r="K600" s="527">
        <f t="shared" si="232"/>
        <v>0.011200039646158</v>
      </c>
      <c r="L600" s="528">
        <f t="shared" si="242"/>
        <v>0.749878318584071</v>
      </c>
      <c r="M600" s="528">
        <f t="shared" si="233"/>
        <v>8.39866689793592</v>
      </c>
      <c r="N600" s="528">
        <f t="shared" si="243"/>
        <v>0</v>
      </c>
      <c r="O600" s="528">
        <f t="shared" si="244"/>
        <v>0</v>
      </c>
      <c r="P600" s="529">
        <f t="shared" si="245"/>
        <v>9.09919463087248</v>
      </c>
      <c r="Q600" s="24">
        <f t="shared" si="246"/>
        <v>149</v>
      </c>
      <c r="R600" s="530">
        <f t="shared" si="247"/>
        <v>0.0824115044247788</v>
      </c>
    </row>
    <row r="601" hidden="1" spans="1:18">
      <c r="A601" s="524">
        <v>45570</v>
      </c>
      <c r="B601" s="540" t="s">
        <v>98</v>
      </c>
      <c r="C601" s="540">
        <v>100</v>
      </c>
      <c r="D601" s="540">
        <v>7469</v>
      </c>
      <c r="E601" s="540">
        <v>108</v>
      </c>
      <c r="F601" s="540">
        <v>0</v>
      </c>
      <c r="G601" s="540">
        <v>0</v>
      </c>
      <c r="H601" s="540">
        <v>0</v>
      </c>
      <c r="I601" s="540">
        <v>3</v>
      </c>
      <c r="J601" s="540">
        <v>1</v>
      </c>
      <c r="K601" s="527">
        <f t="shared" si="232"/>
        <v>0.0144597670370866</v>
      </c>
      <c r="L601" s="528">
        <f t="shared" si="242"/>
        <v>0.925925925925926</v>
      </c>
      <c r="M601" s="528">
        <f t="shared" si="233"/>
        <v>13.3886731824876</v>
      </c>
      <c r="N601" s="528">
        <f t="shared" si="243"/>
        <v>0</v>
      </c>
      <c r="O601" s="528">
        <f t="shared" si="244"/>
        <v>0</v>
      </c>
      <c r="P601" s="529">
        <f t="shared" si="245"/>
        <v>33.3333333333333</v>
      </c>
      <c r="Q601" s="24">
        <f t="shared" si="246"/>
        <v>3</v>
      </c>
      <c r="R601" s="530">
        <f t="shared" si="247"/>
        <v>0.0277777777777778</v>
      </c>
    </row>
    <row r="602" hidden="1" spans="1:18">
      <c r="A602" s="524"/>
      <c r="B602" s="540" t="s">
        <v>100</v>
      </c>
      <c r="C602" s="540">
        <v>1302.77</v>
      </c>
      <c r="D602" s="540">
        <v>131442</v>
      </c>
      <c r="E602" s="540">
        <v>1326</v>
      </c>
      <c r="F602" s="540">
        <v>0</v>
      </c>
      <c r="G602" s="540">
        <v>0</v>
      </c>
      <c r="H602" s="540">
        <v>50</v>
      </c>
      <c r="I602" s="540">
        <v>82</v>
      </c>
      <c r="J602" s="540">
        <v>5</v>
      </c>
      <c r="K602" s="527">
        <f t="shared" si="232"/>
        <v>0.0100880996941617</v>
      </c>
      <c r="L602" s="528">
        <f t="shared" si="242"/>
        <v>0.982481146304676</v>
      </c>
      <c r="M602" s="528">
        <f t="shared" si="233"/>
        <v>9.91136775155582</v>
      </c>
      <c r="N602" s="528">
        <f t="shared" si="243"/>
        <v>0</v>
      </c>
      <c r="O602" s="528">
        <f t="shared" si="244"/>
        <v>0</v>
      </c>
      <c r="P602" s="529">
        <f t="shared" si="245"/>
        <v>9.8694696969697</v>
      </c>
      <c r="Q602" s="24">
        <f t="shared" si="246"/>
        <v>132</v>
      </c>
      <c r="R602" s="530">
        <f t="shared" si="247"/>
        <v>0.0995475113122172</v>
      </c>
    </row>
    <row r="603" hidden="1" spans="1:18">
      <c r="A603" s="524"/>
      <c r="B603" s="540" t="s">
        <v>101</v>
      </c>
      <c r="C603" s="540">
        <v>0</v>
      </c>
      <c r="D603" s="540">
        <v>0</v>
      </c>
      <c r="E603" s="540">
        <v>0</v>
      </c>
      <c r="F603" s="540">
        <v>0</v>
      </c>
      <c r="G603" s="540">
        <v>0</v>
      </c>
      <c r="H603" s="540">
        <v>0</v>
      </c>
      <c r="I603" s="540">
        <v>0</v>
      </c>
      <c r="J603" s="540">
        <v>0</v>
      </c>
      <c r="K603" s="527">
        <f t="shared" si="232"/>
        <v>0</v>
      </c>
      <c r="L603" s="528">
        <f t="shared" si="242"/>
        <v>0</v>
      </c>
      <c r="M603" s="528">
        <f t="shared" si="233"/>
        <v>0</v>
      </c>
      <c r="N603" s="528">
        <f t="shared" si="243"/>
        <v>0</v>
      </c>
      <c r="O603" s="528">
        <f t="shared" si="244"/>
        <v>0</v>
      </c>
      <c r="P603" s="529">
        <f t="shared" si="245"/>
        <v>0</v>
      </c>
      <c r="Q603" s="24">
        <f t="shared" si="246"/>
        <v>0</v>
      </c>
      <c r="R603" s="530">
        <f t="shared" si="247"/>
        <v>0</v>
      </c>
    </row>
    <row r="604" hidden="1" spans="1:18">
      <c r="A604" s="524"/>
      <c r="B604" s="531" t="s">
        <v>96</v>
      </c>
      <c r="C604" s="533">
        <f t="shared" ref="C604:J604" si="250">SUM(C601:C603)</f>
        <v>1402.77</v>
      </c>
      <c r="D604" s="533">
        <f t="shared" si="250"/>
        <v>138911</v>
      </c>
      <c r="E604" s="533">
        <f t="shared" si="250"/>
        <v>1434</v>
      </c>
      <c r="F604" s="533">
        <f t="shared" si="250"/>
        <v>0</v>
      </c>
      <c r="G604" s="533">
        <f t="shared" si="250"/>
        <v>0</v>
      </c>
      <c r="H604" s="533">
        <f t="shared" si="250"/>
        <v>50</v>
      </c>
      <c r="I604" s="533">
        <f t="shared" si="250"/>
        <v>85</v>
      </c>
      <c r="J604" s="533">
        <f t="shared" si="250"/>
        <v>6</v>
      </c>
      <c r="K604" s="527">
        <f t="shared" si="232"/>
        <v>0.0103231565534767</v>
      </c>
      <c r="L604" s="528">
        <f t="shared" si="242"/>
        <v>0.978221757322176</v>
      </c>
      <c r="M604" s="528">
        <f t="shared" si="233"/>
        <v>10.0983363448539</v>
      </c>
      <c r="N604" s="528">
        <f t="shared" si="243"/>
        <v>0</v>
      </c>
      <c r="O604" s="528">
        <f t="shared" si="244"/>
        <v>0</v>
      </c>
      <c r="P604" s="529">
        <f t="shared" si="245"/>
        <v>10.3908888888889</v>
      </c>
      <c r="Q604" s="24">
        <f t="shared" si="246"/>
        <v>135</v>
      </c>
      <c r="R604" s="530">
        <f t="shared" si="247"/>
        <v>0.0941422594142259</v>
      </c>
    </row>
    <row r="605" hidden="1" spans="1:18">
      <c r="A605" s="524">
        <v>45571</v>
      </c>
      <c r="B605" s="540" t="s">
        <v>98</v>
      </c>
      <c r="C605" s="540">
        <v>97.17</v>
      </c>
      <c r="D605" s="540">
        <v>5261</v>
      </c>
      <c r="E605" s="540">
        <v>88</v>
      </c>
      <c r="F605" s="540">
        <v>0</v>
      </c>
      <c r="G605" s="540">
        <v>0</v>
      </c>
      <c r="H605" s="540">
        <v>1</v>
      </c>
      <c r="I605" s="540">
        <v>7</v>
      </c>
      <c r="J605" s="540">
        <v>2</v>
      </c>
      <c r="K605" s="527">
        <f t="shared" si="232"/>
        <v>0.0167268580117848</v>
      </c>
      <c r="L605" s="528">
        <f t="shared" si="242"/>
        <v>1.10420454545455</v>
      </c>
      <c r="M605" s="528">
        <f t="shared" si="233"/>
        <v>18.4698726477856</v>
      </c>
      <c r="N605" s="528">
        <f t="shared" si="243"/>
        <v>0</v>
      </c>
      <c r="O605" s="528">
        <f t="shared" si="244"/>
        <v>0</v>
      </c>
      <c r="P605" s="529">
        <f t="shared" si="245"/>
        <v>12.14625</v>
      </c>
      <c r="Q605" s="24">
        <f t="shared" si="246"/>
        <v>8</v>
      </c>
      <c r="R605" s="530">
        <f t="shared" si="247"/>
        <v>0.0909090909090909</v>
      </c>
    </row>
    <row r="606" hidden="1" spans="1:18">
      <c r="A606" s="524"/>
      <c r="B606" s="540" t="s">
        <v>99</v>
      </c>
      <c r="C606" s="540">
        <v>0</v>
      </c>
      <c r="D606" s="540">
        <v>0</v>
      </c>
      <c r="E606" s="540">
        <v>0</v>
      </c>
      <c r="F606" s="540">
        <v>0</v>
      </c>
      <c r="G606" s="540">
        <v>0</v>
      </c>
      <c r="H606" s="540">
        <v>0</v>
      </c>
      <c r="I606" s="540">
        <v>0</v>
      </c>
      <c r="J606" s="540">
        <v>0</v>
      </c>
      <c r="K606" s="527">
        <f t="shared" si="232"/>
        <v>0</v>
      </c>
      <c r="L606" s="528">
        <f t="shared" si="242"/>
        <v>0</v>
      </c>
      <c r="M606" s="528">
        <f t="shared" si="233"/>
        <v>0</v>
      </c>
      <c r="N606" s="528">
        <f t="shared" si="243"/>
        <v>0</v>
      </c>
      <c r="O606" s="528">
        <f t="shared" si="244"/>
        <v>0</v>
      </c>
      <c r="P606" s="529">
        <f t="shared" si="245"/>
        <v>0</v>
      </c>
      <c r="Q606" s="24">
        <f t="shared" si="246"/>
        <v>0</v>
      </c>
      <c r="R606" s="530">
        <f t="shared" si="247"/>
        <v>0</v>
      </c>
    </row>
    <row r="607" hidden="1" spans="1:18">
      <c r="A607" s="524"/>
      <c r="B607" s="540" t="s">
        <v>100</v>
      </c>
      <c r="C607" s="540">
        <v>1210.16</v>
      </c>
      <c r="D607" s="540">
        <v>98357</v>
      </c>
      <c r="E607" s="540">
        <v>1301</v>
      </c>
      <c r="F607" s="540">
        <v>0</v>
      </c>
      <c r="G607" s="540">
        <v>0</v>
      </c>
      <c r="H607" s="540">
        <v>49</v>
      </c>
      <c r="I607" s="540">
        <v>87</v>
      </c>
      <c r="J607" s="540">
        <v>7</v>
      </c>
      <c r="K607" s="527">
        <f t="shared" si="232"/>
        <v>0.0132273249489106</v>
      </c>
      <c r="L607" s="528">
        <f t="shared" si="242"/>
        <v>0.930176787086856</v>
      </c>
      <c r="M607" s="528">
        <f t="shared" si="233"/>
        <v>12.3037506227315</v>
      </c>
      <c r="N607" s="528">
        <f t="shared" si="243"/>
        <v>0</v>
      </c>
      <c r="O607" s="528">
        <f t="shared" si="244"/>
        <v>0</v>
      </c>
      <c r="P607" s="529">
        <f t="shared" si="245"/>
        <v>8.89823529411765</v>
      </c>
      <c r="Q607" s="24">
        <f t="shared" si="246"/>
        <v>136</v>
      </c>
      <c r="R607" s="530">
        <f t="shared" si="247"/>
        <v>0.104534973097617</v>
      </c>
    </row>
    <row r="608" hidden="1" spans="1:18">
      <c r="A608" s="524"/>
      <c r="B608" s="540" t="s">
        <v>101</v>
      </c>
      <c r="C608" s="540">
        <v>0</v>
      </c>
      <c r="D608" s="540">
        <v>0</v>
      </c>
      <c r="E608" s="540">
        <v>0</v>
      </c>
      <c r="F608" s="540">
        <v>0</v>
      </c>
      <c r="G608" s="540">
        <v>0</v>
      </c>
      <c r="H608" s="540">
        <v>0</v>
      </c>
      <c r="I608" s="540">
        <v>0</v>
      </c>
      <c r="J608" s="540">
        <v>0</v>
      </c>
      <c r="K608" s="527">
        <f t="shared" si="232"/>
        <v>0</v>
      </c>
      <c r="L608" s="528">
        <f t="shared" si="242"/>
        <v>0</v>
      </c>
      <c r="M608" s="528">
        <f t="shared" si="233"/>
        <v>0</v>
      </c>
      <c r="N608" s="528">
        <f t="shared" si="243"/>
        <v>0</v>
      </c>
      <c r="O608" s="528">
        <f t="shared" si="244"/>
        <v>0</v>
      </c>
      <c r="P608" s="529">
        <f t="shared" si="245"/>
        <v>0</v>
      </c>
      <c r="Q608" s="24">
        <f t="shared" si="246"/>
        <v>0</v>
      </c>
      <c r="R608" s="530">
        <f t="shared" si="247"/>
        <v>0</v>
      </c>
    </row>
    <row r="609" ht="17.1" hidden="1" customHeight="1" spans="1:18">
      <c r="A609" s="524"/>
      <c r="B609" s="531" t="s">
        <v>96</v>
      </c>
      <c r="C609" s="533">
        <f>SUM(C605:C608)</f>
        <v>1307.33</v>
      </c>
      <c r="D609" s="533">
        <f t="shared" ref="D609:J609" si="251">SUM(D605:D608)</f>
        <v>103618</v>
      </c>
      <c r="E609" s="533">
        <f t="shared" si="251"/>
        <v>1389</v>
      </c>
      <c r="F609" s="533">
        <f t="shared" si="251"/>
        <v>0</v>
      </c>
      <c r="G609" s="533">
        <f t="shared" si="251"/>
        <v>0</v>
      </c>
      <c r="H609" s="533">
        <f t="shared" si="251"/>
        <v>50</v>
      </c>
      <c r="I609" s="533">
        <f t="shared" si="251"/>
        <v>94</v>
      </c>
      <c r="J609" s="533">
        <f t="shared" si="251"/>
        <v>9</v>
      </c>
      <c r="K609" s="527">
        <f t="shared" si="232"/>
        <v>0.0134050068520913</v>
      </c>
      <c r="L609" s="528">
        <f t="shared" si="242"/>
        <v>0.941202303815695</v>
      </c>
      <c r="M609" s="528">
        <f t="shared" si="233"/>
        <v>12.6168233318535</v>
      </c>
      <c r="N609" s="528">
        <f t="shared" si="243"/>
        <v>0</v>
      </c>
      <c r="O609" s="528">
        <f t="shared" si="244"/>
        <v>0</v>
      </c>
      <c r="P609" s="529">
        <f t="shared" si="245"/>
        <v>9.07868055555556</v>
      </c>
      <c r="Q609" s="24">
        <f t="shared" si="246"/>
        <v>144</v>
      </c>
      <c r="R609" s="530">
        <f t="shared" si="247"/>
        <v>0.103671706263499</v>
      </c>
    </row>
    <row r="610" hidden="1" spans="1:18">
      <c r="A610" s="524">
        <v>45572</v>
      </c>
      <c r="B610" s="540" t="s">
        <v>98</v>
      </c>
      <c r="C610" s="540">
        <v>99.53</v>
      </c>
      <c r="D610" s="540">
        <v>8602</v>
      </c>
      <c r="E610" s="540">
        <v>122</v>
      </c>
      <c r="F610" s="540">
        <v>0</v>
      </c>
      <c r="G610" s="540">
        <v>0</v>
      </c>
      <c r="H610" s="540">
        <v>0</v>
      </c>
      <c r="I610" s="540">
        <v>5</v>
      </c>
      <c r="J610" s="540">
        <v>0</v>
      </c>
      <c r="K610" s="527">
        <f t="shared" si="232"/>
        <v>0.0141827481980935</v>
      </c>
      <c r="L610" s="528">
        <f t="shared" si="242"/>
        <v>0.815819672131148</v>
      </c>
      <c r="M610" s="528">
        <f t="shared" si="233"/>
        <v>11.5705649848872</v>
      </c>
      <c r="N610" s="528">
        <f t="shared" si="243"/>
        <v>0</v>
      </c>
      <c r="O610" s="528">
        <f t="shared" si="244"/>
        <v>0</v>
      </c>
      <c r="P610" s="529">
        <f t="shared" si="245"/>
        <v>19.906</v>
      </c>
      <c r="Q610" s="24">
        <f t="shared" si="246"/>
        <v>5</v>
      </c>
      <c r="R610" s="530">
        <f t="shared" si="247"/>
        <v>0.040983606557377</v>
      </c>
    </row>
    <row r="611" hidden="1" spans="1:18">
      <c r="A611" s="524"/>
      <c r="B611" s="540" t="s">
        <v>99</v>
      </c>
      <c r="C611" s="540">
        <v>0</v>
      </c>
      <c r="D611" s="540">
        <v>0</v>
      </c>
      <c r="E611" s="540">
        <v>0</v>
      </c>
      <c r="F611" s="540">
        <v>0</v>
      </c>
      <c r="G611" s="540">
        <v>0</v>
      </c>
      <c r="H611" s="540">
        <v>0</v>
      </c>
      <c r="I611" s="540">
        <v>0</v>
      </c>
      <c r="J611" s="540">
        <v>0</v>
      </c>
      <c r="K611" s="527">
        <f t="shared" si="232"/>
        <v>0</v>
      </c>
      <c r="L611" s="528">
        <f t="shared" si="242"/>
        <v>0</v>
      </c>
      <c r="M611" s="528">
        <f t="shared" si="233"/>
        <v>0</v>
      </c>
      <c r="N611" s="528">
        <f t="shared" si="243"/>
        <v>0</v>
      </c>
      <c r="O611" s="528">
        <f t="shared" si="244"/>
        <v>0</v>
      </c>
      <c r="P611" s="529">
        <f t="shared" si="245"/>
        <v>0</v>
      </c>
      <c r="Q611" s="24">
        <f t="shared" si="246"/>
        <v>0</v>
      </c>
      <c r="R611" s="530">
        <f t="shared" si="247"/>
        <v>0</v>
      </c>
    </row>
    <row r="612" hidden="1" spans="1:18">
      <c r="A612" s="524"/>
      <c r="B612" s="540" t="s">
        <v>100</v>
      </c>
      <c r="C612" s="540">
        <v>1255.99</v>
      </c>
      <c r="D612" s="540">
        <v>95795</v>
      </c>
      <c r="E612" s="540">
        <v>1491</v>
      </c>
      <c r="F612" s="540">
        <v>1</v>
      </c>
      <c r="G612" s="540">
        <v>13112</v>
      </c>
      <c r="H612" s="540">
        <v>72</v>
      </c>
      <c r="I612" s="540">
        <v>102</v>
      </c>
      <c r="J612" s="540">
        <v>12</v>
      </c>
      <c r="K612" s="527">
        <f t="shared" si="232"/>
        <v>0.0155644866642309</v>
      </c>
      <c r="L612" s="528">
        <f t="shared" si="242"/>
        <v>0.842380952380952</v>
      </c>
      <c r="M612" s="528">
        <f t="shared" si="233"/>
        <v>13.1112270995355</v>
      </c>
      <c r="N612" s="528">
        <f t="shared" si="243"/>
        <v>10.4395735634838</v>
      </c>
      <c r="O612" s="528">
        <f t="shared" si="244"/>
        <v>0.000670690811535882</v>
      </c>
      <c r="P612" s="529">
        <f t="shared" si="245"/>
        <v>7.21833333333333</v>
      </c>
      <c r="Q612" s="24">
        <f t="shared" si="246"/>
        <v>174</v>
      </c>
      <c r="R612" s="530">
        <f t="shared" si="247"/>
        <v>0.116700201207243</v>
      </c>
    </row>
    <row r="613" hidden="1" spans="1:18">
      <c r="A613" s="524"/>
      <c r="B613" s="540" t="s">
        <v>101</v>
      </c>
      <c r="C613" s="540">
        <v>0</v>
      </c>
      <c r="D613" s="540">
        <v>0</v>
      </c>
      <c r="E613" s="540">
        <v>0</v>
      </c>
      <c r="F613" s="540">
        <v>0</v>
      </c>
      <c r="G613" s="540">
        <v>0</v>
      </c>
      <c r="H613" s="540">
        <v>0</v>
      </c>
      <c r="I613" s="540">
        <v>0</v>
      </c>
      <c r="J613" s="540">
        <v>0</v>
      </c>
      <c r="K613" s="527">
        <f t="shared" si="232"/>
        <v>0</v>
      </c>
      <c r="L613" s="528">
        <f t="shared" si="242"/>
        <v>0</v>
      </c>
      <c r="M613" s="528">
        <f t="shared" si="233"/>
        <v>0</v>
      </c>
      <c r="N613" s="528">
        <f t="shared" si="243"/>
        <v>0</v>
      </c>
      <c r="O613" s="528">
        <f t="shared" si="244"/>
        <v>0</v>
      </c>
      <c r="P613" s="529">
        <f t="shared" si="245"/>
        <v>0</v>
      </c>
      <c r="Q613" s="24">
        <f t="shared" si="246"/>
        <v>0</v>
      </c>
      <c r="R613" s="530">
        <f t="shared" si="247"/>
        <v>0</v>
      </c>
    </row>
    <row r="614" hidden="1" spans="1:18">
      <c r="A614" s="524"/>
      <c r="B614" s="531" t="s">
        <v>96</v>
      </c>
      <c r="C614" s="533">
        <f t="shared" ref="C614:J614" si="252">SUM(C610:C613)</f>
        <v>1355.52</v>
      </c>
      <c r="D614" s="533">
        <f t="shared" si="252"/>
        <v>104397</v>
      </c>
      <c r="E614" s="533">
        <f t="shared" si="252"/>
        <v>1613</v>
      </c>
      <c r="F614" s="533">
        <f t="shared" si="252"/>
        <v>1</v>
      </c>
      <c r="G614" s="533">
        <f t="shared" si="252"/>
        <v>13112</v>
      </c>
      <c r="H614" s="533">
        <f t="shared" si="252"/>
        <v>72</v>
      </c>
      <c r="I614" s="533">
        <f t="shared" si="252"/>
        <v>107</v>
      </c>
      <c r="J614" s="533">
        <f t="shared" si="252"/>
        <v>12</v>
      </c>
      <c r="K614" s="534">
        <f t="shared" si="232"/>
        <v>0.0154506355546615</v>
      </c>
      <c r="L614" s="535">
        <f t="shared" si="242"/>
        <v>0.840371977681339</v>
      </c>
      <c r="M614" s="535">
        <f t="shared" si="233"/>
        <v>12.9842811575045</v>
      </c>
      <c r="N614" s="535">
        <f t="shared" si="243"/>
        <v>9.67304060434372</v>
      </c>
      <c r="O614" s="535">
        <f t="shared" si="244"/>
        <v>0.000619962802231866</v>
      </c>
      <c r="P614" s="536">
        <f t="shared" si="245"/>
        <v>7.5727374301676</v>
      </c>
      <c r="Q614" s="531">
        <f t="shared" si="246"/>
        <v>179</v>
      </c>
      <c r="R614" s="537">
        <f t="shared" si="247"/>
        <v>0.110973341599504</v>
      </c>
    </row>
    <row r="615" hidden="1" spans="1:18">
      <c r="A615" s="524">
        <v>45573</v>
      </c>
      <c r="B615" s="540" t="s">
        <v>98</v>
      </c>
      <c r="C615" s="540">
        <v>98.57</v>
      </c>
      <c r="D615" s="540">
        <v>9284</v>
      </c>
      <c r="E615" s="540">
        <v>102</v>
      </c>
      <c r="F615" s="540">
        <v>0</v>
      </c>
      <c r="G615" s="540">
        <v>0</v>
      </c>
      <c r="H615" s="540">
        <v>0</v>
      </c>
      <c r="I615" s="540">
        <v>1</v>
      </c>
      <c r="J615" s="540">
        <v>2</v>
      </c>
      <c r="K615" s="527">
        <f t="shared" si="232"/>
        <v>0.0109866436880655</v>
      </c>
      <c r="L615" s="528">
        <f t="shared" si="242"/>
        <v>0.966372549019608</v>
      </c>
      <c r="M615" s="528">
        <f t="shared" si="233"/>
        <v>10.617190866006</v>
      </c>
      <c r="N615" s="528">
        <f t="shared" si="243"/>
        <v>0</v>
      </c>
      <c r="O615" s="528">
        <f t="shared" si="244"/>
        <v>0</v>
      </c>
      <c r="P615" s="529">
        <f t="shared" si="245"/>
        <v>98.57</v>
      </c>
      <c r="Q615" s="24">
        <f t="shared" si="246"/>
        <v>1</v>
      </c>
      <c r="R615" s="530">
        <f t="shared" si="247"/>
        <v>0.00980392156862745</v>
      </c>
    </row>
    <row r="616" hidden="1" spans="1:18">
      <c r="A616" s="524"/>
      <c r="B616" s="540" t="s">
        <v>99</v>
      </c>
      <c r="C616" s="540">
        <v>0</v>
      </c>
      <c r="D616" s="540">
        <v>0</v>
      </c>
      <c r="E616" s="540">
        <v>0</v>
      </c>
      <c r="F616" s="540">
        <v>0</v>
      </c>
      <c r="G616" s="540">
        <v>0</v>
      </c>
      <c r="H616" s="540">
        <v>0</v>
      </c>
      <c r="I616" s="540">
        <v>0</v>
      </c>
      <c r="J616" s="540">
        <v>0</v>
      </c>
      <c r="K616" s="527">
        <f t="shared" si="232"/>
        <v>0</v>
      </c>
      <c r="L616" s="528">
        <f t="shared" si="242"/>
        <v>0</v>
      </c>
      <c r="M616" s="528">
        <f t="shared" si="233"/>
        <v>0</v>
      </c>
      <c r="N616" s="528">
        <f t="shared" si="243"/>
        <v>0</v>
      </c>
      <c r="O616" s="528">
        <f t="shared" si="244"/>
        <v>0</v>
      </c>
      <c r="P616" s="529">
        <f t="shared" si="245"/>
        <v>0</v>
      </c>
      <c r="Q616" s="24">
        <f t="shared" si="246"/>
        <v>0</v>
      </c>
      <c r="R616" s="530">
        <f t="shared" si="247"/>
        <v>0</v>
      </c>
    </row>
    <row r="617" hidden="1" spans="1:18">
      <c r="A617" s="524"/>
      <c r="B617" s="540" t="s">
        <v>100</v>
      </c>
      <c r="C617" s="540">
        <v>1218.4</v>
      </c>
      <c r="D617" s="540">
        <v>118896</v>
      </c>
      <c r="E617" s="540">
        <v>1061</v>
      </c>
      <c r="F617" s="540">
        <v>1</v>
      </c>
      <c r="G617" s="540">
        <v>10347</v>
      </c>
      <c r="H617" s="540">
        <v>51</v>
      </c>
      <c r="I617" s="540">
        <v>82</v>
      </c>
      <c r="J617" s="540">
        <v>3</v>
      </c>
      <c r="K617" s="527">
        <f t="shared" si="232"/>
        <v>0.00892376530749563</v>
      </c>
      <c r="L617" s="528">
        <f t="shared" si="242"/>
        <v>1.14835061262959</v>
      </c>
      <c r="M617" s="528">
        <f t="shared" si="233"/>
        <v>10.2476113578253</v>
      </c>
      <c r="N617" s="528">
        <f t="shared" si="243"/>
        <v>8.49228496388706</v>
      </c>
      <c r="O617" s="528">
        <f t="shared" si="244"/>
        <v>0.000942507068803016</v>
      </c>
      <c r="P617" s="529">
        <f t="shared" si="245"/>
        <v>9.1609022556391</v>
      </c>
      <c r="Q617" s="24">
        <f t="shared" si="246"/>
        <v>133</v>
      </c>
      <c r="R617" s="530">
        <f t="shared" si="247"/>
        <v>0.125353440150801</v>
      </c>
    </row>
    <row r="618" hidden="1" spans="1:18">
      <c r="A618" s="524"/>
      <c r="B618" s="540" t="s">
        <v>101</v>
      </c>
      <c r="C618" s="540">
        <v>0</v>
      </c>
      <c r="D618" s="540">
        <v>0</v>
      </c>
      <c r="E618" s="540">
        <v>0</v>
      </c>
      <c r="F618" s="540">
        <v>0</v>
      </c>
      <c r="G618" s="540">
        <v>0</v>
      </c>
      <c r="H618" s="540">
        <v>0</v>
      </c>
      <c r="I618" s="540">
        <v>0</v>
      </c>
      <c r="J618" s="540">
        <v>0</v>
      </c>
      <c r="K618" s="527">
        <f t="shared" si="232"/>
        <v>0</v>
      </c>
      <c r="L618" s="528">
        <f t="shared" si="242"/>
        <v>0</v>
      </c>
      <c r="M618" s="528">
        <f t="shared" si="233"/>
        <v>0</v>
      </c>
      <c r="N618" s="528">
        <f t="shared" si="243"/>
        <v>0</v>
      </c>
      <c r="O618" s="528">
        <f t="shared" si="244"/>
        <v>0</v>
      </c>
      <c r="P618" s="529">
        <f t="shared" si="245"/>
        <v>0</v>
      </c>
      <c r="Q618" s="24">
        <f t="shared" si="246"/>
        <v>0</v>
      </c>
      <c r="R618" s="530">
        <f t="shared" si="247"/>
        <v>0</v>
      </c>
    </row>
    <row r="619" hidden="1" spans="1:18">
      <c r="A619" s="524"/>
      <c r="B619" s="531" t="s">
        <v>96</v>
      </c>
      <c r="C619" s="533">
        <f t="shared" ref="C619:J619" si="253">SUM(C615:C618)</f>
        <v>1316.97</v>
      </c>
      <c r="D619" s="533">
        <f t="shared" si="253"/>
        <v>128180</v>
      </c>
      <c r="E619" s="533">
        <f t="shared" si="253"/>
        <v>1163</v>
      </c>
      <c r="F619" s="533">
        <f t="shared" si="253"/>
        <v>1</v>
      </c>
      <c r="G619" s="533">
        <f t="shared" si="253"/>
        <v>10347</v>
      </c>
      <c r="H619" s="533">
        <f t="shared" si="253"/>
        <v>51</v>
      </c>
      <c r="I619" s="533">
        <f t="shared" si="253"/>
        <v>83</v>
      </c>
      <c r="J619" s="533">
        <f t="shared" si="253"/>
        <v>5</v>
      </c>
      <c r="K619" s="534">
        <f t="shared" si="232"/>
        <v>0.00907317834295522</v>
      </c>
      <c r="L619" s="535">
        <f t="shared" si="242"/>
        <v>1.13239036973345</v>
      </c>
      <c r="M619" s="535">
        <f t="shared" si="233"/>
        <v>10.2743797784366</v>
      </c>
      <c r="N619" s="535">
        <f t="shared" si="243"/>
        <v>7.85667099478348</v>
      </c>
      <c r="O619" s="535">
        <f t="shared" si="244"/>
        <v>0.000859845227858985</v>
      </c>
      <c r="P619" s="536">
        <f t="shared" si="245"/>
        <v>9.82813432835821</v>
      </c>
      <c r="Q619" s="531">
        <f t="shared" si="246"/>
        <v>134</v>
      </c>
      <c r="R619" s="537">
        <f t="shared" si="247"/>
        <v>0.115219260533104</v>
      </c>
    </row>
    <row r="620" hidden="1" spans="1:18">
      <c r="A620" s="524">
        <v>45574</v>
      </c>
      <c r="B620" s="540" t="s">
        <v>98</v>
      </c>
      <c r="C620" s="540">
        <v>98.8</v>
      </c>
      <c r="D620" s="540">
        <v>5404</v>
      </c>
      <c r="E620" s="540">
        <v>70</v>
      </c>
      <c r="F620" s="540">
        <v>0</v>
      </c>
      <c r="G620" s="540">
        <v>0</v>
      </c>
      <c r="H620" s="540">
        <v>1</v>
      </c>
      <c r="I620" s="540">
        <v>2</v>
      </c>
      <c r="J620" s="540">
        <v>0</v>
      </c>
      <c r="K620" s="527">
        <f t="shared" si="232"/>
        <v>0.0129533678756477</v>
      </c>
      <c r="L620" s="528">
        <f t="shared" si="242"/>
        <v>1.41142857142857</v>
      </c>
      <c r="M620" s="528">
        <f t="shared" si="233"/>
        <v>18.2827535159141</v>
      </c>
      <c r="N620" s="528">
        <f t="shared" si="243"/>
        <v>0</v>
      </c>
      <c r="O620" s="528">
        <f t="shared" si="244"/>
        <v>0</v>
      </c>
      <c r="P620" s="529">
        <f t="shared" si="245"/>
        <v>32.9333333333333</v>
      </c>
      <c r="Q620" s="24">
        <f t="shared" si="246"/>
        <v>3</v>
      </c>
      <c r="R620" s="530">
        <f t="shared" si="247"/>
        <v>0.0428571428571429</v>
      </c>
    </row>
    <row r="621" hidden="1" spans="1:18">
      <c r="A621" s="524"/>
      <c r="B621" s="540" t="s">
        <v>99</v>
      </c>
      <c r="C621" s="540">
        <v>0</v>
      </c>
      <c r="D621" s="540">
        <v>0</v>
      </c>
      <c r="E621" s="540">
        <v>0</v>
      </c>
      <c r="F621" s="540">
        <v>0</v>
      </c>
      <c r="G621" s="540">
        <v>0</v>
      </c>
      <c r="H621" s="540">
        <v>0</v>
      </c>
      <c r="I621" s="540">
        <v>0</v>
      </c>
      <c r="J621" s="540">
        <v>0</v>
      </c>
      <c r="K621" s="527">
        <f t="shared" si="232"/>
        <v>0</v>
      </c>
      <c r="L621" s="528">
        <f t="shared" si="242"/>
        <v>0</v>
      </c>
      <c r="M621" s="528">
        <f t="shared" si="233"/>
        <v>0</v>
      </c>
      <c r="N621" s="528">
        <f t="shared" si="243"/>
        <v>0</v>
      </c>
      <c r="O621" s="528">
        <f t="shared" si="244"/>
        <v>0</v>
      </c>
      <c r="P621" s="529">
        <f t="shared" si="245"/>
        <v>0</v>
      </c>
      <c r="Q621" s="24">
        <f t="shared" si="246"/>
        <v>0</v>
      </c>
      <c r="R621" s="530">
        <f t="shared" si="247"/>
        <v>0</v>
      </c>
    </row>
    <row r="622" hidden="1" spans="1:18">
      <c r="A622" s="524"/>
      <c r="B622" s="540" t="s">
        <v>100</v>
      </c>
      <c r="C622" s="540">
        <v>1147.64</v>
      </c>
      <c r="D622" s="540">
        <v>144271</v>
      </c>
      <c r="E622" s="540">
        <v>1118</v>
      </c>
      <c r="F622" s="540">
        <v>0</v>
      </c>
      <c r="G622" s="540">
        <v>0</v>
      </c>
      <c r="H622" s="540">
        <v>32</v>
      </c>
      <c r="I622" s="540">
        <v>80</v>
      </c>
      <c r="J622" s="540">
        <v>8</v>
      </c>
      <c r="K622" s="527">
        <f t="shared" si="232"/>
        <v>0.00774930512715653</v>
      </c>
      <c r="L622" s="528">
        <f t="shared" si="242"/>
        <v>1.02651162790698</v>
      </c>
      <c r="M622" s="528">
        <f t="shared" si="233"/>
        <v>7.95475182122533</v>
      </c>
      <c r="N622" s="528">
        <f t="shared" si="243"/>
        <v>0</v>
      </c>
      <c r="O622" s="528">
        <f t="shared" si="244"/>
        <v>0</v>
      </c>
      <c r="P622" s="529">
        <f t="shared" si="245"/>
        <v>10.2467857142857</v>
      </c>
      <c r="Q622" s="24">
        <f t="shared" si="246"/>
        <v>112</v>
      </c>
      <c r="R622" s="530">
        <f t="shared" si="247"/>
        <v>0.100178890876565</v>
      </c>
    </row>
    <row r="623" hidden="1" spans="1:18">
      <c r="A623" s="524"/>
      <c r="B623" s="540" t="s">
        <v>101</v>
      </c>
      <c r="C623" s="540">
        <v>0</v>
      </c>
      <c r="D623" s="540">
        <v>0</v>
      </c>
      <c r="E623" s="540">
        <v>0</v>
      </c>
      <c r="F623" s="540">
        <v>0</v>
      </c>
      <c r="G623" s="540">
        <v>0</v>
      </c>
      <c r="H623" s="540">
        <v>0</v>
      </c>
      <c r="I623" s="540">
        <v>0</v>
      </c>
      <c r="J623" s="540">
        <v>0</v>
      </c>
      <c r="K623" s="527">
        <f t="shared" ref="K623:K686" si="254">IF(E623=0,0,E623/D623)</f>
        <v>0</v>
      </c>
      <c r="L623" s="528">
        <f t="shared" si="242"/>
        <v>0</v>
      </c>
      <c r="M623" s="528">
        <f t="shared" ref="M623:M686" si="255">IF(D623=0,0,C623/D623*1000)</f>
        <v>0</v>
      </c>
      <c r="N623" s="528">
        <f t="shared" si="243"/>
        <v>0</v>
      </c>
      <c r="O623" s="528">
        <f t="shared" si="244"/>
        <v>0</v>
      </c>
      <c r="P623" s="529">
        <f t="shared" si="245"/>
        <v>0</v>
      </c>
      <c r="Q623" s="24">
        <f t="shared" si="246"/>
        <v>0</v>
      </c>
      <c r="R623" s="530">
        <f t="shared" si="247"/>
        <v>0</v>
      </c>
    </row>
    <row r="624" hidden="1" spans="1:18">
      <c r="A624" s="524"/>
      <c r="B624" s="531" t="s">
        <v>96</v>
      </c>
      <c r="C624" s="533">
        <f t="shared" ref="C624:J624" si="256">SUM(C620:C623)</f>
        <v>1246.44</v>
      </c>
      <c r="D624" s="533">
        <f t="shared" si="256"/>
        <v>149675</v>
      </c>
      <c r="E624" s="533">
        <f t="shared" si="256"/>
        <v>1188</v>
      </c>
      <c r="F624" s="533">
        <f t="shared" si="256"/>
        <v>0</v>
      </c>
      <c r="G624" s="533">
        <f t="shared" si="256"/>
        <v>0</v>
      </c>
      <c r="H624" s="533">
        <f t="shared" si="256"/>
        <v>33</v>
      </c>
      <c r="I624" s="533">
        <f t="shared" si="256"/>
        <v>82</v>
      </c>
      <c r="J624" s="533">
        <f t="shared" si="256"/>
        <v>8</v>
      </c>
      <c r="K624" s="534">
        <f t="shared" si="254"/>
        <v>0.00793719726073159</v>
      </c>
      <c r="L624" s="535">
        <f t="shared" si="242"/>
        <v>1.04919191919192</v>
      </c>
      <c r="M624" s="535">
        <f t="shared" si="255"/>
        <v>8.32764322699182</v>
      </c>
      <c r="N624" s="535">
        <f t="shared" si="243"/>
        <v>0</v>
      </c>
      <c r="O624" s="535">
        <f t="shared" si="244"/>
        <v>0</v>
      </c>
      <c r="P624" s="536">
        <f t="shared" si="245"/>
        <v>10.8386086956522</v>
      </c>
      <c r="Q624" s="531">
        <f t="shared" si="246"/>
        <v>115</v>
      </c>
      <c r="R624" s="537">
        <f t="shared" si="247"/>
        <v>0.0968013468013468</v>
      </c>
    </row>
    <row r="625" hidden="1" spans="1:18">
      <c r="A625" s="524">
        <v>45575</v>
      </c>
      <c r="B625" s="540" t="s">
        <v>98</v>
      </c>
      <c r="C625" s="540">
        <v>98.23</v>
      </c>
      <c r="D625" s="540">
        <v>6201</v>
      </c>
      <c r="E625" s="540">
        <v>92</v>
      </c>
      <c r="F625" s="540">
        <v>0</v>
      </c>
      <c r="G625" s="540">
        <v>0</v>
      </c>
      <c r="H625" s="540">
        <v>0</v>
      </c>
      <c r="I625" s="540">
        <v>0</v>
      </c>
      <c r="J625" s="540">
        <v>2</v>
      </c>
      <c r="K625" s="527">
        <f t="shared" si="254"/>
        <v>0.0148363167231092</v>
      </c>
      <c r="L625" s="528">
        <f t="shared" si="242"/>
        <v>1.06771739130435</v>
      </c>
      <c r="M625" s="528">
        <f t="shared" si="255"/>
        <v>15.8409933881632</v>
      </c>
      <c r="N625" s="528">
        <f t="shared" si="243"/>
        <v>0</v>
      </c>
      <c r="O625" s="528">
        <f t="shared" si="244"/>
        <v>0</v>
      </c>
      <c r="P625" s="529">
        <f t="shared" si="245"/>
        <v>0</v>
      </c>
      <c r="Q625" s="24">
        <f t="shared" si="246"/>
        <v>0</v>
      </c>
      <c r="R625" s="530">
        <f t="shared" si="247"/>
        <v>0</v>
      </c>
    </row>
    <row r="626" hidden="1" spans="1:18">
      <c r="A626" s="524"/>
      <c r="B626" s="540" t="s">
        <v>99</v>
      </c>
      <c r="C626" s="540">
        <v>0</v>
      </c>
      <c r="D626" s="540">
        <v>0</v>
      </c>
      <c r="E626" s="540">
        <v>0</v>
      </c>
      <c r="F626" s="540">
        <v>0</v>
      </c>
      <c r="G626" s="540">
        <v>0</v>
      </c>
      <c r="H626" s="540">
        <v>0</v>
      </c>
      <c r="I626" s="540">
        <v>0</v>
      </c>
      <c r="J626" s="540">
        <v>0</v>
      </c>
      <c r="K626" s="527">
        <f t="shared" si="254"/>
        <v>0</v>
      </c>
      <c r="L626" s="528">
        <f t="shared" si="242"/>
        <v>0</v>
      </c>
      <c r="M626" s="528">
        <f t="shared" si="255"/>
        <v>0</v>
      </c>
      <c r="N626" s="528">
        <f t="shared" si="243"/>
        <v>0</v>
      </c>
      <c r="O626" s="528">
        <f t="shared" si="244"/>
        <v>0</v>
      </c>
      <c r="P626" s="529">
        <f t="shared" si="245"/>
        <v>0</v>
      </c>
      <c r="Q626" s="24">
        <f t="shared" si="246"/>
        <v>0</v>
      </c>
      <c r="R626" s="530">
        <f t="shared" si="247"/>
        <v>0</v>
      </c>
    </row>
    <row r="627" hidden="1" spans="1:18">
      <c r="A627" s="524"/>
      <c r="B627" s="540" t="s">
        <v>100</v>
      </c>
      <c r="C627" s="540">
        <v>1193.36</v>
      </c>
      <c r="D627" s="540">
        <v>271356</v>
      </c>
      <c r="E627" s="540">
        <v>1502</v>
      </c>
      <c r="F627" s="540">
        <v>1</v>
      </c>
      <c r="G627" s="540">
        <v>24228</v>
      </c>
      <c r="H627" s="540">
        <v>40</v>
      </c>
      <c r="I627" s="540">
        <v>64</v>
      </c>
      <c r="J627" s="540">
        <v>6</v>
      </c>
      <c r="K627" s="527">
        <f t="shared" si="254"/>
        <v>0.00553516413862233</v>
      </c>
      <c r="L627" s="528">
        <f t="shared" si="242"/>
        <v>0.794513981358189</v>
      </c>
      <c r="M627" s="528">
        <f t="shared" si="255"/>
        <v>4.3977652972479</v>
      </c>
      <c r="N627" s="528">
        <f t="shared" si="243"/>
        <v>20.3023396125226</v>
      </c>
      <c r="O627" s="528">
        <f t="shared" si="244"/>
        <v>0.00066577896138482</v>
      </c>
      <c r="P627" s="529">
        <f t="shared" si="245"/>
        <v>11.4746153846154</v>
      </c>
      <c r="Q627" s="24">
        <f t="shared" si="246"/>
        <v>104</v>
      </c>
      <c r="R627" s="530">
        <f t="shared" si="247"/>
        <v>0.0692410119840213</v>
      </c>
    </row>
    <row r="628" hidden="1" spans="1:18">
      <c r="A628" s="524"/>
      <c r="B628" s="540" t="s">
        <v>101</v>
      </c>
      <c r="C628" s="540">
        <v>0</v>
      </c>
      <c r="D628" s="540">
        <v>0</v>
      </c>
      <c r="E628" s="540">
        <v>0</v>
      </c>
      <c r="F628" s="540">
        <v>0</v>
      </c>
      <c r="G628" s="540">
        <v>0</v>
      </c>
      <c r="H628" s="540">
        <v>0</v>
      </c>
      <c r="I628" s="540">
        <v>0</v>
      </c>
      <c r="J628" s="540">
        <v>0</v>
      </c>
      <c r="K628" s="527">
        <f t="shared" si="254"/>
        <v>0</v>
      </c>
      <c r="L628" s="528">
        <f t="shared" si="242"/>
        <v>0</v>
      </c>
      <c r="M628" s="528">
        <f t="shared" si="255"/>
        <v>0</v>
      </c>
      <c r="N628" s="528">
        <f t="shared" si="243"/>
        <v>0</v>
      </c>
      <c r="O628" s="528">
        <f t="shared" si="244"/>
        <v>0</v>
      </c>
      <c r="P628" s="529">
        <f t="shared" si="245"/>
        <v>0</v>
      </c>
      <c r="Q628" s="24">
        <f t="shared" si="246"/>
        <v>0</v>
      </c>
      <c r="R628" s="530">
        <f t="shared" si="247"/>
        <v>0</v>
      </c>
    </row>
    <row r="629" hidden="1" spans="1:18">
      <c r="A629" s="524"/>
      <c r="B629" s="531" t="s">
        <v>96</v>
      </c>
      <c r="C629" s="533">
        <f t="shared" ref="C629:J629" si="257">SUM(C625:C628)</f>
        <v>1291.59</v>
      </c>
      <c r="D629" s="533">
        <f t="shared" si="257"/>
        <v>277557</v>
      </c>
      <c r="E629" s="533">
        <f t="shared" si="257"/>
        <v>1594</v>
      </c>
      <c r="F629" s="533">
        <f t="shared" si="257"/>
        <v>1</v>
      </c>
      <c r="G629" s="533">
        <f t="shared" si="257"/>
        <v>24228</v>
      </c>
      <c r="H629" s="533">
        <f t="shared" si="257"/>
        <v>40</v>
      </c>
      <c r="I629" s="533">
        <f t="shared" si="257"/>
        <v>64</v>
      </c>
      <c r="J629" s="533">
        <f t="shared" si="257"/>
        <v>8</v>
      </c>
      <c r="K629" s="534">
        <f t="shared" si="254"/>
        <v>0.00574296450819111</v>
      </c>
      <c r="L629" s="535">
        <f t="shared" si="242"/>
        <v>0.810282308657465</v>
      </c>
      <c r="M629" s="535">
        <f t="shared" si="255"/>
        <v>4.65342254023498</v>
      </c>
      <c r="N629" s="535">
        <f t="shared" si="243"/>
        <v>18.758274684691</v>
      </c>
      <c r="O629" s="535">
        <f t="shared" si="244"/>
        <v>0.000627352572145546</v>
      </c>
      <c r="P629" s="536">
        <f t="shared" si="245"/>
        <v>12.4191346153846</v>
      </c>
      <c r="Q629" s="531">
        <f t="shared" si="246"/>
        <v>104</v>
      </c>
      <c r="R629" s="537">
        <f t="shared" si="247"/>
        <v>0.0652446675031368</v>
      </c>
    </row>
    <row r="630" hidden="1" spans="1:18">
      <c r="A630" s="524">
        <v>45576</v>
      </c>
      <c r="B630" s="540" t="s">
        <v>98</v>
      </c>
      <c r="C630" s="540">
        <v>97.39</v>
      </c>
      <c r="D630" s="540">
        <v>9103</v>
      </c>
      <c r="E630" s="540">
        <v>100</v>
      </c>
      <c r="F630" s="540">
        <v>0</v>
      </c>
      <c r="G630" s="540">
        <v>0</v>
      </c>
      <c r="H630" s="540">
        <v>0</v>
      </c>
      <c r="I630" s="540">
        <v>2</v>
      </c>
      <c r="J630" s="540">
        <v>1</v>
      </c>
      <c r="K630" s="527">
        <f t="shared" si="254"/>
        <v>0.0109853894320554</v>
      </c>
      <c r="L630" s="528">
        <f t="shared" si="242"/>
        <v>0.9739</v>
      </c>
      <c r="M630" s="528">
        <f t="shared" si="255"/>
        <v>10.6986707678787</v>
      </c>
      <c r="N630" s="528">
        <f t="shared" si="243"/>
        <v>0</v>
      </c>
      <c r="O630" s="528">
        <f t="shared" si="244"/>
        <v>0</v>
      </c>
      <c r="P630" s="529">
        <f t="shared" si="245"/>
        <v>48.695</v>
      </c>
      <c r="Q630" s="24">
        <f t="shared" si="246"/>
        <v>2</v>
      </c>
      <c r="R630" s="530">
        <f t="shared" si="247"/>
        <v>0.02</v>
      </c>
    </row>
    <row r="631" hidden="1" spans="1:18">
      <c r="A631" s="524"/>
      <c r="B631" s="540" t="s">
        <v>99</v>
      </c>
      <c r="C631" s="540">
        <v>0</v>
      </c>
      <c r="D631" s="540">
        <v>0</v>
      </c>
      <c r="E631" s="540">
        <v>0</v>
      </c>
      <c r="F631" s="540">
        <v>0</v>
      </c>
      <c r="G631" s="540">
        <v>0</v>
      </c>
      <c r="H631" s="540">
        <v>0</v>
      </c>
      <c r="I631" s="540">
        <v>0</v>
      </c>
      <c r="J631" s="540">
        <v>0</v>
      </c>
      <c r="K631" s="527">
        <f t="shared" si="254"/>
        <v>0</v>
      </c>
      <c r="L631" s="528">
        <f t="shared" si="242"/>
        <v>0</v>
      </c>
      <c r="M631" s="528">
        <f t="shared" si="255"/>
        <v>0</v>
      </c>
      <c r="N631" s="528">
        <f t="shared" si="243"/>
        <v>0</v>
      </c>
      <c r="O631" s="528">
        <f t="shared" si="244"/>
        <v>0</v>
      </c>
      <c r="P631" s="529">
        <f t="shared" si="245"/>
        <v>0</v>
      </c>
      <c r="Q631" s="24">
        <f t="shared" si="246"/>
        <v>0</v>
      </c>
      <c r="R631" s="530">
        <f t="shared" si="247"/>
        <v>0</v>
      </c>
    </row>
    <row r="632" hidden="1" spans="1:18">
      <c r="A632" s="524"/>
      <c r="B632" s="540" t="s">
        <v>100</v>
      </c>
      <c r="C632" s="540">
        <v>1435.64</v>
      </c>
      <c r="D632" s="540">
        <v>176833</v>
      </c>
      <c r="E632" s="540">
        <v>1208</v>
      </c>
      <c r="F632" s="540">
        <v>0</v>
      </c>
      <c r="G632" s="540">
        <v>0</v>
      </c>
      <c r="H632" s="540">
        <v>58</v>
      </c>
      <c r="I632" s="540">
        <v>104</v>
      </c>
      <c r="J632" s="540">
        <v>10</v>
      </c>
      <c r="K632" s="527">
        <f t="shared" si="254"/>
        <v>0.00683130411178909</v>
      </c>
      <c r="L632" s="528">
        <f t="shared" si="242"/>
        <v>1.18844370860927</v>
      </c>
      <c r="M632" s="528">
        <f t="shared" si="255"/>
        <v>8.11862039325239</v>
      </c>
      <c r="N632" s="528">
        <f t="shared" si="243"/>
        <v>0</v>
      </c>
      <c r="O632" s="528">
        <f t="shared" si="244"/>
        <v>0</v>
      </c>
      <c r="P632" s="529">
        <f t="shared" si="245"/>
        <v>8.86197530864198</v>
      </c>
      <c r="Q632" s="24">
        <f t="shared" si="246"/>
        <v>162</v>
      </c>
      <c r="R632" s="530">
        <f t="shared" si="247"/>
        <v>0.134105960264901</v>
      </c>
    </row>
    <row r="633" hidden="1" spans="1:18">
      <c r="A633" s="524"/>
      <c r="B633" s="540" t="s">
        <v>101</v>
      </c>
      <c r="C633" s="540">
        <v>0</v>
      </c>
      <c r="D633" s="540">
        <v>0</v>
      </c>
      <c r="E633" s="540">
        <v>0</v>
      </c>
      <c r="F633" s="540">
        <v>0</v>
      </c>
      <c r="G633" s="540">
        <v>0</v>
      </c>
      <c r="H633" s="540">
        <v>0</v>
      </c>
      <c r="I633" s="540">
        <v>0</v>
      </c>
      <c r="J633" s="540">
        <v>0</v>
      </c>
      <c r="K633" s="527">
        <f t="shared" si="254"/>
        <v>0</v>
      </c>
      <c r="L633" s="528">
        <f t="shared" si="242"/>
        <v>0</v>
      </c>
      <c r="M633" s="528">
        <f t="shared" si="255"/>
        <v>0</v>
      </c>
      <c r="N633" s="528">
        <f t="shared" si="243"/>
        <v>0</v>
      </c>
      <c r="O633" s="528">
        <f t="shared" si="244"/>
        <v>0</v>
      </c>
      <c r="P633" s="529">
        <f t="shared" si="245"/>
        <v>0</v>
      </c>
      <c r="Q633" s="24">
        <f t="shared" si="246"/>
        <v>0</v>
      </c>
      <c r="R633" s="530">
        <f t="shared" si="247"/>
        <v>0</v>
      </c>
    </row>
    <row r="634" hidden="1" spans="1:18">
      <c r="A634" s="524"/>
      <c r="B634" s="531" t="s">
        <v>96</v>
      </c>
      <c r="C634" s="533">
        <f t="shared" ref="C634:J634" si="258">SUM(C630:C633)</f>
        <v>1533.03</v>
      </c>
      <c r="D634" s="533">
        <f t="shared" si="258"/>
        <v>185936</v>
      </c>
      <c r="E634" s="533">
        <f t="shared" si="258"/>
        <v>1308</v>
      </c>
      <c r="F634" s="533">
        <f t="shared" si="258"/>
        <v>0</v>
      </c>
      <c r="G634" s="533">
        <f t="shared" si="258"/>
        <v>0</v>
      </c>
      <c r="H634" s="533">
        <f t="shared" si="258"/>
        <v>58</v>
      </c>
      <c r="I634" s="533">
        <f t="shared" si="258"/>
        <v>106</v>
      </c>
      <c r="J634" s="533">
        <f t="shared" si="258"/>
        <v>11</v>
      </c>
      <c r="K634" s="534">
        <f t="shared" si="254"/>
        <v>0.00703467859908786</v>
      </c>
      <c r="L634" s="535">
        <f t="shared" si="242"/>
        <v>1.17204128440367</v>
      </c>
      <c r="M634" s="535">
        <f t="shared" si="255"/>
        <v>8.24493374064194</v>
      </c>
      <c r="N634" s="535">
        <f t="shared" si="243"/>
        <v>0</v>
      </c>
      <c r="O634" s="535">
        <f t="shared" si="244"/>
        <v>0</v>
      </c>
      <c r="P634" s="536">
        <f t="shared" si="245"/>
        <v>9.34774390243903</v>
      </c>
      <c r="Q634" s="531">
        <f t="shared" si="246"/>
        <v>164</v>
      </c>
      <c r="R634" s="537">
        <f t="shared" si="247"/>
        <v>0.125382262996942</v>
      </c>
    </row>
    <row r="635" hidden="1" spans="1:18">
      <c r="A635" s="524">
        <v>45577</v>
      </c>
      <c r="B635" s="540" t="s">
        <v>98</v>
      </c>
      <c r="C635" s="549">
        <v>100</v>
      </c>
      <c r="D635" s="549">
        <v>7897</v>
      </c>
      <c r="E635" s="549">
        <v>126</v>
      </c>
      <c r="F635" s="549">
        <v>0</v>
      </c>
      <c r="G635" s="549">
        <v>0</v>
      </c>
      <c r="H635" s="549">
        <v>2</v>
      </c>
      <c r="I635" s="549">
        <v>1</v>
      </c>
      <c r="J635" s="549">
        <v>0</v>
      </c>
      <c r="K635" s="527">
        <f t="shared" si="254"/>
        <v>0.0159554261111815</v>
      </c>
      <c r="L635" s="528">
        <f t="shared" si="242"/>
        <v>0.793650793650794</v>
      </c>
      <c r="M635" s="528">
        <f t="shared" si="255"/>
        <v>12.6630365961758</v>
      </c>
      <c r="N635" s="528">
        <f t="shared" si="243"/>
        <v>0</v>
      </c>
      <c r="O635" s="528">
        <f t="shared" si="244"/>
        <v>0</v>
      </c>
      <c r="P635" s="529">
        <f t="shared" si="245"/>
        <v>33.3333333333333</v>
      </c>
      <c r="Q635" s="24">
        <f t="shared" si="246"/>
        <v>3</v>
      </c>
      <c r="R635" s="530">
        <f t="shared" si="247"/>
        <v>0.0238095238095238</v>
      </c>
    </row>
    <row r="636" hidden="1" spans="1:18">
      <c r="A636" s="524"/>
      <c r="B636" s="540" t="s">
        <v>99</v>
      </c>
      <c r="C636" s="540">
        <v>0</v>
      </c>
      <c r="D636" s="540">
        <v>0</v>
      </c>
      <c r="E636" s="540">
        <v>0</v>
      </c>
      <c r="F636" s="540">
        <v>0</v>
      </c>
      <c r="G636" s="540">
        <v>0</v>
      </c>
      <c r="H636" s="540">
        <v>0</v>
      </c>
      <c r="I636" s="540">
        <v>0</v>
      </c>
      <c r="J636" s="540">
        <v>0</v>
      </c>
      <c r="K636" s="527">
        <f t="shared" si="254"/>
        <v>0</v>
      </c>
      <c r="L636" s="528">
        <f t="shared" si="242"/>
        <v>0</v>
      </c>
      <c r="M636" s="528">
        <f t="shared" si="255"/>
        <v>0</v>
      </c>
      <c r="N636" s="528">
        <f t="shared" si="243"/>
        <v>0</v>
      </c>
      <c r="O636" s="528">
        <f t="shared" si="244"/>
        <v>0</v>
      </c>
      <c r="P636" s="529">
        <f t="shared" si="245"/>
        <v>0</v>
      </c>
      <c r="Q636" s="24">
        <f t="shared" si="246"/>
        <v>0</v>
      </c>
      <c r="R636" s="530">
        <f t="shared" si="247"/>
        <v>0</v>
      </c>
    </row>
    <row r="637" hidden="1" spans="1:18">
      <c r="A637" s="524"/>
      <c r="B637" s="540" t="s">
        <v>100</v>
      </c>
      <c r="C637" s="549">
        <v>1508.29</v>
      </c>
      <c r="D637" s="549">
        <v>164593</v>
      </c>
      <c r="E637" s="549">
        <v>1254</v>
      </c>
      <c r="F637" s="549">
        <v>0</v>
      </c>
      <c r="G637" s="549">
        <v>0</v>
      </c>
      <c r="H637" s="549">
        <v>79</v>
      </c>
      <c r="I637" s="549">
        <v>84</v>
      </c>
      <c r="J637" s="549">
        <v>12</v>
      </c>
      <c r="K637" s="527">
        <f t="shared" si="254"/>
        <v>0.00761879302278955</v>
      </c>
      <c r="L637" s="528">
        <f t="shared" si="242"/>
        <v>1.20278309409888</v>
      </c>
      <c r="M637" s="528">
        <f t="shared" si="255"/>
        <v>9.1637554452498</v>
      </c>
      <c r="N637" s="528">
        <f t="shared" si="243"/>
        <v>0</v>
      </c>
      <c r="O637" s="528">
        <f t="shared" si="244"/>
        <v>0</v>
      </c>
      <c r="P637" s="529">
        <f t="shared" si="245"/>
        <v>9.25331288343558</v>
      </c>
      <c r="Q637" s="24">
        <f t="shared" si="246"/>
        <v>163</v>
      </c>
      <c r="R637" s="530">
        <f t="shared" si="247"/>
        <v>0.129984051036683</v>
      </c>
    </row>
    <row r="638" hidden="1" spans="1:18">
      <c r="A638" s="524"/>
      <c r="B638" s="540" t="s">
        <v>101</v>
      </c>
      <c r="C638" s="540">
        <v>0</v>
      </c>
      <c r="D638" s="540">
        <v>0</v>
      </c>
      <c r="E638" s="540">
        <v>0</v>
      </c>
      <c r="F638" s="540">
        <v>0</v>
      </c>
      <c r="G638" s="540">
        <v>0</v>
      </c>
      <c r="H638" s="540">
        <v>0</v>
      </c>
      <c r="I638" s="540">
        <v>0</v>
      </c>
      <c r="J638" s="540">
        <v>0</v>
      </c>
      <c r="K638" s="527">
        <f t="shared" si="254"/>
        <v>0</v>
      </c>
      <c r="L638" s="528">
        <f t="shared" si="242"/>
        <v>0</v>
      </c>
      <c r="M638" s="528">
        <f t="shared" si="255"/>
        <v>0</v>
      </c>
      <c r="N638" s="528">
        <f t="shared" si="243"/>
        <v>0</v>
      </c>
      <c r="O638" s="528">
        <f t="shared" si="244"/>
        <v>0</v>
      </c>
      <c r="P638" s="529">
        <f t="shared" si="245"/>
        <v>0</v>
      </c>
      <c r="Q638" s="24">
        <f t="shared" si="246"/>
        <v>0</v>
      </c>
      <c r="R638" s="530">
        <f t="shared" si="247"/>
        <v>0</v>
      </c>
    </row>
    <row r="639" hidden="1" spans="1:18">
      <c r="A639" s="524"/>
      <c r="B639" s="531" t="s">
        <v>96</v>
      </c>
      <c r="C639" s="533">
        <f t="shared" ref="C639:J639" si="259">SUM(C635:C638)</f>
        <v>1608.29</v>
      </c>
      <c r="D639" s="533">
        <f t="shared" si="259"/>
        <v>172490</v>
      </c>
      <c r="E639" s="533">
        <f t="shared" si="259"/>
        <v>1380</v>
      </c>
      <c r="F639" s="533">
        <f t="shared" si="259"/>
        <v>0</v>
      </c>
      <c r="G639" s="533">
        <f t="shared" si="259"/>
        <v>0</v>
      </c>
      <c r="H639" s="533">
        <f t="shared" si="259"/>
        <v>81</v>
      </c>
      <c r="I639" s="533">
        <f t="shared" si="259"/>
        <v>85</v>
      </c>
      <c r="J639" s="533">
        <f t="shared" si="259"/>
        <v>12</v>
      </c>
      <c r="K639" s="534">
        <f t="shared" si="254"/>
        <v>0.00800046379500261</v>
      </c>
      <c r="L639" s="535">
        <f t="shared" si="242"/>
        <v>1.16542753623188</v>
      </c>
      <c r="M639" s="535">
        <f t="shared" si="255"/>
        <v>9.32396080932228</v>
      </c>
      <c r="N639" s="535">
        <f t="shared" si="243"/>
        <v>0</v>
      </c>
      <c r="O639" s="535">
        <f t="shared" si="244"/>
        <v>0</v>
      </c>
      <c r="P639" s="536">
        <f t="shared" si="245"/>
        <v>9.68849397590362</v>
      </c>
      <c r="Q639" s="531">
        <f t="shared" si="246"/>
        <v>166</v>
      </c>
      <c r="R639" s="537">
        <f t="shared" si="247"/>
        <v>0.120289855072464</v>
      </c>
    </row>
    <row r="640" hidden="1" spans="1:18">
      <c r="A640" s="524">
        <v>45578</v>
      </c>
      <c r="B640" s="540" t="s">
        <v>98</v>
      </c>
      <c r="C640" s="550">
        <v>100</v>
      </c>
      <c r="D640" s="550">
        <v>9961</v>
      </c>
      <c r="E640" s="550">
        <v>168</v>
      </c>
      <c r="F640" s="550">
        <v>0</v>
      </c>
      <c r="G640" s="550">
        <v>0</v>
      </c>
      <c r="H640" s="550">
        <v>0</v>
      </c>
      <c r="I640" s="550">
        <v>4</v>
      </c>
      <c r="J640" s="550">
        <v>1</v>
      </c>
      <c r="K640" s="527">
        <f t="shared" si="254"/>
        <v>0.016865776528461</v>
      </c>
      <c r="L640" s="528">
        <f t="shared" si="242"/>
        <v>0.595238095238095</v>
      </c>
      <c r="M640" s="528">
        <f t="shared" si="255"/>
        <v>10.0391526955125</v>
      </c>
      <c r="N640" s="528">
        <f t="shared" si="243"/>
        <v>0</v>
      </c>
      <c r="O640" s="528">
        <f t="shared" si="244"/>
        <v>0</v>
      </c>
      <c r="P640" s="529">
        <f t="shared" si="245"/>
        <v>25</v>
      </c>
      <c r="Q640" s="24">
        <f t="shared" si="246"/>
        <v>4</v>
      </c>
      <c r="R640" s="530">
        <f t="shared" si="247"/>
        <v>0.0238095238095238</v>
      </c>
    </row>
    <row r="641" hidden="1" spans="1:18">
      <c r="A641" s="524"/>
      <c r="B641" s="540" t="s">
        <v>99</v>
      </c>
      <c r="C641" s="540">
        <v>0</v>
      </c>
      <c r="D641" s="540">
        <v>0</v>
      </c>
      <c r="E641" s="540">
        <v>0</v>
      </c>
      <c r="F641" s="540">
        <v>0</v>
      </c>
      <c r="G641" s="540">
        <v>0</v>
      </c>
      <c r="H641" s="540">
        <v>0</v>
      </c>
      <c r="I641" s="540">
        <v>0</v>
      </c>
      <c r="J641" s="540">
        <v>0</v>
      </c>
      <c r="K641" s="527">
        <f t="shared" si="254"/>
        <v>0</v>
      </c>
      <c r="L641" s="528">
        <f t="shared" si="242"/>
        <v>0</v>
      </c>
      <c r="M641" s="528">
        <f t="shared" si="255"/>
        <v>0</v>
      </c>
      <c r="N641" s="528">
        <f t="shared" si="243"/>
        <v>0</v>
      </c>
      <c r="O641" s="528">
        <f t="shared" si="244"/>
        <v>0</v>
      </c>
      <c r="P641" s="529">
        <f t="shared" si="245"/>
        <v>0</v>
      </c>
      <c r="Q641" s="24">
        <f t="shared" si="246"/>
        <v>0</v>
      </c>
      <c r="R641" s="530">
        <f t="shared" si="247"/>
        <v>0</v>
      </c>
    </row>
    <row r="642" hidden="1" spans="1:18">
      <c r="A642" s="524"/>
      <c r="B642" s="540" t="s">
        <v>100</v>
      </c>
      <c r="C642" s="550">
        <v>1451.44</v>
      </c>
      <c r="D642" s="550">
        <v>268474</v>
      </c>
      <c r="E642" s="550">
        <v>1692</v>
      </c>
      <c r="F642" s="550">
        <v>0</v>
      </c>
      <c r="G642" s="550">
        <v>0</v>
      </c>
      <c r="H642" s="550">
        <v>62</v>
      </c>
      <c r="I642" s="550">
        <v>91</v>
      </c>
      <c r="J642" s="550">
        <v>9</v>
      </c>
      <c r="K642" s="527">
        <f t="shared" si="254"/>
        <v>0.00630228625490737</v>
      </c>
      <c r="L642" s="528">
        <f t="shared" si="242"/>
        <v>0.857825059101655</v>
      </c>
      <c r="M642" s="528">
        <f t="shared" si="255"/>
        <v>5.40625907909146</v>
      </c>
      <c r="N642" s="528">
        <f t="shared" si="243"/>
        <v>0</v>
      </c>
      <c r="O642" s="528">
        <f t="shared" si="244"/>
        <v>0</v>
      </c>
      <c r="P642" s="529">
        <f t="shared" si="245"/>
        <v>9.48653594771242</v>
      </c>
      <c r="Q642" s="24">
        <f t="shared" si="246"/>
        <v>153</v>
      </c>
      <c r="R642" s="530">
        <f t="shared" si="247"/>
        <v>0.0904255319148936</v>
      </c>
    </row>
    <row r="643" hidden="1" spans="1:18">
      <c r="A643" s="524"/>
      <c r="B643" s="540" t="s">
        <v>101</v>
      </c>
      <c r="C643" s="540">
        <v>0</v>
      </c>
      <c r="D643" s="540">
        <v>0</v>
      </c>
      <c r="E643" s="540">
        <v>0</v>
      </c>
      <c r="F643" s="540">
        <v>0</v>
      </c>
      <c r="G643" s="540">
        <v>0</v>
      </c>
      <c r="H643" s="540">
        <v>0</v>
      </c>
      <c r="I643" s="540">
        <v>0</v>
      </c>
      <c r="J643" s="540">
        <v>0</v>
      </c>
      <c r="K643" s="527">
        <f t="shared" si="254"/>
        <v>0</v>
      </c>
      <c r="L643" s="528">
        <f t="shared" si="242"/>
        <v>0</v>
      </c>
      <c r="M643" s="528">
        <f t="shared" si="255"/>
        <v>0</v>
      </c>
      <c r="N643" s="528">
        <f t="shared" si="243"/>
        <v>0</v>
      </c>
      <c r="O643" s="528">
        <f t="shared" si="244"/>
        <v>0</v>
      </c>
      <c r="P643" s="529">
        <f t="shared" si="245"/>
        <v>0</v>
      </c>
      <c r="Q643" s="24">
        <f t="shared" si="246"/>
        <v>0</v>
      </c>
      <c r="R643" s="530">
        <f t="shared" si="247"/>
        <v>0</v>
      </c>
    </row>
    <row r="644" hidden="1" spans="1:18">
      <c r="A644" s="524"/>
      <c r="B644" s="531" t="s">
        <v>96</v>
      </c>
      <c r="C644" s="533">
        <f t="shared" ref="C644:J644" si="260">SUM(C640:C643)</f>
        <v>1551.44</v>
      </c>
      <c r="D644" s="533">
        <f t="shared" si="260"/>
        <v>278435</v>
      </c>
      <c r="E644" s="533">
        <f t="shared" si="260"/>
        <v>1860</v>
      </c>
      <c r="F644" s="533">
        <f t="shared" si="260"/>
        <v>0</v>
      </c>
      <c r="G644" s="533">
        <f t="shared" si="260"/>
        <v>0</v>
      </c>
      <c r="H644" s="533">
        <f t="shared" si="260"/>
        <v>62</v>
      </c>
      <c r="I644" s="533">
        <f t="shared" si="260"/>
        <v>95</v>
      </c>
      <c r="J644" s="533">
        <f t="shared" si="260"/>
        <v>10</v>
      </c>
      <c r="K644" s="534">
        <f t="shared" si="254"/>
        <v>0.00668019465943577</v>
      </c>
      <c r="L644" s="535">
        <f t="shared" si="242"/>
        <v>0.83410752688172</v>
      </c>
      <c r="M644" s="535">
        <f t="shared" si="255"/>
        <v>5.57200064647045</v>
      </c>
      <c r="N644" s="535">
        <f t="shared" si="243"/>
        <v>0</v>
      </c>
      <c r="O644" s="535">
        <f t="shared" si="244"/>
        <v>0</v>
      </c>
      <c r="P644" s="536">
        <f t="shared" si="245"/>
        <v>9.88178343949045</v>
      </c>
      <c r="Q644" s="531">
        <f t="shared" si="246"/>
        <v>157</v>
      </c>
      <c r="R644" s="537">
        <f t="shared" si="247"/>
        <v>0.0844086021505376</v>
      </c>
    </row>
    <row r="645" hidden="1" spans="1:18">
      <c r="A645" s="524">
        <v>45579</v>
      </c>
      <c r="B645" s="540" t="s">
        <v>98</v>
      </c>
      <c r="C645" s="540">
        <v>100</v>
      </c>
      <c r="D645" s="540">
        <v>7010</v>
      </c>
      <c r="E645" s="540">
        <v>148</v>
      </c>
      <c r="F645" s="540">
        <v>0</v>
      </c>
      <c r="G645" s="540">
        <v>0</v>
      </c>
      <c r="H645" s="540">
        <v>2</v>
      </c>
      <c r="I645" s="540">
        <v>0</v>
      </c>
      <c r="J645" s="540">
        <v>1</v>
      </c>
      <c r="K645" s="527">
        <f t="shared" si="254"/>
        <v>0.0211126961483595</v>
      </c>
      <c r="L645" s="528">
        <f t="shared" si="242"/>
        <v>0.675675675675676</v>
      </c>
      <c r="M645" s="528">
        <f t="shared" si="255"/>
        <v>14.265335235378</v>
      </c>
      <c r="N645" s="528">
        <f t="shared" si="243"/>
        <v>0</v>
      </c>
      <c r="O645" s="528">
        <f t="shared" si="244"/>
        <v>0</v>
      </c>
      <c r="P645" s="529">
        <f t="shared" si="245"/>
        <v>50</v>
      </c>
      <c r="Q645" s="24">
        <f t="shared" si="246"/>
        <v>2</v>
      </c>
      <c r="R645" s="530">
        <f t="shared" si="247"/>
        <v>0.0135135135135135</v>
      </c>
    </row>
    <row r="646" hidden="1" spans="1:18">
      <c r="A646" s="524"/>
      <c r="B646" s="540" t="s">
        <v>99</v>
      </c>
      <c r="C646" s="540">
        <v>0</v>
      </c>
      <c r="D646" s="540">
        <v>0</v>
      </c>
      <c r="E646" s="540">
        <v>0</v>
      </c>
      <c r="F646" s="540">
        <v>0</v>
      </c>
      <c r="G646" s="540">
        <v>0</v>
      </c>
      <c r="H646" s="540">
        <v>0</v>
      </c>
      <c r="I646" s="540">
        <v>0</v>
      </c>
      <c r="J646" s="540">
        <v>0</v>
      </c>
      <c r="K646" s="527">
        <f t="shared" si="254"/>
        <v>0</v>
      </c>
      <c r="L646" s="528">
        <f t="shared" si="242"/>
        <v>0</v>
      </c>
      <c r="M646" s="528">
        <f t="shared" si="255"/>
        <v>0</v>
      </c>
      <c r="N646" s="528">
        <f t="shared" si="243"/>
        <v>0</v>
      </c>
      <c r="O646" s="528">
        <f t="shared" si="244"/>
        <v>0</v>
      </c>
      <c r="P646" s="529">
        <f t="shared" si="245"/>
        <v>0</v>
      </c>
      <c r="Q646" s="24">
        <f t="shared" si="246"/>
        <v>0</v>
      </c>
      <c r="R646" s="530">
        <f t="shared" si="247"/>
        <v>0</v>
      </c>
    </row>
    <row r="647" hidden="1" spans="1:18">
      <c r="A647" s="524"/>
      <c r="B647" s="540" t="s">
        <v>100</v>
      </c>
      <c r="C647" s="540">
        <v>5342.06</v>
      </c>
      <c r="D647" s="540">
        <v>359711</v>
      </c>
      <c r="E647" s="540">
        <v>2840</v>
      </c>
      <c r="F647" s="540">
        <v>1</v>
      </c>
      <c r="G647" s="540">
        <v>200</v>
      </c>
      <c r="H647" s="540">
        <v>123</v>
      </c>
      <c r="I647" s="540">
        <v>136</v>
      </c>
      <c r="J647" s="540">
        <v>12</v>
      </c>
      <c r="K647" s="527">
        <f t="shared" si="254"/>
        <v>0.00789522700167635</v>
      </c>
      <c r="L647" s="528">
        <f t="shared" si="242"/>
        <v>1.88100704225352</v>
      </c>
      <c r="M647" s="528">
        <f t="shared" si="255"/>
        <v>14.8509775903434</v>
      </c>
      <c r="N647" s="528">
        <f t="shared" si="243"/>
        <v>0.0374387408602674</v>
      </c>
      <c r="O647" s="528">
        <f t="shared" si="244"/>
        <v>0.000352112676056338</v>
      </c>
      <c r="P647" s="529">
        <f t="shared" si="245"/>
        <v>20.6257142857143</v>
      </c>
      <c r="Q647" s="24">
        <f t="shared" si="246"/>
        <v>259</v>
      </c>
      <c r="R647" s="530">
        <f t="shared" si="247"/>
        <v>0.0911971830985916</v>
      </c>
    </row>
    <row r="648" hidden="1" spans="1:18">
      <c r="A648" s="524"/>
      <c r="B648" s="540" t="s">
        <v>101</v>
      </c>
      <c r="C648" s="540">
        <v>0</v>
      </c>
      <c r="D648" s="540">
        <v>0</v>
      </c>
      <c r="E648" s="540">
        <v>0</v>
      </c>
      <c r="F648" s="540">
        <v>0</v>
      </c>
      <c r="G648" s="540">
        <v>0</v>
      </c>
      <c r="H648" s="540">
        <v>0</v>
      </c>
      <c r="I648" s="540">
        <v>0</v>
      </c>
      <c r="J648" s="540">
        <v>0</v>
      </c>
      <c r="K648" s="527">
        <f t="shared" si="254"/>
        <v>0</v>
      </c>
      <c r="L648" s="528">
        <f t="shared" si="242"/>
        <v>0</v>
      </c>
      <c r="M648" s="528">
        <f t="shared" si="255"/>
        <v>0</v>
      </c>
      <c r="N648" s="528">
        <f t="shared" si="243"/>
        <v>0</v>
      </c>
      <c r="O648" s="528">
        <f t="shared" si="244"/>
        <v>0</v>
      </c>
      <c r="P648" s="529">
        <f t="shared" si="245"/>
        <v>0</v>
      </c>
      <c r="Q648" s="24">
        <f t="shared" si="246"/>
        <v>0</v>
      </c>
      <c r="R648" s="530">
        <f t="shared" si="247"/>
        <v>0</v>
      </c>
    </row>
    <row r="649" hidden="1" spans="1:18">
      <c r="A649" s="524"/>
      <c r="B649" s="531" t="s">
        <v>96</v>
      </c>
      <c r="C649" s="533">
        <f t="shared" ref="C649:J649" si="261">SUM(C645:C648)</f>
        <v>5442.06</v>
      </c>
      <c r="D649" s="533">
        <f t="shared" si="261"/>
        <v>366721</v>
      </c>
      <c r="E649" s="533">
        <f t="shared" si="261"/>
        <v>2988</v>
      </c>
      <c r="F649" s="533">
        <f t="shared" si="261"/>
        <v>1</v>
      </c>
      <c r="G649" s="533">
        <f t="shared" si="261"/>
        <v>200</v>
      </c>
      <c r="H649" s="533">
        <f t="shared" si="261"/>
        <v>125</v>
      </c>
      <c r="I649" s="533">
        <f t="shared" si="261"/>
        <v>136</v>
      </c>
      <c r="J649" s="533">
        <f t="shared" si="261"/>
        <v>13</v>
      </c>
      <c r="K649" s="534">
        <f t="shared" si="254"/>
        <v>0.00814788354089349</v>
      </c>
      <c r="L649" s="535">
        <f t="shared" si="242"/>
        <v>1.82130522088353</v>
      </c>
      <c r="M649" s="535">
        <f t="shared" si="255"/>
        <v>14.8397828321803</v>
      </c>
      <c r="N649" s="535">
        <f t="shared" si="243"/>
        <v>0.0367507892231986</v>
      </c>
      <c r="O649" s="535">
        <f t="shared" si="244"/>
        <v>0.000334672021419009</v>
      </c>
      <c r="P649" s="536">
        <f t="shared" si="245"/>
        <v>20.8508045977012</v>
      </c>
      <c r="Q649" s="531">
        <f t="shared" si="246"/>
        <v>261</v>
      </c>
      <c r="R649" s="537">
        <f t="shared" si="247"/>
        <v>0.0873493975903614</v>
      </c>
    </row>
    <row r="650" hidden="1" spans="1:18">
      <c r="A650" s="524">
        <v>45580</v>
      </c>
      <c r="B650" s="540" t="s">
        <v>98</v>
      </c>
      <c r="C650" s="540">
        <v>300</v>
      </c>
      <c r="D650" s="540">
        <v>17801</v>
      </c>
      <c r="E650" s="540">
        <v>299</v>
      </c>
      <c r="F650" s="540">
        <v>0</v>
      </c>
      <c r="G650" s="540">
        <v>0</v>
      </c>
      <c r="H650" s="540">
        <v>1</v>
      </c>
      <c r="I650" s="540">
        <v>8</v>
      </c>
      <c r="J650" s="540">
        <v>5</v>
      </c>
      <c r="K650" s="527">
        <f t="shared" si="254"/>
        <v>0.0167968091680243</v>
      </c>
      <c r="L650" s="528">
        <f t="shared" si="242"/>
        <v>1.00334448160535</v>
      </c>
      <c r="M650" s="528">
        <f t="shared" si="255"/>
        <v>16.8529857873153</v>
      </c>
      <c r="N650" s="528">
        <f t="shared" si="243"/>
        <v>0</v>
      </c>
      <c r="O650" s="528">
        <f t="shared" si="244"/>
        <v>0</v>
      </c>
      <c r="P650" s="529">
        <f t="shared" si="245"/>
        <v>33.3333333333333</v>
      </c>
      <c r="Q650" s="24">
        <f t="shared" si="246"/>
        <v>9</v>
      </c>
      <c r="R650" s="530">
        <f t="shared" si="247"/>
        <v>0.0301003344481605</v>
      </c>
    </row>
    <row r="651" hidden="1" spans="1:18">
      <c r="A651" s="524"/>
      <c r="B651" s="540" t="s">
        <v>99</v>
      </c>
      <c r="C651" s="549">
        <v>177.71</v>
      </c>
      <c r="D651" s="549">
        <v>1847</v>
      </c>
      <c r="E651" s="549">
        <v>211</v>
      </c>
      <c r="F651" s="549">
        <v>1</v>
      </c>
      <c r="G651" s="549">
        <v>11097</v>
      </c>
      <c r="H651" s="549">
        <v>14</v>
      </c>
      <c r="I651" s="549">
        <v>0</v>
      </c>
      <c r="J651" s="540">
        <v>0</v>
      </c>
      <c r="K651" s="527">
        <f t="shared" si="254"/>
        <v>0.114239306984299</v>
      </c>
      <c r="L651" s="528">
        <f t="shared" si="242"/>
        <v>0.842227488151659</v>
      </c>
      <c r="M651" s="528">
        <f t="shared" si="255"/>
        <v>96.2154845695723</v>
      </c>
      <c r="N651" s="528">
        <f t="shared" si="243"/>
        <v>62.444431939677</v>
      </c>
      <c r="O651" s="528">
        <f t="shared" si="244"/>
        <v>0.004739336492891</v>
      </c>
      <c r="P651" s="529">
        <f t="shared" si="245"/>
        <v>12.6935714285714</v>
      </c>
      <c r="Q651" s="24">
        <f t="shared" si="246"/>
        <v>14</v>
      </c>
      <c r="R651" s="530">
        <f t="shared" si="247"/>
        <v>0.0663507109004739</v>
      </c>
    </row>
    <row r="652" hidden="1" spans="1:18">
      <c r="A652" s="524"/>
      <c r="B652" s="540" t="s">
        <v>100</v>
      </c>
      <c r="C652" s="540">
        <v>5610.59</v>
      </c>
      <c r="D652" s="540">
        <v>553188</v>
      </c>
      <c r="E652" s="540">
        <v>6452</v>
      </c>
      <c r="F652" s="540">
        <v>0</v>
      </c>
      <c r="G652" s="540">
        <v>0</v>
      </c>
      <c r="H652" s="540">
        <v>166</v>
      </c>
      <c r="I652" s="540">
        <v>201</v>
      </c>
      <c r="J652" s="540">
        <v>22</v>
      </c>
      <c r="K652" s="527">
        <f t="shared" si="254"/>
        <v>0.0116633043377658</v>
      </c>
      <c r="L652" s="528">
        <f t="shared" si="242"/>
        <v>0.869589274643521</v>
      </c>
      <c r="M652" s="528">
        <f t="shared" si="255"/>
        <v>10.1422843590244</v>
      </c>
      <c r="N652" s="528">
        <f t="shared" si="243"/>
        <v>0</v>
      </c>
      <c r="O652" s="528">
        <f t="shared" si="244"/>
        <v>0</v>
      </c>
      <c r="P652" s="529">
        <f t="shared" si="245"/>
        <v>15.2877111716621</v>
      </c>
      <c r="Q652" s="24">
        <f t="shared" si="246"/>
        <v>367</v>
      </c>
      <c r="R652" s="530">
        <f t="shared" si="247"/>
        <v>0.0568815871047737</v>
      </c>
    </row>
    <row r="653" hidden="1" spans="1:18">
      <c r="A653" s="524"/>
      <c r="B653" s="540" t="s">
        <v>101</v>
      </c>
      <c r="C653" s="540">
        <v>0</v>
      </c>
      <c r="D653" s="540">
        <v>0</v>
      </c>
      <c r="E653" s="540">
        <v>0</v>
      </c>
      <c r="F653" s="540">
        <v>0</v>
      </c>
      <c r="G653" s="540">
        <v>0</v>
      </c>
      <c r="H653" s="540">
        <v>0</v>
      </c>
      <c r="I653" s="540">
        <v>0</v>
      </c>
      <c r="J653" s="540">
        <v>0</v>
      </c>
      <c r="K653" s="527">
        <f t="shared" si="254"/>
        <v>0</v>
      </c>
      <c r="L653" s="528">
        <f t="shared" si="242"/>
        <v>0</v>
      </c>
      <c r="M653" s="528">
        <f t="shared" si="255"/>
        <v>0</v>
      </c>
      <c r="N653" s="528">
        <f t="shared" si="243"/>
        <v>0</v>
      </c>
      <c r="O653" s="528">
        <f t="shared" si="244"/>
        <v>0</v>
      </c>
      <c r="P653" s="529">
        <f t="shared" si="245"/>
        <v>0</v>
      </c>
      <c r="Q653" s="24">
        <f t="shared" si="246"/>
        <v>0</v>
      </c>
      <c r="R653" s="530">
        <f t="shared" si="247"/>
        <v>0</v>
      </c>
    </row>
    <row r="654" hidden="1" spans="1:18">
      <c r="A654" s="524"/>
      <c r="B654" s="531" t="s">
        <v>96</v>
      </c>
      <c r="C654" s="533">
        <f t="shared" ref="C654:J654" si="262">SUM(C650:C653)</f>
        <v>6088.3</v>
      </c>
      <c r="D654" s="533">
        <f t="shared" si="262"/>
        <v>572836</v>
      </c>
      <c r="E654" s="533">
        <f t="shared" si="262"/>
        <v>6962</v>
      </c>
      <c r="F654" s="533">
        <f t="shared" si="262"/>
        <v>1</v>
      </c>
      <c r="G654" s="533">
        <f t="shared" si="262"/>
        <v>11097</v>
      </c>
      <c r="H654" s="533">
        <f t="shared" si="262"/>
        <v>181</v>
      </c>
      <c r="I654" s="533">
        <f t="shared" si="262"/>
        <v>209</v>
      </c>
      <c r="J654" s="533">
        <f t="shared" si="262"/>
        <v>27</v>
      </c>
      <c r="K654" s="534">
        <f t="shared" si="254"/>
        <v>0.0121535657675146</v>
      </c>
      <c r="L654" s="535">
        <f t="shared" si="242"/>
        <v>0.874504452743465</v>
      </c>
      <c r="M654" s="535">
        <f t="shared" si="255"/>
        <v>10.6283473804021</v>
      </c>
      <c r="N654" s="535">
        <f t="shared" si="243"/>
        <v>1.82267628073518</v>
      </c>
      <c r="O654" s="535">
        <f t="shared" si="244"/>
        <v>0.000143636885952313</v>
      </c>
      <c r="P654" s="536">
        <f t="shared" si="245"/>
        <v>15.6110256410256</v>
      </c>
      <c r="Q654" s="531">
        <f t="shared" si="246"/>
        <v>390</v>
      </c>
      <c r="R654" s="537">
        <f t="shared" si="247"/>
        <v>0.0560183855214019</v>
      </c>
    </row>
    <row r="655" hidden="1" spans="1:18">
      <c r="A655" s="524">
        <v>45581</v>
      </c>
      <c r="B655" s="540" t="s">
        <v>98</v>
      </c>
      <c r="C655" s="540">
        <v>297.52</v>
      </c>
      <c r="D655" s="540">
        <v>26613</v>
      </c>
      <c r="E655" s="540">
        <v>372</v>
      </c>
      <c r="F655" s="540">
        <v>0</v>
      </c>
      <c r="G655" s="540">
        <v>0</v>
      </c>
      <c r="H655" s="540">
        <v>0</v>
      </c>
      <c r="I655" s="540">
        <v>7</v>
      </c>
      <c r="J655" s="540">
        <v>2</v>
      </c>
      <c r="K655" s="527">
        <f t="shared" si="254"/>
        <v>0.0139781309886146</v>
      </c>
      <c r="L655" s="528">
        <f t="shared" si="242"/>
        <v>0.799784946236559</v>
      </c>
      <c r="M655" s="528">
        <f t="shared" si="255"/>
        <v>11.1794987412167</v>
      </c>
      <c r="N655" s="528">
        <f t="shared" si="243"/>
        <v>0</v>
      </c>
      <c r="O655" s="528">
        <f t="shared" si="244"/>
        <v>0</v>
      </c>
      <c r="P655" s="529">
        <f t="shared" si="245"/>
        <v>42.5028571428571</v>
      </c>
      <c r="Q655" s="24">
        <f t="shared" si="246"/>
        <v>7</v>
      </c>
      <c r="R655" s="530">
        <f t="shared" si="247"/>
        <v>0.0188172043010753</v>
      </c>
    </row>
    <row r="656" hidden="1" spans="1:18">
      <c r="A656" s="524"/>
      <c r="B656" s="540" t="s">
        <v>99</v>
      </c>
      <c r="C656" s="540">
        <v>0</v>
      </c>
      <c r="D656" s="540">
        <v>0</v>
      </c>
      <c r="E656" s="540">
        <v>0</v>
      </c>
      <c r="F656" s="540">
        <v>0</v>
      </c>
      <c r="G656" s="540">
        <v>0</v>
      </c>
      <c r="H656" s="540">
        <v>0</v>
      </c>
      <c r="I656" s="540">
        <v>0</v>
      </c>
      <c r="J656" s="540">
        <v>0</v>
      </c>
      <c r="K656" s="527">
        <f t="shared" si="254"/>
        <v>0</v>
      </c>
      <c r="L656" s="528">
        <f t="shared" si="242"/>
        <v>0</v>
      </c>
      <c r="M656" s="528">
        <f t="shared" si="255"/>
        <v>0</v>
      </c>
      <c r="N656" s="528">
        <f t="shared" si="243"/>
        <v>0</v>
      </c>
      <c r="O656" s="528">
        <f t="shared" si="244"/>
        <v>0</v>
      </c>
      <c r="P656" s="529">
        <f t="shared" si="245"/>
        <v>0</v>
      </c>
      <c r="Q656" s="24">
        <f t="shared" si="246"/>
        <v>0</v>
      </c>
      <c r="R656" s="530">
        <f t="shared" si="247"/>
        <v>0</v>
      </c>
    </row>
    <row r="657" hidden="1" spans="1:18">
      <c r="A657" s="524"/>
      <c r="B657" s="540" t="s">
        <v>100</v>
      </c>
      <c r="C657" s="540">
        <v>3792.95</v>
      </c>
      <c r="D657" s="540">
        <v>435718</v>
      </c>
      <c r="E657" s="540">
        <v>3207</v>
      </c>
      <c r="F657" s="540">
        <v>3</v>
      </c>
      <c r="G657" s="540">
        <v>45691</v>
      </c>
      <c r="H657" s="540">
        <v>136</v>
      </c>
      <c r="I657" s="540">
        <v>172</v>
      </c>
      <c r="J657" s="540">
        <v>23</v>
      </c>
      <c r="K657" s="527">
        <f t="shared" si="254"/>
        <v>0.00736026512560877</v>
      </c>
      <c r="L657" s="528">
        <f t="shared" si="242"/>
        <v>1.18270969753664</v>
      </c>
      <c r="M657" s="528">
        <f t="shared" si="255"/>
        <v>8.70505694049821</v>
      </c>
      <c r="N657" s="528">
        <f t="shared" si="243"/>
        <v>12.0462964183551</v>
      </c>
      <c r="O657" s="528">
        <f t="shared" si="244"/>
        <v>0.000935453695042095</v>
      </c>
      <c r="P657" s="529">
        <f t="shared" si="245"/>
        <v>12.3147727272727</v>
      </c>
      <c r="Q657" s="24">
        <f t="shared" si="246"/>
        <v>308</v>
      </c>
      <c r="R657" s="530">
        <f t="shared" si="247"/>
        <v>0.0960399126909885</v>
      </c>
    </row>
    <row r="658" hidden="1" spans="1:18">
      <c r="A658" s="524"/>
      <c r="B658" s="540" t="s">
        <v>101</v>
      </c>
      <c r="C658" s="540">
        <v>0</v>
      </c>
      <c r="D658" s="540">
        <v>0</v>
      </c>
      <c r="E658" s="540">
        <v>0</v>
      </c>
      <c r="F658" s="540">
        <v>0</v>
      </c>
      <c r="G658" s="540">
        <v>0</v>
      </c>
      <c r="H658" s="540">
        <v>0</v>
      </c>
      <c r="I658" s="540">
        <v>0</v>
      </c>
      <c r="J658" s="540">
        <v>0</v>
      </c>
      <c r="K658" s="527">
        <f t="shared" si="254"/>
        <v>0</v>
      </c>
      <c r="L658" s="528">
        <f t="shared" ref="L658:L721" si="263">IF(C658=0,0,C658/E658)</f>
        <v>0</v>
      </c>
      <c r="M658" s="528">
        <f t="shared" si="255"/>
        <v>0</v>
      </c>
      <c r="N658" s="528">
        <f t="shared" ref="N658:N721" si="264">IF(G658=0,0,G658/C658)</f>
        <v>0</v>
      </c>
      <c r="O658" s="528">
        <f t="shared" ref="O658:O721" si="265">IF(F658=0,0,F658/E658)</f>
        <v>0</v>
      </c>
      <c r="P658" s="529">
        <f t="shared" ref="P658:P721" si="266">IF(H658+I658=0,0,C658/(H658+I658))</f>
        <v>0</v>
      </c>
      <c r="Q658" s="24">
        <f t="shared" ref="Q658:Q721" si="267">H658+I658</f>
        <v>0</v>
      </c>
      <c r="R658" s="530">
        <f t="shared" ref="R658:R721" si="268">IF(Q658=0,0,Q658/E658)</f>
        <v>0</v>
      </c>
    </row>
    <row r="659" hidden="1" spans="1:18">
      <c r="A659" s="524"/>
      <c r="B659" s="531" t="s">
        <v>96</v>
      </c>
      <c r="C659" s="533">
        <f t="shared" ref="C659:J659" si="269">SUM(C655:C658)</f>
        <v>4090.47</v>
      </c>
      <c r="D659" s="533">
        <f t="shared" si="269"/>
        <v>462331</v>
      </c>
      <c r="E659" s="533">
        <f t="shared" si="269"/>
        <v>3579</v>
      </c>
      <c r="F659" s="533">
        <f t="shared" si="269"/>
        <v>3</v>
      </c>
      <c r="G659" s="533">
        <f t="shared" si="269"/>
        <v>45691</v>
      </c>
      <c r="H659" s="533">
        <f t="shared" si="269"/>
        <v>136</v>
      </c>
      <c r="I659" s="533">
        <f t="shared" si="269"/>
        <v>179</v>
      </c>
      <c r="J659" s="533">
        <f t="shared" si="269"/>
        <v>25</v>
      </c>
      <c r="K659" s="534">
        <f t="shared" si="254"/>
        <v>0.00774120705728147</v>
      </c>
      <c r="L659" s="535">
        <f t="shared" si="263"/>
        <v>1.14290863369656</v>
      </c>
      <c r="M659" s="535">
        <f t="shared" si="255"/>
        <v>8.84749238099976</v>
      </c>
      <c r="N659" s="535">
        <f t="shared" si="264"/>
        <v>11.170110036255</v>
      </c>
      <c r="O659" s="535">
        <f t="shared" si="265"/>
        <v>0.000838222967309304</v>
      </c>
      <c r="P659" s="536">
        <f t="shared" si="266"/>
        <v>12.985619047619</v>
      </c>
      <c r="Q659" s="531">
        <f t="shared" si="267"/>
        <v>315</v>
      </c>
      <c r="R659" s="537">
        <f t="shared" si="268"/>
        <v>0.088013411567477</v>
      </c>
    </row>
    <row r="660" hidden="1" spans="1:18">
      <c r="A660" s="524">
        <v>45582</v>
      </c>
      <c r="B660" s="540" t="s">
        <v>98</v>
      </c>
      <c r="C660" s="540">
        <v>300</v>
      </c>
      <c r="D660" s="540">
        <v>12257</v>
      </c>
      <c r="E660" s="540">
        <v>299</v>
      </c>
      <c r="F660" s="540">
        <v>0</v>
      </c>
      <c r="G660" s="540">
        <v>0</v>
      </c>
      <c r="H660" s="540">
        <v>1</v>
      </c>
      <c r="I660" s="540">
        <v>8</v>
      </c>
      <c r="J660" s="540">
        <v>2</v>
      </c>
      <c r="K660" s="527">
        <f t="shared" si="254"/>
        <v>0.024394223708901</v>
      </c>
      <c r="L660" s="528">
        <f t="shared" si="263"/>
        <v>1.00334448160535</v>
      </c>
      <c r="M660" s="528">
        <f t="shared" si="255"/>
        <v>24.4758097413723</v>
      </c>
      <c r="N660" s="528">
        <f t="shared" si="264"/>
        <v>0</v>
      </c>
      <c r="O660" s="528">
        <f t="shared" si="265"/>
        <v>0</v>
      </c>
      <c r="P660" s="529">
        <f t="shared" si="266"/>
        <v>33.3333333333333</v>
      </c>
      <c r="Q660" s="24">
        <f t="shared" si="267"/>
        <v>9</v>
      </c>
      <c r="R660" s="530">
        <f t="shared" si="268"/>
        <v>0.0301003344481605</v>
      </c>
    </row>
    <row r="661" hidden="1" spans="1:18">
      <c r="A661" s="524"/>
      <c r="B661" s="540" t="s">
        <v>99</v>
      </c>
      <c r="C661" s="540">
        <v>0</v>
      </c>
      <c r="D661" s="540">
        <v>0</v>
      </c>
      <c r="E661" s="540">
        <v>0</v>
      </c>
      <c r="F661" s="540">
        <v>0</v>
      </c>
      <c r="G661" s="540">
        <v>0</v>
      </c>
      <c r="H661" s="540">
        <v>0</v>
      </c>
      <c r="I661" s="540">
        <v>0</v>
      </c>
      <c r="J661" s="540">
        <v>0</v>
      </c>
      <c r="K661" s="527">
        <f t="shared" si="254"/>
        <v>0</v>
      </c>
      <c r="L661" s="528">
        <f t="shared" si="263"/>
        <v>0</v>
      </c>
      <c r="M661" s="528">
        <f t="shared" si="255"/>
        <v>0</v>
      </c>
      <c r="N661" s="528">
        <f t="shared" si="264"/>
        <v>0</v>
      </c>
      <c r="O661" s="528">
        <f t="shared" si="265"/>
        <v>0</v>
      </c>
      <c r="P661" s="529">
        <f t="shared" si="266"/>
        <v>0</v>
      </c>
      <c r="Q661" s="24">
        <f t="shared" si="267"/>
        <v>0</v>
      </c>
      <c r="R661" s="530">
        <f t="shared" si="268"/>
        <v>0</v>
      </c>
    </row>
    <row r="662" hidden="1" spans="1:18">
      <c r="A662" s="524"/>
      <c r="B662" s="540" t="s">
        <v>100</v>
      </c>
      <c r="C662" s="540">
        <v>1578.06</v>
      </c>
      <c r="D662" s="540">
        <v>29068</v>
      </c>
      <c r="E662" s="540">
        <v>680</v>
      </c>
      <c r="F662" s="540">
        <v>0</v>
      </c>
      <c r="G662" s="540">
        <v>0</v>
      </c>
      <c r="H662" s="540">
        <v>74</v>
      </c>
      <c r="I662" s="540">
        <v>42</v>
      </c>
      <c r="J662" s="540">
        <v>8</v>
      </c>
      <c r="K662" s="527">
        <f t="shared" si="254"/>
        <v>0.0233934223200771</v>
      </c>
      <c r="L662" s="528">
        <f t="shared" si="263"/>
        <v>2.32067647058824</v>
      </c>
      <c r="M662" s="528">
        <f t="shared" si="255"/>
        <v>54.2885647447365</v>
      </c>
      <c r="N662" s="528">
        <f t="shared" si="264"/>
        <v>0</v>
      </c>
      <c r="O662" s="528">
        <f t="shared" si="265"/>
        <v>0</v>
      </c>
      <c r="P662" s="529">
        <f t="shared" si="266"/>
        <v>13.6039655172414</v>
      </c>
      <c r="Q662" s="24">
        <f t="shared" si="267"/>
        <v>116</v>
      </c>
      <c r="R662" s="530">
        <f t="shared" si="268"/>
        <v>0.170588235294118</v>
      </c>
    </row>
    <row r="663" hidden="1" spans="1:18">
      <c r="A663" s="524"/>
      <c r="B663" s="540" t="s">
        <v>101</v>
      </c>
      <c r="C663" s="540">
        <v>0</v>
      </c>
      <c r="D663" s="540">
        <v>0</v>
      </c>
      <c r="E663" s="540">
        <v>0</v>
      </c>
      <c r="F663" s="540">
        <v>0</v>
      </c>
      <c r="G663" s="540">
        <v>0</v>
      </c>
      <c r="H663" s="540">
        <v>0</v>
      </c>
      <c r="I663" s="540">
        <v>0</v>
      </c>
      <c r="J663" s="540">
        <v>0</v>
      </c>
      <c r="K663" s="527">
        <f t="shared" si="254"/>
        <v>0</v>
      </c>
      <c r="L663" s="528">
        <f t="shared" si="263"/>
        <v>0</v>
      </c>
      <c r="M663" s="528">
        <f t="shared" si="255"/>
        <v>0</v>
      </c>
      <c r="N663" s="528">
        <f t="shared" si="264"/>
        <v>0</v>
      </c>
      <c r="O663" s="528">
        <f t="shared" si="265"/>
        <v>0</v>
      </c>
      <c r="P663" s="529">
        <f t="shared" si="266"/>
        <v>0</v>
      </c>
      <c r="Q663" s="24">
        <f t="shared" si="267"/>
        <v>0</v>
      </c>
      <c r="R663" s="530">
        <f t="shared" si="268"/>
        <v>0</v>
      </c>
    </row>
    <row r="664" hidden="1" spans="1:18">
      <c r="A664" s="524"/>
      <c r="B664" s="531" t="s">
        <v>96</v>
      </c>
      <c r="C664" s="533">
        <f t="shared" ref="C664:J664" si="270">SUM(C660:C663)</f>
        <v>1878.06</v>
      </c>
      <c r="D664" s="533">
        <f t="shared" si="270"/>
        <v>41325</v>
      </c>
      <c r="E664" s="533">
        <f t="shared" si="270"/>
        <v>979</v>
      </c>
      <c r="F664" s="533">
        <f t="shared" si="270"/>
        <v>0</v>
      </c>
      <c r="G664" s="533">
        <f t="shared" si="270"/>
        <v>0</v>
      </c>
      <c r="H664" s="533">
        <f t="shared" si="270"/>
        <v>75</v>
      </c>
      <c r="I664" s="533">
        <f t="shared" si="270"/>
        <v>50</v>
      </c>
      <c r="J664" s="533">
        <f t="shared" si="270"/>
        <v>10</v>
      </c>
      <c r="K664" s="534">
        <f t="shared" si="254"/>
        <v>0.0236902601330913</v>
      </c>
      <c r="L664" s="535">
        <f t="shared" si="263"/>
        <v>1.91834525025536</v>
      </c>
      <c r="M664" s="535">
        <f t="shared" si="255"/>
        <v>45.4460980036298</v>
      </c>
      <c r="N664" s="535">
        <f t="shared" si="264"/>
        <v>0</v>
      </c>
      <c r="O664" s="535">
        <f t="shared" si="265"/>
        <v>0</v>
      </c>
      <c r="P664" s="536">
        <f t="shared" si="266"/>
        <v>15.02448</v>
      </c>
      <c r="Q664" s="531">
        <f t="shared" si="267"/>
        <v>125</v>
      </c>
      <c r="R664" s="537">
        <f t="shared" si="268"/>
        <v>0.127681307456588</v>
      </c>
    </row>
    <row r="665" hidden="1" spans="1:18">
      <c r="A665" s="524">
        <v>45583</v>
      </c>
      <c r="B665" s="540" t="s">
        <v>98</v>
      </c>
      <c r="C665" s="549">
        <v>297.2</v>
      </c>
      <c r="D665" s="549">
        <v>14406</v>
      </c>
      <c r="E665" s="549">
        <v>303</v>
      </c>
      <c r="F665" s="549">
        <v>0</v>
      </c>
      <c r="G665" s="549">
        <v>0</v>
      </c>
      <c r="H665" s="549">
        <v>1</v>
      </c>
      <c r="I665" s="549">
        <v>1</v>
      </c>
      <c r="J665" s="549">
        <v>6</v>
      </c>
      <c r="K665" s="527">
        <f t="shared" si="254"/>
        <v>0.0210329029571012</v>
      </c>
      <c r="L665" s="528">
        <f t="shared" si="263"/>
        <v>0.980858085808581</v>
      </c>
      <c r="M665" s="528">
        <f t="shared" si="255"/>
        <v>20.6302929334999</v>
      </c>
      <c r="N665" s="528">
        <f t="shared" si="264"/>
        <v>0</v>
      </c>
      <c r="O665" s="528">
        <f t="shared" si="265"/>
        <v>0</v>
      </c>
      <c r="P665" s="529">
        <f t="shared" si="266"/>
        <v>148.6</v>
      </c>
      <c r="Q665" s="24">
        <f t="shared" si="267"/>
        <v>2</v>
      </c>
      <c r="R665" s="530">
        <f t="shared" si="268"/>
        <v>0.0066006600660066</v>
      </c>
    </row>
    <row r="666" hidden="1" spans="1:18">
      <c r="A666" s="524"/>
      <c r="B666" s="540" t="s">
        <v>99</v>
      </c>
      <c r="C666" s="540">
        <v>0</v>
      </c>
      <c r="D666" s="540">
        <v>0</v>
      </c>
      <c r="E666" s="540">
        <v>0</v>
      </c>
      <c r="F666" s="540">
        <v>0</v>
      </c>
      <c r="G666" s="540">
        <v>0</v>
      </c>
      <c r="H666" s="540">
        <v>0</v>
      </c>
      <c r="I666" s="540">
        <v>0</v>
      </c>
      <c r="J666" s="540">
        <v>0</v>
      </c>
      <c r="K666" s="527">
        <f t="shared" si="254"/>
        <v>0</v>
      </c>
      <c r="L666" s="528">
        <f t="shared" si="263"/>
        <v>0</v>
      </c>
      <c r="M666" s="528">
        <f t="shared" si="255"/>
        <v>0</v>
      </c>
      <c r="N666" s="528">
        <f t="shared" si="264"/>
        <v>0</v>
      </c>
      <c r="O666" s="528">
        <f t="shared" si="265"/>
        <v>0</v>
      </c>
      <c r="P666" s="529">
        <f t="shared" si="266"/>
        <v>0</v>
      </c>
      <c r="Q666" s="24">
        <f t="shared" si="267"/>
        <v>0</v>
      </c>
      <c r="R666" s="530">
        <f t="shared" si="268"/>
        <v>0</v>
      </c>
    </row>
    <row r="667" hidden="1" spans="1:18">
      <c r="A667" s="524"/>
      <c r="B667" s="540" t="s">
        <v>100</v>
      </c>
      <c r="C667" s="549">
        <v>3153.57</v>
      </c>
      <c r="D667" s="549">
        <v>87483</v>
      </c>
      <c r="E667" s="549">
        <v>1512</v>
      </c>
      <c r="F667" s="549">
        <v>1</v>
      </c>
      <c r="G667" s="549">
        <v>8114</v>
      </c>
      <c r="H667" s="549">
        <v>113</v>
      </c>
      <c r="I667" s="549">
        <v>125</v>
      </c>
      <c r="J667" s="549">
        <v>18</v>
      </c>
      <c r="K667" s="527">
        <f t="shared" si="254"/>
        <v>0.0172833579095367</v>
      </c>
      <c r="L667" s="528">
        <f t="shared" si="263"/>
        <v>2.08569444444444</v>
      </c>
      <c r="M667" s="528">
        <f t="shared" si="255"/>
        <v>36.0478035732657</v>
      </c>
      <c r="N667" s="528">
        <f t="shared" si="264"/>
        <v>2.57295699794201</v>
      </c>
      <c r="O667" s="528">
        <f t="shared" si="265"/>
        <v>0.000661375661375661</v>
      </c>
      <c r="P667" s="529">
        <f t="shared" si="266"/>
        <v>13.2502941176471</v>
      </c>
      <c r="Q667" s="24">
        <f t="shared" si="267"/>
        <v>238</v>
      </c>
      <c r="R667" s="530">
        <f t="shared" si="268"/>
        <v>0.157407407407407</v>
      </c>
    </row>
    <row r="668" hidden="1" spans="1:18">
      <c r="A668" s="524"/>
      <c r="B668" s="540" t="s">
        <v>101</v>
      </c>
      <c r="C668" s="540">
        <v>0</v>
      </c>
      <c r="D668" s="540">
        <v>0</v>
      </c>
      <c r="E668" s="540">
        <v>0</v>
      </c>
      <c r="F668" s="540">
        <v>0</v>
      </c>
      <c r="G668" s="540">
        <v>0</v>
      </c>
      <c r="H668" s="540">
        <v>0</v>
      </c>
      <c r="I668" s="540">
        <v>0</v>
      </c>
      <c r="J668" s="540">
        <v>0</v>
      </c>
      <c r="K668" s="527">
        <f t="shared" si="254"/>
        <v>0</v>
      </c>
      <c r="L668" s="528">
        <f t="shared" si="263"/>
        <v>0</v>
      </c>
      <c r="M668" s="528">
        <f t="shared" si="255"/>
        <v>0</v>
      </c>
      <c r="N668" s="528">
        <f t="shared" si="264"/>
        <v>0</v>
      </c>
      <c r="O668" s="528">
        <f t="shared" si="265"/>
        <v>0</v>
      </c>
      <c r="P668" s="529">
        <f t="shared" si="266"/>
        <v>0</v>
      </c>
      <c r="Q668" s="24">
        <f t="shared" si="267"/>
        <v>0</v>
      </c>
      <c r="R668" s="530">
        <f t="shared" si="268"/>
        <v>0</v>
      </c>
    </row>
    <row r="669" hidden="1" spans="1:18">
      <c r="A669" s="524"/>
      <c r="B669" s="531" t="s">
        <v>96</v>
      </c>
      <c r="C669" s="533">
        <f t="shared" ref="C669:J669" si="271">SUM(C665:C668)</f>
        <v>3450.77</v>
      </c>
      <c r="D669" s="533">
        <f t="shared" si="271"/>
        <v>101889</v>
      </c>
      <c r="E669" s="533">
        <f t="shared" si="271"/>
        <v>1815</v>
      </c>
      <c r="F669" s="533">
        <f t="shared" si="271"/>
        <v>1</v>
      </c>
      <c r="G669" s="533">
        <f t="shared" si="271"/>
        <v>8114</v>
      </c>
      <c r="H669" s="533">
        <f t="shared" si="271"/>
        <v>114</v>
      </c>
      <c r="I669" s="533">
        <f t="shared" si="271"/>
        <v>126</v>
      </c>
      <c r="J669" s="533">
        <f t="shared" si="271"/>
        <v>24</v>
      </c>
      <c r="K669" s="534">
        <f t="shared" si="254"/>
        <v>0.0178135029296587</v>
      </c>
      <c r="L669" s="535">
        <f t="shared" si="263"/>
        <v>1.90125068870523</v>
      </c>
      <c r="M669" s="535">
        <f t="shared" si="255"/>
        <v>33.8679347132664</v>
      </c>
      <c r="N669" s="535">
        <f t="shared" si="264"/>
        <v>2.35135926184591</v>
      </c>
      <c r="O669" s="535">
        <f t="shared" si="265"/>
        <v>0.000550964187327824</v>
      </c>
      <c r="P669" s="536">
        <f t="shared" si="266"/>
        <v>14.3782083333333</v>
      </c>
      <c r="Q669" s="531">
        <f t="shared" si="267"/>
        <v>240</v>
      </c>
      <c r="R669" s="537">
        <f t="shared" si="268"/>
        <v>0.132231404958678</v>
      </c>
    </row>
    <row r="670" hidden="1" spans="1:18">
      <c r="A670" s="524">
        <v>45584</v>
      </c>
      <c r="B670" s="540" t="s">
        <v>98</v>
      </c>
      <c r="C670" s="549">
        <v>300</v>
      </c>
      <c r="D670" s="549">
        <v>10864</v>
      </c>
      <c r="E670" s="549">
        <v>273</v>
      </c>
      <c r="F670" s="549">
        <v>0</v>
      </c>
      <c r="G670" s="549">
        <v>0</v>
      </c>
      <c r="H670" s="549">
        <v>1</v>
      </c>
      <c r="I670" s="549">
        <v>7</v>
      </c>
      <c r="J670" s="549">
        <v>2</v>
      </c>
      <c r="K670" s="527">
        <f t="shared" si="254"/>
        <v>0.0251288659793814</v>
      </c>
      <c r="L670" s="528">
        <f t="shared" si="263"/>
        <v>1.0989010989011</v>
      </c>
      <c r="M670" s="528">
        <f t="shared" si="255"/>
        <v>27.6141384388807</v>
      </c>
      <c r="N670" s="528">
        <f t="shared" si="264"/>
        <v>0</v>
      </c>
      <c r="O670" s="528">
        <f t="shared" si="265"/>
        <v>0</v>
      </c>
      <c r="P670" s="529">
        <f t="shared" si="266"/>
        <v>37.5</v>
      </c>
      <c r="Q670" s="24">
        <f t="shared" si="267"/>
        <v>8</v>
      </c>
      <c r="R670" s="530">
        <f t="shared" si="268"/>
        <v>0.0293040293040293</v>
      </c>
    </row>
    <row r="671" hidden="1" spans="1:18">
      <c r="A671" s="524"/>
      <c r="B671" s="540" t="s">
        <v>99</v>
      </c>
      <c r="C671" s="540">
        <v>0</v>
      </c>
      <c r="D671" s="540">
        <v>0</v>
      </c>
      <c r="E671" s="540">
        <v>0</v>
      </c>
      <c r="F671" s="540">
        <v>0</v>
      </c>
      <c r="G671" s="540">
        <v>0</v>
      </c>
      <c r="H671" s="540">
        <v>0</v>
      </c>
      <c r="I671" s="540">
        <v>0</v>
      </c>
      <c r="J671" s="540">
        <v>0</v>
      </c>
      <c r="K671" s="527">
        <f t="shared" si="254"/>
        <v>0</v>
      </c>
      <c r="L671" s="528">
        <f t="shared" si="263"/>
        <v>0</v>
      </c>
      <c r="M671" s="528">
        <f t="shared" si="255"/>
        <v>0</v>
      </c>
      <c r="N671" s="528">
        <f t="shared" si="264"/>
        <v>0</v>
      </c>
      <c r="O671" s="528">
        <f t="shared" si="265"/>
        <v>0</v>
      </c>
      <c r="P671" s="529">
        <f t="shared" si="266"/>
        <v>0</v>
      </c>
      <c r="Q671" s="24">
        <f t="shared" si="267"/>
        <v>0</v>
      </c>
      <c r="R671" s="530">
        <f t="shared" si="268"/>
        <v>0</v>
      </c>
    </row>
    <row r="672" hidden="1" spans="1:18">
      <c r="A672" s="524"/>
      <c r="B672" s="540" t="s">
        <v>100</v>
      </c>
      <c r="C672" s="549">
        <v>3180.51</v>
      </c>
      <c r="D672" s="549">
        <v>42955</v>
      </c>
      <c r="E672" s="549">
        <v>1834</v>
      </c>
      <c r="F672" s="549">
        <v>7</v>
      </c>
      <c r="G672" s="549">
        <v>68108</v>
      </c>
      <c r="H672" s="549">
        <v>131</v>
      </c>
      <c r="I672" s="549">
        <v>199</v>
      </c>
      <c r="J672" s="549">
        <v>14</v>
      </c>
      <c r="K672" s="527">
        <f t="shared" si="254"/>
        <v>0.0426958444884181</v>
      </c>
      <c r="L672" s="528">
        <f t="shared" si="263"/>
        <v>1.73419302071974</v>
      </c>
      <c r="M672" s="528">
        <f t="shared" si="255"/>
        <v>74.04283552555</v>
      </c>
      <c r="N672" s="528">
        <f t="shared" si="264"/>
        <v>21.4141757139578</v>
      </c>
      <c r="O672" s="528">
        <f t="shared" si="265"/>
        <v>0.00381679389312977</v>
      </c>
      <c r="P672" s="529">
        <f t="shared" si="266"/>
        <v>9.63790909090909</v>
      </c>
      <c r="Q672" s="24">
        <f t="shared" si="267"/>
        <v>330</v>
      </c>
      <c r="R672" s="530">
        <f t="shared" si="268"/>
        <v>0.179934569247546</v>
      </c>
    </row>
    <row r="673" hidden="1" spans="1:18">
      <c r="A673" s="524"/>
      <c r="B673" s="540" t="s">
        <v>101</v>
      </c>
      <c r="C673" s="540">
        <v>0</v>
      </c>
      <c r="D673" s="540">
        <v>0</v>
      </c>
      <c r="E673" s="540">
        <v>0</v>
      </c>
      <c r="F673" s="540">
        <v>0</v>
      </c>
      <c r="G673" s="540">
        <v>0</v>
      </c>
      <c r="H673" s="540">
        <v>0</v>
      </c>
      <c r="I673" s="540">
        <v>0</v>
      </c>
      <c r="J673" s="540">
        <v>0</v>
      </c>
      <c r="K673" s="527">
        <f t="shared" si="254"/>
        <v>0</v>
      </c>
      <c r="L673" s="528">
        <f t="shared" si="263"/>
        <v>0</v>
      </c>
      <c r="M673" s="528">
        <f t="shared" si="255"/>
        <v>0</v>
      </c>
      <c r="N673" s="528">
        <f t="shared" si="264"/>
        <v>0</v>
      </c>
      <c r="O673" s="528">
        <f t="shared" si="265"/>
        <v>0</v>
      </c>
      <c r="P673" s="529">
        <f t="shared" si="266"/>
        <v>0</v>
      </c>
      <c r="Q673" s="24">
        <f t="shared" si="267"/>
        <v>0</v>
      </c>
      <c r="R673" s="530">
        <f t="shared" si="268"/>
        <v>0</v>
      </c>
    </row>
    <row r="674" hidden="1" spans="1:18">
      <c r="A674" s="524"/>
      <c r="B674" s="531" t="s">
        <v>96</v>
      </c>
      <c r="C674" s="533">
        <f t="shared" ref="C674:J674" si="272">SUM(C670:C673)</f>
        <v>3480.51</v>
      </c>
      <c r="D674" s="533">
        <f t="shared" si="272"/>
        <v>53819</v>
      </c>
      <c r="E674" s="533">
        <f t="shared" si="272"/>
        <v>2107</v>
      </c>
      <c r="F674" s="533">
        <f t="shared" si="272"/>
        <v>7</v>
      </c>
      <c r="G674" s="533">
        <f t="shared" si="272"/>
        <v>68108</v>
      </c>
      <c r="H674" s="533">
        <f t="shared" si="272"/>
        <v>132</v>
      </c>
      <c r="I674" s="533">
        <f t="shared" si="272"/>
        <v>206</v>
      </c>
      <c r="J674" s="533">
        <f t="shared" si="272"/>
        <v>16</v>
      </c>
      <c r="K674" s="534">
        <f t="shared" si="254"/>
        <v>0.0391497426559394</v>
      </c>
      <c r="L674" s="535">
        <f t="shared" si="263"/>
        <v>1.6518794494542</v>
      </c>
      <c r="M674" s="535">
        <f t="shared" si="255"/>
        <v>64.6706553447667</v>
      </c>
      <c r="N674" s="535">
        <f t="shared" si="264"/>
        <v>19.5683965855579</v>
      </c>
      <c r="O674" s="535">
        <f t="shared" si="265"/>
        <v>0.00332225913621262</v>
      </c>
      <c r="P674" s="536">
        <f t="shared" si="266"/>
        <v>10.2973668639053</v>
      </c>
      <c r="Q674" s="531">
        <f t="shared" si="267"/>
        <v>338</v>
      </c>
      <c r="R674" s="537">
        <f t="shared" si="268"/>
        <v>0.160417655434267</v>
      </c>
    </row>
    <row r="675" hidden="1" spans="1:18">
      <c r="A675" s="524">
        <v>45585</v>
      </c>
      <c r="B675" s="540" t="s">
        <v>98</v>
      </c>
      <c r="C675" s="550">
        <v>284.53</v>
      </c>
      <c r="D675" s="550">
        <v>13437</v>
      </c>
      <c r="E675" s="550">
        <v>325</v>
      </c>
      <c r="F675" s="550">
        <v>0</v>
      </c>
      <c r="G675" s="550">
        <v>0</v>
      </c>
      <c r="H675" s="550">
        <v>3</v>
      </c>
      <c r="I675" s="550">
        <v>18</v>
      </c>
      <c r="J675" s="550">
        <v>4</v>
      </c>
      <c r="K675" s="527">
        <f t="shared" si="254"/>
        <v>0.0241869464910322</v>
      </c>
      <c r="L675" s="528">
        <f t="shared" si="263"/>
        <v>0.875476923076923</v>
      </c>
      <c r="M675" s="528">
        <f t="shared" si="255"/>
        <v>21.1751134925951</v>
      </c>
      <c r="N675" s="528">
        <f t="shared" si="264"/>
        <v>0</v>
      </c>
      <c r="O675" s="528">
        <f t="shared" si="265"/>
        <v>0</v>
      </c>
      <c r="P675" s="529">
        <f t="shared" si="266"/>
        <v>13.5490476190476</v>
      </c>
      <c r="Q675" s="24">
        <f t="shared" si="267"/>
        <v>21</v>
      </c>
      <c r="R675" s="530">
        <f t="shared" si="268"/>
        <v>0.0646153846153846</v>
      </c>
    </row>
    <row r="676" hidden="1" spans="1:18">
      <c r="A676" s="524"/>
      <c r="B676" s="540" t="s">
        <v>99</v>
      </c>
      <c r="C676" s="540">
        <v>0</v>
      </c>
      <c r="D676" s="540">
        <v>0</v>
      </c>
      <c r="E676" s="540">
        <v>0</v>
      </c>
      <c r="F676" s="540">
        <v>0</v>
      </c>
      <c r="G676" s="540">
        <v>0</v>
      </c>
      <c r="H676" s="540">
        <v>0</v>
      </c>
      <c r="I676" s="540">
        <v>0</v>
      </c>
      <c r="J676" s="540">
        <v>0</v>
      </c>
      <c r="K676" s="527">
        <f t="shared" si="254"/>
        <v>0</v>
      </c>
      <c r="L676" s="528">
        <f t="shared" si="263"/>
        <v>0</v>
      </c>
      <c r="M676" s="528">
        <f t="shared" si="255"/>
        <v>0</v>
      </c>
      <c r="N676" s="528">
        <f t="shared" si="264"/>
        <v>0</v>
      </c>
      <c r="O676" s="528">
        <f t="shared" si="265"/>
        <v>0</v>
      </c>
      <c r="P676" s="529">
        <f t="shared" si="266"/>
        <v>0</v>
      </c>
      <c r="Q676" s="24">
        <f t="shared" si="267"/>
        <v>0</v>
      </c>
      <c r="R676" s="530">
        <f t="shared" si="268"/>
        <v>0</v>
      </c>
    </row>
    <row r="677" hidden="1" spans="1:18">
      <c r="A677" s="524"/>
      <c r="B677" s="540" t="s">
        <v>100</v>
      </c>
      <c r="C677" s="550">
        <v>3036.47</v>
      </c>
      <c r="D677" s="550">
        <v>52262</v>
      </c>
      <c r="E677" s="550">
        <v>1872</v>
      </c>
      <c r="F677" s="550">
        <v>1</v>
      </c>
      <c r="G677" s="550">
        <v>10780</v>
      </c>
      <c r="H677" s="550">
        <v>100</v>
      </c>
      <c r="I677" s="550">
        <v>153</v>
      </c>
      <c r="J677" s="550">
        <v>11</v>
      </c>
      <c r="K677" s="527">
        <f t="shared" si="254"/>
        <v>0.0358195247024607</v>
      </c>
      <c r="L677" s="528">
        <f t="shared" si="263"/>
        <v>1.62204594017094</v>
      </c>
      <c r="M677" s="528">
        <f t="shared" si="255"/>
        <v>58.100914622479</v>
      </c>
      <c r="N677" s="528">
        <f t="shared" si="264"/>
        <v>3.55017503877858</v>
      </c>
      <c r="O677" s="528">
        <f t="shared" si="265"/>
        <v>0.000534188034188034</v>
      </c>
      <c r="P677" s="529">
        <f t="shared" si="266"/>
        <v>12.0018577075099</v>
      </c>
      <c r="Q677" s="24">
        <f t="shared" si="267"/>
        <v>253</v>
      </c>
      <c r="R677" s="530">
        <f t="shared" si="268"/>
        <v>0.135149572649573</v>
      </c>
    </row>
    <row r="678" hidden="1" spans="1:18">
      <c r="A678" s="524"/>
      <c r="B678" s="540" t="s">
        <v>101</v>
      </c>
      <c r="C678" s="540">
        <v>0</v>
      </c>
      <c r="D678" s="540">
        <v>0</v>
      </c>
      <c r="E678" s="540">
        <v>0</v>
      </c>
      <c r="F678" s="540">
        <v>0</v>
      </c>
      <c r="G678" s="540">
        <v>0</v>
      </c>
      <c r="H678" s="540">
        <v>0</v>
      </c>
      <c r="I678" s="540">
        <v>0</v>
      </c>
      <c r="J678" s="540">
        <v>0</v>
      </c>
      <c r="K678" s="527">
        <f t="shared" si="254"/>
        <v>0</v>
      </c>
      <c r="L678" s="528">
        <f t="shared" si="263"/>
        <v>0</v>
      </c>
      <c r="M678" s="528">
        <f t="shared" si="255"/>
        <v>0</v>
      </c>
      <c r="N678" s="528">
        <f t="shared" si="264"/>
        <v>0</v>
      </c>
      <c r="O678" s="528">
        <f t="shared" si="265"/>
        <v>0</v>
      </c>
      <c r="P678" s="529">
        <f t="shared" si="266"/>
        <v>0</v>
      </c>
      <c r="Q678" s="24">
        <f t="shared" si="267"/>
        <v>0</v>
      </c>
      <c r="R678" s="530">
        <f t="shared" si="268"/>
        <v>0</v>
      </c>
    </row>
    <row r="679" hidden="1" spans="1:18">
      <c r="A679" s="524"/>
      <c r="B679" s="531" t="s">
        <v>96</v>
      </c>
      <c r="C679" s="533">
        <f t="shared" ref="C679:J679" si="273">SUM(C675:C678)</f>
        <v>3321</v>
      </c>
      <c r="D679" s="533">
        <f t="shared" si="273"/>
        <v>65699</v>
      </c>
      <c r="E679" s="533">
        <f t="shared" si="273"/>
        <v>2197</v>
      </c>
      <c r="F679" s="533">
        <f t="shared" si="273"/>
        <v>1</v>
      </c>
      <c r="G679" s="533">
        <f t="shared" si="273"/>
        <v>10780</v>
      </c>
      <c r="H679" s="533">
        <f t="shared" si="273"/>
        <v>103</v>
      </c>
      <c r="I679" s="533">
        <f t="shared" si="273"/>
        <v>171</v>
      </c>
      <c r="J679" s="533">
        <f t="shared" si="273"/>
        <v>15</v>
      </c>
      <c r="K679" s="534">
        <f t="shared" si="254"/>
        <v>0.0334403872205056</v>
      </c>
      <c r="L679" s="535">
        <f t="shared" si="263"/>
        <v>1.51160673645881</v>
      </c>
      <c r="M679" s="535">
        <f t="shared" si="255"/>
        <v>50.5487145923073</v>
      </c>
      <c r="N679" s="535">
        <f t="shared" si="264"/>
        <v>3.24601023788016</v>
      </c>
      <c r="O679" s="535">
        <f t="shared" si="265"/>
        <v>0.000455166135639508</v>
      </c>
      <c r="P679" s="536">
        <f t="shared" si="266"/>
        <v>12.1204379562044</v>
      </c>
      <c r="Q679" s="531">
        <f t="shared" si="267"/>
        <v>274</v>
      </c>
      <c r="R679" s="537">
        <f t="shared" si="268"/>
        <v>0.124715521165225</v>
      </c>
    </row>
    <row r="680" hidden="1" spans="1:18">
      <c r="A680" s="524">
        <v>45586</v>
      </c>
      <c r="B680" s="540" t="s">
        <v>98</v>
      </c>
      <c r="C680" s="540">
        <v>300</v>
      </c>
      <c r="D680" s="540">
        <v>10276</v>
      </c>
      <c r="E680" s="540">
        <v>253</v>
      </c>
      <c r="F680" s="540">
        <v>0</v>
      </c>
      <c r="G680" s="540">
        <v>0</v>
      </c>
      <c r="H680" s="540">
        <v>3</v>
      </c>
      <c r="I680" s="540">
        <v>4</v>
      </c>
      <c r="J680" s="540">
        <v>4</v>
      </c>
      <c r="K680" s="527">
        <f t="shared" si="254"/>
        <v>0.0246204748929545</v>
      </c>
      <c r="L680" s="528">
        <f t="shared" si="263"/>
        <v>1.18577075098814</v>
      </c>
      <c r="M680" s="528">
        <f t="shared" si="255"/>
        <v>29.1942390035033</v>
      </c>
      <c r="N680" s="528">
        <f t="shared" si="264"/>
        <v>0</v>
      </c>
      <c r="O680" s="528">
        <f t="shared" si="265"/>
        <v>0</v>
      </c>
      <c r="P680" s="529">
        <f t="shared" si="266"/>
        <v>42.8571428571429</v>
      </c>
      <c r="Q680" s="24">
        <f t="shared" si="267"/>
        <v>7</v>
      </c>
      <c r="R680" s="530">
        <f t="shared" si="268"/>
        <v>0.0276679841897233</v>
      </c>
    </row>
    <row r="681" hidden="1" spans="1:18">
      <c r="A681" s="524"/>
      <c r="B681" s="540" t="s">
        <v>99</v>
      </c>
      <c r="C681" s="549">
        <v>1000</v>
      </c>
      <c r="D681" s="549">
        <v>13946</v>
      </c>
      <c r="E681" s="549">
        <v>1326</v>
      </c>
      <c r="F681" s="549">
        <v>6</v>
      </c>
      <c r="G681" s="549">
        <v>67281</v>
      </c>
      <c r="H681" s="549">
        <v>11</v>
      </c>
      <c r="I681" s="549">
        <v>2</v>
      </c>
      <c r="J681" s="549"/>
      <c r="K681" s="527">
        <f t="shared" si="254"/>
        <v>0.0950810268177255</v>
      </c>
      <c r="L681" s="528">
        <f t="shared" si="263"/>
        <v>0.754147812971342</v>
      </c>
      <c r="M681" s="528">
        <f t="shared" si="255"/>
        <v>71.7051484296573</v>
      </c>
      <c r="N681" s="528">
        <f t="shared" si="264"/>
        <v>67.281</v>
      </c>
      <c r="O681" s="528">
        <f t="shared" si="265"/>
        <v>0.00452488687782805</v>
      </c>
      <c r="P681" s="529">
        <f t="shared" si="266"/>
        <v>76.9230769230769</v>
      </c>
      <c r="Q681" s="24">
        <f t="shared" si="267"/>
        <v>13</v>
      </c>
      <c r="R681" s="530">
        <f t="shared" si="268"/>
        <v>0.00980392156862745</v>
      </c>
    </row>
    <row r="682" hidden="1" spans="1:18">
      <c r="A682" s="524"/>
      <c r="B682" s="540" t="s">
        <v>100</v>
      </c>
      <c r="C682" s="540">
        <v>5321.3</v>
      </c>
      <c r="D682" s="540">
        <v>99943</v>
      </c>
      <c r="E682" s="540">
        <v>1745</v>
      </c>
      <c r="F682" s="540">
        <v>9</v>
      </c>
      <c r="G682" s="540">
        <v>112586</v>
      </c>
      <c r="H682" s="540">
        <v>114</v>
      </c>
      <c r="I682" s="540">
        <v>110</v>
      </c>
      <c r="J682" s="540">
        <v>10</v>
      </c>
      <c r="K682" s="527">
        <f t="shared" si="254"/>
        <v>0.0174599521727385</v>
      </c>
      <c r="L682" s="528">
        <f t="shared" si="263"/>
        <v>3.04945558739255</v>
      </c>
      <c r="M682" s="528">
        <f t="shared" si="255"/>
        <v>53.243348708764</v>
      </c>
      <c r="N682" s="528">
        <f t="shared" si="264"/>
        <v>21.1576118617631</v>
      </c>
      <c r="O682" s="528">
        <f t="shared" si="265"/>
        <v>0.00515759312320917</v>
      </c>
      <c r="P682" s="529">
        <f t="shared" si="266"/>
        <v>23.7558035714286</v>
      </c>
      <c r="Q682" s="24">
        <f t="shared" si="267"/>
        <v>224</v>
      </c>
      <c r="R682" s="530">
        <f t="shared" si="268"/>
        <v>0.12836676217765</v>
      </c>
    </row>
    <row r="683" hidden="1" spans="1:18">
      <c r="A683" s="524"/>
      <c r="B683" s="540" t="s">
        <v>101</v>
      </c>
      <c r="C683" s="540">
        <v>0</v>
      </c>
      <c r="D683" s="540">
        <v>0</v>
      </c>
      <c r="E683" s="540">
        <v>0</v>
      </c>
      <c r="F683" s="540">
        <v>0</v>
      </c>
      <c r="G683" s="540">
        <v>0</v>
      </c>
      <c r="H683" s="540">
        <v>0</v>
      </c>
      <c r="I683" s="540">
        <v>0</v>
      </c>
      <c r="J683" s="540">
        <v>0</v>
      </c>
      <c r="K683" s="527">
        <f t="shared" si="254"/>
        <v>0</v>
      </c>
      <c r="L683" s="528">
        <f t="shared" si="263"/>
        <v>0</v>
      </c>
      <c r="M683" s="528">
        <f t="shared" si="255"/>
        <v>0</v>
      </c>
      <c r="N683" s="528">
        <f t="shared" si="264"/>
        <v>0</v>
      </c>
      <c r="O683" s="528">
        <f t="shared" si="265"/>
        <v>0</v>
      </c>
      <c r="P683" s="529">
        <f t="shared" si="266"/>
        <v>0</v>
      </c>
      <c r="Q683" s="24">
        <f t="shared" si="267"/>
        <v>0</v>
      </c>
      <c r="R683" s="530">
        <f t="shared" si="268"/>
        <v>0</v>
      </c>
    </row>
    <row r="684" hidden="1" spans="1:18">
      <c r="A684" s="524"/>
      <c r="B684" s="531" t="s">
        <v>96</v>
      </c>
      <c r="C684" s="533">
        <f t="shared" ref="C684:J684" si="274">SUM(C680:C683)</f>
        <v>6621.3</v>
      </c>
      <c r="D684" s="533">
        <f t="shared" si="274"/>
        <v>124165</v>
      </c>
      <c r="E684" s="533">
        <f t="shared" si="274"/>
        <v>3324</v>
      </c>
      <c r="F684" s="533">
        <f t="shared" si="274"/>
        <v>15</v>
      </c>
      <c r="G684" s="533">
        <f t="shared" si="274"/>
        <v>179867</v>
      </c>
      <c r="H684" s="533">
        <f t="shared" si="274"/>
        <v>128</v>
      </c>
      <c r="I684" s="533">
        <f t="shared" si="274"/>
        <v>116</v>
      </c>
      <c r="J684" s="533">
        <f t="shared" si="274"/>
        <v>14</v>
      </c>
      <c r="K684" s="534">
        <f t="shared" si="254"/>
        <v>0.0267708291386462</v>
      </c>
      <c r="L684" s="535">
        <f t="shared" si="263"/>
        <v>1.99196750902527</v>
      </c>
      <c r="M684" s="535">
        <f t="shared" si="255"/>
        <v>53.3266218338501</v>
      </c>
      <c r="N684" s="535">
        <f t="shared" si="264"/>
        <v>27.1649071934514</v>
      </c>
      <c r="O684" s="535">
        <f t="shared" si="265"/>
        <v>0.00451263537906137</v>
      </c>
      <c r="P684" s="536">
        <f t="shared" si="266"/>
        <v>27.1364754098361</v>
      </c>
      <c r="Q684" s="531">
        <f t="shared" si="267"/>
        <v>244</v>
      </c>
      <c r="R684" s="537">
        <f t="shared" si="268"/>
        <v>0.0734055354993983</v>
      </c>
    </row>
    <row r="685" hidden="1" spans="1:18">
      <c r="A685" s="524">
        <v>45587</v>
      </c>
      <c r="B685" s="540" t="s">
        <v>98</v>
      </c>
      <c r="C685" s="540">
        <v>300</v>
      </c>
      <c r="D685" s="540">
        <v>15300</v>
      </c>
      <c r="E685" s="540">
        <v>351</v>
      </c>
      <c r="F685" s="540">
        <v>0</v>
      </c>
      <c r="G685" s="540">
        <v>0</v>
      </c>
      <c r="H685" s="540">
        <v>5</v>
      </c>
      <c r="I685" s="540">
        <v>5</v>
      </c>
      <c r="J685" s="540">
        <v>5</v>
      </c>
      <c r="K685" s="527">
        <f t="shared" si="254"/>
        <v>0.0229411764705882</v>
      </c>
      <c r="L685" s="528">
        <f t="shared" si="263"/>
        <v>0.854700854700855</v>
      </c>
      <c r="M685" s="528">
        <f t="shared" si="255"/>
        <v>19.6078431372549</v>
      </c>
      <c r="N685" s="528">
        <f t="shared" si="264"/>
        <v>0</v>
      </c>
      <c r="O685" s="528">
        <f t="shared" si="265"/>
        <v>0</v>
      </c>
      <c r="P685" s="529">
        <f t="shared" si="266"/>
        <v>30</v>
      </c>
      <c r="Q685" s="24">
        <f t="shared" si="267"/>
        <v>10</v>
      </c>
      <c r="R685" s="530">
        <f t="shared" si="268"/>
        <v>0.0284900284900285</v>
      </c>
    </row>
    <row r="686" hidden="1" spans="1:18">
      <c r="A686" s="524"/>
      <c r="B686" s="540" t="s">
        <v>99</v>
      </c>
      <c r="C686" s="540">
        <v>0</v>
      </c>
      <c r="D686" s="540">
        <v>0</v>
      </c>
      <c r="E686" s="540">
        <v>0</v>
      </c>
      <c r="F686" s="540">
        <v>0</v>
      </c>
      <c r="G686" s="540">
        <v>0</v>
      </c>
      <c r="H686" s="540">
        <v>0</v>
      </c>
      <c r="I686" s="540">
        <v>0</v>
      </c>
      <c r="J686" s="540">
        <v>0</v>
      </c>
      <c r="K686" s="527">
        <f t="shared" si="254"/>
        <v>0</v>
      </c>
      <c r="L686" s="528">
        <f t="shared" si="263"/>
        <v>0</v>
      </c>
      <c r="M686" s="528">
        <f t="shared" si="255"/>
        <v>0</v>
      </c>
      <c r="N686" s="528">
        <f t="shared" si="264"/>
        <v>0</v>
      </c>
      <c r="O686" s="528">
        <f t="shared" si="265"/>
        <v>0</v>
      </c>
      <c r="P686" s="529">
        <f t="shared" si="266"/>
        <v>0</v>
      </c>
      <c r="Q686" s="24">
        <f t="shared" si="267"/>
        <v>0</v>
      </c>
      <c r="R686" s="530">
        <f t="shared" si="268"/>
        <v>0</v>
      </c>
    </row>
    <row r="687" hidden="1" spans="1:18">
      <c r="A687" s="524"/>
      <c r="B687" s="540" t="s">
        <v>100</v>
      </c>
      <c r="C687" s="540">
        <v>4152.19</v>
      </c>
      <c r="D687" s="540">
        <v>296701</v>
      </c>
      <c r="E687" s="540">
        <v>3355</v>
      </c>
      <c r="F687" s="540">
        <v>4</v>
      </c>
      <c r="G687" s="540">
        <v>36863</v>
      </c>
      <c r="H687" s="540">
        <v>106</v>
      </c>
      <c r="I687" s="540">
        <v>129</v>
      </c>
      <c r="J687" s="540">
        <v>4</v>
      </c>
      <c r="K687" s="527">
        <f t="shared" ref="K687:K750" si="275">IF(E687=0,0,E687/D687)</f>
        <v>0.0113076801224128</v>
      </c>
      <c r="L687" s="528">
        <f t="shared" si="263"/>
        <v>1.23761251862891</v>
      </c>
      <c r="M687" s="528">
        <f t="shared" ref="M687:M750" si="276">IF(D687=0,0,C687/D687*1000)</f>
        <v>13.9945264761494</v>
      </c>
      <c r="N687" s="528">
        <f t="shared" si="264"/>
        <v>8.87796560369347</v>
      </c>
      <c r="O687" s="528">
        <f t="shared" si="265"/>
        <v>0.00119225037257824</v>
      </c>
      <c r="P687" s="529">
        <f t="shared" si="266"/>
        <v>17.6688936170213</v>
      </c>
      <c r="Q687" s="24">
        <f t="shared" si="267"/>
        <v>235</v>
      </c>
      <c r="R687" s="530">
        <f t="shared" si="268"/>
        <v>0.0700447093889717</v>
      </c>
    </row>
    <row r="688" hidden="1" spans="1:18">
      <c r="A688" s="524"/>
      <c r="B688" s="540" t="s">
        <v>101</v>
      </c>
      <c r="C688" s="540">
        <v>0</v>
      </c>
      <c r="D688" s="540">
        <v>0</v>
      </c>
      <c r="E688" s="540">
        <v>0</v>
      </c>
      <c r="F688" s="540">
        <v>0</v>
      </c>
      <c r="G688" s="540">
        <v>0</v>
      </c>
      <c r="H688" s="540">
        <v>0</v>
      </c>
      <c r="I688" s="540">
        <v>0</v>
      </c>
      <c r="J688" s="540">
        <v>0</v>
      </c>
      <c r="K688" s="527">
        <f t="shared" si="275"/>
        <v>0</v>
      </c>
      <c r="L688" s="528">
        <f t="shared" si="263"/>
        <v>0</v>
      </c>
      <c r="M688" s="528">
        <f t="shared" si="276"/>
        <v>0</v>
      </c>
      <c r="N688" s="528">
        <f t="shared" si="264"/>
        <v>0</v>
      </c>
      <c r="O688" s="528">
        <f t="shared" si="265"/>
        <v>0</v>
      </c>
      <c r="P688" s="529">
        <f t="shared" si="266"/>
        <v>0</v>
      </c>
      <c r="Q688" s="24">
        <f t="shared" si="267"/>
        <v>0</v>
      </c>
      <c r="R688" s="530">
        <f t="shared" si="268"/>
        <v>0</v>
      </c>
    </row>
    <row r="689" hidden="1" spans="1:18">
      <c r="A689" s="524"/>
      <c r="B689" s="531" t="s">
        <v>96</v>
      </c>
      <c r="C689" s="533">
        <f t="shared" ref="C689:J689" si="277">SUM(C685:C688)</f>
        <v>4452.19</v>
      </c>
      <c r="D689" s="533">
        <f t="shared" si="277"/>
        <v>312001</v>
      </c>
      <c r="E689" s="533">
        <f t="shared" si="277"/>
        <v>3706</v>
      </c>
      <c r="F689" s="533">
        <f t="shared" si="277"/>
        <v>4</v>
      </c>
      <c r="G689" s="533">
        <f t="shared" si="277"/>
        <v>36863</v>
      </c>
      <c r="H689" s="533">
        <f t="shared" si="277"/>
        <v>111</v>
      </c>
      <c r="I689" s="533">
        <f t="shared" si="277"/>
        <v>134</v>
      </c>
      <c r="J689" s="533">
        <f t="shared" si="277"/>
        <v>9</v>
      </c>
      <c r="K689" s="534">
        <f t="shared" si="275"/>
        <v>0.0118781670571569</v>
      </c>
      <c r="L689" s="535">
        <f t="shared" si="263"/>
        <v>1.20134646519158</v>
      </c>
      <c r="M689" s="535">
        <f t="shared" si="276"/>
        <v>14.2697940070705</v>
      </c>
      <c r="N689" s="535">
        <f t="shared" si="264"/>
        <v>8.27974547357593</v>
      </c>
      <c r="O689" s="535">
        <f t="shared" si="265"/>
        <v>0.00107933081489477</v>
      </c>
      <c r="P689" s="536">
        <f t="shared" si="266"/>
        <v>18.1722040816326</v>
      </c>
      <c r="Q689" s="531">
        <f t="shared" si="267"/>
        <v>245</v>
      </c>
      <c r="R689" s="537">
        <f t="shared" si="268"/>
        <v>0.0661090124123044</v>
      </c>
    </row>
    <row r="690" hidden="1" spans="1:18">
      <c r="A690" s="524">
        <v>45588</v>
      </c>
      <c r="B690" s="540" t="s">
        <v>98</v>
      </c>
      <c r="C690" s="540">
        <v>300</v>
      </c>
      <c r="D690" s="540">
        <v>10384</v>
      </c>
      <c r="E690" s="540">
        <v>276</v>
      </c>
      <c r="F690" s="540">
        <v>0</v>
      </c>
      <c r="G690" s="540">
        <v>0</v>
      </c>
      <c r="H690" s="540">
        <v>2</v>
      </c>
      <c r="I690" s="540">
        <v>3</v>
      </c>
      <c r="J690" s="540">
        <v>3</v>
      </c>
      <c r="K690" s="527">
        <f t="shared" si="275"/>
        <v>0.0265793528505393</v>
      </c>
      <c r="L690" s="528">
        <f t="shared" si="263"/>
        <v>1.08695652173913</v>
      </c>
      <c r="M690" s="528">
        <f t="shared" si="276"/>
        <v>28.8906009244992</v>
      </c>
      <c r="N690" s="528">
        <f t="shared" si="264"/>
        <v>0</v>
      </c>
      <c r="O690" s="528">
        <f t="shared" si="265"/>
        <v>0</v>
      </c>
      <c r="P690" s="529">
        <f t="shared" si="266"/>
        <v>60</v>
      </c>
      <c r="Q690" s="24">
        <f t="shared" si="267"/>
        <v>5</v>
      </c>
      <c r="R690" s="530">
        <f t="shared" si="268"/>
        <v>0.0181159420289855</v>
      </c>
    </row>
    <row r="691" hidden="1" spans="1:18">
      <c r="A691" s="524"/>
      <c r="B691" s="540" t="s">
        <v>99</v>
      </c>
      <c r="C691" s="549">
        <v>786.13</v>
      </c>
      <c r="D691" s="549">
        <v>10900</v>
      </c>
      <c r="E691" s="549">
        <v>947</v>
      </c>
      <c r="F691" s="549">
        <v>6</v>
      </c>
      <c r="G691" s="549">
        <v>22827.8</v>
      </c>
      <c r="H691" s="549">
        <v>31</v>
      </c>
      <c r="I691" s="549">
        <v>7</v>
      </c>
      <c r="J691" s="549">
        <v>0</v>
      </c>
      <c r="K691" s="527">
        <f t="shared" si="275"/>
        <v>0.0868807339449541</v>
      </c>
      <c r="L691" s="528">
        <f t="shared" si="263"/>
        <v>0.83012671594509</v>
      </c>
      <c r="M691" s="528">
        <f t="shared" si="276"/>
        <v>72.1220183486239</v>
      </c>
      <c r="N691" s="528">
        <f t="shared" si="264"/>
        <v>29.038199788839</v>
      </c>
      <c r="O691" s="528">
        <f t="shared" si="265"/>
        <v>0.00633579725448786</v>
      </c>
      <c r="P691" s="529">
        <f t="shared" si="266"/>
        <v>20.6876315789474</v>
      </c>
      <c r="Q691" s="24">
        <f t="shared" si="267"/>
        <v>38</v>
      </c>
      <c r="R691" s="530">
        <f t="shared" si="268"/>
        <v>0.0401267159450898</v>
      </c>
    </row>
    <row r="692" hidden="1" spans="1:18">
      <c r="A692" s="524"/>
      <c r="B692" s="540" t="s">
        <v>100</v>
      </c>
      <c r="C692" s="540">
        <v>5061.13</v>
      </c>
      <c r="D692" s="540">
        <v>364760</v>
      </c>
      <c r="E692" s="540">
        <v>3218</v>
      </c>
      <c r="F692" s="540">
        <v>5</v>
      </c>
      <c r="G692" s="540">
        <v>54186</v>
      </c>
      <c r="H692" s="540">
        <v>127</v>
      </c>
      <c r="I692" s="540">
        <v>205</v>
      </c>
      <c r="J692" s="540">
        <v>12</v>
      </c>
      <c r="K692" s="527">
        <f t="shared" si="275"/>
        <v>0.00882223928062287</v>
      </c>
      <c r="L692" s="528">
        <f t="shared" si="263"/>
        <v>1.57275637041641</v>
      </c>
      <c r="M692" s="528">
        <f t="shared" si="276"/>
        <v>13.8752330299375</v>
      </c>
      <c r="N692" s="528">
        <f t="shared" si="264"/>
        <v>10.7063047185115</v>
      </c>
      <c r="O692" s="528">
        <f t="shared" si="265"/>
        <v>0.00155376009944065</v>
      </c>
      <c r="P692" s="529">
        <f t="shared" si="266"/>
        <v>15.2443674698795</v>
      </c>
      <c r="Q692" s="24">
        <f t="shared" si="267"/>
        <v>332</v>
      </c>
      <c r="R692" s="530">
        <f t="shared" si="268"/>
        <v>0.103169670602859</v>
      </c>
    </row>
    <row r="693" hidden="1" spans="1:18">
      <c r="A693" s="524"/>
      <c r="B693" s="540" t="s">
        <v>101</v>
      </c>
      <c r="C693" s="540">
        <v>0</v>
      </c>
      <c r="D693" s="540">
        <v>0</v>
      </c>
      <c r="E693" s="540">
        <v>0</v>
      </c>
      <c r="F693" s="540">
        <v>0</v>
      </c>
      <c r="G693" s="540">
        <v>0</v>
      </c>
      <c r="H693" s="540">
        <v>0</v>
      </c>
      <c r="I693" s="540">
        <v>0</v>
      </c>
      <c r="J693" s="540">
        <v>0</v>
      </c>
      <c r="K693" s="527">
        <f t="shared" si="275"/>
        <v>0</v>
      </c>
      <c r="L693" s="528">
        <f t="shared" si="263"/>
        <v>0</v>
      </c>
      <c r="M693" s="528">
        <f t="shared" si="276"/>
        <v>0</v>
      </c>
      <c r="N693" s="528">
        <f t="shared" si="264"/>
        <v>0</v>
      </c>
      <c r="O693" s="528">
        <f t="shared" si="265"/>
        <v>0</v>
      </c>
      <c r="P693" s="529">
        <f t="shared" si="266"/>
        <v>0</v>
      </c>
      <c r="Q693" s="24">
        <f t="shared" si="267"/>
        <v>0</v>
      </c>
      <c r="R693" s="530">
        <f t="shared" si="268"/>
        <v>0</v>
      </c>
    </row>
    <row r="694" hidden="1" spans="1:18">
      <c r="A694" s="524"/>
      <c r="B694" s="531" t="s">
        <v>96</v>
      </c>
      <c r="C694" s="533">
        <f t="shared" ref="C694:J694" si="278">SUM(C690:C693)</f>
        <v>6147.26</v>
      </c>
      <c r="D694" s="533">
        <f t="shared" si="278"/>
        <v>386044</v>
      </c>
      <c r="E694" s="533">
        <f t="shared" si="278"/>
        <v>4441</v>
      </c>
      <c r="F694" s="533">
        <f t="shared" si="278"/>
        <v>11</v>
      </c>
      <c r="G694" s="533">
        <f t="shared" si="278"/>
        <v>77013.8</v>
      </c>
      <c r="H694" s="533">
        <f t="shared" si="278"/>
        <v>160</v>
      </c>
      <c r="I694" s="533">
        <f t="shared" si="278"/>
        <v>215</v>
      </c>
      <c r="J694" s="533">
        <f t="shared" si="278"/>
        <v>15</v>
      </c>
      <c r="K694" s="534">
        <f t="shared" si="275"/>
        <v>0.0115038700251785</v>
      </c>
      <c r="L694" s="535">
        <f t="shared" si="263"/>
        <v>1.38420625985138</v>
      </c>
      <c r="M694" s="535">
        <f t="shared" si="276"/>
        <v>15.9237289013688</v>
      </c>
      <c r="N694" s="535">
        <f t="shared" si="264"/>
        <v>12.5281507533438</v>
      </c>
      <c r="O694" s="535">
        <f t="shared" si="265"/>
        <v>0.00247691961269984</v>
      </c>
      <c r="P694" s="536">
        <f t="shared" si="266"/>
        <v>16.3926933333333</v>
      </c>
      <c r="Q694" s="531">
        <f t="shared" si="267"/>
        <v>375</v>
      </c>
      <c r="R694" s="537">
        <f t="shared" si="268"/>
        <v>0.0844404413420401</v>
      </c>
    </row>
    <row r="695" hidden="1" spans="1:18">
      <c r="A695" s="524">
        <v>45589</v>
      </c>
      <c r="B695" s="540" t="s">
        <v>98</v>
      </c>
      <c r="C695" s="540">
        <v>300</v>
      </c>
      <c r="D695" s="540">
        <v>12902</v>
      </c>
      <c r="E695" s="540">
        <v>280</v>
      </c>
      <c r="F695" s="540">
        <v>0</v>
      </c>
      <c r="G695" s="540">
        <v>0</v>
      </c>
      <c r="H695" s="540">
        <v>2</v>
      </c>
      <c r="I695" s="540">
        <v>8</v>
      </c>
      <c r="J695" s="540">
        <v>3</v>
      </c>
      <c r="K695" s="527">
        <f t="shared" si="275"/>
        <v>0.0217020616958611</v>
      </c>
      <c r="L695" s="528">
        <f t="shared" si="263"/>
        <v>1.07142857142857</v>
      </c>
      <c r="M695" s="528">
        <f t="shared" si="276"/>
        <v>23.2522089598512</v>
      </c>
      <c r="N695" s="528">
        <f t="shared" si="264"/>
        <v>0</v>
      </c>
      <c r="O695" s="528">
        <f t="shared" si="265"/>
        <v>0</v>
      </c>
      <c r="P695" s="529">
        <f t="shared" si="266"/>
        <v>30</v>
      </c>
      <c r="Q695" s="24">
        <f t="shared" si="267"/>
        <v>10</v>
      </c>
      <c r="R695" s="530">
        <f t="shared" si="268"/>
        <v>0.0357142857142857</v>
      </c>
    </row>
    <row r="696" hidden="1" spans="1:18">
      <c r="A696" s="524"/>
      <c r="B696" s="540" t="s">
        <v>99</v>
      </c>
      <c r="C696" s="540">
        <v>0</v>
      </c>
      <c r="D696" s="540">
        <v>0</v>
      </c>
      <c r="E696" s="540">
        <v>0</v>
      </c>
      <c r="F696" s="540">
        <v>0</v>
      </c>
      <c r="G696" s="540">
        <v>0</v>
      </c>
      <c r="H696" s="540">
        <v>0</v>
      </c>
      <c r="I696" s="540">
        <v>0</v>
      </c>
      <c r="J696" s="540">
        <v>0</v>
      </c>
      <c r="K696" s="527">
        <f t="shared" si="275"/>
        <v>0</v>
      </c>
      <c r="L696" s="528">
        <f t="shared" si="263"/>
        <v>0</v>
      </c>
      <c r="M696" s="528">
        <f t="shared" si="276"/>
        <v>0</v>
      </c>
      <c r="N696" s="528">
        <f t="shared" si="264"/>
        <v>0</v>
      </c>
      <c r="O696" s="528">
        <f t="shared" si="265"/>
        <v>0</v>
      </c>
      <c r="P696" s="529">
        <f t="shared" si="266"/>
        <v>0</v>
      </c>
      <c r="Q696" s="24">
        <f t="shared" si="267"/>
        <v>0</v>
      </c>
      <c r="R696" s="530">
        <f t="shared" si="268"/>
        <v>0</v>
      </c>
    </row>
    <row r="697" hidden="1" spans="1:18">
      <c r="A697" s="524"/>
      <c r="B697" s="540" t="s">
        <v>100</v>
      </c>
      <c r="C697" s="540">
        <v>5008.93</v>
      </c>
      <c r="D697" s="540">
        <v>581478</v>
      </c>
      <c r="E697" s="540">
        <v>3969</v>
      </c>
      <c r="F697" s="540">
        <v>5</v>
      </c>
      <c r="G697" s="540">
        <v>47388</v>
      </c>
      <c r="H697" s="540">
        <v>129</v>
      </c>
      <c r="I697" s="540">
        <v>189</v>
      </c>
      <c r="J697" s="540">
        <v>16</v>
      </c>
      <c r="K697" s="527">
        <f t="shared" si="275"/>
        <v>0.00682570965711514</v>
      </c>
      <c r="L697" s="528">
        <f t="shared" si="263"/>
        <v>1.26201310153691</v>
      </c>
      <c r="M697" s="528">
        <f t="shared" si="276"/>
        <v>8.61413501456633</v>
      </c>
      <c r="N697" s="528">
        <f t="shared" si="264"/>
        <v>9.46070318411317</v>
      </c>
      <c r="O697" s="528">
        <f t="shared" si="265"/>
        <v>0.00125976316452507</v>
      </c>
      <c r="P697" s="529">
        <f t="shared" si="266"/>
        <v>15.7513522012579</v>
      </c>
      <c r="Q697" s="24">
        <f t="shared" si="267"/>
        <v>318</v>
      </c>
      <c r="R697" s="530">
        <f t="shared" si="268"/>
        <v>0.0801209372637944</v>
      </c>
    </row>
    <row r="698" hidden="1" spans="1:18">
      <c r="A698" s="524"/>
      <c r="B698" s="540" t="s">
        <v>101</v>
      </c>
      <c r="C698" s="540">
        <v>0</v>
      </c>
      <c r="D698" s="540">
        <v>0</v>
      </c>
      <c r="E698" s="540">
        <v>0</v>
      </c>
      <c r="F698" s="540">
        <v>0</v>
      </c>
      <c r="G698" s="540">
        <v>0</v>
      </c>
      <c r="H698" s="540">
        <v>0</v>
      </c>
      <c r="I698" s="540">
        <v>0</v>
      </c>
      <c r="J698" s="540">
        <v>0</v>
      </c>
      <c r="K698" s="527">
        <f t="shared" si="275"/>
        <v>0</v>
      </c>
      <c r="L698" s="528">
        <f t="shared" si="263"/>
        <v>0</v>
      </c>
      <c r="M698" s="528">
        <f t="shared" si="276"/>
        <v>0</v>
      </c>
      <c r="N698" s="528">
        <f t="shared" si="264"/>
        <v>0</v>
      </c>
      <c r="O698" s="528">
        <f t="shared" si="265"/>
        <v>0</v>
      </c>
      <c r="P698" s="529">
        <f t="shared" si="266"/>
        <v>0</v>
      </c>
      <c r="Q698" s="24">
        <f t="shared" si="267"/>
        <v>0</v>
      </c>
      <c r="R698" s="530">
        <f t="shared" si="268"/>
        <v>0</v>
      </c>
    </row>
    <row r="699" hidden="1" spans="1:18">
      <c r="A699" s="524"/>
      <c r="B699" s="531" t="s">
        <v>96</v>
      </c>
      <c r="C699" s="533">
        <f t="shared" ref="C699:J699" si="279">SUM(C695:C698)</f>
        <v>5308.93</v>
      </c>
      <c r="D699" s="533">
        <f t="shared" si="279"/>
        <v>594380</v>
      </c>
      <c r="E699" s="533">
        <f t="shared" si="279"/>
        <v>4249</v>
      </c>
      <c r="F699" s="533">
        <f t="shared" si="279"/>
        <v>5</v>
      </c>
      <c r="G699" s="533">
        <f t="shared" si="279"/>
        <v>47388</v>
      </c>
      <c r="H699" s="533">
        <f t="shared" si="279"/>
        <v>131</v>
      </c>
      <c r="I699" s="533">
        <f t="shared" si="279"/>
        <v>197</v>
      </c>
      <c r="J699" s="533">
        <f t="shared" si="279"/>
        <v>19</v>
      </c>
      <c r="K699" s="534">
        <f t="shared" si="275"/>
        <v>0.00714862545846092</v>
      </c>
      <c r="L699" s="535">
        <f t="shared" si="263"/>
        <v>1.24945398917392</v>
      </c>
      <c r="M699" s="535">
        <f t="shared" si="276"/>
        <v>8.93187859618426</v>
      </c>
      <c r="N699" s="535">
        <f t="shared" si="264"/>
        <v>8.92609245177465</v>
      </c>
      <c r="O699" s="535">
        <f t="shared" si="265"/>
        <v>0.00117674746999294</v>
      </c>
      <c r="P699" s="536">
        <f t="shared" si="266"/>
        <v>16.185762195122</v>
      </c>
      <c r="Q699" s="531">
        <f t="shared" si="267"/>
        <v>328</v>
      </c>
      <c r="R699" s="537">
        <f t="shared" si="268"/>
        <v>0.0771946340315368</v>
      </c>
    </row>
    <row r="700" hidden="1" spans="1:18">
      <c r="A700" s="524">
        <v>45590</v>
      </c>
      <c r="B700" s="540" t="s">
        <v>98</v>
      </c>
      <c r="C700" s="551">
        <v>300</v>
      </c>
      <c r="D700" s="551">
        <v>17226</v>
      </c>
      <c r="E700" s="551">
        <v>361</v>
      </c>
      <c r="F700" s="551">
        <v>0</v>
      </c>
      <c r="G700" s="551">
        <v>0</v>
      </c>
      <c r="H700" s="551">
        <v>1</v>
      </c>
      <c r="I700" s="551">
        <v>11</v>
      </c>
      <c r="J700" s="551">
        <v>5</v>
      </c>
      <c r="K700" s="527">
        <f t="shared" si="275"/>
        <v>0.0209566933704865</v>
      </c>
      <c r="L700" s="528">
        <f t="shared" si="263"/>
        <v>0.831024930747922</v>
      </c>
      <c r="M700" s="528">
        <f t="shared" si="276"/>
        <v>17.415534656914</v>
      </c>
      <c r="N700" s="528">
        <f t="shared" si="264"/>
        <v>0</v>
      </c>
      <c r="O700" s="528">
        <f t="shared" si="265"/>
        <v>0</v>
      </c>
      <c r="P700" s="529">
        <f t="shared" si="266"/>
        <v>25</v>
      </c>
      <c r="Q700" s="24">
        <f t="shared" si="267"/>
        <v>12</v>
      </c>
      <c r="R700" s="530">
        <f t="shared" si="268"/>
        <v>0.0332409972299169</v>
      </c>
    </row>
    <row r="701" hidden="1" spans="1:18">
      <c r="A701" s="524"/>
      <c r="B701" s="540" t="s">
        <v>99</v>
      </c>
      <c r="C701" s="551">
        <v>600</v>
      </c>
      <c r="D701" s="551">
        <v>9915</v>
      </c>
      <c r="E701" s="551">
        <v>1352</v>
      </c>
      <c r="F701" s="551">
        <v>2</v>
      </c>
      <c r="G701" s="551">
        <v>22194</v>
      </c>
      <c r="H701" s="551">
        <v>13</v>
      </c>
      <c r="I701" s="551">
        <v>3</v>
      </c>
      <c r="J701" s="551">
        <v>0</v>
      </c>
      <c r="K701" s="527">
        <f t="shared" si="275"/>
        <v>0.136359051941503</v>
      </c>
      <c r="L701" s="528">
        <f t="shared" si="263"/>
        <v>0.443786982248521</v>
      </c>
      <c r="M701" s="528">
        <f t="shared" si="276"/>
        <v>60.5143721633888</v>
      </c>
      <c r="N701" s="528">
        <f t="shared" si="264"/>
        <v>36.99</v>
      </c>
      <c r="O701" s="528">
        <f t="shared" si="265"/>
        <v>0.0014792899408284</v>
      </c>
      <c r="P701" s="529">
        <f t="shared" si="266"/>
        <v>37.5</v>
      </c>
      <c r="Q701" s="24">
        <f t="shared" si="267"/>
        <v>16</v>
      </c>
      <c r="R701" s="530">
        <f t="shared" si="268"/>
        <v>0.0118343195266272</v>
      </c>
    </row>
    <row r="702" hidden="1" spans="1:18">
      <c r="A702" s="524"/>
      <c r="B702" s="540" t="s">
        <v>100</v>
      </c>
      <c r="C702" s="551">
        <v>4876.48</v>
      </c>
      <c r="D702" s="551">
        <v>393550</v>
      </c>
      <c r="E702" s="551">
        <v>3418</v>
      </c>
      <c r="F702" s="551">
        <v>3</v>
      </c>
      <c r="G702" s="551">
        <v>31491</v>
      </c>
      <c r="H702" s="551">
        <v>151</v>
      </c>
      <c r="I702" s="551">
        <v>232</v>
      </c>
      <c r="J702" s="551">
        <v>7</v>
      </c>
      <c r="K702" s="527">
        <f t="shared" si="275"/>
        <v>0.00868504637276077</v>
      </c>
      <c r="L702" s="528">
        <f t="shared" si="263"/>
        <v>1.42670567583382</v>
      </c>
      <c r="M702" s="528">
        <f t="shared" si="276"/>
        <v>12.3910049548977</v>
      </c>
      <c r="N702" s="528">
        <f t="shared" si="264"/>
        <v>6.45773180654899</v>
      </c>
      <c r="O702" s="528">
        <f t="shared" si="265"/>
        <v>0.000877706260971328</v>
      </c>
      <c r="P702" s="529">
        <f t="shared" si="266"/>
        <v>12.7323237597911</v>
      </c>
      <c r="Q702" s="24">
        <f t="shared" si="267"/>
        <v>383</v>
      </c>
      <c r="R702" s="530">
        <f t="shared" si="268"/>
        <v>0.112053832650673</v>
      </c>
    </row>
    <row r="703" hidden="1" spans="1:18">
      <c r="A703" s="524"/>
      <c r="B703" s="540" t="s">
        <v>101</v>
      </c>
      <c r="C703" s="540">
        <v>0</v>
      </c>
      <c r="D703" s="540">
        <v>0</v>
      </c>
      <c r="E703" s="540">
        <v>0</v>
      </c>
      <c r="F703" s="540">
        <v>0</v>
      </c>
      <c r="G703" s="540">
        <v>0</v>
      </c>
      <c r="H703" s="540">
        <v>0</v>
      </c>
      <c r="I703" s="540">
        <v>0</v>
      </c>
      <c r="J703" s="540">
        <v>0</v>
      </c>
      <c r="K703" s="527">
        <f t="shared" si="275"/>
        <v>0</v>
      </c>
      <c r="L703" s="528">
        <f t="shared" si="263"/>
        <v>0</v>
      </c>
      <c r="M703" s="528">
        <f t="shared" si="276"/>
        <v>0</v>
      </c>
      <c r="N703" s="528">
        <f t="shared" si="264"/>
        <v>0</v>
      </c>
      <c r="O703" s="528">
        <f t="shared" si="265"/>
        <v>0</v>
      </c>
      <c r="P703" s="529">
        <f t="shared" si="266"/>
        <v>0</v>
      </c>
      <c r="Q703" s="24">
        <f t="shared" si="267"/>
        <v>0</v>
      </c>
      <c r="R703" s="530">
        <f t="shared" si="268"/>
        <v>0</v>
      </c>
    </row>
    <row r="704" hidden="1" spans="1:18">
      <c r="A704" s="524"/>
      <c r="B704" s="531" t="s">
        <v>96</v>
      </c>
      <c r="C704" s="533">
        <f t="shared" ref="C704:J704" si="280">SUM(C700:C703)</f>
        <v>5776.48</v>
      </c>
      <c r="D704" s="533">
        <f t="shared" si="280"/>
        <v>420691</v>
      </c>
      <c r="E704" s="533">
        <f t="shared" si="280"/>
        <v>5131</v>
      </c>
      <c r="F704" s="533">
        <f t="shared" si="280"/>
        <v>5</v>
      </c>
      <c r="G704" s="533">
        <f t="shared" si="280"/>
        <v>53685</v>
      </c>
      <c r="H704" s="533">
        <f t="shared" si="280"/>
        <v>165</v>
      </c>
      <c r="I704" s="533">
        <f t="shared" si="280"/>
        <v>246</v>
      </c>
      <c r="J704" s="533">
        <f t="shared" si="280"/>
        <v>12</v>
      </c>
      <c r="K704" s="534">
        <f t="shared" si="275"/>
        <v>0.01219660035513</v>
      </c>
      <c r="L704" s="535">
        <f t="shared" si="263"/>
        <v>1.12580003897876</v>
      </c>
      <c r="M704" s="535">
        <f t="shared" si="276"/>
        <v>13.7309331552137</v>
      </c>
      <c r="N704" s="535">
        <f t="shared" si="264"/>
        <v>9.29372212835498</v>
      </c>
      <c r="O704" s="535">
        <f t="shared" si="265"/>
        <v>0.000974468914441629</v>
      </c>
      <c r="P704" s="536">
        <f t="shared" si="266"/>
        <v>14.054695863747</v>
      </c>
      <c r="Q704" s="531">
        <f t="shared" si="267"/>
        <v>411</v>
      </c>
      <c r="R704" s="537">
        <f t="shared" si="268"/>
        <v>0.0801013447671019</v>
      </c>
    </row>
    <row r="705" hidden="1" spans="1:18">
      <c r="A705" s="524">
        <v>45591</v>
      </c>
      <c r="B705" s="540" t="s">
        <v>98</v>
      </c>
      <c r="C705" s="551">
        <v>300</v>
      </c>
      <c r="D705" s="551">
        <v>21210</v>
      </c>
      <c r="E705" s="551">
        <v>499</v>
      </c>
      <c r="F705" s="551">
        <v>0</v>
      </c>
      <c r="G705" s="551">
        <v>0</v>
      </c>
      <c r="H705" s="551">
        <v>1</v>
      </c>
      <c r="I705" s="551">
        <v>15</v>
      </c>
      <c r="J705" s="551">
        <v>3</v>
      </c>
      <c r="K705" s="527">
        <f t="shared" si="275"/>
        <v>0.0235266383781235</v>
      </c>
      <c r="L705" s="528">
        <f t="shared" si="263"/>
        <v>0.601202404809619</v>
      </c>
      <c r="M705" s="528">
        <f t="shared" si="276"/>
        <v>14.1442715700141</v>
      </c>
      <c r="N705" s="528">
        <f t="shared" si="264"/>
        <v>0</v>
      </c>
      <c r="O705" s="528">
        <f t="shared" si="265"/>
        <v>0</v>
      </c>
      <c r="P705" s="529">
        <f t="shared" si="266"/>
        <v>18.75</v>
      </c>
      <c r="Q705" s="24">
        <f t="shared" si="267"/>
        <v>16</v>
      </c>
      <c r="R705" s="530">
        <f t="shared" si="268"/>
        <v>0.032064128256513</v>
      </c>
    </row>
    <row r="706" hidden="1" spans="1:18">
      <c r="A706" s="524"/>
      <c r="B706" s="540" t="s">
        <v>99</v>
      </c>
      <c r="C706" s="540">
        <v>0</v>
      </c>
      <c r="D706" s="540">
        <v>0</v>
      </c>
      <c r="E706" s="540">
        <v>0</v>
      </c>
      <c r="F706" s="540">
        <v>0</v>
      </c>
      <c r="G706" s="540">
        <v>0</v>
      </c>
      <c r="H706" s="540">
        <v>0</v>
      </c>
      <c r="I706" s="540">
        <v>0</v>
      </c>
      <c r="J706" s="540">
        <v>0</v>
      </c>
      <c r="K706" s="527">
        <f t="shared" si="275"/>
        <v>0</v>
      </c>
      <c r="L706" s="528">
        <f t="shared" si="263"/>
        <v>0</v>
      </c>
      <c r="M706" s="528">
        <f t="shared" si="276"/>
        <v>0</v>
      </c>
      <c r="N706" s="528">
        <f t="shared" si="264"/>
        <v>0</v>
      </c>
      <c r="O706" s="528">
        <f t="shared" si="265"/>
        <v>0</v>
      </c>
      <c r="P706" s="529">
        <f t="shared" si="266"/>
        <v>0</v>
      </c>
      <c r="Q706" s="24">
        <f t="shared" si="267"/>
        <v>0</v>
      </c>
      <c r="R706" s="530">
        <f t="shared" si="268"/>
        <v>0</v>
      </c>
    </row>
    <row r="707" hidden="1" spans="1:18">
      <c r="A707" s="524"/>
      <c r="B707" s="540" t="s">
        <v>100</v>
      </c>
      <c r="C707" s="551">
        <v>4621.32</v>
      </c>
      <c r="D707" s="551">
        <v>272089</v>
      </c>
      <c r="E707" s="551">
        <v>3218</v>
      </c>
      <c r="F707" s="551">
        <v>2</v>
      </c>
      <c r="G707" s="551">
        <v>27610</v>
      </c>
      <c r="H707" s="551">
        <v>244</v>
      </c>
      <c r="I707" s="551">
        <v>251</v>
      </c>
      <c r="J707" s="551">
        <v>9</v>
      </c>
      <c r="K707" s="527">
        <f t="shared" si="275"/>
        <v>0.0118270124848855</v>
      </c>
      <c r="L707" s="528">
        <f t="shared" si="263"/>
        <v>1.43608452454941</v>
      </c>
      <c r="M707" s="528">
        <f t="shared" si="276"/>
        <v>16.9845896011967</v>
      </c>
      <c r="N707" s="528">
        <f t="shared" si="264"/>
        <v>5.97448348091022</v>
      </c>
      <c r="O707" s="528">
        <f t="shared" si="265"/>
        <v>0.000621504039776259</v>
      </c>
      <c r="P707" s="529">
        <f t="shared" si="266"/>
        <v>9.336</v>
      </c>
      <c r="Q707" s="24">
        <f t="shared" si="267"/>
        <v>495</v>
      </c>
      <c r="R707" s="530">
        <f t="shared" si="268"/>
        <v>0.153822249844624</v>
      </c>
    </row>
    <row r="708" hidden="1" spans="1:18">
      <c r="A708" s="524"/>
      <c r="B708" s="540" t="s">
        <v>101</v>
      </c>
      <c r="C708" s="540">
        <v>0</v>
      </c>
      <c r="D708" s="540">
        <v>0</v>
      </c>
      <c r="E708" s="540">
        <v>0</v>
      </c>
      <c r="F708" s="540">
        <v>0</v>
      </c>
      <c r="G708" s="540">
        <v>0</v>
      </c>
      <c r="H708" s="540">
        <v>0</v>
      </c>
      <c r="I708" s="540">
        <v>0</v>
      </c>
      <c r="J708" s="540">
        <v>0</v>
      </c>
      <c r="K708" s="527">
        <f t="shared" si="275"/>
        <v>0</v>
      </c>
      <c r="L708" s="528">
        <f t="shared" si="263"/>
        <v>0</v>
      </c>
      <c r="M708" s="528">
        <f t="shared" si="276"/>
        <v>0</v>
      </c>
      <c r="N708" s="528">
        <f t="shared" si="264"/>
        <v>0</v>
      </c>
      <c r="O708" s="528">
        <f t="shared" si="265"/>
        <v>0</v>
      </c>
      <c r="P708" s="529">
        <f t="shared" si="266"/>
        <v>0</v>
      </c>
      <c r="Q708" s="24">
        <f t="shared" si="267"/>
        <v>0</v>
      </c>
      <c r="R708" s="530">
        <f t="shared" si="268"/>
        <v>0</v>
      </c>
    </row>
    <row r="709" hidden="1" spans="1:18">
      <c r="A709" s="524"/>
      <c r="B709" s="531" t="s">
        <v>96</v>
      </c>
      <c r="C709" s="533">
        <f t="shared" ref="C709:J709" si="281">SUM(C705:C708)</f>
        <v>4921.32</v>
      </c>
      <c r="D709" s="533">
        <f t="shared" si="281"/>
        <v>293299</v>
      </c>
      <c r="E709" s="533">
        <f t="shared" si="281"/>
        <v>3717</v>
      </c>
      <c r="F709" s="533">
        <f t="shared" si="281"/>
        <v>2</v>
      </c>
      <c r="G709" s="533">
        <f t="shared" si="281"/>
        <v>27610</v>
      </c>
      <c r="H709" s="533">
        <f t="shared" si="281"/>
        <v>245</v>
      </c>
      <c r="I709" s="533">
        <f t="shared" si="281"/>
        <v>266</v>
      </c>
      <c r="J709" s="533">
        <f t="shared" si="281"/>
        <v>12</v>
      </c>
      <c r="K709" s="534">
        <f t="shared" si="275"/>
        <v>0.0126730742348252</v>
      </c>
      <c r="L709" s="535">
        <f t="shared" si="263"/>
        <v>1.32400322841001</v>
      </c>
      <c r="M709" s="535">
        <f t="shared" si="276"/>
        <v>16.7791912007883</v>
      </c>
      <c r="N709" s="535">
        <f t="shared" si="264"/>
        <v>5.61028341989548</v>
      </c>
      <c r="O709" s="535">
        <f t="shared" si="265"/>
        <v>0.000538068334678504</v>
      </c>
      <c r="P709" s="536">
        <f t="shared" si="266"/>
        <v>9.63076320939335</v>
      </c>
      <c r="Q709" s="531">
        <f t="shared" si="267"/>
        <v>511</v>
      </c>
      <c r="R709" s="537">
        <f t="shared" si="268"/>
        <v>0.137476459510358</v>
      </c>
    </row>
    <row r="710" hidden="1" spans="1:18">
      <c r="A710" s="524">
        <v>45592</v>
      </c>
      <c r="B710" s="540" t="s">
        <v>98</v>
      </c>
      <c r="C710" s="551">
        <v>300</v>
      </c>
      <c r="D710" s="551">
        <v>17431</v>
      </c>
      <c r="E710" s="551">
        <v>398</v>
      </c>
      <c r="F710" s="551">
        <v>0</v>
      </c>
      <c r="G710" s="551">
        <v>0</v>
      </c>
      <c r="H710" s="551">
        <v>2</v>
      </c>
      <c r="I710" s="551">
        <v>14</v>
      </c>
      <c r="J710" s="551">
        <v>5</v>
      </c>
      <c r="K710" s="527">
        <f t="shared" si="275"/>
        <v>0.0228328839424015</v>
      </c>
      <c r="L710" s="528">
        <f t="shared" si="263"/>
        <v>0.753768844221106</v>
      </c>
      <c r="M710" s="528">
        <f t="shared" si="276"/>
        <v>17.2107165394986</v>
      </c>
      <c r="N710" s="528">
        <f t="shared" si="264"/>
        <v>0</v>
      </c>
      <c r="O710" s="528">
        <f t="shared" si="265"/>
        <v>0</v>
      </c>
      <c r="P710" s="529">
        <f t="shared" si="266"/>
        <v>18.75</v>
      </c>
      <c r="Q710" s="24">
        <f t="shared" si="267"/>
        <v>16</v>
      </c>
      <c r="R710" s="530">
        <f t="shared" si="268"/>
        <v>0.0402010050251256</v>
      </c>
    </row>
    <row r="711" hidden="1" spans="1:18">
      <c r="A711" s="524"/>
      <c r="B711" s="540" t="s">
        <v>99</v>
      </c>
      <c r="C711" s="540">
        <v>0</v>
      </c>
      <c r="D711" s="540">
        <v>0</v>
      </c>
      <c r="E711" s="540">
        <v>0</v>
      </c>
      <c r="F711" s="540">
        <v>0</v>
      </c>
      <c r="G711" s="540">
        <v>0</v>
      </c>
      <c r="H711" s="540">
        <v>0</v>
      </c>
      <c r="I711" s="540">
        <v>0</v>
      </c>
      <c r="J711" s="540">
        <v>0</v>
      </c>
      <c r="K711" s="527">
        <f t="shared" si="275"/>
        <v>0</v>
      </c>
      <c r="L711" s="528">
        <f t="shared" si="263"/>
        <v>0</v>
      </c>
      <c r="M711" s="528">
        <f t="shared" si="276"/>
        <v>0</v>
      </c>
      <c r="N711" s="528">
        <f t="shared" si="264"/>
        <v>0</v>
      </c>
      <c r="O711" s="528">
        <f t="shared" si="265"/>
        <v>0</v>
      </c>
      <c r="P711" s="529">
        <f t="shared" si="266"/>
        <v>0</v>
      </c>
      <c r="Q711" s="24">
        <f t="shared" si="267"/>
        <v>0</v>
      </c>
      <c r="R711" s="530">
        <f t="shared" si="268"/>
        <v>0</v>
      </c>
    </row>
    <row r="712" hidden="1" spans="1:18">
      <c r="A712" s="524"/>
      <c r="B712" s="540" t="s">
        <v>100</v>
      </c>
      <c r="C712" s="551">
        <v>4545.46</v>
      </c>
      <c r="D712" s="551">
        <v>210596</v>
      </c>
      <c r="E712" s="551">
        <v>2534</v>
      </c>
      <c r="F712" s="551">
        <v>1</v>
      </c>
      <c r="G712" s="551">
        <v>23810</v>
      </c>
      <c r="H712" s="551">
        <v>197</v>
      </c>
      <c r="I712" s="551">
        <v>200</v>
      </c>
      <c r="J712" s="551">
        <v>12</v>
      </c>
      <c r="K712" s="527">
        <f t="shared" si="275"/>
        <v>0.0120325172367946</v>
      </c>
      <c r="L712" s="528">
        <f t="shared" si="263"/>
        <v>1.79378847671665</v>
      </c>
      <c r="M712" s="528">
        <f t="shared" si="276"/>
        <v>21.5837907652567</v>
      </c>
      <c r="N712" s="528">
        <f t="shared" si="264"/>
        <v>5.23819371416754</v>
      </c>
      <c r="O712" s="528">
        <f t="shared" si="265"/>
        <v>0.000394632991318074</v>
      </c>
      <c r="P712" s="529">
        <f t="shared" si="266"/>
        <v>11.4495214105793</v>
      </c>
      <c r="Q712" s="24">
        <f t="shared" si="267"/>
        <v>397</v>
      </c>
      <c r="R712" s="530">
        <f t="shared" si="268"/>
        <v>0.156669297553275</v>
      </c>
    </row>
    <row r="713" hidden="1" spans="1:18">
      <c r="A713" s="524"/>
      <c r="B713" s="540" t="s">
        <v>101</v>
      </c>
      <c r="C713" s="540">
        <v>0</v>
      </c>
      <c r="D713" s="540">
        <v>0</v>
      </c>
      <c r="E713" s="540">
        <v>0</v>
      </c>
      <c r="F713" s="540">
        <v>0</v>
      </c>
      <c r="G713" s="540">
        <v>0</v>
      </c>
      <c r="H713" s="540">
        <v>0</v>
      </c>
      <c r="I713" s="540">
        <v>0</v>
      </c>
      <c r="J713" s="540">
        <v>0</v>
      </c>
      <c r="K713" s="527">
        <f t="shared" si="275"/>
        <v>0</v>
      </c>
      <c r="L713" s="528">
        <f t="shared" si="263"/>
        <v>0</v>
      </c>
      <c r="M713" s="528">
        <f t="shared" si="276"/>
        <v>0</v>
      </c>
      <c r="N713" s="528">
        <f t="shared" si="264"/>
        <v>0</v>
      </c>
      <c r="O713" s="528">
        <f t="shared" si="265"/>
        <v>0</v>
      </c>
      <c r="P713" s="529">
        <f t="shared" si="266"/>
        <v>0</v>
      </c>
      <c r="Q713" s="24">
        <f t="shared" si="267"/>
        <v>0</v>
      </c>
      <c r="R713" s="530">
        <f t="shared" si="268"/>
        <v>0</v>
      </c>
    </row>
    <row r="714" hidden="1" spans="1:18">
      <c r="A714" s="524"/>
      <c r="B714" s="531" t="s">
        <v>96</v>
      </c>
      <c r="C714" s="533">
        <f t="shared" ref="C714:J714" si="282">SUM(C710:C713)</f>
        <v>4845.46</v>
      </c>
      <c r="D714" s="533">
        <f t="shared" si="282"/>
        <v>228027</v>
      </c>
      <c r="E714" s="533">
        <f t="shared" si="282"/>
        <v>2932</v>
      </c>
      <c r="F714" s="533">
        <f t="shared" si="282"/>
        <v>1</v>
      </c>
      <c r="G714" s="533">
        <f t="shared" si="282"/>
        <v>23810</v>
      </c>
      <c r="H714" s="533">
        <f t="shared" si="282"/>
        <v>199</v>
      </c>
      <c r="I714" s="533">
        <f t="shared" si="282"/>
        <v>214</v>
      </c>
      <c r="J714" s="533">
        <f t="shared" si="282"/>
        <v>17</v>
      </c>
      <c r="K714" s="534">
        <f t="shared" si="275"/>
        <v>0.0128581264499379</v>
      </c>
      <c r="L714" s="535">
        <f t="shared" si="263"/>
        <v>1.65261255115962</v>
      </c>
      <c r="M714" s="535">
        <f t="shared" si="276"/>
        <v>21.2495011555649</v>
      </c>
      <c r="N714" s="535">
        <f t="shared" si="264"/>
        <v>4.91387814572817</v>
      </c>
      <c r="O714" s="535">
        <f t="shared" si="265"/>
        <v>0.00034106412005457</v>
      </c>
      <c r="P714" s="536">
        <f t="shared" si="266"/>
        <v>11.7323486682809</v>
      </c>
      <c r="Q714" s="531">
        <f t="shared" si="267"/>
        <v>413</v>
      </c>
      <c r="R714" s="537">
        <f t="shared" si="268"/>
        <v>0.140859481582538</v>
      </c>
    </row>
    <row r="715" hidden="1" spans="1:18">
      <c r="A715" s="524">
        <v>45593</v>
      </c>
      <c r="B715" s="540" t="s">
        <v>98</v>
      </c>
      <c r="C715" s="540">
        <v>300</v>
      </c>
      <c r="D715" s="540">
        <v>24422</v>
      </c>
      <c r="E715" s="540">
        <v>439</v>
      </c>
      <c r="F715" s="540">
        <v>0</v>
      </c>
      <c r="G715" s="540">
        <v>0</v>
      </c>
      <c r="H715" s="540">
        <v>4</v>
      </c>
      <c r="I715" s="540">
        <v>4</v>
      </c>
      <c r="J715" s="540">
        <v>4</v>
      </c>
      <c r="K715" s="527">
        <f t="shared" si="275"/>
        <v>0.0179755957743019</v>
      </c>
      <c r="L715" s="528">
        <f t="shared" si="263"/>
        <v>0.683371298405467</v>
      </c>
      <c r="M715" s="528">
        <f t="shared" si="276"/>
        <v>12.2840062238965</v>
      </c>
      <c r="N715" s="528">
        <f t="shared" si="264"/>
        <v>0</v>
      </c>
      <c r="O715" s="528">
        <f t="shared" si="265"/>
        <v>0</v>
      </c>
      <c r="P715" s="529">
        <f t="shared" si="266"/>
        <v>37.5</v>
      </c>
      <c r="Q715" s="24">
        <f t="shared" si="267"/>
        <v>8</v>
      </c>
      <c r="R715" s="530">
        <f t="shared" si="268"/>
        <v>0.0182232346241458</v>
      </c>
    </row>
    <row r="716" hidden="1" spans="1:18">
      <c r="A716" s="524"/>
      <c r="B716" s="540" t="s">
        <v>99</v>
      </c>
      <c r="C716" s="540">
        <v>0</v>
      </c>
      <c r="D716" s="540">
        <v>0</v>
      </c>
      <c r="E716" s="540">
        <v>0</v>
      </c>
      <c r="F716" s="540">
        <v>0</v>
      </c>
      <c r="G716" s="540">
        <v>0</v>
      </c>
      <c r="H716" s="540">
        <v>0</v>
      </c>
      <c r="I716" s="540">
        <v>0</v>
      </c>
      <c r="J716" s="540">
        <v>0</v>
      </c>
      <c r="K716" s="527">
        <f t="shared" si="275"/>
        <v>0</v>
      </c>
      <c r="L716" s="528">
        <f t="shared" si="263"/>
        <v>0</v>
      </c>
      <c r="M716" s="528">
        <f t="shared" si="276"/>
        <v>0</v>
      </c>
      <c r="N716" s="528">
        <f t="shared" si="264"/>
        <v>0</v>
      </c>
      <c r="O716" s="528">
        <f t="shared" si="265"/>
        <v>0</v>
      </c>
      <c r="P716" s="529">
        <f t="shared" si="266"/>
        <v>0</v>
      </c>
      <c r="Q716" s="24">
        <f t="shared" si="267"/>
        <v>0</v>
      </c>
      <c r="R716" s="530">
        <f t="shared" si="268"/>
        <v>0</v>
      </c>
    </row>
    <row r="717" hidden="1" spans="1:18">
      <c r="A717" s="524"/>
      <c r="B717" s="540" t="s">
        <v>100</v>
      </c>
      <c r="C717" s="540">
        <v>5058.5</v>
      </c>
      <c r="D717" s="540">
        <v>45677</v>
      </c>
      <c r="E717" s="540">
        <v>3173</v>
      </c>
      <c r="F717" s="540">
        <v>4</v>
      </c>
      <c r="G717" s="540">
        <v>34792</v>
      </c>
      <c r="H717" s="540">
        <v>133</v>
      </c>
      <c r="I717" s="540">
        <v>155</v>
      </c>
      <c r="J717" s="540">
        <v>12</v>
      </c>
      <c r="K717" s="527">
        <f t="shared" si="275"/>
        <v>0.069466033233356</v>
      </c>
      <c r="L717" s="528">
        <f t="shared" si="263"/>
        <v>1.59423258745667</v>
      </c>
      <c r="M717" s="528">
        <f t="shared" si="276"/>
        <v>110.745013901964</v>
      </c>
      <c r="N717" s="528">
        <f t="shared" si="264"/>
        <v>6.87792823959672</v>
      </c>
      <c r="O717" s="528">
        <f t="shared" si="265"/>
        <v>0.00126063662149385</v>
      </c>
      <c r="P717" s="529">
        <f t="shared" si="266"/>
        <v>17.5642361111111</v>
      </c>
      <c r="Q717" s="24">
        <f t="shared" si="267"/>
        <v>288</v>
      </c>
      <c r="R717" s="530">
        <f t="shared" si="268"/>
        <v>0.0907658367475575</v>
      </c>
    </row>
    <row r="718" hidden="1" spans="1:18">
      <c r="A718" s="524"/>
      <c r="B718" s="540" t="s">
        <v>101</v>
      </c>
      <c r="C718" s="540">
        <v>0</v>
      </c>
      <c r="D718" s="540">
        <v>0</v>
      </c>
      <c r="E718" s="540">
        <v>0</v>
      </c>
      <c r="F718" s="540">
        <v>0</v>
      </c>
      <c r="G718" s="540">
        <v>0</v>
      </c>
      <c r="H718" s="540">
        <v>0</v>
      </c>
      <c r="I718" s="540">
        <v>0</v>
      </c>
      <c r="J718" s="540">
        <v>0</v>
      </c>
      <c r="K718" s="527">
        <f t="shared" si="275"/>
        <v>0</v>
      </c>
      <c r="L718" s="528">
        <f t="shared" si="263"/>
        <v>0</v>
      </c>
      <c r="M718" s="528">
        <f t="shared" si="276"/>
        <v>0</v>
      </c>
      <c r="N718" s="528">
        <f t="shared" si="264"/>
        <v>0</v>
      </c>
      <c r="O718" s="528">
        <f t="shared" si="265"/>
        <v>0</v>
      </c>
      <c r="P718" s="529">
        <f t="shared" si="266"/>
        <v>0</v>
      </c>
      <c r="Q718" s="24">
        <f t="shared" si="267"/>
        <v>0</v>
      </c>
      <c r="R718" s="530">
        <f t="shared" si="268"/>
        <v>0</v>
      </c>
    </row>
    <row r="719" hidden="1" spans="1:18">
      <c r="A719" s="524"/>
      <c r="B719" s="531" t="s">
        <v>96</v>
      </c>
      <c r="C719" s="533">
        <f t="shared" ref="C719:J719" si="283">SUM(C715:C718)</f>
        <v>5358.5</v>
      </c>
      <c r="D719" s="533">
        <f t="shared" si="283"/>
        <v>70099</v>
      </c>
      <c r="E719" s="533">
        <f t="shared" si="283"/>
        <v>3612</v>
      </c>
      <c r="F719" s="533">
        <f t="shared" si="283"/>
        <v>4</v>
      </c>
      <c r="G719" s="533">
        <f t="shared" si="283"/>
        <v>34792</v>
      </c>
      <c r="H719" s="533">
        <f t="shared" si="283"/>
        <v>137</v>
      </c>
      <c r="I719" s="533">
        <f t="shared" si="283"/>
        <v>159</v>
      </c>
      <c r="J719" s="533">
        <f t="shared" si="283"/>
        <v>16</v>
      </c>
      <c r="K719" s="534">
        <f t="shared" si="275"/>
        <v>0.0515271259219104</v>
      </c>
      <c r="L719" s="535">
        <f t="shared" si="263"/>
        <v>1.48352713178295</v>
      </c>
      <c r="M719" s="535">
        <f t="shared" si="276"/>
        <v>76.4418893279505</v>
      </c>
      <c r="N719" s="535">
        <f t="shared" si="264"/>
        <v>6.49286180834189</v>
      </c>
      <c r="O719" s="535">
        <f t="shared" si="265"/>
        <v>0.00110741971207087</v>
      </c>
      <c r="P719" s="536">
        <f t="shared" si="266"/>
        <v>18.1030405405405</v>
      </c>
      <c r="Q719" s="531">
        <f t="shared" si="267"/>
        <v>296</v>
      </c>
      <c r="R719" s="537">
        <f t="shared" si="268"/>
        <v>0.0819490586932447</v>
      </c>
    </row>
    <row r="720" hidden="1" spans="1:18">
      <c r="A720" s="524">
        <v>45594</v>
      </c>
      <c r="B720" s="540" t="s">
        <v>98</v>
      </c>
      <c r="C720" s="540">
        <v>300</v>
      </c>
      <c r="D720" s="540">
        <v>14777</v>
      </c>
      <c r="E720" s="540">
        <v>345</v>
      </c>
      <c r="F720" s="540">
        <v>0</v>
      </c>
      <c r="G720" s="540">
        <v>0</v>
      </c>
      <c r="H720" s="540">
        <v>0</v>
      </c>
      <c r="I720" s="540">
        <v>8</v>
      </c>
      <c r="J720" s="540">
        <v>4</v>
      </c>
      <c r="K720" s="527">
        <f t="shared" si="275"/>
        <v>0.0233470934560466</v>
      </c>
      <c r="L720" s="528">
        <f t="shared" si="263"/>
        <v>0.869565217391304</v>
      </c>
      <c r="M720" s="528">
        <f t="shared" si="276"/>
        <v>20.3018203965622</v>
      </c>
      <c r="N720" s="528">
        <f t="shared" si="264"/>
        <v>0</v>
      </c>
      <c r="O720" s="528">
        <f t="shared" si="265"/>
        <v>0</v>
      </c>
      <c r="P720" s="529">
        <f t="shared" si="266"/>
        <v>37.5</v>
      </c>
      <c r="Q720" s="24">
        <f t="shared" si="267"/>
        <v>8</v>
      </c>
      <c r="R720" s="530">
        <f t="shared" si="268"/>
        <v>0.0231884057971014</v>
      </c>
    </row>
    <row r="721" hidden="1" spans="1:18">
      <c r="A721" s="524"/>
      <c r="B721" s="540" t="s">
        <v>99</v>
      </c>
      <c r="C721" s="551">
        <v>600</v>
      </c>
      <c r="D721" s="551">
        <v>6703</v>
      </c>
      <c r="E721" s="551">
        <v>761</v>
      </c>
      <c r="F721" s="551">
        <v>1</v>
      </c>
      <c r="G721" s="551">
        <v>11097</v>
      </c>
      <c r="H721" s="551">
        <v>15</v>
      </c>
      <c r="I721" s="551">
        <v>9</v>
      </c>
      <c r="J721" s="551">
        <v>0</v>
      </c>
      <c r="K721" s="527">
        <f t="shared" si="275"/>
        <v>0.113531254662092</v>
      </c>
      <c r="L721" s="528">
        <f t="shared" si="263"/>
        <v>0.788436268068331</v>
      </c>
      <c r="M721" s="528">
        <f t="shared" si="276"/>
        <v>89.5121587348948</v>
      </c>
      <c r="N721" s="528">
        <f t="shared" si="264"/>
        <v>18.495</v>
      </c>
      <c r="O721" s="528">
        <f t="shared" si="265"/>
        <v>0.00131406044678055</v>
      </c>
      <c r="P721" s="529">
        <f t="shared" si="266"/>
        <v>25</v>
      </c>
      <c r="Q721" s="24">
        <f t="shared" si="267"/>
        <v>24</v>
      </c>
      <c r="R721" s="530">
        <f t="shared" si="268"/>
        <v>0.0315374507227332</v>
      </c>
    </row>
    <row r="722" hidden="1" spans="1:18">
      <c r="A722" s="524"/>
      <c r="B722" s="540" t="s">
        <v>100</v>
      </c>
      <c r="C722" s="540">
        <v>3324.88</v>
      </c>
      <c r="D722" s="540">
        <v>159195</v>
      </c>
      <c r="E722" s="539">
        <v>1621</v>
      </c>
      <c r="F722" s="540">
        <v>2</v>
      </c>
      <c r="G722" s="540">
        <v>24693</v>
      </c>
      <c r="H722" s="540">
        <v>103</v>
      </c>
      <c r="I722" s="540">
        <v>105</v>
      </c>
      <c r="J722" s="540">
        <v>11</v>
      </c>
      <c r="K722" s="527">
        <f>IF(F722=0,0,F722/D722)</f>
        <v>1.25632086434875e-5</v>
      </c>
      <c r="L722" s="528">
        <f>IF(C722=0,0,C722/F722)</f>
        <v>1662.44</v>
      </c>
      <c r="M722" s="528">
        <f t="shared" si="276"/>
        <v>20.8855805772794</v>
      </c>
      <c r="N722" s="528" t="e">
        <f>IF(#REF!=0,0,#REF!/C722)</f>
        <v>#REF!</v>
      </c>
      <c r="O722" s="528">
        <f>IF(G722=0,0,G722/F722)</f>
        <v>12346.5</v>
      </c>
      <c r="P722" s="529">
        <f t="shared" ref="P722:P785" si="284">IF(H722+I722=0,0,C722/(H722+I722))</f>
        <v>15.985</v>
      </c>
      <c r="Q722" s="24">
        <f t="shared" ref="Q722:Q785" si="285">H722+I722</f>
        <v>208</v>
      </c>
      <c r="R722" s="530">
        <f>IF(Q722=0,0,Q722/F722)</f>
        <v>104</v>
      </c>
    </row>
    <row r="723" hidden="1" spans="1:18">
      <c r="A723" s="524"/>
      <c r="B723" s="540" t="s">
        <v>101</v>
      </c>
      <c r="C723" s="540">
        <v>0</v>
      </c>
      <c r="D723" s="540">
        <v>0</v>
      </c>
      <c r="E723" s="540">
        <v>0</v>
      </c>
      <c r="F723" s="540">
        <v>0</v>
      </c>
      <c r="G723" s="540">
        <v>0</v>
      </c>
      <c r="H723" s="540">
        <v>0</v>
      </c>
      <c r="I723" s="540">
        <v>0</v>
      </c>
      <c r="J723" s="540">
        <v>0</v>
      </c>
      <c r="K723" s="527">
        <f t="shared" si="275"/>
        <v>0</v>
      </c>
      <c r="L723" s="528">
        <f t="shared" ref="L723:L785" si="286">IF(C723=0,0,C723/E723)</f>
        <v>0</v>
      </c>
      <c r="M723" s="528">
        <f t="shared" si="276"/>
        <v>0</v>
      </c>
      <c r="N723" s="528">
        <f t="shared" ref="N723:N785" si="287">IF(G723=0,0,G723/C723)</f>
        <v>0</v>
      </c>
      <c r="O723" s="528">
        <f t="shared" ref="O723:O785" si="288">IF(F723=0,0,F723/E723)</f>
        <v>0</v>
      </c>
      <c r="P723" s="529">
        <f t="shared" si="284"/>
        <v>0</v>
      </c>
      <c r="Q723" s="24">
        <f t="shared" si="285"/>
        <v>0</v>
      </c>
      <c r="R723" s="530">
        <f t="shared" ref="R723:R785" si="289">IF(Q723=0,0,Q723/E723)</f>
        <v>0</v>
      </c>
    </row>
    <row r="724" hidden="1" spans="1:18">
      <c r="A724" s="524"/>
      <c r="B724" s="531" t="s">
        <v>96</v>
      </c>
      <c r="C724" s="533">
        <f t="shared" ref="C724:J724" si="290">SUM(C720:C723)</f>
        <v>4224.88</v>
      </c>
      <c r="D724" s="533">
        <f t="shared" si="290"/>
        <v>180675</v>
      </c>
      <c r="E724" s="533">
        <f t="shared" si="290"/>
        <v>2727</v>
      </c>
      <c r="F724" s="533">
        <f t="shared" si="290"/>
        <v>3</v>
      </c>
      <c r="G724" s="533">
        <f t="shared" si="290"/>
        <v>35790</v>
      </c>
      <c r="H724" s="533">
        <f t="shared" si="290"/>
        <v>118</v>
      </c>
      <c r="I724" s="533">
        <f t="shared" si="290"/>
        <v>122</v>
      </c>
      <c r="J724" s="533">
        <f t="shared" si="290"/>
        <v>15</v>
      </c>
      <c r="K724" s="534">
        <f t="shared" si="275"/>
        <v>0.015093399750934</v>
      </c>
      <c r="L724" s="535">
        <f t="shared" si="286"/>
        <v>1.54927759442611</v>
      </c>
      <c r="M724" s="535">
        <f t="shared" si="276"/>
        <v>23.3838660578387</v>
      </c>
      <c r="N724" s="535">
        <f t="shared" si="287"/>
        <v>8.47124652061124</v>
      </c>
      <c r="O724" s="535">
        <f t="shared" si="288"/>
        <v>0.0011001100110011</v>
      </c>
      <c r="P724" s="536">
        <f t="shared" si="284"/>
        <v>17.6036666666667</v>
      </c>
      <c r="Q724" s="531">
        <f t="shared" si="285"/>
        <v>240</v>
      </c>
      <c r="R724" s="537">
        <f t="shared" si="289"/>
        <v>0.088008800880088</v>
      </c>
    </row>
    <row r="725" hidden="1" spans="1:18">
      <c r="A725" s="524">
        <v>45595</v>
      </c>
      <c r="B725" s="540" t="s">
        <v>98</v>
      </c>
      <c r="C725" s="540">
        <v>300</v>
      </c>
      <c r="D725" s="540">
        <v>17633</v>
      </c>
      <c r="E725" s="540">
        <v>417</v>
      </c>
      <c r="F725" s="540">
        <v>0</v>
      </c>
      <c r="G725" s="540">
        <v>0</v>
      </c>
      <c r="H725" s="540">
        <v>3</v>
      </c>
      <c r="I725" s="540">
        <v>11</v>
      </c>
      <c r="J725" s="540">
        <v>3</v>
      </c>
      <c r="K725" s="527">
        <f t="shared" si="275"/>
        <v>0.0236488402427267</v>
      </c>
      <c r="L725" s="528">
        <f t="shared" si="286"/>
        <v>0.719424460431655</v>
      </c>
      <c r="M725" s="528">
        <f t="shared" si="276"/>
        <v>17.0135541314581</v>
      </c>
      <c r="N725" s="528">
        <f t="shared" si="287"/>
        <v>0</v>
      </c>
      <c r="O725" s="528">
        <f t="shared" si="288"/>
        <v>0</v>
      </c>
      <c r="P725" s="529">
        <f t="shared" si="284"/>
        <v>21.4285714285714</v>
      </c>
      <c r="Q725" s="24">
        <f t="shared" si="285"/>
        <v>14</v>
      </c>
      <c r="R725" s="530">
        <f t="shared" si="289"/>
        <v>0.0335731414868106</v>
      </c>
    </row>
    <row r="726" hidden="1" spans="1:18">
      <c r="A726" s="524"/>
      <c r="B726" s="540" t="s">
        <v>99</v>
      </c>
      <c r="C726" s="551">
        <v>600</v>
      </c>
      <c r="D726" s="551">
        <v>7880</v>
      </c>
      <c r="E726" s="551">
        <v>809</v>
      </c>
      <c r="F726" s="551">
        <v>5</v>
      </c>
      <c r="G726" s="551">
        <v>40169</v>
      </c>
      <c r="H726" s="551">
        <v>17</v>
      </c>
      <c r="I726" s="551">
        <v>6</v>
      </c>
      <c r="J726" s="551">
        <v>0</v>
      </c>
      <c r="K726" s="527">
        <f t="shared" si="275"/>
        <v>0.102664974619289</v>
      </c>
      <c r="L726" s="528">
        <f t="shared" si="286"/>
        <v>0.741656365883807</v>
      </c>
      <c r="M726" s="528">
        <f t="shared" si="276"/>
        <v>76.1421319796954</v>
      </c>
      <c r="N726" s="528">
        <f t="shared" si="287"/>
        <v>66.9483333333333</v>
      </c>
      <c r="O726" s="528">
        <f t="shared" si="288"/>
        <v>0.00618046971569839</v>
      </c>
      <c r="P726" s="529">
        <f t="shared" si="284"/>
        <v>26.0869565217391</v>
      </c>
      <c r="Q726" s="24">
        <f t="shared" si="285"/>
        <v>23</v>
      </c>
      <c r="R726" s="530">
        <f t="shared" si="289"/>
        <v>0.0284301606922126</v>
      </c>
    </row>
    <row r="727" hidden="1" spans="1:18">
      <c r="A727" s="524"/>
      <c r="B727" s="540" t="s">
        <v>100</v>
      </c>
      <c r="C727" s="540">
        <v>2878.92</v>
      </c>
      <c r="D727" s="540">
        <v>253799</v>
      </c>
      <c r="E727" s="540">
        <v>1849</v>
      </c>
      <c r="F727" s="540">
        <v>0</v>
      </c>
      <c r="G727" s="540">
        <v>0</v>
      </c>
      <c r="H727" s="540">
        <v>123</v>
      </c>
      <c r="I727" s="540">
        <v>111</v>
      </c>
      <c r="J727" s="540">
        <v>11</v>
      </c>
      <c r="K727" s="527">
        <f t="shared" si="275"/>
        <v>0.00728529269224859</v>
      </c>
      <c r="L727" s="528">
        <f t="shared" si="286"/>
        <v>1.55701460248783</v>
      </c>
      <c r="M727" s="528">
        <f t="shared" si="276"/>
        <v>11.3433071052289</v>
      </c>
      <c r="N727" s="528">
        <f t="shared" si="287"/>
        <v>0</v>
      </c>
      <c r="O727" s="528">
        <f t="shared" si="288"/>
        <v>0</v>
      </c>
      <c r="P727" s="529">
        <f t="shared" si="284"/>
        <v>12.3030769230769</v>
      </c>
      <c r="Q727" s="24">
        <f t="shared" si="285"/>
        <v>234</v>
      </c>
      <c r="R727" s="530">
        <f t="shared" si="289"/>
        <v>0.126554894537588</v>
      </c>
    </row>
    <row r="728" hidden="1" spans="1:18">
      <c r="A728" s="524"/>
      <c r="B728" s="540" t="s">
        <v>101</v>
      </c>
      <c r="C728" s="540">
        <v>0</v>
      </c>
      <c r="D728" s="540">
        <v>0</v>
      </c>
      <c r="E728" s="540">
        <v>0</v>
      </c>
      <c r="F728" s="540">
        <v>0</v>
      </c>
      <c r="G728" s="540">
        <v>0</v>
      </c>
      <c r="H728" s="540">
        <v>0</v>
      </c>
      <c r="I728" s="540">
        <v>0</v>
      </c>
      <c r="J728" s="540">
        <v>0</v>
      </c>
      <c r="K728" s="527">
        <f t="shared" si="275"/>
        <v>0</v>
      </c>
      <c r="L728" s="528">
        <f t="shared" si="286"/>
        <v>0</v>
      </c>
      <c r="M728" s="528">
        <f t="shared" si="276"/>
        <v>0</v>
      </c>
      <c r="N728" s="528">
        <f t="shared" si="287"/>
        <v>0</v>
      </c>
      <c r="O728" s="528">
        <f t="shared" si="288"/>
        <v>0</v>
      </c>
      <c r="P728" s="529">
        <f t="shared" si="284"/>
        <v>0</v>
      </c>
      <c r="Q728" s="24">
        <f t="shared" si="285"/>
        <v>0</v>
      </c>
      <c r="R728" s="530">
        <f t="shared" si="289"/>
        <v>0</v>
      </c>
    </row>
    <row r="729" hidden="1" spans="1:18">
      <c r="A729" s="524"/>
      <c r="B729" s="531" t="s">
        <v>96</v>
      </c>
      <c r="C729" s="533">
        <f t="shared" ref="C729:J729" si="291">SUM(C725:C728)</f>
        <v>3778.92</v>
      </c>
      <c r="D729" s="533">
        <f t="shared" si="291"/>
        <v>279312</v>
      </c>
      <c r="E729" s="533">
        <f t="shared" si="291"/>
        <v>3075</v>
      </c>
      <c r="F729" s="533">
        <f t="shared" si="291"/>
        <v>5</v>
      </c>
      <c r="G729" s="533">
        <f t="shared" si="291"/>
        <v>40169</v>
      </c>
      <c r="H729" s="533">
        <f t="shared" si="291"/>
        <v>143</v>
      </c>
      <c r="I729" s="533">
        <f t="shared" si="291"/>
        <v>128</v>
      </c>
      <c r="J729" s="533">
        <f t="shared" si="291"/>
        <v>14</v>
      </c>
      <c r="K729" s="534">
        <f t="shared" si="275"/>
        <v>0.011009194019591</v>
      </c>
      <c r="L729" s="535">
        <f t="shared" si="286"/>
        <v>1.22891707317073</v>
      </c>
      <c r="M729" s="535">
        <f t="shared" si="276"/>
        <v>13.5293864925245</v>
      </c>
      <c r="N729" s="535">
        <f t="shared" si="287"/>
        <v>10.6297566500482</v>
      </c>
      <c r="O729" s="535">
        <f t="shared" si="288"/>
        <v>0.0016260162601626</v>
      </c>
      <c r="P729" s="536">
        <f t="shared" si="284"/>
        <v>13.9443542435424</v>
      </c>
      <c r="Q729" s="531">
        <f t="shared" si="285"/>
        <v>271</v>
      </c>
      <c r="R729" s="537">
        <f t="shared" si="289"/>
        <v>0.088130081300813</v>
      </c>
    </row>
    <row r="730" hidden="1" spans="1:18">
      <c r="A730" s="524">
        <v>45596</v>
      </c>
      <c r="B730" s="540" t="s">
        <v>98</v>
      </c>
      <c r="C730" s="540">
        <v>300</v>
      </c>
      <c r="D730" s="540">
        <v>15673</v>
      </c>
      <c r="E730" s="540">
        <v>323</v>
      </c>
      <c r="F730" s="540">
        <v>0</v>
      </c>
      <c r="G730" s="540">
        <v>0</v>
      </c>
      <c r="H730" s="540">
        <v>2</v>
      </c>
      <c r="I730" s="540">
        <v>7</v>
      </c>
      <c r="J730" s="540">
        <v>3</v>
      </c>
      <c r="K730" s="527">
        <f t="shared" si="275"/>
        <v>0.0206086901040005</v>
      </c>
      <c r="L730" s="528">
        <f t="shared" si="286"/>
        <v>0.928792569659443</v>
      </c>
      <c r="M730" s="528">
        <f t="shared" si="276"/>
        <v>19.1411982390098</v>
      </c>
      <c r="N730" s="528">
        <f t="shared" si="287"/>
        <v>0</v>
      </c>
      <c r="O730" s="528">
        <f t="shared" si="288"/>
        <v>0</v>
      </c>
      <c r="P730" s="529">
        <f t="shared" si="284"/>
        <v>33.3333333333333</v>
      </c>
      <c r="Q730" s="24">
        <f t="shared" si="285"/>
        <v>9</v>
      </c>
      <c r="R730" s="530">
        <f t="shared" si="289"/>
        <v>0.0278637770897833</v>
      </c>
    </row>
    <row r="731" hidden="1" spans="1:18">
      <c r="A731" s="524"/>
      <c r="B731" s="540" t="s">
        <v>99</v>
      </c>
      <c r="C731" s="551">
        <v>1000</v>
      </c>
      <c r="D731" s="551">
        <v>16684</v>
      </c>
      <c r="E731" s="551">
        <v>1204</v>
      </c>
      <c r="F731" s="551">
        <v>4</v>
      </c>
      <c r="G731" s="551">
        <v>57087</v>
      </c>
      <c r="H731" s="551">
        <v>10</v>
      </c>
      <c r="I731" s="551">
        <v>6</v>
      </c>
      <c r="J731" s="551">
        <v>0</v>
      </c>
      <c r="K731" s="527">
        <f t="shared" si="275"/>
        <v>0.0721649484536082</v>
      </c>
      <c r="L731" s="528">
        <f t="shared" si="286"/>
        <v>0.830564784053156</v>
      </c>
      <c r="M731" s="528">
        <f t="shared" si="276"/>
        <v>59.9376648285783</v>
      </c>
      <c r="N731" s="528">
        <f t="shared" si="287"/>
        <v>57.087</v>
      </c>
      <c r="O731" s="528">
        <f t="shared" si="288"/>
        <v>0.00332225913621262</v>
      </c>
      <c r="P731" s="529">
        <f t="shared" si="284"/>
        <v>62.5</v>
      </c>
      <c r="Q731" s="24">
        <f t="shared" si="285"/>
        <v>16</v>
      </c>
      <c r="R731" s="530">
        <f t="shared" si="289"/>
        <v>0.0132890365448505</v>
      </c>
    </row>
    <row r="732" hidden="1" spans="1:18">
      <c r="A732" s="524"/>
      <c r="B732" s="540" t="s">
        <v>100</v>
      </c>
      <c r="C732" s="540">
        <v>2922.3</v>
      </c>
      <c r="D732" s="540">
        <v>2723569</v>
      </c>
      <c r="E732" s="540">
        <v>1867</v>
      </c>
      <c r="F732" s="540">
        <v>5</v>
      </c>
      <c r="G732" s="540">
        <v>44605</v>
      </c>
      <c r="H732" s="540">
        <v>99</v>
      </c>
      <c r="I732" s="540">
        <v>114</v>
      </c>
      <c r="J732" s="540">
        <v>10</v>
      </c>
      <c r="K732" s="527">
        <f t="shared" si="275"/>
        <v>0.000685497595250937</v>
      </c>
      <c r="L732" s="528">
        <f t="shared" si="286"/>
        <v>1.56523835029459</v>
      </c>
      <c r="M732" s="528">
        <f t="shared" si="276"/>
        <v>1.07296712512149</v>
      </c>
      <c r="N732" s="528">
        <f t="shared" si="287"/>
        <v>15.2636621838962</v>
      </c>
      <c r="O732" s="528">
        <f t="shared" si="288"/>
        <v>0.00267809319764328</v>
      </c>
      <c r="P732" s="529">
        <f t="shared" si="284"/>
        <v>13.7197183098592</v>
      </c>
      <c r="Q732" s="24">
        <f t="shared" si="285"/>
        <v>213</v>
      </c>
      <c r="R732" s="530">
        <f t="shared" si="289"/>
        <v>0.114086770219604</v>
      </c>
    </row>
    <row r="733" hidden="1" spans="1:18">
      <c r="A733" s="524"/>
      <c r="B733" s="540" t="s">
        <v>101</v>
      </c>
      <c r="C733" s="540">
        <v>0</v>
      </c>
      <c r="D733" s="540">
        <v>0</v>
      </c>
      <c r="E733" s="540">
        <v>0</v>
      </c>
      <c r="F733" s="540">
        <v>0</v>
      </c>
      <c r="G733" s="540">
        <v>0</v>
      </c>
      <c r="H733" s="540">
        <v>0</v>
      </c>
      <c r="I733" s="540">
        <v>0</v>
      </c>
      <c r="J733" s="540">
        <v>0</v>
      </c>
      <c r="K733" s="527">
        <f t="shared" si="275"/>
        <v>0</v>
      </c>
      <c r="L733" s="528">
        <f t="shared" si="286"/>
        <v>0</v>
      </c>
      <c r="M733" s="528">
        <f t="shared" si="276"/>
        <v>0</v>
      </c>
      <c r="N733" s="528">
        <f t="shared" si="287"/>
        <v>0</v>
      </c>
      <c r="O733" s="528">
        <f t="shared" si="288"/>
        <v>0</v>
      </c>
      <c r="P733" s="529">
        <f t="shared" si="284"/>
        <v>0</v>
      </c>
      <c r="Q733" s="24">
        <f t="shared" si="285"/>
        <v>0</v>
      </c>
      <c r="R733" s="530">
        <f t="shared" si="289"/>
        <v>0</v>
      </c>
    </row>
    <row r="734" hidden="1" spans="1:18">
      <c r="A734" s="524"/>
      <c r="B734" s="531" t="s">
        <v>96</v>
      </c>
      <c r="C734" s="533">
        <f t="shared" ref="C734:J734" si="292">SUM(C730:C733)</f>
        <v>4222.3</v>
      </c>
      <c r="D734" s="533">
        <f t="shared" si="292"/>
        <v>2755926</v>
      </c>
      <c r="E734" s="533">
        <f t="shared" si="292"/>
        <v>3394</v>
      </c>
      <c r="F734" s="533">
        <f t="shared" si="292"/>
        <v>9</v>
      </c>
      <c r="G734" s="533">
        <f t="shared" si="292"/>
        <v>101692</v>
      </c>
      <c r="H734" s="533">
        <f t="shared" si="292"/>
        <v>111</v>
      </c>
      <c r="I734" s="533">
        <f t="shared" si="292"/>
        <v>127</v>
      </c>
      <c r="J734" s="533">
        <f t="shared" si="292"/>
        <v>13</v>
      </c>
      <c r="K734" s="534">
        <f t="shared" si="275"/>
        <v>0.00123152798732622</v>
      </c>
      <c r="L734" s="535">
        <f t="shared" si="286"/>
        <v>1.2440483205657</v>
      </c>
      <c r="M734" s="535">
        <f t="shared" si="276"/>
        <v>1.53208032436285</v>
      </c>
      <c r="N734" s="535">
        <f t="shared" si="287"/>
        <v>24.0845037065107</v>
      </c>
      <c r="O734" s="535">
        <f t="shared" si="288"/>
        <v>0.00265173836181497</v>
      </c>
      <c r="P734" s="536">
        <f t="shared" si="284"/>
        <v>17.740756302521</v>
      </c>
      <c r="Q734" s="531">
        <f t="shared" si="285"/>
        <v>238</v>
      </c>
      <c r="R734" s="537">
        <f t="shared" si="289"/>
        <v>0.070123747790218</v>
      </c>
    </row>
    <row r="735" spans="1:18">
      <c r="A735" s="524">
        <v>45597</v>
      </c>
      <c r="B735" s="540" t="s">
        <v>98</v>
      </c>
      <c r="C735" s="551">
        <v>300</v>
      </c>
      <c r="D735" s="551">
        <v>8027</v>
      </c>
      <c r="E735" s="551">
        <v>237</v>
      </c>
      <c r="F735" s="551">
        <v>0</v>
      </c>
      <c r="G735" s="551">
        <v>0</v>
      </c>
      <c r="H735" s="551">
        <v>4</v>
      </c>
      <c r="I735" s="551">
        <v>11</v>
      </c>
      <c r="J735" s="551">
        <v>1</v>
      </c>
      <c r="K735" s="527">
        <f t="shared" si="275"/>
        <v>0.0295253519372119</v>
      </c>
      <c r="L735" s="528">
        <f t="shared" si="286"/>
        <v>1.26582278481013</v>
      </c>
      <c r="M735" s="528">
        <f t="shared" si="276"/>
        <v>37.3738632116606</v>
      </c>
      <c r="N735" s="528">
        <f t="shared" si="287"/>
        <v>0</v>
      </c>
      <c r="O735" s="528">
        <f t="shared" si="288"/>
        <v>0</v>
      </c>
      <c r="P735" s="529">
        <f t="shared" si="284"/>
        <v>20</v>
      </c>
      <c r="Q735" s="24">
        <f t="shared" si="285"/>
        <v>15</v>
      </c>
      <c r="R735" s="530">
        <f t="shared" si="289"/>
        <v>0.0632911392405063</v>
      </c>
    </row>
    <row r="736" spans="1:18">
      <c r="A736" s="524"/>
      <c r="B736" s="540" t="s">
        <v>99</v>
      </c>
      <c r="C736" s="551">
        <v>1793.16</v>
      </c>
      <c r="D736" s="551">
        <v>18963</v>
      </c>
      <c r="E736" s="551">
        <v>2374</v>
      </c>
      <c r="F736" s="551">
        <v>2</v>
      </c>
      <c r="G736" s="551">
        <v>17895</v>
      </c>
      <c r="H736" s="551">
        <v>15</v>
      </c>
      <c r="I736" s="551">
        <v>2</v>
      </c>
      <c r="J736" s="551">
        <v>9</v>
      </c>
      <c r="K736" s="527">
        <f t="shared" si="275"/>
        <v>0.125191161736012</v>
      </c>
      <c r="L736" s="528">
        <f t="shared" si="286"/>
        <v>0.755332771693345</v>
      </c>
      <c r="M736" s="528">
        <f t="shared" si="276"/>
        <v>94.5609871855719</v>
      </c>
      <c r="N736" s="528">
        <f t="shared" si="287"/>
        <v>9.97958910526668</v>
      </c>
      <c r="O736" s="528">
        <f t="shared" si="288"/>
        <v>0.0008424599831508</v>
      </c>
      <c r="P736" s="529">
        <f t="shared" si="284"/>
        <v>105.48</v>
      </c>
      <c r="Q736" s="24">
        <f t="shared" si="285"/>
        <v>17</v>
      </c>
      <c r="R736" s="530">
        <f t="shared" si="289"/>
        <v>0.0071609098567818</v>
      </c>
    </row>
    <row r="737" spans="1:18">
      <c r="A737" s="524"/>
      <c r="B737" s="540" t="s">
        <v>100</v>
      </c>
      <c r="C737" s="551">
        <v>4984.37</v>
      </c>
      <c r="D737" s="551">
        <v>347737</v>
      </c>
      <c r="E737" s="551">
        <v>3296</v>
      </c>
      <c r="F737" s="551">
        <v>9</v>
      </c>
      <c r="G737" s="551">
        <v>79198</v>
      </c>
      <c r="H737" s="551">
        <v>229</v>
      </c>
      <c r="I737" s="551">
        <v>200</v>
      </c>
      <c r="J737" s="551">
        <v>18</v>
      </c>
      <c r="K737" s="527">
        <f t="shared" si="275"/>
        <v>0.009478427662285</v>
      </c>
      <c r="L737" s="528">
        <f t="shared" si="286"/>
        <v>1.51224817961165</v>
      </c>
      <c r="M737" s="528">
        <f t="shared" si="276"/>
        <v>14.3337349778712</v>
      </c>
      <c r="N737" s="528">
        <f t="shared" si="287"/>
        <v>15.8892698575748</v>
      </c>
      <c r="O737" s="528">
        <f t="shared" si="288"/>
        <v>0.00273058252427184</v>
      </c>
      <c r="P737" s="529">
        <f t="shared" si="284"/>
        <v>11.6185780885781</v>
      </c>
      <c r="Q737" s="24">
        <f t="shared" si="285"/>
        <v>429</v>
      </c>
      <c r="R737" s="530">
        <f t="shared" si="289"/>
        <v>0.130157766990291</v>
      </c>
    </row>
    <row r="738" spans="1:18">
      <c r="A738" s="524"/>
      <c r="B738" s="540" t="s">
        <v>101</v>
      </c>
      <c r="C738" s="551">
        <v>0</v>
      </c>
      <c r="D738" s="551">
        <v>0</v>
      </c>
      <c r="E738" s="551">
        <v>0</v>
      </c>
      <c r="F738" s="551">
        <v>0</v>
      </c>
      <c r="G738" s="551">
        <v>0</v>
      </c>
      <c r="H738" s="551">
        <v>0</v>
      </c>
      <c r="I738" s="551">
        <v>0</v>
      </c>
      <c r="J738" s="551">
        <v>0</v>
      </c>
      <c r="K738" s="527">
        <f t="shared" si="275"/>
        <v>0</v>
      </c>
      <c r="L738" s="528">
        <f t="shared" si="286"/>
        <v>0</v>
      </c>
      <c r="M738" s="528">
        <f t="shared" si="276"/>
        <v>0</v>
      </c>
      <c r="N738" s="528">
        <f t="shared" si="287"/>
        <v>0</v>
      </c>
      <c r="O738" s="528">
        <f t="shared" si="288"/>
        <v>0</v>
      </c>
      <c r="P738" s="529">
        <f t="shared" si="284"/>
        <v>0</v>
      </c>
      <c r="Q738" s="24">
        <f t="shared" si="285"/>
        <v>0</v>
      </c>
      <c r="R738" s="530">
        <f t="shared" si="289"/>
        <v>0</v>
      </c>
    </row>
    <row r="739" spans="1:18">
      <c r="A739" s="524"/>
      <c r="B739" s="531" t="s">
        <v>96</v>
      </c>
      <c r="C739" s="533">
        <f t="shared" ref="C739:J739" si="293">SUM(C735:C738)</f>
        <v>7077.53</v>
      </c>
      <c r="D739" s="533">
        <f t="shared" si="293"/>
        <v>374727</v>
      </c>
      <c r="E739" s="533">
        <f t="shared" si="293"/>
        <v>5907</v>
      </c>
      <c r="F739" s="533">
        <f t="shared" si="293"/>
        <v>11</v>
      </c>
      <c r="G739" s="533">
        <f t="shared" si="293"/>
        <v>97093</v>
      </c>
      <c r="H739" s="533">
        <f t="shared" si="293"/>
        <v>248</v>
      </c>
      <c r="I739" s="533">
        <f t="shared" si="293"/>
        <v>213</v>
      </c>
      <c r="J739" s="533">
        <f t="shared" si="293"/>
        <v>28</v>
      </c>
      <c r="K739" s="534">
        <f t="shared" si="275"/>
        <v>0.01576347581039</v>
      </c>
      <c r="L739" s="535">
        <f t="shared" si="286"/>
        <v>1.19815981039445</v>
      </c>
      <c r="M739" s="535">
        <f t="shared" si="276"/>
        <v>18.8871631881343</v>
      </c>
      <c r="N739" s="535">
        <f t="shared" si="287"/>
        <v>13.718486534144</v>
      </c>
      <c r="O739" s="535">
        <f t="shared" si="288"/>
        <v>0.00186219739292365</v>
      </c>
      <c r="P739" s="536">
        <f t="shared" si="284"/>
        <v>15.3525596529284</v>
      </c>
      <c r="Q739" s="531">
        <f t="shared" si="285"/>
        <v>461</v>
      </c>
      <c r="R739" s="537">
        <f t="shared" si="289"/>
        <v>0.0780429998307093</v>
      </c>
    </row>
    <row r="740" spans="1:18">
      <c r="A740" s="524">
        <v>45598</v>
      </c>
      <c r="B740" s="540" t="s">
        <v>98</v>
      </c>
      <c r="C740" s="551">
        <v>300</v>
      </c>
      <c r="D740" s="551">
        <v>13798</v>
      </c>
      <c r="E740" s="551">
        <v>311</v>
      </c>
      <c r="F740" s="551">
        <v>0</v>
      </c>
      <c r="G740" s="551">
        <v>0</v>
      </c>
      <c r="H740" s="551">
        <v>0</v>
      </c>
      <c r="I740" s="551">
        <v>11</v>
      </c>
      <c r="J740" s="551">
        <v>1</v>
      </c>
      <c r="K740" s="527">
        <f t="shared" si="275"/>
        <v>0.0225394984780403</v>
      </c>
      <c r="L740" s="528">
        <f t="shared" si="286"/>
        <v>0.964630225080386</v>
      </c>
      <c r="M740" s="528">
        <f t="shared" si="276"/>
        <v>21.742281490071</v>
      </c>
      <c r="N740" s="528">
        <f t="shared" si="287"/>
        <v>0</v>
      </c>
      <c r="O740" s="528">
        <f t="shared" si="288"/>
        <v>0</v>
      </c>
      <c r="P740" s="529">
        <f t="shared" si="284"/>
        <v>27.2727272727273</v>
      </c>
      <c r="Q740" s="24">
        <f t="shared" si="285"/>
        <v>11</v>
      </c>
      <c r="R740" s="530">
        <f t="shared" si="289"/>
        <v>0.0353697749196141</v>
      </c>
    </row>
    <row r="741" spans="1:18">
      <c r="A741" s="524"/>
      <c r="B741" s="540" t="s">
        <v>99</v>
      </c>
      <c r="C741" s="551">
        <v>0</v>
      </c>
      <c r="D741" s="551">
        <v>3</v>
      </c>
      <c r="E741" s="551">
        <v>0</v>
      </c>
      <c r="F741" s="551">
        <v>0</v>
      </c>
      <c r="G741" s="551">
        <v>0</v>
      </c>
      <c r="H741" s="551">
        <v>0</v>
      </c>
      <c r="I741" s="551">
        <v>0</v>
      </c>
      <c r="J741" s="551">
        <v>0</v>
      </c>
      <c r="K741" s="527">
        <f t="shared" si="275"/>
        <v>0</v>
      </c>
      <c r="L741" s="528">
        <f t="shared" si="286"/>
        <v>0</v>
      </c>
      <c r="M741" s="528">
        <f t="shared" si="276"/>
        <v>0</v>
      </c>
      <c r="N741" s="528">
        <f t="shared" si="287"/>
        <v>0</v>
      </c>
      <c r="O741" s="528">
        <f t="shared" si="288"/>
        <v>0</v>
      </c>
      <c r="P741" s="529">
        <f t="shared" si="284"/>
        <v>0</v>
      </c>
      <c r="Q741" s="24">
        <f t="shared" si="285"/>
        <v>0</v>
      </c>
      <c r="R741" s="530">
        <f t="shared" si="289"/>
        <v>0</v>
      </c>
    </row>
    <row r="742" spans="1:18">
      <c r="A742" s="524"/>
      <c r="B742" s="540" t="s">
        <v>100</v>
      </c>
      <c r="C742" s="551">
        <v>4990.85</v>
      </c>
      <c r="D742" s="551">
        <v>186410</v>
      </c>
      <c r="E742" s="551">
        <v>2952</v>
      </c>
      <c r="F742" s="551">
        <v>5</v>
      </c>
      <c r="G742" s="551">
        <v>48840</v>
      </c>
      <c r="H742" s="551">
        <v>302</v>
      </c>
      <c r="I742" s="551">
        <v>260</v>
      </c>
      <c r="J742" s="551">
        <v>23</v>
      </c>
      <c r="K742" s="527">
        <f t="shared" si="275"/>
        <v>0.0158360602971944</v>
      </c>
      <c r="L742" s="528">
        <f t="shared" si="286"/>
        <v>1.69066734417344</v>
      </c>
      <c r="M742" s="528">
        <f t="shared" si="276"/>
        <v>26.7735100048281</v>
      </c>
      <c r="N742" s="528">
        <f t="shared" si="287"/>
        <v>9.78590821202801</v>
      </c>
      <c r="O742" s="528">
        <f t="shared" si="288"/>
        <v>0.00169376693766938</v>
      </c>
      <c r="P742" s="529">
        <f t="shared" si="284"/>
        <v>8.88051601423488</v>
      </c>
      <c r="Q742" s="24">
        <f t="shared" si="285"/>
        <v>562</v>
      </c>
      <c r="R742" s="530">
        <f t="shared" si="289"/>
        <v>0.190379403794038</v>
      </c>
    </row>
    <row r="743" spans="1:18">
      <c r="A743" s="524"/>
      <c r="B743" s="540" t="s">
        <v>101</v>
      </c>
      <c r="C743" s="551">
        <v>0</v>
      </c>
      <c r="D743" s="551">
        <v>0</v>
      </c>
      <c r="E743" s="551">
        <v>0</v>
      </c>
      <c r="F743" s="551">
        <v>0</v>
      </c>
      <c r="G743" s="551">
        <v>0</v>
      </c>
      <c r="H743" s="551">
        <v>0</v>
      </c>
      <c r="I743" s="551">
        <v>0</v>
      </c>
      <c r="J743" s="551">
        <v>0</v>
      </c>
      <c r="K743" s="527">
        <f t="shared" si="275"/>
        <v>0</v>
      </c>
      <c r="L743" s="528">
        <f t="shared" si="286"/>
        <v>0</v>
      </c>
      <c r="M743" s="528">
        <f t="shared" si="276"/>
        <v>0</v>
      </c>
      <c r="N743" s="528">
        <f t="shared" si="287"/>
        <v>0</v>
      </c>
      <c r="O743" s="528">
        <f t="shared" si="288"/>
        <v>0</v>
      </c>
      <c r="P743" s="529">
        <f t="shared" si="284"/>
        <v>0</v>
      </c>
      <c r="Q743" s="24">
        <f t="shared" si="285"/>
        <v>0</v>
      </c>
      <c r="R743" s="530">
        <f t="shared" si="289"/>
        <v>0</v>
      </c>
    </row>
    <row r="744" spans="1:18">
      <c r="A744" s="524"/>
      <c r="B744" s="531" t="s">
        <v>96</v>
      </c>
      <c r="C744" s="533">
        <f t="shared" ref="C744:J744" si="294">SUM(C740:C743)</f>
        <v>5290.85</v>
      </c>
      <c r="D744" s="533">
        <f t="shared" si="294"/>
        <v>200211</v>
      </c>
      <c r="E744" s="533">
        <f t="shared" si="294"/>
        <v>3263</v>
      </c>
      <c r="F744" s="533">
        <f t="shared" si="294"/>
        <v>5</v>
      </c>
      <c r="G744" s="533">
        <f t="shared" si="294"/>
        <v>48840</v>
      </c>
      <c r="H744" s="533">
        <f t="shared" si="294"/>
        <v>302</v>
      </c>
      <c r="I744" s="533">
        <f t="shared" si="294"/>
        <v>271</v>
      </c>
      <c r="J744" s="533">
        <f t="shared" si="294"/>
        <v>24</v>
      </c>
      <c r="K744" s="534">
        <f t="shared" si="275"/>
        <v>0.0162978058148653</v>
      </c>
      <c r="L744" s="535">
        <f t="shared" si="286"/>
        <v>1.62146797425682</v>
      </c>
      <c r="M744" s="535">
        <f t="shared" si="276"/>
        <v>26.4263701794607</v>
      </c>
      <c r="N744" s="535">
        <f t="shared" si="287"/>
        <v>9.23103093075782</v>
      </c>
      <c r="O744" s="535">
        <f t="shared" si="288"/>
        <v>0.00153233220962305</v>
      </c>
      <c r="P744" s="536">
        <f t="shared" si="284"/>
        <v>9.23359511343805</v>
      </c>
      <c r="Q744" s="531">
        <f t="shared" si="285"/>
        <v>573</v>
      </c>
      <c r="R744" s="537">
        <f t="shared" si="289"/>
        <v>0.175605271222801</v>
      </c>
    </row>
    <row r="745" spans="1:18">
      <c r="A745" s="524">
        <v>45599</v>
      </c>
      <c r="B745" s="540" t="s">
        <v>98</v>
      </c>
      <c r="C745" s="551">
        <v>300</v>
      </c>
      <c r="D745" s="551">
        <v>11015</v>
      </c>
      <c r="E745" s="551">
        <v>310</v>
      </c>
      <c r="F745" s="551">
        <v>0</v>
      </c>
      <c r="G745" s="551">
        <v>0</v>
      </c>
      <c r="H745" s="551">
        <v>4</v>
      </c>
      <c r="I745" s="551">
        <v>19</v>
      </c>
      <c r="J745" s="551">
        <v>1</v>
      </c>
      <c r="K745" s="527">
        <f t="shared" si="275"/>
        <v>0.0281434407625965</v>
      </c>
      <c r="L745" s="528">
        <f t="shared" si="286"/>
        <v>0.967741935483871</v>
      </c>
      <c r="M745" s="528">
        <f t="shared" si="276"/>
        <v>27.2355878347708</v>
      </c>
      <c r="N745" s="528">
        <f t="shared" si="287"/>
        <v>0</v>
      </c>
      <c r="O745" s="528">
        <f t="shared" si="288"/>
        <v>0</v>
      </c>
      <c r="P745" s="529">
        <f t="shared" si="284"/>
        <v>13.0434782608696</v>
      </c>
      <c r="Q745" s="24">
        <f t="shared" si="285"/>
        <v>23</v>
      </c>
      <c r="R745" s="530">
        <f t="shared" si="289"/>
        <v>0.0741935483870968</v>
      </c>
    </row>
    <row r="746" spans="1:18">
      <c r="A746" s="524"/>
      <c r="B746" s="540" t="s">
        <v>99</v>
      </c>
      <c r="C746" s="551">
        <v>0</v>
      </c>
      <c r="D746" s="551">
        <v>0</v>
      </c>
      <c r="E746" s="551">
        <v>0</v>
      </c>
      <c r="F746" s="551">
        <v>0</v>
      </c>
      <c r="G746" s="551">
        <v>0</v>
      </c>
      <c r="H746" s="551">
        <v>0</v>
      </c>
      <c r="I746" s="551">
        <v>0</v>
      </c>
      <c r="J746" s="551">
        <v>0</v>
      </c>
      <c r="K746" s="527">
        <f t="shared" si="275"/>
        <v>0</v>
      </c>
      <c r="L746" s="528">
        <f t="shared" si="286"/>
        <v>0</v>
      </c>
      <c r="M746" s="528">
        <f t="shared" si="276"/>
        <v>0</v>
      </c>
      <c r="N746" s="528">
        <f t="shared" si="287"/>
        <v>0</v>
      </c>
      <c r="O746" s="528">
        <f t="shared" si="288"/>
        <v>0</v>
      </c>
      <c r="P746" s="529">
        <f t="shared" si="284"/>
        <v>0</v>
      </c>
      <c r="Q746" s="24">
        <f t="shared" si="285"/>
        <v>0</v>
      </c>
      <c r="R746" s="530">
        <f t="shared" si="289"/>
        <v>0</v>
      </c>
    </row>
    <row r="747" spans="1:18">
      <c r="A747" s="524"/>
      <c r="B747" s="540" t="s">
        <v>100</v>
      </c>
      <c r="C747" s="551">
        <v>4999.52</v>
      </c>
      <c r="D747" s="551">
        <v>295475</v>
      </c>
      <c r="E747" s="551">
        <v>3436</v>
      </c>
      <c r="F747" s="551">
        <v>4</v>
      </c>
      <c r="G747" s="551">
        <v>48716</v>
      </c>
      <c r="H747" s="551">
        <v>284</v>
      </c>
      <c r="I747" s="551">
        <v>286</v>
      </c>
      <c r="J747" s="551">
        <v>22</v>
      </c>
      <c r="K747" s="527">
        <f t="shared" si="275"/>
        <v>0.0116287333953803</v>
      </c>
      <c r="L747" s="528">
        <f t="shared" si="286"/>
        <v>1.45504074505239</v>
      </c>
      <c r="M747" s="528">
        <f t="shared" si="276"/>
        <v>16.9202809036297</v>
      </c>
      <c r="N747" s="528">
        <f t="shared" si="287"/>
        <v>9.74413543700195</v>
      </c>
      <c r="O747" s="528">
        <f t="shared" si="288"/>
        <v>0.00116414435389988</v>
      </c>
      <c r="P747" s="529">
        <f t="shared" si="284"/>
        <v>8.77108771929825</v>
      </c>
      <c r="Q747" s="24">
        <f t="shared" si="285"/>
        <v>570</v>
      </c>
      <c r="R747" s="530">
        <f t="shared" si="289"/>
        <v>0.165890570430733</v>
      </c>
    </row>
    <row r="748" spans="1:18">
      <c r="A748" s="524"/>
      <c r="B748" s="540" t="s">
        <v>101</v>
      </c>
      <c r="C748" s="551">
        <v>0</v>
      </c>
      <c r="D748" s="551">
        <v>0</v>
      </c>
      <c r="E748" s="551">
        <v>0</v>
      </c>
      <c r="F748" s="551">
        <v>0</v>
      </c>
      <c r="G748" s="551">
        <v>0</v>
      </c>
      <c r="H748" s="551">
        <v>0</v>
      </c>
      <c r="I748" s="551">
        <v>0</v>
      </c>
      <c r="J748" s="551">
        <v>0</v>
      </c>
      <c r="K748" s="527">
        <f t="shared" si="275"/>
        <v>0</v>
      </c>
      <c r="L748" s="528">
        <f t="shared" si="286"/>
        <v>0</v>
      </c>
      <c r="M748" s="528">
        <f t="shared" si="276"/>
        <v>0</v>
      </c>
      <c r="N748" s="528">
        <f t="shared" si="287"/>
        <v>0</v>
      </c>
      <c r="O748" s="528">
        <f t="shared" si="288"/>
        <v>0</v>
      </c>
      <c r="P748" s="529">
        <f t="shared" si="284"/>
        <v>0</v>
      </c>
      <c r="Q748" s="24">
        <f t="shared" si="285"/>
        <v>0</v>
      </c>
      <c r="R748" s="530">
        <f t="shared" si="289"/>
        <v>0</v>
      </c>
    </row>
    <row r="749" spans="1:18">
      <c r="A749" s="524"/>
      <c r="B749" s="531" t="s">
        <v>96</v>
      </c>
      <c r="C749" s="533">
        <f t="shared" ref="C749:J749" si="295">SUM(C745:C748)</f>
        <v>5299.52</v>
      </c>
      <c r="D749" s="533">
        <f t="shared" si="295"/>
        <v>306490</v>
      </c>
      <c r="E749" s="533">
        <f t="shared" si="295"/>
        <v>3746</v>
      </c>
      <c r="F749" s="533">
        <f t="shared" si="295"/>
        <v>4</v>
      </c>
      <c r="G749" s="533">
        <f t="shared" si="295"/>
        <v>48716</v>
      </c>
      <c r="H749" s="533">
        <f t="shared" si="295"/>
        <v>288</v>
      </c>
      <c r="I749" s="533">
        <f t="shared" si="295"/>
        <v>305</v>
      </c>
      <c r="J749" s="533">
        <f t="shared" si="295"/>
        <v>23</v>
      </c>
      <c r="K749" s="534">
        <f t="shared" si="275"/>
        <v>0.012222258474991</v>
      </c>
      <c r="L749" s="535">
        <f t="shared" si="286"/>
        <v>1.41471436198612</v>
      </c>
      <c r="M749" s="535">
        <f t="shared" si="276"/>
        <v>17.2910046004764</v>
      </c>
      <c r="N749" s="535">
        <f t="shared" si="287"/>
        <v>9.19253064428476</v>
      </c>
      <c r="O749" s="535">
        <f t="shared" si="288"/>
        <v>0.00106780565936999</v>
      </c>
      <c r="P749" s="536">
        <f t="shared" si="284"/>
        <v>8.93679595278246</v>
      </c>
      <c r="Q749" s="531">
        <f t="shared" si="285"/>
        <v>593</v>
      </c>
      <c r="R749" s="537">
        <f t="shared" si="289"/>
        <v>0.158302189001602</v>
      </c>
    </row>
    <row r="750" spans="1:18">
      <c r="A750" s="524">
        <v>45600</v>
      </c>
      <c r="B750" s="540" t="s">
        <v>98</v>
      </c>
      <c r="C750" s="551">
        <v>300</v>
      </c>
      <c r="D750" s="551">
        <v>21081</v>
      </c>
      <c r="E750" s="551">
        <v>380</v>
      </c>
      <c r="F750" s="551">
        <v>0</v>
      </c>
      <c r="G750" s="551">
        <v>0</v>
      </c>
      <c r="H750" s="551">
        <v>2</v>
      </c>
      <c r="I750" s="551">
        <v>9</v>
      </c>
      <c r="J750" s="551">
        <v>3</v>
      </c>
      <c r="K750" s="527">
        <f t="shared" si="275"/>
        <v>0.0180257103552962</v>
      </c>
      <c r="L750" s="528">
        <f t="shared" si="286"/>
        <v>0.789473684210526</v>
      </c>
      <c r="M750" s="528">
        <f t="shared" si="276"/>
        <v>14.2308239647076</v>
      </c>
      <c r="N750" s="528">
        <f t="shared" si="287"/>
        <v>0</v>
      </c>
      <c r="O750" s="528">
        <f t="shared" si="288"/>
        <v>0</v>
      </c>
      <c r="P750" s="529">
        <f t="shared" si="284"/>
        <v>27.2727272727273</v>
      </c>
      <c r="Q750" s="24">
        <f t="shared" si="285"/>
        <v>11</v>
      </c>
      <c r="R750" s="530">
        <f t="shared" si="289"/>
        <v>0.0289473684210526</v>
      </c>
    </row>
    <row r="751" spans="1:18">
      <c r="A751" s="524"/>
      <c r="B751" s="540" t="s">
        <v>99</v>
      </c>
      <c r="C751" s="551">
        <v>789.14</v>
      </c>
      <c r="D751" s="551">
        <v>13920</v>
      </c>
      <c r="E751" s="551">
        <v>1147</v>
      </c>
      <c r="F751" s="551">
        <v>3</v>
      </c>
      <c r="G751" s="551">
        <v>31392</v>
      </c>
      <c r="H751" s="551">
        <v>20</v>
      </c>
      <c r="I751" s="551">
        <v>3</v>
      </c>
      <c r="J751" s="551">
        <v>3</v>
      </c>
      <c r="K751" s="527">
        <f t="shared" ref="K751:K814" si="296">IF(E751=0,0,E751/D751)</f>
        <v>0.0823994252873563</v>
      </c>
      <c r="L751" s="528">
        <f t="shared" si="286"/>
        <v>0.688003487358326</v>
      </c>
      <c r="M751" s="528">
        <f t="shared" ref="M751:M814" si="297">IF(D751=0,0,C751/D751*1000)</f>
        <v>56.691091954023</v>
      </c>
      <c r="N751" s="528">
        <f t="shared" si="287"/>
        <v>39.7800136857845</v>
      </c>
      <c r="O751" s="528">
        <f t="shared" si="288"/>
        <v>0.002615518744551</v>
      </c>
      <c r="P751" s="529">
        <f t="shared" si="284"/>
        <v>34.3104347826087</v>
      </c>
      <c r="Q751" s="24">
        <f t="shared" si="285"/>
        <v>23</v>
      </c>
      <c r="R751" s="530">
        <f t="shared" si="289"/>
        <v>0.020052310374891</v>
      </c>
    </row>
    <row r="752" spans="1:18">
      <c r="A752" s="524"/>
      <c r="B752" s="540" t="s">
        <v>100</v>
      </c>
      <c r="C752" s="551">
        <v>5480.08</v>
      </c>
      <c r="D752" s="551">
        <v>437231</v>
      </c>
      <c r="E752" s="551">
        <v>3881</v>
      </c>
      <c r="F752" s="551">
        <v>5</v>
      </c>
      <c r="G752" s="551">
        <v>51245</v>
      </c>
      <c r="H752" s="551">
        <v>259</v>
      </c>
      <c r="I752" s="551">
        <v>254</v>
      </c>
      <c r="J752" s="551">
        <v>21</v>
      </c>
      <c r="K752" s="527">
        <f t="shared" si="296"/>
        <v>0.00887631480841935</v>
      </c>
      <c r="L752" s="528">
        <f t="shared" si="286"/>
        <v>1.41202782787941</v>
      </c>
      <c r="M752" s="528">
        <f t="shared" si="297"/>
        <v>12.5336035185062</v>
      </c>
      <c r="N752" s="528">
        <f t="shared" si="287"/>
        <v>9.35114085925753</v>
      </c>
      <c r="O752" s="528">
        <f t="shared" si="288"/>
        <v>0.00128832775057975</v>
      </c>
      <c r="P752" s="529">
        <f t="shared" si="284"/>
        <v>10.6824171539961</v>
      </c>
      <c r="Q752" s="24">
        <f t="shared" si="285"/>
        <v>513</v>
      </c>
      <c r="R752" s="530">
        <f t="shared" si="289"/>
        <v>0.132182427209482</v>
      </c>
    </row>
    <row r="753" spans="1:18">
      <c r="A753" s="524"/>
      <c r="B753" s="540" t="s">
        <v>101</v>
      </c>
      <c r="C753" s="551">
        <v>0</v>
      </c>
      <c r="D753" s="551">
        <v>0</v>
      </c>
      <c r="E753" s="551">
        <v>0</v>
      </c>
      <c r="F753" s="551">
        <v>0</v>
      </c>
      <c r="G753" s="551">
        <v>0</v>
      </c>
      <c r="H753" s="551">
        <v>0</v>
      </c>
      <c r="I753" s="551">
        <v>0</v>
      </c>
      <c r="J753" s="551">
        <v>0</v>
      </c>
      <c r="K753" s="527">
        <f t="shared" si="296"/>
        <v>0</v>
      </c>
      <c r="L753" s="528">
        <f t="shared" si="286"/>
        <v>0</v>
      </c>
      <c r="M753" s="528">
        <f t="shared" si="297"/>
        <v>0</v>
      </c>
      <c r="N753" s="528">
        <f t="shared" si="287"/>
        <v>0</v>
      </c>
      <c r="O753" s="528">
        <f t="shared" si="288"/>
        <v>0</v>
      </c>
      <c r="P753" s="529">
        <f t="shared" si="284"/>
        <v>0</v>
      </c>
      <c r="Q753" s="24">
        <f t="shared" si="285"/>
        <v>0</v>
      </c>
      <c r="R753" s="530">
        <f t="shared" si="289"/>
        <v>0</v>
      </c>
    </row>
    <row r="754" spans="1:18">
      <c r="A754" s="524"/>
      <c r="B754" s="531" t="s">
        <v>96</v>
      </c>
      <c r="C754" s="533">
        <f t="shared" ref="C754:J754" si="298">SUM(C750:C753)</f>
        <v>6569.22</v>
      </c>
      <c r="D754" s="533">
        <f t="shared" si="298"/>
        <v>472232</v>
      </c>
      <c r="E754" s="533">
        <f t="shared" si="298"/>
        <v>5408</v>
      </c>
      <c r="F754" s="533">
        <f t="shared" si="298"/>
        <v>8</v>
      </c>
      <c r="G754" s="533">
        <f t="shared" si="298"/>
        <v>82637</v>
      </c>
      <c r="H754" s="533">
        <f t="shared" si="298"/>
        <v>281</v>
      </c>
      <c r="I754" s="533">
        <f t="shared" si="298"/>
        <v>266</v>
      </c>
      <c r="J754" s="533">
        <f t="shared" si="298"/>
        <v>27</v>
      </c>
      <c r="K754" s="534">
        <f t="shared" si="296"/>
        <v>0.0114519981703908</v>
      </c>
      <c r="L754" s="535">
        <f t="shared" si="286"/>
        <v>1.21472263313609</v>
      </c>
      <c r="M754" s="535">
        <f t="shared" si="297"/>
        <v>13.9110013722069</v>
      </c>
      <c r="N754" s="535">
        <f t="shared" si="287"/>
        <v>12.5794234323101</v>
      </c>
      <c r="O754" s="535">
        <f t="shared" si="288"/>
        <v>0.0014792899408284</v>
      </c>
      <c r="P754" s="536">
        <f t="shared" si="284"/>
        <v>12.0095429616088</v>
      </c>
      <c r="Q754" s="531">
        <f t="shared" si="285"/>
        <v>547</v>
      </c>
      <c r="R754" s="537">
        <f t="shared" si="289"/>
        <v>0.101146449704142</v>
      </c>
    </row>
    <row r="755" spans="1:18">
      <c r="A755" s="524">
        <v>45601</v>
      </c>
      <c r="B755" s="540" t="s">
        <v>98</v>
      </c>
      <c r="C755" s="551">
        <v>399.86</v>
      </c>
      <c r="D755" s="551">
        <v>42313</v>
      </c>
      <c r="E755" s="551">
        <v>634</v>
      </c>
      <c r="F755" s="551">
        <v>1</v>
      </c>
      <c r="G755" s="551">
        <v>9198</v>
      </c>
      <c r="H755" s="551">
        <v>0</v>
      </c>
      <c r="I755" s="551">
        <v>7</v>
      </c>
      <c r="J755" s="551">
        <v>2</v>
      </c>
      <c r="K755" s="527">
        <f t="shared" si="296"/>
        <v>0.0149835747878902</v>
      </c>
      <c r="L755" s="528">
        <f t="shared" si="286"/>
        <v>0.630694006309148</v>
      </c>
      <c r="M755" s="528">
        <f t="shared" si="297"/>
        <v>9.45005081180725</v>
      </c>
      <c r="N755" s="528">
        <f t="shared" si="287"/>
        <v>23.0030510678738</v>
      </c>
      <c r="O755" s="528">
        <f t="shared" si="288"/>
        <v>0.00157728706624606</v>
      </c>
      <c r="P755" s="529">
        <f t="shared" si="284"/>
        <v>57.1228571428571</v>
      </c>
      <c r="Q755" s="24">
        <f t="shared" si="285"/>
        <v>7</v>
      </c>
      <c r="R755" s="530">
        <f t="shared" si="289"/>
        <v>0.0110410094637224</v>
      </c>
    </row>
    <row r="756" spans="1:18">
      <c r="A756" s="524"/>
      <c r="B756" s="540" t="s">
        <v>99</v>
      </c>
      <c r="C756" s="551">
        <v>0</v>
      </c>
      <c r="D756" s="551">
        <v>4</v>
      </c>
      <c r="E756" s="551">
        <v>0</v>
      </c>
      <c r="F756" s="551">
        <v>0</v>
      </c>
      <c r="G756" s="551">
        <v>0</v>
      </c>
      <c r="H756" s="551">
        <v>0</v>
      </c>
      <c r="I756" s="551">
        <v>0</v>
      </c>
      <c r="J756" s="551">
        <v>0</v>
      </c>
      <c r="K756" s="527">
        <f t="shared" si="296"/>
        <v>0</v>
      </c>
      <c r="L756" s="528">
        <f t="shared" si="286"/>
        <v>0</v>
      </c>
      <c r="M756" s="528">
        <f t="shared" si="297"/>
        <v>0</v>
      </c>
      <c r="N756" s="528">
        <f t="shared" si="287"/>
        <v>0</v>
      </c>
      <c r="O756" s="528">
        <f t="shared" si="288"/>
        <v>0</v>
      </c>
      <c r="P756" s="529">
        <f t="shared" si="284"/>
        <v>0</v>
      </c>
      <c r="Q756" s="24">
        <f t="shared" si="285"/>
        <v>0</v>
      </c>
      <c r="R756" s="530">
        <f t="shared" si="289"/>
        <v>0</v>
      </c>
    </row>
    <row r="757" spans="1:18">
      <c r="A757" s="524"/>
      <c r="B757" s="540" t="s">
        <v>100</v>
      </c>
      <c r="C757" s="551">
        <v>5023.7</v>
      </c>
      <c r="D757" s="551">
        <v>291038</v>
      </c>
      <c r="E757" s="551">
        <v>3037</v>
      </c>
      <c r="F757" s="551">
        <v>8</v>
      </c>
      <c r="G757" s="551">
        <v>108246.1</v>
      </c>
      <c r="H757" s="551">
        <v>234</v>
      </c>
      <c r="I757" s="551">
        <v>242</v>
      </c>
      <c r="J757" s="551">
        <v>16</v>
      </c>
      <c r="K757" s="527">
        <f t="shared" si="296"/>
        <v>0.0104350634625032</v>
      </c>
      <c r="L757" s="528">
        <f t="shared" si="286"/>
        <v>1.65416529469872</v>
      </c>
      <c r="M757" s="528">
        <f t="shared" si="297"/>
        <v>17.2613198276514</v>
      </c>
      <c r="N757" s="528">
        <f t="shared" si="287"/>
        <v>21.5470868085276</v>
      </c>
      <c r="O757" s="528">
        <f t="shared" si="288"/>
        <v>0.00263417846559104</v>
      </c>
      <c r="P757" s="529">
        <f t="shared" si="284"/>
        <v>10.5539915966387</v>
      </c>
      <c r="Q757" s="24">
        <f t="shared" si="285"/>
        <v>476</v>
      </c>
      <c r="R757" s="530">
        <f t="shared" si="289"/>
        <v>0.156733618702667</v>
      </c>
    </row>
    <row r="758" spans="1:18">
      <c r="A758" s="524"/>
      <c r="B758" s="540" t="s">
        <v>101</v>
      </c>
      <c r="C758" s="551">
        <v>0</v>
      </c>
      <c r="D758" s="551">
        <v>0</v>
      </c>
      <c r="E758" s="551">
        <v>0</v>
      </c>
      <c r="F758" s="551">
        <v>0</v>
      </c>
      <c r="G758" s="551">
        <v>0</v>
      </c>
      <c r="H758" s="551">
        <v>0</v>
      </c>
      <c r="I758" s="551">
        <v>0</v>
      </c>
      <c r="J758" s="551">
        <v>0</v>
      </c>
      <c r="K758" s="527">
        <f t="shared" si="296"/>
        <v>0</v>
      </c>
      <c r="L758" s="528">
        <f t="shared" si="286"/>
        <v>0</v>
      </c>
      <c r="M758" s="528">
        <f t="shared" si="297"/>
        <v>0</v>
      </c>
      <c r="N758" s="528">
        <f t="shared" si="287"/>
        <v>0</v>
      </c>
      <c r="O758" s="528">
        <f t="shared" si="288"/>
        <v>0</v>
      </c>
      <c r="P758" s="529">
        <f t="shared" si="284"/>
        <v>0</v>
      </c>
      <c r="Q758" s="24">
        <f t="shared" si="285"/>
        <v>0</v>
      </c>
      <c r="R758" s="530">
        <f t="shared" si="289"/>
        <v>0</v>
      </c>
    </row>
    <row r="759" spans="1:18">
      <c r="A759" s="524"/>
      <c r="B759" s="531" t="s">
        <v>96</v>
      </c>
      <c r="C759" s="533">
        <f t="shared" ref="C759:J759" si="299">SUM(C755:C758)</f>
        <v>5423.56</v>
      </c>
      <c r="D759" s="533">
        <f t="shared" si="299"/>
        <v>333355</v>
      </c>
      <c r="E759" s="533">
        <f t="shared" si="299"/>
        <v>3671</v>
      </c>
      <c r="F759" s="533">
        <f t="shared" si="299"/>
        <v>9</v>
      </c>
      <c r="G759" s="533">
        <f t="shared" si="299"/>
        <v>117444.1</v>
      </c>
      <c r="H759" s="533">
        <f t="shared" si="299"/>
        <v>234</v>
      </c>
      <c r="I759" s="533">
        <f t="shared" si="299"/>
        <v>249</v>
      </c>
      <c r="J759" s="533">
        <f t="shared" si="299"/>
        <v>18</v>
      </c>
      <c r="K759" s="534">
        <f t="shared" si="296"/>
        <v>0.0110122842015269</v>
      </c>
      <c r="L759" s="535">
        <f t="shared" si="286"/>
        <v>1.47740670117134</v>
      </c>
      <c r="M759" s="535">
        <f t="shared" si="297"/>
        <v>16.2696224745392</v>
      </c>
      <c r="N759" s="535">
        <f t="shared" si="287"/>
        <v>21.6544299316316</v>
      </c>
      <c r="O759" s="535">
        <f t="shared" si="288"/>
        <v>0.00245164805230183</v>
      </c>
      <c r="P759" s="536">
        <f t="shared" si="284"/>
        <v>11.2289026915114</v>
      </c>
      <c r="Q759" s="531">
        <f t="shared" si="285"/>
        <v>483</v>
      </c>
      <c r="R759" s="537">
        <f t="shared" si="289"/>
        <v>0.131571778806865</v>
      </c>
    </row>
    <row r="760" spans="1:18">
      <c r="A760" s="524">
        <v>45602</v>
      </c>
      <c r="B760" s="540" t="s">
        <v>98</v>
      </c>
      <c r="C760" s="551">
        <v>399.77</v>
      </c>
      <c r="D760" s="551">
        <v>27963</v>
      </c>
      <c r="E760" s="551">
        <v>452</v>
      </c>
      <c r="F760" s="551">
        <v>0</v>
      </c>
      <c r="G760" s="551">
        <v>0</v>
      </c>
      <c r="H760" s="551">
        <v>1</v>
      </c>
      <c r="I760" s="551">
        <v>7</v>
      </c>
      <c r="J760" s="551">
        <v>3</v>
      </c>
      <c r="K760" s="527">
        <f t="shared" si="296"/>
        <v>0.0161642170010371</v>
      </c>
      <c r="L760" s="528">
        <f t="shared" si="286"/>
        <v>0.884446902654867</v>
      </c>
      <c r="M760" s="528">
        <f t="shared" si="297"/>
        <v>14.2963916604084</v>
      </c>
      <c r="N760" s="528">
        <f t="shared" si="287"/>
        <v>0</v>
      </c>
      <c r="O760" s="528">
        <f t="shared" si="288"/>
        <v>0</v>
      </c>
      <c r="P760" s="529">
        <f t="shared" si="284"/>
        <v>49.97125</v>
      </c>
      <c r="Q760" s="24">
        <f t="shared" si="285"/>
        <v>8</v>
      </c>
      <c r="R760" s="530">
        <f t="shared" si="289"/>
        <v>0.0176991150442478</v>
      </c>
    </row>
    <row r="761" spans="1:18">
      <c r="A761" s="524"/>
      <c r="B761" s="540" t="s">
        <v>99</v>
      </c>
      <c r="C761" s="551">
        <v>737.82</v>
      </c>
      <c r="D761" s="551">
        <v>19961</v>
      </c>
      <c r="E761" s="551">
        <v>1221</v>
      </c>
      <c r="F761" s="551">
        <v>0</v>
      </c>
      <c r="G761" s="551">
        <v>0</v>
      </c>
      <c r="H761" s="551">
        <v>7</v>
      </c>
      <c r="I761" s="551">
        <v>3</v>
      </c>
      <c r="J761" s="551">
        <v>4</v>
      </c>
      <c r="K761" s="527">
        <f t="shared" si="296"/>
        <v>0.0611692800961876</v>
      </c>
      <c r="L761" s="528">
        <f t="shared" si="286"/>
        <v>0.604275184275184</v>
      </c>
      <c r="M761" s="528">
        <f t="shared" si="297"/>
        <v>36.9630780021041</v>
      </c>
      <c r="N761" s="528">
        <f t="shared" si="287"/>
        <v>0</v>
      </c>
      <c r="O761" s="528">
        <f t="shared" si="288"/>
        <v>0</v>
      </c>
      <c r="P761" s="529">
        <f t="shared" si="284"/>
        <v>73.782</v>
      </c>
      <c r="Q761" s="24">
        <f t="shared" si="285"/>
        <v>10</v>
      </c>
      <c r="R761" s="530">
        <f t="shared" si="289"/>
        <v>0.00819000819000819</v>
      </c>
    </row>
    <row r="762" spans="1:18">
      <c r="A762" s="524"/>
      <c r="B762" s="540" t="s">
        <v>100</v>
      </c>
      <c r="C762" s="551">
        <v>5300.49</v>
      </c>
      <c r="D762" s="551">
        <v>480351</v>
      </c>
      <c r="E762" s="551">
        <v>5687</v>
      </c>
      <c r="F762" s="551">
        <v>2</v>
      </c>
      <c r="G762" s="551">
        <v>17895</v>
      </c>
      <c r="H762" s="551">
        <v>177</v>
      </c>
      <c r="I762" s="551">
        <v>252</v>
      </c>
      <c r="J762" s="551">
        <v>20</v>
      </c>
      <c r="K762" s="527">
        <f t="shared" si="296"/>
        <v>0.0118392592083705</v>
      </c>
      <c r="L762" s="528">
        <f t="shared" si="286"/>
        <v>0.932036222964656</v>
      </c>
      <c r="M762" s="528">
        <f t="shared" si="297"/>
        <v>11.0346184352692</v>
      </c>
      <c r="N762" s="528">
        <f t="shared" si="287"/>
        <v>3.37610296406559</v>
      </c>
      <c r="O762" s="528">
        <f t="shared" si="288"/>
        <v>0.000351679268507122</v>
      </c>
      <c r="P762" s="529">
        <f t="shared" si="284"/>
        <v>12.3554545454545</v>
      </c>
      <c r="Q762" s="24">
        <f t="shared" si="285"/>
        <v>429</v>
      </c>
      <c r="R762" s="530">
        <f t="shared" si="289"/>
        <v>0.0754352030947776</v>
      </c>
    </row>
    <row r="763" spans="1:18">
      <c r="A763" s="524"/>
      <c r="B763" s="540" t="s">
        <v>101</v>
      </c>
      <c r="C763" s="551">
        <v>0</v>
      </c>
      <c r="D763" s="551">
        <v>0</v>
      </c>
      <c r="E763" s="551">
        <v>0</v>
      </c>
      <c r="F763" s="551">
        <v>0</v>
      </c>
      <c r="G763" s="551">
        <v>0</v>
      </c>
      <c r="H763" s="551">
        <v>0</v>
      </c>
      <c r="I763" s="551">
        <v>0</v>
      </c>
      <c r="J763" s="551">
        <v>0</v>
      </c>
      <c r="K763" s="527">
        <f t="shared" si="296"/>
        <v>0</v>
      </c>
      <c r="L763" s="528">
        <f t="shared" si="286"/>
        <v>0</v>
      </c>
      <c r="M763" s="528">
        <f t="shared" si="297"/>
        <v>0</v>
      </c>
      <c r="N763" s="528">
        <f t="shared" si="287"/>
        <v>0</v>
      </c>
      <c r="O763" s="528">
        <f t="shared" si="288"/>
        <v>0</v>
      </c>
      <c r="P763" s="529">
        <f t="shared" si="284"/>
        <v>0</v>
      </c>
      <c r="Q763" s="24">
        <f t="shared" si="285"/>
        <v>0</v>
      </c>
      <c r="R763" s="530">
        <f t="shared" si="289"/>
        <v>0</v>
      </c>
    </row>
    <row r="764" spans="1:18">
      <c r="A764" s="524"/>
      <c r="B764" s="531" t="s">
        <v>96</v>
      </c>
      <c r="C764" s="533">
        <f t="shared" ref="C764:J764" si="300">SUM(C760:C763)</f>
        <v>6438.08</v>
      </c>
      <c r="D764" s="533">
        <f t="shared" si="300"/>
        <v>528275</v>
      </c>
      <c r="E764" s="533">
        <f t="shared" si="300"/>
        <v>7360</v>
      </c>
      <c r="F764" s="533">
        <f t="shared" si="300"/>
        <v>2</v>
      </c>
      <c r="G764" s="533">
        <f t="shared" si="300"/>
        <v>17895</v>
      </c>
      <c r="H764" s="533">
        <f t="shared" si="300"/>
        <v>185</v>
      </c>
      <c r="I764" s="533">
        <f t="shared" si="300"/>
        <v>262</v>
      </c>
      <c r="J764" s="533">
        <f t="shared" si="300"/>
        <v>27</v>
      </c>
      <c r="K764" s="534">
        <f t="shared" si="296"/>
        <v>0.013932137617718</v>
      </c>
      <c r="L764" s="535">
        <f t="shared" si="286"/>
        <v>0.874739130434783</v>
      </c>
      <c r="M764" s="535">
        <f t="shared" si="297"/>
        <v>12.1869859448204</v>
      </c>
      <c r="N764" s="535">
        <f t="shared" si="287"/>
        <v>2.77955539539739</v>
      </c>
      <c r="O764" s="535">
        <f t="shared" si="288"/>
        <v>0.000271739130434783</v>
      </c>
      <c r="P764" s="536">
        <f t="shared" si="284"/>
        <v>14.4028635346756</v>
      </c>
      <c r="Q764" s="531">
        <f t="shared" si="285"/>
        <v>447</v>
      </c>
      <c r="R764" s="537">
        <f t="shared" si="289"/>
        <v>0.0607336956521739</v>
      </c>
    </row>
    <row r="765" spans="1:18">
      <c r="A765" s="524">
        <v>45603</v>
      </c>
      <c r="B765" s="540" t="s">
        <v>98</v>
      </c>
      <c r="C765" s="551">
        <v>394.65</v>
      </c>
      <c r="D765" s="551">
        <v>25482</v>
      </c>
      <c r="E765" s="551">
        <v>414</v>
      </c>
      <c r="F765" s="551">
        <v>0</v>
      </c>
      <c r="G765" s="551">
        <v>0</v>
      </c>
      <c r="H765" s="551">
        <v>4</v>
      </c>
      <c r="I765" s="551">
        <v>12</v>
      </c>
      <c r="J765" s="551">
        <v>4</v>
      </c>
      <c r="K765" s="527">
        <f t="shared" si="296"/>
        <v>0.0162467624205321</v>
      </c>
      <c r="L765" s="528">
        <f t="shared" si="286"/>
        <v>0.953260869565217</v>
      </c>
      <c r="M765" s="528">
        <f t="shared" si="297"/>
        <v>15.487402872616</v>
      </c>
      <c r="N765" s="528">
        <f t="shared" si="287"/>
        <v>0</v>
      </c>
      <c r="O765" s="528">
        <f t="shared" si="288"/>
        <v>0</v>
      </c>
      <c r="P765" s="529">
        <f t="shared" si="284"/>
        <v>24.665625</v>
      </c>
      <c r="Q765" s="24">
        <f t="shared" si="285"/>
        <v>16</v>
      </c>
      <c r="R765" s="530">
        <f t="shared" si="289"/>
        <v>0.0386473429951691</v>
      </c>
    </row>
    <row r="766" spans="1:18">
      <c r="A766" s="524"/>
      <c r="B766" s="540" t="s">
        <v>99</v>
      </c>
      <c r="C766" s="551">
        <v>0</v>
      </c>
      <c r="D766" s="551">
        <v>0</v>
      </c>
      <c r="E766" s="551">
        <v>0</v>
      </c>
      <c r="F766" s="551">
        <v>0</v>
      </c>
      <c r="G766" s="551">
        <v>0</v>
      </c>
      <c r="H766" s="551">
        <v>0</v>
      </c>
      <c r="I766" s="551">
        <v>0</v>
      </c>
      <c r="J766" s="551">
        <v>0</v>
      </c>
      <c r="K766" s="527">
        <f t="shared" si="296"/>
        <v>0</v>
      </c>
      <c r="L766" s="528">
        <f t="shared" si="286"/>
        <v>0</v>
      </c>
      <c r="M766" s="528">
        <f t="shared" si="297"/>
        <v>0</v>
      </c>
      <c r="N766" s="528">
        <f t="shared" si="287"/>
        <v>0</v>
      </c>
      <c r="O766" s="528">
        <f t="shared" si="288"/>
        <v>0</v>
      </c>
      <c r="P766" s="529">
        <f t="shared" si="284"/>
        <v>0</v>
      </c>
      <c r="Q766" s="24">
        <f t="shared" si="285"/>
        <v>0</v>
      </c>
      <c r="R766" s="530">
        <f t="shared" si="289"/>
        <v>0</v>
      </c>
    </row>
    <row r="767" spans="1:18">
      <c r="A767" s="524"/>
      <c r="B767" s="540" t="s">
        <v>100</v>
      </c>
      <c r="C767" s="551">
        <v>6883.27</v>
      </c>
      <c r="D767" s="551">
        <v>864158</v>
      </c>
      <c r="E767" s="551">
        <v>8913</v>
      </c>
      <c r="F767" s="551">
        <v>7</v>
      </c>
      <c r="G767" s="551">
        <v>42390</v>
      </c>
      <c r="H767" s="551">
        <v>233</v>
      </c>
      <c r="I767" s="551">
        <v>400</v>
      </c>
      <c r="J767" s="551">
        <v>28</v>
      </c>
      <c r="K767" s="527">
        <f t="shared" si="296"/>
        <v>0.0103140860814805</v>
      </c>
      <c r="L767" s="528">
        <f t="shared" si="286"/>
        <v>0.772273084258948</v>
      </c>
      <c r="M767" s="528">
        <f t="shared" si="297"/>
        <v>7.96529106945721</v>
      </c>
      <c r="N767" s="528">
        <f t="shared" si="287"/>
        <v>6.15841017423405</v>
      </c>
      <c r="O767" s="528">
        <f t="shared" si="288"/>
        <v>0.000785369684730169</v>
      </c>
      <c r="P767" s="529">
        <f t="shared" si="284"/>
        <v>10.8740442338073</v>
      </c>
      <c r="Q767" s="24">
        <f t="shared" si="285"/>
        <v>633</v>
      </c>
      <c r="R767" s="530">
        <f t="shared" si="289"/>
        <v>0.0710198586334568</v>
      </c>
    </row>
    <row r="768" spans="1:18">
      <c r="A768" s="524"/>
      <c r="B768" s="540" t="s">
        <v>101</v>
      </c>
      <c r="C768" s="551">
        <v>0</v>
      </c>
      <c r="D768" s="551">
        <v>0</v>
      </c>
      <c r="E768" s="551">
        <v>0</v>
      </c>
      <c r="F768" s="551">
        <v>0</v>
      </c>
      <c r="G768" s="551">
        <v>0</v>
      </c>
      <c r="H768" s="551">
        <v>0</v>
      </c>
      <c r="I768" s="551">
        <v>0</v>
      </c>
      <c r="J768" s="551">
        <v>0</v>
      </c>
      <c r="K768" s="527">
        <f t="shared" si="296"/>
        <v>0</v>
      </c>
      <c r="L768" s="528">
        <f t="shared" si="286"/>
        <v>0</v>
      </c>
      <c r="M768" s="528">
        <f t="shared" si="297"/>
        <v>0</v>
      </c>
      <c r="N768" s="528">
        <f t="shared" si="287"/>
        <v>0</v>
      </c>
      <c r="O768" s="528">
        <f t="shared" si="288"/>
        <v>0</v>
      </c>
      <c r="P768" s="529">
        <f t="shared" si="284"/>
        <v>0</v>
      </c>
      <c r="Q768" s="24">
        <f t="shared" si="285"/>
        <v>0</v>
      </c>
      <c r="R768" s="530">
        <f t="shared" si="289"/>
        <v>0</v>
      </c>
    </row>
    <row r="769" spans="1:18">
      <c r="A769" s="524"/>
      <c r="B769" s="531" t="s">
        <v>96</v>
      </c>
      <c r="C769" s="533">
        <f t="shared" ref="C769:J769" si="301">SUM(C765:C768)</f>
        <v>7277.92</v>
      </c>
      <c r="D769" s="533">
        <f t="shared" si="301"/>
        <v>889640</v>
      </c>
      <c r="E769" s="533">
        <f t="shared" si="301"/>
        <v>9327</v>
      </c>
      <c r="F769" s="533">
        <f t="shared" si="301"/>
        <v>7</v>
      </c>
      <c r="G769" s="533">
        <f t="shared" si="301"/>
        <v>42390</v>
      </c>
      <c r="H769" s="533">
        <f t="shared" si="301"/>
        <v>237</v>
      </c>
      <c r="I769" s="533">
        <f t="shared" si="301"/>
        <v>412</v>
      </c>
      <c r="J769" s="533">
        <f t="shared" si="301"/>
        <v>32</v>
      </c>
      <c r="K769" s="534">
        <f t="shared" si="296"/>
        <v>0.0104840160064745</v>
      </c>
      <c r="L769" s="535">
        <f t="shared" si="286"/>
        <v>0.780306636646296</v>
      </c>
      <c r="M769" s="535">
        <f t="shared" si="297"/>
        <v>8.18074726855807</v>
      </c>
      <c r="N769" s="535">
        <f t="shared" si="287"/>
        <v>5.82446633103964</v>
      </c>
      <c r="O769" s="535">
        <f t="shared" si="288"/>
        <v>0.000750509274150316</v>
      </c>
      <c r="P769" s="536">
        <f t="shared" si="284"/>
        <v>11.2140523882897</v>
      </c>
      <c r="Q769" s="531">
        <f t="shared" si="285"/>
        <v>649</v>
      </c>
      <c r="R769" s="537">
        <f t="shared" si="289"/>
        <v>0.0695829312747936</v>
      </c>
    </row>
    <row r="770" spans="1:18">
      <c r="A770" s="524">
        <v>45604</v>
      </c>
      <c r="B770" s="540" t="s">
        <v>98</v>
      </c>
      <c r="C770" s="551">
        <v>396.87</v>
      </c>
      <c r="D770" s="551">
        <v>33413</v>
      </c>
      <c r="E770" s="551">
        <v>517</v>
      </c>
      <c r="F770" s="551">
        <v>0</v>
      </c>
      <c r="G770" s="551">
        <v>0</v>
      </c>
      <c r="H770" s="551">
        <v>0</v>
      </c>
      <c r="I770" s="551">
        <v>11</v>
      </c>
      <c r="J770" s="551">
        <v>4</v>
      </c>
      <c r="K770" s="527">
        <f t="shared" si="296"/>
        <v>0.0154730194834346</v>
      </c>
      <c r="L770" s="528">
        <f t="shared" si="286"/>
        <v>0.767640232108317</v>
      </c>
      <c r="M770" s="528">
        <f t="shared" si="297"/>
        <v>11.8777122676802</v>
      </c>
      <c r="N770" s="528">
        <f t="shared" si="287"/>
        <v>0</v>
      </c>
      <c r="O770" s="528">
        <f t="shared" si="288"/>
        <v>0</v>
      </c>
      <c r="P770" s="529">
        <f t="shared" si="284"/>
        <v>36.0790909090909</v>
      </c>
      <c r="Q770" s="24">
        <f t="shared" si="285"/>
        <v>11</v>
      </c>
      <c r="R770" s="530">
        <f t="shared" si="289"/>
        <v>0.0212765957446809</v>
      </c>
    </row>
    <row r="771" spans="1:18">
      <c r="A771" s="524"/>
      <c r="B771" s="540" t="s">
        <v>99</v>
      </c>
      <c r="C771" s="551">
        <v>771.2</v>
      </c>
      <c r="D771" s="551">
        <v>14565</v>
      </c>
      <c r="E771" s="551">
        <v>951</v>
      </c>
      <c r="F771" s="551">
        <v>2</v>
      </c>
      <c r="G771" s="551">
        <v>15996</v>
      </c>
      <c r="H771" s="551">
        <v>4</v>
      </c>
      <c r="I771" s="551">
        <v>1</v>
      </c>
      <c r="J771" s="551">
        <v>2</v>
      </c>
      <c r="K771" s="527">
        <f t="shared" si="296"/>
        <v>0.0652935118434604</v>
      </c>
      <c r="L771" s="528">
        <f t="shared" si="286"/>
        <v>0.810935856992639</v>
      </c>
      <c r="M771" s="528">
        <f t="shared" si="297"/>
        <v>52.9488499828356</v>
      </c>
      <c r="N771" s="528">
        <f t="shared" si="287"/>
        <v>20.7417012448133</v>
      </c>
      <c r="O771" s="528">
        <f t="shared" si="288"/>
        <v>0.00210304942166141</v>
      </c>
      <c r="P771" s="529">
        <f t="shared" si="284"/>
        <v>154.24</v>
      </c>
      <c r="Q771" s="24">
        <f t="shared" si="285"/>
        <v>5</v>
      </c>
      <c r="R771" s="530">
        <f t="shared" si="289"/>
        <v>0.00525762355415352</v>
      </c>
    </row>
    <row r="772" spans="1:18">
      <c r="A772" s="524"/>
      <c r="B772" s="540" t="s">
        <v>100</v>
      </c>
      <c r="C772" s="551">
        <v>8522.45</v>
      </c>
      <c r="D772" s="551">
        <v>461651</v>
      </c>
      <c r="E772" s="551">
        <v>6203</v>
      </c>
      <c r="F772" s="551">
        <v>4</v>
      </c>
      <c r="G772" s="551">
        <v>50217</v>
      </c>
      <c r="H772" s="551">
        <v>246</v>
      </c>
      <c r="I772" s="551">
        <v>423</v>
      </c>
      <c r="J772" s="551">
        <v>35</v>
      </c>
      <c r="K772" s="527">
        <f t="shared" si="296"/>
        <v>0.0134365570528386</v>
      </c>
      <c r="L772" s="528">
        <f t="shared" si="286"/>
        <v>1.37392390778656</v>
      </c>
      <c r="M772" s="528">
        <f t="shared" si="297"/>
        <v>18.460806973233</v>
      </c>
      <c r="N772" s="528">
        <f t="shared" si="287"/>
        <v>5.8923196968008</v>
      </c>
      <c r="O772" s="528">
        <f t="shared" si="288"/>
        <v>0.000644849266483959</v>
      </c>
      <c r="P772" s="529">
        <f t="shared" si="284"/>
        <v>12.7390881913303</v>
      </c>
      <c r="Q772" s="24">
        <f t="shared" si="285"/>
        <v>669</v>
      </c>
      <c r="R772" s="530">
        <f t="shared" si="289"/>
        <v>0.107851039819442</v>
      </c>
    </row>
    <row r="773" spans="1:18">
      <c r="A773" s="524"/>
      <c r="B773" s="540" t="s">
        <v>101</v>
      </c>
      <c r="C773" s="551">
        <v>0</v>
      </c>
      <c r="D773" s="551">
        <v>0</v>
      </c>
      <c r="E773" s="551">
        <v>0</v>
      </c>
      <c r="F773" s="551">
        <v>0</v>
      </c>
      <c r="G773" s="551">
        <v>0</v>
      </c>
      <c r="H773" s="551">
        <v>0</v>
      </c>
      <c r="I773" s="551">
        <v>0</v>
      </c>
      <c r="J773" s="551">
        <v>0</v>
      </c>
      <c r="K773" s="527">
        <f t="shared" si="296"/>
        <v>0</v>
      </c>
      <c r="L773" s="528">
        <f t="shared" si="286"/>
        <v>0</v>
      </c>
      <c r="M773" s="528">
        <f t="shared" si="297"/>
        <v>0</v>
      </c>
      <c r="N773" s="528">
        <f t="shared" si="287"/>
        <v>0</v>
      </c>
      <c r="O773" s="528">
        <f t="shared" si="288"/>
        <v>0</v>
      </c>
      <c r="P773" s="529">
        <f t="shared" si="284"/>
        <v>0</v>
      </c>
      <c r="Q773" s="24">
        <f t="shared" si="285"/>
        <v>0</v>
      </c>
      <c r="R773" s="530">
        <f t="shared" si="289"/>
        <v>0</v>
      </c>
    </row>
    <row r="774" spans="1:18">
      <c r="A774" s="524"/>
      <c r="B774" s="531" t="s">
        <v>96</v>
      </c>
      <c r="C774" s="533">
        <f t="shared" ref="C774:J774" si="302">SUM(C770:C773)</f>
        <v>9690.52</v>
      </c>
      <c r="D774" s="533">
        <f t="shared" si="302"/>
        <v>509629</v>
      </c>
      <c r="E774" s="533">
        <f t="shared" si="302"/>
        <v>7671</v>
      </c>
      <c r="F774" s="533">
        <f t="shared" si="302"/>
        <v>6</v>
      </c>
      <c r="G774" s="533">
        <f t="shared" si="302"/>
        <v>66213</v>
      </c>
      <c r="H774" s="533">
        <f t="shared" si="302"/>
        <v>250</v>
      </c>
      <c r="I774" s="533">
        <f t="shared" si="302"/>
        <v>435</v>
      </c>
      <c r="J774" s="533">
        <f t="shared" si="302"/>
        <v>41</v>
      </c>
      <c r="K774" s="534">
        <f t="shared" si="296"/>
        <v>0.0150521261545163</v>
      </c>
      <c r="L774" s="535">
        <f t="shared" si="286"/>
        <v>1.26326684917221</v>
      </c>
      <c r="M774" s="535">
        <f t="shared" si="297"/>
        <v>19.0148519805584</v>
      </c>
      <c r="N774" s="535">
        <f t="shared" si="287"/>
        <v>6.83276026467104</v>
      </c>
      <c r="O774" s="535">
        <f t="shared" si="288"/>
        <v>0.000782166601486116</v>
      </c>
      <c r="P774" s="536">
        <f t="shared" si="284"/>
        <v>14.1467445255474</v>
      </c>
      <c r="Q774" s="531">
        <f t="shared" si="285"/>
        <v>685</v>
      </c>
      <c r="R774" s="537">
        <f t="shared" si="289"/>
        <v>0.089297353669665</v>
      </c>
    </row>
    <row r="775" spans="1:18">
      <c r="A775" s="524">
        <v>45605</v>
      </c>
      <c r="B775" s="540" t="s">
        <v>98</v>
      </c>
      <c r="C775" s="551">
        <v>390.35</v>
      </c>
      <c r="D775" s="551">
        <v>22534</v>
      </c>
      <c r="E775" s="551">
        <v>481</v>
      </c>
      <c r="F775" s="551">
        <v>0</v>
      </c>
      <c r="G775" s="551">
        <v>0</v>
      </c>
      <c r="H775" s="551">
        <v>1</v>
      </c>
      <c r="I775" s="551">
        <v>18</v>
      </c>
      <c r="J775" s="551">
        <v>5</v>
      </c>
      <c r="K775" s="527">
        <f t="shared" si="296"/>
        <v>0.0213455223218248</v>
      </c>
      <c r="L775" s="528">
        <f t="shared" si="286"/>
        <v>0.811538461538462</v>
      </c>
      <c r="M775" s="528">
        <f t="shared" si="297"/>
        <v>17.3227123457886</v>
      </c>
      <c r="N775" s="528">
        <f t="shared" si="287"/>
        <v>0</v>
      </c>
      <c r="O775" s="528">
        <f t="shared" si="288"/>
        <v>0</v>
      </c>
      <c r="P775" s="529">
        <f t="shared" si="284"/>
        <v>20.5447368421053</v>
      </c>
      <c r="Q775" s="24">
        <f t="shared" si="285"/>
        <v>19</v>
      </c>
      <c r="R775" s="530">
        <f t="shared" si="289"/>
        <v>0.0395010395010395</v>
      </c>
    </row>
    <row r="776" spans="1:18">
      <c r="A776" s="524"/>
      <c r="B776" s="540" t="s">
        <v>99</v>
      </c>
      <c r="C776" s="551">
        <v>0</v>
      </c>
      <c r="D776" s="551">
        <v>0</v>
      </c>
      <c r="E776" s="551">
        <v>0</v>
      </c>
      <c r="F776" s="551">
        <v>0</v>
      </c>
      <c r="G776" s="551">
        <v>0</v>
      </c>
      <c r="H776" s="551">
        <v>0</v>
      </c>
      <c r="I776" s="551">
        <v>0</v>
      </c>
      <c r="J776" s="551">
        <v>0</v>
      </c>
      <c r="K776" s="527">
        <f t="shared" si="296"/>
        <v>0</v>
      </c>
      <c r="L776" s="528">
        <f t="shared" si="286"/>
        <v>0</v>
      </c>
      <c r="M776" s="528">
        <f t="shared" si="297"/>
        <v>0</v>
      </c>
      <c r="N776" s="528">
        <f t="shared" si="287"/>
        <v>0</v>
      </c>
      <c r="O776" s="528">
        <f t="shared" si="288"/>
        <v>0</v>
      </c>
      <c r="P776" s="529">
        <f t="shared" si="284"/>
        <v>0</v>
      </c>
      <c r="Q776" s="24">
        <f t="shared" si="285"/>
        <v>0</v>
      </c>
      <c r="R776" s="530">
        <f t="shared" si="289"/>
        <v>0</v>
      </c>
    </row>
    <row r="777" spans="1:18">
      <c r="A777" s="524"/>
      <c r="B777" s="540" t="s">
        <v>100</v>
      </c>
      <c r="C777" s="551">
        <v>8513.37</v>
      </c>
      <c r="D777" s="551">
        <v>616219</v>
      </c>
      <c r="E777" s="551">
        <v>6803</v>
      </c>
      <c r="F777" s="551">
        <v>11</v>
      </c>
      <c r="G777" s="551">
        <v>123773</v>
      </c>
      <c r="H777" s="551">
        <v>312</v>
      </c>
      <c r="I777" s="551">
        <v>463</v>
      </c>
      <c r="J777" s="551">
        <v>25</v>
      </c>
      <c r="K777" s="527">
        <f t="shared" si="296"/>
        <v>0.0110399062670901</v>
      </c>
      <c r="L777" s="528">
        <f t="shared" si="286"/>
        <v>1.25141408202264</v>
      </c>
      <c r="M777" s="528">
        <f t="shared" si="297"/>
        <v>13.8154941668465</v>
      </c>
      <c r="N777" s="528">
        <f t="shared" si="287"/>
        <v>14.5386609533005</v>
      </c>
      <c r="O777" s="528">
        <f t="shared" si="288"/>
        <v>0.00161693370571807</v>
      </c>
      <c r="P777" s="529">
        <f t="shared" si="284"/>
        <v>10.9849935483871</v>
      </c>
      <c r="Q777" s="24">
        <f t="shared" si="285"/>
        <v>775</v>
      </c>
      <c r="R777" s="530">
        <f t="shared" si="289"/>
        <v>0.1139203292665</v>
      </c>
    </row>
    <row r="778" spans="1:18">
      <c r="A778" s="524"/>
      <c r="B778" s="540" t="s">
        <v>101</v>
      </c>
      <c r="C778" s="551">
        <v>0</v>
      </c>
      <c r="D778" s="551">
        <v>0</v>
      </c>
      <c r="E778" s="551">
        <v>0</v>
      </c>
      <c r="F778" s="551">
        <v>0</v>
      </c>
      <c r="G778" s="551">
        <v>0</v>
      </c>
      <c r="H778" s="551">
        <v>0</v>
      </c>
      <c r="I778" s="551">
        <v>0</v>
      </c>
      <c r="J778" s="551">
        <v>0</v>
      </c>
      <c r="K778" s="527">
        <f t="shared" si="296"/>
        <v>0</v>
      </c>
      <c r="L778" s="528">
        <f t="shared" si="286"/>
        <v>0</v>
      </c>
      <c r="M778" s="528">
        <f t="shared" si="297"/>
        <v>0</v>
      </c>
      <c r="N778" s="528">
        <f t="shared" si="287"/>
        <v>0</v>
      </c>
      <c r="O778" s="528">
        <f t="shared" si="288"/>
        <v>0</v>
      </c>
      <c r="P778" s="529">
        <f t="shared" si="284"/>
        <v>0</v>
      </c>
      <c r="Q778" s="24">
        <f t="shared" si="285"/>
        <v>0</v>
      </c>
      <c r="R778" s="530">
        <f t="shared" si="289"/>
        <v>0</v>
      </c>
    </row>
    <row r="779" spans="1:18">
      <c r="A779" s="524"/>
      <c r="B779" s="531" t="s">
        <v>96</v>
      </c>
      <c r="C779" s="533">
        <f t="shared" ref="C779:J779" si="303">SUM(C775:C778)</f>
        <v>8903.72</v>
      </c>
      <c r="D779" s="533">
        <f t="shared" si="303"/>
        <v>638753</v>
      </c>
      <c r="E779" s="533">
        <f t="shared" si="303"/>
        <v>7284</v>
      </c>
      <c r="F779" s="533">
        <f t="shared" si="303"/>
        <v>11</v>
      </c>
      <c r="G779" s="533">
        <f t="shared" si="303"/>
        <v>123773</v>
      </c>
      <c r="H779" s="533">
        <f t="shared" si="303"/>
        <v>313</v>
      </c>
      <c r="I779" s="533">
        <f t="shared" si="303"/>
        <v>481</v>
      </c>
      <c r="J779" s="533">
        <f t="shared" si="303"/>
        <v>30</v>
      </c>
      <c r="K779" s="534">
        <f t="shared" si="296"/>
        <v>0.0114034689465255</v>
      </c>
      <c r="L779" s="535">
        <f t="shared" si="286"/>
        <v>1.22236683141131</v>
      </c>
      <c r="M779" s="535">
        <f t="shared" si="297"/>
        <v>13.9392222032617</v>
      </c>
      <c r="N779" s="535">
        <f t="shared" si="287"/>
        <v>13.9012682339516</v>
      </c>
      <c r="O779" s="535">
        <f t="shared" si="288"/>
        <v>0.00151015925315761</v>
      </c>
      <c r="P779" s="536">
        <f t="shared" si="284"/>
        <v>11.2137531486146</v>
      </c>
      <c r="Q779" s="531">
        <f t="shared" si="285"/>
        <v>794</v>
      </c>
      <c r="R779" s="537">
        <f t="shared" si="289"/>
        <v>0.109006040637013</v>
      </c>
    </row>
    <row r="780" spans="1:18">
      <c r="A780" s="524">
        <v>45606</v>
      </c>
      <c r="B780" s="540" t="s">
        <v>98</v>
      </c>
      <c r="C780" s="551">
        <v>397.36</v>
      </c>
      <c r="D780" s="551">
        <v>20473</v>
      </c>
      <c r="E780" s="551">
        <v>431</v>
      </c>
      <c r="F780" s="551">
        <v>0</v>
      </c>
      <c r="G780" s="551">
        <v>0</v>
      </c>
      <c r="H780" s="551">
        <v>2</v>
      </c>
      <c r="I780" s="551">
        <v>14</v>
      </c>
      <c r="J780" s="551">
        <v>4</v>
      </c>
      <c r="K780" s="527">
        <f t="shared" si="296"/>
        <v>0.0210521174229473</v>
      </c>
      <c r="L780" s="528">
        <f t="shared" si="286"/>
        <v>0.921948955916473</v>
      </c>
      <c r="M780" s="528">
        <f t="shared" si="297"/>
        <v>19.4089776779173</v>
      </c>
      <c r="N780" s="528">
        <f t="shared" si="287"/>
        <v>0</v>
      </c>
      <c r="O780" s="528">
        <f t="shared" si="288"/>
        <v>0</v>
      </c>
      <c r="P780" s="529">
        <f t="shared" si="284"/>
        <v>24.835</v>
      </c>
      <c r="Q780" s="24">
        <f t="shared" si="285"/>
        <v>16</v>
      </c>
      <c r="R780" s="530">
        <f t="shared" si="289"/>
        <v>0.037122969837587</v>
      </c>
    </row>
    <row r="781" spans="1:18">
      <c r="A781" s="524"/>
      <c r="B781" s="540" t="s">
        <v>99</v>
      </c>
      <c r="C781" s="551">
        <v>800</v>
      </c>
      <c r="D781" s="551">
        <v>28165</v>
      </c>
      <c r="E781" s="551">
        <v>1171</v>
      </c>
      <c r="F781" s="551">
        <v>4</v>
      </c>
      <c r="G781" s="551">
        <v>42588</v>
      </c>
      <c r="H781" s="551">
        <v>7</v>
      </c>
      <c r="I781" s="551">
        <v>2</v>
      </c>
      <c r="J781" s="551">
        <v>4</v>
      </c>
      <c r="K781" s="527">
        <f t="shared" si="296"/>
        <v>0.0415764246405113</v>
      </c>
      <c r="L781" s="528">
        <f t="shared" si="286"/>
        <v>0.683176771989752</v>
      </c>
      <c r="M781" s="528">
        <f t="shared" si="297"/>
        <v>28.4040475767797</v>
      </c>
      <c r="N781" s="528">
        <f t="shared" si="287"/>
        <v>53.235</v>
      </c>
      <c r="O781" s="528">
        <f t="shared" si="288"/>
        <v>0.00341588385994876</v>
      </c>
      <c r="P781" s="529">
        <f t="shared" si="284"/>
        <v>88.8888888888889</v>
      </c>
      <c r="Q781" s="24">
        <f t="shared" si="285"/>
        <v>9</v>
      </c>
      <c r="R781" s="530">
        <f t="shared" si="289"/>
        <v>0.00768573868488471</v>
      </c>
    </row>
    <row r="782" spans="1:18">
      <c r="A782" s="524"/>
      <c r="B782" s="540" t="s">
        <v>100</v>
      </c>
      <c r="C782" s="551">
        <v>8560.1</v>
      </c>
      <c r="D782" s="551">
        <v>425826</v>
      </c>
      <c r="E782" s="551">
        <v>5728</v>
      </c>
      <c r="F782" s="551">
        <v>10</v>
      </c>
      <c r="G782" s="551">
        <v>121347</v>
      </c>
      <c r="H782" s="551">
        <v>217</v>
      </c>
      <c r="I782" s="551">
        <v>413</v>
      </c>
      <c r="J782" s="551">
        <v>26</v>
      </c>
      <c r="K782" s="527">
        <f t="shared" si="296"/>
        <v>0.0134515036658166</v>
      </c>
      <c r="L782" s="528">
        <f t="shared" si="286"/>
        <v>1.49443086592179</v>
      </c>
      <c r="M782" s="528">
        <f t="shared" si="297"/>
        <v>20.1023422712563</v>
      </c>
      <c r="N782" s="528">
        <f t="shared" si="287"/>
        <v>14.1758857957267</v>
      </c>
      <c r="O782" s="528">
        <f t="shared" si="288"/>
        <v>0.00174581005586592</v>
      </c>
      <c r="P782" s="529">
        <f t="shared" si="284"/>
        <v>13.5874603174603</v>
      </c>
      <c r="Q782" s="24">
        <f t="shared" si="285"/>
        <v>630</v>
      </c>
      <c r="R782" s="530">
        <f t="shared" si="289"/>
        <v>0.109986033519553</v>
      </c>
    </row>
    <row r="783" spans="1:18">
      <c r="A783" s="524"/>
      <c r="B783" s="540" t="s">
        <v>101</v>
      </c>
      <c r="C783" s="551">
        <v>0</v>
      </c>
      <c r="D783" s="551">
        <v>0</v>
      </c>
      <c r="E783" s="551">
        <v>0</v>
      </c>
      <c r="F783" s="551">
        <v>0</v>
      </c>
      <c r="G783" s="551">
        <v>0</v>
      </c>
      <c r="H783" s="551">
        <v>0</v>
      </c>
      <c r="I783" s="551">
        <v>0</v>
      </c>
      <c r="J783" s="551">
        <v>0</v>
      </c>
      <c r="K783" s="527">
        <f t="shared" si="296"/>
        <v>0</v>
      </c>
      <c r="L783" s="528">
        <f t="shared" si="286"/>
        <v>0</v>
      </c>
      <c r="M783" s="528">
        <f t="shared" si="297"/>
        <v>0</v>
      </c>
      <c r="N783" s="528">
        <f t="shared" si="287"/>
        <v>0</v>
      </c>
      <c r="O783" s="528">
        <f t="shared" si="288"/>
        <v>0</v>
      </c>
      <c r="P783" s="529">
        <f t="shared" si="284"/>
        <v>0</v>
      </c>
      <c r="Q783" s="24">
        <f t="shared" si="285"/>
        <v>0</v>
      </c>
      <c r="R783" s="530">
        <f t="shared" si="289"/>
        <v>0</v>
      </c>
    </row>
    <row r="784" spans="1:18">
      <c r="A784" s="524"/>
      <c r="B784" s="531" t="s">
        <v>96</v>
      </c>
      <c r="C784" s="533">
        <f t="shared" ref="C784:J784" si="304">SUM(C780:C783)</f>
        <v>9757.46</v>
      </c>
      <c r="D784" s="533">
        <f t="shared" si="304"/>
        <v>474464</v>
      </c>
      <c r="E784" s="533">
        <f t="shared" si="304"/>
        <v>7330</v>
      </c>
      <c r="F784" s="533">
        <f t="shared" si="304"/>
        <v>14</v>
      </c>
      <c r="G784" s="533">
        <f t="shared" si="304"/>
        <v>163935</v>
      </c>
      <c r="H784" s="533">
        <f t="shared" si="304"/>
        <v>226</v>
      </c>
      <c r="I784" s="533">
        <f t="shared" si="304"/>
        <v>429</v>
      </c>
      <c r="J784" s="533">
        <f t="shared" si="304"/>
        <v>34</v>
      </c>
      <c r="K784" s="534">
        <f t="shared" si="296"/>
        <v>0.0154490119376813</v>
      </c>
      <c r="L784" s="535">
        <f t="shared" si="286"/>
        <v>1.33116780354707</v>
      </c>
      <c r="M784" s="535">
        <f t="shared" si="297"/>
        <v>20.5652272880556</v>
      </c>
      <c r="N784" s="535">
        <f t="shared" si="287"/>
        <v>16.8009912415731</v>
      </c>
      <c r="O784" s="535">
        <f t="shared" si="288"/>
        <v>0.00190995907230559</v>
      </c>
      <c r="P784" s="536">
        <f t="shared" si="284"/>
        <v>14.8968854961832</v>
      </c>
      <c r="Q784" s="531">
        <f t="shared" si="285"/>
        <v>655</v>
      </c>
      <c r="R784" s="537">
        <f t="shared" si="289"/>
        <v>0.0893587994542974</v>
      </c>
    </row>
    <row r="785" spans="1:18">
      <c r="A785" s="524">
        <v>45607</v>
      </c>
      <c r="B785" s="540" t="s">
        <v>98</v>
      </c>
      <c r="C785" s="551">
        <v>396.36</v>
      </c>
      <c r="D785" s="551">
        <v>21489</v>
      </c>
      <c r="E785" s="551">
        <v>352</v>
      </c>
      <c r="F785" s="551">
        <v>0</v>
      </c>
      <c r="G785" s="551">
        <v>0</v>
      </c>
      <c r="H785" s="551">
        <v>0</v>
      </c>
      <c r="I785" s="551">
        <v>0</v>
      </c>
      <c r="J785" s="551">
        <v>5</v>
      </c>
      <c r="K785" s="527">
        <f t="shared" si="296"/>
        <v>0.016380473730746</v>
      </c>
      <c r="L785" s="528">
        <f t="shared" si="286"/>
        <v>1.12602272727273</v>
      </c>
      <c r="M785" s="528">
        <f t="shared" si="297"/>
        <v>18.4447857043138</v>
      </c>
      <c r="N785" s="528">
        <f t="shared" si="287"/>
        <v>0</v>
      </c>
      <c r="O785" s="528">
        <f t="shared" si="288"/>
        <v>0</v>
      </c>
      <c r="P785" s="529">
        <f t="shared" si="284"/>
        <v>0</v>
      </c>
      <c r="Q785" s="24">
        <f t="shared" si="285"/>
        <v>0</v>
      </c>
      <c r="R785" s="530">
        <f t="shared" si="289"/>
        <v>0</v>
      </c>
    </row>
    <row r="786" spans="1:18">
      <c r="A786" s="524"/>
      <c r="B786" s="540" t="s">
        <v>99</v>
      </c>
      <c r="C786" s="551">
        <v>1863.67</v>
      </c>
      <c r="D786" s="551">
        <v>34559</v>
      </c>
      <c r="E786" s="551">
        <v>1781</v>
      </c>
      <c r="F786" s="551">
        <v>6</v>
      </c>
      <c r="G786" s="551">
        <v>69907</v>
      </c>
      <c r="H786" s="551">
        <v>22</v>
      </c>
      <c r="I786" s="551">
        <v>3</v>
      </c>
      <c r="J786" s="551">
        <v>9</v>
      </c>
      <c r="K786" s="527">
        <f t="shared" si="296"/>
        <v>0.0515350559912034</v>
      </c>
      <c r="L786" s="528">
        <f t="shared" ref="L786:L849" si="305">IF(C786=0,0,C786/E786)</f>
        <v>1.0464177428411</v>
      </c>
      <c r="M786" s="528">
        <f t="shared" si="297"/>
        <v>53.9271969675048</v>
      </c>
      <c r="N786" s="528">
        <f t="shared" ref="N786:N849" si="306">IF(G786=0,0,G786/C786)</f>
        <v>37.5103961538255</v>
      </c>
      <c r="O786" s="528">
        <f t="shared" ref="O786:O849" si="307">IF(F786=0,0,F786/E786)</f>
        <v>0.00336889387984278</v>
      </c>
      <c r="P786" s="529">
        <f t="shared" ref="P786:P849" si="308">IF(H786+I786=0,0,C786/(H786+I786))</f>
        <v>74.5468</v>
      </c>
      <c r="Q786" s="24">
        <f t="shared" ref="Q786:Q849" si="309">H786+I786</f>
        <v>25</v>
      </c>
      <c r="R786" s="530">
        <f t="shared" ref="R786:R849" si="310">IF(Q786=0,0,Q786/E786)</f>
        <v>0.0140370578326783</v>
      </c>
    </row>
    <row r="787" spans="1:18">
      <c r="A787" s="524"/>
      <c r="B787" s="540" t="s">
        <v>100</v>
      </c>
      <c r="C787" s="551">
        <v>10114.32</v>
      </c>
      <c r="D787" s="551">
        <v>564113</v>
      </c>
      <c r="E787" s="551">
        <v>6252</v>
      </c>
      <c r="F787" s="551">
        <v>13</v>
      </c>
      <c r="G787" s="551">
        <v>135989</v>
      </c>
      <c r="H787" s="551">
        <v>242</v>
      </c>
      <c r="I787" s="551">
        <v>397</v>
      </c>
      <c r="J787" s="551">
        <v>23</v>
      </c>
      <c r="K787" s="527">
        <f t="shared" si="296"/>
        <v>0.0110828858757022</v>
      </c>
      <c r="L787" s="528">
        <f t="shared" si="305"/>
        <v>1.61777351247601</v>
      </c>
      <c r="M787" s="528">
        <f t="shared" si="297"/>
        <v>17.9295992115055</v>
      </c>
      <c r="N787" s="528">
        <f t="shared" si="306"/>
        <v>13.4451945360637</v>
      </c>
      <c r="O787" s="528">
        <f t="shared" si="307"/>
        <v>0.00207933461292386</v>
      </c>
      <c r="P787" s="529">
        <f t="shared" si="308"/>
        <v>15.8283568075117</v>
      </c>
      <c r="Q787" s="24">
        <f t="shared" si="309"/>
        <v>639</v>
      </c>
      <c r="R787" s="530">
        <f t="shared" si="310"/>
        <v>0.102207293666027</v>
      </c>
    </row>
    <row r="788" spans="1:18">
      <c r="A788" s="524"/>
      <c r="B788" s="540" t="s">
        <v>101</v>
      </c>
      <c r="C788" s="551">
        <v>0</v>
      </c>
      <c r="D788" s="551">
        <v>0</v>
      </c>
      <c r="E788" s="551">
        <v>0</v>
      </c>
      <c r="F788" s="551">
        <v>0</v>
      </c>
      <c r="G788" s="551">
        <v>0</v>
      </c>
      <c r="H788" s="551">
        <v>0</v>
      </c>
      <c r="I788" s="551">
        <v>0</v>
      </c>
      <c r="J788" s="551">
        <v>0</v>
      </c>
      <c r="K788" s="527">
        <f t="shared" si="296"/>
        <v>0</v>
      </c>
      <c r="L788" s="528">
        <f t="shared" si="305"/>
        <v>0</v>
      </c>
      <c r="M788" s="528">
        <f t="shared" si="297"/>
        <v>0</v>
      </c>
      <c r="N788" s="528">
        <f t="shared" si="306"/>
        <v>0</v>
      </c>
      <c r="O788" s="528">
        <f t="shared" si="307"/>
        <v>0</v>
      </c>
      <c r="P788" s="529">
        <f t="shared" si="308"/>
        <v>0</v>
      </c>
      <c r="Q788" s="24">
        <f t="shared" si="309"/>
        <v>0</v>
      </c>
      <c r="R788" s="530">
        <f t="shared" si="310"/>
        <v>0</v>
      </c>
    </row>
    <row r="789" spans="1:18">
      <c r="A789" s="524"/>
      <c r="B789" s="531" t="s">
        <v>96</v>
      </c>
      <c r="C789" s="533">
        <f t="shared" ref="C789:J789" si="311">SUM(C785:C788)</f>
        <v>12374.35</v>
      </c>
      <c r="D789" s="533">
        <f t="shared" si="311"/>
        <v>620161</v>
      </c>
      <c r="E789" s="533">
        <f t="shared" si="311"/>
        <v>8385</v>
      </c>
      <c r="F789" s="533">
        <f t="shared" si="311"/>
        <v>19</v>
      </c>
      <c r="G789" s="533">
        <f t="shared" si="311"/>
        <v>205896</v>
      </c>
      <c r="H789" s="533">
        <f t="shared" si="311"/>
        <v>264</v>
      </c>
      <c r="I789" s="533">
        <f t="shared" si="311"/>
        <v>400</v>
      </c>
      <c r="J789" s="533">
        <f t="shared" si="311"/>
        <v>37</v>
      </c>
      <c r="K789" s="534">
        <f t="shared" si="296"/>
        <v>0.0135206825324392</v>
      </c>
      <c r="L789" s="535">
        <f t="shared" si="305"/>
        <v>1.47577221228384</v>
      </c>
      <c r="M789" s="535">
        <f t="shared" si="297"/>
        <v>19.9534475724852</v>
      </c>
      <c r="N789" s="535">
        <f t="shared" si="306"/>
        <v>16.6389345703007</v>
      </c>
      <c r="O789" s="535">
        <f t="shared" si="307"/>
        <v>0.00226595110316041</v>
      </c>
      <c r="P789" s="536">
        <f t="shared" si="308"/>
        <v>18.6360692771084</v>
      </c>
      <c r="Q789" s="531">
        <f t="shared" si="309"/>
        <v>664</v>
      </c>
      <c r="R789" s="537">
        <f t="shared" si="310"/>
        <v>0.0791890280262373</v>
      </c>
    </row>
    <row r="790" spans="1:18">
      <c r="A790" s="524">
        <v>45608</v>
      </c>
      <c r="B790" s="540" t="s">
        <v>98</v>
      </c>
      <c r="C790" s="551">
        <v>200</v>
      </c>
      <c r="D790" s="551">
        <v>14518</v>
      </c>
      <c r="E790" s="551">
        <v>238</v>
      </c>
      <c r="F790" s="551">
        <v>0</v>
      </c>
      <c r="G790" s="551">
        <v>0</v>
      </c>
      <c r="H790" s="551">
        <v>2</v>
      </c>
      <c r="I790" s="551">
        <v>4</v>
      </c>
      <c r="J790" s="551">
        <v>1</v>
      </c>
      <c r="K790" s="527">
        <f t="shared" si="296"/>
        <v>0.0163934426229508</v>
      </c>
      <c r="L790" s="528">
        <f t="shared" si="305"/>
        <v>0.840336134453782</v>
      </c>
      <c r="M790" s="528">
        <f t="shared" si="297"/>
        <v>13.7760022041604</v>
      </c>
      <c r="N790" s="528">
        <f t="shared" si="306"/>
        <v>0</v>
      </c>
      <c r="O790" s="528">
        <f t="shared" si="307"/>
        <v>0</v>
      </c>
      <c r="P790" s="529">
        <f t="shared" si="308"/>
        <v>33.3333333333333</v>
      </c>
      <c r="Q790" s="24">
        <f t="shared" si="309"/>
        <v>6</v>
      </c>
      <c r="R790" s="530">
        <f t="shared" si="310"/>
        <v>0.0252100840336134</v>
      </c>
    </row>
    <row r="791" spans="1:18">
      <c r="A791" s="524"/>
      <c r="B791" s="540" t="s">
        <v>99</v>
      </c>
      <c r="C791" s="551">
        <v>0</v>
      </c>
      <c r="D791" s="551">
        <v>1</v>
      </c>
      <c r="E791" s="551">
        <v>0</v>
      </c>
      <c r="F791" s="551">
        <v>0</v>
      </c>
      <c r="G791" s="551">
        <v>0</v>
      </c>
      <c r="H791" s="551">
        <v>0</v>
      </c>
      <c r="I791" s="551">
        <v>0</v>
      </c>
      <c r="J791" s="551">
        <v>0</v>
      </c>
      <c r="K791" s="527">
        <f t="shared" si="296"/>
        <v>0</v>
      </c>
      <c r="L791" s="528">
        <f t="shared" si="305"/>
        <v>0</v>
      </c>
      <c r="M791" s="528">
        <f t="shared" si="297"/>
        <v>0</v>
      </c>
      <c r="N791" s="528">
        <f t="shared" si="306"/>
        <v>0</v>
      </c>
      <c r="O791" s="528">
        <f t="shared" si="307"/>
        <v>0</v>
      </c>
      <c r="P791" s="529">
        <f t="shared" si="308"/>
        <v>0</v>
      </c>
      <c r="Q791" s="24">
        <f t="shared" si="309"/>
        <v>0</v>
      </c>
      <c r="R791" s="530">
        <f t="shared" si="310"/>
        <v>0</v>
      </c>
    </row>
    <row r="792" spans="1:18">
      <c r="A792" s="524"/>
      <c r="B792" s="540" t="s">
        <v>100</v>
      </c>
      <c r="C792" s="551">
        <v>2676.27</v>
      </c>
      <c r="D792" s="551">
        <v>258140</v>
      </c>
      <c r="E792" s="551">
        <v>2034</v>
      </c>
      <c r="F792" s="551">
        <v>1</v>
      </c>
      <c r="G792" s="551">
        <v>9198</v>
      </c>
      <c r="H792" s="551">
        <v>77</v>
      </c>
      <c r="I792" s="551">
        <v>127</v>
      </c>
      <c r="J792" s="551">
        <v>13</v>
      </c>
      <c r="K792" s="527">
        <f t="shared" si="296"/>
        <v>0.00787944526226079</v>
      </c>
      <c r="L792" s="528">
        <f t="shared" si="305"/>
        <v>1.31576696165192</v>
      </c>
      <c r="M792" s="528">
        <f t="shared" si="297"/>
        <v>10.3675137522275</v>
      </c>
      <c r="N792" s="528">
        <f t="shared" si="306"/>
        <v>3.4368729612483</v>
      </c>
      <c r="O792" s="528">
        <f t="shared" si="307"/>
        <v>0.000491642084562439</v>
      </c>
      <c r="P792" s="529">
        <f t="shared" si="308"/>
        <v>13.1189705882353</v>
      </c>
      <c r="Q792" s="24">
        <f t="shared" si="309"/>
        <v>204</v>
      </c>
      <c r="R792" s="530">
        <f t="shared" si="310"/>
        <v>0.100294985250737</v>
      </c>
    </row>
    <row r="793" spans="1:18">
      <c r="A793" s="524"/>
      <c r="B793" s="540" t="s">
        <v>101</v>
      </c>
      <c r="C793" s="551">
        <v>0</v>
      </c>
      <c r="D793" s="551">
        <v>0</v>
      </c>
      <c r="E793" s="551">
        <v>0</v>
      </c>
      <c r="F793" s="551">
        <v>0</v>
      </c>
      <c r="G793" s="551">
        <v>0</v>
      </c>
      <c r="H793" s="551">
        <v>0</v>
      </c>
      <c r="I793" s="551">
        <v>0</v>
      </c>
      <c r="J793" s="551">
        <v>0</v>
      </c>
      <c r="K793" s="527">
        <f t="shared" si="296"/>
        <v>0</v>
      </c>
      <c r="L793" s="528">
        <f t="shared" si="305"/>
        <v>0</v>
      </c>
      <c r="M793" s="528">
        <f t="shared" si="297"/>
        <v>0</v>
      </c>
      <c r="N793" s="528">
        <f t="shared" si="306"/>
        <v>0</v>
      </c>
      <c r="O793" s="528">
        <f t="shared" si="307"/>
        <v>0</v>
      </c>
      <c r="P793" s="529">
        <f t="shared" si="308"/>
        <v>0</v>
      </c>
      <c r="Q793" s="24">
        <f t="shared" si="309"/>
        <v>0</v>
      </c>
      <c r="R793" s="530">
        <f t="shared" si="310"/>
        <v>0</v>
      </c>
    </row>
    <row r="794" spans="1:18">
      <c r="A794" s="524"/>
      <c r="B794" s="531" t="s">
        <v>96</v>
      </c>
      <c r="C794" s="533">
        <f t="shared" ref="C794:J794" si="312">SUM(C790:C793)</f>
        <v>2876.27</v>
      </c>
      <c r="D794" s="533">
        <f t="shared" si="312"/>
        <v>272659</v>
      </c>
      <c r="E794" s="533">
        <f t="shared" si="312"/>
        <v>2272</v>
      </c>
      <c r="F794" s="533">
        <f t="shared" si="312"/>
        <v>1</v>
      </c>
      <c r="G794" s="533">
        <f t="shared" si="312"/>
        <v>9198</v>
      </c>
      <c r="H794" s="533">
        <f t="shared" si="312"/>
        <v>79</v>
      </c>
      <c r="I794" s="533">
        <f t="shared" si="312"/>
        <v>131</v>
      </c>
      <c r="J794" s="533">
        <f t="shared" si="312"/>
        <v>14</v>
      </c>
      <c r="K794" s="534">
        <f t="shared" si="296"/>
        <v>0.00833275263240898</v>
      </c>
      <c r="L794" s="535">
        <f t="shared" si="305"/>
        <v>1.2659639084507</v>
      </c>
      <c r="M794" s="535">
        <f t="shared" si="297"/>
        <v>10.5489640906774</v>
      </c>
      <c r="N794" s="535">
        <f t="shared" si="306"/>
        <v>3.19789171392115</v>
      </c>
      <c r="O794" s="535">
        <f t="shared" si="307"/>
        <v>0.000440140845070423</v>
      </c>
      <c r="P794" s="536">
        <f t="shared" si="308"/>
        <v>13.6965238095238</v>
      </c>
      <c r="Q794" s="531">
        <f t="shared" si="309"/>
        <v>210</v>
      </c>
      <c r="R794" s="537">
        <f t="shared" si="310"/>
        <v>0.0924295774647887</v>
      </c>
    </row>
    <row r="795" spans="1:18">
      <c r="A795" s="524">
        <v>45609</v>
      </c>
      <c r="B795" s="540" t="s">
        <v>98</v>
      </c>
      <c r="C795" s="551">
        <v>200</v>
      </c>
      <c r="D795" s="551">
        <v>11909</v>
      </c>
      <c r="E795" s="551">
        <v>233</v>
      </c>
      <c r="F795" s="551">
        <v>0</v>
      </c>
      <c r="G795" s="551">
        <v>0</v>
      </c>
      <c r="H795" s="551">
        <v>0</v>
      </c>
      <c r="I795" s="551">
        <v>5</v>
      </c>
      <c r="J795" s="551">
        <v>0</v>
      </c>
      <c r="K795" s="527">
        <f t="shared" si="296"/>
        <v>0.0195650348475943</v>
      </c>
      <c r="L795" s="528">
        <f t="shared" si="305"/>
        <v>0.858369098712446</v>
      </c>
      <c r="M795" s="528">
        <f t="shared" si="297"/>
        <v>16.7940213284071</v>
      </c>
      <c r="N795" s="528">
        <f t="shared" si="306"/>
        <v>0</v>
      </c>
      <c r="O795" s="528">
        <f t="shared" si="307"/>
        <v>0</v>
      </c>
      <c r="P795" s="529">
        <f t="shared" si="308"/>
        <v>40</v>
      </c>
      <c r="Q795" s="24">
        <f t="shared" si="309"/>
        <v>5</v>
      </c>
      <c r="R795" s="530">
        <f t="shared" si="310"/>
        <v>0.0214592274678112</v>
      </c>
    </row>
    <row r="796" spans="1:18">
      <c r="A796" s="524"/>
      <c r="B796" s="540" t="s">
        <v>99</v>
      </c>
      <c r="C796" s="551">
        <v>0</v>
      </c>
      <c r="D796" s="551">
        <v>0</v>
      </c>
      <c r="E796" s="551">
        <v>0</v>
      </c>
      <c r="F796" s="551">
        <v>0</v>
      </c>
      <c r="G796" s="551">
        <v>0</v>
      </c>
      <c r="H796" s="551">
        <v>0</v>
      </c>
      <c r="I796" s="551">
        <v>0</v>
      </c>
      <c r="J796" s="551">
        <v>0</v>
      </c>
      <c r="K796" s="527">
        <f t="shared" si="296"/>
        <v>0</v>
      </c>
      <c r="L796" s="528">
        <f t="shared" si="305"/>
        <v>0</v>
      </c>
      <c r="M796" s="528">
        <f t="shared" si="297"/>
        <v>0</v>
      </c>
      <c r="N796" s="528">
        <f t="shared" si="306"/>
        <v>0</v>
      </c>
      <c r="O796" s="528">
        <f t="shared" si="307"/>
        <v>0</v>
      </c>
      <c r="P796" s="529">
        <f t="shared" si="308"/>
        <v>0</v>
      </c>
      <c r="Q796" s="24">
        <f t="shared" si="309"/>
        <v>0</v>
      </c>
      <c r="R796" s="530">
        <f t="shared" si="310"/>
        <v>0</v>
      </c>
    </row>
    <row r="797" spans="1:18">
      <c r="A797" s="524"/>
      <c r="B797" s="540" t="s">
        <v>100</v>
      </c>
      <c r="C797" s="551">
        <v>2623.71</v>
      </c>
      <c r="D797" s="551">
        <v>205036</v>
      </c>
      <c r="E797" s="551">
        <v>2090</v>
      </c>
      <c r="F797" s="551">
        <v>6</v>
      </c>
      <c r="G797" s="551">
        <v>89325</v>
      </c>
      <c r="H797" s="551">
        <v>106</v>
      </c>
      <c r="I797" s="551">
        <v>177</v>
      </c>
      <c r="J797" s="551">
        <v>11</v>
      </c>
      <c r="K797" s="527">
        <f t="shared" si="296"/>
        <v>0.0101933319026903</v>
      </c>
      <c r="L797" s="528">
        <f t="shared" si="305"/>
        <v>1.25536363636364</v>
      </c>
      <c r="M797" s="528">
        <f t="shared" si="297"/>
        <v>12.7963382040227</v>
      </c>
      <c r="N797" s="528">
        <f t="shared" si="306"/>
        <v>34.0453022628263</v>
      </c>
      <c r="O797" s="528">
        <f t="shared" si="307"/>
        <v>0.00287081339712919</v>
      </c>
      <c r="P797" s="529">
        <f t="shared" si="308"/>
        <v>9.27106007067138</v>
      </c>
      <c r="Q797" s="24">
        <f t="shared" si="309"/>
        <v>283</v>
      </c>
      <c r="R797" s="530">
        <f t="shared" si="310"/>
        <v>0.135406698564593</v>
      </c>
    </row>
    <row r="798" spans="1:18">
      <c r="A798" s="524"/>
      <c r="B798" s="540" t="s">
        <v>101</v>
      </c>
      <c r="C798" s="551">
        <v>0</v>
      </c>
      <c r="D798" s="551">
        <v>0</v>
      </c>
      <c r="E798" s="551">
        <v>0</v>
      </c>
      <c r="F798" s="551">
        <v>0</v>
      </c>
      <c r="G798" s="551">
        <v>0</v>
      </c>
      <c r="H798" s="551">
        <v>0</v>
      </c>
      <c r="I798" s="551">
        <v>0</v>
      </c>
      <c r="J798" s="551">
        <v>0</v>
      </c>
      <c r="K798" s="527">
        <f t="shared" si="296"/>
        <v>0</v>
      </c>
      <c r="L798" s="528">
        <f t="shared" si="305"/>
        <v>0</v>
      </c>
      <c r="M798" s="528">
        <f t="shared" si="297"/>
        <v>0</v>
      </c>
      <c r="N798" s="528">
        <f t="shared" si="306"/>
        <v>0</v>
      </c>
      <c r="O798" s="528">
        <f t="shared" si="307"/>
        <v>0</v>
      </c>
      <c r="P798" s="529">
        <f t="shared" si="308"/>
        <v>0</v>
      </c>
      <c r="Q798" s="24">
        <f t="shared" si="309"/>
        <v>0</v>
      </c>
      <c r="R798" s="530">
        <f t="shared" si="310"/>
        <v>0</v>
      </c>
    </row>
    <row r="799" spans="1:18">
      <c r="A799" s="524"/>
      <c r="B799" s="531" t="s">
        <v>96</v>
      </c>
      <c r="C799" s="533">
        <f t="shared" ref="C799:J799" si="313">SUM(C795:C798)</f>
        <v>2823.71</v>
      </c>
      <c r="D799" s="533">
        <f t="shared" si="313"/>
        <v>216945</v>
      </c>
      <c r="E799" s="533">
        <f t="shared" si="313"/>
        <v>2323</v>
      </c>
      <c r="F799" s="533">
        <f t="shared" si="313"/>
        <v>6</v>
      </c>
      <c r="G799" s="533">
        <f t="shared" si="313"/>
        <v>89325</v>
      </c>
      <c r="H799" s="533">
        <f t="shared" si="313"/>
        <v>106</v>
      </c>
      <c r="I799" s="533">
        <f t="shared" si="313"/>
        <v>182</v>
      </c>
      <c r="J799" s="533">
        <f t="shared" si="313"/>
        <v>11</v>
      </c>
      <c r="K799" s="534">
        <f t="shared" si="296"/>
        <v>0.0107077830786605</v>
      </c>
      <c r="L799" s="535">
        <f t="shared" si="305"/>
        <v>1.21554455445545</v>
      </c>
      <c r="M799" s="535">
        <f t="shared" si="297"/>
        <v>13.0157874115559</v>
      </c>
      <c r="N799" s="535">
        <f t="shared" si="306"/>
        <v>31.6339142475679</v>
      </c>
      <c r="O799" s="535">
        <f t="shared" si="307"/>
        <v>0.00258286698235041</v>
      </c>
      <c r="P799" s="536">
        <f t="shared" si="308"/>
        <v>9.80454861111111</v>
      </c>
      <c r="Q799" s="531">
        <f t="shared" si="309"/>
        <v>288</v>
      </c>
      <c r="R799" s="537">
        <f t="shared" si="310"/>
        <v>0.12397761515282</v>
      </c>
    </row>
    <row r="800" spans="1:18">
      <c r="A800" s="524">
        <v>45610</v>
      </c>
      <c r="B800" s="540" t="s">
        <v>98</v>
      </c>
      <c r="C800" s="551">
        <v>199.38</v>
      </c>
      <c r="D800" s="551">
        <v>12837</v>
      </c>
      <c r="E800" s="551">
        <v>297</v>
      </c>
      <c r="F800" s="551">
        <v>0</v>
      </c>
      <c r="G800" s="551">
        <v>0</v>
      </c>
      <c r="H800" s="551">
        <v>0</v>
      </c>
      <c r="I800" s="551">
        <v>5</v>
      </c>
      <c r="J800" s="551">
        <v>2</v>
      </c>
      <c r="K800" s="527">
        <f t="shared" si="296"/>
        <v>0.0231362467866324</v>
      </c>
      <c r="L800" s="528">
        <f t="shared" si="305"/>
        <v>0.671313131313131</v>
      </c>
      <c r="M800" s="528">
        <f t="shared" si="297"/>
        <v>15.5316662771676</v>
      </c>
      <c r="N800" s="528">
        <f t="shared" si="306"/>
        <v>0</v>
      </c>
      <c r="O800" s="528">
        <f t="shared" si="307"/>
        <v>0</v>
      </c>
      <c r="P800" s="529">
        <f t="shared" si="308"/>
        <v>39.876</v>
      </c>
      <c r="Q800" s="24">
        <f t="shared" si="309"/>
        <v>5</v>
      </c>
      <c r="R800" s="530">
        <f t="shared" si="310"/>
        <v>0.0168350168350168</v>
      </c>
    </row>
    <row r="801" spans="1:18">
      <c r="A801" s="524"/>
      <c r="B801" s="540" t="s">
        <v>99</v>
      </c>
      <c r="C801" s="551">
        <v>0</v>
      </c>
      <c r="D801" s="551">
        <v>0</v>
      </c>
      <c r="E801" s="551">
        <v>0</v>
      </c>
      <c r="F801" s="551">
        <v>0</v>
      </c>
      <c r="G801" s="551">
        <v>0</v>
      </c>
      <c r="H801" s="551">
        <v>0</v>
      </c>
      <c r="I801" s="551">
        <v>0</v>
      </c>
      <c r="J801" s="551">
        <v>0</v>
      </c>
      <c r="K801" s="527">
        <f t="shared" si="296"/>
        <v>0</v>
      </c>
      <c r="L801" s="528">
        <f t="shared" si="305"/>
        <v>0</v>
      </c>
      <c r="M801" s="528">
        <f t="shared" si="297"/>
        <v>0</v>
      </c>
      <c r="N801" s="528">
        <f t="shared" si="306"/>
        <v>0</v>
      </c>
      <c r="O801" s="528">
        <f t="shared" si="307"/>
        <v>0</v>
      </c>
      <c r="P801" s="529">
        <f t="shared" si="308"/>
        <v>0</v>
      </c>
      <c r="Q801" s="24">
        <f t="shared" si="309"/>
        <v>0</v>
      </c>
      <c r="R801" s="530">
        <f t="shared" si="310"/>
        <v>0</v>
      </c>
    </row>
    <row r="802" spans="1:18">
      <c r="A802" s="524"/>
      <c r="B802" s="540" t="s">
        <v>100</v>
      </c>
      <c r="C802" s="551">
        <v>857.72</v>
      </c>
      <c r="D802" s="551">
        <v>48996</v>
      </c>
      <c r="E802" s="551">
        <v>826</v>
      </c>
      <c r="F802" s="551">
        <v>1</v>
      </c>
      <c r="G802" s="551">
        <v>22741</v>
      </c>
      <c r="H802" s="551">
        <v>61</v>
      </c>
      <c r="I802" s="551">
        <v>47</v>
      </c>
      <c r="J802" s="551">
        <v>6</v>
      </c>
      <c r="K802" s="527">
        <f t="shared" si="296"/>
        <v>0.0168585190627806</v>
      </c>
      <c r="L802" s="528">
        <f t="shared" si="305"/>
        <v>1.038401937046</v>
      </c>
      <c r="M802" s="528">
        <f t="shared" si="297"/>
        <v>17.5059188505184</v>
      </c>
      <c r="N802" s="528">
        <f t="shared" si="306"/>
        <v>26.5133143683253</v>
      </c>
      <c r="O802" s="528">
        <f t="shared" si="307"/>
        <v>0.00121065375302663</v>
      </c>
      <c r="P802" s="529">
        <f t="shared" si="308"/>
        <v>7.94185185185185</v>
      </c>
      <c r="Q802" s="24">
        <f t="shared" si="309"/>
        <v>108</v>
      </c>
      <c r="R802" s="530">
        <f t="shared" si="310"/>
        <v>0.130750605326877</v>
      </c>
    </row>
    <row r="803" spans="1:18">
      <c r="A803" s="524"/>
      <c r="B803" s="540" t="s">
        <v>101</v>
      </c>
      <c r="C803" s="551">
        <v>0</v>
      </c>
      <c r="D803" s="551">
        <v>0</v>
      </c>
      <c r="E803" s="551">
        <v>0</v>
      </c>
      <c r="F803" s="551">
        <v>0</v>
      </c>
      <c r="G803" s="551">
        <v>0</v>
      </c>
      <c r="H803" s="551">
        <v>0</v>
      </c>
      <c r="I803" s="551">
        <v>0</v>
      </c>
      <c r="J803" s="551">
        <v>0</v>
      </c>
      <c r="K803" s="527">
        <f t="shared" si="296"/>
        <v>0</v>
      </c>
      <c r="L803" s="528">
        <f t="shared" si="305"/>
        <v>0</v>
      </c>
      <c r="M803" s="528">
        <f t="shared" si="297"/>
        <v>0</v>
      </c>
      <c r="N803" s="528">
        <f t="shared" si="306"/>
        <v>0</v>
      </c>
      <c r="O803" s="528">
        <f t="shared" si="307"/>
        <v>0</v>
      </c>
      <c r="P803" s="529">
        <f t="shared" si="308"/>
        <v>0</v>
      </c>
      <c r="Q803" s="24">
        <f t="shared" si="309"/>
        <v>0</v>
      </c>
      <c r="R803" s="530">
        <f t="shared" si="310"/>
        <v>0</v>
      </c>
    </row>
    <row r="804" spans="1:18">
      <c r="A804" s="524"/>
      <c r="B804" s="531" t="s">
        <v>96</v>
      </c>
      <c r="C804" s="533">
        <f t="shared" ref="C804:J804" si="314">SUM(C800:C803)</f>
        <v>1057.1</v>
      </c>
      <c r="D804" s="533">
        <f t="shared" si="314"/>
        <v>61833</v>
      </c>
      <c r="E804" s="533">
        <f t="shared" si="314"/>
        <v>1123</v>
      </c>
      <c r="F804" s="533">
        <f t="shared" si="314"/>
        <v>1</v>
      </c>
      <c r="G804" s="533">
        <f t="shared" si="314"/>
        <v>22741</v>
      </c>
      <c r="H804" s="533">
        <f t="shared" si="314"/>
        <v>61</v>
      </c>
      <c r="I804" s="533">
        <f t="shared" si="314"/>
        <v>52</v>
      </c>
      <c r="J804" s="533">
        <f t="shared" si="314"/>
        <v>8</v>
      </c>
      <c r="K804" s="534">
        <f t="shared" si="296"/>
        <v>0.0181618229747869</v>
      </c>
      <c r="L804" s="535">
        <f t="shared" si="305"/>
        <v>0.941317898486198</v>
      </c>
      <c r="M804" s="535">
        <f t="shared" si="297"/>
        <v>17.0960490353048</v>
      </c>
      <c r="N804" s="535">
        <f t="shared" si="306"/>
        <v>21.5126288903604</v>
      </c>
      <c r="O804" s="535">
        <f t="shared" si="307"/>
        <v>0.000890471950133571</v>
      </c>
      <c r="P804" s="536">
        <f t="shared" si="308"/>
        <v>9.35486725663717</v>
      </c>
      <c r="Q804" s="531">
        <f t="shared" si="309"/>
        <v>113</v>
      </c>
      <c r="R804" s="537">
        <f t="shared" si="310"/>
        <v>0.100623330365093</v>
      </c>
    </row>
    <row r="805" spans="1:18">
      <c r="A805" s="524">
        <v>45611</v>
      </c>
      <c r="B805" s="540" t="s">
        <v>98</v>
      </c>
      <c r="C805" s="551">
        <v>195.55</v>
      </c>
      <c r="D805" s="551">
        <v>12189</v>
      </c>
      <c r="E805" s="551">
        <v>259</v>
      </c>
      <c r="F805" s="551">
        <v>0</v>
      </c>
      <c r="G805" s="551">
        <v>0</v>
      </c>
      <c r="H805" s="551">
        <v>0</v>
      </c>
      <c r="I805" s="551">
        <v>4</v>
      </c>
      <c r="J805" s="551">
        <v>2</v>
      </c>
      <c r="K805" s="527">
        <f t="shared" si="296"/>
        <v>0.021248666830749</v>
      </c>
      <c r="L805" s="528">
        <f t="shared" si="305"/>
        <v>0.755019305019305</v>
      </c>
      <c r="M805" s="528">
        <f t="shared" si="297"/>
        <v>16.0431536631389</v>
      </c>
      <c r="N805" s="528">
        <f t="shared" si="306"/>
        <v>0</v>
      </c>
      <c r="O805" s="528">
        <f t="shared" si="307"/>
        <v>0</v>
      </c>
      <c r="P805" s="529">
        <f t="shared" si="308"/>
        <v>48.8875</v>
      </c>
      <c r="Q805" s="24">
        <f t="shared" si="309"/>
        <v>4</v>
      </c>
      <c r="R805" s="530">
        <f t="shared" si="310"/>
        <v>0.0154440154440154</v>
      </c>
    </row>
    <row r="806" spans="1:18">
      <c r="A806" s="524"/>
      <c r="B806" s="540" t="s">
        <v>99</v>
      </c>
      <c r="C806" s="551">
        <v>0</v>
      </c>
      <c r="D806" s="551">
        <v>0</v>
      </c>
      <c r="E806" s="551">
        <v>0</v>
      </c>
      <c r="F806" s="551">
        <v>0</v>
      </c>
      <c r="G806" s="551">
        <v>0</v>
      </c>
      <c r="H806" s="551">
        <v>0</v>
      </c>
      <c r="I806" s="551">
        <v>0</v>
      </c>
      <c r="J806" s="551">
        <v>0</v>
      </c>
      <c r="K806" s="527">
        <f t="shared" si="296"/>
        <v>0</v>
      </c>
      <c r="L806" s="528">
        <f t="shared" si="305"/>
        <v>0</v>
      </c>
      <c r="M806" s="528">
        <f t="shared" si="297"/>
        <v>0</v>
      </c>
      <c r="N806" s="528">
        <f t="shared" si="306"/>
        <v>0</v>
      </c>
      <c r="O806" s="528">
        <f t="shared" si="307"/>
        <v>0</v>
      </c>
      <c r="P806" s="529">
        <f t="shared" si="308"/>
        <v>0</v>
      </c>
      <c r="Q806" s="24">
        <f t="shared" si="309"/>
        <v>0</v>
      </c>
      <c r="R806" s="530">
        <f t="shared" si="310"/>
        <v>0</v>
      </c>
    </row>
    <row r="807" spans="1:18">
      <c r="A807" s="524"/>
      <c r="B807" s="540" t="s">
        <v>100</v>
      </c>
      <c r="C807" s="551">
        <v>2096.94</v>
      </c>
      <c r="D807" s="551">
        <v>160185</v>
      </c>
      <c r="E807" s="551">
        <v>1452</v>
      </c>
      <c r="F807" s="551">
        <v>0</v>
      </c>
      <c r="G807" s="551">
        <v>0</v>
      </c>
      <c r="H807" s="551">
        <v>64</v>
      </c>
      <c r="I807" s="551">
        <v>107</v>
      </c>
      <c r="J807" s="551">
        <v>1</v>
      </c>
      <c r="K807" s="527">
        <f t="shared" si="296"/>
        <v>0.00906451914973312</v>
      </c>
      <c r="L807" s="528">
        <f t="shared" si="305"/>
        <v>1.44417355371901</v>
      </c>
      <c r="M807" s="528">
        <f t="shared" si="297"/>
        <v>13.0907388332241</v>
      </c>
      <c r="N807" s="528">
        <f t="shared" si="306"/>
        <v>0</v>
      </c>
      <c r="O807" s="528">
        <f t="shared" si="307"/>
        <v>0</v>
      </c>
      <c r="P807" s="529">
        <f t="shared" si="308"/>
        <v>12.2628070175439</v>
      </c>
      <c r="Q807" s="24">
        <f t="shared" si="309"/>
        <v>171</v>
      </c>
      <c r="R807" s="530">
        <f t="shared" si="310"/>
        <v>0.117768595041322</v>
      </c>
    </row>
    <row r="808" spans="1:18">
      <c r="A808" s="524"/>
      <c r="B808" s="540" t="s">
        <v>101</v>
      </c>
      <c r="C808" s="551">
        <v>0</v>
      </c>
      <c r="D808" s="551">
        <v>0</v>
      </c>
      <c r="E808" s="551">
        <v>0</v>
      </c>
      <c r="F808" s="551">
        <v>0</v>
      </c>
      <c r="G808" s="551">
        <v>0</v>
      </c>
      <c r="H808" s="551">
        <v>0</v>
      </c>
      <c r="I808" s="551">
        <v>0</v>
      </c>
      <c r="J808" s="551">
        <v>0</v>
      </c>
      <c r="K808" s="527">
        <f t="shared" si="296"/>
        <v>0</v>
      </c>
      <c r="L808" s="528">
        <f t="shared" si="305"/>
        <v>0</v>
      </c>
      <c r="M808" s="528">
        <f t="shared" si="297"/>
        <v>0</v>
      </c>
      <c r="N808" s="528">
        <f t="shared" si="306"/>
        <v>0</v>
      </c>
      <c r="O808" s="528">
        <f t="shared" si="307"/>
        <v>0</v>
      </c>
      <c r="P808" s="529">
        <f t="shared" si="308"/>
        <v>0</v>
      </c>
      <c r="Q808" s="24">
        <f t="shared" si="309"/>
        <v>0</v>
      </c>
      <c r="R808" s="530">
        <f t="shared" si="310"/>
        <v>0</v>
      </c>
    </row>
    <row r="809" spans="1:18">
      <c r="A809" s="524"/>
      <c r="B809" s="531" t="s">
        <v>96</v>
      </c>
      <c r="C809" s="533">
        <f t="shared" ref="C809:J809" si="315">SUM(C805:C808)</f>
        <v>2292.49</v>
      </c>
      <c r="D809" s="533">
        <f t="shared" si="315"/>
        <v>172374</v>
      </c>
      <c r="E809" s="533">
        <f t="shared" si="315"/>
        <v>1711</v>
      </c>
      <c r="F809" s="533">
        <f t="shared" si="315"/>
        <v>0</v>
      </c>
      <c r="G809" s="533">
        <f t="shared" si="315"/>
        <v>0</v>
      </c>
      <c r="H809" s="533">
        <f t="shared" si="315"/>
        <v>64</v>
      </c>
      <c r="I809" s="533">
        <f t="shared" si="315"/>
        <v>111</v>
      </c>
      <c r="J809" s="533">
        <f t="shared" si="315"/>
        <v>3</v>
      </c>
      <c r="K809" s="534">
        <f t="shared" si="296"/>
        <v>0.00992609094178937</v>
      </c>
      <c r="L809" s="535">
        <f t="shared" si="305"/>
        <v>1.33985388661601</v>
      </c>
      <c r="M809" s="535">
        <f t="shared" si="297"/>
        <v>13.2995115272605</v>
      </c>
      <c r="N809" s="535">
        <f t="shared" si="306"/>
        <v>0</v>
      </c>
      <c r="O809" s="535">
        <f t="shared" si="307"/>
        <v>0</v>
      </c>
      <c r="P809" s="536">
        <f t="shared" si="308"/>
        <v>13.0999428571429</v>
      </c>
      <c r="Q809" s="531">
        <f t="shared" si="309"/>
        <v>175</v>
      </c>
      <c r="R809" s="537">
        <f t="shared" si="310"/>
        <v>0.102279368790181</v>
      </c>
    </row>
    <row r="810" spans="1:18">
      <c r="A810" s="524">
        <v>45612</v>
      </c>
      <c r="B810" s="540" t="s">
        <v>98</v>
      </c>
      <c r="C810" s="551">
        <v>198.78</v>
      </c>
      <c r="D810" s="551">
        <v>11285</v>
      </c>
      <c r="E810" s="551">
        <v>241</v>
      </c>
      <c r="F810" s="551">
        <v>0</v>
      </c>
      <c r="G810" s="551">
        <v>0</v>
      </c>
      <c r="H810" s="551">
        <v>2</v>
      </c>
      <c r="I810" s="551">
        <v>13</v>
      </c>
      <c r="J810" s="551">
        <v>2</v>
      </c>
      <c r="K810" s="527">
        <f t="shared" si="296"/>
        <v>0.0213557820115197</v>
      </c>
      <c r="L810" s="528">
        <f t="shared" si="305"/>
        <v>0.824813278008299</v>
      </c>
      <c r="M810" s="528">
        <f t="shared" si="297"/>
        <v>17.6145325653522</v>
      </c>
      <c r="N810" s="528">
        <f t="shared" si="306"/>
        <v>0</v>
      </c>
      <c r="O810" s="528">
        <f t="shared" si="307"/>
        <v>0</v>
      </c>
      <c r="P810" s="529">
        <f t="shared" si="308"/>
        <v>13.252</v>
      </c>
      <c r="Q810" s="24">
        <f t="shared" si="309"/>
        <v>15</v>
      </c>
      <c r="R810" s="530">
        <f t="shared" si="310"/>
        <v>0.0622406639004149</v>
      </c>
    </row>
    <row r="811" spans="1:18">
      <c r="A811" s="524"/>
      <c r="B811" s="540" t="s">
        <v>99</v>
      </c>
      <c r="C811" s="551">
        <v>0</v>
      </c>
      <c r="D811" s="551">
        <v>0</v>
      </c>
      <c r="E811" s="551">
        <v>0</v>
      </c>
      <c r="F811" s="551">
        <v>0</v>
      </c>
      <c r="G811" s="551">
        <v>0</v>
      </c>
      <c r="H811" s="551">
        <v>0</v>
      </c>
      <c r="I811" s="551">
        <v>0</v>
      </c>
      <c r="J811" s="551">
        <v>0</v>
      </c>
      <c r="K811" s="527">
        <f t="shared" si="296"/>
        <v>0</v>
      </c>
      <c r="L811" s="528">
        <f t="shared" si="305"/>
        <v>0</v>
      </c>
      <c r="M811" s="528">
        <f t="shared" si="297"/>
        <v>0</v>
      </c>
      <c r="N811" s="528">
        <f t="shared" si="306"/>
        <v>0</v>
      </c>
      <c r="O811" s="528">
        <f t="shared" si="307"/>
        <v>0</v>
      </c>
      <c r="P811" s="529">
        <f t="shared" si="308"/>
        <v>0</v>
      </c>
      <c r="Q811" s="24">
        <f t="shared" si="309"/>
        <v>0</v>
      </c>
      <c r="R811" s="530">
        <f t="shared" si="310"/>
        <v>0</v>
      </c>
    </row>
    <row r="812" spans="1:18">
      <c r="A812" s="524"/>
      <c r="B812" s="540" t="s">
        <v>100</v>
      </c>
      <c r="C812" s="551">
        <v>2111.35</v>
      </c>
      <c r="D812" s="551">
        <v>123731</v>
      </c>
      <c r="E812" s="551">
        <v>1631</v>
      </c>
      <c r="F812" s="551">
        <v>2</v>
      </c>
      <c r="G812" s="551">
        <v>17965.8</v>
      </c>
      <c r="H812" s="551">
        <v>58</v>
      </c>
      <c r="I812" s="551">
        <v>142</v>
      </c>
      <c r="J812" s="551">
        <v>6</v>
      </c>
      <c r="K812" s="527">
        <f t="shared" si="296"/>
        <v>0.0131818218554768</v>
      </c>
      <c r="L812" s="528">
        <f t="shared" si="305"/>
        <v>1.29451256897609</v>
      </c>
      <c r="M812" s="528">
        <f t="shared" si="297"/>
        <v>17.0640340739184</v>
      </c>
      <c r="N812" s="528">
        <f t="shared" si="306"/>
        <v>8.50915291164421</v>
      </c>
      <c r="O812" s="528">
        <f t="shared" si="307"/>
        <v>0.00122624156958921</v>
      </c>
      <c r="P812" s="529">
        <f t="shared" si="308"/>
        <v>10.55675</v>
      </c>
      <c r="Q812" s="24">
        <f t="shared" si="309"/>
        <v>200</v>
      </c>
      <c r="R812" s="530">
        <f t="shared" si="310"/>
        <v>0.122624156958921</v>
      </c>
    </row>
    <row r="813" spans="1:18">
      <c r="A813" s="524"/>
      <c r="B813" s="540" t="s">
        <v>101</v>
      </c>
      <c r="C813" s="551">
        <v>0</v>
      </c>
      <c r="D813" s="551">
        <v>0</v>
      </c>
      <c r="E813" s="551">
        <v>0</v>
      </c>
      <c r="F813" s="551">
        <v>0</v>
      </c>
      <c r="G813" s="551">
        <v>0</v>
      </c>
      <c r="H813" s="551">
        <v>0</v>
      </c>
      <c r="I813" s="551">
        <v>0</v>
      </c>
      <c r="J813" s="551">
        <v>0</v>
      </c>
      <c r="K813" s="527">
        <f t="shared" si="296"/>
        <v>0</v>
      </c>
      <c r="L813" s="528">
        <f t="shared" si="305"/>
        <v>0</v>
      </c>
      <c r="M813" s="528">
        <f t="shared" si="297"/>
        <v>0</v>
      </c>
      <c r="N813" s="528">
        <f t="shared" si="306"/>
        <v>0</v>
      </c>
      <c r="O813" s="528">
        <f t="shared" si="307"/>
        <v>0</v>
      </c>
      <c r="P813" s="529">
        <f t="shared" si="308"/>
        <v>0</v>
      </c>
      <c r="Q813" s="24">
        <f t="shared" si="309"/>
        <v>0</v>
      </c>
      <c r="R813" s="530">
        <f t="shared" si="310"/>
        <v>0</v>
      </c>
    </row>
    <row r="814" spans="1:18">
      <c r="A814" s="524"/>
      <c r="B814" s="531" t="s">
        <v>96</v>
      </c>
      <c r="C814" s="533">
        <f t="shared" ref="C814:J814" si="316">SUM(C810:C813)</f>
        <v>2310.13</v>
      </c>
      <c r="D814" s="533">
        <f t="shared" si="316"/>
        <v>135016</v>
      </c>
      <c r="E814" s="533">
        <f t="shared" si="316"/>
        <v>1872</v>
      </c>
      <c r="F814" s="533">
        <f t="shared" si="316"/>
        <v>2</v>
      </c>
      <c r="G814" s="533">
        <f t="shared" si="316"/>
        <v>17965.8</v>
      </c>
      <c r="H814" s="533">
        <f t="shared" si="316"/>
        <v>60</v>
      </c>
      <c r="I814" s="533">
        <f t="shared" si="316"/>
        <v>155</v>
      </c>
      <c r="J814" s="533">
        <f t="shared" si="316"/>
        <v>8</v>
      </c>
      <c r="K814" s="534">
        <f t="shared" si="296"/>
        <v>0.0138650234046335</v>
      </c>
      <c r="L814" s="535">
        <f t="shared" si="305"/>
        <v>1.2340438034188</v>
      </c>
      <c r="M814" s="535">
        <f t="shared" si="297"/>
        <v>17.1100462167447</v>
      </c>
      <c r="N814" s="535">
        <f t="shared" si="306"/>
        <v>7.77696493270941</v>
      </c>
      <c r="O814" s="535">
        <f t="shared" si="307"/>
        <v>0.00106837606837607</v>
      </c>
      <c r="P814" s="536">
        <f t="shared" si="308"/>
        <v>10.7447906976744</v>
      </c>
      <c r="Q814" s="531">
        <f t="shared" si="309"/>
        <v>215</v>
      </c>
      <c r="R814" s="537">
        <f t="shared" si="310"/>
        <v>0.114850427350427</v>
      </c>
    </row>
    <row r="815" spans="1:18">
      <c r="A815" s="524">
        <v>45613</v>
      </c>
      <c r="B815" s="540" t="s">
        <v>98</v>
      </c>
      <c r="C815" s="551">
        <v>197.39</v>
      </c>
      <c r="D815" s="551">
        <v>7887</v>
      </c>
      <c r="E815" s="551">
        <v>155</v>
      </c>
      <c r="F815" s="551">
        <v>0</v>
      </c>
      <c r="G815" s="551">
        <v>0</v>
      </c>
      <c r="H815" s="551">
        <v>0</v>
      </c>
      <c r="I815" s="551">
        <v>10</v>
      </c>
      <c r="J815" s="551">
        <v>4</v>
      </c>
      <c r="K815" s="527">
        <f t="shared" ref="K815:K878" si="317">IF(E815=0,0,E815/D815)</f>
        <v>0.0196525928743502</v>
      </c>
      <c r="L815" s="528">
        <f t="shared" si="305"/>
        <v>1.27348387096774</v>
      </c>
      <c r="M815" s="528">
        <f t="shared" ref="M815:M878" si="318">IF(D815=0,0,C815/D815*1000)</f>
        <v>25.0272600481805</v>
      </c>
      <c r="N815" s="528">
        <f t="shared" si="306"/>
        <v>0</v>
      </c>
      <c r="O815" s="528">
        <f t="shared" si="307"/>
        <v>0</v>
      </c>
      <c r="P815" s="529">
        <f t="shared" si="308"/>
        <v>19.739</v>
      </c>
      <c r="Q815" s="24">
        <f t="shared" si="309"/>
        <v>10</v>
      </c>
      <c r="R815" s="530">
        <f t="shared" si="310"/>
        <v>0.0645161290322581</v>
      </c>
    </row>
    <row r="816" spans="1:18">
      <c r="A816" s="524"/>
      <c r="B816" s="540" t="s">
        <v>99</v>
      </c>
      <c r="C816" s="551">
        <v>0</v>
      </c>
      <c r="D816" s="551">
        <v>0</v>
      </c>
      <c r="E816" s="551">
        <v>0</v>
      </c>
      <c r="F816" s="551">
        <v>0</v>
      </c>
      <c r="G816" s="551">
        <v>0</v>
      </c>
      <c r="H816" s="551">
        <v>0</v>
      </c>
      <c r="I816" s="551">
        <v>0</v>
      </c>
      <c r="J816" s="551">
        <v>0</v>
      </c>
      <c r="K816" s="527">
        <f t="shared" si="317"/>
        <v>0</v>
      </c>
      <c r="L816" s="528">
        <f t="shared" si="305"/>
        <v>0</v>
      </c>
      <c r="M816" s="528">
        <f t="shared" si="318"/>
        <v>0</v>
      </c>
      <c r="N816" s="528">
        <f t="shared" si="306"/>
        <v>0</v>
      </c>
      <c r="O816" s="528">
        <f t="shared" si="307"/>
        <v>0</v>
      </c>
      <c r="P816" s="529">
        <f t="shared" si="308"/>
        <v>0</v>
      </c>
      <c r="Q816" s="24">
        <f t="shared" si="309"/>
        <v>0</v>
      </c>
      <c r="R816" s="530">
        <f t="shared" si="310"/>
        <v>0</v>
      </c>
    </row>
    <row r="817" spans="1:18">
      <c r="A817" s="524"/>
      <c r="B817" s="540" t="s">
        <v>100</v>
      </c>
      <c r="C817" s="551">
        <v>2080.21</v>
      </c>
      <c r="D817" s="551">
        <v>129940</v>
      </c>
      <c r="E817" s="551">
        <v>1569</v>
      </c>
      <c r="F817" s="551">
        <v>1</v>
      </c>
      <c r="G817" s="551">
        <v>8702</v>
      </c>
      <c r="H817" s="551">
        <v>56</v>
      </c>
      <c r="I817" s="551">
        <v>154</v>
      </c>
      <c r="J817" s="551">
        <v>3</v>
      </c>
      <c r="K817" s="527">
        <f t="shared" si="317"/>
        <v>0.0120748037555795</v>
      </c>
      <c r="L817" s="528">
        <f t="shared" si="305"/>
        <v>1.32581899298917</v>
      </c>
      <c r="M817" s="528">
        <f t="shared" si="318"/>
        <v>16.0090041557642</v>
      </c>
      <c r="N817" s="528">
        <f t="shared" si="306"/>
        <v>4.1832315006658</v>
      </c>
      <c r="O817" s="528">
        <f t="shared" si="307"/>
        <v>0.000637348629700446</v>
      </c>
      <c r="P817" s="529">
        <f t="shared" si="308"/>
        <v>9.9057619047619</v>
      </c>
      <c r="Q817" s="24">
        <f t="shared" si="309"/>
        <v>210</v>
      </c>
      <c r="R817" s="530">
        <f t="shared" si="310"/>
        <v>0.133843212237094</v>
      </c>
    </row>
    <row r="818" spans="1:18">
      <c r="A818" s="524"/>
      <c r="B818" s="540" t="s">
        <v>101</v>
      </c>
      <c r="C818" s="551">
        <v>0</v>
      </c>
      <c r="D818" s="551">
        <v>0</v>
      </c>
      <c r="E818" s="551">
        <v>0</v>
      </c>
      <c r="F818" s="551">
        <v>0</v>
      </c>
      <c r="G818" s="551">
        <v>0</v>
      </c>
      <c r="H818" s="551">
        <v>0</v>
      </c>
      <c r="I818" s="551">
        <v>0</v>
      </c>
      <c r="J818" s="551">
        <v>0</v>
      </c>
      <c r="K818" s="527">
        <f t="shared" si="317"/>
        <v>0</v>
      </c>
      <c r="L818" s="528">
        <f t="shared" si="305"/>
        <v>0</v>
      </c>
      <c r="M818" s="528">
        <f t="shared" si="318"/>
        <v>0</v>
      </c>
      <c r="N818" s="528">
        <f t="shared" si="306"/>
        <v>0</v>
      </c>
      <c r="O818" s="528">
        <f t="shared" si="307"/>
        <v>0</v>
      </c>
      <c r="P818" s="529">
        <f t="shared" si="308"/>
        <v>0</v>
      </c>
      <c r="Q818" s="24">
        <f t="shared" si="309"/>
        <v>0</v>
      </c>
      <c r="R818" s="530">
        <f t="shared" si="310"/>
        <v>0</v>
      </c>
    </row>
    <row r="819" spans="1:18">
      <c r="A819" s="524"/>
      <c r="B819" s="531" t="s">
        <v>96</v>
      </c>
      <c r="C819" s="533">
        <f t="shared" ref="C819:J819" si="319">SUM(C815:C818)</f>
        <v>2277.6</v>
      </c>
      <c r="D819" s="533">
        <f t="shared" si="319"/>
        <v>137827</v>
      </c>
      <c r="E819" s="533">
        <f t="shared" si="319"/>
        <v>1724</v>
      </c>
      <c r="F819" s="533">
        <f t="shared" si="319"/>
        <v>1</v>
      </c>
      <c r="G819" s="533">
        <f t="shared" si="319"/>
        <v>8702</v>
      </c>
      <c r="H819" s="533">
        <f t="shared" si="319"/>
        <v>56</v>
      </c>
      <c r="I819" s="533">
        <f t="shared" si="319"/>
        <v>164</v>
      </c>
      <c r="J819" s="533">
        <f t="shared" si="319"/>
        <v>7</v>
      </c>
      <c r="K819" s="534">
        <f t="shared" si="317"/>
        <v>0.0125084344867116</v>
      </c>
      <c r="L819" s="535">
        <f t="shared" si="305"/>
        <v>1.32111368909513</v>
      </c>
      <c r="M819" s="535">
        <f t="shared" si="318"/>
        <v>16.5250640295443</v>
      </c>
      <c r="N819" s="535">
        <f t="shared" si="306"/>
        <v>3.82068844397612</v>
      </c>
      <c r="O819" s="535">
        <f t="shared" si="307"/>
        <v>0.000580046403712297</v>
      </c>
      <c r="P819" s="536">
        <f t="shared" si="308"/>
        <v>10.3527272727273</v>
      </c>
      <c r="Q819" s="531">
        <f t="shared" si="309"/>
        <v>220</v>
      </c>
      <c r="R819" s="537">
        <f t="shared" si="310"/>
        <v>0.127610208816705</v>
      </c>
    </row>
    <row r="820" spans="1:18">
      <c r="A820" s="524">
        <v>45614</v>
      </c>
      <c r="B820" s="540" t="s">
        <v>98</v>
      </c>
      <c r="C820" s="551">
        <v>197.62</v>
      </c>
      <c r="D820" s="551">
        <v>8817</v>
      </c>
      <c r="E820" s="551">
        <v>146</v>
      </c>
      <c r="F820" s="551">
        <v>0</v>
      </c>
      <c r="G820" s="551">
        <v>0</v>
      </c>
      <c r="H820" s="551">
        <v>0</v>
      </c>
      <c r="I820" s="551">
        <v>9</v>
      </c>
      <c r="J820" s="551">
        <v>3</v>
      </c>
      <c r="K820" s="527">
        <f t="shared" si="317"/>
        <v>0.0165589202676647</v>
      </c>
      <c r="L820" s="528">
        <f t="shared" si="305"/>
        <v>1.35356164383562</v>
      </c>
      <c r="M820" s="528">
        <f t="shared" si="318"/>
        <v>22.4135193376432</v>
      </c>
      <c r="N820" s="528">
        <f t="shared" si="306"/>
        <v>0</v>
      </c>
      <c r="O820" s="528">
        <f t="shared" si="307"/>
        <v>0</v>
      </c>
      <c r="P820" s="529">
        <f>IF(I820+J820=0,0,C820/(I820+J820))</f>
        <v>16.4683333333333</v>
      </c>
      <c r="Q820" s="24">
        <f>I820+J820</f>
        <v>12</v>
      </c>
      <c r="R820" s="530">
        <f t="shared" si="310"/>
        <v>0.0821917808219178</v>
      </c>
    </row>
    <row r="821" spans="1:18">
      <c r="A821" s="524"/>
      <c r="B821" s="540" t="s">
        <v>99</v>
      </c>
      <c r="C821" s="551">
        <v>0</v>
      </c>
      <c r="D821" s="551">
        <v>0</v>
      </c>
      <c r="E821" s="551">
        <v>0</v>
      </c>
      <c r="F821" s="551">
        <v>0</v>
      </c>
      <c r="G821" s="551">
        <v>0</v>
      </c>
      <c r="H821" s="551">
        <v>0</v>
      </c>
      <c r="I821" s="551">
        <v>0</v>
      </c>
      <c r="J821" s="551">
        <v>0</v>
      </c>
      <c r="K821" s="527">
        <f t="shared" si="317"/>
        <v>0</v>
      </c>
      <c r="L821" s="528">
        <f t="shared" si="305"/>
        <v>0</v>
      </c>
      <c r="M821" s="528">
        <f t="shared" si="318"/>
        <v>0</v>
      </c>
      <c r="N821" s="528">
        <f t="shared" si="306"/>
        <v>0</v>
      </c>
      <c r="O821" s="528">
        <f t="shared" si="307"/>
        <v>0</v>
      </c>
      <c r="P821" s="529">
        <f t="shared" si="308"/>
        <v>0</v>
      </c>
      <c r="Q821" s="24">
        <f t="shared" si="309"/>
        <v>0</v>
      </c>
      <c r="R821" s="530">
        <f t="shared" si="310"/>
        <v>0</v>
      </c>
    </row>
    <row r="822" spans="1:18">
      <c r="A822" s="524"/>
      <c r="B822" s="540" t="s">
        <v>100</v>
      </c>
      <c r="C822" s="551">
        <v>2098.61</v>
      </c>
      <c r="D822" s="551">
        <v>408463</v>
      </c>
      <c r="E822" s="551">
        <v>2109</v>
      </c>
      <c r="F822" s="551">
        <v>0</v>
      </c>
      <c r="G822" s="551">
        <v>0</v>
      </c>
      <c r="H822" s="551">
        <v>60</v>
      </c>
      <c r="I822" s="551">
        <v>83</v>
      </c>
      <c r="J822" s="551">
        <v>3</v>
      </c>
      <c r="K822" s="527">
        <f t="shared" si="317"/>
        <v>0.00516325836122244</v>
      </c>
      <c r="L822" s="528">
        <f t="shared" si="305"/>
        <v>0.995073494547179</v>
      </c>
      <c r="M822" s="528">
        <f t="shared" si="318"/>
        <v>5.13782154075155</v>
      </c>
      <c r="N822" s="528">
        <f t="shared" si="306"/>
        <v>0</v>
      </c>
      <c r="O822" s="528">
        <f t="shared" si="307"/>
        <v>0</v>
      </c>
      <c r="P822" s="529">
        <f t="shared" si="308"/>
        <v>14.6755944055944</v>
      </c>
      <c r="Q822" s="24">
        <f t="shared" si="309"/>
        <v>143</v>
      </c>
      <c r="R822" s="530">
        <f t="shared" si="310"/>
        <v>0.0678046467520152</v>
      </c>
    </row>
    <row r="823" spans="1:18">
      <c r="A823" s="524"/>
      <c r="B823" s="540" t="s">
        <v>101</v>
      </c>
      <c r="C823" s="551">
        <v>0</v>
      </c>
      <c r="D823" s="551">
        <v>0</v>
      </c>
      <c r="E823" s="551">
        <v>0</v>
      </c>
      <c r="F823" s="551">
        <v>0</v>
      </c>
      <c r="G823" s="551">
        <v>0</v>
      </c>
      <c r="H823" s="551">
        <v>0</v>
      </c>
      <c r="I823" s="551">
        <v>0</v>
      </c>
      <c r="J823" s="551">
        <v>0</v>
      </c>
      <c r="K823" s="527">
        <f t="shared" si="317"/>
        <v>0</v>
      </c>
      <c r="L823" s="528">
        <f t="shared" si="305"/>
        <v>0</v>
      </c>
      <c r="M823" s="528">
        <f t="shared" si="318"/>
        <v>0</v>
      </c>
      <c r="N823" s="528">
        <f t="shared" si="306"/>
        <v>0</v>
      </c>
      <c r="O823" s="528">
        <f t="shared" si="307"/>
        <v>0</v>
      </c>
      <c r="P823" s="529">
        <f t="shared" si="308"/>
        <v>0</v>
      </c>
      <c r="Q823" s="24">
        <f t="shared" si="309"/>
        <v>0</v>
      </c>
      <c r="R823" s="530">
        <f t="shared" si="310"/>
        <v>0</v>
      </c>
    </row>
    <row r="824" spans="1:18">
      <c r="A824" s="524"/>
      <c r="B824" s="531" t="s">
        <v>96</v>
      </c>
      <c r="C824" s="533">
        <f t="shared" ref="C824:J824" si="320">SUM(C820:C823)</f>
        <v>2296.23</v>
      </c>
      <c r="D824" s="533">
        <f t="shared" si="320"/>
        <v>417280</v>
      </c>
      <c r="E824" s="533">
        <f t="shared" si="320"/>
        <v>2255</v>
      </c>
      <c r="F824" s="533">
        <f t="shared" si="320"/>
        <v>0</v>
      </c>
      <c r="G824" s="533">
        <f t="shared" si="320"/>
        <v>0</v>
      </c>
      <c r="H824" s="533">
        <f t="shared" si="320"/>
        <v>60</v>
      </c>
      <c r="I824" s="533">
        <f t="shared" si="320"/>
        <v>92</v>
      </c>
      <c r="J824" s="533">
        <f t="shared" si="320"/>
        <v>6</v>
      </c>
      <c r="K824" s="534">
        <f t="shared" si="317"/>
        <v>0.00540404524539877</v>
      </c>
      <c r="L824" s="535">
        <f t="shared" si="305"/>
        <v>1.01828381374723</v>
      </c>
      <c r="M824" s="535">
        <f t="shared" si="318"/>
        <v>5.50285180214724</v>
      </c>
      <c r="N824" s="535">
        <f t="shared" si="306"/>
        <v>0</v>
      </c>
      <c r="O824" s="535">
        <f t="shared" si="307"/>
        <v>0</v>
      </c>
      <c r="P824" s="536">
        <f t="shared" si="308"/>
        <v>15.1067763157895</v>
      </c>
      <c r="Q824" s="531">
        <f t="shared" si="309"/>
        <v>152</v>
      </c>
      <c r="R824" s="537">
        <f t="shared" si="310"/>
        <v>0.0674057649667406</v>
      </c>
    </row>
    <row r="825" spans="1:18">
      <c r="A825" s="524">
        <v>45615</v>
      </c>
      <c r="B825" s="540" t="s">
        <v>98</v>
      </c>
      <c r="C825" s="551">
        <v>197.21</v>
      </c>
      <c r="D825" s="551">
        <v>6060</v>
      </c>
      <c r="E825" s="551">
        <v>152</v>
      </c>
      <c r="F825" s="551">
        <v>0</v>
      </c>
      <c r="G825" s="551">
        <v>0</v>
      </c>
      <c r="H825" s="551">
        <v>2</v>
      </c>
      <c r="I825" s="551">
        <v>17</v>
      </c>
      <c r="J825" s="551">
        <v>4</v>
      </c>
      <c r="K825" s="527">
        <f t="shared" si="317"/>
        <v>0.0250825082508251</v>
      </c>
      <c r="L825" s="528">
        <f t="shared" si="305"/>
        <v>1.29743421052632</v>
      </c>
      <c r="M825" s="528">
        <f t="shared" si="318"/>
        <v>32.542904290429</v>
      </c>
      <c r="N825" s="528">
        <f t="shared" si="306"/>
        <v>0</v>
      </c>
      <c r="O825" s="528">
        <f t="shared" si="307"/>
        <v>0</v>
      </c>
      <c r="P825" s="529">
        <f t="shared" si="308"/>
        <v>10.3794736842105</v>
      </c>
      <c r="Q825" s="24">
        <f t="shared" si="309"/>
        <v>19</v>
      </c>
      <c r="R825" s="530">
        <f t="shared" si="310"/>
        <v>0.125</v>
      </c>
    </row>
    <row r="826" spans="1:18">
      <c r="A826" s="524"/>
      <c r="B826" s="540" t="s">
        <v>99</v>
      </c>
      <c r="C826" s="551">
        <v>0</v>
      </c>
      <c r="D826" s="551">
        <v>0</v>
      </c>
      <c r="E826" s="551">
        <v>0</v>
      </c>
      <c r="F826" s="551">
        <v>0</v>
      </c>
      <c r="G826" s="551">
        <v>0</v>
      </c>
      <c r="H826" s="551">
        <v>0</v>
      </c>
      <c r="I826" s="551">
        <v>0</v>
      </c>
      <c r="J826" s="551">
        <v>0</v>
      </c>
      <c r="K826" s="527">
        <f t="shared" si="317"/>
        <v>0</v>
      </c>
      <c r="L826" s="528">
        <f t="shared" si="305"/>
        <v>0</v>
      </c>
      <c r="M826" s="528">
        <f t="shared" si="318"/>
        <v>0</v>
      </c>
      <c r="N826" s="528">
        <f t="shared" si="306"/>
        <v>0</v>
      </c>
      <c r="O826" s="528">
        <f t="shared" si="307"/>
        <v>0</v>
      </c>
      <c r="P826" s="529">
        <f t="shared" si="308"/>
        <v>0</v>
      </c>
      <c r="Q826" s="24">
        <f t="shared" si="309"/>
        <v>0</v>
      </c>
      <c r="R826" s="530">
        <f t="shared" si="310"/>
        <v>0</v>
      </c>
    </row>
    <row r="827" spans="1:18">
      <c r="A827" s="524"/>
      <c r="B827" s="540" t="s">
        <v>100</v>
      </c>
      <c r="C827" s="551">
        <v>2104.1</v>
      </c>
      <c r="D827" s="551">
        <v>248810</v>
      </c>
      <c r="E827" s="551">
        <v>1855</v>
      </c>
      <c r="F827" s="551">
        <v>0</v>
      </c>
      <c r="G827" s="551">
        <v>0</v>
      </c>
      <c r="H827" s="551">
        <v>63</v>
      </c>
      <c r="I827" s="551">
        <v>96</v>
      </c>
      <c r="J827" s="551">
        <v>4</v>
      </c>
      <c r="K827" s="527">
        <f t="shared" si="317"/>
        <v>0.00745548812346771</v>
      </c>
      <c r="L827" s="528">
        <f t="shared" si="305"/>
        <v>1.13428571428571</v>
      </c>
      <c r="M827" s="528">
        <f t="shared" si="318"/>
        <v>8.45665367147623</v>
      </c>
      <c r="N827" s="528">
        <f t="shared" si="306"/>
        <v>0</v>
      </c>
      <c r="O827" s="528">
        <f t="shared" si="307"/>
        <v>0</v>
      </c>
      <c r="P827" s="529">
        <f t="shared" si="308"/>
        <v>13.2333333333333</v>
      </c>
      <c r="Q827" s="24">
        <f t="shared" si="309"/>
        <v>159</v>
      </c>
      <c r="R827" s="530">
        <f t="shared" si="310"/>
        <v>0.0857142857142857</v>
      </c>
    </row>
    <row r="828" spans="1:18">
      <c r="A828" s="524"/>
      <c r="B828" s="540" t="s">
        <v>101</v>
      </c>
      <c r="C828" s="551">
        <v>0</v>
      </c>
      <c r="D828" s="551">
        <v>0</v>
      </c>
      <c r="E828" s="551">
        <v>0</v>
      </c>
      <c r="F828" s="551">
        <v>0</v>
      </c>
      <c r="G828" s="551">
        <v>0</v>
      </c>
      <c r="H828" s="551">
        <v>0</v>
      </c>
      <c r="I828" s="551">
        <v>0</v>
      </c>
      <c r="J828" s="551">
        <v>0</v>
      </c>
      <c r="K828" s="527">
        <f t="shared" si="317"/>
        <v>0</v>
      </c>
      <c r="L828" s="528">
        <f t="shared" si="305"/>
        <v>0</v>
      </c>
      <c r="M828" s="528">
        <f t="shared" si="318"/>
        <v>0</v>
      </c>
      <c r="N828" s="528">
        <f t="shared" si="306"/>
        <v>0</v>
      </c>
      <c r="O828" s="528">
        <f t="shared" si="307"/>
        <v>0</v>
      </c>
      <c r="P828" s="529">
        <f t="shared" si="308"/>
        <v>0</v>
      </c>
      <c r="Q828" s="24">
        <f t="shared" si="309"/>
        <v>0</v>
      </c>
      <c r="R828" s="530">
        <f t="shared" si="310"/>
        <v>0</v>
      </c>
    </row>
    <row r="829" spans="1:18">
      <c r="A829" s="524"/>
      <c r="B829" s="531" t="s">
        <v>96</v>
      </c>
      <c r="C829" s="533">
        <f t="shared" ref="C829:J829" si="321">SUM(C825:C828)</f>
        <v>2301.31</v>
      </c>
      <c r="D829" s="533">
        <f t="shared" si="321"/>
        <v>254870</v>
      </c>
      <c r="E829" s="533">
        <f t="shared" si="321"/>
        <v>2007</v>
      </c>
      <c r="F829" s="533">
        <f t="shared" si="321"/>
        <v>0</v>
      </c>
      <c r="G829" s="533">
        <f t="shared" si="321"/>
        <v>0</v>
      </c>
      <c r="H829" s="533">
        <f t="shared" si="321"/>
        <v>65</v>
      </c>
      <c r="I829" s="533">
        <f t="shared" si="321"/>
        <v>113</v>
      </c>
      <c r="J829" s="533">
        <f t="shared" si="321"/>
        <v>8</v>
      </c>
      <c r="K829" s="534">
        <f t="shared" si="317"/>
        <v>0.00787460273865108</v>
      </c>
      <c r="L829" s="535">
        <f t="shared" si="305"/>
        <v>1.14664175386148</v>
      </c>
      <c r="M829" s="535">
        <f t="shared" si="318"/>
        <v>9.02934829520932</v>
      </c>
      <c r="N829" s="535">
        <f t="shared" si="306"/>
        <v>0</v>
      </c>
      <c r="O829" s="535">
        <f t="shared" si="307"/>
        <v>0</v>
      </c>
      <c r="P829" s="536">
        <f t="shared" si="308"/>
        <v>12.9287078651685</v>
      </c>
      <c r="Q829" s="531">
        <f t="shared" si="309"/>
        <v>178</v>
      </c>
      <c r="R829" s="537">
        <f t="shared" si="310"/>
        <v>0.088689586447434</v>
      </c>
    </row>
    <row r="830" spans="1:18">
      <c r="A830" s="524">
        <v>45616</v>
      </c>
      <c r="B830" s="540" t="s">
        <v>98</v>
      </c>
      <c r="C830" s="551">
        <v>198.04</v>
      </c>
      <c r="D830" s="551">
        <v>7630</v>
      </c>
      <c r="E830" s="551">
        <v>179</v>
      </c>
      <c r="F830" s="551">
        <v>0</v>
      </c>
      <c r="G830" s="551">
        <v>0</v>
      </c>
      <c r="H830" s="551">
        <v>1</v>
      </c>
      <c r="I830" s="551">
        <v>7</v>
      </c>
      <c r="J830" s="551">
        <v>3</v>
      </c>
      <c r="K830" s="527">
        <f t="shared" si="317"/>
        <v>0.0234600262123198</v>
      </c>
      <c r="L830" s="528">
        <f t="shared" si="305"/>
        <v>1.1063687150838</v>
      </c>
      <c r="M830" s="528">
        <f t="shared" si="318"/>
        <v>25.9554390563565</v>
      </c>
      <c r="N830" s="528">
        <f t="shared" si="306"/>
        <v>0</v>
      </c>
      <c r="O830" s="528">
        <f t="shared" si="307"/>
        <v>0</v>
      </c>
      <c r="P830" s="529">
        <f t="shared" si="308"/>
        <v>24.755</v>
      </c>
      <c r="Q830" s="24">
        <f t="shared" si="309"/>
        <v>8</v>
      </c>
      <c r="R830" s="530">
        <f t="shared" si="310"/>
        <v>0.0446927374301676</v>
      </c>
    </row>
    <row r="831" spans="1:18">
      <c r="A831" s="524"/>
      <c r="B831" s="540" t="s">
        <v>99</v>
      </c>
      <c r="C831" s="551">
        <v>0</v>
      </c>
      <c r="D831" s="551">
        <v>0</v>
      </c>
      <c r="E831" s="551">
        <v>0</v>
      </c>
      <c r="F831" s="551">
        <v>0</v>
      </c>
      <c r="G831" s="551">
        <v>0</v>
      </c>
      <c r="H831" s="551">
        <v>0</v>
      </c>
      <c r="I831" s="551">
        <v>0</v>
      </c>
      <c r="J831" s="551">
        <v>0</v>
      </c>
      <c r="K831" s="527">
        <f t="shared" si="317"/>
        <v>0</v>
      </c>
      <c r="L831" s="528">
        <f t="shared" si="305"/>
        <v>0</v>
      </c>
      <c r="M831" s="528">
        <f t="shared" si="318"/>
        <v>0</v>
      </c>
      <c r="N831" s="528">
        <f t="shared" si="306"/>
        <v>0</v>
      </c>
      <c r="O831" s="528">
        <f t="shared" si="307"/>
        <v>0</v>
      </c>
      <c r="P831" s="529">
        <f t="shared" si="308"/>
        <v>0</v>
      </c>
      <c r="Q831" s="24">
        <f t="shared" si="309"/>
        <v>0</v>
      </c>
      <c r="R831" s="530">
        <f t="shared" si="310"/>
        <v>0</v>
      </c>
    </row>
    <row r="832" spans="1:18">
      <c r="A832" s="524"/>
      <c r="B832" s="540" t="s">
        <v>100</v>
      </c>
      <c r="C832" s="551">
        <v>1896.53</v>
      </c>
      <c r="D832" s="551">
        <v>620276</v>
      </c>
      <c r="E832" s="551">
        <v>3728</v>
      </c>
      <c r="F832" s="551">
        <v>2</v>
      </c>
      <c r="G832" s="551">
        <v>18110</v>
      </c>
      <c r="H832" s="551">
        <v>54</v>
      </c>
      <c r="I832" s="551">
        <v>90</v>
      </c>
      <c r="J832" s="551">
        <v>5</v>
      </c>
      <c r="K832" s="527">
        <f t="shared" si="317"/>
        <v>0.00601022770508612</v>
      </c>
      <c r="L832" s="528">
        <f t="shared" si="305"/>
        <v>0.508725858369099</v>
      </c>
      <c r="M832" s="528">
        <f t="shared" si="318"/>
        <v>3.05755824826368</v>
      </c>
      <c r="N832" s="528">
        <f t="shared" si="306"/>
        <v>9.54901847057521</v>
      </c>
      <c r="O832" s="528">
        <f t="shared" si="307"/>
        <v>0.000536480686695279</v>
      </c>
      <c r="P832" s="529">
        <f t="shared" si="308"/>
        <v>13.1703472222222</v>
      </c>
      <c r="Q832" s="24">
        <f t="shared" si="309"/>
        <v>144</v>
      </c>
      <c r="R832" s="530">
        <f t="shared" si="310"/>
        <v>0.0386266094420601</v>
      </c>
    </row>
    <row r="833" spans="1:18">
      <c r="A833" s="524"/>
      <c r="B833" s="540" t="s">
        <v>101</v>
      </c>
      <c r="C833" s="551">
        <v>0</v>
      </c>
      <c r="D833" s="551">
        <v>0</v>
      </c>
      <c r="E833" s="551">
        <v>0</v>
      </c>
      <c r="F833" s="551">
        <v>0</v>
      </c>
      <c r="G833" s="551">
        <v>0</v>
      </c>
      <c r="H833" s="551">
        <v>0</v>
      </c>
      <c r="I833" s="551">
        <v>0</v>
      </c>
      <c r="J833" s="551">
        <v>0</v>
      </c>
      <c r="K833" s="527">
        <f t="shared" si="317"/>
        <v>0</v>
      </c>
      <c r="L833" s="528">
        <f t="shared" si="305"/>
        <v>0</v>
      </c>
      <c r="M833" s="528">
        <f t="shared" si="318"/>
        <v>0</v>
      </c>
      <c r="N833" s="528">
        <f t="shared" si="306"/>
        <v>0</v>
      </c>
      <c r="O833" s="528">
        <f t="shared" si="307"/>
        <v>0</v>
      </c>
      <c r="P833" s="529">
        <f t="shared" si="308"/>
        <v>0</v>
      </c>
      <c r="Q833" s="24">
        <f t="shared" si="309"/>
        <v>0</v>
      </c>
      <c r="R833" s="530">
        <f t="shared" si="310"/>
        <v>0</v>
      </c>
    </row>
    <row r="834" spans="1:18">
      <c r="A834" s="524"/>
      <c r="B834" s="531" t="s">
        <v>96</v>
      </c>
      <c r="C834" s="533">
        <f t="shared" ref="C834:J834" si="322">SUM(C830:C833)</f>
        <v>2094.57</v>
      </c>
      <c r="D834" s="533">
        <f t="shared" si="322"/>
        <v>627906</v>
      </c>
      <c r="E834" s="533">
        <f t="shared" si="322"/>
        <v>3907</v>
      </c>
      <c r="F834" s="533">
        <f t="shared" si="322"/>
        <v>2</v>
      </c>
      <c r="G834" s="533">
        <f t="shared" si="322"/>
        <v>18110</v>
      </c>
      <c r="H834" s="533">
        <f t="shared" si="322"/>
        <v>55</v>
      </c>
      <c r="I834" s="533">
        <f t="shared" si="322"/>
        <v>97</v>
      </c>
      <c r="J834" s="533">
        <f t="shared" si="322"/>
        <v>8</v>
      </c>
      <c r="K834" s="534">
        <f t="shared" si="317"/>
        <v>0.00622226893834427</v>
      </c>
      <c r="L834" s="535">
        <f t="shared" si="305"/>
        <v>0.536106987458408</v>
      </c>
      <c r="M834" s="535">
        <f t="shared" si="318"/>
        <v>3.33580185569178</v>
      </c>
      <c r="N834" s="535">
        <f t="shared" si="306"/>
        <v>8.64616603885284</v>
      </c>
      <c r="O834" s="535">
        <f t="shared" si="307"/>
        <v>0.000511901714870745</v>
      </c>
      <c r="P834" s="536">
        <f t="shared" si="308"/>
        <v>13.7800657894737</v>
      </c>
      <c r="Q834" s="531">
        <f t="shared" si="309"/>
        <v>152</v>
      </c>
      <c r="R834" s="537">
        <f t="shared" si="310"/>
        <v>0.0389045303301766</v>
      </c>
    </row>
    <row r="835" spans="1:18">
      <c r="A835" s="524">
        <v>45617</v>
      </c>
      <c r="B835" s="540" t="s">
        <v>98</v>
      </c>
      <c r="C835" s="551">
        <v>195.83</v>
      </c>
      <c r="D835" s="551">
        <v>6503</v>
      </c>
      <c r="E835" s="551">
        <v>139</v>
      </c>
      <c r="F835" s="551">
        <v>0</v>
      </c>
      <c r="G835" s="551">
        <v>0</v>
      </c>
      <c r="H835" s="551">
        <v>1</v>
      </c>
      <c r="I835" s="551">
        <v>4</v>
      </c>
      <c r="J835" s="551">
        <v>4</v>
      </c>
      <c r="K835" s="527">
        <f t="shared" si="317"/>
        <v>0.0213747501153314</v>
      </c>
      <c r="L835" s="528">
        <f t="shared" si="305"/>
        <v>1.40884892086331</v>
      </c>
      <c r="M835" s="528">
        <f t="shared" si="318"/>
        <v>30.1137936337075</v>
      </c>
      <c r="N835" s="528">
        <f t="shared" si="306"/>
        <v>0</v>
      </c>
      <c r="O835" s="528">
        <f t="shared" si="307"/>
        <v>0</v>
      </c>
      <c r="P835" s="529">
        <f t="shared" si="308"/>
        <v>39.166</v>
      </c>
      <c r="Q835" s="24">
        <f t="shared" si="309"/>
        <v>5</v>
      </c>
      <c r="R835" s="530">
        <f t="shared" si="310"/>
        <v>0.0359712230215827</v>
      </c>
    </row>
    <row r="836" spans="1:18">
      <c r="A836" s="524"/>
      <c r="B836" s="540" t="s">
        <v>99</v>
      </c>
      <c r="C836" s="551">
        <v>0</v>
      </c>
      <c r="D836" s="551">
        <v>0</v>
      </c>
      <c r="E836" s="551">
        <v>0</v>
      </c>
      <c r="F836" s="551">
        <v>0</v>
      </c>
      <c r="G836" s="551">
        <v>0</v>
      </c>
      <c r="H836" s="551">
        <v>0</v>
      </c>
      <c r="I836" s="551">
        <v>0</v>
      </c>
      <c r="J836" s="551">
        <v>0</v>
      </c>
      <c r="K836" s="527">
        <f t="shared" si="317"/>
        <v>0</v>
      </c>
      <c r="L836" s="528">
        <f t="shared" si="305"/>
        <v>0</v>
      </c>
      <c r="M836" s="528">
        <f t="shared" si="318"/>
        <v>0</v>
      </c>
      <c r="N836" s="528">
        <f t="shared" si="306"/>
        <v>0</v>
      </c>
      <c r="O836" s="528">
        <f t="shared" si="307"/>
        <v>0</v>
      </c>
      <c r="P836" s="529">
        <f t="shared" si="308"/>
        <v>0</v>
      </c>
      <c r="Q836" s="24">
        <f t="shared" si="309"/>
        <v>0</v>
      </c>
      <c r="R836" s="530">
        <f t="shared" si="310"/>
        <v>0</v>
      </c>
    </row>
    <row r="837" spans="1:18">
      <c r="A837" s="524"/>
      <c r="B837" s="540" t="s">
        <v>100</v>
      </c>
      <c r="C837" s="551">
        <v>1605.52</v>
      </c>
      <c r="D837" s="551">
        <v>506011</v>
      </c>
      <c r="E837" s="551">
        <v>2532</v>
      </c>
      <c r="F837" s="551">
        <v>0</v>
      </c>
      <c r="G837" s="551">
        <v>0</v>
      </c>
      <c r="H837" s="551">
        <v>50</v>
      </c>
      <c r="I837" s="551">
        <v>69</v>
      </c>
      <c r="J837" s="551">
        <v>5</v>
      </c>
      <c r="K837" s="527">
        <f t="shared" si="317"/>
        <v>0.00500384378995714</v>
      </c>
      <c r="L837" s="528">
        <f t="shared" si="305"/>
        <v>0.634091627172196</v>
      </c>
      <c r="M837" s="528">
        <f t="shared" si="318"/>
        <v>3.17289545088941</v>
      </c>
      <c r="N837" s="528">
        <f t="shared" si="306"/>
        <v>0</v>
      </c>
      <c r="O837" s="528">
        <f t="shared" si="307"/>
        <v>0</v>
      </c>
      <c r="P837" s="529">
        <f t="shared" si="308"/>
        <v>13.4917647058824</v>
      </c>
      <c r="Q837" s="24">
        <f t="shared" si="309"/>
        <v>119</v>
      </c>
      <c r="R837" s="530">
        <f t="shared" si="310"/>
        <v>0.046998420221169</v>
      </c>
    </row>
    <row r="838" spans="1:18">
      <c r="A838" s="524"/>
      <c r="B838" s="540" t="s">
        <v>101</v>
      </c>
      <c r="C838" s="551">
        <v>0</v>
      </c>
      <c r="D838" s="551">
        <v>0</v>
      </c>
      <c r="E838" s="551">
        <v>0</v>
      </c>
      <c r="F838" s="551">
        <v>0</v>
      </c>
      <c r="G838" s="551">
        <v>0</v>
      </c>
      <c r="H838" s="551">
        <v>0</v>
      </c>
      <c r="I838" s="551">
        <v>0</v>
      </c>
      <c r="J838" s="551">
        <v>0</v>
      </c>
      <c r="K838" s="527">
        <f t="shared" si="317"/>
        <v>0</v>
      </c>
      <c r="L838" s="528">
        <f t="shared" si="305"/>
        <v>0</v>
      </c>
      <c r="M838" s="528">
        <f t="shared" si="318"/>
        <v>0</v>
      </c>
      <c r="N838" s="528">
        <f t="shared" si="306"/>
        <v>0</v>
      </c>
      <c r="O838" s="528">
        <f t="shared" si="307"/>
        <v>0</v>
      </c>
      <c r="P838" s="529">
        <f t="shared" si="308"/>
        <v>0</v>
      </c>
      <c r="Q838" s="24">
        <f t="shared" si="309"/>
        <v>0</v>
      </c>
      <c r="R838" s="530">
        <f t="shared" si="310"/>
        <v>0</v>
      </c>
    </row>
    <row r="839" spans="1:18">
      <c r="A839" s="524"/>
      <c r="B839" s="531" t="s">
        <v>96</v>
      </c>
      <c r="C839" s="533">
        <f t="shared" ref="C839:J839" si="323">SUM(C835:C838)</f>
        <v>1801.35</v>
      </c>
      <c r="D839" s="533">
        <f t="shared" si="323"/>
        <v>512514</v>
      </c>
      <c r="E839" s="533">
        <f t="shared" si="323"/>
        <v>2671</v>
      </c>
      <c r="F839" s="533">
        <f t="shared" si="323"/>
        <v>0</v>
      </c>
      <c r="G839" s="533">
        <f t="shared" si="323"/>
        <v>0</v>
      </c>
      <c r="H839" s="533">
        <f t="shared" si="323"/>
        <v>51</v>
      </c>
      <c r="I839" s="533">
        <f t="shared" si="323"/>
        <v>73</v>
      </c>
      <c r="J839" s="533">
        <f t="shared" si="323"/>
        <v>9</v>
      </c>
      <c r="K839" s="534">
        <f t="shared" si="317"/>
        <v>0.00521156495237203</v>
      </c>
      <c r="L839" s="535">
        <f t="shared" si="305"/>
        <v>0.674410333208536</v>
      </c>
      <c r="M839" s="535">
        <f t="shared" si="318"/>
        <v>3.51473325606715</v>
      </c>
      <c r="N839" s="535">
        <f t="shared" si="306"/>
        <v>0</v>
      </c>
      <c r="O839" s="535">
        <f t="shared" si="307"/>
        <v>0</v>
      </c>
      <c r="P839" s="536">
        <f t="shared" si="308"/>
        <v>14.5270161290323</v>
      </c>
      <c r="Q839" s="531">
        <f t="shared" si="309"/>
        <v>124</v>
      </c>
      <c r="R839" s="537">
        <f t="shared" si="310"/>
        <v>0.046424560089854</v>
      </c>
    </row>
    <row r="840" spans="1:18">
      <c r="A840" s="524">
        <v>45618</v>
      </c>
      <c r="B840" s="540" t="s">
        <v>98</v>
      </c>
      <c r="C840" s="551">
        <v>197.81</v>
      </c>
      <c r="D840" s="551">
        <v>7849</v>
      </c>
      <c r="E840" s="551">
        <v>174</v>
      </c>
      <c r="F840" s="551">
        <v>0</v>
      </c>
      <c r="G840" s="551">
        <v>0</v>
      </c>
      <c r="H840" s="551">
        <v>0</v>
      </c>
      <c r="I840" s="551">
        <v>15</v>
      </c>
      <c r="J840" s="551">
        <v>5</v>
      </c>
      <c r="K840" s="527">
        <f t="shared" si="317"/>
        <v>0.0221684290992483</v>
      </c>
      <c r="L840" s="528">
        <f t="shared" si="305"/>
        <v>1.13683908045977</v>
      </c>
      <c r="M840" s="528">
        <f t="shared" si="318"/>
        <v>25.2019365524271</v>
      </c>
      <c r="N840" s="528">
        <f t="shared" si="306"/>
        <v>0</v>
      </c>
      <c r="O840" s="528">
        <f t="shared" si="307"/>
        <v>0</v>
      </c>
      <c r="P840" s="529">
        <f t="shared" si="308"/>
        <v>13.1873333333333</v>
      </c>
      <c r="Q840" s="24">
        <f t="shared" si="309"/>
        <v>15</v>
      </c>
      <c r="R840" s="530">
        <f t="shared" si="310"/>
        <v>0.0862068965517241</v>
      </c>
    </row>
    <row r="841" spans="1:18">
      <c r="A841" s="524"/>
      <c r="B841" s="540" t="s">
        <v>99</v>
      </c>
      <c r="C841" s="551">
        <v>0</v>
      </c>
      <c r="D841" s="551">
        <v>0</v>
      </c>
      <c r="E841" s="551">
        <v>0</v>
      </c>
      <c r="F841" s="551">
        <v>0</v>
      </c>
      <c r="G841" s="551">
        <v>0</v>
      </c>
      <c r="H841" s="551">
        <v>0</v>
      </c>
      <c r="I841" s="551">
        <v>0</v>
      </c>
      <c r="J841" s="551">
        <v>0</v>
      </c>
      <c r="K841" s="527">
        <f t="shared" si="317"/>
        <v>0</v>
      </c>
      <c r="L841" s="528">
        <f t="shared" si="305"/>
        <v>0</v>
      </c>
      <c r="M841" s="528">
        <f t="shared" si="318"/>
        <v>0</v>
      </c>
      <c r="N841" s="528">
        <f t="shared" si="306"/>
        <v>0</v>
      </c>
      <c r="O841" s="528">
        <f t="shared" si="307"/>
        <v>0</v>
      </c>
      <c r="P841" s="529">
        <f t="shared" si="308"/>
        <v>0</v>
      </c>
      <c r="Q841" s="24">
        <f t="shared" si="309"/>
        <v>0</v>
      </c>
      <c r="R841" s="530">
        <f t="shared" si="310"/>
        <v>0</v>
      </c>
    </row>
    <row r="842" spans="1:18">
      <c r="A842" s="524"/>
      <c r="B842" s="540" t="s">
        <v>100</v>
      </c>
      <c r="C842" s="551">
        <v>1619.38</v>
      </c>
      <c r="D842" s="551">
        <v>489245</v>
      </c>
      <c r="E842" s="551">
        <v>3033</v>
      </c>
      <c r="F842" s="551">
        <v>0</v>
      </c>
      <c r="G842" s="551">
        <v>0</v>
      </c>
      <c r="H842" s="551">
        <v>92</v>
      </c>
      <c r="I842" s="551">
        <v>100</v>
      </c>
      <c r="J842" s="551">
        <v>2</v>
      </c>
      <c r="K842" s="527">
        <f t="shared" si="317"/>
        <v>0.00619934797494098</v>
      </c>
      <c r="L842" s="528">
        <f t="shared" si="305"/>
        <v>0.533920211012199</v>
      </c>
      <c r="M842" s="528">
        <f t="shared" si="318"/>
        <v>3.30995717891854</v>
      </c>
      <c r="N842" s="528">
        <f t="shared" si="306"/>
        <v>0</v>
      </c>
      <c r="O842" s="528">
        <f t="shared" si="307"/>
        <v>0</v>
      </c>
      <c r="P842" s="529">
        <f t="shared" si="308"/>
        <v>8.43427083333333</v>
      </c>
      <c r="Q842" s="24">
        <f t="shared" si="309"/>
        <v>192</v>
      </c>
      <c r="R842" s="530">
        <f t="shared" si="310"/>
        <v>0.0633036597428289</v>
      </c>
    </row>
    <row r="843" spans="1:18">
      <c r="A843" s="524"/>
      <c r="B843" s="540" t="s">
        <v>101</v>
      </c>
      <c r="C843" s="551">
        <v>0</v>
      </c>
      <c r="D843" s="551">
        <v>0</v>
      </c>
      <c r="E843" s="551">
        <v>0</v>
      </c>
      <c r="F843" s="551">
        <v>0</v>
      </c>
      <c r="G843" s="551">
        <v>0</v>
      </c>
      <c r="H843" s="551">
        <v>0</v>
      </c>
      <c r="I843" s="551">
        <v>0</v>
      </c>
      <c r="J843" s="551">
        <v>0</v>
      </c>
      <c r="K843" s="527">
        <f t="shared" si="317"/>
        <v>0</v>
      </c>
      <c r="L843" s="528">
        <f t="shared" si="305"/>
        <v>0</v>
      </c>
      <c r="M843" s="528">
        <f t="shared" si="318"/>
        <v>0</v>
      </c>
      <c r="N843" s="528">
        <f t="shared" si="306"/>
        <v>0</v>
      </c>
      <c r="O843" s="528">
        <f t="shared" si="307"/>
        <v>0</v>
      </c>
      <c r="P843" s="529">
        <f t="shared" si="308"/>
        <v>0</v>
      </c>
      <c r="Q843" s="24">
        <f t="shared" si="309"/>
        <v>0</v>
      </c>
      <c r="R843" s="530">
        <f t="shared" si="310"/>
        <v>0</v>
      </c>
    </row>
    <row r="844" spans="1:18">
      <c r="A844" s="524"/>
      <c r="B844" s="531" t="s">
        <v>96</v>
      </c>
      <c r="C844" s="533">
        <f t="shared" ref="C844:J844" si="324">SUM(C840:C843)</f>
        <v>1817.19</v>
      </c>
      <c r="D844" s="533">
        <f t="shared" si="324"/>
        <v>497094</v>
      </c>
      <c r="E844" s="533">
        <f t="shared" si="324"/>
        <v>3207</v>
      </c>
      <c r="F844" s="533">
        <f t="shared" si="324"/>
        <v>0</v>
      </c>
      <c r="G844" s="533">
        <f t="shared" si="324"/>
        <v>0</v>
      </c>
      <c r="H844" s="533">
        <f t="shared" si="324"/>
        <v>92</v>
      </c>
      <c r="I844" s="533">
        <f t="shared" si="324"/>
        <v>115</v>
      </c>
      <c r="J844" s="533">
        <f t="shared" si="324"/>
        <v>7</v>
      </c>
      <c r="K844" s="534">
        <f t="shared" si="317"/>
        <v>0.00645149609530592</v>
      </c>
      <c r="L844" s="535">
        <f t="shared" si="305"/>
        <v>0.566632366697848</v>
      </c>
      <c r="M844" s="535">
        <f t="shared" si="318"/>
        <v>3.65562650122512</v>
      </c>
      <c r="N844" s="535">
        <f t="shared" si="306"/>
        <v>0</v>
      </c>
      <c r="O844" s="535">
        <f t="shared" si="307"/>
        <v>0</v>
      </c>
      <c r="P844" s="536">
        <f t="shared" si="308"/>
        <v>8.77869565217391</v>
      </c>
      <c r="Q844" s="531">
        <f t="shared" si="309"/>
        <v>207</v>
      </c>
      <c r="R844" s="537">
        <f t="shared" si="310"/>
        <v>0.0645463049579046</v>
      </c>
    </row>
    <row r="845" spans="1:18">
      <c r="A845" s="524">
        <v>45619</v>
      </c>
      <c r="B845" s="540" t="s">
        <v>98</v>
      </c>
      <c r="C845" s="551">
        <v>200</v>
      </c>
      <c r="D845" s="551">
        <v>6800</v>
      </c>
      <c r="E845" s="551">
        <v>178</v>
      </c>
      <c r="F845" s="551">
        <v>0</v>
      </c>
      <c r="G845" s="551">
        <v>0</v>
      </c>
      <c r="H845" s="551">
        <v>0</v>
      </c>
      <c r="I845" s="551">
        <v>14</v>
      </c>
      <c r="J845" s="551">
        <v>1</v>
      </c>
      <c r="K845" s="527">
        <f t="shared" si="317"/>
        <v>0.0261764705882353</v>
      </c>
      <c r="L845" s="528">
        <f t="shared" si="305"/>
        <v>1.12359550561798</v>
      </c>
      <c r="M845" s="528">
        <f t="shared" si="318"/>
        <v>29.4117647058824</v>
      </c>
      <c r="N845" s="528">
        <f t="shared" si="306"/>
        <v>0</v>
      </c>
      <c r="O845" s="528">
        <f t="shared" si="307"/>
        <v>0</v>
      </c>
      <c r="P845" s="529">
        <f t="shared" si="308"/>
        <v>14.2857142857143</v>
      </c>
      <c r="Q845" s="24">
        <f t="shared" si="309"/>
        <v>14</v>
      </c>
      <c r="R845" s="530">
        <f t="shared" si="310"/>
        <v>0.0786516853932584</v>
      </c>
    </row>
    <row r="846" spans="1:18">
      <c r="A846" s="524"/>
      <c r="B846" s="540" t="s">
        <v>99</v>
      </c>
      <c r="C846" s="551">
        <v>0</v>
      </c>
      <c r="D846" s="551">
        <v>0</v>
      </c>
      <c r="E846" s="551">
        <v>0</v>
      </c>
      <c r="F846" s="551">
        <v>0</v>
      </c>
      <c r="G846" s="551">
        <v>0</v>
      </c>
      <c r="H846" s="551">
        <v>0</v>
      </c>
      <c r="I846" s="551">
        <v>0</v>
      </c>
      <c r="J846" s="551">
        <v>0</v>
      </c>
      <c r="K846" s="527">
        <f t="shared" si="317"/>
        <v>0</v>
      </c>
      <c r="L846" s="528">
        <f t="shared" si="305"/>
        <v>0</v>
      </c>
      <c r="M846" s="528">
        <f t="shared" si="318"/>
        <v>0</v>
      </c>
      <c r="N846" s="528">
        <f t="shared" si="306"/>
        <v>0</v>
      </c>
      <c r="O846" s="528">
        <f t="shared" si="307"/>
        <v>0</v>
      </c>
      <c r="P846" s="529">
        <f t="shared" si="308"/>
        <v>0</v>
      </c>
      <c r="Q846" s="24">
        <f t="shared" si="309"/>
        <v>0</v>
      </c>
      <c r="R846" s="530">
        <f t="shared" si="310"/>
        <v>0</v>
      </c>
    </row>
    <row r="847" spans="1:18">
      <c r="A847" s="524"/>
      <c r="B847" s="540" t="s">
        <v>100</v>
      </c>
      <c r="C847" s="551">
        <v>1636.3</v>
      </c>
      <c r="D847" s="551">
        <v>521896</v>
      </c>
      <c r="E847" s="551">
        <v>3453</v>
      </c>
      <c r="F847" s="551">
        <v>5</v>
      </c>
      <c r="G847" s="551">
        <v>41504</v>
      </c>
      <c r="H847" s="551">
        <v>52</v>
      </c>
      <c r="I847" s="551">
        <v>105</v>
      </c>
      <c r="J847" s="551">
        <v>6</v>
      </c>
      <c r="K847" s="527">
        <f t="shared" si="317"/>
        <v>0.00661626071094624</v>
      </c>
      <c r="L847" s="528">
        <f t="shared" si="305"/>
        <v>0.473877787431219</v>
      </c>
      <c r="M847" s="528">
        <f t="shared" si="318"/>
        <v>3.13529898677131</v>
      </c>
      <c r="N847" s="528">
        <f t="shared" si="306"/>
        <v>25.3645419544093</v>
      </c>
      <c r="O847" s="528">
        <f t="shared" si="307"/>
        <v>0.00144801621778164</v>
      </c>
      <c r="P847" s="529">
        <f t="shared" si="308"/>
        <v>10.4222929936306</v>
      </c>
      <c r="Q847" s="24">
        <f t="shared" si="309"/>
        <v>157</v>
      </c>
      <c r="R847" s="530">
        <f t="shared" si="310"/>
        <v>0.0454677092383435</v>
      </c>
    </row>
    <row r="848" spans="1:18">
      <c r="A848" s="524"/>
      <c r="B848" s="540" t="s">
        <v>101</v>
      </c>
      <c r="C848" s="551">
        <v>0</v>
      </c>
      <c r="D848" s="551">
        <v>0</v>
      </c>
      <c r="E848" s="551">
        <v>0</v>
      </c>
      <c r="F848" s="551">
        <v>0</v>
      </c>
      <c r="G848" s="551">
        <v>0</v>
      </c>
      <c r="H848" s="551">
        <v>0</v>
      </c>
      <c r="I848" s="551">
        <v>0</v>
      </c>
      <c r="J848" s="551">
        <v>0</v>
      </c>
      <c r="K848" s="527">
        <f t="shared" si="317"/>
        <v>0</v>
      </c>
      <c r="L848" s="528">
        <f t="shared" si="305"/>
        <v>0</v>
      </c>
      <c r="M848" s="528">
        <f t="shared" si="318"/>
        <v>0</v>
      </c>
      <c r="N848" s="528">
        <f t="shared" si="306"/>
        <v>0</v>
      </c>
      <c r="O848" s="528">
        <f t="shared" si="307"/>
        <v>0</v>
      </c>
      <c r="P848" s="529">
        <f t="shared" si="308"/>
        <v>0</v>
      </c>
      <c r="Q848" s="24">
        <f t="shared" si="309"/>
        <v>0</v>
      </c>
      <c r="R848" s="530">
        <f t="shared" si="310"/>
        <v>0</v>
      </c>
    </row>
    <row r="849" spans="1:18">
      <c r="A849" s="524"/>
      <c r="B849" s="531" t="s">
        <v>96</v>
      </c>
      <c r="C849" s="533">
        <f t="shared" ref="C849:J849" si="325">SUM(C845:C848)</f>
        <v>1836.3</v>
      </c>
      <c r="D849" s="533">
        <f t="shared" si="325"/>
        <v>528696</v>
      </c>
      <c r="E849" s="533">
        <f t="shared" si="325"/>
        <v>3631</v>
      </c>
      <c r="F849" s="533">
        <f t="shared" si="325"/>
        <v>5</v>
      </c>
      <c r="G849" s="533">
        <f t="shared" si="325"/>
        <v>41504</v>
      </c>
      <c r="H849" s="533">
        <f t="shared" si="325"/>
        <v>52</v>
      </c>
      <c r="I849" s="533">
        <f t="shared" si="325"/>
        <v>119</v>
      </c>
      <c r="J849" s="533">
        <f t="shared" si="325"/>
        <v>7</v>
      </c>
      <c r="K849" s="534">
        <f t="shared" si="317"/>
        <v>0.00686784087642048</v>
      </c>
      <c r="L849" s="535">
        <f t="shared" si="305"/>
        <v>0.505728449462958</v>
      </c>
      <c r="M849" s="535">
        <f t="shared" si="318"/>
        <v>3.47326251759045</v>
      </c>
      <c r="N849" s="535">
        <f t="shared" si="306"/>
        <v>22.601971355443</v>
      </c>
      <c r="O849" s="535">
        <f t="shared" si="307"/>
        <v>0.00137703112090333</v>
      </c>
      <c r="P849" s="536">
        <f t="shared" si="308"/>
        <v>10.7385964912281</v>
      </c>
      <c r="Q849" s="531">
        <f t="shared" si="309"/>
        <v>171</v>
      </c>
      <c r="R849" s="537">
        <f t="shared" si="310"/>
        <v>0.047094464334894</v>
      </c>
    </row>
    <row r="850" spans="1:18">
      <c r="A850" s="524">
        <v>45620</v>
      </c>
      <c r="B850" s="540" t="s">
        <v>98</v>
      </c>
      <c r="C850" s="551">
        <v>199.75</v>
      </c>
      <c r="D850" s="551">
        <v>6822</v>
      </c>
      <c r="E850" s="551">
        <v>223</v>
      </c>
      <c r="F850" s="551">
        <v>0</v>
      </c>
      <c r="G850" s="551">
        <v>0</v>
      </c>
      <c r="H850" s="551">
        <v>2</v>
      </c>
      <c r="I850" s="551">
        <v>20</v>
      </c>
      <c r="J850" s="551">
        <v>1</v>
      </c>
      <c r="K850" s="527">
        <f t="shared" si="317"/>
        <v>0.0326883611844034</v>
      </c>
      <c r="L850" s="528">
        <f t="shared" ref="L850:L889" si="326">IF(C850=0,0,C850/E850)</f>
        <v>0.895739910313901</v>
      </c>
      <c r="M850" s="528">
        <f t="shared" si="318"/>
        <v>29.2802697156259</v>
      </c>
      <c r="N850" s="528">
        <f t="shared" ref="N850:N889" si="327">IF(G850=0,0,G850/C850)</f>
        <v>0</v>
      </c>
      <c r="O850" s="528">
        <f t="shared" ref="O850:O889" si="328">IF(F850=0,0,F850/E850)</f>
        <v>0</v>
      </c>
      <c r="P850" s="529">
        <f t="shared" ref="P850:P889" si="329">IF(H850+I850=0,0,C850/(H850+I850))</f>
        <v>9.07954545454546</v>
      </c>
      <c r="Q850" s="24">
        <f t="shared" ref="Q850:Q889" si="330">H850+I850</f>
        <v>22</v>
      </c>
      <c r="R850" s="530">
        <f t="shared" ref="R850:R889" si="331">IF(Q850=0,0,Q850/E850)</f>
        <v>0.0986547085201794</v>
      </c>
    </row>
    <row r="851" spans="1:18">
      <c r="A851" s="524"/>
      <c r="B851" s="540" t="s">
        <v>99</v>
      </c>
      <c r="C851" s="551">
        <v>0</v>
      </c>
      <c r="D851" s="551">
        <v>0</v>
      </c>
      <c r="E851" s="551">
        <v>0</v>
      </c>
      <c r="F851" s="551">
        <v>0</v>
      </c>
      <c r="G851" s="551">
        <v>0</v>
      </c>
      <c r="H851" s="551">
        <v>0</v>
      </c>
      <c r="I851" s="551">
        <v>0</v>
      </c>
      <c r="J851" s="551">
        <v>0</v>
      </c>
      <c r="K851" s="527">
        <f t="shared" si="317"/>
        <v>0</v>
      </c>
      <c r="L851" s="528">
        <f t="shared" si="326"/>
        <v>0</v>
      </c>
      <c r="M851" s="528">
        <f t="shared" si="318"/>
        <v>0</v>
      </c>
      <c r="N851" s="528">
        <f t="shared" si="327"/>
        <v>0</v>
      </c>
      <c r="O851" s="528">
        <f t="shared" si="328"/>
        <v>0</v>
      </c>
      <c r="P851" s="529">
        <f t="shared" si="329"/>
        <v>0</v>
      </c>
      <c r="Q851" s="24">
        <f t="shared" si="330"/>
        <v>0</v>
      </c>
      <c r="R851" s="530">
        <f t="shared" si="331"/>
        <v>0</v>
      </c>
    </row>
    <row r="852" spans="1:18">
      <c r="A852" s="524"/>
      <c r="B852" s="540" t="s">
        <v>100</v>
      </c>
      <c r="C852" s="551">
        <v>1608.17</v>
      </c>
      <c r="D852" s="551">
        <v>465468</v>
      </c>
      <c r="E852" s="551">
        <v>3131</v>
      </c>
      <c r="F852" s="551">
        <v>0</v>
      </c>
      <c r="G852" s="551">
        <v>0</v>
      </c>
      <c r="H852" s="551">
        <v>57</v>
      </c>
      <c r="I852" s="551">
        <v>118</v>
      </c>
      <c r="J852" s="551">
        <v>3</v>
      </c>
      <c r="K852" s="527">
        <f t="shared" si="317"/>
        <v>0.00672656337277751</v>
      </c>
      <c r="L852" s="528">
        <f t="shared" si="326"/>
        <v>0.513628233791121</v>
      </c>
      <c r="M852" s="528">
        <f t="shared" si="318"/>
        <v>3.45495286464376</v>
      </c>
      <c r="N852" s="528">
        <f t="shared" si="327"/>
        <v>0</v>
      </c>
      <c r="O852" s="528">
        <f t="shared" si="328"/>
        <v>0</v>
      </c>
      <c r="P852" s="529">
        <f t="shared" si="329"/>
        <v>9.18954285714286</v>
      </c>
      <c r="Q852" s="24">
        <f t="shared" si="330"/>
        <v>175</v>
      </c>
      <c r="R852" s="530">
        <f t="shared" si="331"/>
        <v>0.0558926860427978</v>
      </c>
    </row>
    <row r="853" spans="1:18">
      <c r="A853" s="524"/>
      <c r="B853" s="540" t="s">
        <v>101</v>
      </c>
      <c r="C853" s="551">
        <v>0</v>
      </c>
      <c r="D853" s="551">
        <v>0</v>
      </c>
      <c r="E853" s="551">
        <v>0</v>
      </c>
      <c r="F853" s="551">
        <v>0</v>
      </c>
      <c r="G853" s="551">
        <v>0</v>
      </c>
      <c r="H853" s="551">
        <v>0</v>
      </c>
      <c r="I853" s="551">
        <v>0</v>
      </c>
      <c r="J853" s="551">
        <v>0</v>
      </c>
      <c r="K853" s="527">
        <f t="shared" si="317"/>
        <v>0</v>
      </c>
      <c r="L853" s="528">
        <f t="shared" si="326"/>
        <v>0</v>
      </c>
      <c r="M853" s="528">
        <f t="shared" si="318"/>
        <v>0</v>
      </c>
      <c r="N853" s="528">
        <f t="shared" si="327"/>
        <v>0</v>
      </c>
      <c r="O853" s="528">
        <f t="shared" si="328"/>
        <v>0</v>
      </c>
      <c r="P853" s="529">
        <f t="shared" si="329"/>
        <v>0</v>
      </c>
      <c r="Q853" s="24">
        <f t="shared" si="330"/>
        <v>0</v>
      </c>
      <c r="R853" s="530">
        <f t="shared" si="331"/>
        <v>0</v>
      </c>
    </row>
    <row r="854" spans="1:18">
      <c r="A854" s="524"/>
      <c r="B854" s="531" t="s">
        <v>96</v>
      </c>
      <c r="C854" s="533">
        <f t="shared" ref="C854:J854" si="332">SUM(C850:C853)</f>
        <v>1807.92</v>
      </c>
      <c r="D854" s="533">
        <f t="shared" si="332"/>
        <v>472290</v>
      </c>
      <c r="E854" s="533">
        <f t="shared" si="332"/>
        <v>3354</v>
      </c>
      <c r="F854" s="533">
        <f t="shared" si="332"/>
        <v>0</v>
      </c>
      <c r="G854" s="533">
        <f t="shared" si="332"/>
        <v>0</v>
      </c>
      <c r="H854" s="533">
        <f t="shared" si="332"/>
        <v>59</v>
      </c>
      <c r="I854" s="533">
        <f t="shared" si="332"/>
        <v>138</v>
      </c>
      <c r="J854" s="533">
        <f t="shared" si="332"/>
        <v>4</v>
      </c>
      <c r="K854" s="534">
        <f t="shared" si="317"/>
        <v>0.00710156895127993</v>
      </c>
      <c r="L854" s="535">
        <f t="shared" si="326"/>
        <v>0.539033989266547</v>
      </c>
      <c r="M854" s="535">
        <f t="shared" si="318"/>
        <v>3.82798704185987</v>
      </c>
      <c r="N854" s="535">
        <f t="shared" si="327"/>
        <v>0</v>
      </c>
      <c r="O854" s="535">
        <f t="shared" si="328"/>
        <v>0</v>
      </c>
      <c r="P854" s="536">
        <f t="shared" si="329"/>
        <v>9.17725888324873</v>
      </c>
      <c r="Q854" s="531">
        <f t="shared" si="330"/>
        <v>197</v>
      </c>
      <c r="R854" s="537">
        <f t="shared" si="331"/>
        <v>0.0587358378056052</v>
      </c>
    </row>
    <row r="855" spans="1:18">
      <c r="A855" s="524">
        <v>45621</v>
      </c>
      <c r="B855" s="540" t="s">
        <v>98</v>
      </c>
      <c r="C855" s="551">
        <v>199.58</v>
      </c>
      <c r="D855" s="551">
        <v>5924</v>
      </c>
      <c r="E855" s="551">
        <v>151</v>
      </c>
      <c r="F855" s="551">
        <v>0</v>
      </c>
      <c r="G855" s="551">
        <v>0</v>
      </c>
      <c r="H855" s="551">
        <v>0</v>
      </c>
      <c r="I855" s="551">
        <v>11</v>
      </c>
      <c r="J855" s="551">
        <v>2</v>
      </c>
      <c r="K855" s="527">
        <f t="shared" si="317"/>
        <v>0.025489534098582</v>
      </c>
      <c r="L855" s="528">
        <f t="shared" si="326"/>
        <v>1.32172185430464</v>
      </c>
      <c r="M855" s="528">
        <f t="shared" si="318"/>
        <v>33.6900742741391</v>
      </c>
      <c r="N855" s="528">
        <f t="shared" si="327"/>
        <v>0</v>
      </c>
      <c r="O855" s="528">
        <f t="shared" si="328"/>
        <v>0</v>
      </c>
      <c r="P855" s="529">
        <f t="shared" si="329"/>
        <v>18.1436363636364</v>
      </c>
      <c r="Q855" s="24">
        <f t="shared" si="330"/>
        <v>11</v>
      </c>
      <c r="R855" s="530">
        <f t="shared" si="331"/>
        <v>0.0728476821192053</v>
      </c>
    </row>
    <row r="856" spans="1:18">
      <c r="A856" s="524"/>
      <c r="B856" s="540" t="s">
        <v>99</v>
      </c>
      <c r="C856" s="551">
        <v>0</v>
      </c>
      <c r="D856" s="551">
        <v>0</v>
      </c>
      <c r="E856" s="551">
        <v>0</v>
      </c>
      <c r="F856" s="551">
        <v>0</v>
      </c>
      <c r="G856" s="551">
        <v>0</v>
      </c>
      <c r="H856" s="551">
        <v>0</v>
      </c>
      <c r="I856" s="551">
        <v>0</v>
      </c>
      <c r="J856" s="551">
        <v>0</v>
      </c>
      <c r="K856" s="527">
        <f t="shared" si="317"/>
        <v>0</v>
      </c>
      <c r="L856" s="528">
        <f t="shared" si="326"/>
        <v>0</v>
      </c>
      <c r="M856" s="528">
        <f t="shared" si="318"/>
        <v>0</v>
      </c>
      <c r="N856" s="528">
        <f t="shared" si="327"/>
        <v>0</v>
      </c>
      <c r="O856" s="528">
        <f t="shared" si="328"/>
        <v>0</v>
      </c>
      <c r="P856" s="529">
        <f t="shared" si="329"/>
        <v>0</v>
      </c>
      <c r="Q856" s="24">
        <f t="shared" si="330"/>
        <v>0</v>
      </c>
      <c r="R856" s="530">
        <f t="shared" si="331"/>
        <v>0</v>
      </c>
    </row>
    <row r="857" spans="1:18">
      <c r="A857" s="524"/>
      <c r="B857" s="540" t="s">
        <v>100</v>
      </c>
      <c r="C857" s="551">
        <v>1566.86</v>
      </c>
      <c r="D857" s="551">
        <v>414550</v>
      </c>
      <c r="E857" s="551">
        <v>2732</v>
      </c>
      <c r="F857" s="551">
        <v>2</v>
      </c>
      <c r="G857" s="551">
        <v>22697</v>
      </c>
      <c r="H857" s="551">
        <v>51</v>
      </c>
      <c r="I857" s="551">
        <v>95</v>
      </c>
      <c r="J857" s="551">
        <v>4</v>
      </c>
      <c r="K857" s="527">
        <f t="shared" si="317"/>
        <v>0.00659027861536606</v>
      </c>
      <c r="L857" s="528">
        <f t="shared" si="326"/>
        <v>0.573521229868228</v>
      </c>
      <c r="M857" s="528">
        <f t="shared" si="318"/>
        <v>3.77966469665903</v>
      </c>
      <c r="N857" s="528">
        <f t="shared" si="327"/>
        <v>14.4856592165222</v>
      </c>
      <c r="O857" s="528">
        <f t="shared" si="328"/>
        <v>0.000732064421669107</v>
      </c>
      <c r="P857" s="529">
        <f t="shared" si="329"/>
        <v>10.7319178082192</v>
      </c>
      <c r="Q857" s="24">
        <f t="shared" si="330"/>
        <v>146</v>
      </c>
      <c r="R857" s="530">
        <f t="shared" si="331"/>
        <v>0.0534407027818448</v>
      </c>
    </row>
    <row r="858" spans="1:18">
      <c r="A858" s="524"/>
      <c r="B858" s="540" t="s">
        <v>101</v>
      </c>
      <c r="C858" s="551">
        <v>0</v>
      </c>
      <c r="D858" s="551">
        <v>0</v>
      </c>
      <c r="E858" s="551">
        <v>0</v>
      </c>
      <c r="F858" s="551">
        <v>0</v>
      </c>
      <c r="G858" s="551">
        <v>0</v>
      </c>
      <c r="H858" s="551">
        <v>0</v>
      </c>
      <c r="I858" s="551">
        <v>0</v>
      </c>
      <c r="J858" s="551">
        <v>0</v>
      </c>
      <c r="K858" s="527">
        <f t="shared" si="317"/>
        <v>0</v>
      </c>
      <c r="L858" s="528">
        <f t="shared" si="326"/>
        <v>0</v>
      </c>
      <c r="M858" s="528">
        <f t="shared" si="318"/>
        <v>0</v>
      </c>
      <c r="N858" s="528">
        <f t="shared" si="327"/>
        <v>0</v>
      </c>
      <c r="O858" s="528">
        <f t="shared" si="328"/>
        <v>0</v>
      </c>
      <c r="P858" s="529">
        <f t="shared" si="329"/>
        <v>0</v>
      </c>
      <c r="Q858" s="24">
        <f t="shared" si="330"/>
        <v>0</v>
      </c>
      <c r="R858" s="530">
        <f t="shared" si="331"/>
        <v>0</v>
      </c>
    </row>
    <row r="859" spans="1:18">
      <c r="A859" s="524"/>
      <c r="B859" s="531" t="s">
        <v>96</v>
      </c>
      <c r="C859" s="533">
        <f t="shared" ref="C859:J859" si="333">SUM(C855:C858)</f>
        <v>1766.44</v>
      </c>
      <c r="D859" s="533">
        <f t="shared" si="333"/>
        <v>420474</v>
      </c>
      <c r="E859" s="533">
        <f t="shared" si="333"/>
        <v>2883</v>
      </c>
      <c r="F859" s="533">
        <f t="shared" si="333"/>
        <v>2</v>
      </c>
      <c r="G859" s="533">
        <f t="shared" si="333"/>
        <v>22697</v>
      </c>
      <c r="H859" s="533">
        <f t="shared" si="333"/>
        <v>51</v>
      </c>
      <c r="I859" s="533">
        <f t="shared" si="333"/>
        <v>106</v>
      </c>
      <c r="J859" s="533">
        <f t="shared" si="333"/>
        <v>6</v>
      </c>
      <c r="K859" s="534">
        <f t="shared" si="317"/>
        <v>0.0068565476105538</v>
      </c>
      <c r="L859" s="535">
        <f t="shared" si="326"/>
        <v>0.612708983697537</v>
      </c>
      <c r="M859" s="535">
        <f t="shared" si="318"/>
        <v>4.2010683181362</v>
      </c>
      <c r="N859" s="535">
        <f t="shared" si="327"/>
        <v>12.849007042413</v>
      </c>
      <c r="O859" s="535">
        <f t="shared" si="328"/>
        <v>0.000693721817551162</v>
      </c>
      <c r="P859" s="536">
        <f t="shared" si="329"/>
        <v>11.2512101910828</v>
      </c>
      <c r="Q859" s="531">
        <f t="shared" si="330"/>
        <v>157</v>
      </c>
      <c r="R859" s="537">
        <f t="shared" si="331"/>
        <v>0.0544571626777662</v>
      </c>
    </row>
    <row r="860" spans="1:18">
      <c r="A860" s="524">
        <v>45622</v>
      </c>
      <c r="B860" s="540" t="s">
        <v>98</v>
      </c>
      <c r="C860" s="551">
        <v>199.15</v>
      </c>
      <c r="D860" s="551">
        <v>4540</v>
      </c>
      <c r="E860" s="551">
        <v>151</v>
      </c>
      <c r="F860" s="551">
        <v>0</v>
      </c>
      <c r="G860" s="551">
        <v>0</v>
      </c>
      <c r="H860" s="551">
        <v>3</v>
      </c>
      <c r="I860" s="551">
        <v>18</v>
      </c>
      <c r="J860" s="551">
        <v>1</v>
      </c>
      <c r="K860" s="527">
        <f t="shared" si="317"/>
        <v>0.0332599118942731</v>
      </c>
      <c r="L860" s="528">
        <f t="shared" si="326"/>
        <v>1.31887417218543</v>
      </c>
      <c r="M860" s="528">
        <f t="shared" si="318"/>
        <v>43.8656387665198</v>
      </c>
      <c r="N860" s="528">
        <f t="shared" si="327"/>
        <v>0</v>
      </c>
      <c r="O860" s="528">
        <f t="shared" si="328"/>
        <v>0</v>
      </c>
      <c r="P860" s="529">
        <f t="shared" si="329"/>
        <v>9.48333333333333</v>
      </c>
      <c r="Q860" s="24">
        <f t="shared" si="330"/>
        <v>21</v>
      </c>
      <c r="R860" s="530">
        <f t="shared" si="331"/>
        <v>0.139072847682119</v>
      </c>
    </row>
    <row r="861" spans="1:18">
      <c r="A861" s="524"/>
      <c r="B861" s="540" t="s">
        <v>99</v>
      </c>
      <c r="C861" s="551">
        <v>0</v>
      </c>
      <c r="D861" s="551">
        <v>0</v>
      </c>
      <c r="E861" s="551">
        <v>0</v>
      </c>
      <c r="F861" s="551">
        <v>0</v>
      </c>
      <c r="G861" s="551">
        <v>0</v>
      </c>
      <c r="H861" s="551">
        <v>0</v>
      </c>
      <c r="I861" s="551">
        <v>0</v>
      </c>
      <c r="J861" s="551">
        <v>0</v>
      </c>
      <c r="K861" s="527">
        <f t="shared" si="317"/>
        <v>0</v>
      </c>
      <c r="L861" s="528">
        <f t="shared" si="326"/>
        <v>0</v>
      </c>
      <c r="M861" s="528">
        <f t="shared" si="318"/>
        <v>0</v>
      </c>
      <c r="N861" s="528">
        <f t="shared" si="327"/>
        <v>0</v>
      </c>
      <c r="O861" s="528">
        <f t="shared" si="328"/>
        <v>0</v>
      </c>
      <c r="P861" s="529">
        <f t="shared" si="329"/>
        <v>0</v>
      </c>
      <c r="Q861" s="24">
        <f t="shared" si="330"/>
        <v>0</v>
      </c>
      <c r="R861" s="530">
        <f t="shared" si="331"/>
        <v>0</v>
      </c>
    </row>
    <row r="862" spans="1:18">
      <c r="A862" s="524"/>
      <c r="B862" s="540" t="s">
        <v>100</v>
      </c>
      <c r="C862" s="551">
        <v>1609.5</v>
      </c>
      <c r="D862" s="551">
        <v>490364</v>
      </c>
      <c r="E862" s="551">
        <v>4105</v>
      </c>
      <c r="F862" s="551">
        <v>0</v>
      </c>
      <c r="G862" s="551">
        <v>0</v>
      </c>
      <c r="H862" s="551">
        <v>42</v>
      </c>
      <c r="I862" s="551">
        <v>102</v>
      </c>
      <c r="J862" s="551">
        <v>6</v>
      </c>
      <c r="K862" s="527">
        <f t="shared" si="317"/>
        <v>0.00837133231640169</v>
      </c>
      <c r="L862" s="528">
        <f t="shared" si="326"/>
        <v>0.392082825822168</v>
      </c>
      <c r="M862" s="528">
        <f t="shared" si="318"/>
        <v>3.28225563051121</v>
      </c>
      <c r="N862" s="528">
        <f t="shared" si="327"/>
        <v>0</v>
      </c>
      <c r="O862" s="528">
        <f t="shared" si="328"/>
        <v>0</v>
      </c>
      <c r="P862" s="529">
        <f t="shared" si="329"/>
        <v>11.1770833333333</v>
      </c>
      <c r="Q862" s="24">
        <f t="shared" si="330"/>
        <v>144</v>
      </c>
      <c r="R862" s="530">
        <f t="shared" si="331"/>
        <v>0.0350791717417783</v>
      </c>
    </row>
    <row r="863" spans="1:18">
      <c r="A863" s="524"/>
      <c r="B863" s="540" t="s">
        <v>101</v>
      </c>
      <c r="C863" s="551">
        <v>0</v>
      </c>
      <c r="D863" s="551">
        <v>0</v>
      </c>
      <c r="E863" s="551">
        <v>0</v>
      </c>
      <c r="F863" s="551">
        <v>0</v>
      </c>
      <c r="G863" s="551">
        <v>0</v>
      </c>
      <c r="H863" s="551">
        <v>0</v>
      </c>
      <c r="I863" s="551">
        <v>0</v>
      </c>
      <c r="J863" s="551">
        <v>0</v>
      </c>
      <c r="K863" s="527">
        <f t="shared" si="317"/>
        <v>0</v>
      </c>
      <c r="L863" s="528">
        <f t="shared" si="326"/>
        <v>0</v>
      </c>
      <c r="M863" s="528">
        <f t="shared" si="318"/>
        <v>0</v>
      </c>
      <c r="N863" s="528">
        <f t="shared" si="327"/>
        <v>0</v>
      </c>
      <c r="O863" s="528">
        <f t="shared" si="328"/>
        <v>0</v>
      </c>
      <c r="P863" s="529">
        <f t="shared" si="329"/>
        <v>0</v>
      </c>
      <c r="Q863" s="24">
        <f t="shared" si="330"/>
        <v>0</v>
      </c>
      <c r="R863" s="530">
        <f t="shared" si="331"/>
        <v>0</v>
      </c>
    </row>
    <row r="864" spans="1:18">
      <c r="A864" s="524"/>
      <c r="B864" s="531" t="s">
        <v>96</v>
      </c>
      <c r="C864" s="533">
        <f t="shared" ref="C864:J864" si="334">SUM(C860:C863)</f>
        <v>1808.65</v>
      </c>
      <c r="D864" s="533">
        <f t="shared" si="334"/>
        <v>494904</v>
      </c>
      <c r="E864" s="533">
        <f t="shared" si="334"/>
        <v>4256</v>
      </c>
      <c r="F864" s="533">
        <f t="shared" si="334"/>
        <v>0</v>
      </c>
      <c r="G864" s="533">
        <f t="shared" si="334"/>
        <v>0</v>
      </c>
      <c r="H864" s="533">
        <f t="shared" si="334"/>
        <v>45</v>
      </c>
      <c r="I864" s="533">
        <f t="shared" si="334"/>
        <v>120</v>
      </c>
      <c r="J864" s="533">
        <f t="shared" si="334"/>
        <v>7</v>
      </c>
      <c r="K864" s="534">
        <f t="shared" si="317"/>
        <v>0.00859964760842507</v>
      </c>
      <c r="L864" s="535">
        <f t="shared" si="326"/>
        <v>0.424964755639098</v>
      </c>
      <c r="M864" s="535">
        <f t="shared" si="318"/>
        <v>3.65454714449671</v>
      </c>
      <c r="N864" s="535">
        <f t="shared" si="327"/>
        <v>0</v>
      </c>
      <c r="O864" s="535">
        <f t="shared" si="328"/>
        <v>0</v>
      </c>
      <c r="P864" s="536">
        <f t="shared" si="329"/>
        <v>10.9615151515152</v>
      </c>
      <c r="Q864" s="531">
        <f t="shared" si="330"/>
        <v>165</v>
      </c>
      <c r="R864" s="537">
        <f t="shared" si="331"/>
        <v>0.0387687969924812</v>
      </c>
    </row>
    <row r="865" spans="1:18">
      <c r="A865" s="524">
        <v>45623</v>
      </c>
      <c r="B865" s="540" t="s">
        <v>98</v>
      </c>
      <c r="C865" s="551">
        <v>199.66</v>
      </c>
      <c r="D865" s="551">
        <v>9066</v>
      </c>
      <c r="E865" s="551">
        <v>189</v>
      </c>
      <c r="F865" s="551">
        <v>0</v>
      </c>
      <c r="G865" s="551">
        <v>0</v>
      </c>
      <c r="H865" s="551">
        <v>0</v>
      </c>
      <c r="I865" s="551">
        <v>10</v>
      </c>
      <c r="J865" s="551">
        <v>2</v>
      </c>
      <c r="K865" s="527">
        <f t="shared" si="317"/>
        <v>0.0208471211118465</v>
      </c>
      <c r="L865" s="528">
        <f t="shared" si="326"/>
        <v>1.05640211640212</v>
      </c>
      <c r="M865" s="528">
        <f t="shared" si="318"/>
        <v>22.0229428634458</v>
      </c>
      <c r="N865" s="528">
        <f t="shared" si="327"/>
        <v>0</v>
      </c>
      <c r="O865" s="528">
        <f t="shared" si="328"/>
        <v>0</v>
      </c>
      <c r="P865" s="529">
        <f t="shared" si="329"/>
        <v>19.966</v>
      </c>
      <c r="Q865" s="24">
        <f t="shared" si="330"/>
        <v>10</v>
      </c>
      <c r="R865" s="530">
        <f t="shared" si="331"/>
        <v>0.0529100529100529</v>
      </c>
    </row>
    <row r="866" spans="1:18">
      <c r="A866" s="524"/>
      <c r="B866" s="540" t="s">
        <v>99</v>
      </c>
      <c r="C866" s="551">
        <v>0</v>
      </c>
      <c r="D866" s="551">
        <v>0</v>
      </c>
      <c r="E866" s="551">
        <v>0</v>
      </c>
      <c r="F866" s="551">
        <v>0</v>
      </c>
      <c r="G866" s="551">
        <v>0</v>
      </c>
      <c r="H866" s="551">
        <v>0</v>
      </c>
      <c r="I866" s="551">
        <v>0</v>
      </c>
      <c r="J866" s="551">
        <v>0</v>
      </c>
      <c r="K866" s="527">
        <f t="shared" si="317"/>
        <v>0</v>
      </c>
      <c r="L866" s="528">
        <f t="shared" si="326"/>
        <v>0</v>
      </c>
      <c r="M866" s="528">
        <f t="shared" si="318"/>
        <v>0</v>
      </c>
      <c r="N866" s="528">
        <f t="shared" si="327"/>
        <v>0</v>
      </c>
      <c r="O866" s="528">
        <f t="shared" si="328"/>
        <v>0</v>
      </c>
      <c r="P866" s="529">
        <f t="shared" si="329"/>
        <v>0</v>
      </c>
      <c r="Q866" s="24">
        <f t="shared" si="330"/>
        <v>0</v>
      </c>
      <c r="R866" s="530">
        <f t="shared" si="331"/>
        <v>0</v>
      </c>
    </row>
    <row r="867" spans="1:18">
      <c r="A867" s="524"/>
      <c r="B867" s="540" t="s">
        <v>100</v>
      </c>
      <c r="C867" s="551">
        <v>1607.85</v>
      </c>
      <c r="D867" s="551">
        <v>442302</v>
      </c>
      <c r="E867" s="551">
        <v>3682</v>
      </c>
      <c r="F867" s="551">
        <v>0</v>
      </c>
      <c r="G867" s="551">
        <v>0</v>
      </c>
      <c r="H867" s="551">
        <v>31</v>
      </c>
      <c r="I867" s="551">
        <v>95</v>
      </c>
      <c r="J867" s="551">
        <v>2</v>
      </c>
      <c r="K867" s="527">
        <f t="shared" si="317"/>
        <v>0.00832462887348463</v>
      </c>
      <c r="L867" s="528">
        <f t="shared" si="326"/>
        <v>0.436678435632808</v>
      </c>
      <c r="M867" s="528">
        <f t="shared" si="318"/>
        <v>3.63518591369698</v>
      </c>
      <c r="N867" s="528">
        <f t="shared" si="327"/>
        <v>0</v>
      </c>
      <c r="O867" s="528">
        <f t="shared" si="328"/>
        <v>0</v>
      </c>
      <c r="P867" s="529">
        <f t="shared" si="329"/>
        <v>12.7607142857143</v>
      </c>
      <c r="Q867" s="24">
        <f t="shared" si="330"/>
        <v>126</v>
      </c>
      <c r="R867" s="530">
        <f t="shared" si="331"/>
        <v>0.0342205323193916</v>
      </c>
    </row>
    <row r="868" spans="1:18">
      <c r="A868" s="524"/>
      <c r="B868" s="540" t="s">
        <v>101</v>
      </c>
      <c r="C868" s="551">
        <v>0</v>
      </c>
      <c r="D868" s="551">
        <v>0</v>
      </c>
      <c r="E868" s="551">
        <v>0</v>
      </c>
      <c r="F868" s="551">
        <v>0</v>
      </c>
      <c r="G868" s="551">
        <v>0</v>
      </c>
      <c r="H868" s="551">
        <v>0</v>
      </c>
      <c r="I868" s="551">
        <v>0</v>
      </c>
      <c r="J868" s="551">
        <v>0</v>
      </c>
      <c r="K868" s="527">
        <f t="shared" si="317"/>
        <v>0</v>
      </c>
      <c r="L868" s="528">
        <f t="shared" si="326"/>
        <v>0</v>
      </c>
      <c r="M868" s="528">
        <f t="shared" si="318"/>
        <v>0</v>
      </c>
      <c r="N868" s="528">
        <f t="shared" si="327"/>
        <v>0</v>
      </c>
      <c r="O868" s="528">
        <f t="shared" si="328"/>
        <v>0</v>
      </c>
      <c r="P868" s="529">
        <f t="shared" si="329"/>
        <v>0</v>
      </c>
      <c r="Q868" s="24">
        <f t="shared" si="330"/>
        <v>0</v>
      </c>
      <c r="R868" s="530">
        <f t="shared" si="331"/>
        <v>0</v>
      </c>
    </row>
    <row r="869" spans="1:18">
      <c r="A869" s="524"/>
      <c r="B869" s="531" t="s">
        <v>96</v>
      </c>
      <c r="C869" s="533">
        <f t="shared" ref="C869:J869" si="335">SUM(C865:C868)</f>
        <v>1807.51</v>
      </c>
      <c r="D869" s="533">
        <f t="shared" si="335"/>
        <v>451368</v>
      </c>
      <c r="E869" s="533">
        <f t="shared" si="335"/>
        <v>3871</v>
      </c>
      <c r="F869" s="533">
        <f t="shared" si="335"/>
        <v>0</v>
      </c>
      <c r="G869" s="533">
        <f t="shared" si="335"/>
        <v>0</v>
      </c>
      <c r="H869" s="533">
        <f t="shared" si="335"/>
        <v>31</v>
      </c>
      <c r="I869" s="533">
        <f t="shared" si="335"/>
        <v>105</v>
      </c>
      <c r="J869" s="533">
        <f t="shared" si="335"/>
        <v>4</v>
      </c>
      <c r="K869" s="534">
        <f t="shared" si="317"/>
        <v>0.0085761507240212</v>
      </c>
      <c r="L869" s="535">
        <f t="shared" si="326"/>
        <v>0.466936192198398</v>
      </c>
      <c r="M869" s="535">
        <f t="shared" si="318"/>
        <v>4.004515162794</v>
      </c>
      <c r="N869" s="535">
        <f t="shared" si="327"/>
        <v>0</v>
      </c>
      <c r="O869" s="535">
        <f t="shared" si="328"/>
        <v>0</v>
      </c>
      <c r="P869" s="536">
        <f t="shared" si="329"/>
        <v>13.2905147058824</v>
      </c>
      <c r="Q869" s="531">
        <f t="shared" si="330"/>
        <v>136</v>
      </c>
      <c r="R869" s="537">
        <f t="shared" si="331"/>
        <v>0.0351330405579953</v>
      </c>
    </row>
    <row r="870" spans="1:18">
      <c r="A870" s="524">
        <v>45624</v>
      </c>
      <c r="B870" s="540" t="s">
        <v>98</v>
      </c>
      <c r="C870" s="551">
        <v>200</v>
      </c>
      <c r="D870" s="551">
        <v>8243</v>
      </c>
      <c r="E870" s="551">
        <v>196</v>
      </c>
      <c r="F870" s="551">
        <v>0</v>
      </c>
      <c r="G870" s="551">
        <v>0</v>
      </c>
      <c r="H870" s="551">
        <v>6</v>
      </c>
      <c r="I870" s="551">
        <v>10</v>
      </c>
      <c r="J870" s="551">
        <v>3</v>
      </c>
      <c r="K870" s="527">
        <f t="shared" si="317"/>
        <v>0.0237777508188766</v>
      </c>
      <c r="L870" s="528">
        <f t="shared" si="326"/>
        <v>1.02040816326531</v>
      </c>
      <c r="M870" s="528">
        <f t="shared" si="318"/>
        <v>24.26301103967</v>
      </c>
      <c r="N870" s="528">
        <f t="shared" si="327"/>
        <v>0</v>
      </c>
      <c r="O870" s="528">
        <f t="shared" si="328"/>
        <v>0</v>
      </c>
      <c r="P870" s="529">
        <f t="shared" si="329"/>
        <v>12.5</v>
      </c>
      <c r="Q870" s="24">
        <f t="shared" si="330"/>
        <v>16</v>
      </c>
      <c r="R870" s="530">
        <f t="shared" si="331"/>
        <v>0.0816326530612245</v>
      </c>
    </row>
    <row r="871" spans="1:18">
      <c r="A871" s="524"/>
      <c r="B871" s="540" t="s">
        <v>99</v>
      </c>
      <c r="C871" s="551">
        <v>0</v>
      </c>
      <c r="D871" s="551">
        <v>0</v>
      </c>
      <c r="E871" s="551">
        <v>0</v>
      </c>
      <c r="F871" s="551">
        <v>0</v>
      </c>
      <c r="G871" s="551">
        <v>0</v>
      </c>
      <c r="H871" s="551">
        <v>0</v>
      </c>
      <c r="I871" s="551">
        <v>0</v>
      </c>
      <c r="J871" s="551">
        <v>0</v>
      </c>
      <c r="K871" s="527">
        <f t="shared" si="317"/>
        <v>0</v>
      </c>
      <c r="L871" s="528">
        <f t="shared" si="326"/>
        <v>0</v>
      </c>
      <c r="M871" s="528">
        <f t="shared" si="318"/>
        <v>0</v>
      </c>
      <c r="N871" s="528">
        <f t="shared" si="327"/>
        <v>0</v>
      </c>
      <c r="O871" s="528">
        <f t="shared" si="328"/>
        <v>0</v>
      </c>
      <c r="P871" s="529">
        <f t="shared" si="329"/>
        <v>0</v>
      </c>
      <c r="Q871" s="24">
        <f t="shared" si="330"/>
        <v>0</v>
      </c>
      <c r="R871" s="530">
        <f t="shared" si="331"/>
        <v>0</v>
      </c>
    </row>
    <row r="872" spans="1:18">
      <c r="A872" s="524"/>
      <c r="B872" s="540" t="s">
        <v>100</v>
      </c>
      <c r="C872" s="551">
        <v>1610.19</v>
      </c>
      <c r="D872" s="551">
        <v>325068</v>
      </c>
      <c r="E872" s="551">
        <v>2272</v>
      </c>
      <c r="F872" s="551">
        <v>0</v>
      </c>
      <c r="G872" s="551">
        <v>0</v>
      </c>
      <c r="H872" s="551">
        <v>48</v>
      </c>
      <c r="I872" s="551">
        <v>126</v>
      </c>
      <c r="J872" s="551">
        <v>10</v>
      </c>
      <c r="K872" s="527">
        <f t="shared" si="317"/>
        <v>0.00698930685272005</v>
      </c>
      <c r="L872" s="528">
        <f t="shared" si="326"/>
        <v>0.708710387323944</v>
      </c>
      <c r="M872" s="528">
        <f t="shared" si="318"/>
        <v>4.95339436671712</v>
      </c>
      <c r="N872" s="528">
        <f t="shared" si="327"/>
        <v>0</v>
      </c>
      <c r="O872" s="528">
        <f t="shared" si="328"/>
        <v>0</v>
      </c>
      <c r="P872" s="529">
        <f t="shared" si="329"/>
        <v>9.25396551724138</v>
      </c>
      <c r="Q872" s="24">
        <f t="shared" si="330"/>
        <v>174</v>
      </c>
      <c r="R872" s="530">
        <f t="shared" si="331"/>
        <v>0.0765845070422535</v>
      </c>
    </row>
    <row r="873" spans="1:18">
      <c r="A873" s="524"/>
      <c r="B873" s="540" t="s">
        <v>101</v>
      </c>
      <c r="C873" s="551">
        <v>0</v>
      </c>
      <c r="D873" s="551">
        <v>0</v>
      </c>
      <c r="E873" s="551">
        <v>0</v>
      </c>
      <c r="F873" s="551">
        <v>0</v>
      </c>
      <c r="G873" s="551">
        <v>0</v>
      </c>
      <c r="H873" s="551">
        <v>0</v>
      </c>
      <c r="I873" s="551">
        <v>0</v>
      </c>
      <c r="J873" s="551">
        <v>0</v>
      </c>
      <c r="K873" s="527">
        <f t="shared" si="317"/>
        <v>0</v>
      </c>
      <c r="L873" s="528">
        <f t="shared" si="326"/>
        <v>0</v>
      </c>
      <c r="M873" s="528">
        <f t="shared" si="318"/>
        <v>0</v>
      </c>
      <c r="N873" s="528">
        <f t="shared" si="327"/>
        <v>0</v>
      </c>
      <c r="O873" s="528">
        <f t="shared" si="328"/>
        <v>0</v>
      </c>
      <c r="P873" s="529">
        <f t="shared" si="329"/>
        <v>0</v>
      </c>
      <c r="Q873" s="24">
        <f t="shared" si="330"/>
        <v>0</v>
      </c>
      <c r="R873" s="530">
        <f t="shared" si="331"/>
        <v>0</v>
      </c>
    </row>
    <row r="874" spans="1:18">
      <c r="A874" s="524"/>
      <c r="B874" s="531" t="s">
        <v>96</v>
      </c>
      <c r="C874" s="533">
        <f t="shared" ref="C874:J874" si="336">SUM(C870:C873)</f>
        <v>1810.19</v>
      </c>
      <c r="D874" s="533">
        <f t="shared" si="336"/>
        <v>333311</v>
      </c>
      <c r="E874" s="533">
        <f t="shared" si="336"/>
        <v>2468</v>
      </c>
      <c r="F874" s="533">
        <f t="shared" si="336"/>
        <v>0</v>
      </c>
      <c r="G874" s="533">
        <f t="shared" si="336"/>
        <v>0</v>
      </c>
      <c r="H874" s="533">
        <f t="shared" si="336"/>
        <v>54</v>
      </c>
      <c r="I874" s="533">
        <f t="shared" si="336"/>
        <v>136</v>
      </c>
      <c r="J874" s="533">
        <f t="shared" si="336"/>
        <v>13</v>
      </c>
      <c r="K874" s="534">
        <f t="shared" si="317"/>
        <v>0.00740449610123878</v>
      </c>
      <c r="L874" s="535">
        <f t="shared" si="326"/>
        <v>0.733464343598055</v>
      </c>
      <c r="M874" s="535">
        <f t="shared" si="318"/>
        <v>5.43093387256946</v>
      </c>
      <c r="N874" s="535">
        <f t="shared" si="327"/>
        <v>0</v>
      </c>
      <c r="O874" s="535">
        <f t="shared" si="328"/>
        <v>0</v>
      </c>
      <c r="P874" s="536">
        <f t="shared" si="329"/>
        <v>9.52731578947368</v>
      </c>
      <c r="Q874" s="531">
        <f t="shared" si="330"/>
        <v>190</v>
      </c>
      <c r="R874" s="537">
        <f t="shared" si="331"/>
        <v>0.0769854132901134</v>
      </c>
    </row>
    <row r="875" spans="1:18">
      <c r="A875" s="524">
        <v>45625</v>
      </c>
      <c r="B875" s="540" t="s">
        <v>98</v>
      </c>
      <c r="C875" s="551">
        <v>211.7</v>
      </c>
      <c r="D875" s="551">
        <v>7496</v>
      </c>
      <c r="E875" s="551">
        <v>229</v>
      </c>
      <c r="F875" s="551">
        <v>0</v>
      </c>
      <c r="G875" s="551">
        <v>0</v>
      </c>
      <c r="H875" s="551">
        <v>1</v>
      </c>
      <c r="I875" s="551">
        <v>25</v>
      </c>
      <c r="J875" s="551">
        <v>0</v>
      </c>
      <c r="K875" s="527">
        <f t="shared" si="317"/>
        <v>0.0305496264674493</v>
      </c>
      <c r="L875" s="528">
        <f t="shared" si="326"/>
        <v>0.924454148471616</v>
      </c>
      <c r="M875" s="528">
        <f t="shared" si="318"/>
        <v>28.2417289220918</v>
      </c>
      <c r="N875" s="528">
        <f t="shared" si="327"/>
        <v>0</v>
      </c>
      <c r="O875" s="528">
        <f t="shared" si="328"/>
        <v>0</v>
      </c>
      <c r="P875" s="529">
        <f t="shared" si="329"/>
        <v>8.14230769230769</v>
      </c>
      <c r="Q875" s="24">
        <f t="shared" si="330"/>
        <v>26</v>
      </c>
      <c r="R875" s="530">
        <f t="shared" si="331"/>
        <v>0.11353711790393</v>
      </c>
    </row>
    <row r="876" spans="1:18">
      <c r="A876" s="524"/>
      <c r="B876" s="540" t="s">
        <v>99</v>
      </c>
      <c r="C876" s="551">
        <v>0</v>
      </c>
      <c r="D876" s="551">
        <v>0</v>
      </c>
      <c r="E876" s="551">
        <v>0</v>
      </c>
      <c r="F876" s="551">
        <v>0</v>
      </c>
      <c r="G876" s="551">
        <v>0</v>
      </c>
      <c r="H876" s="551">
        <v>0</v>
      </c>
      <c r="I876" s="551">
        <v>0</v>
      </c>
      <c r="J876" s="551">
        <v>0</v>
      </c>
      <c r="K876" s="527">
        <f t="shared" si="317"/>
        <v>0</v>
      </c>
      <c r="L876" s="528">
        <f t="shared" si="326"/>
        <v>0</v>
      </c>
      <c r="M876" s="528">
        <f t="shared" si="318"/>
        <v>0</v>
      </c>
      <c r="N876" s="528">
        <f t="shared" si="327"/>
        <v>0</v>
      </c>
      <c r="O876" s="528">
        <f t="shared" si="328"/>
        <v>0</v>
      </c>
      <c r="P876" s="529">
        <f t="shared" si="329"/>
        <v>0</v>
      </c>
      <c r="Q876" s="24">
        <f t="shared" si="330"/>
        <v>0</v>
      </c>
      <c r="R876" s="530">
        <f t="shared" si="331"/>
        <v>0</v>
      </c>
    </row>
    <row r="877" spans="1:18">
      <c r="A877" s="524"/>
      <c r="B877" s="540" t="s">
        <v>100</v>
      </c>
      <c r="C877" s="551">
        <v>1616.3</v>
      </c>
      <c r="D877" s="551">
        <v>310038</v>
      </c>
      <c r="E877" s="551">
        <v>2917</v>
      </c>
      <c r="F877" s="551">
        <v>2</v>
      </c>
      <c r="G877" s="551">
        <v>30214</v>
      </c>
      <c r="H877" s="551">
        <v>50</v>
      </c>
      <c r="I877" s="551">
        <v>95</v>
      </c>
      <c r="J877" s="551">
        <v>9</v>
      </c>
      <c r="K877" s="527">
        <f t="shared" si="317"/>
        <v>0.00940852411639864</v>
      </c>
      <c r="L877" s="528">
        <f t="shared" si="326"/>
        <v>0.554096674665753</v>
      </c>
      <c r="M877" s="528">
        <f t="shared" si="318"/>
        <v>5.21323192640902</v>
      </c>
      <c r="N877" s="528">
        <f t="shared" si="327"/>
        <v>18.6933118851698</v>
      </c>
      <c r="O877" s="528">
        <f t="shared" si="328"/>
        <v>0.000685635927322592</v>
      </c>
      <c r="P877" s="529">
        <f t="shared" si="329"/>
        <v>11.1468965517241</v>
      </c>
      <c r="Q877" s="24">
        <f t="shared" si="330"/>
        <v>145</v>
      </c>
      <c r="R877" s="530">
        <f t="shared" si="331"/>
        <v>0.0497086047308879</v>
      </c>
    </row>
    <row r="878" spans="1:18">
      <c r="A878" s="524"/>
      <c r="B878" s="540" t="s">
        <v>101</v>
      </c>
      <c r="C878" s="551">
        <v>0</v>
      </c>
      <c r="D878" s="551">
        <v>0</v>
      </c>
      <c r="E878" s="551">
        <v>0</v>
      </c>
      <c r="F878" s="551">
        <v>0</v>
      </c>
      <c r="G878" s="551">
        <v>0</v>
      </c>
      <c r="H878" s="551">
        <v>0</v>
      </c>
      <c r="I878" s="551">
        <v>0</v>
      </c>
      <c r="J878" s="551">
        <v>0</v>
      </c>
      <c r="K878" s="527">
        <f t="shared" si="317"/>
        <v>0</v>
      </c>
      <c r="L878" s="528">
        <f t="shared" si="326"/>
        <v>0</v>
      </c>
      <c r="M878" s="528">
        <f t="shared" si="318"/>
        <v>0</v>
      </c>
      <c r="N878" s="528">
        <f t="shared" si="327"/>
        <v>0</v>
      </c>
      <c r="O878" s="528">
        <f t="shared" si="328"/>
        <v>0</v>
      </c>
      <c r="P878" s="529">
        <f t="shared" si="329"/>
        <v>0</v>
      </c>
      <c r="Q878" s="24">
        <f t="shared" si="330"/>
        <v>0</v>
      </c>
      <c r="R878" s="530">
        <f t="shared" si="331"/>
        <v>0</v>
      </c>
    </row>
    <row r="879" spans="1:18">
      <c r="A879" s="524"/>
      <c r="B879" s="531" t="s">
        <v>96</v>
      </c>
      <c r="C879" s="533">
        <f t="shared" ref="C879:J879" si="337">SUM(C875:C878)</f>
        <v>1828</v>
      </c>
      <c r="D879" s="533">
        <f t="shared" si="337"/>
        <v>317534</v>
      </c>
      <c r="E879" s="533">
        <f t="shared" si="337"/>
        <v>3146</v>
      </c>
      <c r="F879" s="533">
        <f t="shared" si="337"/>
        <v>2</v>
      </c>
      <c r="G879" s="533">
        <f t="shared" si="337"/>
        <v>30214</v>
      </c>
      <c r="H879" s="533">
        <f t="shared" si="337"/>
        <v>51</v>
      </c>
      <c r="I879" s="533">
        <f t="shared" si="337"/>
        <v>120</v>
      </c>
      <c r="J879" s="533">
        <f t="shared" si="337"/>
        <v>9</v>
      </c>
      <c r="K879" s="534">
        <f t="shared" ref="K879:K889" si="338">IF(E879=0,0,E879/D879)</f>
        <v>0.0099076004459365</v>
      </c>
      <c r="L879" s="535">
        <f t="shared" si="326"/>
        <v>0.581055308328036</v>
      </c>
      <c r="M879" s="535">
        <f t="shared" ref="M879:M889" si="339">IF(D879=0,0,C879/D879*1000)</f>
        <v>5.75686383190461</v>
      </c>
      <c r="N879" s="535">
        <f t="shared" si="327"/>
        <v>16.5284463894967</v>
      </c>
      <c r="O879" s="535">
        <f t="shared" si="328"/>
        <v>0.000635727908455181</v>
      </c>
      <c r="P879" s="536">
        <f t="shared" si="329"/>
        <v>10.6900584795322</v>
      </c>
      <c r="Q879" s="531">
        <f t="shared" si="330"/>
        <v>171</v>
      </c>
      <c r="R879" s="537">
        <f t="shared" si="331"/>
        <v>0.054354736172918</v>
      </c>
    </row>
    <row r="880" spans="1:18">
      <c r="A880" s="524">
        <v>45626</v>
      </c>
      <c r="B880" s="540" t="s">
        <v>98</v>
      </c>
      <c r="C880" s="551">
        <v>200</v>
      </c>
      <c r="D880" s="551">
        <v>7167</v>
      </c>
      <c r="E880" s="551">
        <v>227</v>
      </c>
      <c r="F880" s="551">
        <v>0</v>
      </c>
      <c r="G880" s="551">
        <v>0</v>
      </c>
      <c r="H880" s="551">
        <v>4</v>
      </c>
      <c r="I880" s="551">
        <v>31</v>
      </c>
      <c r="J880" s="551">
        <v>3</v>
      </c>
      <c r="K880" s="527">
        <f t="shared" si="338"/>
        <v>0.0316729454443979</v>
      </c>
      <c r="L880" s="528">
        <f t="shared" si="326"/>
        <v>0.881057268722467</v>
      </c>
      <c r="M880" s="528">
        <f t="shared" si="339"/>
        <v>27.9056788056369</v>
      </c>
      <c r="N880" s="528">
        <f t="shared" si="327"/>
        <v>0</v>
      </c>
      <c r="O880" s="528">
        <f t="shared" si="328"/>
        <v>0</v>
      </c>
      <c r="P880" s="529">
        <f t="shared" si="329"/>
        <v>5.71428571428571</v>
      </c>
      <c r="Q880" s="24">
        <f t="shared" si="330"/>
        <v>35</v>
      </c>
      <c r="R880" s="530">
        <f t="shared" si="331"/>
        <v>0.154185022026432</v>
      </c>
    </row>
    <row r="881" spans="1:18">
      <c r="A881" s="524"/>
      <c r="B881" s="540" t="s">
        <v>99</v>
      </c>
      <c r="C881" s="551">
        <v>0</v>
      </c>
      <c r="D881" s="551">
        <v>0</v>
      </c>
      <c r="E881" s="551">
        <v>0</v>
      </c>
      <c r="F881" s="551">
        <v>0</v>
      </c>
      <c r="G881" s="551">
        <v>0</v>
      </c>
      <c r="H881" s="551">
        <v>0</v>
      </c>
      <c r="I881" s="551">
        <v>0</v>
      </c>
      <c r="J881" s="551">
        <v>0</v>
      </c>
      <c r="K881" s="527">
        <f t="shared" si="338"/>
        <v>0</v>
      </c>
      <c r="L881" s="528">
        <f t="shared" si="326"/>
        <v>0</v>
      </c>
      <c r="M881" s="528">
        <f t="shared" si="339"/>
        <v>0</v>
      </c>
      <c r="N881" s="528">
        <f t="shared" si="327"/>
        <v>0</v>
      </c>
      <c r="O881" s="528">
        <f t="shared" si="328"/>
        <v>0</v>
      </c>
      <c r="P881" s="529">
        <f t="shared" si="329"/>
        <v>0</v>
      </c>
      <c r="Q881" s="24">
        <f t="shared" si="330"/>
        <v>0</v>
      </c>
      <c r="R881" s="530">
        <f t="shared" si="331"/>
        <v>0</v>
      </c>
    </row>
    <row r="882" spans="1:18">
      <c r="A882" s="524"/>
      <c r="B882" s="540" t="s">
        <v>100</v>
      </c>
      <c r="C882" s="551">
        <v>1570.3</v>
      </c>
      <c r="D882" s="551">
        <v>182040</v>
      </c>
      <c r="E882" s="551">
        <v>1926</v>
      </c>
      <c r="F882" s="551">
        <v>2</v>
      </c>
      <c r="G882" s="551">
        <v>13626</v>
      </c>
      <c r="H882" s="551">
        <v>52</v>
      </c>
      <c r="I882" s="551">
        <v>153</v>
      </c>
      <c r="J882" s="551">
        <v>8</v>
      </c>
      <c r="K882" s="527">
        <f t="shared" si="338"/>
        <v>0.0105800922874094</v>
      </c>
      <c r="L882" s="528">
        <f t="shared" si="326"/>
        <v>0.815316718587747</v>
      </c>
      <c r="M882" s="528">
        <f t="shared" si="339"/>
        <v>8.62612612612613</v>
      </c>
      <c r="N882" s="528">
        <f t="shared" si="327"/>
        <v>8.67732280455964</v>
      </c>
      <c r="O882" s="528">
        <f t="shared" si="328"/>
        <v>0.00103842159916926</v>
      </c>
      <c r="P882" s="529">
        <f t="shared" si="329"/>
        <v>7.66</v>
      </c>
      <c r="Q882" s="24">
        <f t="shared" si="330"/>
        <v>205</v>
      </c>
      <c r="R882" s="530">
        <f t="shared" si="331"/>
        <v>0.106438213914849</v>
      </c>
    </row>
    <row r="883" spans="1:18">
      <c r="A883" s="524"/>
      <c r="B883" s="540" t="s">
        <v>101</v>
      </c>
      <c r="C883" s="551">
        <v>0</v>
      </c>
      <c r="D883" s="551">
        <v>0</v>
      </c>
      <c r="E883" s="551">
        <v>0</v>
      </c>
      <c r="F883" s="551">
        <v>0</v>
      </c>
      <c r="G883" s="551">
        <v>0</v>
      </c>
      <c r="H883" s="551">
        <v>0</v>
      </c>
      <c r="I883" s="551">
        <v>0</v>
      </c>
      <c r="J883" s="551">
        <v>0</v>
      </c>
      <c r="K883" s="527">
        <f t="shared" si="338"/>
        <v>0</v>
      </c>
      <c r="L883" s="528">
        <f t="shared" si="326"/>
        <v>0</v>
      </c>
      <c r="M883" s="528">
        <f t="shared" si="339"/>
        <v>0</v>
      </c>
      <c r="N883" s="528">
        <f t="shared" si="327"/>
        <v>0</v>
      </c>
      <c r="O883" s="528">
        <f t="shared" si="328"/>
        <v>0</v>
      </c>
      <c r="P883" s="529">
        <f t="shared" si="329"/>
        <v>0</v>
      </c>
      <c r="Q883" s="24">
        <f t="shared" si="330"/>
        <v>0</v>
      </c>
      <c r="R883" s="530">
        <f t="shared" si="331"/>
        <v>0</v>
      </c>
    </row>
    <row r="884" spans="1:18">
      <c r="A884" s="524"/>
      <c r="B884" s="531" t="s">
        <v>96</v>
      </c>
      <c r="C884" s="533">
        <f t="shared" ref="C884:J884" si="340">SUM(C880:C883)</f>
        <v>1770.3</v>
      </c>
      <c r="D884" s="533">
        <f t="shared" si="340"/>
        <v>189207</v>
      </c>
      <c r="E884" s="533">
        <f t="shared" si="340"/>
        <v>2153</v>
      </c>
      <c r="F884" s="533">
        <f t="shared" si="340"/>
        <v>2</v>
      </c>
      <c r="G884" s="533">
        <f t="shared" si="340"/>
        <v>13626</v>
      </c>
      <c r="H884" s="533">
        <f t="shared" si="340"/>
        <v>56</v>
      </c>
      <c r="I884" s="533">
        <f t="shared" si="340"/>
        <v>184</v>
      </c>
      <c r="J884" s="533">
        <f t="shared" si="340"/>
        <v>11</v>
      </c>
      <c r="K884" s="534">
        <f t="shared" si="338"/>
        <v>0.0113790715988309</v>
      </c>
      <c r="L884" s="535">
        <f t="shared" si="326"/>
        <v>0.822248026010218</v>
      </c>
      <c r="M884" s="535">
        <f t="shared" si="339"/>
        <v>9.35641915996765</v>
      </c>
      <c r="N884" s="535">
        <f t="shared" si="327"/>
        <v>7.69700050838841</v>
      </c>
      <c r="O884" s="535">
        <f t="shared" si="328"/>
        <v>0.000928936367858802</v>
      </c>
      <c r="P884" s="536">
        <f t="shared" si="329"/>
        <v>7.37625</v>
      </c>
      <c r="Q884" s="531">
        <f t="shared" si="330"/>
        <v>240</v>
      </c>
      <c r="R884" s="537">
        <f t="shared" si="331"/>
        <v>0.111472364143056</v>
      </c>
    </row>
    <row r="885" spans="1:18">
      <c r="A885" s="524">
        <v>45627</v>
      </c>
      <c r="B885" s="540" t="s">
        <v>98</v>
      </c>
      <c r="C885" s="551">
        <v>199.92</v>
      </c>
      <c r="D885" s="551">
        <v>9407</v>
      </c>
      <c r="E885" s="551">
        <v>261</v>
      </c>
      <c r="F885" s="551">
        <v>0</v>
      </c>
      <c r="G885" s="551">
        <v>0</v>
      </c>
      <c r="H885" s="551">
        <v>1</v>
      </c>
      <c r="I885" s="551">
        <v>24</v>
      </c>
      <c r="J885" s="551">
        <v>3</v>
      </c>
      <c r="K885" s="527">
        <f t="shared" si="338"/>
        <v>0.0277452960561284</v>
      </c>
      <c r="L885" s="528">
        <f t="shared" si="326"/>
        <v>0.765977011494253</v>
      </c>
      <c r="M885" s="528">
        <f t="shared" si="339"/>
        <v>21.2522589560965</v>
      </c>
      <c r="N885" s="528">
        <f t="shared" si="327"/>
        <v>0</v>
      </c>
      <c r="O885" s="528">
        <f t="shared" si="328"/>
        <v>0</v>
      </c>
      <c r="P885" s="529">
        <f t="shared" si="329"/>
        <v>7.9968</v>
      </c>
      <c r="Q885" s="24">
        <f t="shared" si="330"/>
        <v>25</v>
      </c>
      <c r="R885" s="530">
        <f t="shared" si="331"/>
        <v>0.0957854406130268</v>
      </c>
    </row>
    <row r="886" spans="1:18">
      <c r="A886" s="524"/>
      <c r="B886" s="540" t="s">
        <v>99</v>
      </c>
      <c r="C886" s="551">
        <v>0</v>
      </c>
      <c r="D886" s="551">
        <v>0</v>
      </c>
      <c r="E886" s="551">
        <v>0</v>
      </c>
      <c r="F886" s="551">
        <v>0</v>
      </c>
      <c r="G886" s="551">
        <v>0</v>
      </c>
      <c r="H886" s="551">
        <v>0</v>
      </c>
      <c r="I886" s="551">
        <v>0</v>
      </c>
      <c r="J886" s="551">
        <v>0</v>
      </c>
      <c r="K886" s="527">
        <f t="shared" si="338"/>
        <v>0</v>
      </c>
      <c r="L886" s="528">
        <f t="shared" si="326"/>
        <v>0</v>
      </c>
      <c r="M886" s="528">
        <f t="shared" si="339"/>
        <v>0</v>
      </c>
      <c r="N886" s="528">
        <f t="shared" si="327"/>
        <v>0</v>
      </c>
      <c r="O886" s="528">
        <f t="shared" si="328"/>
        <v>0</v>
      </c>
      <c r="P886" s="529">
        <f t="shared" si="329"/>
        <v>0</v>
      </c>
      <c r="Q886" s="24">
        <f t="shared" si="330"/>
        <v>0</v>
      </c>
      <c r="R886" s="530">
        <f t="shared" si="331"/>
        <v>0</v>
      </c>
    </row>
    <row r="887" spans="1:18">
      <c r="A887" s="524"/>
      <c r="B887" s="540" t="s">
        <v>100</v>
      </c>
      <c r="C887" s="552">
        <v>1606.62</v>
      </c>
      <c r="D887" s="551">
        <v>283981</v>
      </c>
      <c r="E887" s="551">
        <v>2368</v>
      </c>
      <c r="F887" s="551">
        <v>0</v>
      </c>
      <c r="G887" s="551">
        <v>0</v>
      </c>
      <c r="H887" s="551">
        <v>79</v>
      </c>
      <c r="I887" s="551">
        <v>143</v>
      </c>
      <c r="J887" s="551">
        <v>9</v>
      </c>
      <c r="K887" s="527">
        <f t="shared" si="338"/>
        <v>0.00833858603216412</v>
      </c>
      <c r="L887" s="528">
        <f t="shared" si="326"/>
        <v>0.678471283783784</v>
      </c>
      <c r="M887" s="528">
        <f t="shared" si="339"/>
        <v>5.65749117018392</v>
      </c>
      <c r="N887" s="528">
        <f t="shared" si="327"/>
        <v>0</v>
      </c>
      <c r="O887" s="528">
        <f t="shared" si="328"/>
        <v>0</v>
      </c>
      <c r="P887" s="529">
        <f t="shared" si="329"/>
        <v>7.23702702702703</v>
      </c>
      <c r="Q887" s="24">
        <f t="shared" si="330"/>
        <v>222</v>
      </c>
      <c r="R887" s="530">
        <f t="shared" si="331"/>
        <v>0.09375</v>
      </c>
    </row>
    <row r="888" spans="1:18">
      <c r="A888" s="524"/>
      <c r="B888" s="540" t="s">
        <v>101</v>
      </c>
      <c r="C888" s="551">
        <v>0</v>
      </c>
      <c r="D888" s="551">
        <v>0</v>
      </c>
      <c r="E888" s="551">
        <v>0</v>
      </c>
      <c r="F888" s="551">
        <v>0</v>
      </c>
      <c r="G888" s="551">
        <v>0</v>
      </c>
      <c r="H888" s="551">
        <v>0</v>
      </c>
      <c r="I888" s="551">
        <v>0</v>
      </c>
      <c r="J888" s="551">
        <v>0</v>
      </c>
      <c r="K888" s="527">
        <f t="shared" si="338"/>
        <v>0</v>
      </c>
      <c r="L888" s="528">
        <f t="shared" si="326"/>
        <v>0</v>
      </c>
      <c r="M888" s="528">
        <f t="shared" si="339"/>
        <v>0</v>
      </c>
      <c r="N888" s="528">
        <f t="shared" si="327"/>
        <v>0</v>
      </c>
      <c r="O888" s="528">
        <f t="shared" si="328"/>
        <v>0</v>
      </c>
      <c r="P888" s="529">
        <f t="shared" si="329"/>
        <v>0</v>
      </c>
      <c r="Q888" s="24">
        <f t="shared" si="330"/>
        <v>0</v>
      </c>
      <c r="R888" s="530">
        <f t="shared" si="331"/>
        <v>0</v>
      </c>
    </row>
    <row r="889" spans="1:18">
      <c r="A889" s="524"/>
      <c r="B889" s="531" t="s">
        <v>96</v>
      </c>
      <c r="C889" s="533">
        <f t="shared" ref="C889:J889" si="341">SUM(C885:C888)</f>
        <v>1806.54</v>
      </c>
      <c r="D889" s="533">
        <f t="shared" si="341"/>
        <v>293388</v>
      </c>
      <c r="E889" s="533">
        <f t="shared" si="341"/>
        <v>2629</v>
      </c>
      <c r="F889" s="533">
        <f t="shared" si="341"/>
        <v>0</v>
      </c>
      <c r="G889" s="533">
        <f t="shared" si="341"/>
        <v>0</v>
      </c>
      <c r="H889" s="533">
        <f t="shared" si="341"/>
        <v>80</v>
      </c>
      <c r="I889" s="533">
        <f t="shared" si="341"/>
        <v>167</v>
      </c>
      <c r="J889" s="533">
        <f t="shared" si="341"/>
        <v>12</v>
      </c>
      <c r="K889" s="534">
        <f t="shared" si="338"/>
        <v>0.00896083002713131</v>
      </c>
      <c r="L889" s="535">
        <f t="shared" si="326"/>
        <v>0.687158615443134</v>
      </c>
      <c r="M889" s="535">
        <f t="shared" si="339"/>
        <v>6.15751155466481</v>
      </c>
      <c r="N889" s="535">
        <f t="shared" si="327"/>
        <v>0</v>
      </c>
      <c r="O889" s="535">
        <f t="shared" si="328"/>
        <v>0</v>
      </c>
      <c r="P889" s="536">
        <f t="shared" si="329"/>
        <v>7.31392712550607</v>
      </c>
      <c r="Q889" s="531">
        <f t="shared" si="330"/>
        <v>247</v>
      </c>
      <c r="R889" s="537">
        <f t="shared" si="331"/>
        <v>0.0939520730315709</v>
      </c>
    </row>
    <row r="890" spans="1:18">
      <c r="A890" s="524">
        <v>45628</v>
      </c>
      <c r="B890" s="540" t="s">
        <v>98</v>
      </c>
      <c r="C890" s="551">
        <v>298</v>
      </c>
      <c r="D890" s="551">
        <v>15595</v>
      </c>
      <c r="E890" s="551">
        <v>311</v>
      </c>
      <c r="F890" s="551">
        <v>0</v>
      </c>
      <c r="G890" s="551">
        <v>0</v>
      </c>
      <c r="H890" s="551">
        <v>3</v>
      </c>
      <c r="I890" s="551">
        <v>26</v>
      </c>
      <c r="J890" s="551">
        <v>5</v>
      </c>
      <c r="K890" s="527">
        <f t="shared" ref="K890:K894" si="342">IF(E890=0,0,E890/D890)</f>
        <v>0.0199422891952549</v>
      </c>
      <c r="L890" s="528">
        <f t="shared" ref="L890:L894" si="343">IF(C890=0,0,C890/E890)</f>
        <v>0.958199356913183</v>
      </c>
      <c r="M890" s="528">
        <f t="shared" ref="M890:M894" si="344">IF(D890=0,0,C890/D890*1000)</f>
        <v>19.10868868227</v>
      </c>
      <c r="N890" s="528">
        <f t="shared" ref="N890:N894" si="345">IF(G890=0,0,G890/C890)</f>
        <v>0</v>
      </c>
      <c r="O890" s="528">
        <f t="shared" ref="O890:O894" si="346">IF(F890=0,0,F890/E890)</f>
        <v>0</v>
      </c>
      <c r="P890" s="529">
        <f t="shared" ref="P890:P894" si="347">IF(H890+I890=0,0,C890/(H890+I890))</f>
        <v>10.2758620689655</v>
      </c>
      <c r="Q890" s="24">
        <f t="shared" ref="Q890:Q894" si="348">H890+I890</f>
        <v>29</v>
      </c>
      <c r="R890" s="530">
        <f t="shared" ref="R890:R894" si="349">IF(Q890=0,0,Q890/E890)</f>
        <v>0.0932475884244373</v>
      </c>
    </row>
    <row r="891" spans="1:18">
      <c r="A891" s="524"/>
      <c r="B891" s="540" t="s">
        <v>99</v>
      </c>
      <c r="C891" s="551">
        <v>0</v>
      </c>
      <c r="D891" s="551">
        <v>0</v>
      </c>
      <c r="E891" s="551">
        <v>0</v>
      </c>
      <c r="F891" s="551">
        <v>0</v>
      </c>
      <c r="G891" s="551">
        <v>0</v>
      </c>
      <c r="H891" s="551">
        <v>0</v>
      </c>
      <c r="I891" s="551">
        <v>0</v>
      </c>
      <c r="J891" s="551">
        <v>0</v>
      </c>
      <c r="K891" s="527">
        <f t="shared" si="342"/>
        <v>0</v>
      </c>
      <c r="L891" s="528">
        <f t="shared" si="343"/>
        <v>0</v>
      </c>
      <c r="M891" s="528">
        <f t="shared" si="344"/>
        <v>0</v>
      </c>
      <c r="N891" s="528">
        <f t="shared" si="345"/>
        <v>0</v>
      </c>
      <c r="O891" s="528">
        <f t="shared" si="346"/>
        <v>0</v>
      </c>
      <c r="P891" s="529">
        <f t="shared" si="347"/>
        <v>0</v>
      </c>
      <c r="Q891" s="24">
        <f t="shared" si="348"/>
        <v>0</v>
      </c>
      <c r="R891" s="530">
        <f t="shared" si="349"/>
        <v>0</v>
      </c>
    </row>
    <row r="892" spans="1:18">
      <c r="A892" s="524"/>
      <c r="B892" s="540" t="s">
        <v>100</v>
      </c>
      <c r="C892" s="552">
        <v>1608.92</v>
      </c>
      <c r="D892" s="551">
        <v>113179</v>
      </c>
      <c r="E892" s="551">
        <v>1577</v>
      </c>
      <c r="F892" s="551">
        <v>0</v>
      </c>
      <c r="G892" s="551">
        <v>0</v>
      </c>
      <c r="H892" s="551">
        <v>67</v>
      </c>
      <c r="I892" s="551">
        <v>96</v>
      </c>
      <c r="J892" s="551">
        <v>7</v>
      </c>
      <c r="K892" s="527">
        <f t="shared" si="342"/>
        <v>0.0139336802763764</v>
      </c>
      <c r="L892" s="528">
        <f t="shared" si="343"/>
        <v>1.02024096385542</v>
      </c>
      <c r="M892" s="528">
        <f t="shared" si="344"/>
        <v>14.2157113952235</v>
      </c>
      <c r="N892" s="528">
        <f t="shared" si="345"/>
        <v>0</v>
      </c>
      <c r="O892" s="528">
        <f t="shared" si="346"/>
        <v>0</v>
      </c>
      <c r="P892" s="529">
        <f t="shared" si="347"/>
        <v>9.87067484662577</v>
      </c>
      <c r="Q892" s="24">
        <f t="shared" si="348"/>
        <v>163</v>
      </c>
      <c r="R892" s="530">
        <f t="shared" si="349"/>
        <v>0.103360811667724</v>
      </c>
    </row>
    <row r="893" spans="1:18">
      <c r="A893" s="524"/>
      <c r="B893" s="540" t="s">
        <v>101</v>
      </c>
      <c r="C893" s="551">
        <v>0</v>
      </c>
      <c r="D893" s="551">
        <v>0</v>
      </c>
      <c r="E893" s="551">
        <v>0</v>
      </c>
      <c r="F893" s="551">
        <v>0</v>
      </c>
      <c r="G893" s="551">
        <v>0</v>
      </c>
      <c r="H893" s="551">
        <v>0</v>
      </c>
      <c r="I893" s="551">
        <v>0</v>
      </c>
      <c r="J893" s="551">
        <v>0</v>
      </c>
      <c r="K893" s="527">
        <f t="shared" si="342"/>
        <v>0</v>
      </c>
      <c r="L893" s="528">
        <f t="shared" si="343"/>
        <v>0</v>
      </c>
      <c r="M893" s="528">
        <f t="shared" si="344"/>
        <v>0</v>
      </c>
      <c r="N893" s="528">
        <f t="shared" si="345"/>
        <v>0</v>
      </c>
      <c r="O893" s="528">
        <f t="shared" si="346"/>
        <v>0</v>
      </c>
      <c r="P893" s="529">
        <f t="shared" si="347"/>
        <v>0</v>
      </c>
      <c r="Q893" s="24">
        <f t="shared" si="348"/>
        <v>0</v>
      </c>
      <c r="R893" s="530">
        <f t="shared" si="349"/>
        <v>0</v>
      </c>
    </row>
    <row r="894" spans="1:18">
      <c r="A894" s="524"/>
      <c r="B894" s="531" t="s">
        <v>96</v>
      </c>
      <c r="C894" s="533">
        <f t="shared" ref="C894:J894" si="350">SUM(C890:C893)</f>
        <v>1906.92</v>
      </c>
      <c r="D894" s="533">
        <f t="shared" si="350"/>
        <v>128774</v>
      </c>
      <c r="E894" s="533">
        <f t="shared" si="350"/>
        <v>1888</v>
      </c>
      <c r="F894" s="533">
        <f t="shared" si="350"/>
        <v>0</v>
      </c>
      <c r="G894" s="533">
        <f t="shared" si="350"/>
        <v>0</v>
      </c>
      <c r="H894" s="533">
        <f t="shared" si="350"/>
        <v>70</v>
      </c>
      <c r="I894" s="533">
        <f t="shared" si="350"/>
        <v>122</v>
      </c>
      <c r="J894" s="533">
        <f t="shared" si="350"/>
        <v>12</v>
      </c>
      <c r="K894" s="534">
        <f t="shared" si="342"/>
        <v>0.0146613446813798</v>
      </c>
      <c r="L894" s="535">
        <f t="shared" si="343"/>
        <v>1.01002118644068</v>
      </c>
      <c r="M894" s="535">
        <f t="shared" si="344"/>
        <v>14.8082687499029</v>
      </c>
      <c r="N894" s="535">
        <f t="shared" si="345"/>
        <v>0</v>
      </c>
      <c r="O894" s="535">
        <f t="shared" si="346"/>
        <v>0</v>
      </c>
      <c r="P894" s="536">
        <f t="shared" si="347"/>
        <v>9.931875</v>
      </c>
      <c r="Q894" s="531">
        <f t="shared" si="348"/>
        <v>192</v>
      </c>
      <c r="R894" s="537">
        <f t="shared" si="349"/>
        <v>0.101694915254237</v>
      </c>
    </row>
    <row r="895" spans="1:18">
      <c r="A895" s="524">
        <v>45629</v>
      </c>
      <c r="B895" s="540" t="s">
        <v>98</v>
      </c>
      <c r="C895" s="551">
        <v>295.31</v>
      </c>
      <c r="D895" s="551">
        <v>17405</v>
      </c>
      <c r="E895" s="551">
        <v>376</v>
      </c>
      <c r="F895" s="551">
        <v>0</v>
      </c>
      <c r="G895" s="551">
        <v>0</v>
      </c>
      <c r="H895" s="551">
        <v>2</v>
      </c>
      <c r="I895" s="551">
        <v>15</v>
      </c>
      <c r="J895" s="551">
        <v>6</v>
      </c>
      <c r="K895" s="527">
        <f t="shared" ref="K895:K899" si="351">IF(E895=0,0,E895/D895)</f>
        <v>0.0216029876472278</v>
      </c>
      <c r="L895" s="528">
        <f t="shared" ref="L895:L899" si="352">IF(C895=0,0,C895/E895)</f>
        <v>0.785398936170213</v>
      </c>
      <c r="M895" s="528">
        <f t="shared" ref="M895:M899" si="353">IF(D895=0,0,C895/D895*1000)</f>
        <v>16.966963516231</v>
      </c>
      <c r="N895" s="528">
        <f t="shared" ref="N895:N899" si="354">IF(G895=0,0,G895/C895)</f>
        <v>0</v>
      </c>
      <c r="O895" s="528">
        <f t="shared" ref="O895:O899" si="355">IF(F895=0,0,F895/E895)</f>
        <v>0</v>
      </c>
      <c r="P895" s="529">
        <f t="shared" ref="P895:P899" si="356">IF(H895+I895=0,0,C895/(H895+I895))</f>
        <v>17.3711764705882</v>
      </c>
      <c r="Q895" s="24">
        <f t="shared" ref="Q895:Q899" si="357">H895+I895</f>
        <v>17</v>
      </c>
      <c r="R895" s="530">
        <f t="shared" ref="R895:R899" si="358">IF(Q895=0,0,Q895/E895)</f>
        <v>0.0452127659574468</v>
      </c>
    </row>
    <row r="896" spans="1:18">
      <c r="A896" s="524"/>
      <c r="B896" s="540" t="s">
        <v>99</v>
      </c>
      <c r="C896" s="551">
        <v>0</v>
      </c>
      <c r="D896" s="551">
        <v>0</v>
      </c>
      <c r="E896" s="551">
        <v>0</v>
      </c>
      <c r="F896" s="551">
        <v>0</v>
      </c>
      <c r="G896" s="551">
        <v>0</v>
      </c>
      <c r="H896" s="551">
        <v>0</v>
      </c>
      <c r="I896" s="551">
        <v>0</v>
      </c>
      <c r="J896" s="551">
        <v>0</v>
      </c>
      <c r="K896" s="527">
        <f t="shared" si="351"/>
        <v>0</v>
      </c>
      <c r="L896" s="528">
        <f t="shared" si="352"/>
        <v>0</v>
      </c>
      <c r="M896" s="528">
        <f t="shared" si="353"/>
        <v>0</v>
      </c>
      <c r="N896" s="528">
        <f t="shared" si="354"/>
        <v>0</v>
      </c>
      <c r="O896" s="528">
        <f t="shared" si="355"/>
        <v>0</v>
      </c>
      <c r="P896" s="529">
        <f t="shared" si="356"/>
        <v>0</v>
      </c>
      <c r="Q896" s="24">
        <f t="shared" si="357"/>
        <v>0</v>
      </c>
      <c r="R896" s="530">
        <f t="shared" si="358"/>
        <v>0</v>
      </c>
    </row>
    <row r="897" spans="1:18">
      <c r="A897" s="524"/>
      <c r="B897" s="540" t="s">
        <v>100</v>
      </c>
      <c r="C897" s="552">
        <v>1611.69</v>
      </c>
      <c r="D897" s="551">
        <v>131472</v>
      </c>
      <c r="E897" s="551">
        <v>1690</v>
      </c>
      <c r="F897" s="551">
        <v>0</v>
      </c>
      <c r="G897" s="551">
        <v>0</v>
      </c>
      <c r="H897" s="551">
        <v>74</v>
      </c>
      <c r="I897" s="551">
        <v>100</v>
      </c>
      <c r="J897" s="551">
        <v>6</v>
      </c>
      <c r="K897" s="527">
        <f t="shared" si="351"/>
        <v>0.012854448095412</v>
      </c>
      <c r="L897" s="528">
        <f t="shared" si="352"/>
        <v>0.953662721893491</v>
      </c>
      <c r="M897" s="528">
        <f t="shared" si="353"/>
        <v>12.2588079591092</v>
      </c>
      <c r="N897" s="528">
        <f t="shared" si="354"/>
        <v>0</v>
      </c>
      <c r="O897" s="528">
        <f t="shared" si="355"/>
        <v>0</v>
      </c>
      <c r="P897" s="529">
        <f t="shared" si="356"/>
        <v>9.26258620689655</v>
      </c>
      <c r="Q897" s="24">
        <f t="shared" si="357"/>
        <v>174</v>
      </c>
      <c r="R897" s="530">
        <f t="shared" si="358"/>
        <v>0.102958579881657</v>
      </c>
    </row>
    <row r="898" spans="1:18">
      <c r="A898" s="524"/>
      <c r="B898" s="540" t="s">
        <v>101</v>
      </c>
      <c r="C898" s="551">
        <v>0</v>
      </c>
      <c r="D898" s="551">
        <v>0</v>
      </c>
      <c r="E898" s="551">
        <v>0</v>
      </c>
      <c r="F898" s="551">
        <v>0</v>
      </c>
      <c r="G898" s="551">
        <v>0</v>
      </c>
      <c r="H898" s="551">
        <v>0</v>
      </c>
      <c r="I898" s="551">
        <v>0</v>
      </c>
      <c r="J898" s="551">
        <v>0</v>
      </c>
      <c r="K898" s="527">
        <f t="shared" si="351"/>
        <v>0</v>
      </c>
      <c r="L898" s="528">
        <f t="shared" si="352"/>
        <v>0</v>
      </c>
      <c r="M898" s="528">
        <f t="shared" si="353"/>
        <v>0</v>
      </c>
      <c r="N898" s="528">
        <f t="shared" si="354"/>
        <v>0</v>
      </c>
      <c r="O898" s="528">
        <f t="shared" si="355"/>
        <v>0</v>
      </c>
      <c r="P898" s="529">
        <f t="shared" si="356"/>
        <v>0</v>
      </c>
      <c r="Q898" s="24">
        <f t="shared" si="357"/>
        <v>0</v>
      </c>
      <c r="R898" s="530">
        <f t="shared" si="358"/>
        <v>0</v>
      </c>
    </row>
    <row r="899" spans="1:18">
      <c r="A899" s="524"/>
      <c r="B899" s="531" t="s">
        <v>96</v>
      </c>
      <c r="C899" s="533">
        <f t="shared" ref="C899:J899" si="359">SUM(C895:C898)</f>
        <v>1907</v>
      </c>
      <c r="D899" s="533">
        <f t="shared" si="359"/>
        <v>148877</v>
      </c>
      <c r="E899" s="533">
        <f t="shared" si="359"/>
        <v>2066</v>
      </c>
      <c r="F899" s="533">
        <f t="shared" si="359"/>
        <v>0</v>
      </c>
      <c r="G899" s="533">
        <f t="shared" si="359"/>
        <v>0</v>
      </c>
      <c r="H899" s="533">
        <f t="shared" si="359"/>
        <v>76</v>
      </c>
      <c r="I899" s="533">
        <f t="shared" si="359"/>
        <v>115</v>
      </c>
      <c r="J899" s="533">
        <f t="shared" si="359"/>
        <v>12</v>
      </c>
      <c r="K899" s="534">
        <f t="shared" si="351"/>
        <v>0.0138772275099579</v>
      </c>
      <c r="L899" s="535">
        <f t="shared" si="352"/>
        <v>0.923039690222652</v>
      </c>
      <c r="M899" s="535">
        <f t="shared" si="353"/>
        <v>12.8092317819408</v>
      </c>
      <c r="N899" s="535">
        <f t="shared" si="354"/>
        <v>0</v>
      </c>
      <c r="O899" s="535">
        <f t="shared" si="355"/>
        <v>0</v>
      </c>
      <c r="P899" s="536">
        <f t="shared" si="356"/>
        <v>9.98429319371728</v>
      </c>
      <c r="Q899" s="531">
        <f t="shared" si="357"/>
        <v>191</v>
      </c>
      <c r="R899" s="537">
        <f t="shared" si="358"/>
        <v>0.0924491771539206</v>
      </c>
    </row>
    <row r="900" spans="1:18">
      <c r="A900" s="524">
        <v>45630</v>
      </c>
      <c r="B900" s="540" t="s">
        <v>98</v>
      </c>
      <c r="C900" s="551">
        <v>515.95</v>
      </c>
      <c r="D900" s="551">
        <v>40647</v>
      </c>
      <c r="E900" s="551">
        <v>727</v>
      </c>
      <c r="F900" s="551">
        <v>0</v>
      </c>
      <c r="G900" s="551">
        <v>0</v>
      </c>
      <c r="H900" s="551">
        <v>12</v>
      </c>
      <c r="I900" s="551">
        <v>27</v>
      </c>
      <c r="J900" s="551">
        <v>9</v>
      </c>
      <c r="K900" s="527">
        <f t="shared" ref="K900:K904" si="360">IF(E900=0,0,E900/D900)</f>
        <v>0.0178856988215612</v>
      </c>
      <c r="L900" s="528">
        <f t="shared" ref="L900:L904" si="361">IF(C900=0,0,C900/E900)</f>
        <v>0.709697386519945</v>
      </c>
      <c r="M900" s="528">
        <f t="shared" ref="M900:M904" si="362">IF(D900=0,0,C900/D900*1000)</f>
        <v>12.6934337097449</v>
      </c>
      <c r="N900" s="528">
        <f t="shared" ref="N900:N904" si="363">IF(G900=0,0,G900/C900)</f>
        <v>0</v>
      </c>
      <c r="O900" s="528">
        <f t="shared" ref="O900:O904" si="364">IF(F900=0,0,F900/E900)</f>
        <v>0</v>
      </c>
      <c r="P900" s="529">
        <f t="shared" ref="P900:P904" si="365">IF(H900+I900=0,0,C900/(H900+I900))</f>
        <v>13.2294871794872</v>
      </c>
      <c r="Q900" s="24">
        <f t="shared" ref="Q900:Q904" si="366">H900+I900</f>
        <v>39</v>
      </c>
      <c r="R900" s="530">
        <f t="shared" ref="R900:R904" si="367">IF(Q900=0,0,Q900/E900)</f>
        <v>0.0536451169188446</v>
      </c>
    </row>
    <row r="901" spans="1:18">
      <c r="A901" s="524"/>
      <c r="B901" s="540" t="s">
        <v>99</v>
      </c>
      <c r="C901" s="551">
        <v>0</v>
      </c>
      <c r="D901" s="551">
        <v>0</v>
      </c>
      <c r="E901" s="551">
        <v>0</v>
      </c>
      <c r="F901" s="551">
        <v>0</v>
      </c>
      <c r="G901" s="551">
        <v>0</v>
      </c>
      <c r="H901" s="551">
        <v>0</v>
      </c>
      <c r="I901" s="551">
        <v>0</v>
      </c>
      <c r="J901" s="551">
        <v>0</v>
      </c>
      <c r="K901" s="527">
        <f t="shared" si="360"/>
        <v>0</v>
      </c>
      <c r="L901" s="528">
        <f t="shared" si="361"/>
        <v>0</v>
      </c>
      <c r="M901" s="528">
        <f t="shared" si="362"/>
        <v>0</v>
      </c>
      <c r="N901" s="528">
        <f t="shared" si="363"/>
        <v>0</v>
      </c>
      <c r="O901" s="528">
        <f t="shared" si="364"/>
        <v>0</v>
      </c>
      <c r="P901" s="529">
        <f t="shared" si="365"/>
        <v>0</v>
      </c>
      <c r="Q901" s="24">
        <f t="shared" si="366"/>
        <v>0</v>
      </c>
      <c r="R901" s="530">
        <f t="shared" si="367"/>
        <v>0</v>
      </c>
    </row>
    <row r="902" spans="1:18">
      <c r="A902" s="524"/>
      <c r="B902" s="540" t="s">
        <v>100</v>
      </c>
      <c r="C902" s="552">
        <v>1605.46</v>
      </c>
      <c r="D902" s="551">
        <v>327035</v>
      </c>
      <c r="E902" s="551">
        <v>2388</v>
      </c>
      <c r="F902" s="551">
        <v>1</v>
      </c>
      <c r="G902" s="551">
        <v>7586</v>
      </c>
      <c r="H902" s="551">
        <v>54</v>
      </c>
      <c r="I902" s="551">
        <v>94</v>
      </c>
      <c r="J902" s="551">
        <v>4</v>
      </c>
      <c r="K902" s="527">
        <f t="shared" si="360"/>
        <v>0.00730197073707707</v>
      </c>
      <c r="L902" s="528">
        <f t="shared" si="361"/>
        <v>0.672303182579564</v>
      </c>
      <c r="M902" s="528">
        <f t="shared" si="362"/>
        <v>4.90913816563976</v>
      </c>
      <c r="N902" s="528">
        <f t="shared" si="363"/>
        <v>4.72512550919985</v>
      </c>
      <c r="O902" s="528">
        <f t="shared" si="364"/>
        <v>0.000418760469011725</v>
      </c>
      <c r="P902" s="529">
        <f t="shared" si="365"/>
        <v>10.8477027027027</v>
      </c>
      <c r="Q902" s="24">
        <f t="shared" si="366"/>
        <v>148</v>
      </c>
      <c r="R902" s="530">
        <f t="shared" si="367"/>
        <v>0.0619765494137353</v>
      </c>
    </row>
    <row r="903" spans="1:18">
      <c r="A903" s="524"/>
      <c r="B903" s="540" t="s">
        <v>101</v>
      </c>
      <c r="C903" s="551">
        <v>0</v>
      </c>
      <c r="D903" s="551">
        <v>0</v>
      </c>
      <c r="E903" s="551">
        <v>0</v>
      </c>
      <c r="F903" s="551">
        <v>0</v>
      </c>
      <c r="G903" s="551">
        <v>0</v>
      </c>
      <c r="H903" s="551">
        <v>0</v>
      </c>
      <c r="I903" s="551">
        <v>0</v>
      </c>
      <c r="J903" s="551">
        <v>0</v>
      </c>
      <c r="K903" s="527">
        <f t="shared" si="360"/>
        <v>0</v>
      </c>
      <c r="L903" s="528">
        <f t="shared" si="361"/>
        <v>0</v>
      </c>
      <c r="M903" s="528">
        <f t="shared" si="362"/>
        <v>0</v>
      </c>
      <c r="N903" s="528">
        <f t="shared" si="363"/>
        <v>0</v>
      </c>
      <c r="O903" s="528">
        <f t="shared" si="364"/>
        <v>0</v>
      </c>
      <c r="P903" s="529">
        <f t="shared" si="365"/>
        <v>0</v>
      </c>
      <c r="Q903" s="24">
        <f t="shared" si="366"/>
        <v>0</v>
      </c>
      <c r="R903" s="530">
        <f t="shared" si="367"/>
        <v>0</v>
      </c>
    </row>
    <row r="904" spans="1:18">
      <c r="A904" s="524"/>
      <c r="B904" s="531" t="s">
        <v>96</v>
      </c>
      <c r="C904" s="533">
        <f t="shared" ref="C904:J904" si="368">SUM(C900:C903)</f>
        <v>2121.41</v>
      </c>
      <c r="D904" s="533">
        <f t="shared" si="368"/>
        <v>367682</v>
      </c>
      <c r="E904" s="533">
        <f t="shared" si="368"/>
        <v>3115</v>
      </c>
      <c r="F904" s="533">
        <f t="shared" si="368"/>
        <v>1</v>
      </c>
      <c r="G904" s="533">
        <f t="shared" si="368"/>
        <v>7586</v>
      </c>
      <c r="H904" s="533">
        <f t="shared" si="368"/>
        <v>66</v>
      </c>
      <c r="I904" s="533">
        <f t="shared" si="368"/>
        <v>121</v>
      </c>
      <c r="J904" s="533">
        <f t="shared" si="368"/>
        <v>13</v>
      </c>
      <c r="K904" s="534">
        <f t="shared" si="360"/>
        <v>0.00847199482161215</v>
      </c>
      <c r="L904" s="535">
        <f t="shared" si="361"/>
        <v>0.681030497592295</v>
      </c>
      <c r="M904" s="535">
        <f t="shared" si="362"/>
        <v>5.76968684896187</v>
      </c>
      <c r="N904" s="535">
        <f t="shared" si="363"/>
        <v>3.57592356027359</v>
      </c>
      <c r="O904" s="535">
        <f t="shared" si="364"/>
        <v>0.000321027287319422</v>
      </c>
      <c r="P904" s="536">
        <f t="shared" si="365"/>
        <v>11.3444385026738</v>
      </c>
      <c r="Q904" s="531">
        <f t="shared" si="366"/>
        <v>187</v>
      </c>
      <c r="R904" s="537">
        <f t="shared" si="367"/>
        <v>0.0600321027287319</v>
      </c>
    </row>
    <row r="905" spans="1:18">
      <c r="A905" s="524">
        <v>45631</v>
      </c>
      <c r="B905" s="540" t="s">
        <v>98</v>
      </c>
      <c r="C905" s="551">
        <v>339.13</v>
      </c>
      <c r="D905" s="551">
        <v>9721</v>
      </c>
      <c r="E905" s="551">
        <v>236</v>
      </c>
      <c r="F905" s="551">
        <v>0</v>
      </c>
      <c r="G905" s="551">
        <v>0</v>
      </c>
      <c r="H905" s="551">
        <v>7</v>
      </c>
      <c r="I905" s="551">
        <v>25</v>
      </c>
      <c r="J905" s="551">
        <v>2</v>
      </c>
      <c r="K905" s="527">
        <f t="shared" ref="K905:K914" si="369">IF(E905=0,0,E905/D905)</f>
        <v>0.0242773377224565</v>
      </c>
      <c r="L905" s="528">
        <f t="shared" ref="L905:L914" si="370">IF(C905=0,0,C905/E905)</f>
        <v>1.43699152542373</v>
      </c>
      <c r="M905" s="528">
        <f t="shared" ref="M905:M914" si="371">IF(D905=0,0,C905/D905*1000)</f>
        <v>34.8863285670199</v>
      </c>
      <c r="N905" s="528">
        <f t="shared" ref="N905:N914" si="372">IF(G905=0,0,G905/C905)</f>
        <v>0</v>
      </c>
      <c r="O905" s="528">
        <f t="shared" ref="O905:O914" si="373">IF(F905=0,0,F905/E905)</f>
        <v>0</v>
      </c>
      <c r="P905" s="529">
        <f t="shared" ref="P905:P914" si="374">IF(H905+I905=0,0,C905/(H905+I905))</f>
        <v>10.5978125</v>
      </c>
      <c r="Q905" s="24">
        <f t="shared" ref="Q905:Q914" si="375">H905+I905</f>
        <v>32</v>
      </c>
      <c r="R905" s="530">
        <f t="shared" ref="R905:R914" si="376">IF(Q905=0,0,Q905/E905)</f>
        <v>0.135593220338983</v>
      </c>
    </row>
    <row r="906" spans="1:18">
      <c r="A906" s="524"/>
      <c r="B906" s="540" t="s">
        <v>99</v>
      </c>
      <c r="C906" s="551">
        <v>0</v>
      </c>
      <c r="D906" s="551">
        <v>0</v>
      </c>
      <c r="E906" s="551">
        <v>0</v>
      </c>
      <c r="F906" s="551">
        <v>0</v>
      </c>
      <c r="G906" s="551">
        <v>0</v>
      </c>
      <c r="H906" s="551">
        <v>0</v>
      </c>
      <c r="I906" s="551">
        <v>0</v>
      </c>
      <c r="J906" s="551">
        <v>0</v>
      </c>
      <c r="K906" s="527">
        <f t="shared" si="369"/>
        <v>0</v>
      </c>
      <c r="L906" s="528">
        <f t="shared" si="370"/>
        <v>0</v>
      </c>
      <c r="M906" s="528">
        <f t="shared" si="371"/>
        <v>0</v>
      </c>
      <c r="N906" s="528">
        <f t="shared" si="372"/>
        <v>0</v>
      </c>
      <c r="O906" s="528">
        <f t="shared" si="373"/>
        <v>0</v>
      </c>
      <c r="P906" s="529">
        <f t="shared" si="374"/>
        <v>0</v>
      </c>
      <c r="Q906" s="24">
        <f t="shared" si="375"/>
        <v>0</v>
      </c>
      <c r="R906" s="530">
        <f t="shared" si="376"/>
        <v>0</v>
      </c>
    </row>
    <row r="907" spans="1:18">
      <c r="A907" s="524"/>
      <c r="B907" s="540" t="s">
        <v>100</v>
      </c>
      <c r="C907" s="552">
        <v>1061.89</v>
      </c>
      <c r="D907" s="551">
        <v>376503</v>
      </c>
      <c r="E907" s="551">
        <v>3536</v>
      </c>
      <c r="F907" s="551">
        <v>0</v>
      </c>
      <c r="G907" s="551">
        <v>0</v>
      </c>
      <c r="H907" s="551">
        <v>35</v>
      </c>
      <c r="I907" s="551">
        <v>29</v>
      </c>
      <c r="J907" s="551">
        <v>3</v>
      </c>
      <c r="K907" s="527">
        <f t="shared" si="369"/>
        <v>0.0093916914340656</v>
      </c>
      <c r="L907" s="528">
        <f t="shared" si="370"/>
        <v>0.300308257918552</v>
      </c>
      <c r="M907" s="528">
        <f t="shared" si="371"/>
        <v>2.82040249347283</v>
      </c>
      <c r="N907" s="528">
        <f t="shared" si="372"/>
        <v>0</v>
      </c>
      <c r="O907" s="528">
        <f t="shared" si="373"/>
        <v>0</v>
      </c>
      <c r="P907" s="529">
        <f t="shared" si="374"/>
        <v>16.59203125</v>
      </c>
      <c r="Q907" s="24">
        <f t="shared" si="375"/>
        <v>64</v>
      </c>
      <c r="R907" s="530">
        <f t="shared" si="376"/>
        <v>0.0180995475113122</v>
      </c>
    </row>
    <row r="908" spans="1:18">
      <c r="A908" s="524"/>
      <c r="B908" s="540" t="s">
        <v>101</v>
      </c>
      <c r="C908" s="551">
        <v>0</v>
      </c>
      <c r="D908" s="551">
        <v>0</v>
      </c>
      <c r="E908" s="551">
        <v>0</v>
      </c>
      <c r="F908" s="551">
        <v>0</v>
      </c>
      <c r="G908" s="551">
        <v>0</v>
      </c>
      <c r="H908" s="551">
        <v>0</v>
      </c>
      <c r="I908" s="551">
        <v>0</v>
      </c>
      <c r="J908" s="551">
        <v>0</v>
      </c>
      <c r="K908" s="527">
        <f t="shared" si="369"/>
        <v>0</v>
      </c>
      <c r="L908" s="528">
        <f t="shared" si="370"/>
        <v>0</v>
      </c>
      <c r="M908" s="528">
        <f t="shared" si="371"/>
        <v>0</v>
      </c>
      <c r="N908" s="528">
        <f t="shared" si="372"/>
        <v>0</v>
      </c>
      <c r="O908" s="528">
        <f t="shared" si="373"/>
        <v>0</v>
      </c>
      <c r="P908" s="529">
        <f t="shared" si="374"/>
        <v>0</v>
      </c>
      <c r="Q908" s="24">
        <f t="shared" si="375"/>
        <v>0</v>
      </c>
      <c r="R908" s="530">
        <f t="shared" si="376"/>
        <v>0</v>
      </c>
    </row>
    <row r="909" spans="1:18">
      <c r="A909" s="524"/>
      <c r="B909" s="531" t="s">
        <v>96</v>
      </c>
      <c r="C909" s="533">
        <f t="shared" ref="C909:J909" si="377">SUM(C905:C908)</f>
        <v>1401.02</v>
      </c>
      <c r="D909" s="533">
        <f t="shared" si="377"/>
        <v>386224</v>
      </c>
      <c r="E909" s="533">
        <f t="shared" si="377"/>
        <v>3772</v>
      </c>
      <c r="F909" s="533">
        <f t="shared" si="377"/>
        <v>0</v>
      </c>
      <c r="G909" s="533">
        <f t="shared" si="377"/>
        <v>0</v>
      </c>
      <c r="H909" s="533">
        <f t="shared" si="377"/>
        <v>42</v>
      </c>
      <c r="I909" s="533">
        <f t="shared" si="377"/>
        <v>54</v>
      </c>
      <c r="J909" s="533">
        <f t="shared" si="377"/>
        <v>5</v>
      </c>
      <c r="K909" s="534">
        <f t="shared" si="369"/>
        <v>0.00976635320435809</v>
      </c>
      <c r="L909" s="535">
        <f t="shared" si="370"/>
        <v>0.371426299045599</v>
      </c>
      <c r="M909" s="535">
        <f t="shared" si="371"/>
        <v>3.62748042586685</v>
      </c>
      <c r="N909" s="535">
        <f t="shared" si="372"/>
        <v>0</v>
      </c>
      <c r="O909" s="535">
        <f t="shared" si="373"/>
        <v>0</v>
      </c>
      <c r="P909" s="536">
        <f t="shared" si="374"/>
        <v>14.5939583333333</v>
      </c>
      <c r="Q909" s="531">
        <f t="shared" si="375"/>
        <v>96</v>
      </c>
      <c r="R909" s="537">
        <f t="shared" si="376"/>
        <v>0.0254506892895016</v>
      </c>
    </row>
    <row r="910" spans="1:18">
      <c r="A910" s="524">
        <v>45632</v>
      </c>
      <c r="B910" s="540" t="s">
        <v>98</v>
      </c>
      <c r="C910" s="551">
        <v>300</v>
      </c>
      <c r="D910" s="551">
        <v>5565</v>
      </c>
      <c r="E910" s="551">
        <v>179</v>
      </c>
      <c r="F910" s="551">
        <v>0</v>
      </c>
      <c r="G910" s="551">
        <v>0</v>
      </c>
      <c r="H910" s="551">
        <v>4</v>
      </c>
      <c r="I910" s="551">
        <v>17</v>
      </c>
      <c r="J910" s="551">
        <v>1</v>
      </c>
      <c r="K910" s="527">
        <f t="shared" si="369"/>
        <v>0.0321653189577718</v>
      </c>
      <c r="L910" s="528">
        <f t="shared" si="370"/>
        <v>1.67597765363128</v>
      </c>
      <c r="M910" s="528">
        <f t="shared" si="371"/>
        <v>53.9083557951483</v>
      </c>
      <c r="N910" s="528">
        <f t="shared" si="372"/>
        <v>0</v>
      </c>
      <c r="O910" s="528">
        <f t="shared" si="373"/>
        <v>0</v>
      </c>
      <c r="P910" s="529">
        <f t="shared" si="374"/>
        <v>14.2857142857143</v>
      </c>
      <c r="Q910" s="24">
        <f t="shared" si="375"/>
        <v>21</v>
      </c>
      <c r="R910" s="530">
        <f t="shared" si="376"/>
        <v>0.11731843575419</v>
      </c>
    </row>
    <row r="911" spans="1:18">
      <c r="A911" s="524"/>
      <c r="B911" s="540" t="s">
        <v>99</v>
      </c>
      <c r="C911" s="551">
        <v>0</v>
      </c>
      <c r="D911" s="551">
        <v>0</v>
      </c>
      <c r="E911" s="551">
        <v>0</v>
      </c>
      <c r="F911" s="551">
        <v>0</v>
      </c>
      <c r="G911" s="551">
        <v>0</v>
      </c>
      <c r="H911" s="551">
        <v>0</v>
      </c>
      <c r="I911" s="551">
        <v>0</v>
      </c>
      <c r="J911" s="551">
        <v>0</v>
      </c>
      <c r="K911" s="527">
        <f t="shared" si="369"/>
        <v>0</v>
      </c>
      <c r="L911" s="528">
        <f t="shared" si="370"/>
        <v>0</v>
      </c>
      <c r="M911" s="528">
        <f t="shared" si="371"/>
        <v>0</v>
      </c>
      <c r="N911" s="528">
        <f t="shared" si="372"/>
        <v>0</v>
      </c>
      <c r="O911" s="528">
        <f t="shared" si="373"/>
        <v>0</v>
      </c>
      <c r="P911" s="529">
        <f t="shared" si="374"/>
        <v>0</v>
      </c>
      <c r="Q911" s="24">
        <f t="shared" si="375"/>
        <v>0</v>
      </c>
      <c r="R911" s="530">
        <f t="shared" si="376"/>
        <v>0</v>
      </c>
    </row>
    <row r="912" spans="1:18">
      <c r="A912" s="524"/>
      <c r="B912" s="540" t="s">
        <v>100</v>
      </c>
      <c r="C912" s="552">
        <v>1150.4</v>
      </c>
      <c r="D912" s="551">
        <v>313467</v>
      </c>
      <c r="E912" s="551">
        <v>3536</v>
      </c>
      <c r="F912" s="551">
        <v>0</v>
      </c>
      <c r="G912" s="551">
        <v>0</v>
      </c>
      <c r="H912" s="551">
        <v>47</v>
      </c>
      <c r="I912" s="551">
        <v>48</v>
      </c>
      <c r="J912" s="551">
        <v>6</v>
      </c>
      <c r="K912" s="527">
        <f t="shared" si="369"/>
        <v>0.0112802942574497</v>
      </c>
      <c r="L912" s="528">
        <f t="shared" si="370"/>
        <v>0.325339366515837</v>
      </c>
      <c r="M912" s="528">
        <f t="shared" si="371"/>
        <v>3.66992378783094</v>
      </c>
      <c r="N912" s="528">
        <f t="shared" si="372"/>
        <v>0</v>
      </c>
      <c r="O912" s="528">
        <f t="shared" si="373"/>
        <v>0</v>
      </c>
      <c r="P912" s="529">
        <f t="shared" si="374"/>
        <v>12.1094736842105</v>
      </c>
      <c r="Q912" s="24">
        <f t="shared" si="375"/>
        <v>95</v>
      </c>
      <c r="R912" s="530">
        <f t="shared" si="376"/>
        <v>0.0268665158371041</v>
      </c>
    </row>
    <row r="913" spans="1:18">
      <c r="A913" s="524"/>
      <c r="B913" s="540" t="s">
        <v>101</v>
      </c>
      <c r="C913" s="551">
        <v>0</v>
      </c>
      <c r="D913" s="551">
        <v>0</v>
      </c>
      <c r="E913" s="551">
        <v>0</v>
      </c>
      <c r="F913" s="551">
        <v>0</v>
      </c>
      <c r="G913" s="551">
        <v>0</v>
      </c>
      <c r="H913" s="551">
        <v>0</v>
      </c>
      <c r="I913" s="551">
        <v>0</v>
      </c>
      <c r="J913" s="551">
        <v>0</v>
      </c>
      <c r="K913" s="527">
        <f t="shared" si="369"/>
        <v>0</v>
      </c>
      <c r="L913" s="528">
        <f t="shared" si="370"/>
        <v>0</v>
      </c>
      <c r="M913" s="528">
        <f t="shared" si="371"/>
        <v>0</v>
      </c>
      <c r="N913" s="528">
        <f t="shared" si="372"/>
        <v>0</v>
      </c>
      <c r="O913" s="528">
        <f t="shared" si="373"/>
        <v>0</v>
      </c>
      <c r="P913" s="529">
        <f t="shared" si="374"/>
        <v>0</v>
      </c>
      <c r="Q913" s="24">
        <f t="shared" si="375"/>
        <v>0</v>
      </c>
      <c r="R913" s="530">
        <f t="shared" si="376"/>
        <v>0</v>
      </c>
    </row>
    <row r="914" spans="1:18">
      <c r="A914" s="524"/>
      <c r="B914" s="531" t="s">
        <v>96</v>
      </c>
      <c r="C914" s="533">
        <f t="shared" ref="C914:J914" si="378">SUM(C910:C913)</f>
        <v>1450.4</v>
      </c>
      <c r="D914" s="533">
        <f t="shared" si="378"/>
        <v>319032</v>
      </c>
      <c r="E914" s="533">
        <f t="shared" si="378"/>
        <v>3715</v>
      </c>
      <c r="F914" s="533">
        <f t="shared" si="378"/>
        <v>0</v>
      </c>
      <c r="G914" s="533">
        <f t="shared" si="378"/>
        <v>0</v>
      </c>
      <c r="H914" s="533">
        <f t="shared" si="378"/>
        <v>51</v>
      </c>
      <c r="I914" s="533">
        <f t="shared" si="378"/>
        <v>65</v>
      </c>
      <c r="J914" s="533">
        <f t="shared" si="378"/>
        <v>7</v>
      </c>
      <c r="K914" s="534">
        <f t="shared" si="369"/>
        <v>0.0116445999147421</v>
      </c>
      <c r="L914" s="535">
        <f t="shared" si="370"/>
        <v>0.390417227456258</v>
      </c>
      <c r="M914" s="535">
        <f t="shared" si="371"/>
        <v>4.54625241355099</v>
      </c>
      <c r="N914" s="535">
        <f t="shared" si="372"/>
        <v>0</v>
      </c>
      <c r="O914" s="535">
        <f t="shared" si="373"/>
        <v>0</v>
      </c>
      <c r="P914" s="536">
        <f t="shared" si="374"/>
        <v>12.5034482758621</v>
      </c>
      <c r="Q914" s="531">
        <f t="shared" si="375"/>
        <v>116</v>
      </c>
      <c r="R914" s="537">
        <f t="shared" si="376"/>
        <v>0.0312247644683715</v>
      </c>
    </row>
    <row r="915" spans="1:18">
      <c r="A915" s="524">
        <v>45633</v>
      </c>
      <c r="B915" s="540" t="s">
        <v>98</v>
      </c>
      <c r="C915" s="551">
        <v>297.11</v>
      </c>
      <c r="D915" s="551">
        <v>2490</v>
      </c>
      <c r="E915" s="551">
        <v>222</v>
      </c>
      <c r="F915" s="551">
        <v>0</v>
      </c>
      <c r="G915" s="551">
        <v>0</v>
      </c>
      <c r="H915" s="551">
        <v>7</v>
      </c>
      <c r="I915" s="551">
        <v>34</v>
      </c>
      <c r="J915" s="551">
        <v>3</v>
      </c>
      <c r="K915" s="527">
        <f t="shared" ref="K915:K919" si="379">IF(E915=0,0,E915/D915)</f>
        <v>0.0891566265060241</v>
      </c>
      <c r="L915" s="528">
        <f t="shared" ref="L915:L919" si="380">IF(C915=0,0,C915/E915)</f>
        <v>1.33833333333333</v>
      </c>
      <c r="M915" s="528">
        <f t="shared" ref="M915:M919" si="381">IF(D915=0,0,C915/D915*1000)</f>
        <v>119.321285140562</v>
      </c>
      <c r="N915" s="528">
        <f t="shared" ref="N915:N919" si="382">IF(G915=0,0,G915/C915)</f>
        <v>0</v>
      </c>
      <c r="O915" s="528">
        <f t="shared" ref="O915:O919" si="383">IF(F915=0,0,F915/E915)</f>
        <v>0</v>
      </c>
      <c r="P915" s="529">
        <f t="shared" ref="P915:P919" si="384">IF(H915+I915=0,0,C915/(H915+I915))</f>
        <v>7.24658536585366</v>
      </c>
      <c r="Q915" s="24">
        <f t="shared" ref="Q915:Q919" si="385">H915+I915</f>
        <v>41</v>
      </c>
      <c r="R915" s="530">
        <f t="shared" ref="R915:R919" si="386">IF(Q915=0,0,Q915/E915)</f>
        <v>0.184684684684685</v>
      </c>
    </row>
    <row r="916" spans="1:18">
      <c r="A916" s="524"/>
      <c r="B916" s="540" t="s">
        <v>99</v>
      </c>
      <c r="C916" s="551">
        <v>0</v>
      </c>
      <c r="D916" s="551">
        <v>0</v>
      </c>
      <c r="E916" s="551">
        <v>0</v>
      </c>
      <c r="F916" s="551">
        <v>0</v>
      </c>
      <c r="G916" s="551">
        <v>0</v>
      </c>
      <c r="H916" s="551">
        <v>0</v>
      </c>
      <c r="I916" s="551">
        <v>0</v>
      </c>
      <c r="J916" s="551">
        <v>0</v>
      </c>
      <c r="K916" s="527">
        <f t="shared" si="379"/>
        <v>0</v>
      </c>
      <c r="L916" s="528">
        <f t="shared" si="380"/>
        <v>0</v>
      </c>
      <c r="M916" s="528">
        <f t="shared" si="381"/>
        <v>0</v>
      </c>
      <c r="N916" s="528">
        <f t="shared" si="382"/>
        <v>0</v>
      </c>
      <c r="O916" s="528">
        <f t="shared" si="383"/>
        <v>0</v>
      </c>
      <c r="P916" s="529">
        <f t="shared" si="384"/>
        <v>0</v>
      </c>
      <c r="Q916" s="24">
        <f t="shared" si="385"/>
        <v>0</v>
      </c>
      <c r="R916" s="530">
        <f t="shared" si="386"/>
        <v>0</v>
      </c>
    </row>
    <row r="917" spans="1:18">
      <c r="A917" s="524"/>
      <c r="B917" s="540" t="s">
        <v>100</v>
      </c>
      <c r="C917" s="552">
        <v>1218.48</v>
      </c>
      <c r="D917" s="551">
        <v>168776</v>
      </c>
      <c r="E917" s="551">
        <v>2519</v>
      </c>
      <c r="F917" s="551">
        <v>0</v>
      </c>
      <c r="G917" s="551">
        <v>0</v>
      </c>
      <c r="H917" s="551">
        <v>41</v>
      </c>
      <c r="I917" s="551">
        <v>55</v>
      </c>
      <c r="J917" s="551">
        <v>2</v>
      </c>
      <c r="K917" s="527">
        <f t="shared" si="379"/>
        <v>0.0149251078352372</v>
      </c>
      <c r="L917" s="528">
        <f t="shared" si="380"/>
        <v>0.48371576022231</v>
      </c>
      <c r="M917" s="528">
        <f t="shared" si="381"/>
        <v>7.21950988292174</v>
      </c>
      <c r="N917" s="528">
        <f t="shared" si="382"/>
        <v>0</v>
      </c>
      <c r="O917" s="528">
        <f t="shared" si="383"/>
        <v>0</v>
      </c>
      <c r="P917" s="529">
        <f t="shared" si="384"/>
        <v>12.6925</v>
      </c>
      <c r="Q917" s="24">
        <f t="shared" si="385"/>
        <v>96</v>
      </c>
      <c r="R917" s="530">
        <f t="shared" si="386"/>
        <v>0.0381103612544661</v>
      </c>
    </row>
    <row r="918" spans="1:18">
      <c r="A918" s="524"/>
      <c r="B918" s="540" t="s">
        <v>101</v>
      </c>
      <c r="C918" s="551">
        <v>0</v>
      </c>
      <c r="D918" s="551">
        <v>0</v>
      </c>
      <c r="E918" s="551">
        <v>0</v>
      </c>
      <c r="F918" s="551">
        <v>0</v>
      </c>
      <c r="G918" s="551">
        <v>0</v>
      </c>
      <c r="H918" s="551">
        <v>0</v>
      </c>
      <c r="I918" s="551">
        <v>0</v>
      </c>
      <c r="J918" s="551">
        <v>0</v>
      </c>
      <c r="K918" s="527">
        <f t="shared" si="379"/>
        <v>0</v>
      </c>
      <c r="L918" s="528">
        <f t="shared" si="380"/>
        <v>0</v>
      </c>
      <c r="M918" s="528">
        <f t="shared" si="381"/>
        <v>0</v>
      </c>
      <c r="N918" s="528">
        <f t="shared" si="382"/>
        <v>0</v>
      </c>
      <c r="O918" s="528">
        <f t="shared" si="383"/>
        <v>0</v>
      </c>
      <c r="P918" s="529">
        <f t="shared" si="384"/>
        <v>0</v>
      </c>
      <c r="Q918" s="24">
        <f t="shared" si="385"/>
        <v>0</v>
      </c>
      <c r="R918" s="530">
        <f t="shared" si="386"/>
        <v>0</v>
      </c>
    </row>
    <row r="919" spans="1:18">
      <c r="A919" s="524"/>
      <c r="B919" s="531" t="s">
        <v>96</v>
      </c>
      <c r="C919" s="533">
        <f t="shared" ref="C919:J919" si="387">SUM(C915:C918)</f>
        <v>1515.59</v>
      </c>
      <c r="D919" s="533">
        <f t="shared" si="387"/>
        <v>171266</v>
      </c>
      <c r="E919" s="533">
        <f t="shared" si="387"/>
        <v>2741</v>
      </c>
      <c r="F919" s="533">
        <f t="shared" si="387"/>
        <v>0</v>
      </c>
      <c r="G919" s="533">
        <f t="shared" si="387"/>
        <v>0</v>
      </c>
      <c r="H919" s="533">
        <f t="shared" si="387"/>
        <v>48</v>
      </c>
      <c r="I919" s="533">
        <f t="shared" si="387"/>
        <v>89</v>
      </c>
      <c r="J919" s="533">
        <f t="shared" si="387"/>
        <v>5</v>
      </c>
      <c r="K919" s="534">
        <f t="shared" si="379"/>
        <v>0.0160043441196735</v>
      </c>
      <c r="L919" s="535">
        <f t="shared" si="380"/>
        <v>0.552933236045239</v>
      </c>
      <c r="M919" s="535">
        <f t="shared" si="381"/>
        <v>8.84933378487266</v>
      </c>
      <c r="N919" s="535">
        <f t="shared" si="382"/>
        <v>0</v>
      </c>
      <c r="O919" s="535">
        <f t="shared" si="383"/>
        <v>0</v>
      </c>
      <c r="P919" s="536">
        <f t="shared" si="384"/>
        <v>11.062700729927</v>
      </c>
      <c r="Q919" s="531">
        <f t="shared" si="385"/>
        <v>137</v>
      </c>
      <c r="R919" s="537">
        <f t="shared" si="386"/>
        <v>0.0499817584823057</v>
      </c>
    </row>
    <row r="920" spans="1:18">
      <c r="A920" s="524">
        <v>45634</v>
      </c>
      <c r="B920" s="540" t="s">
        <v>98</v>
      </c>
      <c r="C920" s="551">
        <v>291.74</v>
      </c>
      <c r="D920" s="551">
        <v>3407</v>
      </c>
      <c r="E920" s="551">
        <v>270</v>
      </c>
      <c r="F920" s="551">
        <v>0</v>
      </c>
      <c r="G920" s="551">
        <v>0</v>
      </c>
      <c r="H920" s="551">
        <v>31</v>
      </c>
      <c r="I920" s="551">
        <v>43</v>
      </c>
      <c r="J920" s="551">
        <v>3</v>
      </c>
      <c r="K920" s="527">
        <f t="shared" ref="K920:K924" si="388">IF(E920=0,0,E920/D920)</f>
        <v>0.0792486058115644</v>
      </c>
      <c r="L920" s="528">
        <f t="shared" ref="L920:L924" si="389">IF(C920=0,0,C920/E920)</f>
        <v>1.08051851851852</v>
      </c>
      <c r="M920" s="528">
        <f t="shared" ref="M920:M924" si="390">IF(D920=0,0,C920/D920*1000)</f>
        <v>85.6295861461697</v>
      </c>
      <c r="N920" s="528">
        <f t="shared" ref="N920:N924" si="391">IF(G920=0,0,G920/C920)</f>
        <v>0</v>
      </c>
      <c r="O920" s="528">
        <f t="shared" ref="O920:O924" si="392">IF(F920=0,0,F920/E920)</f>
        <v>0</v>
      </c>
      <c r="P920" s="529">
        <f t="shared" ref="P920:P924" si="393">IF(H920+I920=0,0,C920/(H920+I920))</f>
        <v>3.94243243243243</v>
      </c>
      <c r="Q920" s="24">
        <f t="shared" ref="Q920:Q924" si="394">H920+I920</f>
        <v>74</v>
      </c>
      <c r="R920" s="530">
        <f t="shared" ref="R920:R924" si="395">IF(Q920=0,0,Q920/E920)</f>
        <v>0.274074074074074</v>
      </c>
    </row>
    <row r="921" spans="1:18">
      <c r="A921" s="524"/>
      <c r="B921" s="540" t="s">
        <v>99</v>
      </c>
      <c r="C921" s="551">
        <v>0</v>
      </c>
      <c r="D921" s="551">
        <v>0</v>
      </c>
      <c r="E921" s="551">
        <v>0</v>
      </c>
      <c r="F921" s="551">
        <v>0</v>
      </c>
      <c r="G921" s="551">
        <v>0</v>
      </c>
      <c r="H921" s="551">
        <v>0</v>
      </c>
      <c r="I921" s="551">
        <v>0</v>
      </c>
      <c r="J921" s="551">
        <v>0</v>
      </c>
      <c r="K921" s="527">
        <f t="shared" si="388"/>
        <v>0</v>
      </c>
      <c r="L921" s="528">
        <f t="shared" si="389"/>
        <v>0</v>
      </c>
      <c r="M921" s="528">
        <f t="shared" si="390"/>
        <v>0</v>
      </c>
      <c r="N921" s="528">
        <f t="shared" si="391"/>
        <v>0</v>
      </c>
      <c r="O921" s="528">
        <f t="shared" si="392"/>
        <v>0</v>
      </c>
      <c r="P921" s="529">
        <f t="shared" si="393"/>
        <v>0</v>
      </c>
      <c r="Q921" s="24">
        <f t="shared" si="394"/>
        <v>0</v>
      </c>
      <c r="R921" s="530">
        <f t="shared" si="395"/>
        <v>0</v>
      </c>
    </row>
    <row r="922" spans="1:18">
      <c r="A922" s="524"/>
      <c r="B922" s="540" t="s">
        <v>100</v>
      </c>
      <c r="C922" s="552">
        <v>1400.98</v>
      </c>
      <c r="D922" s="551">
        <v>164370</v>
      </c>
      <c r="E922" s="551">
        <v>2672</v>
      </c>
      <c r="F922" s="551">
        <v>0</v>
      </c>
      <c r="G922" s="551">
        <v>0</v>
      </c>
      <c r="H922" s="551">
        <v>69</v>
      </c>
      <c r="I922" s="551">
        <v>68</v>
      </c>
      <c r="J922" s="551">
        <v>7</v>
      </c>
      <c r="K922" s="527">
        <f t="shared" si="388"/>
        <v>0.0162560077873091</v>
      </c>
      <c r="L922" s="528">
        <f t="shared" si="389"/>
        <v>0.524318862275449</v>
      </c>
      <c r="M922" s="528">
        <f t="shared" si="390"/>
        <v>8.52333150818276</v>
      </c>
      <c r="N922" s="528">
        <f t="shared" si="391"/>
        <v>0</v>
      </c>
      <c r="O922" s="528">
        <f t="shared" si="392"/>
        <v>0</v>
      </c>
      <c r="P922" s="529">
        <f t="shared" si="393"/>
        <v>10.2261313868613</v>
      </c>
      <c r="Q922" s="24">
        <f t="shared" si="394"/>
        <v>137</v>
      </c>
      <c r="R922" s="530">
        <f t="shared" si="395"/>
        <v>0.0512724550898204</v>
      </c>
    </row>
    <row r="923" spans="1:18">
      <c r="A923" s="524"/>
      <c r="B923" s="540" t="s">
        <v>101</v>
      </c>
      <c r="C923" s="551">
        <v>0</v>
      </c>
      <c r="D923" s="551">
        <v>0</v>
      </c>
      <c r="E923" s="551">
        <v>0</v>
      </c>
      <c r="F923" s="551">
        <v>0</v>
      </c>
      <c r="G923" s="551">
        <v>0</v>
      </c>
      <c r="H923" s="551">
        <v>0</v>
      </c>
      <c r="I923" s="551">
        <v>0</v>
      </c>
      <c r="J923" s="551">
        <v>0</v>
      </c>
      <c r="K923" s="527">
        <f t="shared" si="388"/>
        <v>0</v>
      </c>
      <c r="L923" s="528">
        <f t="shared" si="389"/>
        <v>0</v>
      </c>
      <c r="M923" s="528">
        <f t="shared" si="390"/>
        <v>0</v>
      </c>
      <c r="N923" s="528">
        <f t="shared" si="391"/>
        <v>0</v>
      </c>
      <c r="O923" s="528">
        <f t="shared" si="392"/>
        <v>0</v>
      </c>
      <c r="P923" s="529">
        <f t="shared" si="393"/>
        <v>0</v>
      </c>
      <c r="Q923" s="24">
        <f t="shared" si="394"/>
        <v>0</v>
      </c>
      <c r="R923" s="530">
        <f t="shared" si="395"/>
        <v>0</v>
      </c>
    </row>
    <row r="924" spans="1:18">
      <c r="A924" s="524"/>
      <c r="B924" s="531" t="s">
        <v>96</v>
      </c>
      <c r="C924" s="533">
        <f t="shared" ref="C924:J924" si="396">SUM(C920:C923)</f>
        <v>1692.72</v>
      </c>
      <c r="D924" s="533">
        <f t="shared" si="396"/>
        <v>167777</v>
      </c>
      <c r="E924" s="533">
        <f t="shared" si="396"/>
        <v>2942</v>
      </c>
      <c r="F924" s="533">
        <f t="shared" si="396"/>
        <v>0</v>
      </c>
      <c r="G924" s="533">
        <f t="shared" si="396"/>
        <v>0</v>
      </c>
      <c r="H924" s="533">
        <f t="shared" si="396"/>
        <v>100</v>
      </c>
      <c r="I924" s="533">
        <f t="shared" si="396"/>
        <v>111</v>
      </c>
      <c r="J924" s="533">
        <f t="shared" si="396"/>
        <v>10</v>
      </c>
      <c r="K924" s="534">
        <f t="shared" si="388"/>
        <v>0.0175351806266652</v>
      </c>
      <c r="L924" s="535">
        <f t="shared" si="389"/>
        <v>0.575363698164514</v>
      </c>
      <c r="M924" s="535">
        <f t="shared" si="390"/>
        <v>10.0891063733408</v>
      </c>
      <c r="N924" s="535">
        <f t="shared" si="391"/>
        <v>0</v>
      </c>
      <c r="O924" s="535">
        <f t="shared" si="392"/>
        <v>0</v>
      </c>
      <c r="P924" s="536">
        <f t="shared" si="393"/>
        <v>8.02236966824645</v>
      </c>
      <c r="Q924" s="531">
        <f t="shared" si="394"/>
        <v>211</v>
      </c>
      <c r="R924" s="537">
        <f t="shared" si="395"/>
        <v>0.0717199184228416</v>
      </c>
    </row>
    <row r="925" spans="1:18">
      <c r="A925" s="524">
        <v>45635</v>
      </c>
      <c r="B925" s="540" t="s">
        <v>98</v>
      </c>
      <c r="C925" s="551">
        <v>389.03</v>
      </c>
      <c r="D925" s="553">
        <v>5931</v>
      </c>
      <c r="E925" s="551">
        <v>244</v>
      </c>
      <c r="F925" s="551">
        <v>0</v>
      </c>
      <c r="G925" s="551">
        <v>0</v>
      </c>
      <c r="H925" s="551">
        <v>12</v>
      </c>
      <c r="I925" s="551">
        <v>31</v>
      </c>
      <c r="J925" s="551">
        <v>1</v>
      </c>
      <c r="K925" s="527">
        <f t="shared" ref="K925:K929" si="397">IF(E925=0,0,E925/D925)</f>
        <v>0.0411397740684539</v>
      </c>
      <c r="L925" s="528">
        <f t="shared" ref="L925:L929" si="398">IF(C925=0,0,C925/E925)</f>
        <v>1.59438524590164</v>
      </c>
      <c r="M925" s="528">
        <f t="shared" ref="M925:M929" si="399">IF(D925=0,0,C925/D925*1000)</f>
        <v>65.5926487944697</v>
      </c>
      <c r="N925" s="528">
        <f t="shared" ref="N925:N929" si="400">IF(G925=0,0,G925/C925)</f>
        <v>0</v>
      </c>
      <c r="O925" s="528">
        <f t="shared" ref="O925:O929" si="401">IF(F925=0,0,F925/E925)</f>
        <v>0</v>
      </c>
      <c r="P925" s="529">
        <f t="shared" ref="P925:P929" si="402">IF(H925+I925=0,0,C925/(H925+I925))</f>
        <v>9.04720930232558</v>
      </c>
      <c r="Q925" s="24">
        <f t="shared" ref="Q925:Q929" si="403">H925+I925</f>
        <v>43</v>
      </c>
      <c r="R925" s="530">
        <f t="shared" ref="R925:R929" si="404">IF(Q925=0,0,Q925/E925)</f>
        <v>0.176229508196721</v>
      </c>
    </row>
    <row r="926" spans="1:18">
      <c r="A926" s="524"/>
      <c r="B926" s="540" t="s">
        <v>99</v>
      </c>
      <c r="C926" s="551">
        <v>0</v>
      </c>
      <c r="D926" s="551">
        <v>0</v>
      </c>
      <c r="E926" s="551">
        <v>0</v>
      </c>
      <c r="F926" s="551">
        <v>0</v>
      </c>
      <c r="G926" s="551">
        <v>0</v>
      </c>
      <c r="H926" s="551">
        <v>0</v>
      </c>
      <c r="I926" s="551">
        <v>0</v>
      </c>
      <c r="J926" s="551">
        <v>0</v>
      </c>
      <c r="K926" s="527">
        <f t="shared" si="397"/>
        <v>0</v>
      </c>
      <c r="L926" s="528">
        <f t="shared" si="398"/>
        <v>0</v>
      </c>
      <c r="M926" s="528">
        <f t="shared" si="399"/>
        <v>0</v>
      </c>
      <c r="N926" s="528">
        <f t="shared" si="400"/>
        <v>0</v>
      </c>
      <c r="O926" s="528">
        <f t="shared" si="401"/>
        <v>0</v>
      </c>
      <c r="P926" s="529">
        <f t="shared" si="402"/>
        <v>0</v>
      </c>
      <c r="Q926" s="24">
        <f t="shared" si="403"/>
        <v>0</v>
      </c>
      <c r="R926" s="530">
        <f t="shared" si="404"/>
        <v>0</v>
      </c>
    </row>
    <row r="927" spans="1:18">
      <c r="A927" s="524"/>
      <c r="B927" s="540" t="s">
        <v>100</v>
      </c>
      <c r="C927" s="552">
        <v>1375.55</v>
      </c>
      <c r="D927" s="551">
        <v>165119</v>
      </c>
      <c r="E927" s="551">
        <v>1882</v>
      </c>
      <c r="F927" s="551">
        <v>0</v>
      </c>
      <c r="G927" s="551">
        <v>0</v>
      </c>
      <c r="H927" s="551">
        <v>45</v>
      </c>
      <c r="I927" s="551">
        <v>66</v>
      </c>
      <c r="J927" s="551">
        <v>5</v>
      </c>
      <c r="K927" s="527">
        <f t="shared" si="397"/>
        <v>0.0113978403454478</v>
      </c>
      <c r="L927" s="528">
        <f t="shared" si="398"/>
        <v>0.730897980871413</v>
      </c>
      <c r="M927" s="528">
        <f t="shared" si="399"/>
        <v>8.33065849478255</v>
      </c>
      <c r="N927" s="528">
        <f t="shared" si="400"/>
        <v>0</v>
      </c>
      <c r="O927" s="528">
        <f t="shared" si="401"/>
        <v>0</v>
      </c>
      <c r="P927" s="529">
        <f t="shared" si="402"/>
        <v>12.3923423423423</v>
      </c>
      <c r="Q927" s="24">
        <f t="shared" si="403"/>
        <v>111</v>
      </c>
      <c r="R927" s="530">
        <f t="shared" si="404"/>
        <v>0.0589798087141339</v>
      </c>
    </row>
    <row r="928" spans="1:18">
      <c r="A928" s="524"/>
      <c r="B928" s="540" t="s">
        <v>101</v>
      </c>
      <c r="C928" s="551">
        <v>0</v>
      </c>
      <c r="D928" s="551">
        <v>0</v>
      </c>
      <c r="E928" s="551">
        <v>0</v>
      </c>
      <c r="F928" s="551">
        <v>0</v>
      </c>
      <c r="G928" s="551">
        <v>0</v>
      </c>
      <c r="H928" s="551">
        <v>0</v>
      </c>
      <c r="I928" s="551">
        <v>0</v>
      </c>
      <c r="J928" s="551">
        <v>0</v>
      </c>
      <c r="K928" s="527">
        <f t="shared" si="397"/>
        <v>0</v>
      </c>
      <c r="L928" s="528">
        <f t="shared" si="398"/>
        <v>0</v>
      </c>
      <c r="M928" s="528">
        <f t="shared" si="399"/>
        <v>0</v>
      </c>
      <c r="N928" s="528">
        <f t="shared" si="400"/>
        <v>0</v>
      </c>
      <c r="O928" s="528">
        <f t="shared" si="401"/>
        <v>0</v>
      </c>
      <c r="P928" s="529">
        <f t="shared" si="402"/>
        <v>0</v>
      </c>
      <c r="Q928" s="24">
        <f t="shared" si="403"/>
        <v>0</v>
      </c>
      <c r="R928" s="530">
        <f t="shared" si="404"/>
        <v>0</v>
      </c>
    </row>
    <row r="929" spans="1:18">
      <c r="A929" s="524"/>
      <c r="B929" s="531" t="s">
        <v>96</v>
      </c>
      <c r="C929" s="533">
        <f t="shared" ref="C929:J929" si="405">SUM(C925:C928)</f>
        <v>1764.58</v>
      </c>
      <c r="D929" s="533">
        <f t="shared" si="405"/>
        <v>171050</v>
      </c>
      <c r="E929" s="533">
        <f t="shared" si="405"/>
        <v>2126</v>
      </c>
      <c r="F929" s="533">
        <f t="shared" si="405"/>
        <v>0</v>
      </c>
      <c r="G929" s="533">
        <f t="shared" si="405"/>
        <v>0</v>
      </c>
      <c r="H929" s="533">
        <f t="shared" si="405"/>
        <v>57</v>
      </c>
      <c r="I929" s="533">
        <f t="shared" si="405"/>
        <v>97</v>
      </c>
      <c r="J929" s="533">
        <f t="shared" si="405"/>
        <v>6</v>
      </c>
      <c r="K929" s="534">
        <f t="shared" si="397"/>
        <v>0.0124291142940661</v>
      </c>
      <c r="L929" s="535">
        <f t="shared" si="398"/>
        <v>0.83</v>
      </c>
      <c r="M929" s="535">
        <f t="shared" si="399"/>
        <v>10.3161648640748</v>
      </c>
      <c r="N929" s="535">
        <f t="shared" si="400"/>
        <v>0</v>
      </c>
      <c r="O929" s="535">
        <f t="shared" si="401"/>
        <v>0</v>
      </c>
      <c r="P929" s="536">
        <f t="shared" si="402"/>
        <v>11.4583116883117</v>
      </c>
      <c r="Q929" s="531">
        <f t="shared" si="403"/>
        <v>154</v>
      </c>
      <c r="R929" s="537">
        <f t="shared" si="404"/>
        <v>0.0724365004703669</v>
      </c>
    </row>
    <row r="930" spans="1:18">
      <c r="A930" s="524">
        <v>45636</v>
      </c>
      <c r="B930" s="540" t="s">
        <v>98</v>
      </c>
      <c r="C930" s="551">
        <v>396.18</v>
      </c>
      <c r="D930" s="553">
        <v>5302</v>
      </c>
      <c r="E930" s="551">
        <v>240</v>
      </c>
      <c r="F930" s="551">
        <v>0</v>
      </c>
      <c r="G930" s="551">
        <v>0</v>
      </c>
      <c r="H930" s="551">
        <v>8</v>
      </c>
      <c r="I930" s="551">
        <v>37</v>
      </c>
      <c r="J930" s="551">
        <v>2</v>
      </c>
      <c r="K930" s="527">
        <f t="shared" ref="K930:K934" si="406">IF(E930=0,0,E930/D930)</f>
        <v>0.04526593738212</v>
      </c>
      <c r="L930" s="528">
        <f t="shared" ref="L930:L934" si="407">IF(C930=0,0,C930/E930)</f>
        <v>1.65075</v>
      </c>
      <c r="M930" s="528">
        <f t="shared" ref="M930:M934" si="408">IF(D930=0,0,C930/D930*1000)</f>
        <v>74.7227461335345</v>
      </c>
      <c r="N930" s="528">
        <f t="shared" ref="N930:N934" si="409">IF(G930=0,0,G930/C930)</f>
        <v>0</v>
      </c>
      <c r="O930" s="528">
        <f t="shared" ref="O930:O934" si="410">IF(F930=0,0,F930/E930)</f>
        <v>0</v>
      </c>
      <c r="P930" s="529">
        <f t="shared" ref="P930:P934" si="411">IF(H930+I930=0,0,C930/(H930+I930))</f>
        <v>8.804</v>
      </c>
      <c r="Q930" s="24">
        <f t="shared" ref="Q930:Q934" si="412">H930+I930</f>
        <v>45</v>
      </c>
      <c r="R930" s="530">
        <f t="shared" ref="R930:R934" si="413">IF(Q930=0,0,Q930/E930)</f>
        <v>0.1875</v>
      </c>
    </row>
    <row r="931" spans="1:18">
      <c r="A931" s="524"/>
      <c r="B931" s="540" t="s">
        <v>99</v>
      </c>
      <c r="C931" s="551">
        <v>789.85</v>
      </c>
      <c r="D931" s="551">
        <v>12895</v>
      </c>
      <c r="E931" s="551">
        <v>1039</v>
      </c>
      <c r="F931" s="551">
        <v>0</v>
      </c>
      <c r="G931" s="551">
        <v>0</v>
      </c>
      <c r="H931" s="551">
        <v>5</v>
      </c>
      <c r="I931" s="551">
        <v>1</v>
      </c>
      <c r="J931" s="551">
        <v>2</v>
      </c>
      <c r="K931" s="527">
        <f t="shared" si="406"/>
        <v>0.0805738658394727</v>
      </c>
      <c r="L931" s="528">
        <f t="shared" si="407"/>
        <v>0.760202117420597</v>
      </c>
      <c r="M931" s="528">
        <f t="shared" si="408"/>
        <v>61.2524234199302</v>
      </c>
      <c r="N931" s="528">
        <f t="shared" si="409"/>
        <v>0</v>
      </c>
      <c r="O931" s="528">
        <f t="shared" si="410"/>
        <v>0</v>
      </c>
      <c r="P931" s="529">
        <f t="shared" si="411"/>
        <v>131.641666666667</v>
      </c>
      <c r="Q931" s="24">
        <f t="shared" si="412"/>
        <v>6</v>
      </c>
      <c r="R931" s="530">
        <f t="shared" si="413"/>
        <v>0.00577478344562079</v>
      </c>
    </row>
    <row r="932" spans="1:18">
      <c r="A932" s="524"/>
      <c r="B932" s="540" t="s">
        <v>100</v>
      </c>
      <c r="C932" s="552">
        <v>1802.61</v>
      </c>
      <c r="D932" s="551">
        <v>203384</v>
      </c>
      <c r="E932" s="551">
        <v>2147</v>
      </c>
      <c r="F932" s="551">
        <v>1</v>
      </c>
      <c r="G932" s="551">
        <v>8842</v>
      </c>
      <c r="H932" s="551">
        <v>43</v>
      </c>
      <c r="I932" s="551">
        <v>73</v>
      </c>
      <c r="J932" s="551">
        <v>2</v>
      </c>
      <c r="K932" s="527">
        <f t="shared" si="406"/>
        <v>0.0105563859497306</v>
      </c>
      <c r="L932" s="528">
        <f t="shared" si="407"/>
        <v>0.839594783418724</v>
      </c>
      <c r="M932" s="528">
        <f t="shared" si="408"/>
        <v>8.86308657514849</v>
      </c>
      <c r="N932" s="528">
        <f t="shared" si="409"/>
        <v>4.90510981299338</v>
      </c>
      <c r="O932" s="528">
        <f t="shared" si="410"/>
        <v>0.000465766185374942</v>
      </c>
      <c r="P932" s="529">
        <f t="shared" si="411"/>
        <v>15.5397413793103</v>
      </c>
      <c r="Q932" s="24">
        <f t="shared" si="412"/>
        <v>116</v>
      </c>
      <c r="R932" s="530">
        <f t="shared" si="413"/>
        <v>0.0540288775034932</v>
      </c>
    </row>
    <row r="933" spans="1:18">
      <c r="A933" s="524"/>
      <c r="B933" s="540" t="s">
        <v>101</v>
      </c>
      <c r="C933" s="551">
        <v>0</v>
      </c>
      <c r="D933" s="551">
        <v>0</v>
      </c>
      <c r="E933" s="551">
        <v>0</v>
      </c>
      <c r="F933" s="551">
        <v>0</v>
      </c>
      <c r="G933" s="551">
        <v>0</v>
      </c>
      <c r="H933" s="551">
        <v>0</v>
      </c>
      <c r="I933" s="551">
        <v>0</v>
      </c>
      <c r="J933" s="551">
        <v>0</v>
      </c>
      <c r="K933" s="527">
        <f t="shared" si="406"/>
        <v>0</v>
      </c>
      <c r="L933" s="528">
        <f t="shared" si="407"/>
        <v>0</v>
      </c>
      <c r="M933" s="528">
        <f t="shared" si="408"/>
        <v>0</v>
      </c>
      <c r="N933" s="528">
        <f t="shared" si="409"/>
        <v>0</v>
      </c>
      <c r="O933" s="528">
        <f t="shared" si="410"/>
        <v>0</v>
      </c>
      <c r="P933" s="529">
        <f t="shared" si="411"/>
        <v>0</v>
      </c>
      <c r="Q933" s="24">
        <f t="shared" si="412"/>
        <v>0</v>
      </c>
      <c r="R933" s="530">
        <f t="shared" si="413"/>
        <v>0</v>
      </c>
    </row>
    <row r="934" spans="1:18">
      <c r="A934" s="524"/>
      <c r="B934" s="531" t="s">
        <v>96</v>
      </c>
      <c r="C934" s="533">
        <f t="shared" ref="C934:J934" si="414">SUM(C930:C933)</f>
        <v>2988.64</v>
      </c>
      <c r="D934" s="533">
        <f t="shared" si="414"/>
        <v>221581</v>
      </c>
      <c r="E934" s="533">
        <f t="shared" si="414"/>
        <v>3426</v>
      </c>
      <c r="F934" s="533">
        <f t="shared" si="414"/>
        <v>1</v>
      </c>
      <c r="G934" s="533">
        <f t="shared" si="414"/>
        <v>8842</v>
      </c>
      <c r="H934" s="533">
        <f t="shared" si="414"/>
        <v>56</v>
      </c>
      <c r="I934" s="533">
        <f t="shared" si="414"/>
        <v>111</v>
      </c>
      <c r="J934" s="533">
        <f t="shared" si="414"/>
        <v>6</v>
      </c>
      <c r="K934" s="534">
        <f t="shared" si="406"/>
        <v>0.0154616144886069</v>
      </c>
      <c r="L934" s="535">
        <f t="shared" si="407"/>
        <v>0.872340922358435</v>
      </c>
      <c r="M934" s="535">
        <f t="shared" si="408"/>
        <v>13.4877990441419</v>
      </c>
      <c r="N934" s="535">
        <f t="shared" si="409"/>
        <v>2.95853632421436</v>
      </c>
      <c r="O934" s="535">
        <f t="shared" si="410"/>
        <v>0.000291885580852306</v>
      </c>
      <c r="P934" s="536">
        <f t="shared" si="411"/>
        <v>17.8960479041916</v>
      </c>
      <c r="Q934" s="531">
        <f t="shared" si="412"/>
        <v>167</v>
      </c>
      <c r="R934" s="537">
        <f t="shared" si="413"/>
        <v>0.0487448920023351</v>
      </c>
    </row>
    <row r="935" spans="1:18">
      <c r="A935" s="524">
        <v>45637</v>
      </c>
      <c r="B935" s="540" t="s">
        <v>98</v>
      </c>
      <c r="C935" s="551">
        <v>400</v>
      </c>
      <c r="D935" s="553">
        <v>8540</v>
      </c>
      <c r="E935" s="551">
        <v>313</v>
      </c>
      <c r="F935" s="551">
        <v>0</v>
      </c>
      <c r="G935" s="551">
        <v>0</v>
      </c>
      <c r="H935" s="551">
        <v>16</v>
      </c>
      <c r="I935" s="551">
        <v>35</v>
      </c>
      <c r="J935" s="551">
        <v>1</v>
      </c>
      <c r="K935" s="527">
        <f t="shared" ref="K935:K944" si="415">IF(E935=0,0,E935/D935)</f>
        <v>0.0366510538641686</v>
      </c>
      <c r="L935" s="528">
        <f t="shared" ref="L935:L944" si="416">IF(C935=0,0,C935/E935)</f>
        <v>1.2779552715655</v>
      </c>
      <c r="M935" s="528">
        <f t="shared" ref="M935:M944" si="417">IF(D935=0,0,C935/D935*1000)</f>
        <v>46.8384074941452</v>
      </c>
      <c r="N935" s="528">
        <f t="shared" ref="N935:N944" si="418">IF(G935=0,0,G935/C935)</f>
        <v>0</v>
      </c>
      <c r="O935" s="528">
        <f t="shared" ref="O935:O944" si="419">IF(F935=0,0,F935/E935)</f>
        <v>0</v>
      </c>
      <c r="P935" s="529">
        <f t="shared" ref="P935:P944" si="420">IF(H935+I935=0,0,C935/(H935+I935))</f>
        <v>7.84313725490196</v>
      </c>
      <c r="Q935" s="24">
        <f t="shared" ref="Q935:Q944" si="421">H935+I935</f>
        <v>51</v>
      </c>
      <c r="R935" s="530">
        <f t="shared" ref="R935:R944" si="422">IF(Q935=0,0,Q935/E935)</f>
        <v>0.162939297124601</v>
      </c>
    </row>
    <row r="936" spans="1:18">
      <c r="A936" s="524"/>
      <c r="B936" s="540" t="s">
        <v>99</v>
      </c>
      <c r="C936" s="551">
        <v>0</v>
      </c>
      <c r="D936" s="551">
        <v>0</v>
      </c>
      <c r="E936" s="551">
        <v>0</v>
      </c>
      <c r="F936" s="551">
        <v>0</v>
      </c>
      <c r="G936" s="551">
        <v>0</v>
      </c>
      <c r="H936" s="551">
        <v>0</v>
      </c>
      <c r="I936" s="551">
        <v>0</v>
      </c>
      <c r="J936" s="551">
        <v>0</v>
      </c>
      <c r="K936" s="527">
        <f t="shared" si="415"/>
        <v>0</v>
      </c>
      <c r="L936" s="528">
        <f t="shared" si="416"/>
        <v>0</v>
      </c>
      <c r="M936" s="528">
        <f t="shared" si="417"/>
        <v>0</v>
      </c>
      <c r="N936" s="528">
        <f t="shared" si="418"/>
        <v>0</v>
      </c>
      <c r="O936" s="528">
        <f t="shared" si="419"/>
        <v>0</v>
      </c>
      <c r="P936" s="529">
        <f t="shared" si="420"/>
        <v>0</v>
      </c>
      <c r="Q936" s="24">
        <f t="shared" si="421"/>
        <v>0</v>
      </c>
      <c r="R936" s="530">
        <f t="shared" si="422"/>
        <v>0</v>
      </c>
    </row>
    <row r="937" spans="1:18">
      <c r="A937" s="524"/>
      <c r="B937" s="540" t="s">
        <v>100</v>
      </c>
      <c r="C937" s="552">
        <v>1821.85</v>
      </c>
      <c r="D937" s="551">
        <v>126960</v>
      </c>
      <c r="E937" s="551">
        <v>1607</v>
      </c>
      <c r="F937" s="551">
        <v>3</v>
      </c>
      <c r="G937" s="551">
        <v>28192</v>
      </c>
      <c r="H937" s="551">
        <v>58</v>
      </c>
      <c r="I937" s="551">
        <v>83</v>
      </c>
      <c r="J937" s="551">
        <v>5</v>
      </c>
      <c r="K937" s="527">
        <f t="shared" si="415"/>
        <v>0.0126575299306868</v>
      </c>
      <c r="L937" s="528">
        <f t="shared" si="416"/>
        <v>1.13369632856254</v>
      </c>
      <c r="M937" s="528">
        <f t="shared" si="417"/>
        <v>14.3497952110901</v>
      </c>
      <c r="N937" s="528">
        <f t="shared" si="418"/>
        <v>15.4743804374674</v>
      </c>
      <c r="O937" s="528">
        <f t="shared" si="419"/>
        <v>0.00186683260734287</v>
      </c>
      <c r="P937" s="529">
        <f t="shared" si="420"/>
        <v>12.9209219858156</v>
      </c>
      <c r="Q937" s="24">
        <f t="shared" si="421"/>
        <v>141</v>
      </c>
      <c r="R937" s="530">
        <f t="shared" si="422"/>
        <v>0.0877411325451151</v>
      </c>
    </row>
    <row r="938" spans="1:18">
      <c r="A938" s="524"/>
      <c r="B938" s="540" t="s">
        <v>101</v>
      </c>
      <c r="C938" s="551">
        <v>0</v>
      </c>
      <c r="D938" s="551">
        <v>0</v>
      </c>
      <c r="E938" s="551">
        <v>0</v>
      </c>
      <c r="F938" s="551">
        <v>0</v>
      </c>
      <c r="G938" s="551">
        <v>0</v>
      </c>
      <c r="H938" s="551">
        <v>0</v>
      </c>
      <c r="I938" s="551">
        <v>0</v>
      </c>
      <c r="J938" s="551">
        <v>0</v>
      </c>
      <c r="K938" s="527">
        <f t="shared" si="415"/>
        <v>0</v>
      </c>
      <c r="L938" s="528">
        <f t="shared" si="416"/>
        <v>0</v>
      </c>
      <c r="M938" s="528">
        <f t="shared" si="417"/>
        <v>0</v>
      </c>
      <c r="N938" s="528">
        <f t="shared" si="418"/>
        <v>0</v>
      </c>
      <c r="O938" s="528">
        <f t="shared" si="419"/>
        <v>0</v>
      </c>
      <c r="P938" s="529">
        <f t="shared" si="420"/>
        <v>0</v>
      </c>
      <c r="Q938" s="24">
        <f t="shared" si="421"/>
        <v>0</v>
      </c>
      <c r="R938" s="530">
        <f t="shared" si="422"/>
        <v>0</v>
      </c>
    </row>
    <row r="939" spans="1:18">
      <c r="A939" s="524"/>
      <c r="B939" s="531" t="s">
        <v>96</v>
      </c>
      <c r="C939" s="533">
        <f t="shared" ref="C939:J939" si="423">SUM(C935:C938)</f>
        <v>2221.85</v>
      </c>
      <c r="D939" s="533">
        <f t="shared" si="423"/>
        <v>135500</v>
      </c>
      <c r="E939" s="533">
        <f t="shared" si="423"/>
        <v>1920</v>
      </c>
      <c r="F939" s="533">
        <f t="shared" si="423"/>
        <v>3</v>
      </c>
      <c r="G939" s="533">
        <f t="shared" si="423"/>
        <v>28192</v>
      </c>
      <c r="H939" s="533">
        <f t="shared" si="423"/>
        <v>74</v>
      </c>
      <c r="I939" s="533">
        <f t="shared" si="423"/>
        <v>118</v>
      </c>
      <c r="J939" s="533">
        <f t="shared" si="423"/>
        <v>6</v>
      </c>
      <c r="K939" s="534">
        <f t="shared" si="415"/>
        <v>0.014169741697417</v>
      </c>
      <c r="L939" s="535">
        <f t="shared" si="416"/>
        <v>1.15721354166667</v>
      </c>
      <c r="M939" s="535">
        <f t="shared" si="417"/>
        <v>16.3974169741697</v>
      </c>
      <c r="N939" s="535">
        <f t="shared" si="418"/>
        <v>12.6885253279924</v>
      </c>
      <c r="O939" s="535">
        <f t="shared" si="419"/>
        <v>0.0015625</v>
      </c>
      <c r="P939" s="536">
        <f t="shared" si="420"/>
        <v>11.5721354166667</v>
      </c>
      <c r="Q939" s="531">
        <f t="shared" si="421"/>
        <v>192</v>
      </c>
      <c r="R939" s="537">
        <f t="shared" si="422"/>
        <v>0.1</v>
      </c>
    </row>
    <row r="940" spans="1:18">
      <c r="A940" s="524">
        <v>45638</v>
      </c>
      <c r="B940" s="540" t="s">
        <v>98</v>
      </c>
      <c r="C940" s="551">
        <v>393.71</v>
      </c>
      <c r="D940" s="553">
        <v>4952</v>
      </c>
      <c r="E940" s="551">
        <v>267</v>
      </c>
      <c r="F940" s="551">
        <v>0</v>
      </c>
      <c r="G940" s="551">
        <v>0</v>
      </c>
      <c r="H940" s="551">
        <v>11</v>
      </c>
      <c r="I940" s="551">
        <v>40</v>
      </c>
      <c r="J940" s="551">
        <v>2</v>
      </c>
      <c r="K940" s="527">
        <f t="shared" si="415"/>
        <v>0.0539176090468498</v>
      </c>
      <c r="L940" s="528">
        <f t="shared" si="416"/>
        <v>1.47456928838951</v>
      </c>
      <c r="M940" s="528">
        <f t="shared" si="417"/>
        <v>79.5052504038772</v>
      </c>
      <c r="N940" s="528">
        <f t="shared" si="418"/>
        <v>0</v>
      </c>
      <c r="O940" s="528">
        <f t="shared" si="419"/>
        <v>0</v>
      </c>
      <c r="P940" s="529">
        <f t="shared" si="420"/>
        <v>7.71980392156863</v>
      </c>
      <c r="Q940" s="24">
        <f t="shared" si="421"/>
        <v>51</v>
      </c>
      <c r="R940" s="530">
        <f t="shared" si="422"/>
        <v>0.191011235955056</v>
      </c>
    </row>
    <row r="941" spans="1:18">
      <c r="A941" s="524"/>
      <c r="B941" s="540" t="s">
        <v>99</v>
      </c>
      <c r="C941" s="551">
        <v>395.02</v>
      </c>
      <c r="D941" s="551">
        <v>6625</v>
      </c>
      <c r="E941" s="551">
        <v>1222</v>
      </c>
      <c r="F941" s="551">
        <v>0</v>
      </c>
      <c r="G941" s="551">
        <v>0</v>
      </c>
      <c r="H941" s="551">
        <v>4</v>
      </c>
      <c r="I941" s="551">
        <v>1</v>
      </c>
      <c r="J941" s="551">
        <v>0</v>
      </c>
      <c r="K941" s="527">
        <f t="shared" si="415"/>
        <v>0.184452830188679</v>
      </c>
      <c r="L941" s="528">
        <f t="shared" si="416"/>
        <v>0.323256955810147</v>
      </c>
      <c r="M941" s="528">
        <f t="shared" si="417"/>
        <v>59.6256603773585</v>
      </c>
      <c r="N941" s="528">
        <f t="shared" si="418"/>
        <v>0</v>
      </c>
      <c r="O941" s="528">
        <f t="shared" si="419"/>
        <v>0</v>
      </c>
      <c r="P941" s="529">
        <f t="shared" si="420"/>
        <v>79.004</v>
      </c>
      <c r="Q941" s="24">
        <f t="shared" si="421"/>
        <v>5</v>
      </c>
      <c r="R941" s="530">
        <f t="shared" si="422"/>
        <v>0.00409165302782324</v>
      </c>
    </row>
    <row r="942" spans="1:18">
      <c r="A942" s="524"/>
      <c r="B942" s="540" t="s">
        <v>100</v>
      </c>
      <c r="C942" s="552">
        <v>2137.9</v>
      </c>
      <c r="D942" s="551">
        <v>126507</v>
      </c>
      <c r="E942" s="551">
        <v>2037</v>
      </c>
      <c r="F942" s="551">
        <v>7</v>
      </c>
      <c r="G942" s="551">
        <v>67538</v>
      </c>
      <c r="H942" s="551">
        <v>95</v>
      </c>
      <c r="I942" s="551">
        <v>110</v>
      </c>
      <c r="J942" s="551">
        <v>5</v>
      </c>
      <c r="K942" s="527">
        <f t="shared" si="415"/>
        <v>0.0161018757855297</v>
      </c>
      <c r="L942" s="528">
        <f t="shared" si="416"/>
        <v>1.04953362788414</v>
      </c>
      <c r="M942" s="528">
        <f t="shared" si="417"/>
        <v>16.8994601089268</v>
      </c>
      <c r="N942" s="528">
        <f t="shared" si="418"/>
        <v>31.5908134150334</v>
      </c>
      <c r="O942" s="528">
        <f t="shared" si="419"/>
        <v>0.00343642611683849</v>
      </c>
      <c r="P942" s="529">
        <f t="shared" si="420"/>
        <v>10.4287804878049</v>
      </c>
      <c r="Q942" s="24">
        <f t="shared" si="421"/>
        <v>205</v>
      </c>
      <c r="R942" s="530">
        <f t="shared" si="422"/>
        <v>0.100638193421699</v>
      </c>
    </row>
    <row r="943" spans="1:18">
      <c r="A943" s="524"/>
      <c r="B943" s="540" t="s">
        <v>101</v>
      </c>
      <c r="C943" s="551">
        <v>0</v>
      </c>
      <c r="D943" s="551">
        <v>0</v>
      </c>
      <c r="E943" s="551">
        <v>0</v>
      </c>
      <c r="F943" s="551">
        <v>0</v>
      </c>
      <c r="G943" s="551">
        <v>0</v>
      </c>
      <c r="H943" s="551">
        <v>0</v>
      </c>
      <c r="I943" s="551">
        <v>0</v>
      </c>
      <c r="J943" s="551">
        <v>0</v>
      </c>
      <c r="K943" s="527">
        <f t="shared" si="415"/>
        <v>0</v>
      </c>
      <c r="L943" s="528">
        <f t="shared" si="416"/>
        <v>0</v>
      </c>
      <c r="M943" s="528">
        <f t="shared" si="417"/>
        <v>0</v>
      </c>
      <c r="N943" s="528">
        <f t="shared" si="418"/>
        <v>0</v>
      </c>
      <c r="O943" s="528">
        <f t="shared" si="419"/>
        <v>0</v>
      </c>
      <c r="P943" s="529">
        <f t="shared" si="420"/>
        <v>0</v>
      </c>
      <c r="Q943" s="24">
        <f t="shared" si="421"/>
        <v>0</v>
      </c>
      <c r="R943" s="530">
        <f t="shared" si="422"/>
        <v>0</v>
      </c>
    </row>
    <row r="944" spans="1:18">
      <c r="A944" s="524"/>
      <c r="B944" s="531" t="s">
        <v>96</v>
      </c>
      <c r="C944" s="533">
        <f t="shared" ref="C944:J944" si="424">SUM(C940:C943)</f>
        <v>2926.63</v>
      </c>
      <c r="D944" s="533">
        <f t="shared" si="424"/>
        <v>138084</v>
      </c>
      <c r="E944" s="533">
        <f t="shared" si="424"/>
        <v>3526</v>
      </c>
      <c r="F944" s="533">
        <f t="shared" si="424"/>
        <v>7</v>
      </c>
      <c r="G944" s="533">
        <f t="shared" si="424"/>
        <v>67538</v>
      </c>
      <c r="H944" s="533">
        <f t="shared" si="424"/>
        <v>110</v>
      </c>
      <c r="I944" s="533">
        <f t="shared" si="424"/>
        <v>151</v>
      </c>
      <c r="J944" s="533">
        <f t="shared" si="424"/>
        <v>7</v>
      </c>
      <c r="K944" s="534">
        <f t="shared" si="415"/>
        <v>0.0255351814837345</v>
      </c>
      <c r="L944" s="535">
        <f t="shared" si="416"/>
        <v>0.830014180374362</v>
      </c>
      <c r="M944" s="535">
        <f t="shared" si="417"/>
        <v>21.1945627299325</v>
      </c>
      <c r="N944" s="535">
        <f t="shared" si="418"/>
        <v>23.0770544961269</v>
      </c>
      <c r="O944" s="535">
        <f t="shared" si="419"/>
        <v>0.00198525241066364</v>
      </c>
      <c r="P944" s="536">
        <f t="shared" si="420"/>
        <v>11.2131417624521</v>
      </c>
      <c r="Q944" s="531">
        <f t="shared" si="421"/>
        <v>261</v>
      </c>
      <c r="R944" s="537">
        <f t="shared" si="422"/>
        <v>0.0740215541690301</v>
      </c>
    </row>
    <row r="945" spans="1:18">
      <c r="A945" s="524">
        <v>45639</v>
      </c>
      <c r="B945" s="540" t="s">
        <v>98</v>
      </c>
      <c r="C945" s="551">
        <v>316.82</v>
      </c>
      <c r="D945" s="553">
        <v>3720</v>
      </c>
      <c r="E945" s="551">
        <v>162</v>
      </c>
      <c r="F945" s="551">
        <v>0</v>
      </c>
      <c r="G945" s="551">
        <v>0</v>
      </c>
      <c r="H945" s="551">
        <v>22</v>
      </c>
      <c r="I945" s="551">
        <v>17</v>
      </c>
      <c r="J945" s="551">
        <v>0</v>
      </c>
      <c r="K945" s="527">
        <f t="shared" ref="K945:K949" si="425">IF(E945=0,0,E945/D945)</f>
        <v>0.0435483870967742</v>
      </c>
      <c r="L945" s="528">
        <f t="shared" ref="L945:L949" si="426">IF(C945=0,0,C945/E945)</f>
        <v>1.95567901234568</v>
      </c>
      <c r="M945" s="528">
        <f t="shared" ref="M945:M949" si="427">IF(D945=0,0,C945/D945*1000)</f>
        <v>85.1666666666667</v>
      </c>
      <c r="N945" s="528">
        <f t="shared" ref="N945:N949" si="428">IF(G945=0,0,G945/C945)</f>
        <v>0</v>
      </c>
      <c r="O945" s="528">
        <f t="shared" ref="O945:O949" si="429">IF(F945=0,0,F945/E945)</f>
        <v>0</v>
      </c>
      <c r="P945" s="529">
        <f t="shared" ref="P945:P949" si="430">IF(H945+I945=0,0,C945/(H945+I945))</f>
        <v>8.12358974358974</v>
      </c>
      <c r="Q945" s="24">
        <f t="shared" ref="Q945:Q949" si="431">H945+I945</f>
        <v>39</v>
      </c>
      <c r="R945" s="530">
        <f t="shared" ref="R945:R949" si="432">IF(Q945=0,0,Q945/E945)</f>
        <v>0.240740740740741</v>
      </c>
    </row>
    <row r="946" spans="1:18">
      <c r="A946" s="524"/>
      <c r="B946" s="540" t="s">
        <v>99</v>
      </c>
      <c r="C946" s="551">
        <v>0.23</v>
      </c>
      <c r="D946" s="551">
        <v>1</v>
      </c>
      <c r="E946" s="551">
        <v>1</v>
      </c>
      <c r="F946" s="551">
        <v>0</v>
      </c>
      <c r="G946" s="551">
        <v>0</v>
      </c>
      <c r="H946" s="551">
        <v>0</v>
      </c>
      <c r="I946" s="551">
        <v>0</v>
      </c>
      <c r="J946" s="551">
        <v>0</v>
      </c>
      <c r="K946" s="527">
        <f t="shared" si="425"/>
        <v>1</v>
      </c>
      <c r="L946" s="528">
        <f t="shared" si="426"/>
        <v>0.23</v>
      </c>
      <c r="M946" s="528">
        <f t="shared" si="427"/>
        <v>230</v>
      </c>
      <c r="N946" s="528">
        <f t="shared" si="428"/>
        <v>0</v>
      </c>
      <c r="O946" s="528">
        <f t="shared" si="429"/>
        <v>0</v>
      </c>
      <c r="P946" s="529">
        <f t="shared" si="430"/>
        <v>0</v>
      </c>
      <c r="Q946" s="24">
        <f t="shared" si="431"/>
        <v>0</v>
      </c>
      <c r="R946" s="530">
        <f t="shared" si="432"/>
        <v>0</v>
      </c>
    </row>
    <row r="947" spans="1:18">
      <c r="A947" s="524"/>
      <c r="B947" s="540" t="s">
        <v>100</v>
      </c>
      <c r="C947" s="552">
        <v>971.81</v>
      </c>
      <c r="D947" s="553">
        <v>73320</v>
      </c>
      <c r="E947" s="551">
        <v>1020</v>
      </c>
      <c r="F947" s="551">
        <v>0</v>
      </c>
      <c r="G947" s="551">
        <v>0</v>
      </c>
      <c r="H947" s="551">
        <v>42</v>
      </c>
      <c r="I947" s="551">
        <v>40</v>
      </c>
      <c r="J947" s="551">
        <v>3</v>
      </c>
      <c r="K947" s="527">
        <f t="shared" si="425"/>
        <v>0.013911620294599</v>
      </c>
      <c r="L947" s="528">
        <f t="shared" si="426"/>
        <v>0.952754901960784</v>
      </c>
      <c r="M947" s="528">
        <f t="shared" si="427"/>
        <v>13.2543644298963</v>
      </c>
      <c r="N947" s="528">
        <f t="shared" si="428"/>
        <v>0</v>
      </c>
      <c r="O947" s="528">
        <f t="shared" si="429"/>
        <v>0</v>
      </c>
      <c r="P947" s="529">
        <f t="shared" si="430"/>
        <v>11.8513414634146</v>
      </c>
      <c r="Q947" s="24">
        <f t="shared" si="431"/>
        <v>82</v>
      </c>
      <c r="R947" s="530">
        <f t="shared" si="432"/>
        <v>0.0803921568627451</v>
      </c>
    </row>
    <row r="948" spans="1:18">
      <c r="A948" s="524"/>
      <c r="B948" s="540" t="s">
        <v>101</v>
      </c>
      <c r="C948" s="551">
        <v>0</v>
      </c>
      <c r="D948" s="551">
        <v>0</v>
      </c>
      <c r="E948" s="551">
        <v>0</v>
      </c>
      <c r="F948" s="551">
        <v>0</v>
      </c>
      <c r="G948" s="551">
        <v>0</v>
      </c>
      <c r="H948" s="551">
        <v>0</v>
      </c>
      <c r="I948" s="551">
        <v>0</v>
      </c>
      <c r="J948" s="551">
        <v>0</v>
      </c>
      <c r="K948" s="527">
        <f t="shared" si="425"/>
        <v>0</v>
      </c>
      <c r="L948" s="528">
        <f t="shared" si="426"/>
        <v>0</v>
      </c>
      <c r="M948" s="528">
        <f t="shared" si="427"/>
        <v>0</v>
      </c>
      <c r="N948" s="528">
        <f t="shared" si="428"/>
        <v>0</v>
      </c>
      <c r="O948" s="528">
        <f t="shared" si="429"/>
        <v>0</v>
      </c>
      <c r="P948" s="529">
        <f t="shared" si="430"/>
        <v>0</v>
      </c>
      <c r="Q948" s="24">
        <f t="shared" si="431"/>
        <v>0</v>
      </c>
      <c r="R948" s="530">
        <f t="shared" si="432"/>
        <v>0</v>
      </c>
    </row>
    <row r="949" spans="1:18">
      <c r="A949" s="524"/>
      <c r="B949" s="531" t="s">
        <v>96</v>
      </c>
      <c r="C949" s="533">
        <f t="shared" ref="C949:J949" si="433">SUM(C945:C948)</f>
        <v>1288.86</v>
      </c>
      <c r="D949" s="533">
        <f t="shared" si="433"/>
        <v>77041</v>
      </c>
      <c r="E949" s="533">
        <f t="shared" si="433"/>
        <v>1183</v>
      </c>
      <c r="F949" s="533">
        <f t="shared" si="433"/>
        <v>0</v>
      </c>
      <c r="G949" s="533">
        <f t="shared" si="433"/>
        <v>0</v>
      </c>
      <c r="H949" s="533">
        <f t="shared" si="433"/>
        <v>64</v>
      </c>
      <c r="I949" s="533">
        <f t="shared" si="433"/>
        <v>57</v>
      </c>
      <c r="J949" s="533">
        <f t="shared" si="433"/>
        <v>3</v>
      </c>
      <c r="K949" s="534">
        <f t="shared" si="425"/>
        <v>0.0153554600796978</v>
      </c>
      <c r="L949" s="535">
        <f t="shared" si="426"/>
        <v>1.08948436179205</v>
      </c>
      <c r="M949" s="535">
        <f t="shared" si="427"/>
        <v>16.7295336249529</v>
      </c>
      <c r="N949" s="535">
        <f t="shared" si="428"/>
        <v>0</v>
      </c>
      <c r="O949" s="535">
        <f t="shared" si="429"/>
        <v>0</v>
      </c>
      <c r="P949" s="536">
        <f t="shared" si="430"/>
        <v>10.6517355371901</v>
      </c>
      <c r="Q949" s="531">
        <f t="shared" si="431"/>
        <v>121</v>
      </c>
      <c r="R949" s="537">
        <f t="shared" si="432"/>
        <v>0.102282333051564</v>
      </c>
    </row>
    <row r="950" spans="1:18">
      <c r="A950" s="524">
        <v>45640</v>
      </c>
      <c r="B950" s="540" t="s">
        <v>98</v>
      </c>
      <c r="C950" s="551">
        <v>200</v>
      </c>
      <c r="D950" s="553">
        <v>3319</v>
      </c>
      <c r="E950" s="551">
        <v>122</v>
      </c>
      <c r="F950" s="551">
        <v>0</v>
      </c>
      <c r="G950" s="551">
        <v>0</v>
      </c>
      <c r="H950" s="551">
        <v>9</v>
      </c>
      <c r="I950" s="551">
        <v>1</v>
      </c>
      <c r="J950" s="551">
        <v>0</v>
      </c>
      <c r="K950" s="527">
        <f t="shared" ref="K950:K954" si="434">IF(E950=0,0,E950/D950)</f>
        <v>0.036758059656523</v>
      </c>
      <c r="L950" s="528">
        <f t="shared" ref="L950:L954" si="435">IF(C950=0,0,C950/E950)</f>
        <v>1.63934426229508</v>
      </c>
      <c r="M950" s="528">
        <f t="shared" ref="M950:M954" si="436">IF(D950=0,0,C950/D950*1000)</f>
        <v>60.2591141910214</v>
      </c>
      <c r="N950" s="528">
        <f t="shared" ref="N950:N954" si="437">IF(G950=0,0,G950/C950)</f>
        <v>0</v>
      </c>
      <c r="O950" s="528">
        <f t="shared" ref="O950:O954" si="438">IF(F950=0,0,F950/E950)</f>
        <v>0</v>
      </c>
      <c r="P950" s="529">
        <f t="shared" ref="P950:P954" si="439">IF(H950+I950=0,0,C950/(H950+I950))</f>
        <v>20</v>
      </c>
      <c r="Q950" s="24">
        <f t="shared" ref="Q950:Q954" si="440">H950+I950</f>
        <v>10</v>
      </c>
      <c r="R950" s="530">
        <f t="shared" ref="R950:R954" si="441">IF(Q950=0,0,Q950/E950)</f>
        <v>0.0819672131147541</v>
      </c>
    </row>
    <row r="951" spans="1:18">
      <c r="A951" s="524"/>
      <c r="B951" s="540" t="s">
        <v>99</v>
      </c>
      <c r="C951" s="551">
        <v>0.23</v>
      </c>
      <c r="D951" s="551">
        <v>1</v>
      </c>
      <c r="E951" s="551">
        <v>1</v>
      </c>
      <c r="F951" s="551">
        <v>0</v>
      </c>
      <c r="G951" s="551">
        <v>0</v>
      </c>
      <c r="H951" s="551">
        <v>0</v>
      </c>
      <c r="I951" s="551">
        <v>0</v>
      </c>
      <c r="J951" s="551">
        <v>0</v>
      </c>
      <c r="K951" s="527">
        <f t="shared" si="434"/>
        <v>1</v>
      </c>
      <c r="L951" s="528">
        <f t="shared" si="435"/>
        <v>0.23</v>
      </c>
      <c r="M951" s="528">
        <f t="shared" si="436"/>
        <v>230</v>
      </c>
      <c r="N951" s="528">
        <f t="shared" si="437"/>
        <v>0</v>
      </c>
      <c r="O951" s="528">
        <f t="shared" si="438"/>
        <v>0</v>
      </c>
      <c r="P951" s="529">
        <f t="shared" si="439"/>
        <v>0</v>
      </c>
      <c r="Q951" s="24">
        <f t="shared" si="440"/>
        <v>0</v>
      </c>
      <c r="R951" s="530">
        <f t="shared" si="441"/>
        <v>0</v>
      </c>
    </row>
    <row r="952" spans="1:18">
      <c r="A952" s="524"/>
      <c r="B952" s="540" t="s">
        <v>100</v>
      </c>
      <c r="C952" s="552">
        <v>963.39</v>
      </c>
      <c r="D952" s="551">
        <v>231323</v>
      </c>
      <c r="E952" s="551">
        <v>1901</v>
      </c>
      <c r="F952" s="551">
        <v>2</v>
      </c>
      <c r="G952" s="551">
        <v>8042</v>
      </c>
      <c r="H952" s="551">
        <v>31</v>
      </c>
      <c r="I952" s="551">
        <v>66</v>
      </c>
      <c r="J952" s="551">
        <v>7</v>
      </c>
      <c r="K952" s="527">
        <f t="shared" si="434"/>
        <v>0.00821794633477864</v>
      </c>
      <c r="L952" s="528">
        <f t="shared" si="435"/>
        <v>0.506780641767491</v>
      </c>
      <c r="M952" s="528">
        <f t="shared" si="436"/>
        <v>4.16469611754992</v>
      </c>
      <c r="N952" s="528">
        <f t="shared" si="437"/>
        <v>8.3476058501749</v>
      </c>
      <c r="O952" s="528">
        <f t="shared" si="438"/>
        <v>0.00105207785376118</v>
      </c>
      <c r="P952" s="529">
        <f t="shared" si="439"/>
        <v>9.93185567010309</v>
      </c>
      <c r="Q952" s="24">
        <f t="shared" si="440"/>
        <v>97</v>
      </c>
      <c r="R952" s="530">
        <f t="shared" si="441"/>
        <v>0.0510257759074172</v>
      </c>
    </row>
    <row r="953" spans="1:18">
      <c r="A953" s="524"/>
      <c r="B953" s="540" t="s">
        <v>101</v>
      </c>
      <c r="C953" s="551">
        <v>0</v>
      </c>
      <c r="D953" s="551">
        <v>0</v>
      </c>
      <c r="E953" s="551">
        <v>0</v>
      </c>
      <c r="F953" s="551">
        <v>0</v>
      </c>
      <c r="G953" s="551">
        <v>0</v>
      </c>
      <c r="H953" s="551">
        <v>0</v>
      </c>
      <c r="I953" s="551">
        <v>0</v>
      </c>
      <c r="J953" s="551">
        <v>0</v>
      </c>
      <c r="K953" s="527">
        <f t="shared" si="434"/>
        <v>0</v>
      </c>
      <c r="L953" s="528">
        <f t="shared" si="435"/>
        <v>0</v>
      </c>
      <c r="M953" s="528">
        <f t="shared" si="436"/>
        <v>0</v>
      </c>
      <c r="N953" s="528">
        <f t="shared" si="437"/>
        <v>0</v>
      </c>
      <c r="O953" s="528">
        <f t="shared" si="438"/>
        <v>0</v>
      </c>
      <c r="P953" s="529">
        <f t="shared" si="439"/>
        <v>0</v>
      </c>
      <c r="Q953" s="24">
        <f t="shared" si="440"/>
        <v>0</v>
      </c>
      <c r="R953" s="530">
        <f t="shared" si="441"/>
        <v>0</v>
      </c>
    </row>
    <row r="954" spans="1:18">
      <c r="A954" s="524"/>
      <c r="B954" s="531" t="s">
        <v>96</v>
      </c>
      <c r="C954" s="533">
        <f t="shared" ref="C954:J954" si="442">SUM(C950:C953)</f>
        <v>1163.62</v>
      </c>
      <c r="D954" s="533">
        <f t="shared" si="442"/>
        <v>234643</v>
      </c>
      <c r="E954" s="533">
        <f t="shared" si="442"/>
        <v>2024</v>
      </c>
      <c r="F954" s="533">
        <f t="shared" si="442"/>
        <v>2</v>
      </c>
      <c r="G954" s="533">
        <f t="shared" si="442"/>
        <v>8042</v>
      </c>
      <c r="H954" s="533">
        <f t="shared" si="442"/>
        <v>40</v>
      </c>
      <c r="I954" s="533">
        <f t="shared" si="442"/>
        <v>67</v>
      </c>
      <c r="J954" s="533">
        <f t="shared" si="442"/>
        <v>7</v>
      </c>
      <c r="K954" s="534">
        <f t="shared" si="434"/>
        <v>0.00862586993858756</v>
      </c>
      <c r="L954" s="535">
        <f t="shared" si="435"/>
        <v>0.574911067193676</v>
      </c>
      <c r="M954" s="535">
        <f t="shared" si="436"/>
        <v>4.95910809186722</v>
      </c>
      <c r="N954" s="535">
        <f t="shared" si="437"/>
        <v>6.91119093862257</v>
      </c>
      <c r="O954" s="535">
        <f t="shared" si="438"/>
        <v>0.000988142292490119</v>
      </c>
      <c r="P954" s="536">
        <f t="shared" si="439"/>
        <v>10.874953271028</v>
      </c>
      <c r="Q954" s="531">
        <f t="shared" si="440"/>
        <v>107</v>
      </c>
      <c r="R954" s="537">
        <f t="shared" si="441"/>
        <v>0.0528656126482213</v>
      </c>
    </row>
    <row r="955" spans="1:18">
      <c r="A955" s="524">
        <v>45641</v>
      </c>
      <c r="B955" s="540" t="s">
        <v>98</v>
      </c>
      <c r="C955" s="551">
        <v>200</v>
      </c>
      <c r="D955" s="553">
        <v>2961</v>
      </c>
      <c r="E955" s="551">
        <v>118</v>
      </c>
      <c r="F955" s="551">
        <v>0</v>
      </c>
      <c r="G955" s="551">
        <v>0</v>
      </c>
      <c r="H955" s="551">
        <v>5</v>
      </c>
      <c r="I955" s="551">
        <v>2</v>
      </c>
      <c r="J955" s="551">
        <v>0</v>
      </c>
      <c r="K955" s="527">
        <f t="shared" ref="K955:K959" si="443">IF(E955=0,0,E955/D955)</f>
        <v>0.0398514015535292</v>
      </c>
      <c r="L955" s="528">
        <f t="shared" ref="L955:L959" si="444">IF(C955=0,0,C955/E955)</f>
        <v>1.69491525423729</v>
      </c>
      <c r="M955" s="528">
        <f t="shared" ref="M955:M959" si="445">IF(D955=0,0,C955/D955*1000)</f>
        <v>67.5447483958122</v>
      </c>
      <c r="N955" s="528">
        <f t="shared" ref="N955:N959" si="446">IF(G955=0,0,G955/C955)</f>
        <v>0</v>
      </c>
      <c r="O955" s="528">
        <f t="shared" ref="O955:O959" si="447">IF(F955=0,0,F955/E955)</f>
        <v>0</v>
      </c>
      <c r="P955" s="529">
        <f t="shared" ref="P955:P959" si="448">IF(H955+I955=0,0,C955/(H955+I955))</f>
        <v>28.5714285714286</v>
      </c>
      <c r="Q955" s="24">
        <f t="shared" ref="Q955:Q959" si="449">H955+I955</f>
        <v>7</v>
      </c>
      <c r="R955" s="530">
        <f t="shared" ref="R955:R959" si="450">IF(Q955=0,0,Q955/E955)</f>
        <v>0.0593220338983051</v>
      </c>
    </row>
    <row r="956" spans="1:18">
      <c r="A956" s="524"/>
      <c r="B956" s="540" t="s">
        <v>99</v>
      </c>
      <c r="C956" s="551">
        <v>391.17</v>
      </c>
      <c r="D956" s="551">
        <v>8266</v>
      </c>
      <c r="E956" s="551">
        <v>503</v>
      </c>
      <c r="F956" s="551">
        <v>3</v>
      </c>
      <c r="G956" s="551">
        <v>24394</v>
      </c>
      <c r="H956" s="551">
        <v>13</v>
      </c>
      <c r="I956" s="551">
        <v>0</v>
      </c>
      <c r="J956" s="551">
        <v>2</v>
      </c>
      <c r="K956" s="527">
        <f t="shared" si="443"/>
        <v>0.0608516815872248</v>
      </c>
      <c r="L956" s="528">
        <f t="shared" si="444"/>
        <v>0.777673956262426</v>
      </c>
      <c r="M956" s="528">
        <f t="shared" si="445"/>
        <v>47.3227679651585</v>
      </c>
      <c r="N956" s="528">
        <f t="shared" si="446"/>
        <v>62.3616330495692</v>
      </c>
      <c r="O956" s="528">
        <f t="shared" si="447"/>
        <v>0.00596421471172962</v>
      </c>
      <c r="P956" s="529">
        <f t="shared" si="448"/>
        <v>30.09</v>
      </c>
      <c r="Q956" s="24">
        <f t="shared" si="449"/>
        <v>13</v>
      </c>
      <c r="R956" s="530">
        <f t="shared" si="450"/>
        <v>0.025844930417495</v>
      </c>
    </row>
    <row r="957" spans="1:18">
      <c r="A957" s="524"/>
      <c r="B957" s="540" t="s">
        <v>100</v>
      </c>
      <c r="C957" s="552">
        <v>965.52</v>
      </c>
      <c r="D957" s="551">
        <v>84886</v>
      </c>
      <c r="E957" s="551">
        <v>1336</v>
      </c>
      <c r="F957" s="551">
        <v>0</v>
      </c>
      <c r="G957" s="551">
        <v>0</v>
      </c>
      <c r="H957" s="551">
        <v>46</v>
      </c>
      <c r="I957" s="551">
        <v>67</v>
      </c>
      <c r="J957" s="551">
        <v>2</v>
      </c>
      <c r="K957" s="527">
        <f t="shared" si="443"/>
        <v>0.0157387555073864</v>
      </c>
      <c r="L957" s="528">
        <f t="shared" si="444"/>
        <v>0.722694610778443</v>
      </c>
      <c r="M957" s="528">
        <f t="shared" si="445"/>
        <v>11.3743137855477</v>
      </c>
      <c r="N957" s="528">
        <f t="shared" si="446"/>
        <v>0</v>
      </c>
      <c r="O957" s="528">
        <f t="shared" si="447"/>
        <v>0</v>
      </c>
      <c r="P957" s="529">
        <f t="shared" si="448"/>
        <v>8.54442477876106</v>
      </c>
      <c r="Q957" s="24">
        <f t="shared" si="449"/>
        <v>113</v>
      </c>
      <c r="R957" s="530">
        <f t="shared" si="450"/>
        <v>0.0845808383233533</v>
      </c>
    </row>
    <row r="958" spans="1:18">
      <c r="A958" s="524"/>
      <c r="B958" s="540" t="s">
        <v>101</v>
      </c>
      <c r="C958" s="551">
        <v>0</v>
      </c>
      <c r="D958" s="551">
        <v>0</v>
      </c>
      <c r="E958" s="551">
        <v>0</v>
      </c>
      <c r="F958" s="551">
        <v>0</v>
      </c>
      <c r="G958" s="551">
        <v>0</v>
      </c>
      <c r="H958" s="551">
        <v>0</v>
      </c>
      <c r="I958" s="551">
        <v>0</v>
      </c>
      <c r="J958" s="551">
        <v>0</v>
      </c>
      <c r="K958" s="527">
        <f t="shared" si="443"/>
        <v>0</v>
      </c>
      <c r="L958" s="528">
        <f t="shared" si="444"/>
        <v>0</v>
      </c>
      <c r="M958" s="528">
        <f t="shared" si="445"/>
        <v>0</v>
      </c>
      <c r="N958" s="528">
        <f t="shared" si="446"/>
        <v>0</v>
      </c>
      <c r="O958" s="528">
        <f t="shared" si="447"/>
        <v>0</v>
      </c>
      <c r="P958" s="529">
        <f t="shared" si="448"/>
        <v>0</v>
      </c>
      <c r="Q958" s="24">
        <f t="shared" si="449"/>
        <v>0</v>
      </c>
      <c r="R958" s="530">
        <f t="shared" si="450"/>
        <v>0</v>
      </c>
    </row>
    <row r="959" spans="1:18">
      <c r="A959" s="524"/>
      <c r="B959" s="531" t="s">
        <v>96</v>
      </c>
      <c r="C959" s="533">
        <f t="shared" ref="C959:J959" si="451">SUM(C955:C958)</f>
        <v>1556.69</v>
      </c>
      <c r="D959" s="533">
        <f t="shared" si="451"/>
        <v>96113</v>
      </c>
      <c r="E959" s="533">
        <f t="shared" si="451"/>
        <v>1957</v>
      </c>
      <c r="F959" s="533">
        <f t="shared" si="451"/>
        <v>3</v>
      </c>
      <c r="G959" s="533">
        <f t="shared" si="451"/>
        <v>24394</v>
      </c>
      <c r="H959" s="533">
        <f t="shared" si="451"/>
        <v>64</v>
      </c>
      <c r="I959" s="533">
        <f t="shared" si="451"/>
        <v>69</v>
      </c>
      <c r="J959" s="533">
        <f t="shared" si="451"/>
        <v>4</v>
      </c>
      <c r="K959" s="534">
        <f t="shared" si="443"/>
        <v>0.0203614495437662</v>
      </c>
      <c r="L959" s="535">
        <f t="shared" si="444"/>
        <v>0.795447112927951</v>
      </c>
      <c r="M959" s="535">
        <f t="shared" si="445"/>
        <v>16.196456254617</v>
      </c>
      <c r="N959" s="535">
        <f t="shared" si="446"/>
        <v>15.6704289229069</v>
      </c>
      <c r="O959" s="535">
        <f t="shared" si="447"/>
        <v>0.00153295861011753</v>
      </c>
      <c r="P959" s="536">
        <f t="shared" si="448"/>
        <v>11.7044360902256</v>
      </c>
      <c r="Q959" s="531">
        <f t="shared" si="449"/>
        <v>133</v>
      </c>
      <c r="R959" s="537">
        <f t="shared" si="450"/>
        <v>0.0679611650485437</v>
      </c>
    </row>
    <row r="960" spans="1:18">
      <c r="A960" s="524">
        <v>45642</v>
      </c>
      <c r="B960" s="540" t="s">
        <v>98</v>
      </c>
      <c r="C960" s="551">
        <v>300</v>
      </c>
      <c r="D960" s="553">
        <v>6775</v>
      </c>
      <c r="E960" s="551">
        <v>149</v>
      </c>
      <c r="F960" s="551">
        <v>0</v>
      </c>
      <c r="G960" s="551">
        <v>0</v>
      </c>
      <c r="H960" s="551">
        <v>6</v>
      </c>
      <c r="I960" s="551">
        <v>0</v>
      </c>
      <c r="J960" s="551">
        <v>1</v>
      </c>
      <c r="K960" s="527">
        <f t="shared" ref="K960:K969" si="452">IF(E960=0,0,E960/D960)</f>
        <v>0.0219926199261993</v>
      </c>
      <c r="L960" s="528">
        <f t="shared" ref="L960:L969" si="453">IF(C960=0,0,C960/E960)</f>
        <v>2.01342281879195</v>
      </c>
      <c r="M960" s="528">
        <f t="shared" ref="M960:M969" si="454">IF(D960=0,0,C960/D960*1000)</f>
        <v>44.280442804428</v>
      </c>
      <c r="N960" s="528">
        <f t="shared" ref="N960:N969" si="455">IF(G960=0,0,G960/C960)</f>
        <v>0</v>
      </c>
      <c r="O960" s="528">
        <f t="shared" ref="O960:O969" si="456">IF(F960=0,0,F960/E960)</f>
        <v>0</v>
      </c>
      <c r="P960" s="529">
        <f t="shared" ref="P960:P969" si="457">IF(H960+I960=0,0,C960/(H960+I960))</f>
        <v>50</v>
      </c>
      <c r="Q960" s="24">
        <f t="shared" ref="Q960:Q969" si="458">H960+I960</f>
        <v>6</v>
      </c>
      <c r="R960" s="530">
        <f t="shared" ref="R960:R969" si="459">IF(Q960=0,0,Q960/E960)</f>
        <v>0.0402684563758389</v>
      </c>
    </row>
    <row r="961" spans="1:18">
      <c r="A961" s="524"/>
      <c r="B961" s="540" t="s">
        <v>99</v>
      </c>
      <c r="C961" s="551">
        <v>375.12</v>
      </c>
      <c r="D961" s="551">
        <v>8224</v>
      </c>
      <c r="E961" s="551">
        <v>443</v>
      </c>
      <c r="F961" s="551">
        <v>0</v>
      </c>
      <c r="G961" s="551">
        <v>0</v>
      </c>
      <c r="H961" s="551">
        <v>3</v>
      </c>
      <c r="I961" s="551">
        <v>1</v>
      </c>
      <c r="J961" s="551">
        <v>1</v>
      </c>
      <c r="K961" s="527">
        <f t="shared" si="452"/>
        <v>0.0538667315175097</v>
      </c>
      <c r="L961" s="528">
        <f t="shared" si="453"/>
        <v>0.846772009029345</v>
      </c>
      <c r="M961" s="528">
        <f t="shared" si="454"/>
        <v>45.6128404669261</v>
      </c>
      <c r="N961" s="528">
        <f t="shared" si="455"/>
        <v>0</v>
      </c>
      <c r="O961" s="528">
        <f t="shared" si="456"/>
        <v>0</v>
      </c>
      <c r="P961" s="529">
        <f t="shared" si="457"/>
        <v>93.78</v>
      </c>
      <c r="Q961" s="24">
        <f t="shared" si="458"/>
        <v>4</v>
      </c>
      <c r="R961" s="530">
        <f t="shared" si="459"/>
        <v>0.0090293453724605</v>
      </c>
    </row>
    <row r="962" spans="1:18">
      <c r="A962" s="524"/>
      <c r="B962" s="540" t="s">
        <v>100</v>
      </c>
      <c r="C962" s="552">
        <v>931.92</v>
      </c>
      <c r="D962" s="551">
        <v>80501</v>
      </c>
      <c r="E962" s="551">
        <v>1316</v>
      </c>
      <c r="F962" s="551">
        <v>0</v>
      </c>
      <c r="G962" s="551">
        <v>0</v>
      </c>
      <c r="H962" s="551">
        <v>35</v>
      </c>
      <c r="I962" s="551">
        <v>61</v>
      </c>
      <c r="J962" s="551">
        <v>7</v>
      </c>
      <c r="K962" s="527">
        <f t="shared" si="452"/>
        <v>0.0163476230108943</v>
      </c>
      <c r="L962" s="528">
        <f t="shared" si="453"/>
        <v>0.708145896656535</v>
      </c>
      <c r="M962" s="528">
        <f t="shared" si="454"/>
        <v>11.5765021552527</v>
      </c>
      <c r="N962" s="528">
        <f t="shared" si="455"/>
        <v>0</v>
      </c>
      <c r="O962" s="528">
        <f t="shared" si="456"/>
        <v>0</v>
      </c>
      <c r="P962" s="529">
        <f t="shared" si="457"/>
        <v>9.7075</v>
      </c>
      <c r="Q962" s="24">
        <f t="shared" si="458"/>
        <v>96</v>
      </c>
      <c r="R962" s="530">
        <f t="shared" si="459"/>
        <v>0.0729483282674772</v>
      </c>
    </row>
    <row r="963" spans="1:18">
      <c r="A963" s="524"/>
      <c r="B963" s="540" t="s">
        <v>101</v>
      </c>
      <c r="C963" s="551">
        <v>0</v>
      </c>
      <c r="D963" s="551">
        <v>0</v>
      </c>
      <c r="E963" s="551">
        <v>0</v>
      </c>
      <c r="F963" s="551">
        <v>0</v>
      </c>
      <c r="G963" s="551">
        <v>0</v>
      </c>
      <c r="H963" s="551">
        <v>0</v>
      </c>
      <c r="I963" s="551">
        <v>0</v>
      </c>
      <c r="J963" s="551">
        <v>0</v>
      </c>
      <c r="K963" s="527">
        <f t="shared" si="452"/>
        <v>0</v>
      </c>
      <c r="L963" s="528">
        <f t="shared" si="453"/>
        <v>0</v>
      </c>
      <c r="M963" s="528">
        <f t="shared" si="454"/>
        <v>0</v>
      </c>
      <c r="N963" s="528">
        <f t="shared" si="455"/>
        <v>0</v>
      </c>
      <c r="O963" s="528">
        <f t="shared" si="456"/>
        <v>0</v>
      </c>
      <c r="P963" s="529">
        <f t="shared" si="457"/>
        <v>0</v>
      </c>
      <c r="Q963" s="24">
        <f t="shared" si="458"/>
        <v>0</v>
      </c>
      <c r="R963" s="530">
        <f t="shared" si="459"/>
        <v>0</v>
      </c>
    </row>
    <row r="964" spans="1:18">
      <c r="A964" s="524"/>
      <c r="B964" s="531" t="s">
        <v>96</v>
      </c>
      <c r="C964" s="533">
        <f t="shared" ref="C964:J964" si="460">SUM(C960:C963)</f>
        <v>1607.04</v>
      </c>
      <c r="D964" s="533">
        <f t="shared" si="460"/>
        <v>95500</v>
      </c>
      <c r="E964" s="533">
        <f t="shared" si="460"/>
        <v>1908</v>
      </c>
      <c r="F964" s="533">
        <f t="shared" si="460"/>
        <v>0</v>
      </c>
      <c r="G964" s="533">
        <f t="shared" si="460"/>
        <v>0</v>
      </c>
      <c r="H964" s="533">
        <f t="shared" si="460"/>
        <v>44</v>
      </c>
      <c r="I964" s="533">
        <f t="shared" si="460"/>
        <v>62</v>
      </c>
      <c r="J964" s="533">
        <f t="shared" si="460"/>
        <v>9</v>
      </c>
      <c r="K964" s="534">
        <f t="shared" si="452"/>
        <v>0.019979057591623</v>
      </c>
      <c r="L964" s="535">
        <f t="shared" si="453"/>
        <v>0.842264150943396</v>
      </c>
      <c r="M964" s="535">
        <f t="shared" si="454"/>
        <v>16.8276439790576</v>
      </c>
      <c r="N964" s="535">
        <f t="shared" si="455"/>
        <v>0</v>
      </c>
      <c r="O964" s="535">
        <f t="shared" si="456"/>
        <v>0</v>
      </c>
      <c r="P964" s="536">
        <f t="shared" si="457"/>
        <v>15.1607547169811</v>
      </c>
      <c r="Q964" s="531">
        <f t="shared" si="458"/>
        <v>106</v>
      </c>
      <c r="R964" s="537">
        <f t="shared" si="459"/>
        <v>0.0555555555555556</v>
      </c>
    </row>
    <row r="965" spans="1:18">
      <c r="A965" s="524">
        <v>45643</v>
      </c>
      <c r="B965" s="540" t="s">
        <v>98</v>
      </c>
      <c r="C965" s="551">
        <v>242.8</v>
      </c>
      <c r="D965" s="553">
        <v>4565</v>
      </c>
      <c r="E965" s="551">
        <v>137</v>
      </c>
      <c r="F965" s="551">
        <v>0</v>
      </c>
      <c r="G965" s="551">
        <v>0</v>
      </c>
      <c r="H965" s="551">
        <v>8</v>
      </c>
      <c r="I965" s="551">
        <v>3</v>
      </c>
      <c r="J965" s="551">
        <v>1</v>
      </c>
      <c r="K965" s="527">
        <f t="shared" si="452"/>
        <v>0.0300109529025192</v>
      </c>
      <c r="L965" s="528">
        <f t="shared" si="453"/>
        <v>1.77226277372263</v>
      </c>
      <c r="M965" s="528">
        <f t="shared" si="454"/>
        <v>53.1872946330778</v>
      </c>
      <c r="N965" s="528">
        <f t="shared" si="455"/>
        <v>0</v>
      </c>
      <c r="O965" s="528">
        <f t="shared" si="456"/>
        <v>0</v>
      </c>
      <c r="P965" s="529">
        <f t="shared" si="457"/>
        <v>22.0727272727273</v>
      </c>
      <c r="Q965" s="24">
        <f t="shared" si="458"/>
        <v>11</v>
      </c>
      <c r="R965" s="530">
        <f t="shared" si="459"/>
        <v>0.0802919708029197</v>
      </c>
    </row>
    <row r="966" spans="1:18">
      <c r="A966" s="524"/>
      <c r="B966" s="540" t="s">
        <v>99</v>
      </c>
      <c r="C966" s="551">
        <v>0</v>
      </c>
      <c r="D966" s="551">
        <v>0</v>
      </c>
      <c r="E966" s="551">
        <v>0</v>
      </c>
      <c r="F966" s="551">
        <v>0</v>
      </c>
      <c r="G966" s="551">
        <v>0</v>
      </c>
      <c r="H966" s="551">
        <v>0</v>
      </c>
      <c r="I966" s="551">
        <v>0</v>
      </c>
      <c r="J966" s="551">
        <v>0</v>
      </c>
      <c r="K966" s="527">
        <f t="shared" si="452"/>
        <v>0</v>
      </c>
      <c r="L966" s="528">
        <f t="shared" si="453"/>
        <v>0</v>
      </c>
      <c r="M966" s="528">
        <f t="shared" si="454"/>
        <v>0</v>
      </c>
      <c r="N966" s="528">
        <f t="shared" si="455"/>
        <v>0</v>
      </c>
      <c r="O966" s="528">
        <f t="shared" si="456"/>
        <v>0</v>
      </c>
      <c r="P966" s="529">
        <f t="shared" si="457"/>
        <v>0</v>
      </c>
      <c r="Q966" s="24">
        <f t="shared" si="458"/>
        <v>0</v>
      </c>
      <c r="R966" s="530">
        <f t="shared" si="459"/>
        <v>0</v>
      </c>
    </row>
    <row r="967" spans="1:18">
      <c r="A967" s="524"/>
      <c r="B967" s="540" t="s">
        <v>100</v>
      </c>
      <c r="C967" s="552">
        <v>759.2</v>
      </c>
      <c r="D967" s="551">
        <v>39619</v>
      </c>
      <c r="E967" s="551">
        <v>729</v>
      </c>
      <c r="F967" s="551">
        <v>0</v>
      </c>
      <c r="G967" s="551">
        <v>0</v>
      </c>
      <c r="H967" s="551">
        <v>18</v>
      </c>
      <c r="I967" s="551">
        <v>25</v>
      </c>
      <c r="J967" s="551">
        <v>3</v>
      </c>
      <c r="K967" s="527">
        <f t="shared" si="452"/>
        <v>0.0184002625003155</v>
      </c>
      <c r="L967" s="528">
        <f t="shared" si="453"/>
        <v>1.04142661179698</v>
      </c>
      <c r="M967" s="528">
        <f t="shared" si="454"/>
        <v>19.1625230318786</v>
      </c>
      <c r="N967" s="528">
        <f t="shared" si="455"/>
        <v>0</v>
      </c>
      <c r="O967" s="528">
        <f t="shared" si="456"/>
        <v>0</v>
      </c>
      <c r="P967" s="529">
        <f t="shared" si="457"/>
        <v>17.6558139534884</v>
      </c>
      <c r="Q967" s="24">
        <f t="shared" si="458"/>
        <v>43</v>
      </c>
      <c r="R967" s="530">
        <f t="shared" si="459"/>
        <v>0.0589849108367627</v>
      </c>
    </row>
    <row r="968" spans="1:18">
      <c r="A968" s="524"/>
      <c r="B968" s="540" t="s">
        <v>101</v>
      </c>
      <c r="C968" s="551">
        <v>0</v>
      </c>
      <c r="D968" s="551">
        <v>0</v>
      </c>
      <c r="E968" s="551">
        <v>0</v>
      </c>
      <c r="F968" s="551">
        <v>0</v>
      </c>
      <c r="G968" s="551">
        <v>0</v>
      </c>
      <c r="H968" s="551">
        <v>0</v>
      </c>
      <c r="I968" s="551">
        <v>0</v>
      </c>
      <c r="J968" s="551">
        <v>0</v>
      </c>
      <c r="K968" s="527">
        <f t="shared" si="452"/>
        <v>0</v>
      </c>
      <c r="L968" s="528">
        <f t="shared" si="453"/>
        <v>0</v>
      </c>
      <c r="M968" s="528">
        <f t="shared" si="454"/>
        <v>0</v>
      </c>
      <c r="N968" s="528">
        <f t="shared" si="455"/>
        <v>0</v>
      </c>
      <c r="O968" s="528">
        <f t="shared" si="456"/>
        <v>0</v>
      </c>
      <c r="P968" s="529">
        <f t="shared" si="457"/>
        <v>0</v>
      </c>
      <c r="Q968" s="24">
        <f t="shared" si="458"/>
        <v>0</v>
      </c>
      <c r="R968" s="530">
        <f t="shared" si="459"/>
        <v>0</v>
      </c>
    </row>
    <row r="969" spans="1:18">
      <c r="A969" s="524"/>
      <c r="B969" s="531" t="s">
        <v>96</v>
      </c>
      <c r="C969" s="533">
        <f t="shared" ref="C969:J969" si="461">SUM(C965:C968)</f>
        <v>1002</v>
      </c>
      <c r="D969" s="533">
        <f t="shared" si="461"/>
        <v>44184</v>
      </c>
      <c r="E969" s="533">
        <f t="shared" si="461"/>
        <v>866</v>
      </c>
      <c r="F969" s="533">
        <f t="shared" si="461"/>
        <v>0</v>
      </c>
      <c r="G969" s="533">
        <f t="shared" si="461"/>
        <v>0</v>
      </c>
      <c r="H969" s="533">
        <f t="shared" si="461"/>
        <v>26</v>
      </c>
      <c r="I969" s="533">
        <f t="shared" si="461"/>
        <v>28</v>
      </c>
      <c r="J969" s="533">
        <f t="shared" si="461"/>
        <v>4</v>
      </c>
      <c r="K969" s="534">
        <f t="shared" si="452"/>
        <v>0.0195998551511859</v>
      </c>
      <c r="L969" s="535">
        <f t="shared" si="453"/>
        <v>1.15704387990762</v>
      </c>
      <c r="M969" s="535">
        <f t="shared" si="454"/>
        <v>22.6778924497556</v>
      </c>
      <c r="N969" s="535">
        <f t="shared" si="455"/>
        <v>0</v>
      </c>
      <c r="O969" s="535">
        <f t="shared" si="456"/>
        <v>0</v>
      </c>
      <c r="P969" s="536">
        <f t="shared" si="457"/>
        <v>18.5555555555556</v>
      </c>
      <c r="Q969" s="531">
        <f t="shared" si="458"/>
        <v>54</v>
      </c>
      <c r="R969" s="537">
        <f t="shared" si="459"/>
        <v>0.0623556581986143</v>
      </c>
    </row>
    <row r="970" spans="1:18">
      <c r="A970" s="524">
        <v>45644</v>
      </c>
      <c r="B970" s="540" t="s">
        <v>98</v>
      </c>
      <c r="C970" s="551">
        <v>253.17</v>
      </c>
      <c r="D970" s="553">
        <v>5727</v>
      </c>
      <c r="E970" s="551">
        <v>163</v>
      </c>
      <c r="F970" s="551">
        <v>1</v>
      </c>
      <c r="G970" s="551">
        <v>12876</v>
      </c>
      <c r="H970" s="551">
        <v>6</v>
      </c>
      <c r="I970" s="551">
        <v>2</v>
      </c>
      <c r="J970" s="551">
        <v>0</v>
      </c>
      <c r="K970" s="527">
        <f t="shared" ref="K970:K974" si="462">IF(E970=0,0,E970/D970)</f>
        <v>0.0284616727780688</v>
      </c>
      <c r="L970" s="528">
        <f t="shared" ref="L970:L974" si="463">IF(C970=0,0,C970/E970)</f>
        <v>1.55319018404908</v>
      </c>
      <c r="M970" s="528">
        <f t="shared" ref="M970:M974" si="464">IF(D970=0,0,C970/D970*1000)</f>
        <v>44.2063907805134</v>
      </c>
      <c r="N970" s="528">
        <f t="shared" ref="N970:N974" si="465">IF(G970=0,0,G970/C970)</f>
        <v>50.8591065292096</v>
      </c>
      <c r="O970" s="528">
        <f t="shared" ref="O970:O974" si="466">IF(F970=0,0,F970/E970)</f>
        <v>0.00613496932515337</v>
      </c>
      <c r="P970" s="529">
        <f t="shared" ref="P970:P974" si="467">IF(H970+I970=0,0,C970/(H970+I970))</f>
        <v>31.64625</v>
      </c>
      <c r="Q970" s="24">
        <f t="shared" ref="Q970:Q974" si="468">H970+I970</f>
        <v>8</v>
      </c>
      <c r="R970" s="530">
        <f t="shared" ref="R970:R974" si="469">IF(Q970=0,0,Q970/E970)</f>
        <v>0.049079754601227</v>
      </c>
    </row>
    <row r="971" spans="1:18">
      <c r="A971" s="524"/>
      <c r="B971" s="540" t="s">
        <v>99</v>
      </c>
      <c r="C971" s="551">
        <v>0</v>
      </c>
      <c r="D971" s="551">
        <v>0</v>
      </c>
      <c r="E971" s="551">
        <v>0</v>
      </c>
      <c r="F971" s="551">
        <v>0</v>
      </c>
      <c r="G971" s="551">
        <v>0</v>
      </c>
      <c r="H971" s="551">
        <v>0</v>
      </c>
      <c r="I971" s="551">
        <v>0</v>
      </c>
      <c r="J971" s="551">
        <v>0</v>
      </c>
      <c r="K971" s="527">
        <f t="shared" si="462"/>
        <v>0</v>
      </c>
      <c r="L971" s="528">
        <f t="shared" si="463"/>
        <v>0</v>
      </c>
      <c r="M971" s="528">
        <f t="shared" si="464"/>
        <v>0</v>
      </c>
      <c r="N971" s="528">
        <f t="shared" si="465"/>
        <v>0</v>
      </c>
      <c r="O971" s="528">
        <f t="shared" si="466"/>
        <v>0</v>
      </c>
      <c r="P971" s="529">
        <f t="shared" si="467"/>
        <v>0</v>
      </c>
      <c r="Q971" s="24">
        <f t="shared" si="468"/>
        <v>0</v>
      </c>
      <c r="R971" s="530">
        <f t="shared" si="469"/>
        <v>0</v>
      </c>
    </row>
    <row r="972" spans="1:18">
      <c r="A972" s="524"/>
      <c r="B972" s="540" t="s">
        <v>100</v>
      </c>
      <c r="C972" s="552">
        <v>642.23</v>
      </c>
      <c r="D972" s="551">
        <v>42835</v>
      </c>
      <c r="E972" s="551">
        <v>757</v>
      </c>
      <c r="F972" s="551">
        <v>3</v>
      </c>
      <c r="G972" s="551">
        <v>65602</v>
      </c>
      <c r="H972" s="551">
        <v>29</v>
      </c>
      <c r="I972" s="551">
        <v>23</v>
      </c>
      <c r="J972" s="551">
        <v>3</v>
      </c>
      <c r="K972" s="527">
        <f t="shared" si="462"/>
        <v>0.017672464106455</v>
      </c>
      <c r="L972" s="528">
        <f t="shared" si="463"/>
        <v>0.848388375165126</v>
      </c>
      <c r="M972" s="528">
        <f t="shared" si="464"/>
        <v>14.9931131084394</v>
      </c>
      <c r="N972" s="528">
        <f t="shared" si="465"/>
        <v>102.147205829687</v>
      </c>
      <c r="O972" s="528">
        <f t="shared" si="466"/>
        <v>0.00396301188903567</v>
      </c>
      <c r="P972" s="529">
        <f t="shared" si="467"/>
        <v>12.3505769230769</v>
      </c>
      <c r="Q972" s="24">
        <f t="shared" si="468"/>
        <v>52</v>
      </c>
      <c r="R972" s="530">
        <f t="shared" si="469"/>
        <v>0.0686922060766182</v>
      </c>
    </row>
    <row r="973" spans="1:18">
      <c r="A973" s="524"/>
      <c r="B973" s="540" t="s">
        <v>101</v>
      </c>
      <c r="C973" s="551">
        <v>0</v>
      </c>
      <c r="D973" s="551">
        <v>0</v>
      </c>
      <c r="E973" s="551">
        <v>0</v>
      </c>
      <c r="F973" s="551">
        <v>0</v>
      </c>
      <c r="G973" s="551">
        <v>0</v>
      </c>
      <c r="H973" s="551">
        <v>0</v>
      </c>
      <c r="I973" s="551">
        <v>0</v>
      </c>
      <c r="J973" s="551">
        <v>0</v>
      </c>
      <c r="K973" s="527">
        <f t="shared" si="462"/>
        <v>0</v>
      </c>
      <c r="L973" s="528">
        <f t="shared" si="463"/>
        <v>0</v>
      </c>
      <c r="M973" s="528">
        <f t="shared" si="464"/>
        <v>0</v>
      </c>
      <c r="N973" s="528">
        <f t="shared" si="465"/>
        <v>0</v>
      </c>
      <c r="O973" s="528">
        <f t="shared" si="466"/>
        <v>0</v>
      </c>
      <c r="P973" s="529">
        <f t="shared" si="467"/>
        <v>0</v>
      </c>
      <c r="Q973" s="24">
        <f t="shared" si="468"/>
        <v>0</v>
      </c>
      <c r="R973" s="530">
        <f t="shared" si="469"/>
        <v>0</v>
      </c>
    </row>
    <row r="974" spans="1:18">
      <c r="A974" s="524"/>
      <c r="B974" s="531" t="s">
        <v>96</v>
      </c>
      <c r="C974" s="533">
        <f t="shared" ref="C974:J974" si="470">SUM(C970:C973)</f>
        <v>895.4</v>
      </c>
      <c r="D974" s="533">
        <f t="shared" si="470"/>
        <v>48562</v>
      </c>
      <c r="E974" s="533">
        <f t="shared" si="470"/>
        <v>920</v>
      </c>
      <c r="F974" s="533">
        <f t="shared" si="470"/>
        <v>4</v>
      </c>
      <c r="G974" s="533">
        <f t="shared" si="470"/>
        <v>78478</v>
      </c>
      <c r="H974" s="533">
        <f t="shared" si="470"/>
        <v>35</v>
      </c>
      <c r="I974" s="533">
        <f t="shared" si="470"/>
        <v>25</v>
      </c>
      <c r="J974" s="533">
        <f t="shared" si="470"/>
        <v>3</v>
      </c>
      <c r="K974" s="534">
        <f t="shared" si="462"/>
        <v>0.0189448540010708</v>
      </c>
      <c r="L974" s="535">
        <f t="shared" si="463"/>
        <v>0.973260869565217</v>
      </c>
      <c r="M974" s="535">
        <f t="shared" si="464"/>
        <v>18.4382850788683</v>
      </c>
      <c r="N974" s="535">
        <f t="shared" si="465"/>
        <v>87.6457449184722</v>
      </c>
      <c r="O974" s="535">
        <f t="shared" si="466"/>
        <v>0.00434782608695652</v>
      </c>
      <c r="P974" s="536">
        <f t="shared" si="467"/>
        <v>14.9233333333333</v>
      </c>
      <c r="Q974" s="531">
        <f t="shared" si="468"/>
        <v>60</v>
      </c>
      <c r="R974" s="537">
        <f t="shared" si="469"/>
        <v>0.0652173913043478</v>
      </c>
    </row>
    <row r="975" spans="1:18">
      <c r="A975" s="524">
        <v>45645</v>
      </c>
      <c r="B975" s="540" t="s">
        <v>98</v>
      </c>
      <c r="C975" s="551">
        <v>299.54</v>
      </c>
      <c r="D975" s="553">
        <v>6198</v>
      </c>
      <c r="E975" s="551">
        <v>184</v>
      </c>
      <c r="F975" s="551">
        <v>0</v>
      </c>
      <c r="G975" s="551">
        <v>0</v>
      </c>
      <c r="H975" s="551">
        <v>6</v>
      </c>
      <c r="I975" s="551">
        <v>1</v>
      </c>
      <c r="J975" s="551">
        <v>0</v>
      </c>
      <c r="K975" s="527">
        <f t="shared" ref="K975:K979" si="471">IF(E975=0,0,E975/D975)</f>
        <v>0.0296869958050984</v>
      </c>
      <c r="L975" s="528">
        <f t="shared" ref="L975:L979" si="472">IF(C975=0,0,C975/E975)</f>
        <v>1.6279347826087</v>
      </c>
      <c r="M975" s="528">
        <f t="shared" ref="M975:M979" si="473">IF(D975=0,0,C975/D975*1000)</f>
        <v>48.3284930622782</v>
      </c>
      <c r="N975" s="528">
        <f t="shared" ref="N975:N979" si="474">IF(G975=0,0,G975/C975)</f>
        <v>0</v>
      </c>
      <c r="O975" s="528">
        <f t="shared" ref="O975:O979" si="475">IF(F975=0,0,F975/E975)</f>
        <v>0</v>
      </c>
      <c r="P975" s="529">
        <f t="shared" ref="P975:P979" si="476">IF(H975+I975=0,0,C975/(H975+I975))</f>
        <v>42.7914285714286</v>
      </c>
      <c r="Q975" s="24">
        <f t="shared" ref="Q975:Q979" si="477">H975+I975</f>
        <v>7</v>
      </c>
      <c r="R975" s="530">
        <f t="shared" ref="R975:R979" si="478">IF(Q975=0,0,Q975/E975)</f>
        <v>0.0380434782608696</v>
      </c>
    </row>
    <row r="976" spans="1:18">
      <c r="A976" s="524"/>
      <c r="B976" s="540" t="s">
        <v>99</v>
      </c>
      <c r="C976" s="551">
        <v>0</v>
      </c>
      <c r="D976" s="551">
        <v>0</v>
      </c>
      <c r="E976" s="551">
        <v>0</v>
      </c>
      <c r="F976" s="551">
        <v>0</v>
      </c>
      <c r="G976" s="551">
        <v>0</v>
      </c>
      <c r="H976" s="551">
        <v>0</v>
      </c>
      <c r="I976" s="551">
        <v>0</v>
      </c>
      <c r="J976" s="551">
        <v>0</v>
      </c>
      <c r="K976" s="527">
        <f t="shared" si="471"/>
        <v>0</v>
      </c>
      <c r="L976" s="528">
        <f t="shared" si="472"/>
        <v>0</v>
      </c>
      <c r="M976" s="528">
        <f t="shared" si="473"/>
        <v>0</v>
      </c>
      <c r="N976" s="528">
        <f t="shared" si="474"/>
        <v>0</v>
      </c>
      <c r="O976" s="528">
        <f t="shared" si="475"/>
        <v>0</v>
      </c>
      <c r="P976" s="529">
        <f t="shared" si="476"/>
        <v>0</v>
      </c>
      <c r="Q976" s="24">
        <f t="shared" si="477"/>
        <v>0</v>
      </c>
      <c r="R976" s="530">
        <f t="shared" si="478"/>
        <v>0</v>
      </c>
    </row>
    <row r="977" spans="1:18">
      <c r="A977" s="524"/>
      <c r="B977" s="540" t="s">
        <v>100</v>
      </c>
      <c r="C977" s="552">
        <v>684.74</v>
      </c>
      <c r="D977" s="551">
        <v>50981</v>
      </c>
      <c r="E977" s="551">
        <v>780</v>
      </c>
      <c r="F977" s="551">
        <v>0</v>
      </c>
      <c r="G977" s="551">
        <v>0</v>
      </c>
      <c r="H977" s="551">
        <v>10</v>
      </c>
      <c r="I977" s="551">
        <v>24</v>
      </c>
      <c r="J977" s="551">
        <v>2</v>
      </c>
      <c r="K977" s="527">
        <f t="shared" si="471"/>
        <v>0.0152998175790981</v>
      </c>
      <c r="L977" s="528">
        <f t="shared" si="472"/>
        <v>0.877871794871795</v>
      </c>
      <c r="M977" s="528">
        <f t="shared" si="473"/>
        <v>13.4312783193739</v>
      </c>
      <c r="N977" s="528">
        <f t="shared" si="474"/>
        <v>0</v>
      </c>
      <c r="O977" s="528">
        <f t="shared" si="475"/>
        <v>0</v>
      </c>
      <c r="P977" s="529">
        <f t="shared" si="476"/>
        <v>20.1394117647059</v>
      </c>
      <c r="Q977" s="24">
        <f t="shared" si="477"/>
        <v>34</v>
      </c>
      <c r="R977" s="530">
        <f t="shared" si="478"/>
        <v>0.0435897435897436</v>
      </c>
    </row>
    <row r="978" spans="1:18">
      <c r="A978" s="524"/>
      <c r="B978" s="540" t="s">
        <v>101</v>
      </c>
      <c r="C978" s="551">
        <v>0</v>
      </c>
      <c r="D978" s="551">
        <v>0</v>
      </c>
      <c r="E978" s="551">
        <v>0</v>
      </c>
      <c r="F978" s="551">
        <v>0</v>
      </c>
      <c r="G978" s="551">
        <v>0</v>
      </c>
      <c r="H978" s="551">
        <v>0</v>
      </c>
      <c r="I978" s="551">
        <v>0</v>
      </c>
      <c r="J978" s="551">
        <v>0</v>
      </c>
      <c r="K978" s="527">
        <f t="shared" si="471"/>
        <v>0</v>
      </c>
      <c r="L978" s="528">
        <f t="shared" si="472"/>
        <v>0</v>
      </c>
      <c r="M978" s="528">
        <f t="shared" si="473"/>
        <v>0</v>
      </c>
      <c r="N978" s="528">
        <f t="shared" si="474"/>
        <v>0</v>
      </c>
      <c r="O978" s="528">
        <f t="shared" si="475"/>
        <v>0</v>
      </c>
      <c r="P978" s="529">
        <f t="shared" si="476"/>
        <v>0</v>
      </c>
      <c r="Q978" s="24">
        <f t="shared" si="477"/>
        <v>0</v>
      </c>
      <c r="R978" s="530">
        <f t="shared" si="478"/>
        <v>0</v>
      </c>
    </row>
    <row r="979" spans="1:18">
      <c r="A979" s="524"/>
      <c r="B979" s="531" t="s">
        <v>96</v>
      </c>
      <c r="C979" s="533">
        <f t="shared" ref="C979:J979" si="479">SUM(C975:C978)</f>
        <v>984.28</v>
      </c>
      <c r="D979" s="533">
        <f t="shared" si="479"/>
        <v>57179</v>
      </c>
      <c r="E979" s="533">
        <f t="shared" si="479"/>
        <v>964</v>
      </c>
      <c r="F979" s="533">
        <f t="shared" si="479"/>
        <v>0</v>
      </c>
      <c r="G979" s="533">
        <f t="shared" si="479"/>
        <v>0</v>
      </c>
      <c r="H979" s="533">
        <f t="shared" si="479"/>
        <v>16</v>
      </c>
      <c r="I979" s="533">
        <f t="shared" si="479"/>
        <v>25</v>
      </c>
      <c r="J979" s="533">
        <f t="shared" si="479"/>
        <v>2</v>
      </c>
      <c r="K979" s="534">
        <f t="shared" si="471"/>
        <v>0.0168593364696829</v>
      </c>
      <c r="L979" s="535">
        <f t="shared" si="472"/>
        <v>1.02103734439834</v>
      </c>
      <c r="M979" s="535">
        <f t="shared" si="473"/>
        <v>17.2140121373231</v>
      </c>
      <c r="N979" s="535">
        <f t="shared" si="474"/>
        <v>0</v>
      </c>
      <c r="O979" s="535">
        <f t="shared" si="475"/>
        <v>0</v>
      </c>
      <c r="P979" s="536">
        <f t="shared" si="476"/>
        <v>24.0068292682927</v>
      </c>
      <c r="Q979" s="531">
        <f t="shared" si="477"/>
        <v>41</v>
      </c>
      <c r="R979" s="537">
        <f t="shared" si="478"/>
        <v>0.0425311203319502</v>
      </c>
    </row>
    <row r="980" spans="1:18">
      <c r="A980" s="524">
        <v>45646</v>
      </c>
      <c r="B980" s="540" t="s">
        <v>98</v>
      </c>
      <c r="C980" s="551">
        <v>300</v>
      </c>
      <c r="D980" s="553">
        <v>3003</v>
      </c>
      <c r="E980" s="551">
        <v>134</v>
      </c>
      <c r="F980" s="551">
        <v>0</v>
      </c>
      <c r="G980" s="551">
        <v>0</v>
      </c>
      <c r="H980" s="551">
        <v>3</v>
      </c>
      <c r="I980" s="551">
        <v>2</v>
      </c>
      <c r="J980" s="551">
        <v>1</v>
      </c>
      <c r="K980" s="527">
        <f t="shared" ref="K980:K984" si="480">IF(E980=0,0,E980/D980)</f>
        <v>0.0446220446220446</v>
      </c>
      <c r="L980" s="528">
        <f t="shared" ref="L980:L984" si="481">IF(C980=0,0,C980/E980)</f>
        <v>2.23880597014925</v>
      </c>
      <c r="M980" s="528">
        <f t="shared" ref="M980:M984" si="482">IF(D980=0,0,C980/D980*1000)</f>
        <v>99.9000999000999</v>
      </c>
      <c r="N980" s="528">
        <f t="shared" ref="N980:N984" si="483">IF(G980=0,0,G980/C980)</f>
        <v>0</v>
      </c>
      <c r="O980" s="528">
        <f t="shared" ref="O980:O984" si="484">IF(F980=0,0,F980/E980)</f>
        <v>0</v>
      </c>
      <c r="P980" s="529">
        <f t="shared" ref="P980:P984" si="485">IF(H980+I980=0,0,C980/(H980+I980))</f>
        <v>60</v>
      </c>
      <c r="Q980" s="24">
        <f t="shared" ref="Q980:Q984" si="486">H980+I980</f>
        <v>5</v>
      </c>
      <c r="R980" s="530">
        <f t="shared" ref="R980:R984" si="487">IF(Q980=0,0,Q980/E980)</f>
        <v>0.0373134328358209</v>
      </c>
    </row>
    <row r="981" spans="1:18">
      <c r="A981" s="524"/>
      <c r="B981" s="540" t="s">
        <v>99</v>
      </c>
      <c r="C981" s="551">
        <v>0</v>
      </c>
      <c r="D981" s="551">
        <v>0</v>
      </c>
      <c r="E981" s="551">
        <v>0</v>
      </c>
      <c r="F981" s="551">
        <v>0</v>
      </c>
      <c r="G981" s="551">
        <v>0</v>
      </c>
      <c r="H981" s="551">
        <v>0</v>
      </c>
      <c r="I981" s="551">
        <v>0</v>
      </c>
      <c r="J981" s="551">
        <v>0</v>
      </c>
      <c r="K981" s="527">
        <f t="shared" si="480"/>
        <v>0</v>
      </c>
      <c r="L981" s="528">
        <f t="shared" si="481"/>
        <v>0</v>
      </c>
      <c r="M981" s="528">
        <f t="shared" si="482"/>
        <v>0</v>
      </c>
      <c r="N981" s="528">
        <f t="shared" si="483"/>
        <v>0</v>
      </c>
      <c r="O981" s="528">
        <f t="shared" si="484"/>
        <v>0</v>
      </c>
      <c r="P981" s="529">
        <f t="shared" si="485"/>
        <v>0</v>
      </c>
      <c r="Q981" s="24">
        <f t="shared" si="486"/>
        <v>0</v>
      </c>
      <c r="R981" s="530">
        <f t="shared" si="487"/>
        <v>0</v>
      </c>
    </row>
    <row r="982" spans="1:18">
      <c r="A982" s="524"/>
      <c r="B982" s="540" t="s">
        <v>100</v>
      </c>
      <c r="C982" s="552">
        <v>684.95</v>
      </c>
      <c r="D982" s="551">
        <v>52310</v>
      </c>
      <c r="E982" s="551">
        <v>822</v>
      </c>
      <c r="F982" s="551">
        <v>0</v>
      </c>
      <c r="G982" s="551">
        <v>0</v>
      </c>
      <c r="H982" s="551">
        <v>17</v>
      </c>
      <c r="I982" s="551">
        <v>30</v>
      </c>
      <c r="J982" s="551">
        <v>0</v>
      </c>
      <c r="K982" s="527">
        <f t="shared" si="480"/>
        <v>0.0157140126170904</v>
      </c>
      <c r="L982" s="528">
        <f t="shared" si="481"/>
        <v>0.833272506082725</v>
      </c>
      <c r="M982" s="528">
        <f t="shared" si="482"/>
        <v>13.0940546740585</v>
      </c>
      <c r="N982" s="528">
        <f t="shared" si="483"/>
        <v>0</v>
      </c>
      <c r="O982" s="528">
        <f t="shared" si="484"/>
        <v>0</v>
      </c>
      <c r="P982" s="529">
        <f t="shared" si="485"/>
        <v>14.5734042553192</v>
      </c>
      <c r="Q982" s="24">
        <f t="shared" si="486"/>
        <v>47</v>
      </c>
      <c r="R982" s="530">
        <f t="shared" si="487"/>
        <v>0.0571776155717762</v>
      </c>
    </row>
    <row r="983" spans="1:18">
      <c r="A983" s="524"/>
      <c r="B983" s="540" t="s">
        <v>101</v>
      </c>
      <c r="C983" s="551">
        <v>0</v>
      </c>
      <c r="D983" s="551">
        <v>0</v>
      </c>
      <c r="E983" s="551">
        <v>0</v>
      </c>
      <c r="F983" s="551">
        <v>0</v>
      </c>
      <c r="G983" s="551">
        <v>0</v>
      </c>
      <c r="H983" s="551">
        <v>0</v>
      </c>
      <c r="I983" s="551">
        <v>0</v>
      </c>
      <c r="J983" s="551">
        <v>0</v>
      </c>
      <c r="K983" s="527">
        <f t="shared" si="480"/>
        <v>0</v>
      </c>
      <c r="L983" s="528">
        <f t="shared" si="481"/>
        <v>0</v>
      </c>
      <c r="M983" s="528">
        <f t="shared" si="482"/>
        <v>0</v>
      </c>
      <c r="N983" s="528">
        <f t="shared" si="483"/>
        <v>0</v>
      </c>
      <c r="O983" s="528">
        <f t="shared" si="484"/>
        <v>0</v>
      </c>
      <c r="P983" s="529">
        <f t="shared" si="485"/>
        <v>0</v>
      </c>
      <c r="Q983" s="24">
        <f t="shared" si="486"/>
        <v>0</v>
      </c>
      <c r="R983" s="530">
        <f t="shared" si="487"/>
        <v>0</v>
      </c>
    </row>
    <row r="984" spans="1:18">
      <c r="A984" s="524"/>
      <c r="B984" s="531" t="s">
        <v>96</v>
      </c>
      <c r="C984" s="533">
        <f t="shared" ref="C984:J984" si="488">SUM(C980:C983)</f>
        <v>984.95</v>
      </c>
      <c r="D984" s="533">
        <f t="shared" si="488"/>
        <v>55313</v>
      </c>
      <c r="E984" s="533">
        <f t="shared" si="488"/>
        <v>956</v>
      </c>
      <c r="F984" s="533">
        <f t="shared" si="488"/>
        <v>0</v>
      </c>
      <c r="G984" s="533">
        <f t="shared" si="488"/>
        <v>0</v>
      </c>
      <c r="H984" s="533">
        <f t="shared" si="488"/>
        <v>20</v>
      </c>
      <c r="I984" s="533">
        <f t="shared" si="488"/>
        <v>32</v>
      </c>
      <c r="J984" s="533">
        <f t="shared" si="488"/>
        <v>1</v>
      </c>
      <c r="K984" s="534">
        <f t="shared" si="480"/>
        <v>0.0172834595845461</v>
      </c>
      <c r="L984" s="535">
        <f t="shared" si="481"/>
        <v>1.03028242677824</v>
      </c>
      <c r="M984" s="535">
        <f t="shared" si="482"/>
        <v>17.8068446838899</v>
      </c>
      <c r="N984" s="535">
        <f t="shared" si="483"/>
        <v>0</v>
      </c>
      <c r="O984" s="535">
        <f t="shared" si="484"/>
        <v>0</v>
      </c>
      <c r="P984" s="536">
        <f t="shared" si="485"/>
        <v>18.9413461538462</v>
      </c>
      <c r="Q984" s="531">
        <f t="shared" si="486"/>
        <v>52</v>
      </c>
      <c r="R984" s="537">
        <f t="shared" si="487"/>
        <v>0.0543933054393305</v>
      </c>
    </row>
    <row r="985" spans="1:18">
      <c r="A985" s="524">
        <v>45647</v>
      </c>
      <c r="B985" s="540" t="s">
        <v>98</v>
      </c>
      <c r="C985" s="551">
        <v>300</v>
      </c>
      <c r="D985" s="553">
        <v>3869</v>
      </c>
      <c r="E985" s="551">
        <v>180</v>
      </c>
      <c r="F985" s="551">
        <v>0</v>
      </c>
      <c r="G985" s="551">
        <v>0</v>
      </c>
      <c r="H985" s="551">
        <v>10</v>
      </c>
      <c r="I985" s="551">
        <v>4</v>
      </c>
      <c r="J985" s="551">
        <v>0</v>
      </c>
      <c r="K985" s="527">
        <f t="shared" ref="K985:K989" si="489">IF(E985=0,0,E985/D985)</f>
        <v>0.0465236495218403</v>
      </c>
      <c r="L985" s="528">
        <f t="shared" ref="L985:L989" si="490">IF(C985=0,0,C985/E985)</f>
        <v>1.66666666666667</v>
      </c>
      <c r="M985" s="528">
        <f t="shared" ref="M985:M989" si="491">IF(D985=0,0,C985/D985*1000)</f>
        <v>77.5394158697338</v>
      </c>
      <c r="N985" s="528">
        <f t="shared" ref="N985:N989" si="492">IF(G985=0,0,G985/C985)</f>
        <v>0</v>
      </c>
      <c r="O985" s="528">
        <f t="shared" ref="O985:O989" si="493">IF(F985=0,0,F985/E985)</f>
        <v>0</v>
      </c>
      <c r="P985" s="529">
        <f t="shared" ref="P985:P989" si="494">IF(H985+I985=0,0,C985/(H985+I985))</f>
        <v>21.4285714285714</v>
      </c>
      <c r="Q985" s="24">
        <f t="shared" ref="Q985:Q989" si="495">H985+I985</f>
        <v>14</v>
      </c>
      <c r="R985" s="530">
        <f t="shared" ref="R985:R989" si="496">IF(Q985=0,0,Q985/E985)</f>
        <v>0.0777777777777778</v>
      </c>
    </row>
    <row r="986" spans="1:18">
      <c r="A986" s="524"/>
      <c r="B986" s="540" t="s">
        <v>99</v>
      </c>
      <c r="C986" s="551">
        <v>0</v>
      </c>
      <c r="D986" s="551">
        <v>0</v>
      </c>
      <c r="E986" s="551">
        <v>0</v>
      </c>
      <c r="F986" s="551">
        <v>0</v>
      </c>
      <c r="G986" s="551">
        <v>0</v>
      </c>
      <c r="H986" s="551">
        <v>0</v>
      </c>
      <c r="I986" s="551">
        <v>0</v>
      </c>
      <c r="J986" s="551">
        <v>0</v>
      </c>
      <c r="K986" s="527">
        <f t="shared" si="489"/>
        <v>0</v>
      </c>
      <c r="L986" s="528">
        <f t="shared" si="490"/>
        <v>0</v>
      </c>
      <c r="M986" s="528">
        <f t="shared" si="491"/>
        <v>0</v>
      </c>
      <c r="N986" s="528">
        <f t="shared" si="492"/>
        <v>0</v>
      </c>
      <c r="O986" s="528">
        <f t="shared" si="493"/>
        <v>0</v>
      </c>
      <c r="P986" s="529">
        <f t="shared" si="494"/>
        <v>0</v>
      </c>
      <c r="Q986" s="24">
        <f t="shared" si="495"/>
        <v>0</v>
      </c>
      <c r="R986" s="530">
        <f t="shared" si="496"/>
        <v>0</v>
      </c>
    </row>
    <row r="987" spans="1:18">
      <c r="A987" s="524"/>
      <c r="B987" s="540" t="s">
        <v>100</v>
      </c>
      <c r="C987" s="552">
        <v>667.29</v>
      </c>
      <c r="D987" s="553">
        <v>66517</v>
      </c>
      <c r="E987" s="551">
        <v>880</v>
      </c>
      <c r="F987" s="551">
        <v>0</v>
      </c>
      <c r="G987" s="551">
        <v>0</v>
      </c>
      <c r="H987" s="551">
        <v>40</v>
      </c>
      <c r="I987" s="551">
        <v>31</v>
      </c>
      <c r="J987" s="551">
        <v>3</v>
      </c>
      <c r="K987" s="527">
        <f t="shared" si="489"/>
        <v>0.0132297006780222</v>
      </c>
      <c r="L987" s="528">
        <f t="shared" si="490"/>
        <v>0.758284090909091</v>
      </c>
      <c r="M987" s="528">
        <f t="shared" si="491"/>
        <v>10.0318715516334</v>
      </c>
      <c r="N987" s="528">
        <f t="shared" si="492"/>
        <v>0</v>
      </c>
      <c r="O987" s="528">
        <f t="shared" si="493"/>
        <v>0</v>
      </c>
      <c r="P987" s="529">
        <f t="shared" si="494"/>
        <v>9.39845070422535</v>
      </c>
      <c r="Q987" s="24">
        <f t="shared" si="495"/>
        <v>71</v>
      </c>
      <c r="R987" s="530">
        <f t="shared" si="496"/>
        <v>0.0806818181818182</v>
      </c>
    </row>
    <row r="988" spans="1:18">
      <c r="A988" s="524"/>
      <c r="B988" s="540" t="s">
        <v>101</v>
      </c>
      <c r="C988" s="551">
        <v>0</v>
      </c>
      <c r="D988" s="551">
        <v>0</v>
      </c>
      <c r="E988" s="551">
        <v>0</v>
      </c>
      <c r="F988" s="551">
        <v>0</v>
      </c>
      <c r="G988" s="551">
        <v>0</v>
      </c>
      <c r="H988" s="551">
        <v>0</v>
      </c>
      <c r="I988" s="551">
        <v>0</v>
      </c>
      <c r="J988" s="551">
        <v>0</v>
      </c>
      <c r="K988" s="527">
        <f t="shared" si="489"/>
        <v>0</v>
      </c>
      <c r="L988" s="528">
        <f t="shared" si="490"/>
        <v>0</v>
      </c>
      <c r="M988" s="528">
        <f t="shared" si="491"/>
        <v>0</v>
      </c>
      <c r="N988" s="528">
        <f t="shared" si="492"/>
        <v>0</v>
      </c>
      <c r="O988" s="528">
        <f t="shared" si="493"/>
        <v>0</v>
      </c>
      <c r="P988" s="529">
        <f t="shared" si="494"/>
        <v>0</v>
      </c>
      <c r="Q988" s="24">
        <f t="shared" si="495"/>
        <v>0</v>
      </c>
      <c r="R988" s="530">
        <f t="shared" si="496"/>
        <v>0</v>
      </c>
    </row>
    <row r="989" spans="1:18">
      <c r="A989" s="524"/>
      <c r="B989" s="531" t="s">
        <v>96</v>
      </c>
      <c r="C989" s="533">
        <f t="shared" ref="C989:J989" si="497">SUM(C985:C988)</f>
        <v>967.29</v>
      </c>
      <c r="D989" s="533">
        <f t="shared" si="497"/>
        <v>70386</v>
      </c>
      <c r="E989" s="533">
        <f t="shared" si="497"/>
        <v>1060</v>
      </c>
      <c r="F989" s="533">
        <f t="shared" si="497"/>
        <v>0</v>
      </c>
      <c r="G989" s="533">
        <f t="shared" si="497"/>
        <v>0</v>
      </c>
      <c r="H989" s="533">
        <f t="shared" si="497"/>
        <v>50</v>
      </c>
      <c r="I989" s="533">
        <f t="shared" si="497"/>
        <v>35</v>
      </c>
      <c r="J989" s="533">
        <f t="shared" si="497"/>
        <v>3</v>
      </c>
      <c r="K989" s="534">
        <f t="shared" si="489"/>
        <v>0.0150598130310005</v>
      </c>
      <c r="L989" s="535">
        <f t="shared" si="490"/>
        <v>0.912537735849057</v>
      </c>
      <c r="M989" s="535">
        <f t="shared" si="491"/>
        <v>13.7426476856193</v>
      </c>
      <c r="N989" s="535">
        <f t="shared" si="492"/>
        <v>0</v>
      </c>
      <c r="O989" s="535">
        <f t="shared" si="493"/>
        <v>0</v>
      </c>
      <c r="P989" s="536">
        <f t="shared" si="494"/>
        <v>11.3798823529412</v>
      </c>
      <c r="Q989" s="531">
        <f t="shared" si="495"/>
        <v>85</v>
      </c>
      <c r="R989" s="537">
        <f t="shared" si="496"/>
        <v>0.080188679245283</v>
      </c>
    </row>
    <row r="990" spans="1:18">
      <c r="A990" s="524">
        <v>45648</v>
      </c>
      <c r="B990" s="540" t="s">
        <v>98</v>
      </c>
      <c r="C990" s="551">
        <v>297.49</v>
      </c>
      <c r="D990" s="553">
        <v>3805</v>
      </c>
      <c r="E990" s="551">
        <v>162</v>
      </c>
      <c r="F990" s="551">
        <v>0</v>
      </c>
      <c r="G990" s="551">
        <v>0</v>
      </c>
      <c r="H990" s="551">
        <v>4</v>
      </c>
      <c r="I990" s="551">
        <v>1</v>
      </c>
      <c r="J990" s="551">
        <v>2</v>
      </c>
      <c r="K990" s="527">
        <f t="shared" ref="K990:K994" si="498">IF(E990=0,0,E990/D990)</f>
        <v>0.0425755584756899</v>
      </c>
      <c r="L990" s="528">
        <f t="shared" ref="L990:L994" si="499">IF(C990=0,0,C990/E990)</f>
        <v>1.83635802469136</v>
      </c>
      <c r="M990" s="528">
        <f t="shared" ref="M990:M994" si="500">IF(D990=0,0,C990/D990*1000)</f>
        <v>78.1839684625493</v>
      </c>
      <c r="N990" s="528">
        <f t="shared" ref="N990:N994" si="501">IF(G990=0,0,G990/C990)</f>
        <v>0</v>
      </c>
      <c r="O990" s="528">
        <f t="shared" ref="O990:O994" si="502">IF(F990=0,0,F990/E990)</f>
        <v>0</v>
      </c>
      <c r="P990" s="529">
        <f t="shared" ref="P990:P994" si="503">IF(H990+I990=0,0,C990/(H990+I990))</f>
        <v>59.498</v>
      </c>
      <c r="Q990" s="24">
        <f t="shared" ref="Q990:Q994" si="504">H990+I990</f>
        <v>5</v>
      </c>
      <c r="R990" s="530">
        <f t="shared" ref="R990:R994" si="505">IF(Q990=0,0,Q990/E990)</f>
        <v>0.0308641975308642</v>
      </c>
    </row>
    <row r="991" spans="1:18">
      <c r="A991" s="524"/>
      <c r="B991" s="540" t="s">
        <v>99</v>
      </c>
      <c r="C991" s="551">
        <v>0</v>
      </c>
      <c r="D991" s="551">
        <v>0</v>
      </c>
      <c r="E991" s="551">
        <v>0</v>
      </c>
      <c r="F991" s="551">
        <v>0</v>
      </c>
      <c r="G991" s="551">
        <v>0</v>
      </c>
      <c r="H991" s="551">
        <v>0</v>
      </c>
      <c r="I991" s="551">
        <v>0</v>
      </c>
      <c r="J991" s="551">
        <v>0</v>
      </c>
      <c r="K991" s="527">
        <f t="shared" si="498"/>
        <v>0</v>
      </c>
      <c r="L991" s="528">
        <f t="shared" si="499"/>
        <v>0</v>
      </c>
      <c r="M991" s="528">
        <f t="shared" si="500"/>
        <v>0</v>
      </c>
      <c r="N991" s="528">
        <f t="shared" si="501"/>
        <v>0</v>
      </c>
      <c r="O991" s="528">
        <f t="shared" si="502"/>
        <v>0</v>
      </c>
      <c r="P991" s="529">
        <f t="shared" si="503"/>
        <v>0</v>
      </c>
      <c r="Q991" s="24">
        <f t="shared" si="504"/>
        <v>0</v>
      </c>
      <c r="R991" s="530">
        <f t="shared" si="505"/>
        <v>0</v>
      </c>
    </row>
    <row r="992" spans="1:18">
      <c r="A992" s="524"/>
      <c r="B992" s="540" t="s">
        <v>100</v>
      </c>
      <c r="C992" s="552">
        <v>676.37</v>
      </c>
      <c r="D992" s="551">
        <v>62460</v>
      </c>
      <c r="E992" s="551">
        <v>933</v>
      </c>
      <c r="F992" s="551">
        <v>0</v>
      </c>
      <c r="G992" s="551">
        <v>0</v>
      </c>
      <c r="H992" s="551">
        <v>26</v>
      </c>
      <c r="I992" s="551">
        <v>29</v>
      </c>
      <c r="J992" s="551">
        <v>3</v>
      </c>
      <c r="K992" s="527">
        <f t="shared" si="498"/>
        <v>0.0149375600384246</v>
      </c>
      <c r="L992" s="528">
        <f t="shared" si="499"/>
        <v>0.724941050375134</v>
      </c>
      <c r="M992" s="528">
        <f t="shared" si="500"/>
        <v>10.8288504642972</v>
      </c>
      <c r="N992" s="528">
        <f t="shared" si="501"/>
        <v>0</v>
      </c>
      <c r="O992" s="528">
        <f t="shared" si="502"/>
        <v>0</v>
      </c>
      <c r="P992" s="529">
        <f t="shared" si="503"/>
        <v>12.2976363636364</v>
      </c>
      <c r="Q992" s="24">
        <f t="shared" si="504"/>
        <v>55</v>
      </c>
      <c r="R992" s="530">
        <f t="shared" si="505"/>
        <v>0.0589496248660236</v>
      </c>
    </row>
    <row r="993" spans="1:18">
      <c r="A993" s="524"/>
      <c r="B993" s="540" t="s">
        <v>101</v>
      </c>
      <c r="C993" s="551">
        <v>0</v>
      </c>
      <c r="D993" s="551">
        <v>0</v>
      </c>
      <c r="E993" s="551">
        <v>0</v>
      </c>
      <c r="F993" s="551">
        <v>0</v>
      </c>
      <c r="G993" s="551">
        <v>0</v>
      </c>
      <c r="H993" s="551">
        <v>0</v>
      </c>
      <c r="I993" s="551">
        <v>0</v>
      </c>
      <c r="J993" s="551">
        <v>0</v>
      </c>
      <c r="K993" s="527">
        <f t="shared" si="498"/>
        <v>0</v>
      </c>
      <c r="L993" s="528">
        <f t="shared" si="499"/>
        <v>0</v>
      </c>
      <c r="M993" s="528">
        <f t="shared" si="500"/>
        <v>0</v>
      </c>
      <c r="N993" s="528">
        <f t="shared" si="501"/>
        <v>0</v>
      </c>
      <c r="O993" s="528">
        <f t="shared" si="502"/>
        <v>0</v>
      </c>
      <c r="P993" s="529">
        <f t="shared" si="503"/>
        <v>0</v>
      </c>
      <c r="Q993" s="24">
        <f t="shared" si="504"/>
        <v>0</v>
      </c>
      <c r="R993" s="530">
        <f t="shared" si="505"/>
        <v>0</v>
      </c>
    </row>
    <row r="994" spans="1:18">
      <c r="A994" s="524"/>
      <c r="B994" s="531" t="s">
        <v>96</v>
      </c>
      <c r="C994" s="533">
        <f t="shared" ref="C994:J994" si="506">SUM(C990:C993)</f>
        <v>973.86</v>
      </c>
      <c r="D994" s="533">
        <f t="shared" si="506"/>
        <v>66265</v>
      </c>
      <c r="E994" s="533">
        <f t="shared" si="506"/>
        <v>1095</v>
      </c>
      <c r="F994" s="533">
        <f t="shared" si="506"/>
        <v>0</v>
      </c>
      <c r="G994" s="533">
        <f t="shared" si="506"/>
        <v>0</v>
      </c>
      <c r="H994" s="533">
        <f t="shared" si="506"/>
        <v>30</v>
      </c>
      <c r="I994" s="533">
        <f t="shared" si="506"/>
        <v>30</v>
      </c>
      <c r="J994" s="533">
        <f t="shared" si="506"/>
        <v>5</v>
      </c>
      <c r="K994" s="534">
        <f t="shared" si="498"/>
        <v>0.0165245604768732</v>
      </c>
      <c r="L994" s="535">
        <f t="shared" si="499"/>
        <v>0.889369863013699</v>
      </c>
      <c r="M994" s="535">
        <f t="shared" si="500"/>
        <v>14.6964460876783</v>
      </c>
      <c r="N994" s="535">
        <f t="shared" si="501"/>
        <v>0</v>
      </c>
      <c r="O994" s="535">
        <f t="shared" si="502"/>
        <v>0</v>
      </c>
      <c r="P994" s="536">
        <f t="shared" si="503"/>
        <v>16.231</v>
      </c>
      <c r="Q994" s="531">
        <f t="shared" si="504"/>
        <v>60</v>
      </c>
      <c r="R994" s="537">
        <f t="shared" si="505"/>
        <v>0.0547945205479452</v>
      </c>
    </row>
    <row r="995" spans="1:18">
      <c r="A995" s="524">
        <v>45649</v>
      </c>
      <c r="B995" s="540" t="s">
        <v>98</v>
      </c>
      <c r="C995" s="551">
        <v>400</v>
      </c>
      <c r="D995" s="553">
        <v>7443</v>
      </c>
      <c r="E995" s="551">
        <v>208</v>
      </c>
      <c r="F995" s="551">
        <v>0</v>
      </c>
      <c r="G995" s="551">
        <v>0</v>
      </c>
      <c r="H995" s="551">
        <v>8</v>
      </c>
      <c r="I995" s="551">
        <v>0</v>
      </c>
      <c r="J995" s="551">
        <v>1</v>
      </c>
      <c r="K995" s="527">
        <f t="shared" ref="K995:K1004" si="507">IF(E995=0,0,E995/D995)</f>
        <v>0.0279457208115007</v>
      </c>
      <c r="L995" s="528">
        <f t="shared" ref="L995:L1004" si="508">IF(C995=0,0,C995/E995)</f>
        <v>1.92307692307692</v>
      </c>
      <c r="M995" s="528">
        <f t="shared" ref="M995:M1004" si="509">IF(D995=0,0,C995/D995*1000)</f>
        <v>53.7417707913476</v>
      </c>
      <c r="N995" s="528">
        <f t="shared" ref="N995:N1004" si="510">IF(G995=0,0,G995/C995)</f>
        <v>0</v>
      </c>
      <c r="O995" s="528">
        <f t="shared" ref="O995:O1004" si="511">IF(F995=0,0,F995/E995)</f>
        <v>0</v>
      </c>
      <c r="P995" s="529">
        <f t="shared" ref="P995:P1004" si="512">IF(H995+I995=0,0,C995/(H995+I995))</f>
        <v>50</v>
      </c>
      <c r="Q995" s="24">
        <f t="shared" ref="Q995:Q1004" si="513">H995+I995</f>
        <v>8</v>
      </c>
      <c r="R995" s="530">
        <f t="shared" ref="R995:R1004" si="514">IF(Q995=0,0,Q995/E995)</f>
        <v>0.0384615384615385</v>
      </c>
    </row>
    <row r="996" spans="1:18">
      <c r="A996" s="524"/>
      <c r="B996" s="540" t="s">
        <v>99</v>
      </c>
      <c r="C996" s="551">
        <v>0</v>
      </c>
      <c r="D996" s="551">
        <v>0</v>
      </c>
      <c r="E996" s="551">
        <v>0</v>
      </c>
      <c r="F996" s="551">
        <v>0</v>
      </c>
      <c r="G996" s="551">
        <v>0</v>
      </c>
      <c r="H996" s="551">
        <v>0</v>
      </c>
      <c r="I996" s="551">
        <v>0</v>
      </c>
      <c r="J996" s="551">
        <v>0</v>
      </c>
      <c r="K996" s="527">
        <f t="shared" si="507"/>
        <v>0</v>
      </c>
      <c r="L996" s="528">
        <f t="shared" si="508"/>
        <v>0</v>
      </c>
      <c r="M996" s="528">
        <f t="shared" si="509"/>
        <v>0</v>
      </c>
      <c r="N996" s="528">
        <f t="shared" si="510"/>
        <v>0</v>
      </c>
      <c r="O996" s="528">
        <f t="shared" si="511"/>
        <v>0</v>
      </c>
      <c r="P996" s="529">
        <f t="shared" si="512"/>
        <v>0</v>
      </c>
      <c r="Q996" s="24">
        <f t="shared" si="513"/>
        <v>0</v>
      </c>
      <c r="R996" s="530">
        <f t="shared" si="514"/>
        <v>0</v>
      </c>
    </row>
    <row r="997" spans="1:18">
      <c r="A997" s="524"/>
      <c r="B997" s="540" t="s">
        <v>100</v>
      </c>
      <c r="C997" s="552">
        <v>672.46</v>
      </c>
      <c r="D997" s="551">
        <v>63883</v>
      </c>
      <c r="E997" s="551">
        <v>953</v>
      </c>
      <c r="F997" s="551">
        <v>0</v>
      </c>
      <c r="G997" s="551">
        <v>0</v>
      </c>
      <c r="H997" s="551">
        <v>25</v>
      </c>
      <c r="I997" s="551">
        <v>26</v>
      </c>
      <c r="J997" s="551">
        <v>4</v>
      </c>
      <c r="K997" s="527">
        <f t="shared" si="507"/>
        <v>0.014917896780051</v>
      </c>
      <c r="L997" s="528">
        <f t="shared" si="508"/>
        <v>0.705624344176286</v>
      </c>
      <c r="M997" s="528">
        <f t="shared" si="509"/>
        <v>10.526431131913</v>
      </c>
      <c r="N997" s="528">
        <f t="shared" si="510"/>
        <v>0</v>
      </c>
      <c r="O997" s="528">
        <f t="shared" si="511"/>
        <v>0</v>
      </c>
      <c r="P997" s="529">
        <f t="shared" si="512"/>
        <v>13.1854901960784</v>
      </c>
      <c r="Q997" s="24">
        <f t="shared" si="513"/>
        <v>51</v>
      </c>
      <c r="R997" s="530">
        <f t="shared" si="514"/>
        <v>0.0535152151101784</v>
      </c>
    </row>
    <row r="998" spans="1:18">
      <c r="A998" s="524"/>
      <c r="B998" s="540" t="s">
        <v>101</v>
      </c>
      <c r="C998" s="551">
        <v>0</v>
      </c>
      <c r="D998" s="551">
        <v>0</v>
      </c>
      <c r="E998" s="551">
        <v>0</v>
      </c>
      <c r="F998" s="551">
        <v>0</v>
      </c>
      <c r="G998" s="551">
        <v>0</v>
      </c>
      <c r="H998" s="551">
        <v>0</v>
      </c>
      <c r="I998" s="551">
        <v>0</v>
      </c>
      <c r="J998" s="551">
        <v>0</v>
      </c>
      <c r="K998" s="527">
        <f t="shared" si="507"/>
        <v>0</v>
      </c>
      <c r="L998" s="528">
        <f t="shared" si="508"/>
        <v>0</v>
      </c>
      <c r="M998" s="528">
        <f t="shared" si="509"/>
        <v>0</v>
      </c>
      <c r="N998" s="528">
        <f t="shared" si="510"/>
        <v>0</v>
      </c>
      <c r="O998" s="528">
        <f t="shared" si="511"/>
        <v>0</v>
      </c>
      <c r="P998" s="529">
        <f t="shared" si="512"/>
        <v>0</v>
      </c>
      <c r="Q998" s="24">
        <f t="shared" si="513"/>
        <v>0</v>
      </c>
      <c r="R998" s="530">
        <f t="shared" si="514"/>
        <v>0</v>
      </c>
    </row>
    <row r="999" spans="1:18">
      <c r="A999" s="524"/>
      <c r="B999" s="531" t="s">
        <v>96</v>
      </c>
      <c r="C999" s="533">
        <f t="shared" ref="C999:J999" si="515">SUM(C995:C998)</f>
        <v>1072.46</v>
      </c>
      <c r="D999" s="533">
        <f t="shared" si="515"/>
        <v>71326</v>
      </c>
      <c r="E999" s="533">
        <f t="shared" si="515"/>
        <v>1161</v>
      </c>
      <c r="F999" s="533">
        <f t="shared" si="515"/>
        <v>0</v>
      </c>
      <c r="G999" s="533">
        <f t="shared" si="515"/>
        <v>0</v>
      </c>
      <c r="H999" s="533">
        <f t="shared" si="515"/>
        <v>33</v>
      </c>
      <c r="I999" s="533">
        <f t="shared" si="515"/>
        <v>26</v>
      </c>
      <c r="J999" s="533">
        <f t="shared" si="515"/>
        <v>5</v>
      </c>
      <c r="K999" s="534">
        <f t="shared" si="507"/>
        <v>0.0162773743095085</v>
      </c>
      <c r="L999" s="535">
        <f t="shared" si="508"/>
        <v>0.923738156761413</v>
      </c>
      <c r="M999" s="535">
        <f t="shared" si="509"/>
        <v>15.0360317415809</v>
      </c>
      <c r="N999" s="535">
        <f t="shared" si="510"/>
        <v>0</v>
      </c>
      <c r="O999" s="535">
        <f t="shared" si="511"/>
        <v>0</v>
      </c>
      <c r="P999" s="536">
        <f t="shared" si="512"/>
        <v>18.1772881355932</v>
      </c>
      <c r="Q999" s="531">
        <f t="shared" si="513"/>
        <v>59</v>
      </c>
      <c r="R999" s="537">
        <f t="shared" si="514"/>
        <v>0.0508182601205857</v>
      </c>
    </row>
    <row r="1000" spans="1:18">
      <c r="A1000" s="524">
        <v>45650</v>
      </c>
      <c r="B1000" s="540" t="s">
        <v>98</v>
      </c>
      <c r="C1000" s="551">
        <v>400</v>
      </c>
      <c r="D1000" s="553">
        <v>8285</v>
      </c>
      <c r="E1000" s="551">
        <v>237</v>
      </c>
      <c r="F1000" s="551">
        <v>0</v>
      </c>
      <c r="G1000" s="551">
        <v>0</v>
      </c>
      <c r="H1000" s="551">
        <v>18</v>
      </c>
      <c r="I1000" s="551">
        <v>3</v>
      </c>
      <c r="J1000" s="551">
        <v>2</v>
      </c>
      <c r="K1000" s="527">
        <f t="shared" si="507"/>
        <v>0.0286059143029572</v>
      </c>
      <c r="L1000" s="528">
        <f t="shared" si="508"/>
        <v>1.68776371308017</v>
      </c>
      <c r="M1000" s="528">
        <f t="shared" si="509"/>
        <v>48.2800241400121</v>
      </c>
      <c r="N1000" s="528">
        <f t="shared" si="510"/>
        <v>0</v>
      </c>
      <c r="O1000" s="528">
        <f t="shared" si="511"/>
        <v>0</v>
      </c>
      <c r="P1000" s="529">
        <f t="shared" si="512"/>
        <v>19.047619047619</v>
      </c>
      <c r="Q1000" s="24">
        <f t="shared" si="513"/>
        <v>21</v>
      </c>
      <c r="R1000" s="530">
        <f t="shared" si="514"/>
        <v>0.0886075949367089</v>
      </c>
    </row>
    <row r="1001" spans="1:18">
      <c r="A1001" s="524"/>
      <c r="B1001" s="540" t="s">
        <v>99</v>
      </c>
      <c r="C1001" s="551">
        <v>0</v>
      </c>
      <c r="D1001" s="551">
        <v>0</v>
      </c>
      <c r="E1001" s="551">
        <v>0</v>
      </c>
      <c r="F1001" s="551">
        <v>0</v>
      </c>
      <c r="G1001" s="551">
        <v>0</v>
      </c>
      <c r="H1001" s="551">
        <v>0</v>
      </c>
      <c r="I1001" s="551">
        <v>0</v>
      </c>
      <c r="J1001" s="551">
        <v>0</v>
      </c>
      <c r="K1001" s="527">
        <f t="shared" si="507"/>
        <v>0</v>
      </c>
      <c r="L1001" s="528">
        <f t="shared" si="508"/>
        <v>0</v>
      </c>
      <c r="M1001" s="528">
        <f t="shared" si="509"/>
        <v>0</v>
      </c>
      <c r="N1001" s="528">
        <f t="shared" si="510"/>
        <v>0</v>
      </c>
      <c r="O1001" s="528">
        <f t="shared" si="511"/>
        <v>0</v>
      </c>
      <c r="P1001" s="529">
        <f t="shared" si="512"/>
        <v>0</v>
      </c>
      <c r="Q1001" s="24">
        <f t="shared" si="513"/>
        <v>0</v>
      </c>
      <c r="R1001" s="530">
        <f t="shared" si="514"/>
        <v>0</v>
      </c>
    </row>
    <row r="1002" spans="1:18">
      <c r="A1002" s="524"/>
      <c r="B1002" s="540" t="s">
        <v>100</v>
      </c>
      <c r="C1002" s="552">
        <v>665.95</v>
      </c>
      <c r="D1002" s="551">
        <v>90283</v>
      </c>
      <c r="E1002" s="551">
        <v>965</v>
      </c>
      <c r="F1002" s="551">
        <v>2</v>
      </c>
      <c r="G1002" s="551">
        <v>15188</v>
      </c>
      <c r="H1002" s="551">
        <v>27</v>
      </c>
      <c r="I1002" s="551">
        <v>3</v>
      </c>
      <c r="J1002" s="551">
        <v>22</v>
      </c>
      <c r="K1002" s="527">
        <f t="shared" si="507"/>
        <v>0.0106886124741092</v>
      </c>
      <c r="L1002" s="528">
        <f t="shared" si="508"/>
        <v>0.690103626943005</v>
      </c>
      <c r="M1002" s="528">
        <f t="shared" si="509"/>
        <v>7.376250235371</v>
      </c>
      <c r="N1002" s="528">
        <f t="shared" si="510"/>
        <v>22.8065170057812</v>
      </c>
      <c r="O1002" s="528">
        <f t="shared" si="511"/>
        <v>0.00207253886010363</v>
      </c>
      <c r="P1002" s="529">
        <f t="shared" si="512"/>
        <v>22.1983333333333</v>
      </c>
      <c r="Q1002" s="24">
        <f t="shared" si="513"/>
        <v>30</v>
      </c>
      <c r="R1002" s="530">
        <f t="shared" si="514"/>
        <v>0.0310880829015544</v>
      </c>
    </row>
    <row r="1003" spans="1:18">
      <c r="A1003" s="524"/>
      <c r="B1003" s="540" t="s">
        <v>101</v>
      </c>
      <c r="C1003" s="551">
        <v>0</v>
      </c>
      <c r="D1003" s="551">
        <v>0</v>
      </c>
      <c r="E1003" s="551">
        <v>0</v>
      </c>
      <c r="F1003" s="551">
        <v>0</v>
      </c>
      <c r="G1003" s="551">
        <v>0</v>
      </c>
      <c r="H1003" s="551">
        <v>0</v>
      </c>
      <c r="I1003" s="551">
        <v>0</v>
      </c>
      <c r="J1003" s="551">
        <v>0</v>
      </c>
      <c r="K1003" s="527">
        <f t="shared" si="507"/>
        <v>0</v>
      </c>
      <c r="L1003" s="528">
        <f t="shared" si="508"/>
        <v>0</v>
      </c>
      <c r="M1003" s="528">
        <f t="shared" si="509"/>
        <v>0</v>
      </c>
      <c r="N1003" s="528">
        <f t="shared" si="510"/>
        <v>0</v>
      </c>
      <c r="O1003" s="528">
        <f t="shared" si="511"/>
        <v>0</v>
      </c>
      <c r="P1003" s="529">
        <f t="shared" si="512"/>
        <v>0</v>
      </c>
      <c r="Q1003" s="24">
        <f t="shared" si="513"/>
        <v>0</v>
      </c>
      <c r="R1003" s="530">
        <f t="shared" si="514"/>
        <v>0</v>
      </c>
    </row>
    <row r="1004" spans="1:18">
      <c r="A1004" s="524"/>
      <c r="B1004" s="531" t="s">
        <v>96</v>
      </c>
      <c r="C1004" s="533">
        <f t="shared" ref="C1004:J1004" si="516">SUM(C1000:C1003)</f>
        <v>1065.95</v>
      </c>
      <c r="D1004" s="533">
        <f t="shared" si="516"/>
        <v>98568</v>
      </c>
      <c r="E1004" s="533">
        <f t="shared" si="516"/>
        <v>1202</v>
      </c>
      <c r="F1004" s="533">
        <f t="shared" si="516"/>
        <v>2</v>
      </c>
      <c r="G1004" s="533">
        <f t="shared" si="516"/>
        <v>15188</v>
      </c>
      <c r="H1004" s="533">
        <f t="shared" si="516"/>
        <v>45</v>
      </c>
      <c r="I1004" s="533">
        <f t="shared" si="516"/>
        <v>6</v>
      </c>
      <c r="J1004" s="533">
        <f t="shared" si="516"/>
        <v>24</v>
      </c>
      <c r="K1004" s="534">
        <f t="shared" si="507"/>
        <v>0.0121946270594919</v>
      </c>
      <c r="L1004" s="535">
        <f t="shared" si="508"/>
        <v>0.886813643926789</v>
      </c>
      <c r="M1004" s="535">
        <f t="shared" si="509"/>
        <v>10.8143616589563</v>
      </c>
      <c r="N1004" s="535">
        <f t="shared" si="510"/>
        <v>14.2483230920775</v>
      </c>
      <c r="O1004" s="535">
        <f t="shared" si="511"/>
        <v>0.00166389351081531</v>
      </c>
      <c r="P1004" s="536">
        <f t="shared" si="512"/>
        <v>20.9009803921569</v>
      </c>
      <c r="Q1004" s="531">
        <f t="shared" si="513"/>
        <v>51</v>
      </c>
      <c r="R1004" s="537">
        <f t="shared" si="514"/>
        <v>0.0424292845257903</v>
      </c>
    </row>
    <row r="1005" spans="1:18">
      <c r="A1005" s="524">
        <v>45651</v>
      </c>
      <c r="B1005" s="540" t="s">
        <v>98</v>
      </c>
      <c r="C1005" s="551">
        <v>399.6</v>
      </c>
      <c r="D1005" s="553">
        <v>8443</v>
      </c>
      <c r="E1005" s="551">
        <v>248</v>
      </c>
      <c r="F1005" s="551">
        <v>0</v>
      </c>
      <c r="G1005" s="551">
        <v>0</v>
      </c>
      <c r="H1005" s="551">
        <v>3</v>
      </c>
      <c r="I1005" s="551">
        <v>2</v>
      </c>
      <c r="J1005" s="551">
        <v>6</v>
      </c>
      <c r="K1005" s="527">
        <f t="shared" ref="K1005:K1009" si="517">IF(E1005=0,0,E1005/D1005)</f>
        <v>0.0293734454577757</v>
      </c>
      <c r="L1005" s="528">
        <f t="shared" ref="L1005:L1009" si="518">IF(C1005=0,0,C1005/E1005)</f>
        <v>1.61129032258065</v>
      </c>
      <c r="M1005" s="528">
        <f t="shared" ref="M1005:M1009" si="519">IF(D1005=0,0,C1005/D1005*1000)</f>
        <v>47.3291484069644</v>
      </c>
      <c r="N1005" s="528">
        <f t="shared" ref="N1005:N1009" si="520">IF(G1005=0,0,G1005/C1005)</f>
        <v>0</v>
      </c>
      <c r="O1005" s="528">
        <f t="shared" ref="O1005:O1009" si="521">IF(F1005=0,0,F1005/E1005)</f>
        <v>0</v>
      </c>
      <c r="P1005" s="529">
        <f t="shared" ref="P1005:P1009" si="522">IF(H1005+I1005=0,0,C1005/(H1005+I1005))</f>
        <v>79.92</v>
      </c>
      <c r="Q1005" s="24">
        <f t="shared" ref="Q1005:Q1009" si="523">H1005+I1005</f>
        <v>5</v>
      </c>
      <c r="R1005" s="530">
        <f t="shared" ref="R1005:R1009" si="524">IF(Q1005=0,0,Q1005/E1005)</f>
        <v>0.0201612903225806</v>
      </c>
    </row>
    <row r="1006" spans="1:18">
      <c r="A1006" s="524"/>
      <c r="B1006" s="540" t="s">
        <v>99</v>
      </c>
      <c r="C1006" s="551">
        <v>0</v>
      </c>
      <c r="D1006" s="551">
        <v>0</v>
      </c>
      <c r="E1006" s="551">
        <v>0</v>
      </c>
      <c r="F1006" s="551">
        <v>0</v>
      </c>
      <c r="G1006" s="551">
        <v>0</v>
      </c>
      <c r="H1006" s="551">
        <v>0</v>
      </c>
      <c r="I1006" s="551">
        <v>0</v>
      </c>
      <c r="J1006" s="551">
        <v>0</v>
      </c>
      <c r="K1006" s="527">
        <f t="shared" si="517"/>
        <v>0</v>
      </c>
      <c r="L1006" s="528">
        <f t="shared" si="518"/>
        <v>0</v>
      </c>
      <c r="M1006" s="528">
        <f t="shared" si="519"/>
        <v>0</v>
      </c>
      <c r="N1006" s="528">
        <f t="shared" si="520"/>
        <v>0</v>
      </c>
      <c r="O1006" s="528">
        <f t="shared" si="521"/>
        <v>0</v>
      </c>
      <c r="P1006" s="529">
        <f t="shared" si="522"/>
        <v>0</v>
      </c>
      <c r="Q1006" s="24">
        <f t="shared" si="523"/>
        <v>0</v>
      </c>
      <c r="R1006" s="530">
        <f t="shared" si="524"/>
        <v>0</v>
      </c>
    </row>
    <row r="1007" spans="1:18">
      <c r="A1007" s="524"/>
      <c r="B1007" s="540" t="s">
        <v>100</v>
      </c>
      <c r="C1007" s="552">
        <v>650.65</v>
      </c>
      <c r="D1007" s="551">
        <v>63219</v>
      </c>
      <c r="E1007" s="551">
        <v>880</v>
      </c>
      <c r="F1007" s="551">
        <v>0</v>
      </c>
      <c r="G1007" s="551">
        <v>0</v>
      </c>
      <c r="H1007" s="551">
        <v>26</v>
      </c>
      <c r="I1007" s="551">
        <v>19</v>
      </c>
      <c r="J1007" s="551">
        <v>2</v>
      </c>
      <c r="K1007" s="527">
        <f t="shared" si="517"/>
        <v>0.0139198658631108</v>
      </c>
      <c r="L1007" s="528">
        <f t="shared" si="518"/>
        <v>0.739375</v>
      </c>
      <c r="M1007" s="528">
        <f t="shared" si="519"/>
        <v>10.2920008225375</v>
      </c>
      <c r="N1007" s="528">
        <f t="shared" si="520"/>
        <v>0</v>
      </c>
      <c r="O1007" s="528">
        <f t="shared" si="521"/>
        <v>0</v>
      </c>
      <c r="P1007" s="529">
        <f t="shared" si="522"/>
        <v>14.4588888888889</v>
      </c>
      <c r="Q1007" s="24">
        <f t="shared" si="523"/>
        <v>45</v>
      </c>
      <c r="R1007" s="530">
        <f t="shared" si="524"/>
        <v>0.0511363636363636</v>
      </c>
    </row>
    <row r="1008" spans="1:18">
      <c r="A1008" s="524"/>
      <c r="B1008" s="540" t="s">
        <v>101</v>
      </c>
      <c r="C1008" s="551">
        <v>0</v>
      </c>
      <c r="D1008" s="551">
        <v>0</v>
      </c>
      <c r="E1008" s="551">
        <v>0</v>
      </c>
      <c r="F1008" s="551">
        <v>0</v>
      </c>
      <c r="G1008" s="551">
        <v>0</v>
      </c>
      <c r="H1008" s="551">
        <v>0</v>
      </c>
      <c r="I1008" s="551">
        <v>0</v>
      </c>
      <c r="J1008" s="551">
        <v>0</v>
      </c>
      <c r="K1008" s="527">
        <f t="shared" si="517"/>
        <v>0</v>
      </c>
      <c r="L1008" s="528">
        <f t="shared" si="518"/>
        <v>0</v>
      </c>
      <c r="M1008" s="528">
        <f t="shared" si="519"/>
        <v>0</v>
      </c>
      <c r="N1008" s="528">
        <f t="shared" si="520"/>
        <v>0</v>
      </c>
      <c r="O1008" s="528">
        <f t="shared" si="521"/>
        <v>0</v>
      </c>
      <c r="P1008" s="529">
        <f t="shared" si="522"/>
        <v>0</v>
      </c>
      <c r="Q1008" s="24">
        <f t="shared" si="523"/>
        <v>0</v>
      </c>
      <c r="R1008" s="530">
        <f t="shared" si="524"/>
        <v>0</v>
      </c>
    </row>
    <row r="1009" spans="1:18">
      <c r="A1009" s="524"/>
      <c r="B1009" s="531" t="s">
        <v>96</v>
      </c>
      <c r="C1009" s="533">
        <f t="shared" ref="C1009:J1009" si="525">SUM(C1005:C1008)</f>
        <v>1050.25</v>
      </c>
      <c r="D1009" s="533">
        <f t="shared" si="525"/>
        <v>71662</v>
      </c>
      <c r="E1009" s="533">
        <f t="shared" si="525"/>
        <v>1128</v>
      </c>
      <c r="F1009" s="533">
        <f t="shared" si="525"/>
        <v>0</v>
      </c>
      <c r="G1009" s="533">
        <f t="shared" si="525"/>
        <v>0</v>
      </c>
      <c r="H1009" s="533">
        <f t="shared" si="525"/>
        <v>29</v>
      </c>
      <c r="I1009" s="533">
        <f t="shared" si="525"/>
        <v>21</v>
      </c>
      <c r="J1009" s="533">
        <f t="shared" si="525"/>
        <v>8</v>
      </c>
      <c r="K1009" s="534">
        <f t="shared" si="517"/>
        <v>0.0157405598504089</v>
      </c>
      <c r="L1009" s="535">
        <f t="shared" si="518"/>
        <v>0.931072695035461</v>
      </c>
      <c r="M1009" s="535">
        <f t="shared" si="519"/>
        <v>14.6556054812872</v>
      </c>
      <c r="N1009" s="535">
        <f t="shared" si="520"/>
        <v>0</v>
      </c>
      <c r="O1009" s="535">
        <f t="shared" si="521"/>
        <v>0</v>
      </c>
      <c r="P1009" s="536">
        <f t="shared" si="522"/>
        <v>21.005</v>
      </c>
      <c r="Q1009" s="531">
        <f t="shared" si="523"/>
        <v>50</v>
      </c>
      <c r="R1009" s="537">
        <f t="shared" si="524"/>
        <v>0.0443262411347518</v>
      </c>
    </row>
    <row r="1010" spans="1:18">
      <c r="A1010" s="524">
        <v>45652</v>
      </c>
      <c r="B1010" s="540" t="s">
        <v>98</v>
      </c>
      <c r="C1010" s="551">
        <v>399.9</v>
      </c>
      <c r="D1010" s="553">
        <v>7290</v>
      </c>
      <c r="E1010" s="551">
        <v>256</v>
      </c>
      <c r="F1010" s="551">
        <v>0</v>
      </c>
      <c r="G1010" s="551">
        <v>0</v>
      </c>
      <c r="H1010" s="551">
        <v>3</v>
      </c>
      <c r="I1010" s="551">
        <v>1</v>
      </c>
      <c r="J1010" s="551">
        <v>4</v>
      </c>
      <c r="K1010" s="527">
        <f t="shared" ref="K1010:K1014" si="526">IF(E1010=0,0,E1010/D1010)</f>
        <v>0.035116598079561</v>
      </c>
      <c r="L1010" s="528">
        <f t="shared" ref="L1010:L1014" si="527">IF(C1010=0,0,C1010/E1010)</f>
        <v>1.562109375</v>
      </c>
      <c r="M1010" s="528">
        <f t="shared" ref="M1010:M1014" si="528">IF(D1010=0,0,C1010/D1010*1000)</f>
        <v>54.8559670781893</v>
      </c>
      <c r="N1010" s="528">
        <f t="shared" ref="N1010:N1014" si="529">IF(G1010=0,0,G1010/C1010)</f>
        <v>0</v>
      </c>
      <c r="O1010" s="528">
        <f t="shared" ref="O1010:O1014" si="530">IF(F1010=0,0,F1010/E1010)</f>
        <v>0</v>
      </c>
      <c r="P1010" s="529">
        <f t="shared" ref="P1010:P1014" si="531">IF(H1010+I1010=0,0,C1010/(H1010+I1010))</f>
        <v>99.975</v>
      </c>
      <c r="Q1010" s="24">
        <f t="shared" ref="Q1010:Q1014" si="532">H1010+I1010</f>
        <v>4</v>
      </c>
      <c r="R1010" s="530">
        <f t="shared" ref="R1010:R1014" si="533">IF(Q1010=0,0,Q1010/E1010)</f>
        <v>0.015625</v>
      </c>
    </row>
    <row r="1011" spans="1:18">
      <c r="A1011" s="524"/>
      <c r="B1011" s="540" t="s">
        <v>99</v>
      </c>
      <c r="C1011" s="551">
        <v>0</v>
      </c>
      <c r="D1011" s="551">
        <v>0</v>
      </c>
      <c r="E1011" s="551">
        <v>0</v>
      </c>
      <c r="F1011" s="551">
        <v>0</v>
      </c>
      <c r="G1011" s="551">
        <v>0</v>
      </c>
      <c r="H1011" s="551">
        <v>0</v>
      </c>
      <c r="I1011" s="551">
        <v>0</v>
      </c>
      <c r="J1011" s="551">
        <v>0</v>
      </c>
      <c r="K1011" s="527">
        <f t="shared" si="526"/>
        <v>0</v>
      </c>
      <c r="L1011" s="528">
        <f t="shared" si="527"/>
        <v>0</v>
      </c>
      <c r="M1011" s="528">
        <f t="shared" si="528"/>
        <v>0</v>
      </c>
      <c r="N1011" s="528">
        <f t="shared" si="529"/>
        <v>0</v>
      </c>
      <c r="O1011" s="528">
        <f t="shared" si="530"/>
        <v>0</v>
      </c>
      <c r="P1011" s="529">
        <f t="shared" si="531"/>
        <v>0</v>
      </c>
      <c r="Q1011" s="24">
        <f t="shared" si="532"/>
        <v>0</v>
      </c>
      <c r="R1011" s="530">
        <f t="shared" si="533"/>
        <v>0</v>
      </c>
    </row>
    <row r="1012" spans="1:18">
      <c r="A1012" s="524"/>
      <c r="B1012" s="540" t="s">
        <v>100</v>
      </c>
      <c r="C1012" s="552">
        <v>658.68</v>
      </c>
      <c r="D1012" s="551">
        <v>98003</v>
      </c>
      <c r="E1012" s="551">
        <v>1062</v>
      </c>
      <c r="F1012" s="551">
        <v>0</v>
      </c>
      <c r="G1012" s="551">
        <v>0</v>
      </c>
      <c r="H1012" s="551">
        <v>36</v>
      </c>
      <c r="I1012" s="551">
        <v>27</v>
      </c>
      <c r="J1012" s="551">
        <v>1</v>
      </c>
      <c r="K1012" s="527">
        <f t="shared" si="526"/>
        <v>0.0108364029672561</v>
      </c>
      <c r="L1012" s="528">
        <f t="shared" si="527"/>
        <v>0.620225988700565</v>
      </c>
      <c r="M1012" s="528">
        <f t="shared" si="528"/>
        <v>6.72101874432415</v>
      </c>
      <c r="N1012" s="528">
        <f t="shared" si="529"/>
        <v>0</v>
      </c>
      <c r="O1012" s="528">
        <f t="shared" si="530"/>
        <v>0</v>
      </c>
      <c r="P1012" s="529">
        <f t="shared" si="531"/>
        <v>10.4552380952381</v>
      </c>
      <c r="Q1012" s="24">
        <f t="shared" si="532"/>
        <v>63</v>
      </c>
      <c r="R1012" s="530">
        <f t="shared" si="533"/>
        <v>0.0593220338983051</v>
      </c>
    </row>
    <row r="1013" spans="1:18">
      <c r="A1013" s="524"/>
      <c r="B1013" s="540" t="s">
        <v>101</v>
      </c>
      <c r="C1013" s="551">
        <v>0</v>
      </c>
      <c r="D1013" s="551">
        <v>0</v>
      </c>
      <c r="E1013" s="551">
        <v>0</v>
      </c>
      <c r="F1013" s="551">
        <v>0</v>
      </c>
      <c r="G1013" s="551">
        <v>0</v>
      </c>
      <c r="H1013" s="551">
        <v>0</v>
      </c>
      <c r="I1013" s="551">
        <v>0</v>
      </c>
      <c r="J1013" s="551">
        <v>0</v>
      </c>
      <c r="K1013" s="527">
        <f t="shared" si="526"/>
        <v>0</v>
      </c>
      <c r="L1013" s="528">
        <f t="shared" si="527"/>
        <v>0</v>
      </c>
      <c r="M1013" s="528">
        <f t="shared" si="528"/>
        <v>0</v>
      </c>
      <c r="N1013" s="528">
        <f t="shared" si="529"/>
        <v>0</v>
      </c>
      <c r="O1013" s="528">
        <f t="shared" si="530"/>
        <v>0</v>
      </c>
      <c r="P1013" s="529">
        <f t="shared" si="531"/>
        <v>0</v>
      </c>
      <c r="Q1013" s="24">
        <f t="shared" si="532"/>
        <v>0</v>
      </c>
      <c r="R1013" s="530">
        <f t="shared" si="533"/>
        <v>0</v>
      </c>
    </row>
    <row r="1014" spans="1:18">
      <c r="A1014" s="524"/>
      <c r="B1014" s="531" t="s">
        <v>96</v>
      </c>
      <c r="C1014" s="533">
        <f t="shared" ref="C1014:J1014" si="534">SUM(C1010:C1013)</f>
        <v>1058.58</v>
      </c>
      <c r="D1014" s="533">
        <f t="shared" si="534"/>
        <v>105293</v>
      </c>
      <c r="E1014" s="533">
        <f t="shared" si="534"/>
        <v>1318</v>
      </c>
      <c r="F1014" s="533">
        <f t="shared" si="534"/>
        <v>0</v>
      </c>
      <c r="G1014" s="533">
        <f t="shared" si="534"/>
        <v>0</v>
      </c>
      <c r="H1014" s="533">
        <f t="shared" si="534"/>
        <v>39</v>
      </c>
      <c r="I1014" s="533">
        <f t="shared" si="534"/>
        <v>28</v>
      </c>
      <c r="J1014" s="533">
        <f t="shared" si="534"/>
        <v>5</v>
      </c>
      <c r="K1014" s="534">
        <f t="shared" si="526"/>
        <v>0.0125174513025557</v>
      </c>
      <c r="L1014" s="535">
        <f t="shared" si="527"/>
        <v>0.803171471927162</v>
      </c>
      <c r="M1014" s="535">
        <f t="shared" si="528"/>
        <v>10.0536597874503</v>
      </c>
      <c r="N1014" s="535">
        <f t="shared" si="529"/>
        <v>0</v>
      </c>
      <c r="O1014" s="535">
        <f t="shared" si="530"/>
        <v>0</v>
      </c>
      <c r="P1014" s="536">
        <f t="shared" si="531"/>
        <v>15.7997014925373</v>
      </c>
      <c r="Q1014" s="531">
        <f t="shared" si="532"/>
        <v>67</v>
      </c>
      <c r="R1014" s="537">
        <f t="shared" si="533"/>
        <v>0.050834597875569</v>
      </c>
    </row>
    <row r="1015" spans="1:18">
      <c r="A1015" s="524">
        <v>45653</v>
      </c>
      <c r="B1015" s="540" t="s">
        <v>98</v>
      </c>
      <c r="C1015" s="551">
        <v>399.97</v>
      </c>
      <c r="D1015" s="553">
        <v>8211</v>
      </c>
      <c r="E1015" s="551">
        <v>275</v>
      </c>
      <c r="F1015" s="551">
        <v>0</v>
      </c>
      <c r="G1015" s="551">
        <v>0</v>
      </c>
      <c r="H1015" s="551">
        <v>5</v>
      </c>
      <c r="I1015" s="551">
        <v>4</v>
      </c>
      <c r="J1015" s="551">
        <v>4</v>
      </c>
      <c r="K1015" s="527">
        <f t="shared" ref="K1015:K1019" si="535">IF(E1015=0,0,E1015/D1015)</f>
        <v>0.0334916575325782</v>
      </c>
      <c r="L1015" s="528">
        <f t="shared" ref="L1015:L1019" si="536">IF(C1015=0,0,C1015/E1015)</f>
        <v>1.45443636363636</v>
      </c>
      <c r="M1015" s="528">
        <f t="shared" ref="M1015:M1019" si="537">IF(D1015=0,0,C1015/D1015*1000)</f>
        <v>48.7114845938375</v>
      </c>
      <c r="N1015" s="528">
        <f t="shared" ref="N1015:N1019" si="538">IF(G1015=0,0,G1015/C1015)</f>
        <v>0</v>
      </c>
      <c r="O1015" s="528">
        <f t="shared" ref="O1015:O1019" si="539">IF(F1015=0,0,F1015/E1015)</f>
        <v>0</v>
      </c>
      <c r="P1015" s="529">
        <f t="shared" ref="P1015:P1019" si="540">IF(H1015+I1015=0,0,C1015/(H1015+I1015))</f>
        <v>44.4411111111111</v>
      </c>
      <c r="Q1015" s="24">
        <f t="shared" ref="Q1015:Q1019" si="541">H1015+I1015</f>
        <v>9</v>
      </c>
      <c r="R1015" s="530">
        <f t="shared" ref="R1015:R1019" si="542">IF(Q1015=0,0,Q1015/E1015)</f>
        <v>0.0327272727272727</v>
      </c>
    </row>
    <row r="1016" spans="1:18">
      <c r="A1016" s="524"/>
      <c r="B1016" s="540" t="s">
        <v>99</v>
      </c>
      <c r="C1016" s="551">
        <v>0</v>
      </c>
      <c r="D1016" s="551">
        <v>0</v>
      </c>
      <c r="E1016" s="551">
        <v>0</v>
      </c>
      <c r="F1016" s="551">
        <v>0</v>
      </c>
      <c r="G1016" s="551">
        <v>0</v>
      </c>
      <c r="H1016" s="551">
        <v>0</v>
      </c>
      <c r="I1016" s="551">
        <v>0</v>
      </c>
      <c r="J1016" s="551">
        <v>0</v>
      </c>
      <c r="K1016" s="527">
        <f t="shared" si="535"/>
        <v>0</v>
      </c>
      <c r="L1016" s="528">
        <f t="shared" si="536"/>
        <v>0</v>
      </c>
      <c r="M1016" s="528">
        <f t="shared" si="537"/>
        <v>0</v>
      </c>
      <c r="N1016" s="528">
        <f t="shared" si="538"/>
        <v>0</v>
      </c>
      <c r="O1016" s="528">
        <f t="shared" si="539"/>
        <v>0</v>
      </c>
      <c r="P1016" s="529">
        <f t="shared" si="540"/>
        <v>0</v>
      </c>
      <c r="Q1016" s="24">
        <f t="shared" si="541"/>
        <v>0</v>
      </c>
      <c r="R1016" s="530">
        <f t="shared" si="542"/>
        <v>0</v>
      </c>
    </row>
    <row r="1017" spans="1:18">
      <c r="A1017" s="524"/>
      <c r="B1017" s="540" t="s">
        <v>100</v>
      </c>
      <c r="C1017" s="552">
        <v>668.8</v>
      </c>
      <c r="D1017" s="551">
        <v>137881</v>
      </c>
      <c r="E1017" s="551">
        <v>1152</v>
      </c>
      <c r="F1017" s="551">
        <v>0</v>
      </c>
      <c r="G1017" s="551">
        <v>0</v>
      </c>
      <c r="H1017" s="551">
        <v>41</v>
      </c>
      <c r="I1017" s="551">
        <v>24</v>
      </c>
      <c r="J1017" s="551">
        <v>7</v>
      </c>
      <c r="K1017" s="527">
        <f t="shared" si="535"/>
        <v>0.00835503078741814</v>
      </c>
      <c r="L1017" s="528">
        <f t="shared" si="536"/>
        <v>0.580555555555555</v>
      </c>
      <c r="M1017" s="528">
        <f t="shared" si="537"/>
        <v>4.85055954047331</v>
      </c>
      <c r="N1017" s="528">
        <f t="shared" si="538"/>
        <v>0</v>
      </c>
      <c r="O1017" s="528">
        <f t="shared" si="539"/>
        <v>0</v>
      </c>
      <c r="P1017" s="529">
        <f t="shared" si="540"/>
        <v>10.2892307692308</v>
      </c>
      <c r="Q1017" s="24">
        <f t="shared" si="541"/>
        <v>65</v>
      </c>
      <c r="R1017" s="530">
        <f t="shared" si="542"/>
        <v>0.0564236111111111</v>
      </c>
    </row>
    <row r="1018" spans="1:18">
      <c r="A1018" s="524"/>
      <c r="B1018" s="540" t="s">
        <v>101</v>
      </c>
      <c r="C1018" s="551">
        <v>0</v>
      </c>
      <c r="D1018" s="551">
        <v>0</v>
      </c>
      <c r="E1018" s="551">
        <v>0</v>
      </c>
      <c r="F1018" s="551">
        <v>0</v>
      </c>
      <c r="G1018" s="551">
        <v>0</v>
      </c>
      <c r="H1018" s="551">
        <v>0</v>
      </c>
      <c r="I1018" s="551">
        <v>0</v>
      </c>
      <c r="J1018" s="551">
        <v>0</v>
      </c>
      <c r="K1018" s="527">
        <f t="shared" si="535"/>
        <v>0</v>
      </c>
      <c r="L1018" s="528">
        <f t="shared" si="536"/>
        <v>0</v>
      </c>
      <c r="M1018" s="528">
        <f t="shared" si="537"/>
        <v>0</v>
      </c>
      <c r="N1018" s="528">
        <f t="shared" si="538"/>
        <v>0</v>
      </c>
      <c r="O1018" s="528">
        <f t="shared" si="539"/>
        <v>0</v>
      </c>
      <c r="P1018" s="529">
        <f t="shared" si="540"/>
        <v>0</v>
      </c>
      <c r="Q1018" s="24">
        <f t="shared" si="541"/>
        <v>0</v>
      </c>
      <c r="R1018" s="530">
        <f t="shared" si="542"/>
        <v>0</v>
      </c>
    </row>
    <row r="1019" spans="1:18">
      <c r="A1019" s="524"/>
      <c r="B1019" s="531" t="s">
        <v>96</v>
      </c>
      <c r="C1019" s="533">
        <f t="shared" ref="C1019:J1019" si="543">SUM(C1015:C1018)</f>
        <v>1068.77</v>
      </c>
      <c r="D1019" s="533">
        <f t="shared" si="543"/>
        <v>146092</v>
      </c>
      <c r="E1019" s="533">
        <f t="shared" si="543"/>
        <v>1427</v>
      </c>
      <c r="F1019" s="533">
        <f t="shared" si="543"/>
        <v>0</v>
      </c>
      <c r="G1019" s="533">
        <f t="shared" si="543"/>
        <v>0</v>
      </c>
      <c r="H1019" s="533">
        <f t="shared" si="543"/>
        <v>46</v>
      </c>
      <c r="I1019" s="533">
        <f t="shared" si="543"/>
        <v>28</v>
      </c>
      <c r="J1019" s="533">
        <f t="shared" si="543"/>
        <v>11</v>
      </c>
      <c r="K1019" s="534">
        <f t="shared" si="535"/>
        <v>0.00976781753963256</v>
      </c>
      <c r="L1019" s="535">
        <f t="shared" si="536"/>
        <v>0.74896285914506</v>
      </c>
      <c r="M1019" s="535">
        <f t="shared" si="537"/>
        <v>7.31573255209046</v>
      </c>
      <c r="N1019" s="535">
        <f t="shared" si="538"/>
        <v>0</v>
      </c>
      <c r="O1019" s="535">
        <f t="shared" si="539"/>
        <v>0</v>
      </c>
      <c r="P1019" s="536">
        <f t="shared" si="540"/>
        <v>14.4428378378378</v>
      </c>
      <c r="Q1019" s="531">
        <f t="shared" si="541"/>
        <v>74</v>
      </c>
      <c r="R1019" s="537">
        <f t="shared" si="542"/>
        <v>0.0518570427470217</v>
      </c>
    </row>
    <row r="1020" spans="1:18">
      <c r="A1020" s="524">
        <v>45654</v>
      </c>
      <c r="B1020" s="540" t="s">
        <v>98</v>
      </c>
      <c r="C1020" s="551">
        <v>399.99</v>
      </c>
      <c r="D1020" s="553">
        <v>9495</v>
      </c>
      <c r="E1020" s="551">
        <v>349</v>
      </c>
      <c r="F1020" s="551">
        <v>0</v>
      </c>
      <c r="G1020" s="551">
        <v>0</v>
      </c>
      <c r="H1020" s="551">
        <v>7</v>
      </c>
      <c r="I1020" s="551">
        <v>1</v>
      </c>
      <c r="J1020" s="551">
        <v>5</v>
      </c>
      <c r="K1020" s="527">
        <f t="shared" ref="K1020:K1024" si="544">IF(E1020=0,0,E1020/D1020)</f>
        <v>0.0367561874670879</v>
      </c>
      <c r="L1020" s="528">
        <f t="shared" ref="L1020:L1024" si="545">IF(C1020=0,0,C1020/E1020)</f>
        <v>1.14610315186246</v>
      </c>
      <c r="M1020" s="528">
        <f t="shared" ref="M1020:M1024" si="546">IF(D1020=0,0,C1020/D1020*1000)</f>
        <v>42.1263823064771</v>
      </c>
      <c r="N1020" s="528">
        <f t="shared" ref="N1020:N1024" si="547">IF(G1020=0,0,G1020/C1020)</f>
        <v>0</v>
      </c>
      <c r="O1020" s="528">
        <f t="shared" ref="O1020:O1024" si="548">IF(F1020=0,0,F1020/E1020)</f>
        <v>0</v>
      </c>
      <c r="P1020" s="529">
        <f t="shared" ref="P1020:P1024" si="549">IF(H1020+I1020=0,0,C1020/(H1020+I1020))</f>
        <v>49.99875</v>
      </c>
      <c r="Q1020" s="24">
        <f t="shared" ref="Q1020:Q1024" si="550">H1020+I1020</f>
        <v>8</v>
      </c>
      <c r="R1020" s="530">
        <f t="shared" ref="R1020:R1024" si="551">IF(Q1020=0,0,Q1020/E1020)</f>
        <v>0.0229226361031519</v>
      </c>
    </row>
    <row r="1021" spans="1:18">
      <c r="A1021" s="524"/>
      <c r="B1021" s="540" t="s">
        <v>99</v>
      </c>
      <c r="C1021" s="551">
        <v>0</v>
      </c>
      <c r="D1021" s="551">
        <v>0</v>
      </c>
      <c r="E1021" s="551">
        <v>0</v>
      </c>
      <c r="F1021" s="551">
        <v>0</v>
      </c>
      <c r="G1021" s="551">
        <v>0</v>
      </c>
      <c r="H1021" s="551">
        <v>0</v>
      </c>
      <c r="I1021" s="551">
        <v>0</v>
      </c>
      <c r="J1021" s="551">
        <v>0</v>
      </c>
      <c r="K1021" s="527">
        <f t="shared" si="544"/>
        <v>0</v>
      </c>
      <c r="L1021" s="528">
        <f t="shared" si="545"/>
        <v>0</v>
      </c>
      <c r="M1021" s="528">
        <f t="shared" si="546"/>
        <v>0</v>
      </c>
      <c r="N1021" s="528">
        <f t="shared" si="547"/>
        <v>0</v>
      </c>
      <c r="O1021" s="528">
        <f t="shared" si="548"/>
        <v>0</v>
      </c>
      <c r="P1021" s="529">
        <f t="shared" si="549"/>
        <v>0</v>
      </c>
      <c r="Q1021" s="24">
        <f t="shared" si="550"/>
        <v>0</v>
      </c>
      <c r="R1021" s="530">
        <f t="shared" si="551"/>
        <v>0</v>
      </c>
    </row>
    <row r="1022" spans="1:18">
      <c r="A1022" s="524"/>
      <c r="B1022" s="540" t="s">
        <v>100</v>
      </c>
      <c r="C1022" s="552">
        <v>680.9</v>
      </c>
      <c r="D1022" s="551">
        <v>146312</v>
      </c>
      <c r="E1022" s="551">
        <v>1315</v>
      </c>
      <c r="F1022" s="551">
        <v>0</v>
      </c>
      <c r="G1022" s="551">
        <v>0</v>
      </c>
      <c r="H1022" s="551">
        <v>37</v>
      </c>
      <c r="I1022" s="551">
        <v>49</v>
      </c>
      <c r="J1022" s="551">
        <v>0</v>
      </c>
      <c r="K1022" s="527">
        <f t="shared" si="544"/>
        <v>0.00898764284542621</v>
      </c>
      <c r="L1022" s="528">
        <f t="shared" si="545"/>
        <v>0.517794676806084</v>
      </c>
      <c r="M1022" s="528">
        <f t="shared" si="546"/>
        <v>4.65375362239598</v>
      </c>
      <c r="N1022" s="528">
        <f t="shared" si="547"/>
        <v>0</v>
      </c>
      <c r="O1022" s="528">
        <f t="shared" si="548"/>
        <v>0</v>
      </c>
      <c r="P1022" s="529">
        <f t="shared" si="549"/>
        <v>7.91744186046512</v>
      </c>
      <c r="Q1022" s="24">
        <f t="shared" si="550"/>
        <v>86</v>
      </c>
      <c r="R1022" s="530">
        <f t="shared" si="551"/>
        <v>0.0653992395437262</v>
      </c>
    </row>
    <row r="1023" spans="1:18">
      <c r="A1023" s="524"/>
      <c r="B1023" s="540" t="s">
        <v>101</v>
      </c>
      <c r="C1023" s="551">
        <v>0</v>
      </c>
      <c r="D1023" s="551">
        <v>0</v>
      </c>
      <c r="E1023" s="551">
        <v>0</v>
      </c>
      <c r="F1023" s="551">
        <v>0</v>
      </c>
      <c r="G1023" s="551">
        <v>0</v>
      </c>
      <c r="H1023" s="551">
        <v>0</v>
      </c>
      <c r="I1023" s="551">
        <v>0</v>
      </c>
      <c r="J1023" s="551">
        <v>0</v>
      </c>
      <c r="K1023" s="527">
        <f t="shared" si="544"/>
        <v>0</v>
      </c>
      <c r="L1023" s="528">
        <f t="shared" si="545"/>
        <v>0</v>
      </c>
      <c r="M1023" s="528">
        <f t="shared" si="546"/>
        <v>0</v>
      </c>
      <c r="N1023" s="528">
        <f t="shared" si="547"/>
        <v>0</v>
      </c>
      <c r="O1023" s="528">
        <f t="shared" si="548"/>
        <v>0</v>
      </c>
      <c r="P1023" s="529">
        <f t="shared" si="549"/>
        <v>0</v>
      </c>
      <c r="Q1023" s="24">
        <f t="shared" si="550"/>
        <v>0</v>
      </c>
      <c r="R1023" s="530">
        <f t="shared" si="551"/>
        <v>0</v>
      </c>
    </row>
    <row r="1024" spans="1:18">
      <c r="A1024" s="524"/>
      <c r="B1024" s="531" t="s">
        <v>96</v>
      </c>
      <c r="C1024" s="533">
        <f t="shared" ref="C1024:J1024" si="552">SUM(C1020:C1023)</f>
        <v>1080.89</v>
      </c>
      <c r="D1024" s="533">
        <f t="shared" si="552"/>
        <v>155807</v>
      </c>
      <c r="E1024" s="533">
        <f t="shared" si="552"/>
        <v>1664</v>
      </c>
      <c r="F1024" s="533">
        <f t="shared" si="552"/>
        <v>0</v>
      </c>
      <c r="G1024" s="533">
        <f t="shared" si="552"/>
        <v>0</v>
      </c>
      <c r="H1024" s="533">
        <f t="shared" si="552"/>
        <v>44</v>
      </c>
      <c r="I1024" s="533">
        <f t="shared" si="552"/>
        <v>50</v>
      </c>
      <c r="J1024" s="533">
        <f t="shared" si="552"/>
        <v>5</v>
      </c>
      <c r="K1024" s="534">
        <f t="shared" si="544"/>
        <v>0.0106798795946267</v>
      </c>
      <c r="L1024" s="535">
        <f t="shared" si="545"/>
        <v>0.649573317307692</v>
      </c>
      <c r="M1024" s="535">
        <f t="shared" si="546"/>
        <v>6.93736481672839</v>
      </c>
      <c r="N1024" s="535">
        <f t="shared" si="547"/>
        <v>0</v>
      </c>
      <c r="O1024" s="535">
        <f t="shared" si="548"/>
        <v>0</v>
      </c>
      <c r="P1024" s="536">
        <f t="shared" si="549"/>
        <v>11.498829787234</v>
      </c>
      <c r="Q1024" s="531">
        <f t="shared" si="550"/>
        <v>94</v>
      </c>
      <c r="R1024" s="537">
        <f t="shared" si="551"/>
        <v>0.0564903846153846</v>
      </c>
    </row>
    <row r="1025" spans="1:18">
      <c r="A1025" s="524">
        <v>45655</v>
      </c>
      <c r="B1025" s="540" t="s">
        <v>98</v>
      </c>
      <c r="C1025" s="551">
        <v>399.99</v>
      </c>
      <c r="D1025" s="553">
        <v>8889</v>
      </c>
      <c r="E1025" s="551">
        <v>404</v>
      </c>
      <c r="F1025" s="551">
        <v>0</v>
      </c>
      <c r="G1025" s="551">
        <v>0</v>
      </c>
      <c r="H1025" s="551">
        <v>11</v>
      </c>
      <c r="I1025" s="551">
        <v>2</v>
      </c>
      <c r="J1025" s="551">
        <v>4</v>
      </c>
      <c r="K1025" s="527">
        <f t="shared" ref="K1025:K1034" si="553">IF(E1025=0,0,E1025/D1025)</f>
        <v>0.0454494318821015</v>
      </c>
      <c r="L1025" s="528">
        <f t="shared" ref="L1025:L1034" si="554">IF(C1025=0,0,C1025/E1025)</f>
        <v>0.990074257425743</v>
      </c>
      <c r="M1025" s="528">
        <f t="shared" ref="M1025:M1034" si="555">IF(D1025=0,0,C1025/D1025*1000)</f>
        <v>44.9983125210935</v>
      </c>
      <c r="N1025" s="528">
        <f t="shared" ref="N1025:N1034" si="556">IF(G1025=0,0,G1025/C1025)</f>
        <v>0</v>
      </c>
      <c r="O1025" s="528">
        <f t="shared" ref="O1025:O1034" si="557">IF(F1025=0,0,F1025/E1025)</f>
        <v>0</v>
      </c>
      <c r="P1025" s="529">
        <f t="shared" ref="P1025:P1034" si="558">IF(H1025+I1025=0,0,C1025/(H1025+I1025))</f>
        <v>30.7684615384615</v>
      </c>
      <c r="Q1025" s="24">
        <f t="shared" ref="Q1025:Q1034" si="559">H1025+I1025</f>
        <v>13</v>
      </c>
      <c r="R1025" s="530">
        <f t="shared" ref="R1025:R1034" si="560">IF(Q1025=0,0,Q1025/E1025)</f>
        <v>0.0321782178217822</v>
      </c>
    </row>
    <row r="1026" spans="1:18">
      <c r="A1026" s="524"/>
      <c r="B1026" s="540" t="s">
        <v>99</v>
      </c>
      <c r="C1026" s="551">
        <v>0</v>
      </c>
      <c r="D1026" s="551">
        <v>0</v>
      </c>
      <c r="E1026" s="551">
        <v>0</v>
      </c>
      <c r="F1026" s="551">
        <v>0</v>
      </c>
      <c r="G1026" s="551">
        <v>0</v>
      </c>
      <c r="H1026" s="551">
        <v>0</v>
      </c>
      <c r="I1026" s="551">
        <v>0</v>
      </c>
      <c r="J1026" s="551">
        <v>0</v>
      </c>
      <c r="K1026" s="527">
        <f t="shared" si="553"/>
        <v>0</v>
      </c>
      <c r="L1026" s="528">
        <f t="shared" si="554"/>
        <v>0</v>
      </c>
      <c r="M1026" s="528">
        <f t="shared" si="555"/>
        <v>0</v>
      </c>
      <c r="N1026" s="528">
        <f t="shared" si="556"/>
        <v>0</v>
      </c>
      <c r="O1026" s="528">
        <f t="shared" si="557"/>
        <v>0</v>
      </c>
      <c r="P1026" s="529">
        <f t="shared" si="558"/>
        <v>0</v>
      </c>
      <c r="Q1026" s="24">
        <f t="shared" si="559"/>
        <v>0</v>
      </c>
      <c r="R1026" s="530">
        <f t="shared" si="560"/>
        <v>0</v>
      </c>
    </row>
    <row r="1027" spans="1:18">
      <c r="A1027" s="524"/>
      <c r="B1027" s="540" t="s">
        <v>100</v>
      </c>
      <c r="C1027" s="552">
        <v>692.37</v>
      </c>
      <c r="D1027" s="551">
        <v>99239</v>
      </c>
      <c r="E1027" s="551">
        <v>1100</v>
      </c>
      <c r="F1027" s="551">
        <v>0</v>
      </c>
      <c r="G1027" s="551">
        <v>0</v>
      </c>
      <c r="H1027" s="551">
        <v>29</v>
      </c>
      <c r="I1027" s="551">
        <v>37</v>
      </c>
      <c r="J1027" s="551">
        <v>0</v>
      </c>
      <c r="K1027" s="527">
        <f t="shared" si="553"/>
        <v>0.0110843519180967</v>
      </c>
      <c r="L1027" s="528">
        <f t="shared" si="554"/>
        <v>0.629427272727273</v>
      </c>
      <c r="M1027" s="528">
        <f t="shared" si="555"/>
        <v>6.97679339775693</v>
      </c>
      <c r="N1027" s="528">
        <f t="shared" si="556"/>
        <v>0</v>
      </c>
      <c r="O1027" s="528">
        <f t="shared" si="557"/>
        <v>0</v>
      </c>
      <c r="P1027" s="529">
        <f t="shared" si="558"/>
        <v>10.4904545454545</v>
      </c>
      <c r="Q1027" s="24">
        <f t="shared" si="559"/>
        <v>66</v>
      </c>
      <c r="R1027" s="530">
        <f t="shared" si="560"/>
        <v>0.06</v>
      </c>
    </row>
    <row r="1028" spans="1:18">
      <c r="A1028" s="524"/>
      <c r="B1028" s="540" t="s">
        <v>101</v>
      </c>
      <c r="C1028" s="551">
        <v>0</v>
      </c>
      <c r="D1028" s="551">
        <v>0</v>
      </c>
      <c r="E1028" s="551">
        <v>0</v>
      </c>
      <c r="F1028" s="551">
        <v>0</v>
      </c>
      <c r="G1028" s="551">
        <v>0</v>
      </c>
      <c r="H1028" s="551">
        <v>0</v>
      </c>
      <c r="I1028" s="551">
        <v>0</v>
      </c>
      <c r="J1028" s="551">
        <v>0</v>
      </c>
      <c r="K1028" s="527">
        <f t="shared" si="553"/>
        <v>0</v>
      </c>
      <c r="L1028" s="528">
        <f t="shared" si="554"/>
        <v>0</v>
      </c>
      <c r="M1028" s="528">
        <f t="shared" si="555"/>
        <v>0</v>
      </c>
      <c r="N1028" s="528">
        <f t="shared" si="556"/>
        <v>0</v>
      </c>
      <c r="O1028" s="528">
        <f t="shared" si="557"/>
        <v>0</v>
      </c>
      <c r="P1028" s="529">
        <f t="shared" si="558"/>
        <v>0</v>
      </c>
      <c r="Q1028" s="24">
        <f t="shared" si="559"/>
        <v>0</v>
      </c>
      <c r="R1028" s="530">
        <f t="shared" si="560"/>
        <v>0</v>
      </c>
    </row>
    <row r="1029" spans="1:18">
      <c r="A1029" s="524"/>
      <c r="B1029" s="531" t="s">
        <v>96</v>
      </c>
      <c r="C1029" s="533">
        <f t="shared" ref="C1029:J1029" si="561">SUM(C1025:C1028)</f>
        <v>1092.36</v>
      </c>
      <c r="D1029" s="533">
        <f t="shared" si="561"/>
        <v>108128</v>
      </c>
      <c r="E1029" s="533">
        <f t="shared" si="561"/>
        <v>1504</v>
      </c>
      <c r="F1029" s="533">
        <f t="shared" si="561"/>
        <v>0</v>
      </c>
      <c r="G1029" s="533">
        <f t="shared" si="561"/>
        <v>0</v>
      </c>
      <c r="H1029" s="533">
        <f t="shared" si="561"/>
        <v>40</v>
      </c>
      <c r="I1029" s="533">
        <f t="shared" si="561"/>
        <v>39</v>
      </c>
      <c r="J1029" s="533">
        <f t="shared" si="561"/>
        <v>4</v>
      </c>
      <c r="K1029" s="534">
        <f t="shared" si="553"/>
        <v>0.013909440662918</v>
      </c>
      <c r="L1029" s="535">
        <f t="shared" si="554"/>
        <v>0.726303191489362</v>
      </c>
      <c r="M1029" s="535">
        <f t="shared" si="555"/>
        <v>10.1024711453093</v>
      </c>
      <c r="N1029" s="535">
        <f t="shared" si="556"/>
        <v>0</v>
      </c>
      <c r="O1029" s="535">
        <f t="shared" si="557"/>
        <v>0</v>
      </c>
      <c r="P1029" s="536">
        <f t="shared" si="558"/>
        <v>13.8273417721519</v>
      </c>
      <c r="Q1029" s="531">
        <f t="shared" si="559"/>
        <v>79</v>
      </c>
      <c r="R1029" s="537">
        <f t="shared" si="560"/>
        <v>0.0525265957446809</v>
      </c>
    </row>
    <row r="1030" spans="1:18">
      <c r="A1030" s="524">
        <v>45656</v>
      </c>
      <c r="B1030" s="540" t="s">
        <v>98</v>
      </c>
      <c r="C1030" s="551">
        <v>370.17</v>
      </c>
      <c r="D1030" s="553">
        <v>7375</v>
      </c>
      <c r="E1030" s="551">
        <v>238</v>
      </c>
      <c r="F1030" s="551">
        <v>3</v>
      </c>
      <c r="G1030" s="554">
        <v>3900</v>
      </c>
      <c r="H1030" s="551">
        <v>19</v>
      </c>
      <c r="I1030" s="551">
        <v>1</v>
      </c>
      <c r="J1030" s="551">
        <v>2</v>
      </c>
      <c r="K1030" s="527">
        <f t="shared" si="553"/>
        <v>0.032271186440678</v>
      </c>
      <c r="L1030" s="528">
        <f t="shared" si="554"/>
        <v>1.55533613445378</v>
      </c>
      <c r="M1030" s="528">
        <f t="shared" si="555"/>
        <v>50.1925423728814</v>
      </c>
      <c r="N1030" s="528">
        <f t="shared" si="556"/>
        <v>10.5356998135992</v>
      </c>
      <c r="O1030" s="528">
        <f t="shared" si="557"/>
        <v>0.0126050420168067</v>
      </c>
      <c r="P1030" s="529">
        <f t="shared" si="558"/>
        <v>18.5085</v>
      </c>
      <c r="Q1030" s="24">
        <f t="shared" si="559"/>
        <v>20</v>
      </c>
      <c r="R1030" s="530">
        <f t="shared" si="560"/>
        <v>0.0840336134453782</v>
      </c>
    </row>
    <row r="1031" spans="1:18">
      <c r="A1031" s="524"/>
      <c r="B1031" s="540" t="s">
        <v>99</v>
      </c>
      <c r="C1031" s="551">
        <v>0</v>
      </c>
      <c r="D1031" s="551">
        <v>0</v>
      </c>
      <c r="E1031" s="551">
        <v>0</v>
      </c>
      <c r="F1031" s="551">
        <v>0</v>
      </c>
      <c r="G1031" s="551">
        <v>0</v>
      </c>
      <c r="H1031" s="551">
        <v>0</v>
      </c>
      <c r="I1031" s="551">
        <v>0</v>
      </c>
      <c r="J1031" s="551">
        <v>0</v>
      </c>
      <c r="K1031" s="527">
        <f t="shared" si="553"/>
        <v>0</v>
      </c>
      <c r="L1031" s="528">
        <f t="shared" si="554"/>
        <v>0</v>
      </c>
      <c r="M1031" s="528">
        <f t="shared" si="555"/>
        <v>0</v>
      </c>
      <c r="N1031" s="528">
        <f t="shared" si="556"/>
        <v>0</v>
      </c>
      <c r="O1031" s="528">
        <f t="shared" si="557"/>
        <v>0</v>
      </c>
      <c r="P1031" s="529">
        <f t="shared" si="558"/>
        <v>0</v>
      </c>
      <c r="Q1031" s="24">
        <f t="shared" si="559"/>
        <v>0</v>
      </c>
      <c r="R1031" s="530">
        <f t="shared" si="560"/>
        <v>0</v>
      </c>
    </row>
    <row r="1032" spans="1:18">
      <c r="A1032" s="524"/>
      <c r="B1032" s="540" t="s">
        <v>100</v>
      </c>
      <c r="C1032" s="552">
        <v>677.55</v>
      </c>
      <c r="D1032" s="551">
        <v>100588</v>
      </c>
      <c r="E1032" s="551">
        <v>952</v>
      </c>
      <c r="F1032" s="551">
        <v>0</v>
      </c>
      <c r="G1032" s="551">
        <v>0</v>
      </c>
      <c r="H1032" s="551">
        <v>40</v>
      </c>
      <c r="I1032" s="551">
        <v>26</v>
      </c>
      <c r="J1032" s="551">
        <v>2</v>
      </c>
      <c r="K1032" s="527">
        <f t="shared" si="553"/>
        <v>0.00946434962420965</v>
      </c>
      <c r="L1032" s="528">
        <f t="shared" si="554"/>
        <v>0.711712184873949</v>
      </c>
      <c r="M1032" s="528">
        <f t="shared" si="555"/>
        <v>6.73589294945719</v>
      </c>
      <c r="N1032" s="528">
        <f t="shared" si="556"/>
        <v>0</v>
      </c>
      <c r="O1032" s="528">
        <f t="shared" si="557"/>
        <v>0</v>
      </c>
      <c r="P1032" s="529">
        <f t="shared" si="558"/>
        <v>10.2659090909091</v>
      </c>
      <c r="Q1032" s="24">
        <f t="shared" si="559"/>
        <v>66</v>
      </c>
      <c r="R1032" s="530">
        <f t="shared" si="560"/>
        <v>0.069327731092437</v>
      </c>
    </row>
    <row r="1033" spans="1:18">
      <c r="A1033" s="524"/>
      <c r="B1033" s="540" t="s">
        <v>101</v>
      </c>
      <c r="C1033" s="551">
        <v>0</v>
      </c>
      <c r="D1033" s="551">
        <v>0</v>
      </c>
      <c r="E1033" s="551">
        <v>0</v>
      </c>
      <c r="F1033" s="551">
        <v>0</v>
      </c>
      <c r="G1033" s="551">
        <v>0</v>
      </c>
      <c r="H1033" s="551">
        <v>0</v>
      </c>
      <c r="I1033" s="551">
        <v>0</v>
      </c>
      <c r="J1033" s="551">
        <v>0</v>
      </c>
      <c r="K1033" s="527">
        <f t="shared" si="553"/>
        <v>0</v>
      </c>
      <c r="L1033" s="528">
        <f t="shared" si="554"/>
        <v>0</v>
      </c>
      <c r="M1033" s="528">
        <f t="shared" si="555"/>
        <v>0</v>
      </c>
      <c r="N1033" s="528">
        <f t="shared" si="556"/>
        <v>0</v>
      </c>
      <c r="O1033" s="528">
        <f t="shared" si="557"/>
        <v>0</v>
      </c>
      <c r="P1033" s="529">
        <f t="shared" si="558"/>
        <v>0</v>
      </c>
      <c r="Q1033" s="24">
        <f t="shared" si="559"/>
        <v>0</v>
      </c>
      <c r="R1033" s="530">
        <f t="shared" si="560"/>
        <v>0</v>
      </c>
    </row>
    <row r="1034" spans="1:18">
      <c r="A1034" s="524"/>
      <c r="B1034" s="531" t="s">
        <v>96</v>
      </c>
      <c r="C1034" s="533">
        <f t="shared" ref="C1034:J1034" si="562">SUM(C1030:C1033)</f>
        <v>1047.72</v>
      </c>
      <c r="D1034" s="533">
        <f t="shared" si="562"/>
        <v>107963</v>
      </c>
      <c r="E1034" s="533">
        <f t="shared" si="562"/>
        <v>1190</v>
      </c>
      <c r="F1034" s="533">
        <f t="shared" si="562"/>
        <v>3</v>
      </c>
      <c r="G1034" s="533">
        <f t="shared" si="562"/>
        <v>3900</v>
      </c>
      <c r="H1034" s="533">
        <f t="shared" si="562"/>
        <v>59</v>
      </c>
      <c r="I1034" s="533">
        <f t="shared" si="562"/>
        <v>27</v>
      </c>
      <c r="J1034" s="533">
        <f t="shared" si="562"/>
        <v>4</v>
      </c>
      <c r="K1034" s="534">
        <f t="shared" si="553"/>
        <v>0.0110222946750276</v>
      </c>
      <c r="L1034" s="535">
        <f t="shared" si="554"/>
        <v>0.880436974789916</v>
      </c>
      <c r="M1034" s="535">
        <f t="shared" si="555"/>
        <v>9.70443577892426</v>
      </c>
      <c r="N1034" s="535">
        <f t="shared" si="556"/>
        <v>3.72236857175581</v>
      </c>
      <c r="O1034" s="535">
        <f t="shared" si="557"/>
        <v>0.00252100840336134</v>
      </c>
      <c r="P1034" s="536">
        <f t="shared" si="558"/>
        <v>12.1827906976744</v>
      </c>
      <c r="Q1034" s="531">
        <f t="shared" si="559"/>
        <v>86</v>
      </c>
      <c r="R1034" s="537">
        <f t="shared" si="560"/>
        <v>0.0722689075630252</v>
      </c>
    </row>
    <row r="1035" spans="1:18">
      <c r="A1035" s="524">
        <v>45657</v>
      </c>
      <c r="B1035" s="540" t="s">
        <v>98</v>
      </c>
      <c r="C1035" s="551">
        <v>297.77</v>
      </c>
      <c r="D1035" s="553">
        <v>6701</v>
      </c>
      <c r="E1035" s="551">
        <v>195</v>
      </c>
      <c r="F1035" s="551">
        <v>0</v>
      </c>
      <c r="G1035" s="551">
        <v>0</v>
      </c>
      <c r="H1035" s="551">
        <v>5</v>
      </c>
      <c r="I1035" s="551">
        <v>3</v>
      </c>
      <c r="J1035" s="551">
        <v>1</v>
      </c>
      <c r="K1035" s="527">
        <f t="shared" ref="K1035:K1039" si="563">IF(E1035=0,0,E1035/D1035)</f>
        <v>0.0291001343083122</v>
      </c>
      <c r="L1035" s="528">
        <f t="shared" ref="L1035:L1039" si="564">IF(C1035=0,0,C1035/E1035)</f>
        <v>1.52702564102564</v>
      </c>
      <c r="M1035" s="528">
        <f t="shared" ref="M1035:M1039" si="565">IF(D1035=0,0,C1035/D1035*1000)</f>
        <v>44.4366512460827</v>
      </c>
      <c r="N1035" s="528">
        <f t="shared" ref="N1035:N1039" si="566">IF(G1035=0,0,G1035/C1035)</f>
        <v>0</v>
      </c>
      <c r="O1035" s="528">
        <f t="shared" ref="O1035:O1039" si="567">IF(F1035=0,0,F1035/E1035)</f>
        <v>0</v>
      </c>
      <c r="P1035" s="529">
        <f t="shared" ref="P1035:P1039" si="568">IF(H1035+I1035=0,0,C1035/(H1035+I1035))</f>
        <v>37.22125</v>
      </c>
      <c r="Q1035" s="24">
        <f t="shared" ref="Q1035:Q1039" si="569">H1035+I1035</f>
        <v>8</v>
      </c>
      <c r="R1035" s="530">
        <f t="shared" ref="R1035:R1039" si="570">IF(Q1035=0,0,Q1035/E1035)</f>
        <v>0.041025641025641</v>
      </c>
    </row>
    <row r="1036" spans="1:18">
      <c r="A1036" s="524"/>
      <c r="B1036" s="540" t="s">
        <v>99</v>
      </c>
      <c r="C1036" s="551">
        <v>0</v>
      </c>
      <c r="D1036" s="551">
        <v>0</v>
      </c>
      <c r="E1036" s="551">
        <v>0</v>
      </c>
      <c r="F1036" s="551">
        <v>0</v>
      </c>
      <c r="G1036" s="551">
        <v>0</v>
      </c>
      <c r="H1036" s="551">
        <v>0</v>
      </c>
      <c r="I1036" s="551">
        <v>0</v>
      </c>
      <c r="J1036" s="551">
        <v>0</v>
      </c>
      <c r="K1036" s="527">
        <f t="shared" si="563"/>
        <v>0</v>
      </c>
      <c r="L1036" s="528">
        <f t="shared" si="564"/>
        <v>0</v>
      </c>
      <c r="M1036" s="528">
        <f t="shared" si="565"/>
        <v>0</v>
      </c>
      <c r="N1036" s="528">
        <f t="shared" si="566"/>
        <v>0</v>
      </c>
      <c r="O1036" s="528">
        <f t="shared" si="567"/>
        <v>0</v>
      </c>
      <c r="P1036" s="529">
        <f t="shared" si="568"/>
        <v>0</v>
      </c>
      <c r="Q1036" s="24">
        <f t="shared" si="569"/>
        <v>0</v>
      </c>
      <c r="R1036" s="530">
        <f t="shared" si="570"/>
        <v>0</v>
      </c>
    </row>
    <row r="1037" spans="1:18">
      <c r="A1037" s="524"/>
      <c r="B1037" s="540" t="s">
        <v>100</v>
      </c>
      <c r="C1037" s="552">
        <v>669.1</v>
      </c>
      <c r="D1037" s="551">
        <v>327594</v>
      </c>
      <c r="E1037" s="551">
        <v>1530</v>
      </c>
      <c r="F1037" s="551">
        <v>0</v>
      </c>
      <c r="G1037" s="551">
        <v>0</v>
      </c>
      <c r="H1037" s="551">
        <v>24</v>
      </c>
      <c r="I1037" s="551">
        <v>22</v>
      </c>
      <c r="J1037" s="551">
        <v>1</v>
      </c>
      <c r="K1037" s="527">
        <f t="shared" si="563"/>
        <v>0.00467041520906976</v>
      </c>
      <c r="L1037" s="528">
        <f t="shared" si="564"/>
        <v>0.437320261437909</v>
      </c>
      <c r="M1037" s="528">
        <f t="shared" si="565"/>
        <v>2.04246720025397</v>
      </c>
      <c r="N1037" s="528">
        <f t="shared" si="566"/>
        <v>0</v>
      </c>
      <c r="O1037" s="528">
        <f t="shared" si="567"/>
        <v>0</v>
      </c>
      <c r="P1037" s="529">
        <f t="shared" si="568"/>
        <v>14.545652173913</v>
      </c>
      <c r="Q1037" s="24">
        <f t="shared" si="569"/>
        <v>46</v>
      </c>
      <c r="R1037" s="530">
        <f t="shared" si="570"/>
        <v>0.0300653594771242</v>
      </c>
    </row>
    <row r="1038" spans="1:18">
      <c r="A1038" s="524"/>
      <c r="B1038" s="540" t="s">
        <v>101</v>
      </c>
      <c r="C1038" s="551">
        <v>0</v>
      </c>
      <c r="D1038" s="551">
        <v>0</v>
      </c>
      <c r="E1038" s="551">
        <v>0</v>
      </c>
      <c r="F1038" s="551">
        <v>0</v>
      </c>
      <c r="G1038" s="551">
        <v>0</v>
      </c>
      <c r="H1038" s="551">
        <v>0</v>
      </c>
      <c r="I1038" s="551">
        <v>0</v>
      </c>
      <c r="J1038" s="551">
        <v>0</v>
      </c>
      <c r="K1038" s="527">
        <f t="shared" si="563"/>
        <v>0</v>
      </c>
      <c r="L1038" s="528">
        <f t="shared" si="564"/>
        <v>0</v>
      </c>
      <c r="M1038" s="528">
        <f t="shared" si="565"/>
        <v>0</v>
      </c>
      <c r="N1038" s="528">
        <f t="shared" si="566"/>
        <v>0</v>
      </c>
      <c r="O1038" s="528">
        <f t="shared" si="567"/>
        <v>0</v>
      </c>
      <c r="P1038" s="529">
        <f t="shared" si="568"/>
        <v>0</v>
      </c>
      <c r="Q1038" s="24">
        <f t="shared" si="569"/>
        <v>0</v>
      </c>
      <c r="R1038" s="530">
        <f t="shared" si="570"/>
        <v>0</v>
      </c>
    </row>
    <row r="1039" spans="1:18">
      <c r="A1039" s="524"/>
      <c r="B1039" s="531" t="s">
        <v>96</v>
      </c>
      <c r="C1039" s="533">
        <f t="shared" ref="C1039:J1039" si="571">SUM(C1035:C1038)</f>
        <v>966.87</v>
      </c>
      <c r="D1039" s="533">
        <f t="shared" si="571"/>
        <v>334295</v>
      </c>
      <c r="E1039" s="533">
        <f t="shared" si="571"/>
        <v>1725</v>
      </c>
      <c r="F1039" s="533">
        <f t="shared" si="571"/>
        <v>0</v>
      </c>
      <c r="G1039" s="533">
        <f t="shared" si="571"/>
        <v>0</v>
      </c>
      <c r="H1039" s="533">
        <f t="shared" si="571"/>
        <v>29</v>
      </c>
      <c r="I1039" s="533">
        <f t="shared" si="571"/>
        <v>25</v>
      </c>
      <c r="J1039" s="533">
        <f t="shared" si="571"/>
        <v>2</v>
      </c>
      <c r="K1039" s="534">
        <f t="shared" si="563"/>
        <v>0.00516011307378214</v>
      </c>
      <c r="L1039" s="535">
        <f t="shared" si="564"/>
        <v>0.560504347826087</v>
      </c>
      <c r="M1039" s="535">
        <f t="shared" si="565"/>
        <v>2.89226581312912</v>
      </c>
      <c r="N1039" s="535">
        <f t="shared" si="566"/>
        <v>0</v>
      </c>
      <c r="O1039" s="535">
        <f t="shared" si="567"/>
        <v>0</v>
      </c>
      <c r="P1039" s="536">
        <f t="shared" si="568"/>
        <v>17.905</v>
      </c>
      <c r="Q1039" s="531">
        <f t="shared" si="569"/>
        <v>54</v>
      </c>
      <c r="R1039" s="537">
        <f t="shared" si="570"/>
        <v>0.031304347826087</v>
      </c>
    </row>
    <row r="1040" spans="1:18">
      <c r="A1040" s="524">
        <v>45658</v>
      </c>
      <c r="B1040" s="540" t="s">
        <v>98</v>
      </c>
      <c r="C1040" s="551">
        <v>300</v>
      </c>
      <c r="D1040" s="553">
        <v>6833</v>
      </c>
      <c r="E1040" s="551">
        <v>210</v>
      </c>
      <c r="F1040" s="551">
        <v>0</v>
      </c>
      <c r="G1040" s="551">
        <v>0</v>
      </c>
      <c r="H1040" s="551">
        <v>7</v>
      </c>
      <c r="I1040" s="551">
        <v>0</v>
      </c>
      <c r="J1040" s="551">
        <v>0</v>
      </c>
      <c r="K1040" s="527">
        <f t="shared" ref="K1040:K1044" si="572">IF(E1040=0,0,E1040/D1040)</f>
        <v>0.0307332064978779</v>
      </c>
      <c r="L1040" s="528">
        <f t="shared" ref="L1040:L1044" si="573">IF(C1040=0,0,C1040/E1040)</f>
        <v>1.42857142857143</v>
      </c>
      <c r="M1040" s="528">
        <f t="shared" ref="M1040:M1044" si="574">IF(D1040=0,0,C1040/D1040*1000)</f>
        <v>43.9045807112542</v>
      </c>
      <c r="N1040" s="528">
        <f t="shared" ref="N1040:N1044" si="575">IF(G1040=0,0,G1040/C1040)</f>
        <v>0</v>
      </c>
      <c r="O1040" s="528">
        <f t="shared" ref="O1040:O1044" si="576">IF(F1040=0,0,F1040/E1040)</f>
        <v>0</v>
      </c>
      <c r="P1040" s="529">
        <f t="shared" ref="P1040:P1044" si="577">IF(H1040+I1040=0,0,C1040/(H1040+I1040))</f>
        <v>42.8571428571429</v>
      </c>
      <c r="Q1040" s="24">
        <f t="shared" ref="Q1040:Q1044" si="578">H1040+I1040</f>
        <v>7</v>
      </c>
      <c r="R1040" s="530">
        <f t="shared" ref="R1040:R1044" si="579">IF(Q1040=0,0,Q1040/E1040)</f>
        <v>0.0333333333333333</v>
      </c>
    </row>
    <row r="1041" spans="1:18">
      <c r="A1041" s="524"/>
      <c r="B1041" s="540" t="s">
        <v>99</v>
      </c>
      <c r="C1041" s="551">
        <v>0</v>
      </c>
      <c r="D1041" s="551">
        <v>0</v>
      </c>
      <c r="E1041" s="551">
        <v>0</v>
      </c>
      <c r="F1041" s="551">
        <v>0</v>
      </c>
      <c r="G1041" s="551">
        <v>0</v>
      </c>
      <c r="H1041" s="551">
        <v>0</v>
      </c>
      <c r="I1041" s="551">
        <v>0</v>
      </c>
      <c r="J1041" s="551">
        <v>0</v>
      </c>
      <c r="K1041" s="527">
        <f t="shared" si="572"/>
        <v>0</v>
      </c>
      <c r="L1041" s="528">
        <f t="shared" si="573"/>
        <v>0</v>
      </c>
      <c r="M1041" s="528">
        <f t="shared" si="574"/>
        <v>0</v>
      </c>
      <c r="N1041" s="528">
        <f t="shared" si="575"/>
        <v>0</v>
      </c>
      <c r="O1041" s="528">
        <f t="shared" si="576"/>
        <v>0</v>
      </c>
      <c r="P1041" s="529">
        <f t="shared" si="577"/>
        <v>0</v>
      </c>
      <c r="Q1041" s="24">
        <f t="shared" si="578"/>
        <v>0</v>
      </c>
      <c r="R1041" s="530">
        <f t="shared" si="579"/>
        <v>0</v>
      </c>
    </row>
    <row r="1042" spans="1:18">
      <c r="A1042" s="524"/>
      <c r="B1042" s="540" t="s">
        <v>100</v>
      </c>
      <c r="C1042" s="552">
        <v>598.08</v>
      </c>
      <c r="D1042" s="551">
        <v>78929</v>
      </c>
      <c r="E1042" s="551">
        <v>958</v>
      </c>
      <c r="F1042" s="551">
        <v>0</v>
      </c>
      <c r="G1042" s="551">
        <v>0</v>
      </c>
      <c r="H1042" s="551">
        <v>29</v>
      </c>
      <c r="I1042" s="551">
        <v>39</v>
      </c>
      <c r="J1042" s="551">
        <v>1</v>
      </c>
      <c r="K1042" s="527">
        <f t="shared" si="572"/>
        <v>0.0121374906561593</v>
      </c>
      <c r="L1042" s="528">
        <f t="shared" si="573"/>
        <v>0.624300626304802</v>
      </c>
      <c r="M1042" s="528">
        <f t="shared" si="574"/>
        <v>7.57744301840895</v>
      </c>
      <c r="N1042" s="528">
        <f t="shared" si="575"/>
        <v>0</v>
      </c>
      <c r="O1042" s="528">
        <f t="shared" si="576"/>
        <v>0</v>
      </c>
      <c r="P1042" s="529">
        <f t="shared" si="577"/>
        <v>8.79529411764706</v>
      </c>
      <c r="Q1042" s="24">
        <f t="shared" si="578"/>
        <v>68</v>
      </c>
      <c r="R1042" s="530">
        <f t="shared" si="579"/>
        <v>0.0709812108559499</v>
      </c>
    </row>
    <row r="1043" spans="1:18">
      <c r="A1043" s="524"/>
      <c r="B1043" s="540" t="s">
        <v>101</v>
      </c>
      <c r="C1043" s="551">
        <v>0</v>
      </c>
      <c r="D1043" s="551">
        <v>0</v>
      </c>
      <c r="E1043" s="551">
        <v>0</v>
      </c>
      <c r="F1043" s="551">
        <v>0</v>
      </c>
      <c r="G1043" s="551">
        <v>0</v>
      </c>
      <c r="H1043" s="551">
        <v>0</v>
      </c>
      <c r="I1043" s="551">
        <v>0</v>
      </c>
      <c r="J1043" s="551">
        <v>0</v>
      </c>
      <c r="K1043" s="527">
        <f t="shared" si="572"/>
        <v>0</v>
      </c>
      <c r="L1043" s="528">
        <f t="shared" si="573"/>
        <v>0</v>
      </c>
      <c r="M1043" s="528">
        <f t="shared" si="574"/>
        <v>0</v>
      </c>
      <c r="N1043" s="528">
        <f t="shared" si="575"/>
        <v>0</v>
      </c>
      <c r="O1043" s="528">
        <f t="shared" si="576"/>
        <v>0</v>
      </c>
      <c r="P1043" s="529">
        <f t="shared" si="577"/>
        <v>0</v>
      </c>
      <c r="Q1043" s="24">
        <f t="shared" si="578"/>
        <v>0</v>
      </c>
      <c r="R1043" s="530">
        <f t="shared" si="579"/>
        <v>0</v>
      </c>
    </row>
    <row r="1044" spans="1:18">
      <c r="A1044" s="524"/>
      <c r="B1044" s="531" t="s">
        <v>96</v>
      </c>
      <c r="C1044" s="533">
        <f t="shared" ref="C1044:J1044" si="580">SUM(C1040:C1043)</f>
        <v>898.08</v>
      </c>
      <c r="D1044" s="533">
        <f t="shared" si="580"/>
        <v>85762</v>
      </c>
      <c r="E1044" s="533">
        <f t="shared" si="580"/>
        <v>1168</v>
      </c>
      <c r="F1044" s="533">
        <f t="shared" si="580"/>
        <v>0</v>
      </c>
      <c r="G1044" s="533">
        <f t="shared" si="580"/>
        <v>0</v>
      </c>
      <c r="H1044" s="533">
        <f t="shared" si="580"/>
        <v>36</v>
      </c>
      <c r="I1044" s="533">
        <f t="shared" si="580"/>
        <v>39</v>
      </c>
      <c r="J1044" s="533">
        <f t="shared" si="580"/>
        <v>1</v>
      </c>
      <c r="K1044" s="534">
        <f t="shared" si="572"/>
        <v>0.0136190853758075</v>
      </c>
      <c r="L1044" s="535">
        <f t="shared" si="573"/>
        <v>0.768904109589041</v>
      </c>
      <c r="M1044" s="535">
        <f t="shared" si="574"/>
        <v>10.4717707143024</v>
      </c>
      <c r="N1044" s="535">
        <f t="shared" si="575"/>
        <v>0</v>
      </c>
      <c r="O1044" s="535">
        <f t="shared" si="576"/>
        <v>0</v>
      </c>
      <c r="P1044" s="536">
        <f t="shared" si="577"/>
        <v>11.9744</v>
      </c>
      <c r="Q1044" s="531">
        <f t="shared" si="578"/>
        <v>75</v>
      </c>
      <c r="R1044" s="537">
        <f t="shared" si="579"/>
        <v>0.0642123287671233</v>
      </c>
    </row>
    <row r="1045" spans="1:18">
      <c r="A1045" s="524">
        <v>45659</v>
      </c>
      <c r="B1045" s="540" t="s">
        <v>98</v>
      </c>
      <c r="C1045" s="551">
        <v>300</v>
      </c>
      <c r="D1045" s="553">
        <v>7047</v>
      </c>
      <c r="E1045" s="551">
        <v>208</v>
      </c>
      <c r="F1045" s="551">
        <v>0</v>
      </c>
      <c r="G1045" s="551">
        <v>0</v>
      </c>
      <c r="H1045" s="551">
        <v>9</v>
      </c>
      <c r="I1045" s="551">
        <v>1</v>
      </c>
      <c r="J1045" s="551">
        <v>0</v>
      </c>
      <c r="K1045" s="527">
        <f t="shared" ref="K1045:K1049" si="581">IF(E1045=0,0,E1045/D1045)</f>
        <v>0.0295161061444586</v>
      </c>
      <c r="L1045" s="528">
        <f t="shared" ref="L1045:L1049" si="582">IF(C1045=0,0,C1045/E1045)</f>
        <v>1.44230769230769</v>
      </c>
      <c r="M1045" s="528">
        <f t="shared" ref="M1045:M1049" si="583">IF(D1045=0,0,C1045/D1045*1000)</f>
        <v>42.571306939123</v>
      </c>
      <c r="N1045" s="528">
        <f t="shared" ref="N1045:N1049" si="584">IF(G1045=0,0,G1045/C1045)</f>
        <v>0</v>
      </c>
      <c r="O1045" s="528">
        <f t="shared" ref="O1045:O1049" si="585">IF(F1045=0,0,F1045/E1045)</f>
        <v>0</v>
      </c>
      <c r="P1045" s="529">
        <f t="shared" ref="P1045:P1049" si="586">IF(H1045+I1045=0,0,C1045/(H1045+I1045))</f>
        <v>30</v>
      </c>
      <c r="Q1045" s="24">
        <f t="shared" ref="Q1045:Q1049" si="587">H1045+I1045</f>
        <v>10</v>
      </c>
      <c r="R1045" s="530">
        <f t="shared" ref="R1045:R1049" si="588">IF(Q1045=0,0,Q1045/E1045)</f>
        <v>0.0480769230769231</v>
      </c>
    </row>
    <row r="1046" spans="1:18">
      <c r="A1046" s="524"/>
      <c r="B1046" s="540" t="s">
        <v>99</v>
      </c>
      <c r="C1046" s="551">
        <v>0</v>
      </c>
      <c r="D1046" s="551">
        <v>0</v>
      </c>
      <c r="E1046" s="551">
        <v>0</v>
      </c>
      <c r="F1046" s="551">
        <v>0</v>
      </c>
      <c r="G1046" s="551">
        <v>0</v>
      </c>
      <c r="H1046" s="551">
        <v>0</v>
      </c>
      <c r="I1046" s="551">
        <v>0</v>
      </c>
      <c r="J1046" s="551">
        <v>0</v>
      </c>
      <c r="K1046" s="527">
        <f t="shared" si="581"/>
        <v>0</v>
      </c>
      <c r="L1046" s="528">
        <f t="shared" si="582"/>
        <v>0</v>
      </c>
      <c r="M1046" s="528">
        <f t="shared" si="583"/>
        <v>0</v>
      </c>
      <c r="N1046" s="528">
        <f t="shared" si="584"/>
        <v>0</v>
      </c>
      <c r="O1046" s="528">
        <f t="shared" si="585"/>
        <v>0</v>
      </c>
      <c r="P1046" s="529">
        <f t="shared" si="586"/>
        <v>0</v>
      </c>
      <c r="Q1046" s="24">
        <f t="shared" si="587"/>
        <v>0</v>
      </c>
      <c r="R1046" s="530">
        <f t="shared" si="588"/>
        <v>0</v>
      </c>
    </row>
    <row r="1047" spans="1:18">
      <c r="A1047" s="524"/>
      <c r="B1047" s="540" t="s">
        <v>100</v>
      </c>
      <c r="C1047" s="552">
        <v>487.89</v>
      </c>
      <c r="D1047" s="551">
        <v>96627</v>
      </c>
      <c r="E1047" s="551">
        <v>714</v>
      </c>
      <c r="F1047" s="551">
        <v>0</v>
      </c>
      <c r="G1047" s="551">
        <v>0</v>
      </c>
      <c r="H1047" s="551">
        <v>29</v>
      </c>
      <c r="I1047" s="551">
        <v>17</v>
      </c>
      <c r="J1047" s="551">
        <v>0</v>
      </c>
      <c r="K1047" s="527">
        <f t="shared" si="581"/>
        <v>0.00738923903256854</v>
      </c>
      <c r="L1047" s="528">
        <f t="shared" si="582"/>
        <v>0.683319327731092</v>
      </c>
      <c r="M1047" s="528">
        <f t="shared" si="583"/>
        <v>5.04920984817908</v>
      </c>
      <c r="N1047" s="528">
        <f t="shared" si="584"/>
        <v>0</v>
      </c>
      <c r="O1047" s="528">
        <f t="shared" si="585"/>
        <v>0</v>
      </c>
      <c r="P1047" s="529">
        <f t="shared" si="586"/>
        <v>10.6063043478261</v>
      </c>
      <c r="Q1047" s="24">
        <f t="shared" si="587"/>
        <v>46</v>
      </c>
      <c r="R1047" s="530">
        <f t="shared" si="588"/>
        <v>0.0644257703081232</v>
      </c>
    </row>
    <row r="1048" spans="1:18">
      <c r="A1048" s="524"/>
      <c r="B1048" s="540" t="s">
        <v>101</v>
      </c>
      <c r="C1048" s="551">
        <v>0</v>
      </c>
      <c r="D1048" s="551">
        <v>0</v>
      </c>
      <c r="E1048" s="551">
        <v>0</v>
      </c>
      <c r="F1048" s="551">
        <v>0</v>
      </c>
      <c r="G1048" s="551">
        <v>0</v>
      </c>
      <c r="H1048" s="551">
        <v>0</v>
      </c>
      <c r="I1048" s="551">
        <v>0</v>
      </c>
      <c r="J1048" s="551">
        <v>0</v>
      </c>
      <c r="K1048" s="527">
        <f t="shared" si="581"/>
        <v>0</v>
      </c>
      <c r="L1048" s="528">
        <f t="shared" si="582"/>
        <v>0</v>
      </c>
      <c r="M1048" s="528">
        <f t="shared" si="583"/>
        <v>0</v>
      </c>
      <c r="N1048" s="528">
        <f t="shared" si="584"/>
        <v>0</v>
      </c>
      <c r="O1048" s="528">
        <f t="shared" si="585"/>
        <v>0</v>
      </c>
      <c r="P1048" s="529">
        <f t="shared" si="586"/>
        <v>0</v>
      </c>
      <c r="Q1048" s="24">
        <f t="shared" si="587"/>
        <v>0</v>
      </c>
      <c r="R1048" s="530">
        <f t="shared" si="588"/>
        <v>0</v>
      </c>
    </row>
    <row r="1049" spans="1:18">
      <c r="A1049" s="524"/>
      <c r="B1049" s="531" t="s">
        <v>96</v>
      </c>
      <c r="C1049" s="533">
        <f t="shared" ref="C1049:J1049" si="589">SUM(C1045:C1048)</f>
        <v>787.89</v>
      </c>
      <c r="D1049" s="533">
        <f t="shared" si="589"/>
        <v>103674</v>
      </c>
      <c r="E1049" s="533">
        <f t="shared" si="589"/>
        <v>922</v>
      </c>
      <c r="F1049" s="533">
        <f t="shared" si="589"/>
        <v>0</v>
      </c>
      <c r="G1049" s="533">
        <f t="shared" si="589"/>
        <v>0</v>
      </c>
      <c r="H1049" s="533">
        <f t="shared" si="589"/>
        <v>38</v>
      </c>
      <c r="I1049" s="533">
        <f t="shared" si="589"/>
        <v>18</v>
      </c>
      <c r="J1049" s="533">
        <f t="shared" si="589"/>
        <v>0</v>
      </c>
      <c r="K1049" s="534">
        <f t="shared" si="581"/>
        <v>0.0088932615699211</v>
      </c>
      <c r="L1049" s="535">
        <f t="shared" si="582"/>
        <v>0.854544468546638</v>
      </c>
      <c r="M1049" s="535">
        <f t="shared" si="583"/>
        <v>7.59968748191446</v>
      </c>
      <c r="N1049" s="535">
        <f t="shared" si="584"/>
        <v>0</v>
      </c>
      <c r="O1049" s="535">
        <f t="shared" si="585"/>
        <v>0</v>
      </c>
      <c r="P1049" s="536">
        <f t="shared" si="586"/>
        <v>14.0694642857143</v>
      </c>
      <c r="Q1049" s="531">
        <f t="shared" si="587"/>
        <v>56</v>
      </c>
      <c r="R1049" s="537">
        <f t="shared" si="588"/>
        <v>0.0607375271149675</v>
      </c>
    </row>
    <row r="1050" spans="1:18">
      <c r="A1050" s="524">
        <v>45660</v>
      </c>
      <c r="B1050" s="540" t="s">
        <v>98</v>
      </c>
      <c r="C1050" s="551">
        <v>299.81</v>
      </c>
      <c r="D1050" s="553">
        <v>4112</v>
      </c>
      <c r="E1050" s="551">
        <v>158</v>
      </c>
      <c r="F1050" s="551">
        <v>0</v>
      </c>
      <c r="G1050" s="551">
        <v>0</v>
      </c>
      <c r="H1050" s="551">
        <v>7</v>
      </c>
      <c r="I1050" s="551">
        <v>1</v>
      </c>
      <c r="J1050" s="551">
        <v>1</v>
      </c>
      <c r="K1050" s="527">
        <f t="shared" ref="K1050:K1054" si="590">IF(E1050=0,0,E1050/D1050)</f>
        <v>0.0384241245136187</v>
      </c>
      <c r="L1050" s="528">
        <f t="shared" ref="L1050:L1054" si="591">IF(C1050=0,0,C1050/E1050)</f>
        <v>1.89753164556962</v>
      </c>
      <c r="M1050" s="528">
        <f t="shared" ref="M1050:M1054" si="592">IF(D1050=0,0,C1050/D1050*1000)</f>
        <v>72.9109922178988</v>
      </c>
      <c r="N1050" s="528">
        <f t="shared" ref="N1050:N1054" si="593">IF(G1050=0,0,G1050/C1050)</f>
        <v>0</v>
      </c>
      <c r="O1050" s="528">
        <f t="shared" ref="O1050:O1054" si="594">IF(F1050=0,0,F1050/E1050)</f>
        <v>0</v>
      </c>
      <c r="P1050" s="529">
        <f t="shared" ref="P1050:P1054" si="595">IF(H1050+I1050=0,0,C1050/(H1050+I1050))</f>
        <v>37.47625</v>
      </c>
      <c r="Q1050" s="24">
        <f t="shared" ref="Q1050:Q1054" si="596">H1050+I1050</f>
        <v>8</v>
      </c>
      <c r="R1050" s="530">
        <f t="shared" ref="R1050:R1054" si="597">IF(Q1050=0,0,Q1050/E1050)</f>
        <v>0.0506329113924051</v>
      </c>
    </row>
    <row r="1051" spans="1:18">
      <c r="A1051" s="524"/>
      <c r="B1051" s="540" t="s">
        <v>99</v>
      </c>
      <c r="C1051" s="551">
        <v>0</v>
      </c>
      <c r="D1051" s="551">
        <v>0</v>
      </c>
      <c r="E1051" s="551">
        <v>0</v>
      </c>
      <c r="F1051" s="551">
        <v>0</v>
      </c>
      <c r="G1051" s="551">
        <v>0</v>
      </c>
      <c r="H1051" s="551">
        <v>0</v>
      </c>
      <c r="I1051" s="551">
        <v>0</v>
      </c>
      <c r="J1051" s="551">
        <v>0</v>
      </c>
      <c r="K1051" s="527">
        <f t="shared" si="590"/>
        <v>0</v>
      </c>
      <c r="L1051" s="528">
        <f t="shared" si="591"/>
        <v>0</v>
      </c>
      <c r="M1051" s="528">
        <f t="shared" si="592"/>
        <v>0</v>
      </c>
      <c r="N1051" s="528">
        <f t="shared" si="593"/>
        <v>0</v>
      </c>
      <c r="O1051" s="528">
        <f t="shared" si="594"/>
        <v>0</v>
      </c>
      <c r="P1051" s="529">
        <f t="shared" si="595"/>
        <v>0</v>
      </c>
      <c r="Q1051" s="24">
        <f t="shared" si="596"/>
        <v>0</v>
      </c>
      <c r="R1051" s="530">
        <f t="shared" si="597"/>
        <v>0</v>
      </c>
    </row>
    <row r="1052" spans="1:18">
      <c r="A1052" s="524"/>
      <c r="B1052" s="540" t="s">
        <v>100</v>
      </c>
      <c r="C1052" s="552">
        <v>406.78</v>
      </c>
      <c r="D1052" s="551">
        <v>26998</v>
      </c>
      <c r="E1052" s="551">
        <v>459</v>
      </c>
      <c r="F1052" s="551">
        <v>0</v>
      </c>
      <c r="G1052" s="551">
        <v>0</v>
      </c>
      <c r="H1052" s="551">
        <v>15</v>
      </c>
      <c r="I1052" s="551">
        <v>27</v>
      </c>
      <c r="J1052" s="551">
        <v>1</v>
      </c>
      <c r="K1052" s="527">
        <f t="shared" si="590"/>
        <v>0.0170012593525446</v>
      </c>
      <c r="L1052" s="528">
        <f t="shared" si="591"/>
        <v>0.886230936819172</v>
      </c>
      <c r="M1052" s="528">
        <f t="shared" si="592"/>
        <v>15.0670420031113</v>
      </c>
      <c r="N1052" s="528">
        <f t="shared" si="593"/>
        <v>0</v>
      </c>
      <c r="O1052" s="528">
        <f t="shared" si="594"/>
        <v>0</v>
      </c>
      <c r="P1052" s="529">
        <f t="shared" si="595"/>
        <v>9.68523809523809</v>
      </c>
      <c r="Q1052" s="24">
        <f t="shared" si="596"/>
        <v>42</v>
      </c>
      <c r="R1052" s="530">
        <f t="shared" si="597"/>
        <v>0.0915032679738562</v>
      </c>
    </row>
    <row r="1053" spans="1:18">
      <c r="A1053" s="524"/>
      <c r="B1053" s="540" t="s">
        <v>101</v>
      </c>
      <c r="C1053" s="551">
        <v>0</v>
      </c>
      <c r="D1053" s="551">
        <v>0</v>
      </c>
      <c r="E1053" s="551">
        <v>0</v>
      </c>
      <c r="F1053" s="551">
        <v>0</v>
      </c>
      <c r="G1053" s="551">
        <v>0</v>
      </c>
      <c r="H1053" s="551">
        <v>0</v>
      </c>
      <c r="I1053" s="551">
        <v>0</v>
      </c>
      <c r="J1053" s="551">
        <v>0</v>
      </c>
      <c r="K1053" s="527">
        <f t="shared" si="590"/>
        <v>0</v>
      </c>
      <c r="L1053" s="528">
        <f t="shared" si="591"/>
        <v>0</v>
      </c>
      <c r="M1053" s="528">
        <f t="shared" si="592"/>
        <v>0</v>
      </c>
      <c r="N1053" s="528">
        <f t="shared" si="593"/>
        <v>0</v>
      </c>
      <c r="O1053" s="528">
        <f t="shared" si="594"/>
        <v>0</v>
      </c>
      <c r="P1053" s="529">
        <f t="shared" si="595"/>
        <v>0</v>
      </c>
      <c r="Q1053" s="24">
        <f t="shared" si="596"/>
        <v>0</v>
      </c>
      <c r="R1053" s="530">
        <f t="shared" si="597"/>
        <v>0</v>
      </c>
    </row>
    <row r="1054" spans="1:18">
      <c r="A1054" s="524"/>
      <c r="B1054" s="531" t="s">
        <v>96</v>
      </c>
      <c r="C1054" s="533">
        <f t="shared" ref="C1054:J1054" si="598">SUM(C1050:C1053)</f>
        <v>706.59</v>
      </c>
      <c r="D1054" s="533">
        <f t="shared" si="598"/>
        <v>31110</v>
      </c>
      <c r="E1054" s="533">
        <f t="shared" si="598"/>
        <v>617</v>
      </c>
      <c r="F1054" s="533">
        <f t="shared" si="598"/>
        <v>0</v>
      </c>
      <c r="G1054" s="533">
        <f t="shared" si="598"/>
        <v>0</v>
      </c>
      <c r="H1054" s="533">
        <f t="shared" si="598"/>
        <v>22</v>
      </c>
      <c r="I1054" s="533">
        <f t="shared" si="598"/>
        <v>28</v>
      </c>
      <c r="J1054" s="533">
        <f t="shared" si="598"/>
        <v>2</v>
      </c>
      <c r="K1054" s="534">
        <f t="shared" si="590"/>
        <v>0.0198328511732562</v>
      </c>
      <c r="L1054" s="535">
        <f t="shared" si="591"/>
        <v>1.14520259319287</v>
      </c>
      <c r="M1054" s="535">
        <f t="shared" si="592"/>
        <v>22.7126325940212</v>
      </c>
      <c r="N1054" s="535">
        <f t="shared" si="593"/>
        <v>0</v>
      </c>
      <c r="O1054" s="535">
        <f t="shared" si="594"/>
        <v>0</v>
      </c>
      <c r="P1054" s="536">
        <f t="shared" si="595"/>
        <v>14.1318</v>
      </c>
      <c r="Q1054" s="531">
        <f t="shared" si="596"/>
        <v>50</v>
      </c>
      <c r="R1054" s="537">
        <f t="shared" si="597"/>
        <v>0.0810372771474878</v>
      </c>
    </row>
    <row r="1055" spans="1:18">
      <c r="A1055" s="524">
        <v>45661</v>
      </c>
      <c r="B1055" s="540" t="s">
        <v>98</v>
      </c>
      <c r="C1055" s="551">
        <v>300</v>
      </c>
      <c r="D1055" s="553">
        <v>4271</v>
      </c>
      <c r="E1055" s="551">
        <v>147</v>
      </c>
      <c r="F1055" s="551">
        <v>0</v>
      </c>
      <c r="G1055" s="551">
        <v>0</v>
      </c>
      <c r="H1055" s="551">
        <v>10</v>
      </c>
      <c r="I1055" s="551">
        <v>2</v>
      </c>
      <c r="J1055" s="551">
        <v>2</v>
      </c>
      <c r="K1055" s="527">
        <f t="shared" ref="K1055:K1059" si="599">IF(E1055=0,0,E1055/D1055)</f>
        <v>0.0344181690470616</v>
      </c>
      <c r="L1055" s="528">
        <f t="shared" ref="L1055:L1059" si="600">IF(C1055=0,0,C1055/E1055)</f>
        <v>2.04081632653061</v>
      </c>
      <c r="M1055" s="528">
        <f t="shared" ref="M1055:M1059" si="601">IF(D1055=0,0,C1055/D1055*1000)</f>
        <v>70.2411613205338</v>
      </c>
      <c r="N1055" s="528">
        <f t="shared" ref="N1055:N1059" si="602">IF(G1055=0,0,G1055/C1055)</f>
        <v>0</v>
      </c>
      <c r="O1055" s="528">
        <f t="shared" ref="O1055:O1059" si="603">IF(F1055=0,0,F1055/E1055)</f>
        <v>0</v>
      </c>
      <c r="P1055" s="529">
        <f t="shared" ref="P1055:P1059" si="604">IF(H1055+I1055=0,0,C1055/(H1055+I1055))</f>
        <v>25</v>
      </c>
      <c r="Q1055" s="24">
        <f t="shared" ref="Q1055:Q1059" si="605">H1055+I1055</f>
        <v>12</v>
      </c>
      <c r="R1055" s="530">
        <f t="shared" ref="R1055:R1059" si="606">IF(Q1055=0,0,Q1055/E1055)</f>
        <v>0.0816326530612245</v>
      </c>
    </row>
    <row r="1056" spans="1:18">
      <c r="A1056" s="524"/>
      <c r="B1056" s="540" t="s">
        <v>99</v>
      </c>
      <c r="C1056" s="551">
        <v>0</v>
      </c>
      <c r="D1056" s="551">
        <v>0</v>
      </c>
      <c r="E1056" s="551">
        <v>0</v>
      </c>
      <c r="F1056" s="551">
        <v>0</v>
      </c>
      <c r="G1056" s="551">
        <v>0</v>
      </c>
      <c r="H1056" s="551">
        <v>0</v>
      </c>
      <c r="I1056" s="551">
        <v>0</v>
      </c>
      <c r="J1056" s="551">
        <v>0</v>
      </c>
      <c r="K1056" s="527">
        <f t="shared" si="599"/>
        <v>0</v>
      </c>
      <c r="L1056" s="528">
        <f t="shared" si="600"/>
        <v>0</v>
      </c>
      <c r="M1056" s="528">
        <f t="shared" si="601"/>
        <v>0</v>
      </c>
      <c r="N1056" s="528">
        <f t="shared" si="602"/>
        <v>0</v>
      </c>
      <c r="O1056" s="528">
        <f t="shared" si="603"/>
        <v>0</v>
      </c>
      <c r="P1056" s="529">
        <f t="shared" si="604"/>
        <v>0</v>
      </c>
      <c r="Q1056" s="24">
        <f t="shared" si="605"/>
        <v>0</v>
      </c>
      <c r="R1056" s="530">
        <f t="shared" si="606"/>
        <v>0</v>
      </c>
    </row>
    <row r="1057" spans="1:18">
      <c r="A1057" s="524"/>
      <c r="B1057" s="540" t="s">
        <v>100</v>
      </c>
      <c r="C1057" s="552">
        <v>410.26</v>
      </c>
      <c r="D1057" s="551">
        <v>68012</v>
      </c>
      <c r="E1057" s="551">
        <v>673</v>
      </c>
      <c r="F1057" s="551">
        <v>0</v>
      </c>
      <c r="G1057" s="551">
        <v>0</v>
      </c>
      <c r="H1057" s="551">
        <v>13</v>
      </c>
      <c r="I1057" s="551">
        <v>39</v>
      </c>
      <c r="J1057" s="551">
        <v>3</v>
      </c>
      <c r="K1057" s="527">
        <f t="shared" si="599"/>
        <v>0.00989531259189555</v>
      </c>
      <c r="L1057" s="528">
        <f t="shared" si="600"/>
        <v>0.609598811292719</v>
      </c>
      <c r="M1057" s="528">
        <f t="shared" si="601"/>
        <v>6.0321707933894</v>
      </c>
      <c r="N1057" s="528">
        <f t="shared" si="602"/>
        <v>0</v>
      </c>
      <c r="O1057" s="528">
        <f t="shared" si="603"/>
        <v>0</v>
      </c>
      <c r="P1057" s="529">
        <f t="shared" si="604"/>
        <v>7.88961538461538</v>
      </c>
      <c r="Q1057" s="24">
        <f t="shared" si="605"/>
        <v>52</v>
      </c>
      <c r="R1057" s="530">
        <f t="shared" si="606"/>
        <v>0.0772659732540862</v>
      </c>
    </row>
    <row r="1058" spans="1:18">
      <c r="A1058" s="524"/>
      <c r="B1058" s="540" t="s">
        <v>101</v>
      </c>
      <c r="C1058" s="551">
        <v>0</v>
      </c>
      <c r="D1058" s="551">
        <v>0</v>
      </c>
      <c r="E1058" s="551">
        <v>0</v>
      </c>
      <c r="F1058" s="551">
        <v>0</v>
      </c>
      <c r="G1058" s="551">
        <v>0</v>
      </c>
      <c r="H1058" s="551">
        <v>0</v>
      </c>
      <c r="I1058" s="551">
        <v>0</v>
      </c>
      <c r="J1058" s="551">
        <v>0</v>
      </c>
      <c r="K1058" s="527">
        <f t="shared" si="599"/>
        <v>0</v>
      </c>
      <c r="L1058" s="528">
        <f t="shared" si="600"/>
        <v>0</v>
      </c>
      <c r="M1058" s="528">
        <f t="shared" si="601"/>
        <v>0</v>
      </c>
      <c r="N1058" s="528">
        <f t="shared" si="602"/>
        <v>0</v>
      </c>
      <c r="O1058" s="528">
        <f t="shared" si="603"/>
        <v>0</v>
      </c>
      <c r="P1058" s="529">
        <f t="shared" si="604"/>
        <v>0</v>
      </c>
      <c r="Q1058" s="24">
        <f t="shared" si="605"/>
        <v>0</v>
      </c>
      <c r="R1058" s="530">
        <f t="shared" si="606"/>
        <v>0</v>
      </c>
    </row>
    <row r="1059" spans="1:18">
      <c r="A1059" s="524"/>
      <c r="B1059" s="531" t="s">
        <v>96</v>
      </c>
      <c r="C1059" s="533">
        <f t="shared" ref="C1059:J1059" si="607">SUM(C1055:C1058)</f>
        <v>710.26</v>
      </c>
      <c r="D1059" s="533">
        <f t="shared" si="607"/>
        <v>72283</v>
      </c>
      <c r="E1059" s="533">
        <f t="shared" si="607"/>
        <v>820</v>
      </c>
      <c r="F1059" s="533">
        <f t="shared" si="607"/>
        <v>0</v>
      </c>
      <c r="G1059" s="533">
        <f t="shared" si="607"/>
        <v>0</v>
      </c>
      <c r="H1059" s="533">
        <f t="shared" si="607"/>
        <v>23</v>
      </c>
      <c r="I1059" s="533">
        <f t="shared" si="607"/>
        <v>41</v>
      </c>
      <c r="J1059" s="533">
        <f t="shared" si="607"/>
        <v>5</v>
      </c>
      <c r="K1059" s="534">
        <f t="shared" si="599"/>
        <v>0.0113442994895065</v>
      </c>
      <c r="L1059" s="535">
        <f t="shared" si="600"/>
        <v>0.866170731707317</v>
      </c>
      <c r="M1059" s="535">
        <f t="shared" si="601"/>
        <v>9.82610018953281</v>
      </c>
      <c r="N1059" s="535">
        <f t="shared" si="602"/>
        <v>0</v>
      </c>
      <c r="O1059" s="535">
        <f t="shared" si="603"/>
        <v>0</v>
      </c>
      <c r="P1059" s="536">
        <f t="shared" si="604"/>
        <v>11.0978125</v>
      </c>
      <c r="Q1059" s="531">
        <f t="shared" si="605"/>
        <v>64</v>
      </c>
      <c r="R1059" s="537">
        <f t="shared" si="606"/>
        <v>0.0780487804878049</v>
      </c>
    </row>
    <row r="1060" spans="1:18">
      <c r="A1060" s="524">
        <v>45662</v>
      </c>
      <c r="B1060" s="540" t="s">
        <v>98</v>
      </c>
      <c r="C1060" s="551">
        <v>300</v>
      </c>
      <c r="D1060" s="553">
        <v>3844</v>
      </c>
      <c r="E1060" s="551">
        <v>138</v>
      </c>
      <c r="F1060" s="551">
        <v>0</v>
      </c>
      <c r="G1060" s="551">
        <v>0</v>
      </c>
      <c r="H1060" s="551">
        <v>8</v>
      </c>
      <c r="I1060" s="551">
        <v>1</v>
      </c>
      <c r="J1060" s="551">
        <v>0</v>
      </c>
      <c r="K1060" s="527">
        <f t="shared" ref="K1060:K1064" si="608">IF(E1060=0,0,E1060/D1060)</f>
        <v>0.0359001040582726</v>
      </c>
      <c r="L1060" s="528">
        <f t="shared" ref="L1060:L1064" si="609">IF(C1060=0,0,C1060/E1060)</f>
        <v>2.17391304347826</v>
      </c>
      <c r="M1060" s="528">
        <f t="shared" ref="M1060:M1064" si="610">IF(D1060=0,0,C1060/D1060*1000)</f>
        <v>78.0437044745057</v>
      </c>
      <c r="N1060" s="528">
        <f t="shared" ref="N1060:N1064" si="611">IF(G1060=0,0,G1060/C1060)</f>
        <v>0</v>
      </c>
      <c r="O1060" s="528">
        <f t="shared" ref="O1060:O1064" si="612">IF(F1060=0,0,F1060/E1060)</f>
        <v>0</v>
      </c>
      <c r="P1060" s="529">
        <f t="shared" ref="P1060:P1064" si="613">IF(H1060+I1060=0,0,C1060/(H1060+I1060))</f>
        <v>33.3333333333333</v>
      </c>
      <c r="Q1060" s="24">
        <f t="shared" ref="Q1060:Q1064" si="614">H1060+I1060</f>
        <v>9</v>
      </c>
      <c r="R1060" s="530">
        <f t="shared" ref="R1060:R1064" si="615">IF(Q1060=0,0,Q1060/E1060)</f>
        <v>0.0652173913043478</v>
      </c>
    </row>
    <row r="1061" spans="1:18">
      <c r="A1061" s="524"/>
      <c r="B1061" s="540" t="s">
        <v>99</v>
      </c>
      <c r="C1061" s="551">
        <v>0</v>
      </c>
      <c r="D1061" s="551">
        <v>0</v>
      </c>
      <c r="E1061" s="551">
        <v>0</v>
      </c>
      <c r="F1061" s="551">
        <v>0</v>
      </c>
      <c r="G1061" s="551">
        <v>0</v>
      </c>
      <c r="H1061" s="551">
        <v>0</v>
      </c>
      <c r="I1061" s="551">
        <v>0</v>
      </c>
      <c r="J1061" s="551">
        <v>0</v>
      </c>
      <c r="K1061" s="527">
        <f t="shared" si="608"/>
        <v>0</v>
      </c>
      <c r="L1061" s="528">
        <f t="shared" si="609"/>
        <v>0</v>
      </c>
      <c r="M1061" s="528">
        <f t="shared" si="610"/>
        <v>0</v>
      </c>
      <c r="N1061" s="528">
        <f t="shared" si="611"/>
        <v>0</v>
      </c>
      <c r="O1061" s="528">
        <f t="shared" si="612"/>
        <v>0</v>
      </c>
      <c r="P1061" s="529">
        <f t="shared" si="613"/>
        <v>0</v>
      </c>
      <c r="Q1061" s="24">
        <f t="shared" si="614"/>
        <v>0</v>
      </c>
      <c r="R1061" s="530">
        <f t="shared" si="615"/>
        <v>0</v>
      </c>
    </row>
    <row r="1062" spans="1:18">
      <c r="A1062" s="524"/>
      <c r="B1062" s="540" t="s">
        <v>100</v>
      </c>
      <c r="C1062" s="552">
        <v>432.9</v>
      </c>
      <c r="D1062" s="551">
        <v>27698</v>
      </c>
      <c r="E1062" s="551">
        <v>573</v>
      </c>
      <c r="F1062" s="551">
        <v>0</v>
      </c>
      <c r="G1062" s="551">
        <v>0</v>
      </c>
      <c r="H1062" s="551">
        <v>16</v>
      </c>
      <c r="I1062" s="551">
        <v>30</v>
      </c>
      <c r="J1062" s="551">
        <v>3</v>
      </c>
      <c r="K1062" s="527">
        <f t="shared" si="608"/>
        <v>0.0206874142537367</v>
      </c>
      <c r="L1062" s="528">
        <f t="shared" si="609"/>
        <v>0.755497382198953</v>
      </c>
      <c r="M1062" s="528">
        <f t="shared" si="610"/>
        <v>15.6292873131634</v>
      </c>
      <c r="N1062" s="528">
        <f t="shared" si="611"/>
        <v>0</v>
      </c>
      <c r="O1062" s="528">
        <f t="shared" si="612"/>
        <v>0</v>
      </c>
      <c r="P1062" s="529">
        <f t="shared" si="613"/>
        <v>9.41086956521739</v>
      </c>
      <c r="Q1062" s="24">
        <f t="shared" si="614"/>
        <v>46</v>
      </c>
      <c r="R1062" s="530">
        <f t="shared" si="615"/>
        <v>0.0802792321116928</v>
      </c>
    </row>
    <row r="1063" spans="1:18">
      <c r="A1063" s="524"/>
      <c r="B1063" s="540" t="s">
        <v>101</v>
      </c>
      <c r="C1063" s="551">
        <v>0</v>
      </c>
      <c r="D1063" s="551">
        <v>0</v>
      </c>
      <c r="E1063" s="551">
        <v>0</v>
      </c>
      <c r="F1063" s="551">
        <v>0</v>
      </c>
      <c r="G1063" s="551">
        <v>0</v>
      </c>
      <c r="H1063" s="551">
        <v>0</v>
      </c>
      <c r="I1063" s="551">
        <v>0</v>
      </c>
      <c r="J1063" s="551">
        <v>0</v>
      </c>
      <c r="K1063" s="527">
        <f t="shared" si="608"/>
        <v>0</v>
      </c>
      <c r="L1063" s="528">
        <f t="shared" si="609"/>
        <v>0</v>
      </c>
      <c r="M1063" s="528">
        <f t="shared" si="610"/>
        <v>0</v>
      </c>
      <c r="N1063" s="528">
        <f t="shared" si="611"/>
        <v>0</v>
      </c>
      <c r="O1063" s="528">
        <f t="shared" si="612"/>
        <v>0</v>
      </c>
      <c r="P1063" s="529">
        <f t="shared" si="613"/>
        <v>0</v>
      </c>
      <c r="Q1063" s="24">
        <f t="shared" si="614"/>
        <v>0</v>
      </c>
      <c r="R1063" s="530">
        <f t="shared" si="615"/>
        <v>0</v>
      </c>
    </row>
    <row r="1064" spans="1:18">
      <c r="A1064" s="524"/>
      <c r="B1064" s="531" t="s">
        <v>96</v>
      </c>
      <c r="C1064" s="533">
        <f t="shared" ref="C1064:J1064" si="616">SUM(C1060:C1063)</f>
        <v>732.9</v>
      </c>
      <c r="D1064" s="533">
        <f t="shared" si="616"/>
        <v>31542</v>
      </c>
      <c r="E1064" s="533">
        <f t="shared" si="616"/>
        <v>711</v>
      </c>
      <c r="F1064" s="533">
        <f t="shared" si="616"/>
        <v>0</v>
      </c>
      <c r="G1064" s="533">
        <f t="shared" si="616"/>
        <v>0</v>
      </c>
      <c r="H1064" s="533">
        <f t="shared" si="616"/>
        <v>24</v>
      </c>
      <c r="I1064" s="533">
        <f t="shared" si="616"/>
        <v>31</v>
      </c>
      <c r="J1064" s="533">
        <f t="shared" si="616"/>
        <v>3</v>
      </c>
      <c r="K1064" s="534">
        <f t="shared" si="608"/>
        <v>0.0225413734068861</v>
      </c>
      <c r="L1064" s="535">
        <f t="shared" si="609"/>
        <v>1.03080168776371</v>
      </c>
      <c r="M1064" s="535">
        <f t="shared" si="610"/>
        <v>23.2356857523302</v>
      </c>
      <c r="N1064" s="535">
        <f t="shared" si="611"/>
        <v>0</v>
      </c>
      <c r="O1064" s="535">
        <f t="shared" si="612"/>
        <v>0</v>
      </c>
      <c r="P1064" s="536">
        <f t="shared" si="613"/>
        <v>13.3254545454545</v>
      </c>
      <c r="Q1064" s="531">
        <f t="shared" si="614"/>
        <v>55</v>
      </c>
      <c r="R1064" s="537">
        <f t="shared" si="615"/>
        <v>0.0773558368495077</v>
      </c>
    </row>
    <row r="1065" spans="1:18">
      <c r="A1065" s="524">
        <v>45663</v>
      </c>
      <c r="B1065" s="540" t="s">
        <v>98</v>
      </c>
      <c r="C1065" s="551">
        <v>400</v>
      </c>
      <c r="D1065" s="553">
        <v>5183</v>
      </c>
      <c r="E1065" s="551">
        <v>209</v>
      </c>
      <c r="F1065" s="551">
        <v>2</v>
      </c>
      <c r="G1065" s="551">
        <v>26266</v>
      </c>
      <c r="H1065" s="551">
        <v>18</v>
      </c>
      <c r="I1065" s="551">
        <v>3</v>
      </c>
      <c r="J1065" s="551">
        <v>2</v>
      </c>
      <c r="K1065" s="527">
        <f t="shared" ref="K1065:K1109" si="617">IF(E1065=0,0,E1065/D1065)</f>
        <v>0.0403241366004245</v>
      </c>
      <c r="L1065" s="528">
        <f t="shared" ref="L1065:L1109" si="618">IF(C1065=0,0,C1065/E1065)</f>
        <v>1.91387559808612</v>
      </c>
      <c r="M1065" s="528">
        <f t="shared" ref="M1065:M1109" si="619">IF(D1065=0,0,C1065/D1065*1000)</f>
        <v>77.1753810534439</v>
      </c>
      <c r="N1065" s="528">
        <f t="shared" ref="N1065:N1109" si="620">IF(G1065=0,0,G1065/C1065)</f>
        <v>65.665</v>
      </c>
      <c r="O1065" s="528">
        <f t="shared" ref="O1065:O1109" si="621">IF(F1065=0,0,F1065/E1065)</f>
        <v>0.00956937799043062</v>
      </c>
      <c r="P1065" s="529">
        <f t="shared" ref="P1065:P1109" si="622">IF(H1065+I1065=0,0,C1065/(H1065+I1065))</f>
        <v>19.047619047619</v>
      </c>
      <c r="Q1065" s="24">
        <f t="shared" ref="Q1065:Q1109" si="623">H1065+I1065</f>
        <v>21</v>
      </c>
      <c r="R1065" s="530">
        <f t="shared" ref="R1065:R1109" si="624">IF(Q1065=0,0,Q1065/E1065)</f>
        <v>0.100478468899522</v>
      </c>
    </row>
    <row r="1066" spans="1:18">
      <c r="A1066" s="524"/>
      <c r="B1066" s="540" t="s">
        <v>99</v>
      </c>
      <c r="C1066" s="551">
        <v>0</v>
      </c>
      <c r="D1066" s="551">
        <v>0</v>
      </c>
      <c r="E1066" s="551">
        <v>0</v>
      </c>
      <c r="F1066" s="551">
        <v>0</v>
      </c>
      <c r="G1066" s="551">
        <v>0</v>
      </c>
      <c r="H1066" s="551">
        <v>0</v>
      </c>
      <c r="I1066" s="551">
        <v>0</v>
      </c>
      <c r="J1066" s="551">
        <v>0</v>
      </c>
      <c r="K1066" s="527">
        <f t="shared" si="617"/>
        <v>0</v>
      </c>
      <c r="L1066" s="528">
        <f t="shared" si="618"/>
        <v>0</v>
      </c>
      <c r="M1066" s="528">
        <f t="shared" si="619"/>
        <v>0</v>
      </c>
      <c r="N1066" s="528">
        <f t="shared" si="620"/>
        <v>0</v>
      </c>
      <c r="O1066" s="528">
        <f t="shared" si="621"/>
        <v>0</v>
      </c>
      <c r="P1066" s="529">
        <f t="shared" si="622"/>
        <v>0</v>
      </c>
      <c r="Q1066" s="24">
        <f t="shared" si="623"/>
        <v>0</v>
      </c>
      <c r="R1066" s="530">
        <f t="shared" si="624"/>
        <v>0</v>
      </c>
    </row>
    <row r="1067" spans="1:18">
      <c r="A1067" s="524"/>
      <c r="B1067" s="540" t="s">
        <v>100</v>
      </c>
      <c r="C1067" s="552">
        <v>494.23</v>
      </c>
      <c r="D1067" s="551">
        <v>34347</v>
      </c>
      <c r="E1067" s="551">
        <v>515</v>
      </c>
      <c r="F1067" s="551">
        <v>0</v>
      </c>
      <c r="G1067" s="551">
        <v>0</v>
      </c>
      <c r="H1067" s="551">
        <v>12</v>
      </c>
      <c r="I1067" s="551">
        <v>24</v>
      </c>
      <c r="J1067" s="551">
        <v>2</v>
      </c>
      <c r="K1067" s="527">
        <f t="shared" si="617"/>
        <v>0.0149940315020235</v>
      </c>
      <c r="L1067" s="528">
        <f t="shared" si="618"/>
        <v>0.959669902912621</v>
      </c>
      <c r="M1067" s="528">
        <f t="shared" si="619"/>
        <v>14.3893207558156</v>
      </c>
      <c r="N1067" s="528">
        <f t="shared" si="620"/>
        <v>0</v>
      </c>
      <c r="O1067" s="528">
        <f t="shared" si="621"/>
        <v>0</v>
      </c>
      <c r="P1067" s="529">
        <f t="shared" si="622"/>
        <v>13.7286111111111</v>
      </c>
      <c r="Q1067" s="24">
        <f t="shared" si="623"/>
        <v>36</v>
      </c>
      <c r="R1067" s="530">
        <f t="shared" si="624"/>
        <v>0.0699029126213592</v>
      </c>
    </row>
    <row r="1068" spans="1:18">
      <c r="A1068" s="524"/>
      <c r="B1068" s="540" t="s">
        <v>101</v>
      </c>
      <c r="C1068" s="551">
        <v>0</v>
      </c>
      <c r="D1068" s="551">
        <v>0</v>
      </c>
      <c r="E1068" s="551">
        <v>0</v>
      </c>
      <c r="F1068" s="551">
        <v>0</v>
      </c>
      <c r="G1068" s="551">
        <v>0</v>
      </c>
      <c r="H1068" s="551">
        <v>0</v>
      </c>
      <c r="I1068" s="551">
        <v>0</v>
      </c>
      <c r="J1068" s="551">
        <v>0</v>
      </c>
      <c r="K1068" s="527">
        <f t="shared" si="617"/>
        <v>0</v>
      </c>
      <c r="L1068" s="528">
        <f t="shared" si="618"/>
        <v>0</v>
      </c>
      <c r="M1068" s="528">
        <f t="shared" si="619"/>
        <v>0</v>
      </c>
      <c r="N1068" s="528">
        <f t="shared" si="620"/>
        <v>0</v>
      </c>
      <c r="O1068" s="528">
        <f t="shared" si="621"/>
        <v>0</v>
      </c>
      <c r="P1068" s="529">
        <f t="shared" si="622"/>
        <v>0</v>
      </c>
      <c r="Q1068" s="24">
        <f t="shared" si="623"/>
        <v>0</v>
      </c>
      <c r="R1068" s="530">
        <f t="shared" si="624"/>
        <v>0</v>
      </c>
    </row>
    <row r="1069" spans="1:18">
      <c r="A1069" s="524"/>
      <c r="B1069" s="531" t="s">
        <v>96</v>
      </c>
      <c r="C1069" s="533">
        <f t="shared" ref="C1069:J1069" si="625">SUM(C1065:C1068)</f>
        <v>894.23</v>
      </c>
      <c r="D1069" s="533">
        <f t="shared" si="625"/>
        <v>39530</v>
      </c>
      <c r="E1069" s="533">
        <f t="shared" si="625"/>
        <v>724</v>
      </c>
      <c r="F1069" s="533">
        <f t="shared" si="625"/>
        <v>2</v>
      </c>
      <c r="G1069" s="533">
        <f t="shared" si="625"/>
        <v>26266</v>
      </c>
      <c r="H1069" s="533">
        <f t="shared" si="625"/>
        <v>30</v>
      </c>
      <c r="I1069" s="533">
        <f t="shared" si="625"/>
        <v>27</v>
      </c>
      <c r="J1069" s="533">
        <f t="shared" si="625"/>
        <v>4</v>
      </c>
      <c r="K1069" s="534">
        <f t="shared" si="617"/>
        <v>0.0183152036428029</v>
      </c>
      <c r="L1069" s="535">
        <f t="shared" si="618"/>
        <v>1.23512430939227</v>
      </c>
      <c r="M1069" s="535">
        <f t="shared" si="619"/>
        <v>22.6215532506957</v>
      </c>
      <c r="N1069" s="535">
        <f t="shared" si="620"/>
        <v>29.372756449683</v>
      </c>
      <c r="O1069" s="535">
        <f t="shared" si="621"/>
        <v>0.00276243093922652</v>
      </c>
      <c r="P1069" s="536">
        <f t="shared" si="622"/>
        <v>15.6882456140351</v>
      </c>
      <c r="Q1069" s="531">
        <f t="shared" si="623"/>
        <v>57</v>
      </c>
      <c r="R1069" s="537">
        <f t="shared" si="624"/>
        <v>0.0787292817679558</v>
      </c>
    </row>
    <row r="1070" spans="1:18">
      <c r="A1070" s="524">
        <v>45664</v>
      </c>
      <c r="B1070" s="540" t="s">
        <v>98</v>
      </c>
      <c r="C1070" s="551">
        <v>400</v>
      </c>
      <c r="D1070" s="553">
        <v>7012</v>
      </c>
      <c r="E1070" s="551">
        <v>205</v>
      </c>
      <c r="F1070" s="551">
        <v>0</v>
      </c>
      <c r="G1070" s="551">
        <v>0</v>
      </c>
      <c r="H1070" s="551">
        <v>8</v>
      </c>
      <c r="I1070" s="551">
        <v>2</v>
      </c>
      <c r="J1070" s="551">
        <v>0</v>
      </c>
      <c r="K1070" s="527">
        <f t="shared" si="617"/>
        <v>0.0292355961209355</v>
      </c>
      <c r="L1070" s="528">
        <f t="shared" si="618"/>
        <v>1.95121951219512</v>
      </c>
      <c r="M1070" s="528">
        <f t="shared" si="619"/>
        <v>57.0450656018254</v>
      </c>
      <c r="N1070" s="528">
        <f t="shared" si="620"/>
        <v>0</v>
      </c>
      <c r="O1070" s="528">
        <f t="shared" si="621"/>
        <v>0</v>
      </c>
      <c r="P1070" s="529">
        <f t="shared" si="622"/>
        <v>40</v>
      </c>
      <c r="Q1070" s="24">
        <f t="shared" si="623"/>
        <v>10</v>
      </c>
      <c r="R1070" s="530">
        <f t="shared" si="624"/>
        <v>0.0487804878048781</v>
      </c>
    </row>
    <row r="1071" spans="1:18">
      <c r="A1071" s="524"/>
      <c r="B1071" s="540" t="s">
        <v>99</v>
      </c>
      <c r="C1071" s="551">
        <v>0</v>
      </c>
      <c r="D1071" s="551">
        <v>0</v>
      </c>
      <c r="E1071" s="551">
        <v>0</v>
      </c>
      <c r="F1071" s="551">
        <v>0</v>
      </c>
      <c r="G1071" s="551">
        <v>0</v>
      </c>
      <c r="H1071" s="551">
        <v>0</v>
      </c>
      <c r="I1071" s="551">
        <v>0</v>
      </c>
      <c r="J1071" s="551">
        <v>0</v>
      </c>
      <c r="K1071" s="527">
        <f t="shared" si="617"/>
        <v>0</v>
      </c>
      <c r="L1071" s="528">
        <f t="shared" si="618"/>
        <v>0</v>
      </c>
      <c r="M1071" s="528">
        <f t="shared" si="619"/>
        <v>0</v>
      </c>
      <c r="N1071" s="528">
        <f t="shared" si="620"/>
        <v>0</v>
      </c>
      <c r="O1071" s="528">
        <f t="shared" si="621"/>
        <v>0</v>
      </c>
      <c r="P1071" s="529">
        <f t="shared" si="622"/>
        <v>0</v>
      </c>
      <c r="Q1071" s="24">
        <f t="shared" si="623"/>
        <v>0</v>
      </c>
      <c r="R1071" s="530">
        <f t="shared" si="624"/>
        <v>0</v>
      </c>
    </row>
    <row r="1072" spans="1:18">
      <c r="A1072" s="524"/>
      <c r="B1072" s="540" t="s">
        <v>100</v>
      </c>
      <c r="C1072" s="552">
        <v>489.03</v>
      </c>
      <c r="D1072" s="551">
        <v>31766</v>
      </c>
      <c r="E1072" s="551">
        <v>610</v>
      </c>
      <c r="F1072" s="551">
        <v>0</v>
      </c>
      <c r="G1072" s="551">
        <v>0</v>
      </c>
      <c r="H1072" s="551">
        <v>16</v>
      </c>
      <c r="I1072" s="551">
        <v>28</v>
      </c>
      <c r="J1072" s="551">
        <v>2</v>
      </c>
      <c r="K1072" s="527">
        <f t="shared" si="617"/>
        <v>0.019202921362463</v>
      </c>
      <c r="L1072" s="528">
        <f t="shared" si="618"/>
        <v>0.801688524590164</v>
      </c>
      <c r="M1072" s="528">
        <f t="shared" si="619"/>
        <v>15.3947616948939</v>
      </c>
      <c r="N1072" s="528">
        <f t="shared" si="620"/>
        <v>0</v>
      </c>
      <c r="O1072" s="528">
        <f t="shared" si="621"/>
        <v>0</v>
      </c>
      <c r="P1072" s="529">
        <f t="shared" si="622"/>
        <v>11.1143181818182</v>
      </c>
      <c r="Q1072" s="24">
        <f t="shared" si="623"/>
        <v>44</v>
      </c>
      <c r="R1072" s="530">
        <f t="shared" si="624"/>
        <v>0.0721311475409836</v>
      </c>
    </row>
    <row r="1073" spans="1:18">
      <c r="A1073" s="524"/>
      <c r="B1073" s="540" t="s">
        <v>101</v>
      </c>
      <c r="C1073" s="551">
        <v>0</v>
      </c>
      <c r="D1073" s="551">
        <v>0</v>
      </c>
      <c r="E1073" s="551">
        <v>0</v>
      </c>
      <c r="F1073" s="551">
        <v>0</v>
      </c>
      <c r="G1073" s="551">
        <v>0</v>
      </c>
      <c r="H1073" s="551">
        <v>0</v>
      </c>
      <c r="I1073" s="551">
        <v>0</v>
      </c>
      <c r="J1073" s="551">
        <v>0</v>
      </c>
      <c r="K1073" s="527">
        <f t="shared" si="617"/>
        <v>0</v>
      </c>
      <c r="L1073" s="528">
        <f t="shared" si="618"/>
        <v>0</v>
      </c>
      <c r="M1073" s="528">
        <f t="shared" si="619"/>
        <v>0</v>
      </c>
      <c r="N1073" s="528">
        <f t="shared" si="620"/>
        <v>0</v>
      </c>
      <c r="O1073" s="528">
        <f t="shared" si="621"/>
        <v>0</v>
      </c>
      <c r="P1073" s="529">
        <f t="shared" si="622"/>
        <v>0</v>
      </c>
      <c r="Q1073" s="24">
        <f t="shared" si="623"/>
        <v>0</v>
      </c>
      <c r="R1073" s="530">
        <f t="shared" si="624"/>
        <v>0</v>
      </c>
    </row>
    <row r="1074" spans="1:18">
      <c r="A1074" s="524"/>
      <c r="B1074" s="531" t="s">
        <v>96</v>
      </c>
      <c r="C1074" s="533">
        <f t="shared" ref="C1074:J1074" si="626">SUM(C1070:C1073)</f>
        <v>889.03</v>
      </c>
      <c r="D1074" s="533">
        <f t="shared" si="626"/>
        <v>38778</v>
      </c>
      <c r="E1074" s="533">
        <f t="shared" si="626"/>
        <v>815</v>
      </c>
      <c r="F1074" s="533">
        <f t="shared" si="626"/>
        <v>0</v>
      </c>
      <c r="G1074" s="533">
        <f t="shared" si="626"/>
        <v>0</v>
      </c>
      <c r="H1074" s="533">
        <f t="shared" si="626"/>
        <v>24</v>
      </c>
      <c r="I1074" s="533">
        <f t="shared" si="626"/>
        <v>30</v>
      </c>
      <c r="J1074" s="533">
        <f t="shared" si="626"/>
        <v>2</v>
      </c>
      <c r="K1074" s="534">
        <f t="shared" si="617"/>
        <v>0.0210170715354067</v>
      </c>
      <c r="L1074" s="535">
        <f t="shared" si="618"/>
        <v>1.09083435582822</v>
      </c>
      <c r="M1074" s="535">
        <f t="shared" si="619"/>
        <v>22.926143689721</v>
      </c>
      <c r="N1074" s="535">
        <f t="shared" si="620"/>
        <v>0</v>
      </c>
      <c r="O1074" s="535">
        <f t="shared" si="621"/>
        <v>0</v>
      </c>
      <c r="P1074" s="536">
        <f t="shared" si="622"/>
        <v>16.4635185185185</v>
      </c>
      <c r="Q1074" s="531">
        <f t="shared" si="623"/>
        <v>54</v>
      </c>
      <c r="R1074" s="537">
        <f t="shared" si="624"/>
        <v>0.0662576687116564</v>
      </c>
    </row>
    <row r="1075" spans="1:18">
      <c r="A1075" s="524">
        <v>45665</v>
      </c>
      <c r="B1075" s="540" t="s">
        <v>98</v>
      </c>
      <c r="C1075" s="551">
        <v>399.36</v>
      </c>
      <c r="D1075" s="553">
        <v>7251</v>
      </c>
      <c r="E1075" s="551">
        <v>249</v>
      </c>
      <c r="F1075" s="551">
        <v>0</v>
      </c>
      <c r="G1075" s="551">
        <v>0</v>
      </c>
      <c r="H1075" s="551">
        <v>3</v>
      </c>
      <c r="I1075" s="551">
        <v>0</v>
      </c>
      <c r="J1075" s="551">
        <v>1</v>
      </c>
      <c r="K1075" s="527">
        <f t="shared" si="617"/>
        <v>0.034340091021928</v>
      </c>
      <c r="L1075" s="528">
        <f t="shared" si="618"/>
        <v>1.60385542168675</v>
      </c>
      <c r="M1075" s="528">
        <f t="shared" si="619"/>
        <v>55.0765411667356</v>
      </c>
      <c r="N1075" s="528">
        <f t="shared" si="620"/>
        <v>0</v>
      </c>
      <c r="O1075" s="528">
        <f t="shared" si="621"/>
        <v>0</v>
      </c>
      <c r="P1075" s="529">
        <f t="shared" si="622"/>
        <v>133.12</v>
      </c>
      <c r="Q1075" s="24">
        <f t="shared" si="623"/>
        <v>3</v>
      </c>
      <c r="R1075" s="530">
        <f t="shared" si="624"/>
        <v>0.0120481927710843</v>
      </c>
    </row>
    <row r="1076" spans="1:18">
      <c r="A1076" s="524"/>
      <c r="B1076" s="540" t="s">
        <v>99</v>
      </c>
      <c r="C1076" s="551">
        <v>0</v>
      </c>
      <c r="D1076" s="551">
        <v>0</v>
      </c>
      <c r="E1076" s="551">
        <v>0</v>
      </c>
      <c r="F1076" s="551">
        <v>0</v>
      </c>
      <c r="G1076" s="551">
        <v>0</v>
      </c>
      <c r="H1076" s="551">
        <v>0</v>
      </c>
      <c r="I1076" s="551">
        <v>0</v>
      </c>
      <c r="J1076" s="551">
        <v>0</v>
      </c>
      <c r="K1076" s="527">
        <f t="shared" si="617"/>
        <v>0</v>
      </c>
      <c r="L1076" s="528">
        <f t="shared" si="618"/>
        <v>0</v>
      </c>
      <c r="M1076" s="528">
        <f t="shared" si="619"/>
        <v>0</v>
      </c>
      <c r="N1076" s="528">
        <f t="shared" si="620"/>
        <v>0</v>
      </c>
      <c r="O1076" s="528">
        <f t="shared" si="621"/>
        <v>0</v>
      </c>
      <c r="P1076" s="529">
        <f t="shared" si="622"/>
        <v>0</v>
      </c>
      <c r="Q1076" s="24">
        <f t="shared" si="623"/>
        <v>0</v>
      </c>
      <c r="R1076" s="530">
        <f t="shared" si="624"/>
        <v>0</v>
      </c>
    </row>
    <row r="1077" spans="1:18">
      <c r="A1077" s="524"/>
      <c r="B1077" s="540" t="s">
        <v>100</v>
      </c>
      <c r="C1077" s="552">
        <v>466.68</v>
      </c>
      <c r="D1077" s="551">
        <v>33561</v>
      </c>
      <c r="E1077" s="551">
        <v>714</v>
      </c>
      <c r="F1077" s="551">
        <v>0</v>
      </c>
      <c r="G1077" s="551">
        <v>0</v>
      </c>
      <c r="H1077" s="551">
        <v>17</v>
      </c>
      <c r="I1077" s="551">
        <v>26</v>
      </c>
      <c r="J1077" s="551">
        <v>0</v>
      </c>
      <c r="K1077" s="527">
        <f t="shared" si="617"/>
        <v>0.0212746938410655</v>
      </c>
      <c r="L1077" s="528">
        <f t="shared" si="618"/>
        <v>0.653613445378151</v>
      </c>
      <c r="M1077" s="528">
        <f t="shared" si="619"/>
        <v>13.9054259408242</v>
      </c>
      <c r="N1077" s="528">
        <f t="shared" si="620"/>
        <v>0</v>
      </c>
      <c r="O1077" s="528">
        <f t="shared" si="621"/>
        <v>0</v>
      </c>
      <c r="P1077" s="529">
        <f t="shared" si="622"/>
        <v>10.853023255814</v>
      </c>
      <c r="Q1077" s="24">
        <f t="shared" si="623"/>
        <v>43</v>
      </c>
      <c r="R1077" s="530">
        <f t="shared" si="624"/>
        <v>0.0602240896358543</v>
      </c>
    </row>
    <row r="1078" spans="1:18">
      <c r="A1078" s="524"/>
      <c r="B1078" s="540" t="s">
        <v>101</v>
      </c>
      <c r="C1078" s="551">
        <v>0</v>
      </c>
      <c r="D1078" s="551">
        <v>0</v>
      </c>
      <c r="E1078" s="551">
        <v>0</v>
      </c>
      <c r="F1078" s="551">
        <v>0</v>
      </c>
      <c r="G1078" s="551">
        <v>0</v>
      </c>
      <c r="H1078" s="551">
        <v>0</v>
      </c>
      <c r="I1078" s="551">
        <v>0</v>
      </c>
      <c r="J1078" s="551">
        <v>0</v>
      </c>
      <c r="K1078" s="527">
        <f t="shared" si="617"/>
        <v>0</v>
      </c>
      <c r="L1078" s="528">
        <f t="shared" si="618"/>
        <v>0</v>
      </c>
      <c r="M1078" s="528">
        <f t="shared" si="619"/>
        <v>0</v>
      </c>
      <c r="N1078" s="528">
        <f t="shared" si="620"/>
        <v>0</v>
      </c>
      <c r="O1078" s="528">
        <f t="shared" si="621"/>
        <v>0</v>
      </c>
      <c r="P1078" s="529">
        <f t="shared" si="622"/>
        <v>0</v>
      </c>
      <c r="Q1078" s="24">
        <f t="shared" si="623"/>
        <v>0</v>
      </c>
      <c r="R1078" s="530">
        <f t="shared" si="624"/>
        <v>0</v>
      </c>
    </row>
    <row r="1079" spans="1:18">
      <c r="A1079" s="524"/>
      <c r="B1079" s="531" t="s">
        <v>96</v>
      </c>
      <c r="C1079" s="533">
        <f t="shared" ref="C1079:J1079" si="627">SUM(C1075:C1078)</f>
        <v>866.04</v>
      </c>
      <c r="D1079" s="533">
        <f t="shared" si="627"/>
        <v>40812</v>
      </c>
      <c r="E1079" s="533">
        <f t="shared" si="627"/>
        <v>963</v>
      </c>
      <c r="F1079" s="533">
        <f t="shared" si="627"/>
        <v>0</v>
      </c>
      <c r="G1079" s="533">
        <f t="shared" si="627"/>
        <v>0</v>
      </c>
      <c r="H1079" s="533">
        <f t="shared" si="627"/>
        <v>20</v>
      </c>
      <c r="I1079" s="533">
        <f t="shared" si="627"/>
        <v>26</v>
      </c>
      <c r="J1079" s="533">
        <f t="shared" si="627"/>
        <v>1</v>
      </c>
      <c r="K1079" s="534">
        <f t="shared" si="617"/>
        <v>0.0235960011761247</v>
      </c>
      <c r="L1079" s="535">
        <f t="shared" si="618"/>
        <v>0.899314641744548</v>
      </c>
      <c r="M1079" s="535">
        <f t="shared" si="619"/>
        <v>21.2202293443105</v>
      </c>
      <c r="N1079" s="535">
        <f t="shared" si="620"/>
        <v>0</v>
      </c>
      <c r="O1079" s="535">
        <f t="shared" si="621"/>
        <v>0</v>
      </c>
      <c r="P1079" s="536">
        <f t="shared" si="622"/>
        <v>18.8269565217391</v>
      </c>
      <c r="Q1079" s="531">
        <f t="shared" si="623"/>
        <v>46</v>
      </c>
      <c r="R1079" s="537">
        <f t="shared" si="624"/>
        <v>0.0477673935617861</v>
      </c>
    </row>
    <row r="1080" spans="1:18">
      <c r="A1080" s="524">
        <v>45666</v>
      </c>
      <c r="B1080" s="540" t="s">
        <v>98</v>
      </c>
      <c r="C1080" s="551">
        <v>300</v>
      </c>
      <c r="D1080" s="553">
        <v>4847</v>
      </c>
      <c r="E1080" s="551">
        <v>141</v>
      </c>
      <c r="F1080" s="551">
        <v>0</v>
      </c>
      <c r="G1080" s="551">
        <v>0</v>
      </c>
      <c r="H1080" s="551">
        <v>0</v>
      </c>
      <c r="I1080" s="551">
        <v>0</v>
      </c>
      <c r="J1080" s="551">
        <v>0</v>
      </c>
      <c r="K1080" s="527">
        <f t="shared" si="617"/>
        <v>0.0290901588611512</v>
      </c>
      <c r="L1080" s="528">
        <f t="shared" si="618"/>
        <v>2.12765957446808</v>
      </c>
      <c r="M1080" s="528">
        <f t="shared" si="619"/>
        <v>61.893955023726</v>
      </c>
      <c r="N1080" s="528">
        <f t="shared" si="620"/>
        <v>0</v>
      </c>
      <c r="O1080" s="528">
        <f t="shared" si="621"/>
        <v>0</v>
      </c>
      <c r="P1080" s="529">
        <f t="shared" si="622"/>
        <v>0</v>
      </c>
      <c r="Q1080" s="24">
        <f t="shared" si="623"/>
        <v>0</v>
      </c>
      <c r="R1080" s="530">
        <f t="shared" si="624"/>
        <v>0</v>
      </c>
    </row>
    <row r="1081" spans="1:18">
      <c r="A1081" s="524"/>
      <c r="B1081" s="540" t="s">
        <v>99</v>
      </c>
      <c r="C1081" s="551">
        <v>0</v>
      </c>
      <c r="D1081" s="551">
        <v>0</v>
      </c>
      <c r="E1081" s="551">
        <v>0</v>
      </c>
      <c r="F1081" s="551">
        <v>0</v>
      </c>
      <c r="G1081" s="551">
        <v>0</v>
      </c>
      <c r="H1081" s="551">
        <v>0</v>
      </c>
      <c r="I1081" s="551">
        <v>0</v>
      </c>
      <c r="J1081" s="551">
        <v>0</v>
      </c>
      <c r="K1081" s="527">
        <f t="shared" si="617"/>
        <v>0</v>
      </c>
      <c r="L1081" s="528">
        <f t="shared" si="618"/>
        <v>0</v>
      </c>
      <c r="M1081" s="528">
        <f t="shared" si="619"/>
        <v>0</v>
      </c>
      <c r="N1081" s="528">
        <f t="shared" si="620"/>
        <v>0</v>
      </c>
      <c r="O1081" s="528">
        <f t="shared" si="621"/>
        <v>0</v>
      </c>
      <c r="P1081" s="529">
        <f t="shared" si="622"/>
        <v>0</v>
      </c>
      <c r="Q1081" s="24">
        <f t="shared" si="623"/>
        <v>0</v>
      </c>
      <c r="R1081" s="530">
        <f t="shared" si="624"/>
        <v>0</v>
      </c>
    </row>
    <row r="1082" spans="1:18">
      <c r="A1082" s="524"/>
      <c r="B1082" s="540" t="s">
        <v>100</v>
      </c>
      <c r="C1082" s="552">
        <v>438.42</v>
      </c>
      <c r="D1082" s="551">
        <v>34240</v>
      </c>
      <c r="E1082" s="551">
        <v>699</v>
      </c>
      <c r="F1082" s="551">
        <v>0</v>
      </c>
      <c r="G1082" s="551">
        <v>0</v>
      </c>
      <c r="H1082" s="551">
        <v>21</v>
      </c>
      <c r="I1082" s="551">
        <v>15</v>
      </c>
      <c r="J1082" s="551">
        <v>1</v>
      </c>
      <c r="K1082" s="527">
        <f t="shared" si="617"/>
        <v>0.0204147196261682</v>
      </c>
      <c r="L1082" s="528">
        <f t="shared" si="618"/>
        <v>0.627210300429185</v>
      </c>
      <c r="M1082" s="528">
        <f t="shared" si="619"/>
        <v>12.8043224299065</v>
      </c>
      <c r="N1082" s="528">
        <f t="shared" si="620"/>
        <v>0</v>
      </c>
      <c r="O1082" s="528">
        <f t="shared" si="621"/>
        <v>0</v>
      </c>
      <c r="P1082" s="529">
        <f t="shared" si="622"/>
        <v>12.1783333333333</v>
      </c>
      <c r="Q1082" s="24">
        <f t="shared" si="623"/>
        <v>36</v>
      </c>
      <c r="R1082" s="530">
        <f t="shared" si="624"/>
        <v>0.0515021459227468</v>
      </c>
    </row>
    <row r="1083" spans="1:18">
      <c r="A1083" s="524"/>
      <c r="B1083" s="540" t="s">
        <v>101</v>
      </c>
      <c r="C1083" s="551">
        <v>0</v>
      </c>
      <c r="D1083" s="551">
        <v>0</v>
      </c>
      <c r="E1083" s="551">
        <v>0</v>
      </c>
      <c r="F1083" s="551">
        <v>0</v>
      </c>
      <c r="G1083" s="551">
        <v>0</v>
      </c>
      <c r="H1083" s="551">
        <v>0</v>
      </c>
      <c r="I1083" s="551">
        <v>0</v>
      </c>
      <c r="J1083" s="551">
        <v>0</v>
      </c>
      <c r="K1083" s="527">
        <f t="shared" si="617"/>
        <v>0</v>
      </c>
      <c r="L1083" s="528">
        <f t="shared" si="618"/>
        <v>0</v>
      </c>
      <c r="M1083" s="528">
        <f t="shared" si="619"/>
        <v>0</v>
      </c>
      <c r="N1083" s="528">
        <f t="shared" si="620"/>
        <v>0</v>
      </c>
      <c r="O1083" s="528">
        <f t="shared" si="621"/>
        <v>0</v>
      </c>
      <c r="P1083" s="529">
        <f t="shared" si="622"/>
        <v>0</v>
      </c>
      <c r="Q1083" s="24">
        <f t="shared" si="623"/>
        <v>0</v>
      </c>
      <c r="R1083" s="530">
        <f t="shared" si="624"/>
        <v>0</v>
      </c>
    </row>
    <row r="1084" spans="1:18">
      <c r="A1084" s="524"/>
      <c r="B1084" s="531" t="s">
        <v>96</v>
      </c>
      <c r="C1084" s="533">
        <f t="shared" ref="C1084:J1084" si="628">SUM(C1080:C1083)</f>
        <v>738.42</v>
      </c>
      <c r="D1084" s="533">
        <f t="shared" si="628"/>
        <v>39087</v>
      </c>
      <c r="E1084" s="533">
        <f t="shared" si="628"/>
        <v>840</v>
      </c>
      <c r="F1084" s="533">
        <f t="shared" si="628"/>
        <v>0</v>
      </c>
      <c r="G1084" s="533">
        <f t="shared" si="628"/>
        <v>0</v>
      </c>
      <c r="H1084" s="533">
        <f t="shared" si="628"/>
        <v>21</v>
      </c>
      <c r="I1084" s="533">
        <f t="shared" si="628"/>
        <v>15</v>
      </c>
      <c r="J1084" s="533">
        <f t="shared" si="628"/>
        <v>1</v>
      </c>
      <c r="K1084" s="534">
        <f t="shared" si="617"/>
        <v>0.0214905211451378</v>
      </c>
      <c r="L1084" s="535">
        <f t="shared" si="618"/>
        <v>0.879071428571429</v>
      </c>
      <c r="M1084" s="535">
        <f t="shared" si="619"/>
        <v>18.8917031238008</v>
      </c>
      <c r="N1084" s="535">
        <f t="shared" si="620"/>
        <v>0</v>
      </c>
      <c r="O1084" s="535">
        <f t="shared" si="621"/>
        <v>0</v>
      </c>
      <c r="P1084" s="536">
        <f t="shared" si="622"/>
        <v>20.5116666666667</v>
      </c>
      <c r="Q1084" s="531">
        <f t="shared" si="623"/>
        <v>36</v>
      </c>
      <c r="R1084" s="537">
        <f t="shared" si="624"/>
        <v>0.0428571428571429</v>
      </c>
    </row>
    <row r="1085" spans="1:18">
      <c r="A1085" s="524">
        <v>45667</v>
      </c>
      <c r="B1085" s="540" t="s">
        <v>98</v>
      </c>
      <c r="C1085" s="551">
        <v>300</v>
      </c>
      <c r="D1085" s="553">
        <v>5687</v>
      </c>
      <c r="E1085" s="551">
        <v>164</v>
      </c>
      <c r="F1085" s="551">
        <v>0</v>
      </c>
      <c r="G1085" s="551">
        <v>0</v>
      </c>
      <c r="H1085" s="551">
        <v>5</v>
      </c>
      <c r="I1085" s="551">
        <v>1</v>
      </c>
      <c r="J1085" s="551">
        <v>1</v>
      </c>
      <c r="K1085" s="527">
        <f t="shared" si="617"/>
        <v>0.028837700017584</v>
      </c>
      <c r="L1085" s="528">
        <f t="shared" si="618"/>
        <v>1.82926829268293</v>
      </c>
      <c r="M1085" s="528">
        <f t="shared" si="619"/>
        <v>52.7518902760682</v>
      </c>
      <c r="N1085" s="528">
        <f t="shared" si="620"/>
        <v>0</v>
      </c>
      <c r="O1085" s="528">
        <f t="shared" si="621"/>
        <v>0</v>
      </c>
      <c r="P1085" s="529">
        <f t="shared" si="622"/>
        <v>50</v>
      </c>
      <c r="Q1085" s="24">
        <f t="shared" si="623"/>
        <v>6</v>
      </c>
      <c r="R1085" s="530">
        <f t="shared" si="624"/>
        <v>0.0365853658536585</v>
      </c>
    </row>
    <row r="1086" spans="1:18">
      <c r="A1086" s="524"/>
      <c r="B1086" s="540" t="s">
        <v>99</v>
      </c>
      <c r="C1086" s="551">
        <v>0</v>
      </c>
      <c r="D1086" s="551">
        <v>0</v>
      </c>
      <c r="E1086" s="551">
        <v>0</v>
      </c>
      <c r="F1086" s="551">
        <v>0</v>
      </c>
      <c r="G1086" s="551">
        <v>0</v>
      </c>
      <c r="H1086" s="551">
        <v>0</v>
      </c>
      <c r="I1086" s="551">
        <v>0</v>
      </c>
      <c r="J1086" s="551">
        <v>0</v>
      </c>
      <c r="K1086" s="527">
        <f t="shared" si="617"/>
        <v>0</v>
      </c>
      <c r="L1086" s="528">
        <f t="shared" si="618"/>
        <v>0</v>
      </c>
      <c r="M1086" s="528">
        <f t="shared" si="619"/>
        <v>0</v>
      </c>
      <c r="N1086" s="528">
        <f t="shared" si="620"/>
        <v>0</v>
      </c>
      <c r="O1086" s="528">
        <f t="shared" si="621"/>
        <v>0</v>
      </c>
      <c r="P1086" s="529">
        <f t="shared" si="622"/>
        <v>0</v>
      </c>
      <c r="Q1086" s="24">
        <f t="shared" si="623"/>
        <v>0</v>
      </c>
      <c r="R1086" s="530">
        <f t="shared" si="624"/>
        <v>0</v>
      </c>
    </row>
    <row r="1087" spans="1:18">
      <c r="A1087" s="524"/>
      <c r="B1087" s="540" t="s">
        <v>100</v>
      </c>
      <c r="C1087" s="552">
        <v>436.01</v>
      </c>
      <c r="D1087" s="551">
        <v>68765</v>
      </c>
      <c r="E1087" s="551">
        <v>879</v>
      </c>
      <c r="F1087" s="551">
        <v>0</v>
      </c>
      <c r="G1087" s="551">
        <v>0</v>
      </c>
      <c r="H1087" s="551">
        <v>17</v>
      </c>
      <c r="I1087" s="551">
        <v>16</v>
      </c>
      <c r="J1087" s="551">
        <v>1</v>
      </c>
      <c r="K1087" s="527">
        <f t="shared" si="617"/>
        <v>0.0127826656002327</v>
      </c>
      <c r="L1087" s="528">
        <f t="shared" si="618"/>
        <v>0.496029579067122</v>
      </c>
      <c r="M1087" s="528">
        <f t="shared" si="619"/>
        <v>6.34058023703919</v>
      </c>
      <c r="N1087" s="528">
        <f t="shared" si="620"/>
        <v>0</v>
      </c>
      <c r="O1087" s="528">
        <f t="shared" si="621"/>
        <v>0</v>
      </c>
      <c r="P1087" s="529">
        <f t="shared" si="622"/>
        <v>13.2124242424242</v>
      </c>
      <c r="Q1087" s="24">
        <f t="shared" si="623"/>
        <v>33</v>
      </c>
      <c r="R1087" s="530">
        <f t="shared" si="624"/>
        <v>0.037542662116041</v>
      </c>
    </row>
    <row r="1088" spans="1:18">
      <c r="A1088" s="524"/>
      <c r="B1088" s="540" t="s">
        <v>101</v>
      </c>
      <c r="C1088" s="551">
        <v>0</v>
      </c>
      <c r="D1088" s="551">
        <v>0</v>
      </c>
      <c r="E1088" s="551">
        <v>0</v>
      </c>
      <c r="F1088" s="551">
        <v>0</v>
      </c>
      <c r="G1088" s="551">
        <v>0</v>
      </c>
      <c r="H1088" s="551">
        <v>0</v>
      </c>
      <c r="I1088" s="551">
        <v>0</v>
      </c>
      <c r="J1088" s="551">
        <v>0</v>
      </c>
      <c r="K1088" s="527">
        <f t="shared" si="617"/>
        <v>0</v>
      </c>
      <c r="L1088" s="528">
        <f t="shared" si="618"/>
        <v>0</v>
      </c>
      <c r="M1088" s="528">
        <f t="shared" si="619"/>
        <v>0</v>
      </c>
      <c r="N1088" s="528">
        <f t="shared" si="620"/>
        <v>0</v>
      </c>
      <c r="O1088" s="528">
        <f t="shared" si="621"/>
        <v>0</v>
      </c>
      <c r="P1088" s="529">
        <f t="shared" si="622"/>
        <v>0</v>
      </c>
      <c r="Q1088" s="24">
        <f t="shared" si="623"/>
        <v>0</v>
      </c>
      <c r="R1088" s="530">
        <f t="shared" si="624"/>
        <v>0</v>
      </c>
    </row>
    <row r="1089" spans="1:18">
      <c r="A1089" s="524"/>
      <c r="B1089" s="531" t="s">
        <v>96</v>
      </c>
      <c r="C1089" s="533">
        <f t="shared" ref="C1089:J1089" si="629">SUM(C1085:C1088)</f>
        <v>736.01</v>
      </c>
      <c r="D1089" s="533">
        <f t="shared" si="629"/>
        <v>74452</v>
      </c>
      <c r="E1089" s="533">
        <f t="shared" si="629"/>
        <v>1043</v>
      </c>
      <c r="F1089" s="533">
        <f t="shared" si="629"/>
        <v>0</v>
      </c>
      <c r="G1089" s="533">
        <f t="shared" si="629"/>
        <v>0</v>
      </c>
      <c r="H1089" s="533">
        <f t="shared" si="629"/>
        <v>22</v>
      </c>
      <c r="I1089" s="533">
        <f t="shared" si="629"/>
        <v>17</v>
      </c>
      <c r="J1089" s="533">
        <f t="shared" si="629"/>
        <v>2</v>
      </c>
      <c r="K1089" s="534">
        <f t="shared" si="617"/>
        <v>0.0140090259496051</v>
      </c>
      <c r="L1089" s="535">
        <f t="shared" si="618"/>
        <v>0.705666347075743</v>
      </c>
      <c r="M1089" s="535">
        <f t="shared" si="619"/>
        <v>9.88569816794713</v>
      </c>
      <c r="N1089" s="535">
        <f t="shared" si="620"/>
        <v>0</v>
      </c>
      <c r="O1089" s="535">
        <f t="shared" si="621"/>
        <v>0</v>
      </c>
      <c r="P1089" s="536">
        <f t="shared" si="622"/>
        <v>18.8720512820513</v>
      </c>
      <c r="Q1089" s="531">
        <f t="shared" si="623"/>
        <v>39</v>
      </c>
      <c r="R1089" s="537">
        <f t="shared" si="624"/>
        <v>0.037392138063279</v>
      </c>
    </row>
    <row r="1090" spans="1:18">
      <c r="A1090" s="524">
        <v>45668</v>
      </c>
      <c r="B1090" s="540" t="s">
        <v>98</v>
      </c>
      <c r="C1090" s="551">
        <v>300</v>
      </c>
      <c r="D1090" s="553">
        <v>5977</v>
      </c>
      <c r="E1090" s="551">
        <v>194</v>
      </c>
      <c r="F1090" s="551">
        <v>0</v>
      </c>
      <c r="G1090" s="551">
        <v>0</v>
      </c>
      <c r="H1090" s="551">
        <v>1</v>
      </c>
      <c r="I1090" s="551">
        <v>1</v>
      </c>
      <c r="J1090" s="551">
        <v>3</v>
      </c>
      <c r="K1090" s="527">
        <f t="shared" si="617"/>
        <v>0.0324577547264514</v>
      </c>
      <c r="L1090" s="528">
        <f t="shared" si="618"/>
        <v>1.54639175257732</v>
      </c>
      <c r="M1090" s="528">
        <f t="shared" si="619"/>
        <v>50.192404216162</v>
      </c>
      <c r="N1090" s="528">
        <f t="shared" si="620"/>
        <v>0</v>
      </c>
      <c r="O1090" s="528">
        <f t="shared" si="621"/>
        <v>0</v>
      </c>
      <c r="P1090" s="529">
        <f t="shared" si="622"/>
        <v>150</v>
      </c>
      <c r="Q1090" s="24">
        <f t="shared" si="623"/>
        <v>2</v>
      </c>
      <c r="R1090" s="530">
        <f t="shared" si="624"/>
        <v>0.0103092783505155</v>
      </c>
    </row>
    <row r="1091" spans="1:18">
      <c r="A1091" s="524"/>
      <c r="B1091" s="540" t="s">
        <v>99</v>
      </c>
      <c r="C1091" s="551">
        <v>600</v>
      </c>
      <c r="D1091" s="551">
        <v>10717</v>
      </c>
      <c r="E1091" s="551">
        <v>409</v>
      </c>
      <c r="F1091" s="551">
        <v>0</v>
      </c>
      <c r="G1091" s="551">
        <v>0</v>
      </c>
      <c r="H1091" s="551">
        <v>8</v>
      </c>
      <c r="I1091" s="551">
        <v>1</v>
      </c>
      <c r="J1091" s="551">
        <v>2</v>
      </c>
      <c r="K1091" s="527">
        <f t="shared" si="617"/>
        <v>0.0381636652048148</v>
      </c>
      <c r="L1091" s="528">
        <f t="shared" si="618"/>
        <v>1.46699266503667</v>
      </c>
      <c r="M1091" s="528">
        <f t="shared" si="619"/>
        <v>55.9858169263786</v>
      </c>
      <c r="N1091" s="528">
        <f t="shared" si="620"/>
        <v>0</v>
      </c>
      <c r="O1091" s="528">
        <f t="shared" si="621"/>
        <v>0</v>
      </c>
      <c r="P1091" s="529">
        <f t="shared" si="622"/>
        <v>66.6666666666667</v>
      </c>
      <c r="Q1091" s="24">
        <f t="shared" si="623"/>
        <v>9</v>
      </c>
      <c r="R1091" s="530">
        <f t="shared" si="624"/>
        <v>0.0220048899755501</v>
      </c>
    </row>
    <row r="1092" spans="1:18">
      <c r="A1092" s="524"/>
      <c r="B1092" s="540" t="s">
        <v>100</v>
      </c>
      <c r="C1092" s="552">
        <v>433.3</v>
      </c>
      <c r="D1092" s="551">
        <v>90988</v>
      </c>
      <c r="E1092" s="551">
        <v>1230</v>
      </c>
      <c r="F1092" s="551">
        <v>0</v>
      </c>
      <c r="G1092" s="551">
        <v>0</v>
      </c>
      <c r="H1092" s="551">
        <v>19</v>
      </c>
      <c r="I1092" s="551">
        <v>24</v>
      </c>
      <c r="J1092" s="551">
        <v>0</v>
      </c>
      <c r="K1092" s="527">
        <f t="shared" si="617"/>
        <v>0.0135182661449862</v>
      </c>
      <c r="L1092" s="528">
        <f t="shared" si="618"/>
        <v>0.352276422764228</v>
      </c>
      <c r="M1092" s="528">
        <f t="shared" si="619"/>
        <v>4.76216643953049</v>
      </c>
      <c r="N1092" s="528">
        <f t="shared" si="620"/>
        <v>0</v>
      </c>
      <c r="O1092" s="528">
        <f t="shared" si="621"/>
        <v>0</v>
      </c>
      <c r="P1092" s="529">
        <f t="shared" si="622"/>
        <v>10.0767441860465</v>
      </c>
      <c r="Q1092" s="24">
        <f t="shared" si="623"/>
        <v>43</v>
      </c>
      <c r="R1092" s="530">
        <f t="shared" si="624"/>
        <v>0.0349593495934959</v>
      </c>
    </row>
    <row r="1093" spans="1:18">
      <c r="A1093" s="524"/>
      <c r="B1093" s="540" t="s">
        <v>101</v>
      </c>
      <c r="C1093" s="551">
        <v>0</v>
      </c>
      <c r="D1093" s="551">
        <v>0</v>
      </c>
      <c r="E1093" s="551">
        <v>0</v>
      </c>
      <c r="F1093" s="551">
        <v>0</v>
      </c>
      <c r="G1093" s="551">
        <v>0</v>
      </c>
      <c r="H1093" s="551">
        <v>0</v>
      </c>
      <c r="I1093" s="551">
        <v>0</v>
      </c>
      <c r="J1093" s="551">
        <v>0</v>
      </c>
      <c r="K1093" s="527">
        <f t="shared" si="617"/>
        <v>0</v>
      </c>
      <c r="L1093" s="528">
        <f t="shared" si="618"/>
        <v>0</v>
      </c>
      <c r="M1093" s="528">
        <f t="shared" si="619"/>
        <v>0</v>
      </c>
      <c r="N1093" s="528">
        <f t="shared" si="620"/>
        <v>0</v>
      </c>
      <c r="O1093" s="528">
        <f t="shared" si="621"/>
        <v>0</v>
      </c>
      <c r="P1093" s="529">
        <f t="shared" si="622"/>
        <v>0</v>
      </c>
      <c r="Q1093" s="24">
        <f t="shared" si="623"/>
        <v>0</v>
      </c>
      <c r="R1093" s="530">
        <f t="shared" si="624"/>
        <v>0</v>
      </c>
    </row>
    <row r="1094" spans="1:18">
      <c r="A1094" s="524"/>
      <c r="B1094" s="531" t="s">
        <v>96</v>
      </c>
      <c r="C1094" s="533">
        <f t="shared" ref="C1094:J1094" si="630">SUM(C1090:C1093)</f>
        <v>1333.3</v>
      </c>
      <c r="D1094" s="533">
        <f t="shared" si="630"/>
        <v>107682</v>
      </c>
      <c r="E1094" s="533">
        <f t="shared" si="630"/>
        <v>1833</v>
      </c>
      <c r="F1094" s="533">
        <f t="shared" si="630"/>
        <v>0</v>
      </c>
      <c r="G1094" s="533">
        <f t="shared" si="630"/>
        <v>0</v>
      </c>
      <c r="H1094" s="533">
        <f t="shared" si="630"/>
        <v>28</v>
      </c>
      <c r="I1094" s="533">
        <f t="shared" si="630"/>
        <v>26</v>
      </c>
      <c r="J1094" s="533">
        <f t="shared" si="630"/>
        <v>5</v>
      </c>
      <c r="K1094" s="534">
        <f t="shared" si="617"/>
        <v>0.01702234356717</v>
      </c>
      <c r="L1094" s="535">
        <f t="shared" si="618"/>
        <v>0.727386797599563</v>
      </c>
      <c r="M1094" s="535">
        <f t="shared" si="619"/>
        <v>12.3818279749633</v>
      </c>
      <c r="N1094" s="535">
        <f t="shared" si="620"/>
        <v>0</v>
      </c>
      <c r="O1094" s="535">
        <f t="shared" si="621"/>
        <v>0</v>
      </c>
      <c r="P1094" s="536">
        <f t="shared" si="622"/>
        <v>24.6907407407407</v>
      </c>
      <c r="Q1094" s="531">
        <f t="shared" si="623"/>
        <v>54</v>
      </c>
      <c r="R1094" s="537">
        <f t="shared" si="624"/>
        <v>0.0294599018003273</v>
      </c>
    </row>
    <row r="1095" spans="1:18">
      <c r="A1095" s="524">
        <v>45669</v>
      </c>
      <c r="B1095" s="540" t="s">
        <v>98</v>
      </c>
      <c r="C1095" s="551">
        <v>300</v>
      </c>
      <c r="D1095" s="553">
        <v>5458</v>
      </c>
      <c r="E1095" s="551">
        <v>159</v>
      </c>
      <c r="F1095" s="551">
        <v>3</v>
      </c>
      <c r="G1095" s="551">
        <v>64564</v>
      </c>
      <c r="H1095" s="551">
        <v>13</v>
      </c>
      <c r="I1095" s="551">
        <v>1</v>
      </c>
      <c r="J1095" s="551">
        <v>1</v>
      </c>
      <c r="K1095" s="527">
        <f t="shared" si="617"/>
        <v>0.0291315500183217</v>
      </c>
      <c r="L1095" s="528">
        <f t="shared" si="618"/>
        <v>1.88679245283019</v>
      </c>
      <c r="M1095" s="528">
        <f t="shared" si="619"/>
        <v>54.9651887138146</v>
      </c>
      <c r="N1095" s="528">
        <f t="shared" si="620"/>
        <v>215.213333333333</v>
      </c>
      <c r="O1095" s="528">
        <f t="shared" si="621"/>
        <v>0.0188679245283019</v>
      </c>
      <c r="P1095" s="529">
        <f t="shared" si="622"/>
        <v>21.4285714285714</v>
      </c>
      <c r="Q1095" s="24">
        <f t="shared" si="623"/>
        <v>14</v>
      </c>
      <c r="R1095" s="530">
        <f t="shared" si="624"/>
        <v>0.0880503144654088</v>
      </c>
    </row>
    <row r="1096" spans="1:18">
      <c r="A1096" s="524"/>
      <c r="B1096" s="540" t="s">
        <v>99</v>
      </c>
      <c r="C1096" s="551">
        <v>0</v>
      </c>
      <c r="D1096" s="551">
        <v>0</v>
      </c>
      <c r="E1096" s="551">
        <v>0</v>
      </c>
      <c r="F1096" s="551">
        <v>0</v>
      </c>
      <c r="G1096" s="551">
        <v>0</v>
      </c>
      <c r="H1096" s="551">
        <v>0</v>
      </c>
      <c r="I1096" s="551">
        <v>0</v>
      </c>
      <c r="J1096" s="551">
        <v>0</v>
      </c>
      <c r="K1096" s="527">
        <f t="shared" si="617"/>
        <v>0</v>
      </c>
      <c r="L1096" s="528">
        <f t="shared" si="618"/>
        <v>0</v>
      </c>
      <c r="M1096" s="528">
        <f t="shared" si="619"/>
        <v>0</v>
      </c>
      <c r="N1096" s="528">
        <f t="shared" si="620"/>
        <v>0</v>
      </c>
      <c r="O1096" s="528">
        <f t="shared" si="621"/>
        <v>0</v>
      </c>
      <c r="P1096" s="529">
        <f t="shared" si="622"/>
        <v>0</v>
      </c>
      <c r="Q1096" s="24">
        <f t="shared" si="623"/>
        <v>0</v>
      </c>
      <c r="R1096" s="530">
        <f t="shared" si="624"/>
        <v>0</v>
      </c>
    </row>
    <row r="1097" spans="1:18">
      <c r="A1097" s="524"/>
      <c r="B1097" s="540" t="s">
        <v>100</v>
      </c>
      <c r="C1097" s="552">
        <v>446.74</v>
      </c>
      <c r="D1097" s="551">
        <v>66603</v>
      </c>
      <c r="E1097" s="551">
        <v>857</v>
      </c>
      <c r="F1097" s="551">
        <v>0</v>
      </c>
      <c r="G1097" s="551">
        <v>0</v>
      </c>
      <c r="H1097" s="551">
        <v>15</v>
      </c>
      <c r="I1097" s="551">
        <v>26</v>
      </c>
      <c r="J1097" s="551">
        <v>1</v>
      </c>
      <c r="K1097" s="527">
        <f t="shared" si="617"/>
        <v>0.0128672882602886</v>
      </c>
      <c r="L1097" s="528">
        <f t="shared" si="618"/>
        <v>0.521283547257876</v>
      </c>
      <c r="M1097" s="528">
        <f t="shared" si="619"/>
        <v>6.70750566791286</v>
      </c>
      <c r="N1097" s="528">
        <f t="shared" si="620"/>
        <v>0</v>
      </c>
      <c r="O1097" s="528">
        <f t="shared" si="621"/>
        <v>0</v>
      </c>
      <c r="P1097" s="529">
        <f t="shared" si="622"/>
        <v>10.8960975609756</v>
      </c>
      <c r="Q1097" s="24">
        <f t="shared" si="623"/>
        <v>41</v>
      </c>
      <c r="R1097" s="530">
        <f t="shared" si="624"/>
        <v>0.0478413068844807</v>
      </c>
    </row>
    <row r="1098" spans="1:18">
      <c r="A1098" s="524"/>
      <c r="B1098" s="540" t="s">
        <v>101</v>
      </c>
      <c r="C1098" s="551">
        <v>0</v>
      </c>
      <c r="D1098" s="551">
        <v>0</v>
      </c>
      <c r="E1098" s="551">
        <v>0</v>
      </c>
      <c r="F1098" s="551">
        <v>0</v>
      </c>
      <c r="G1098" s="551">
        <v>0</v>
      </c>
      <c r="H1098" s="551">
        <v>0</v>
      </c>
      <c r="I1098" s="551">
        <v>0</v>
      </c>
      <c r="J1098" s="551">
        <v>0</v>
      </c>
      <c r="K1098" s="527">
        <f t="shared" si="617"/>
        <v>0</v>
      </c>
      <c r="L1098" s="528">
        <f t="shared" si="618"/>
        <v>0</v>
      </c>
      <c r="M1098" s="528">
        <f t="shared" si="619"/>
        <v>0</v>
      </c>
      <c r="N1098" s="528">
        <f t="shared" si="620"/>
        <v>0</v>
      </c>
      <c r="O1098" s="528">
        <f t="shared" si="621"/>
        <v>0</v>
      </c>
      <c r="P1098" s="529">
        <f t="shared" si="622"/>
        <v>0</v>
      </c>
      <c r="Q1098" s="24">
        <f t="shared" si="623"/>
        <v>0</v>
      </c>
      <c r="R1098" s="530">
        <f t="shared" si="624"/>
        <v>0</v>
      </c>
    </row>
    <row r="1099" spans="1:18">
      <c r="A1099" s="524"/>
      <c r="B1099" s="531" t="s">
        <v>96</v>
      </c>
      <c r="C1099" s="533">
        <f t="shared" ref="C1099:J1099" si="631">SUM(C1095:C1098)</f>
        <v>746.74</v>
      </c>
      <c r="D1099" s="533">
        <f t="shared" si="631"/>
        <v>72061</v>
      </c>
      <c r="E1099" s="533">
        <f t="shared" si="631"/>
        <v>1016</v>
      </c>
      <c r="F1099" s="533">
        <f t="shared" si="631"/>
        <v>3</v>
      </c>
      <c r="G1099" s="533">
        <f t="shared" si="631"/>
        <v>64564</v>
      </c>
      <c r="H1099" s="533">
        <f t="shared" si="631"/>
        <v>28</v>
      </c>
      <c r="I1099" s="533">
        <f t="shared" si="631"/>
        <v>27</v>
      </c>
      <c r="J1099" s="533">
        <f t="shared" si="631"/>
        <v>2</v>
      </c>
      <c r="K1099" s="534">
        <f t="shared" si="617"/>
        <v>0.0140991659843743</v>
      </c>
      <c r="L1099" s="535">
        <f t="shared" si="618"/>
        <v>0.73498031496063</v>
      </c>
      <c r="M1099" s="535">
        <f t="shared" si="619"/>
        <v>10.3626094558777</v>
      </c>
      <c r="N1099" s="535">
        <f t="shared" si="620"/>
        <v>86.4611511369419</v>
      </c>
      <c r="O1099" s="535">
        <f t="shared" si="621"/>
        <v>0.00295275590551181</v>
      </c>
      <c r="P1099" s="536">
        <f t="shared" si="622"/>
        <v>13.5770909090909</v>
      </c>
      <c r="Q1099" s="531">
        <f t="shared" si="623"/>
        <v>55</v>
      </c>
      <c r="R1099" s="537">
        <f t="shared" si="624"/>
        <v>0.0541338582677165</v>
      </c>
    </row>
    <row r="1100" spans="1:18">
      <c r="A1100" s="524">
        <v>45670</v>
      </c>
      <c r="B1100" s="540" t="s">
        <v>98</v>
      </c>
      <c r="C1100" s="551">
        <v>300</v>
      </c>
      <c r="D1100" s="553">
        <v>5473</v>
      </c>
      <c r="E1100" s="551">
        <v>142</v>
      </c>
      <c r="F1100" s="551">
        <v>1</v>
      </c>
      <c r="G1100" s="551">
        <v>10197</v>
      </c>
      <c r="H1100" s="551">
        <v>2</v>
      </c>
      <c r="I1100" s="551">
        <v>3</v>
      </c>
      <c r="J1100" s="551">
        <v>1</v>
      </c>
      <c r="K1100" s="527">
        <f t="shared" si="617"/>
        <v>0.0259455508861685</v>
      </c>
      <c r="L1100" s="528">
        <f t="shared" si="618"/>
        <v>2.11267605633803</v>
      </c>
      <c r="M1100" s="528">
        <f t="shared" si="619"/>
        <v>54.814544125708</v>
      </c>
      <c r="N1100" s="528">
        <f t="shared" si="620"/>
        <v>33.99</v>
      </c>
      <c r="O1100" s="528">
        <f t="shared" si="621"/>
        <v>0.00704225352112676</v>
      </c>
      <c r="P1100" s="529">
        <f t="shared" si="622"/>
        <v>60</v>
      </c>
      <c r="Q1100" s="24">
        <f t="shared" si="623"/>
        <v>5</v>
      </c>
      <c r="R1100" s="530">
        <f t="shared" si="624"/>
        <v>0.0352112676056338</v>
      </c>
    </row>
    <row r="1101" spans="1:18">
      <c r="A1101" s="524"/>
      <c r="B1101" s="540" t="s">
        <v>99</v>
      </c>
      <c r="C1101" s="551">
        <v>0</v>
      </c>
      <c r="D1101" s="551">
        <v>0</v>
      </c>
      <c r="E1101" s="551">
        <v>0</v>
      </c>
      <c r="F1101" s="551">
        <v>0</v>
      </c>
      <c r="G1101" s="551">
        <v>0</v>
      </c>
      <c r="H1101" s="551">
        <v>0</v>
      </c>
      <c r="I1101" s="551">
        <v>0</v>
      </c>
      <c r="J1101" s="551">
        <v>0</v>
      </c>
      <c r="K1101" s="527">
        <f t="shared" si="617"/>
        <v>0</v>
      </c>
      <c r="L1101" s="528">
        <f t="shared" si="618"/>
        <v>0</v>
      </c>
      <c r="M1101" s="528">
        <f t="shared" si="619"/>
        <v>0</v>
      </c>
      <c r="N1101" s="528">
        <f t="shared" si="620"/>
        <v>0</v>
      </c>
      <c r="O1101" s="528">
        <f t="shared" si="621"/>
        <v>0</v>
      </c>
      <c r="P1101" s="529">
        <f t="shared" si="622"/>
        <v>0</v>
      </c>
      <c r="Q1101" s="24">
        <f t="shared" si="623"/>
        <v>0</v>
      </c>
      <c r="R1101" s="530">
        <f t="shared" si="624"/>
        <v>0</v>
      </c>
    </row>
    <row r="1102" spans="1:18">
      <c r="A1102" s="524"/>
      <c r="B1102" s="540" t="s">
        <v>100</v>
      </c>
      <c r="C1102" s="552">
        <v>556.13</v>
      </c>
      <c r="D1102" s="551">
        <v>125881</v>
      </c>
      <c r="E1102" s="551">
        <v>1060</v>
      </c>
      <c r="F1102" s="551">
        <v>4</v>
      </c>
      <c r="G1102" s="551">
        <v>29893</v>
      </c>
      <c r="H1102" s="551">
        <v>24</v>
      </c>
      <c r="I1102" s="551">
        <v>41</v>
      </c>
      <c r="J1102" s="551">
        <v>0</v>
      </c>
      <c r="K1102" s="527">
        <f t="shared" si="617"/>
        <v>0.00842065124999007</v>
      </c>
      <c r="L1102" s="528">
        <f t="shared" si="618"/>
        <v>0.524650943396226</v>
      </c>
      <c r="M1102" s="528">
        <f t="shared" si="619"/>
        <v>4.4179026223179</v>
      </c>
      <c r="N1102" s="528">
        <f t="shared" si="620"/>
        <v>53.7518206174815</v>
      </c>
      <c r="O1102" s="528">
        <f t="shared" si="621"/>
        <v>0.00377358490566038</v>
      </c>
      <c r="P1102" s="529">
        <f t="shared" si="622"/>
        <v>8.55584615384615</v>
      </c>
      <c r="Q1102" s="24">
        <f t="shared" si="623"/>
        <v>65</v>
      </c>
      <c r="R1102" s="530">
        <f t="shared" si="624"/>
        <v>0.0613207547169811</v>
      </c>
    </row>
    <row r="1103" spans="1:18">
      <c r="A1103" s="524"/>
      <c r="B1103" s="540" t="s">
        <v>101</v>
      </c>
      <c r="C1103" s="551">
        <v>0</v>
      </c>
      <c r="D1103" s="551">
        <v>0</v>
      </c>
      <c r="E1103" s="551">
        <v>0</v>
      </c>
      <c r="F1103" s="551">
        <v>0</v>
      </c>
      <c r="G1103" s="551">
        <v>0</v>
      </c>
      <c r="H1103" s="551">
        <v>0</v>
      </c>
      <c r="I1103" s="551">
        <v>0</v>
      </c>
      <c r="J1103" s="551">
        <v>0</v>
      </c>
      <c r="K1103" s="527">
        <f t="shared" si="617"/>
        <v>0</v>
      </c>
      <c r="L1103" s="528">
        <f t="shared" si="618"/>
        <v>0</v>
      </c>
      <c r="M1103" s="528">
        <f t="shared" si="619"/>
        <v>0</v>
      </c>
      <c r="N1103" s="528">
        <f t="shared" si="620"/>
        <v>0</v>
      </c>
      <c r="O1103" s="528">
        <f t="shared" si="621"/>
        <v>0</v>
      </c>
      <c r="P1103" s="529">
        <f t="shared" si="622"/>
        <v>0</v>
      </c>
      <c r="Q1103" s="24">
        <f t="shared" si="623"/>
        <v>0</v>
      </c>
      <c r="R1103" s="530">
        <f t="shared" si="624"/>
        <v>0</v>
      </c>
    </row>
    <row r="1104" spans="1:18">
      <c r="A1104" s="524"/>
      <c r="B1104" s="531" t="s">
        <v>96</v>
      </c>
      <c r="C1104" s="533">
        <f t="shared" ref="C1104:J1104" si="632">SUM(C1100:C1103)</f>
        <v>856.13</v>
      </c>
      <c r="D1104" s="533">
        <f t="shared" si="632"/>
        <v>131354</v>
      </c>
      <c r="E1104" s="533">
        <f t="shared" si="632"/>
        <v>1202</v>
      </c>
      <c r="F1104" s="533">
        <f t="shared" si="632"/>
        <v>5</v>
      </c>
      <c r="G1104" s="533">
        <f t="shared" si="632"/>
        <v>40090</v>
      </c>
      <c r="H1104" s="533">
        <f t="shared" si="632"/>
        <v>26</v>
      </c>
      <c r="I1104" s="533">
        <f t="shared" si="632"/>
        <v>44</v>
      </c>
      <c r="J1104" s="533">
        <f t="shared" si="632"/>
        <v>1</v>
      </c>
      <c r="K1104" s="534">
        <f t="shared" si="617"/>
        <v>0.00915084428338688</v>
      </c>
      <c r="L1104" s="535">
        <f t="shared" si="618"/>
        <v>0.712254575707155</v>
      </c>
      <c r="M1104" s="535">
        <f t="shared" si="619"/>
        <v>6.51773071242596</v>
      </c>
      <c r="N1104" s="535">
        <f t="shared" si="620"/>
        <v>46.827000572343</v>
      </c>
      <c r="O1104" s="535">
        <f t="shared" si="621"/>
        <v>0.00415973377703827</v>
      </c>
      <c r="P1104" s="536">
        <f t="shared" si="622"/>
        <v>12.2304285714286</v>
      </c>
      <c r="Q1104" s="531">
        <f t="shared" si="623"/>
        <v>70</v>
      </c>
      <c r="R1104" s="537">
        <f t="shared" si="624"/>
        <v>0.0582362728785358</v>
      </c>
    </row>
    <row r="1105" spans="1:18">
      <c r="A1105" s="524">
        <v>45671</v>
      </c>
      <c r="B1105" s="540" t="s">
        <v>98</v>
      </c>
      <c r="C1105" s="551">
        <v>300</v>
      </c>
      <c r="D1105" s="553">
        <v>5514</v>
      </c>
      <c r="E1105" s="551">
        <v>155</v>
      </c>
      <c r="F1105" s="551">
        <v>0</v>
      </c>
      <c r="G1105" s="551">
        <v>0</v>
      </c>
      <c r="H1105" s="551">
        <v>2</v>
      </c>
      <c r="I1105" s="551">
        <v>0</v>
      </c>
      <c r="J1105" s="551">
        <v>0</v>
      </c>
      <c r="K1105" s="527">
        <f t="shared" si="617"/>
        <v>0.0281102647805586</v>
      </c>
      <c r="L1105" s="528">
        <f t="shared" si="618"/>
        <v>1.93548387096774</v>
      </c>
      <c r="M1105" s="528">
        <f t="shared" si="619"/>
        <v>54.4069640914037</v>
      </c>
      <c r="N1105" s="528">
        <f t="shared" si="620"/>
        <v>0</v>
      </c>
      <c r="O1105" s="528">
        <f t="shared" si="621"/>
        <v>0</v>
      </c>
      <c r="P1105" s="529">
        <f t="shared" si="622"/>
        <v>150</v>
      </c>
      <c r="Q1105" s="24">
        <f t="shared" si="623"/>
        <v>2</v>
      </c>
      <c r="R1105" s="530">
        <f t="shared" si="624"/>
        <v>0.0129032258064516</v>
      </c>
    </row>
    <row r="1106" spans="1:18">
      <c r="A1106" s="524"/>
      <c r="B1106" s="540" t="s">
        <v>99</v>
      </c>
      <c r="C1106" s="551">
        <v>600</v>
      </c>
      <c r="D1106" s="551">
        <v>4389</v>
      </c>
      <c r="E1106" s="551">
        <v>322</v>
      </c>
      <c r="F1106" s="551">
        <v>0</v>
      </c>
      <c r="G1106" s="551">
        <v>0</v>
      </c>
      <c r="H1106" s="551">
        <v>12</v>
      </c>
      <c r="I1106" s="551">
        <v>0</v>
      </c>
      <c r="J1106" s="551">
        <v>1</v>
      </c>
      <c r="K1106" s="527">
        <f t="shared" si="617"/>
        <v>0.0733652312599681</v>
      </c>
      <c r="L1106" s="528">
        <f t="shared" si="618"/>
        <v>1.86335403726708</v>
      </c>
      <c r="M1106" s="528">
        <f t="shared" si="619"/>
        <v>136.705399863295</v>
      </c>
      <c r="N1106" s="528">
        <f t="shared" si="620"/>
        <v>0</v>
      </c>
      <c r="O1106" s="528">
        <f t="shared" si="621"/>
        <v>0</v>
      </c>
      <c r="P1106" s="529">
        <f t="shared" si="622"/>
        <v>50</v>
      </c>
      <c r="Q1106" s="24">
        <f t="shared" si="623"/>
        <v>12</v>
      </c>
      <c r="R1106" s="530">
        <f t="shared" si="624"/>
        <v>0.0372670807453416</v>
      </c>
    </row>
    <row r="1107" spans="1:18">
      <c r="A1107" s="524"/>
      <c r="B1107" s="540" t="s">
        <v>100</v>
      </c>
      <c r="C1107" s="552">
        <v>513.82</v>
      </c>
      <c r="D1107" s="551">
        <v>57910</v>
      </c>
      <c r="E1107" s="551">
        <v>891</v>
      </c>
      <c r="F1107" s="551">
        <v>0</v>
      </c>
      <c r="G1107" s="551">
        <v>0</v>
      </c>
      <c r="H1107" s="551">
        <v>8</v>
      </c>
      <c r="I1107" s="551">
        <v>16</v>
      </c>
      <c r="J1107" s="551">
        <v>0</v>
      </c>
      <c r="K1107" s="527">
        <f t="shared" si="617"/>
        <v>0.0153859437057503</v>
      </c>
      <c r="L1107" s="528">
        <f t="shared" si="618"/>
        <v>0.576677890011223</v>
      </c>
      <c r="M1107" s="528">
        <f t="shared" si="619"/>
        <v>8.87273355206355</v>
      </c>
      <c r="N1107" s="528">
        <f t="shared" si="620"/>
        <v>0</v>
      </c>
      <c r="O1107" s="528">
        <f t="shared" si="621"/>
        <v>0</v>
      </c>
      <c r="P1107" s="529">
        <f t="shared" si="622"/>
        <v>21.4091666666667</v>
      </c>
      <c r="Q1107" s="24">
        <f t="shared" si="623"/>
        <v>24</v>
      </c>
      <c r="R1107" s="530">
        <f t="shared" si="624"/>
        <v>0.0269360269360269</v>
      </c>
    </row>
    <row r="1108" spans="1:18">
      <c r="A1108" s="524"/>
      <c r="B1108" s="540" t="s">
        <v>101</v>
      </c>
      <c r="C1108" s="551">
        <v>0</v>
      </c>
      <c r="D1108" s="551">
        <v>0</v>
      </c>
      <c r="E1108" s="551">
        <v>0</v>
      </c>
      <c r="F1108" s="551">
        <v>0</v>
      </c>
      <c r="G1108" s="551">
        <v>0</v>
      </c>
      <c r="H1108" s="551">
        <v>0</v>
      </c>
      <c r="I1108" s="551">
        <v>0</v>
      </c>
      <c r="J1108" s="551">
        <v>0</v>
      </c>
      <c r="K1108" s="527">
        <f t="shared" si="617"/>
        <v>0</v>
      </c>
      <c r="L1108" s="528">
        <f t="shared" si="618"/>
        <v>0</v>
      </c>
      <c r="M1108" s="528">
        <f t="shared" si="619"/>
        <v>0</v>
      </c>
      <c r="N1108" s="528">
        <f t="shared" si="620"/>
        <v>0</v>
      </c>
      <c r="O1108" s="528">
        <f t="shared" si="621"/>
        <v>0</v>
      </c>
      <c r="P1108" s="529">
        <f t="shared" si="622"/>
        <v>0</v>
      </c>
      <c r="Q1108" s="24">
        <f t="shared" si="623"/>
        <v>0</v>
      </c>
      <c r="R1108" s="530">
        <f t="shared" si="624"/>
        <v>0</v>
      </c>
    </row>
    <row r="1109" spans="1:18">
      <c r="A1109" s="524"/>
      <c r="B1109" s="531" t="s">
        <v>96</v>
      </c>
      <c r="C1109" s="533">
        <f t="shared" ref="C1109:J1109" si="633">SUM(C1105:C1108)</f>
        <v>1413.82</v>
      </c>
      <c r="D1109" s="533">
        <f t="shared" si="633"/>
        <v>67813</v>
      </c>
      <c r="E1109" s="533">
        <f t="shared" si="633"/>
        <v>1368</v>
      </c>
      <c r="F1109" s="533">
        <f t="shared" si="633"/>
        <v>0</v>
      </c>
      <c r="G1109" s="533">
        <f t="shared" si="633"/>
        <v>0</v>
      </c>
      <c r="H1109" s="533">
        <f t="shared" si="633"/>
        <v>22</v>
      </c>
      <c r="I1109" s="533">
        <f t="shared" si="633"/>
        <v>16</v>
      </c>
      <c r="J1109" s="533">
        <f t="shared" si="633"/>
        <v>1</v>
      </c>
      <c r="K1109" s="534">
        <f t="shared" si="617"/>
        <v>0.0201731231474791</v>
      </c>
      <c r="L1109" s="535">
        <f t="shared" si="618"/>
        <v>1.03349415204678</v>
      </c>
      <c r="M1109" s="535">
        <f t="shared" si="619"/>
        <v>20.8488048014393</v>
      </c>
      <c r="N1109" s="535">
        <f t="shared" si="620"/>
        <v>0</v>
      </c>
      <c r="O1109" s="535">
        <f t="shared" si="621"/>
        <v>0</v>
      </c>
      <c r="P1109" s="536">
        <f t="shared" si="622"/>
        <v>37.2057894736842</v>
      </c>
      <c r="Q1109" s="531">
        <f t="shared" si="623"/>
        <v>38</v>
      </c>
      <c r="R1109" s="537">
        <f t="shared" si="624"/>
        <v>0.0277777777777778</v>
      </c>
    </row>
    <row r="1110" spans="1:18">
      <c r="A1110" s="524">
        <v>45672</v>
      </c>
      <c r="B1110" s="540" t="s">
        <v>98</v>
      </c>
      <c r="C1110" s="551">
        <v>300</v>
      </c>
      <c r="D1110" s="553">
        <v>5102</v>
      </c>
      <c r="E1110" s="551">
        <v>160</v>
      </c>
      <c r="F1110" s="551">
        <v>0</v>
      </c>
      <c r="G1110" s="551">
        <v>0</v>
      </c>
      <c r="H1110" s="551">
        <v>6</v>
      </c>
      <c r="I1110" s="551">
        <v>0</v>
      </c>
      <c r="J1110" s="551">
        <v>0</v>
      </c>
      <c r="K1110" s="527">
        <f t="shared" ref="K1110:K1119" si="634">IF(E1110=0,0,E1110/D1110)</f>
        <v>0.0313602508820071</v>
      </c>
      <c r="L1110" s="528">
        <f t="shared" ref="L1110:L1119" si="635">IF(C1110=0,0,C1110/E1110)</f>
        <v>1.875</v>
      </c>
      <c r="M1110" s="528">
        <f t="shared" ref="M1110:M1119" si="636">IF(D1110=0,0,C1110/D1110*1000)</f>
        <v>58.8004704037632</v>
      </c>
      <c r="N1110" s="528">
        <f t="shared" ref="N1110:N1119" si="637">IF(G1110=0,0,G1110/C1110)</f>
        <v>0</v>
      </c>
      <c r="O1110" s="528">
        <f t="shared" ref="O1110:O1119" si="638">IF(F1110=0,0,F1110/E1110)</f>
        <v>0</v>
      </c>
      <c r="P1110" s="529">
        <f t="shared" ref="P1110:P1119" si="639">IF(H1110+I1110=0,0,C1110/(H1110+I1110))</f>
        <v>50</v>
      </c>
      <c r="Q1110" s="24">
        <f t="shared" ref="Q1110:Q1119" si="640">H1110+I1110</f>
        <v>6</v>
      </c>
      <c r="R1110" s="530">
        <f t="shared" ref="R1110:R1119" si="641">IF(Q1110=0,0,Q1110/E1110)</f>
        <v>0.0375</v>
      </c>
    </row>
    <row r="1111" spans="1:18">
      <c r="A1111" s="524"/>
      <c r="B1111" s="540" t="s">
        <v>99</v>
      </c>
      <c r="C1111" s="551">
        <v>0</v>
      </c>
      <c r="D1111" s="551">
        <v>0</v>
      </c>
      <c r="E1111" s="551">
        <v>0</v>
      </c>
      <c r="F1111" s="551">
        <v>0</v>
      </c>
      <c r="G1111" s="551">
        <v>0</v>
      </c>
      <c r="H1111" s="551">
        <v>0</v>
      </c>
      <c r="I1111" s="551">
        <v>0</v>
      </c>
      <c r="J1111" s="551">
        <v>0</v>
      </c>
      <c r="K1111" s="527">
        <f t="shared" si="634"/>
        <v>0</v>
      </c>
      <c r="L1111" s="528">
        <f t="shared" si="635"/>
        <v>0</v>
      </c>
      <c r="M1111" s="528">
        <f t="shared" si="636"/>
        <v>0</v>
      </c>
      <c r="N1111" s="528">
        <f t="shared" si="637"/>
        <v>0</v>
      </c>
      <c r="O1111" s="528">
        <f t="shared" si="638"/>
        <v>0</v>
      </c>
      <c r="P1111" s="529">
        <f t="shared" si="639"/>
        <v>0</v>
      </c>
      <c r="Q1111" s="24">
        <f t="shared" si="640"/>
        <v>0</v>
      </c>
      <c r="R1111" s="530">
        <f t="shared" si="641"/>
        <v>0</v>
      </c>
    </row>
    <row r="1112" spans="1:18">
      <c r="A1112" s="524"/>
      <c r="B1112" s="540" t="s">
        <v>100</v>
      </c>
      <c r="C1112" s="552">
        <v>577.31</v>
      </c>
      <c r="D1112" s="551">
        <v>74582</v>
      </c>
      <c r="E1112" s="551">
        <v>946</v>
      </c>
      <c r="F1112" s="551">
        <v>0</v>
      </c>
      <c r="G1112" s="551">
        <v>0</v>
      </c>
      <c r="H1112" s="551">
        <v>19</v>
      </c>
      <c r="I1112" s="551">
        <v>18</v>
      </c>
      <c r="J1112" s="551">
        <v>4</v>
      </c>
      <c r="K1112" s="527">
        <f t="shared" si="634"/>
        <v>0.0126840256362125</v>
      </c>
      <c r="L1112" s="528">
        <f t="shared" si="635"/>
        <v>0.610264270613108</v>
      </c>
      <c r="M1112" s="528">
        <f t="shared" si="636"/>
        <v>7.74060765332118</v>
      </c>
      <c r="N1112" s="528">
        <f t="shared" si="637"/>
        <v>0</v>
      </c>
      <c r="O1112" s="528">
        <f t="shared" si="638"/>
        <v>0</v>
      </c>
      <c r="P1112" s="529">
        <f t="shared" si="639"/>
        <v>15.602972972973</v>
      </c>
      <c r="Q1112" s="24">
        <f t="shared" si="640"/>
        <v>37</v>
      </c>
      <c r="R1112" s="530">
        <f t="shared" si="641"/>
        <v>0.0391120507399577</v>
      </c>
    </row>
    <row r="1113" spans="1:18">
      <c r="A1113" s="524"/>
      <c r="B1113" s="540" t="s">
        <v>101</v>
      </c>
      <c r="C1113" s="551">
        <v>0</v>
      </c>
      <c r="D1113" s="551">
        <v>0</v>
      </c>
      <c r="E1113" s="551">
        <v>0</v>
      </c>
      <c r="F1113" s="551">
        <v>0</v>
      </c>
      <c r="G1113" s="551">
        <v>0</v>
      </c>
      <c r="H1113" s="551">
        <v>0</v>
      </c>
      <c r="I1113" s="551">
        <v>0</v>
      </c>
      <c r="J1113" s="551">
        <v>0</v>
      </c>
      <c r="K1113" s="527">
        <f t="shared" si="634"/>
        <v>0</v>
      </c>
      <c r="L1113" s="528">
        <f t="shared" si="635"/>
        <v>0</v>
      </c>
      <c r="M1113" s="528">
        <f t="shared" si="636"/>
        <v>0</v>
      </c>
      <c r="N1113" s="528">
        <f t="shared" si="637"/>
        <v>0</v>
      </c>
      <c r="O1113" s="528">
        <f t="shared" si="638"/>
        <v>0</v>
      </c>
      <c r="P1113" s="529">
        <f t="shared" si="639"/>
        <v>0</v>
      </c>
      <c r="Q1113" s="24">
        <f t="shared" si="640"/>
        <v>0</v>
      </c>
      <c r="R1113" s="530">
        <f t="shared" si="641"/>
        <v>0</v>
      </c>
    </row>
    <row r="1114" spans="1:18">
      <c r="A1114" s="524"/>
      <c r="B1114" s="531" t="s">
        <v>96</v>
      </c>
      <c r="C1114" s="533">
        <f t="shared" ref="C1114:J1114" si="642">SUM(C1110:C1113)</f>
        <v>877.31</v>
      </c>
      <c r="D1114" s="533">
        <f t="shared" si="642"/>
        <v>79684</v>
      </c>
      <c r="E1114" s="533">
        <f t="shared" si="642"/>
        <v>1106</v>
      </c>
      <c r="F1114" s="533">
        <f t="shared" si="642"/>
        <v>0</v>
      </c>
      <c r="G1114" s="533">
        <f t="shared" si="642"/>
        <v>0</v>
      </c>
      <c r="H1114" s="533">
        <f t="shared" si="642"/>
        <v>25</v>
      </c>
      <c r="I1114" s="533">
        <f t="shared" si="642"/>
        <v>18</v>
      </c>
      <c r="J1114" s="533">
        <f t="shared" si="642"/>
        <v>4</v>
      </c>
      <c r="K1114" s="534">
        <f t="shared" si="634"/>
        <v>0.0138798253099744</v>
      </c>
      <c r="L1114" s="535">
        <f t="shared" si="635"/>
        <v>0.793227848101266</v>
      </c>
      <c r="M1114" s="535">
        <f t="shared" si="636"/>
        <v>11.0098639626525</v>
      </c>
      <c r="N1114" s="535">
        <f t="shared" si="637"/>
        <v>0</v>
      </c>
      <c r="O1114" s="535">
        <f t="shared" si="638"/>
        <v>0</v>
      </c>
      <c r="P1114" s="536">
        <f t="shared" si="639"/>
        <v>20.4025581395349</v>
      </c>
      <c r="Q1114" s="531">
        <f t="shared" si="640"/>
        <v>43</v>
      </c>
      <c r="R1114" s="537">
        <f t="shared" si="641"/>
        <v>0.038878842676311</v>
      </c>
    </row>
    <row r="1115" spans="1:18">
      <c r="A1115" s="524">
        <v>45673</v>
      </c>
      <c r="B1115" s="540" t="s">
        <v>98</v>
      </c>
      <c r="C1115" s="551">
        <v>300</v>
      </c>
      <c r="D1115" s="553">
        <v>5584</v>
      </c>
      <c r="E1115" s="551">
        <v>151</v>
      </c>
      <c r="F1115" s="551">
        <v>0</v>
      </c>
      <c r="G1115" s="551">
        <v>0</v>
      </c>
      <c r="H1115" s="551">
        <v>5</v>
      </c>
      <c r="I1115" s="551">
        <v>2</v>
      </c>
      <c r="J1115" s="551">
        <v>3</v>
      </c>
      <c r="K1115" s="527">
        <f t="shared" si="634"/>
        <v>0.027041547277937</v>
      </c>
      <c r="L1115" s="528">
        <f t="shared" si="635"/>
        <v>1.98675496688742</v>
      </c>
      <c r="M1115" s="528">
        <f t="shared" si="636"/>
        <v>53.7249283667622</v>
      </c>
      <c r="N1115" s="528">
        <f t="shared" si="637"/>
        <v>0</v>
      </c>
      <c r="O1115" s="528">
        <f t="shared" si="638"/>
        <v>0</v>
      </c>
      <c r="P1115" s="529">
        <f t="shared" si="639"/>
        <v>42.8571428571429</v>
      </c>
      <c r="Q1115" s="24">
        <f t="shared" si="640"/>
        <v>7</v>
      </c>
      <c r="R1115" s="530">
        <f t="shared" si="641"/>
        <v>0.0463576158940397</v>
      </c>
    </row>
    <row r="1116" spans="1:18">
      <c r="A1116" s="524"/>
      <c r="B1116" s="540" t="s">
        <v>99</v>
      </c>
      <c r="C1116" s="551">
        <v>0</v>
      </c>
      <c r="D1116" s="551">
        <v>0</v>
      </c>
      <c r="E1116" s="551">
        <v>0</v>
      </c>
      <c r="F1116" s="551">
        <v>0</v>
      </c>
      <c r="G1116" s="551">
        <v>0</v>
      </c>
      <c r="H1116" s="551">
        <v>0</v>
      </c>
      <c r="I1116" s="551">
        <v>0</v>
      </c>
      <c r="J1116" s="551">
        <v>0</v>
      </c>
      <c r="K1116" s="527">
        <f t="shared" si="634"/>
        <v>0</v>
      </c>
      <c r="L1116" s="528">
        <f t="shared" si="635"/>
        <v>0</v>
      </c>
      <c r="M1116" s="528">
        <f t="shared" si="636"/>
        <v>0</v>
      </c>
      <c r="N1116" s="528">
        <f t="shared" si="637"/>
        <v>0</v>
      </c>
      <c r="O1116" s="528">
        <f t="shared" si="638"/>
        <v>0</v>
      </c>
      <c r="P1116" s="529">
        <f t="shared" si="639"/>
        <v>0</v>
      </c>
      <c r="Q1116" s="24">
        <f t="shared" si="640"/>
        <v>0</v>
      </c>
      <c r="R1116" s="530">
        <f t="shared" si="641"/>
        <v>0</v>
      </c>
    </row>
    <row r="1117" spans="1:18">
      <c r="A1117" s="524"/>
      <c r="B1117" s="540" t="s">
        <v>100</v>
      </c>
      <c r="C1117" s="552">
        <v>600</v>
      </c>
      <c r="D1117" s="551">
        <v>206756</v>
      </c>
      <c r="E1117" s="551">
        <v>1326</v>
      </c>
      <c r="F1117" s="551">
        <v>0</v>
      </c>
      <c r="G1117" s="551">
        <v>0</v>
      </c>
      <c r="H1117" s="551">
        <v>8</v>
      </c>
      <c r="I1117" s="551">
        <v>9</v>
      </c>
      <c r="J1117" s="551">
        <v>2</v>
      </c>
      <c r="K1117" s="527">
        <f t="shared" si="634"/>
        <v>0.00641335680705759</v>
      </c>
      <c r="L1117" s="528">
        <f t="shared" si="635"/>
        <v>0.452488687782805</v>
      </c>
      <c r="M1117" s="528">
        <f t="shared" si="636"/>
        <v>2.90197140590841</v>
      </c>
      <c r="N1117" s="528">
        <f t="shared" si="637"/>
        <v>0</v>
      </c>
      <c r="O1117" s="528">
        <f t="shared" si="638"/>
        <v>0</v>
      </c>
      <c r="P1117" s="529">
        <f t="shared" si="639"/>
        <v>35.2941176470588</v>
      </c>
      <c r="Q1117" s="24">
        <f t="shared" si="640"/>
        <v>17</v>
      </c>
      <c r="R1117" s="530">
        <f t="shared" si="641"/>
        <v>0.0128205128205128</v>
      </c>
    </row>
    <row r="1118" spans="1:18">
      <c r="A1118" s="524"/>
      <c r="B1118" s="540" t="s">
        <v>101</v>
      </c>
      <c r="C1118" s="551">
        <v>0</v>
      </c>
      <c r="D1118" s="551">
        <v>0</v>
      </c>
      <c r="E1118" s="551">
        <v>0</v>
      </c>
      <c r="F1118" s="551">
        <v>0</v>
      </c>
      <c r="G1118" s="551">
        <v>0</v>
      </c>
      <c r="H1118" s="551">
        <v>0</v>
      </c>
      <c r="I1118" s="551">
        <v>0</v>
      </c>
      <c r="J1118" s="551">
        <v>0</v>
      </c>
      <c r="K1118" s="527">
        <f t="shared" si="634"/>
        <v>0</v>
      </c>
      <c r="L1118" s="528">
        <f t="shared" si="635"/>
        <v>0</v>
      </c>
      <c r="M1118" s="528">
        <f t="shared" si="636"/>
        <v>0</v>
      </c>
      <c r="N1118" s="528">
        <f t="shared" si="637"/>
        <v>0</v>
      </c>
      <c r="O1118" s="528">
        <f t="shared" si="638"/>
        <v>0</v>
      </c>
      <c r="P1118" s="529">
        <f t="shared" si="639"/>
        <v>0</v>
      </c>
      <c r="Q1118" s="24">
        <f t="shared" si="640"/>
        <v>0</v>
      </c>
      <c r="R1118" s="530">
        <f t="shared" si="641"/>
        <v>0</v>
      </c>
    </row>
    <row r="1119" spans="1:18">
      <c r="A1119" s="524"/>
      <c r="B1119" s="531" t="s">
        <v>96</v>
      </c>
      <c r="C1119" s="533">
        <f t="shared" ref="C1119:J1119" si="643">SUM(C1115:C1118)</f>
        <v>900</v>
      </c>
      <c r="D1119" s="533">
        <f t="shared" si="643"/>
        <v>212340</v>
      </c>
      <c r="E1119" s="533">
        <f t="shared" si="643"/>
        <v>1477</v>
      </c>
      <c r="F1119" s="533">
        <f t="shared" si="643"/>
        <v>0</v>
      </c>
      <c r="G1119" s="533">
        <f t="shared" si="643"/>
        <v>0</v>
      </c>
      <c r="H1119" s="533">
        <f t="shared" si="643"/>
        <v>13</v>
      </c>
      <c r="I1119" s="533">
        <f t="shared" si="643"/>
        <v>11</v>
      </c>
      <c r="J1119" s="533">
        <f t="shared" si="643"/>
        <v>5</v>
      </c>
      <c r="K1119" s="534">
        <f t="shared" si="634"/>
        <v>0.00695582556277668</v>
      </c>
      <c r="L1119" s="535">
        <f t="shared" si="635"/>
        <v>0.609343263371699</v>
      </c>
      <c r="M1119" s="535">
        <f t="shared" si="636"/>
        <v>4.23848544786663</v>
      </c>
      <c r="N1119" s="535">
        <f t="shared" si="637"/>
        <v>0</v>
      </c>
      <c r="O1119" s="535">
        <f t="shared" si="638"/>
        <v>0</v>
      </c>
      <c r="P1119" s="536">
        <f t="shared" si="639"/>
        <v>37.5</v>
      </c>
      <c r="Q1119" s="531">
        <f t="shared" si="640"/>
        <v>24</v>
      </c>
      <c r="R1119" s="537">
        <f t="shared" si="641"/>
        <v>0.016249153689912</v>
      </c>
    </row>
    <row r="1120" spans="1:18">
      <c r="A1120" s="524">
        <v>45674</v>
      </c>
      <c r="B1120" s="540" t="s">
        <v>98</v>
      </c>
      <c r="C1120" s="551">
        <v>299.7</v>
      </c>
      <c r="D1120" s="553">
        <v>5340</v>
      </c>
      <c r="E1120" s="551">
        <v>225</v>
      </c>
      <c r="F1120" s="551">
        <v>0</v>
      </c>
      <c r="G1120" s="551">
        <v>0</v>
      </c>
      <c r="H1120" s="551">
        <v>3</v>
      </c>
      <c r="I1120" s="551">
        <v>3</v>
      </c>
      <c r="J1120" s="551">
        <v>2</v>
      </c>
      <c r="K1120" s="527">
        <f t="shared" ref="K1120:K1124" si="644">IF(E1120=0,0,E1120/D1120)</f>
        <v>0.0421348314606742</v>
      </c>
      <c r="L1120" s="528">
        <f t="shared" ref="L1120:L1124" si="645">IF(C1120=0,0,C1120/E1120)</f>
        <v>1.332</v>
      </c>
      <c r="M1120" s="528">
        <f t="shared" ref="M1120:M1124" si="646">IF(D1120=0,0,C1120/D1120*1000)</f>
        <v>56.123595505618</v>
      </c>
      <c r="N1120" s="528">
        <f t="shared" ref="N1120:N1124" si="647">IF(G1120=0,0,G1120/C1120)</f>
        <v>0</v>
      </c>
      <c r="O1120" s="528">
        <f t="shared" ref="O1120:O1124" si="648">IF(F1120=0,0,F1120/E1120)</f>
        <v>0</v>
      </c>
      <c r="P1120" s="529">
        <f t="shared" ref="P1120:P1124" si="649">IF(H1120+I1120=0,0,C1120/(H1120+I1120))</f>
        <v>49.95</v>
      </c>
      <c r="Q1120" s="24">
        <f t="shared" ref="Q1120:Q1124" si="650">H1120+I1120</f>
        <v>6</v>
      </c>
      <c r="R1120" s="530">
        <f t="shared" ref="R1120:R1124" si="651">IF(Q1120=0,0,Q1120/E1120)</f>
        <v>0.0266666666666667</v>
      </c>
    </row>
    <row r="1121" spans="1:18">
      <c r="A1121" s="524"/>
      <c r="B1121" s="540" t="s">
        <v>99</v>
      </c>
      <c r="C1121" s="551">
        <v>574.92</v>
      </c>
      <c r="D1121" s="551">
        <v>17968</v>
      </c>
      <c r="E1121" s="551">
        <v>389</v>
      </c>
      <c r="F1121" s="551">
        <v>1</v>
      </c>
      <c r="G1121" s="551">
        <v>5998</v>
      </c>
      <c r="H1121" s="551">
        <v>7</v>
      </c>
      <c r="I1121" s="551">
        <v>0</v>
      </c>
      <c r="J1121" s="551">
        <v>3</v>
      </c>
      <c r="K1121" s="527">
        <f t="shared" si="644"/>
        <v>0.0216495992876224</v>
      </c>
      <c r="L1121" s="528">
        <f t="shared" si="645"/>
        <v>1.47794344473008</v>
      </c>
      <c r="M1121" s="528">
        <f t="shared" si="646"/>
        <v>31.9968833481745</v>
      </c>
      <c r="N1121" s="528">
        <f t="shared" si="647"/>
        <v>10.4327558616851</v>
      </c>
      <c r="O1121" s="528">
        <f t="shared" si="648"/>
        <v>0.0025706940874036</v>
      </c>
      <c r="P1121" s="529">
        <f t="shared" si="649"/>
        <v>82.1314285714286</v>
      </c>
      <c r="Q1121" s="24">
        <f t="shared" si="650"/>
        <v>7</v>
      </c>
      <c r="R1121" s="530">
        <f t="shared" si="651"/>
        <v>0.0179948586118252</v>
      </c>
    </row>
    <row r="1122" spans="1:18">
      <c r="A1122" s="524"/>
      <c r="B1122" s="540" t="s">
        <v>100</v>
      </c>
      <c r="C1122" s="552">
        <v>562.81</v>
      </c>
      <c r="D1122" s="551">
        <v>116938</v>
      </c>
      <c r="E1122" s="551">
        <v>1183</v>
      </c>
      <c r="F1122" s="551">
        <v>0</v>
      </c>
      <c r="G1122" s="551">
        <v>0</v>
      </c>
      <c r="H1122" s="551">
        <v>11</v>
      </c>
      <c r="I1122" s="551">
        <v>6</v>
      </c>
      <c r="J1122" s="551">
        <v>1</v>
      </c>
      <c r="K1122" s="527">
        <f t="shared" si="644"/>
        <v>0.010116471976603</v>
      </c>
      <c r="L1122" s="528">
        <f t="shared" si="645"/>
        <v>0.47574809805579</v>
      </c>
      <c r="M1122" s="528">
        <f t="shared" si="646"/>
        <v>4.81289230190357</v>
      </c>
      <c r="N1122" s="528">
        <f t="shared" si="647"/>
        <v>0</v>
      </c>
      <c r="O1122" s="528">
        <f t="shared" si="648"/>
        <v>0</v>
      </c>
      <c r="P1122" s="529">
        <f t="shared" si="649"/>
        <v>33.1064705882353</v>
      </c>
      <c r="Q1122" s="24">
        <f t="shared" si="650"/>
        <v>17</v>
      </c>
      <c r="R1122" s="530">
        <f t="shared" si="651"/>
        <v>0.0143702451394759</v>
      </c>
    </row>
    <row r="1123" spans="1:18">
      <c r="A1123" s="524"/>
      <c r="B1123" s="540" t="s">
        <v>101</v>
      </c>
      <c r="C1123" s="551">
        <v>0</v>
      </c>
      <c r="D1123" s="551">
        <v>0</v>
      </c>
      <c r="E1123" s="551">
        <v>0</v>
      </c>
      <c r="F1123" s="551">
        <v>0</v>
      </c>
      <c r="G1123" s="551">
        <v>0</v>
      </c>
      <c r="H1123" s="551">
        <v>0</v>
      </c>
      <c r="I1123" s="551">
        <v>0</v>
      </c>
      <c r="J1123" s="551">
        <v>0</v>
      </c>
      <c r="K1123" s="527">
        <f t="shared" si="644"/>
        <v>0</v>
      </c>
      <c r="L1123" s="528">
        <f t="shared" si="645"/>
        <v>0</v>
      </c>
      <c r="M1123" s="528">
        <f t="shared" si="646"/>
        <v>0</v>
      </c>
      <c r="N1123" s="528">
        <f t="shared" si="647"/>
        <v>0</v>
      </c>
      <c r="O1123" s="528">
        <f t="shared" si="648"/>
        <v>0</v>
      </c>
      <c r="P1123" s="529">
        <f t="shared" si="649"/>
        <v>0</v>
      </c>
      <c r="Q1123" s="24">
        <f t="shared" si="650"/>
        <v>0</v>
      </c>
      <c r="R1123" s="530">
        <f t="shared" si="651"/>
        <v>0</v>
      </c>
    </row>
    <row r="1124" spans="1:18">
      <c r="A1124" s="524"/>
      <c r="B1124" s="531" t="s">
        <v>96</v>
      </c>
      <c r="C1124" s="533">
        <f t="shared" ref="C1124:J1124" si="652">SUM(C1120:C1123)</f>
        <v>1437.43</v>
      </c>
      <c r="D1124" s="533">
        <f t="shared" si="652"/>
        <v>140246</v>
      </c>
      <c r="E1124" s="533">
        <f t="shared" si="652"/>
        <v>1797</v>
      </c>
      <c r="F1124" s="533">
        <f t="shared" si="652"/>
        <v>1</v>
      </c>
      <c r="G1124" s="533">
        <f t="shared" si="652"/>
        <v>5998</v>
      </c>
      <c r="H1124" s="533">
        <f t="shared" si="652"/>
        <v>21</v>
      </c>
      <c r="I1124" s="533">
        <f t="shared" si="652"/>
        <v>9</v>
      </c>
      <c r="J1124" s="533">
        <f t="shared" si="652"/>
        <v>6</v>
      </c>
      <c r="K1124" s="534">
        <f t="shared" si="644"/>
        <v>0.0128131996634485</v>
      </c>
      <c r="L1124" s="535">
        <f t="shared" si="645"/>
        <v>0.799905397885364</v>
      </c>
      <c r="M1124" s="535">
        <f t="shared" si="646"/>
        <v>10.2493475749754</v>
      </c>
      <c r="N1124" s="535">
        <f t="shared" si="647"/>
        <v>4.17272493269238</v>
      </c>
      <c r="O1124" s="535">
        <f t="shared" si="648"/>
        <v>0.000556483027267668</v>
      </c>
      <c r="P1124" s="536">
        <f t="shared" si="649"/>
        <v>47.9143333333333</v>
      </c>
      <c r="Q1124" s="531">
        <f t="shared" si="650"/>
        <v>30</v>
      </c>
      <c r="R1124" s="537">
        <f t="shared" si="651"/>
        <v>0.01669449081803</v>
      </c>
    </row>
    <row r="1125" spans="1:18">
      <c r="A1125" s="524">
        <v>45675</v>
      </c>
      <c r="B1125" s="540" t="s">
        <v>98</v>
      </c>
      <c r="C1125" s="551">
        <v>300</v>
      </c>
      <c r="D1125" s="553">
        <v>5403</v>
      </c>
      <c r="E1125" s="551">
        <v>198</v>
      </c>
      <c r="F1125" s="551">
        <v>0</v>
      </c>
      <c r="G1125" s="551">
        <v>0</v>
      </c>
      <c r="H1125" s="551">
        <v>3</v>
      </c>
      <c r="I1125" s="551">
        <v>2</v>
      </c>
      <c r="J1125" s="551">
        <v>0</v>
      </c>
      <c r="K1125" s="527">
        <f t="shared" ref="K1125:K1129" si="653">IF(E1125=0,0,E1125/D1125)</f>
        <v>0.0366463076068851</v>
      </c>
      <c r="L1125" s="528">
        <f t="shared" ref="L1125:L1129" si="654">IF(C1125=0,0,C1125/E1125)</f>
        <v>1.51515151515152</v>
      </c>
      <c r="M1125" s="528">
        <f t="shared" ref="M1125:M1129" si="655">IF(D1125=0,0,C1125/D1125*1000)</f>
        <v>55.5247084952804</v>
      </c>
      <c r="N1125" s="528">
        <f t="shared" ref="N1125:N1129" si="656">IF(G1125=0,0,G1125/C1125)</f>
        <v>0</v>
      </c>
      <c r="O1125" s="528">
        <f t="shared" ref="O1125:O1129" si="657">IF(F1125=0,0,F1125/E1125)</f>
        <v>0</v>
      </c>
      <c r="P1125" s="529">
        <f t="shared" ref="P1125:P1129" si="658">IF(H1125+I1125=0,0,C1125/(H1125+I1125))</f>
        <v>60</v>
      </c>
      <c r="Q1125" s="24">
        <f t="shared" ref="Q1125:Q1129" si="659">H1125+I1125</f>
        <v>5</v>
      </c>
      <c r="R1125" s="530">
        <f t="shared" ref="R1125:R1129" si="660">IF(Q1125=0,0,Q1125/E1125)</f>
        <v>0.0252525252525253</v>
      </c>
    </row>
    <row r="1126" spans="1:18">
      <c r="A1126" s="524"/>
      <c r="B1126" s="540" t="s">
        <v>99</v>
      </c>
      <c r="C1126" s="551">
        <v>0</v>
      </c>
      <c r="D1126" s="551">
        <v>0</v>
      </c>
      <c r="E1126" s="551">
        <v>0</v>
      </c>
      <c r="F1126" s="551">
        <v>0</v>
      </c>
      <c r="G1126" s="551">
        <v>0</v>
      </c>
      <c r="H1126" s="551">
        <v>0</v>
      </c>
      <c r="I1126" s="551">
        <v>0</v>
      </c>
      <c r="J1126" s="551">
        <v>0</v>
      </c>
      <c r="K1126" s="527">
        <f t="shared" si="653"/>
        <v>0</v>
      </c>
      <c r="L1126" s="528">
        <f t="shared" si="654"/>
        <v>0</v>
      </c>
      <c r="M1126" s="528">
        <f t="shared" si="655"/>
        <v>0</v>
      </c>
      <c r="N1126" s="528">
        <f t="shared" si="656"/>
        <v>0</v>
      </c>
      <c r="O1126" s="528">
        <f t="shared" si="657"/>
        <v>0</v>
      </c>
      <c r="P1126" s="529">
        <f t="shared" si="658"/>
        <v>0</v>
      </c>
      <c r="Q1126" s="24">
        <f t="shared" si="659"/>
        <v>0</v>
      </c>
      <c r="R1126" s="530">
        <f t="shared" si="660"/>
        <v>0</v>
      </c>
    </row>
    <row r="1127" spans="1:18">
      <c r="A1127" s="524"/>
      <c r="B1127" s="540" t="s">
        <v>100</v>
      </c>
      <c r="C1127" s="552">
        <v>588.4</v>
      </c>
      <c r="D1127" s="551">
        <v>205279</v>
      </c>
      <c r="E1127" s="551">
        <v>1558</v>
      </c>
      <c r="F1127" s="551">
        <v>0</v>
      </c>
      <c r="G1127" s="551">
        <v>0</v>
      </c>
      <c r="H1127" s="551">
        <v>9</v>
      </c>
      <c r="I1127" s="551">
        <v>10</v>
      </c>
      <c r="J1127" s="551">
        <v>0</v>
      </c>
      <c r="K1127" s="527">
        <f t="shared" si="653"/>
        <v>0.00758967064336829</v>
      </c>
      <c r="L1127" s="528">
        <f t="shared" si="654"/>
        <v>0.377663671373556</v>
      </c>
      <c r="M1127" s="528">
        <f t="shared" si="655"/>
        <v>2.86634287969057</v>
      </c>
      <c r="N1127" s="528">
        <f t="shared" si="656"/>
        <v>0</v>
      </c>
      <c r="O1127" s="528">
        <f t="shared" si="657"/>
        <v>0</v>
      </c>
      <c r="P1127" s="529">
        <f t="shared" si="658"/>
        <v>30.9684210526316</v>
      </c>
      <c r="Q1127" s="24">
        <f t="shared" si="659"/>
        <v>19</v>
      </c>
      <c r="R1127" s="530">
        <f t="shared" si="660"/>
        <v>0.0121951219512195</v>
      </c>
    </row>
    <row r="1128" spans="1:18">
      <c r="A1128" s="524"/>
      <c r="B1128" s="540" t="s">
        <v>101</v>
      </c>
      <c r="C1128" s="551">
        <v>0</v>
      </c>
      <c r="D1128" s="551">
        <v>0</v>
      </c>
      <c r="E1128" s="551">
        <v>0</v>
      </c>
      <c r="F1128" s="551">
        <v>0</v>
      </c>
      <c r="G1128" s="551">
        <v>0</v>
      </c>
      <c r="H1128" s="551">
        <v>0</v>
      </c>
      <c r="I1128" s="551">
        <v>0</v>
      </c>
      <c r="J1128" s="551">
        <v>0</v>
      </c>
      <c r="K1128" s="527">
        <f t="shared" si="653"/>
        <v>0</v>
      </c>
      <c r="L1128" s="528">
        <f t="shared" si="654"/>
        <v>0</v>
      </c>
      <c r="M1128" s="528">
        <f t="shared" si="655"/>
        <v>0</v>
      </c>
      <c r="N1128" s="528">
        <f t="shared" si="656"/>
        <v>0</v>
      </c>
      <c r="O1128" s="528">
        <f t="shared" si="657"/>
        <v>0</v>
      </c>
      <c r="P1128" s="529">
        <f t="shared" si="658"/>
        <v>0</v>
      </c>
      <c r="Q1128" s="24">
        <f t="shared" si="659"/>
        <v>0</v>
      </c>
      <c r="R1128" s="530">
        <f t="shared" si="660"/>
        <v>0</v>
      </c>
    </row>
    <row r="1129" spans="1:18">
      <c r="A1129" s="524"/>
      <c r="B1129" s="531" t="s">
        <v>96</v>
      </c>
      <c r="C1129" s="533">
        <f t="shared" ref="C1129:J1129" si="661">SUM(C1125:C1128)</f>
        <v>888.4</v>
      </c>
      <c r="D1129" s="533">
        <f t="shared" si="661"/>
        <v>210682</v>
      </c>
      <c r="E1129" s="533">
        <f t="shared" si="661"/>
        <v>1756</v>
      </c>
      <c r="F1129" s="533">
        <f t="shared" si="661"/>
        <v>0</v>
      </c>
      <c r="G1129" s="533">
        <f t="shared" si="661"/>
        <v>0</v>
      </c>
      <c r="H1129" s="533">
        <f t="shared" si="661"/>
        <v>12</v>
      </c>
      <c r="I1129" s="533">
        <f t="shared" si="661"/>
        <v>12</v>
      </c>
      <c r="J1129" s="533">
        <f t="shared" si="661"/>
        <v>0</v>
      </c>
      <c r="K1129" s="534">
        <f t="shared" si="653"/>
        <v>0.00833483638849071</v>
      </c>
      <c r="L1129" s="535">
        <f t="shared" si="654"/>
        <v>0.505922551252847</v>
      </c>
      <c r="M1129" s="535">
        <f t="shared" si="655"/>
        <v>4.21678168994029</v>
      </c>
      <c r="N1129" s="535">
        <f t="shared" si="656"/>
        <v>0</v>
      </c>
      <c r="O1129" s="535">
        <f t="shared" si="657"/>
        <v>0</v>
      </c>
      <c r="P1129" s="536">
        <f t="shared" si="658"/>
        <v>37.0166666666667</v>
      </c>
      <c r="Q1129" s="531">
        <f t="shared" si="659"/>
        <v>24</v>
      </c>
      <c r="R1129" s="537">
        <f t="shared" si="660"/>
        <v>0.0136674259681093</v>
      </c>
    </row>
    <row r="1130" spans="1:18">
      <c r="A1130" s="524">
        <v>45676</v>
      </c>
      <c r="B1130" s="540" t="s">
        <v>98</v>
      </c>
      <c r="C1130" s="551">
        <v>300</v>
      </c>
      <c r="D1130" s="553">
        <v>5024</v>
      </c>
      <c r="E1130" s="551">
        <v>212</v>
      </c>
      <c r="F1130" s="551">
        <v>2</v>
      </c>
      <c r="G1130" s="551">
        <v>17254</v>
      </c>
      <c r="H1130" s="551">
        <v>4</v>
      </c>
      <c r="I1130" s="551">
        <v>1</v>
      </c>
      <c r="J1130" s="551">
        <v>3</v>
      </c>
      <c r="K1130" s="527">
        <f t="shared" ref="K1130:K1144" si="662">IF(E1130=0,0,E1130/D1130)</f>
        <v>0.0421974522292994</v>
      </c>
      <c r="L1130" s="528">
        <f t="shared" ref="L1130:L1144" si="663">IF(C1130=0,0,C1130/E1130)</f>
        <v>1.41509433962264</v>
      </c>
      <c r="M1130" s="528">
        <f t="shared" ref="M1130:M1144" si="664">IF(D1130=0,0,C1130/D1130*1000)</f>
        <v>59.7133757961783</v>
      </c>
      <c r="N1130" s="528">
        <f t="shared" ref="N1130:N1144" si="665">IF(G1130=0,0,G1130/C1130)</f>
        <v>57.5133333333333</v>
      </c>
      <c r="O1130" s="528">
        <f t="shared" ref="O1130:O1144" si="666">IF(F1130=0,0,F1130/E1130)</f>
        <v>0.00943396226415094</v>
      </c>
      <c r="P1130" s="529">
        <f t="shared" ref="P1130:P1144" si="667">IF(H1130+I1130=0,0,C1130/(H1130+I1130))</f>
        <v>60</v>
      </c>
      <c r="Q1130" s="24">
        <f t="shared" ref="Q1130:Q1144" si="668">H1130+I1130</f>
        <v>5</v>
      </c>
      <c r="R1130" s="530">
        <f t="shared" ref="R1130:R1144" si="669">IF(Q1130=0,0,Q1130/E1130)</f>
        <v>0.0235849056603774</v>
      </c>
    </row>
    <row r="1131" spans="1:18">
      <c r="A1131" s="524"/>
      <c r="B1131" s="540" t="s">
        <v>99</v>
      </c>
      <c r="C1131" s="551">
        <v>0</v>
      </c>
      <c r="D1131" s="551">
        <v>0</v>
      </c>
      <c r="E1131" s="551">
        <v>0</v>
      </c>
      <c r="F1131" s="551">
        <v>0</v>
      </c>
      <c r="G1131" s="551">
        <v>0</v>
      </c>
      <c r="H1131" s="551">
        <v>0</v>
      </c>
      <c r="I1131" s="551">
        <v>0</v>
      </c>
      <c r="J1131" s="551">
        <v>0</v>
      </c>
      <c r="K1131" s="527">
        <f t="shared" si="662"/>
        <v>0</v>
      </c>
      <c r="L1131" s="528">
        <f t="shared" si="663"/>
        <v>0</v>
      </c>
      <c r="M1131" s="528">
        <f t="shared" si="664"/>
        <v>0</v>
      </c>
      <c r="N1131" s="528">
        <f t="shared" si="665"/>
        <v>0</v>
      </c>
      <c r="O1131" s="528">
        <f t="shared" si="666"/>
        <v>0</v>
      </c>
      <c r="P1131" s="529">
        <f t="shared" si="667"/>
        <v>0</v>
      </c>
      <c r="Q1131" s="24">
        <f t="shared" si="668"/>
        <v>0</v>
      </c>
      <c r="R1131" s="530">
        <f t="shared" si="669"/>
        <v>0</v>
      </c>
    </row>
    <row r="1132" spans="1:18">
      <c r="A1132" s="524"/>
      <c r="B1132" s="540" t="s">
        <v>100</v>
      </c>
      <c r="C1132" s="552">
        <v>595.64</v>
      </c>
      <c r="D1132" s="551">
        <v>153309</v>
      </c>
      <c r="E1132" s="551">
        <v>1819</v>
      </c>
      <c r="F1132" s="551">
        <v>0</v>
      </c>
      <c r="G1132" s="551">
        <v>0</v>
      </c>
      <c r="H1132" s="551">
        <v>8</v>
      </c>
      <c r="I1132" s="551">
        <v>10</v>
      </c>
      <c r="J1132" s="551">
        <v>1</v>
      </c>
      <c r="K1132" s="527">
        <f t="shared" si="662"/>
        <v>0.0118649263904924</v>
      </c>
      <c r="L1132" s="528">
        <f t="shared" si="663"/>
        <v>0.327454645409566</v>
      </c>
      <c r="M1132" s="528">
        <f t="shared" si="664"/>
        <v>3.88522526400929</v>
      </c>
      <c r="N1132" s="528">
        <f t="shared" si="665"/>
        <v>0</v>
      </c>
      <c r="O1132" s="528">
        <f t="shared" si="666"/>
        <v>0</v>
      </c>
      <c r="P1132" s="529">
        <f t="shared" si="667"/>
        <v>33.0911111111111</v>
      </c>
      <c r="Q1132" s="24">
        <f t="shared" si="668"/>
        <v>18</v>
      </c>
      <c r="R1132" s="530">
        <f t="shared" si="669"/>
        <v>0.00989554700384827</v>
      </c>
    </row>
    <row r="1133" spans="1:18">
      <c r="A1133" s="524"/>
      <c r="B1133" s="540" t="s">
        <v>101</v>
      </c>
      <c r="C1133" s="551">
        <v>0</v>
      </c>
      <c r="D1133" s="551">
        <v>0</v>
      </c>
      <c r="E1133" s="551">
        <v>0</v>
      </c>
      <c r="F1133" s="551">
        <v>0</v>
      </c>
      <c r="G1133" s="551">
        <v>0</v>
      </c>
      <c r="H1133" s="551">
        <v>0</v>
      </c>
      <c r="I1133" s="551">
        <v>0</v>
      </c>
      <c r="J1133" s="551">
        <v>0</v>
      </c>
      <c r="K1133" s="527">
        <f t="shared" si="662"/>
        <v>0</v>
      </c>
      <c r="L1133" s="528">
        <f t="shared" si="663"/>
        <v>0</v>
      </c>
      <c r="M1133" s="528">
        <f t="shared" si="664"/>
        <v>0</v>
      </c>
      <c r="N1133" s="528">
        <f t="shared" si="665"/>
        <v>0</v>
      </c>
      <c r="O1133" s="528">
        <f t="shared" si="666"/>
        <v>0</v>
      </c>
      <c r="P1133" s="529">
        <f t="shared" si="667"/>
        <v>0</v>
      </c>
      <c r="Q1133" s="24">
        <f t="shared" si="668"/>
        <v>0</v>
      </c>
      <c r="R1133" s="530">
        <f t="shared" si="669"/>
        <v>0</v>
      </c>
    </row>
    <row r="1134" spans="1:18">
      <c r="A1134" s="524"/>
      <c r="B1134" s="531" t="s">
        <v>96</v>
      </c>
      <c r="C1134" s="533">
        <f t="shared" ref="C1134:J1134" si="670">SUM(C1130:C1133)</f>
        <v>895.64</v>
      </c>
      <c r="D1134" s="533">
        <f t="shared" si="670"/>
        <v>158333</v>
      </c>
      <c r="E1134" s="533">
        <f t="shared" si="670"/>
        <v>2031</v>
      </c>
      <c r="F1134" s="533">
        <f t="shared" si="670"/>
        <v>2</v>
      </c>
      <c r="G1134" s="533">
        <f t="shared" si="670"/>
        <v>17254</v>
      </c>
      <c r="H1134" s="533">
        <f t="shared" si="670"/>
        <v>12</v>
      </c>
      <c r="I1134" s="533">
        <f t="shared" si="670"/>
        <v>11</v>
      </c>
      <c r="J1134" s="533">
        <f t="shared" si="670"/>
        <v>4</v>
      </c>
      <c r="K1134" s="534">
        <f t="shared" si="662"/>
        <v>0.0128273954260956</v>
      </c>
      <c r="L1134" s="535">
        <f t="shared" si="663"/>
        <v>0.440984736582964</v>
      </c>
      <c r="M1134" s="535">
        <f t="shared" si="664"/>
        <v>5.6566855930223</v>
      </c>
      <c r="N1134" s="535">
        <f t="shared" si="665"/>
        <v>19.2644366039927</v>
      </c>
      <c r="O1134" s="535">
        <f t="shared" si="666"/>
        <v>0.000984736582964057</v>
      </c>
      <c r="P1134" s="536">
        <f t="shared" si="667"/>
        <v>38.9408695652174</v>
      </c>
      <c r="Q1134" s="531">
        <f t="shared" si="668"/>
        <v>23</v>
      </c>
      <c r="R1134" s="537">
        <f t="shared" si="669"/>
        <v>0.0113244707040867</v>
      </c>
    </row>
    <row r="1135" spans="1:18">
      <c r="A1135" s="524">
        <v>45677</v>
      </c>
      <c r="B1135" s="540" t="s">
        <v>98</v>
      </c>
      <c r="C1135" s="551">
        <v>300</v>
      </c>
      <c r="D1135" s="553">
        <v>5673</v>
      </c>
      <c r="E1135" s="551">
        <v>155</v>
      </c>
      <c r="F1135" s="551">
        <v>0</v>
      </c>
      <c r="G1135" s="551">
        <v>0</v>
      </c>
      <c r="H1135" s="551">
        <v>2</v>
      </c>
      <c r="I1135" s="551">
        <v>0</v>
      </c>
      <c r="J1135" s="551">
        <v>0</v>
      </c>
      <c r="K1135" s="527">
        <f t="shared" si="662"/>
        <v>0.0273224043715847</v>
      </c>
      <c r="L1135" s="528">
        <f t="shared" si="663"/>
        <v>1.93548387096774</v>
      </c>
      <c r="M1135" s="528">
        <f t="shared" si="664"/>
        <v>52.8820729772607</v>
      </c>
      <c r="N1135" s="528">
        <f t="shared" si="665"/>
        <v>0</v>
      </c>
      <c r="O1135" s="528">
        <f t="shared" si="666"/>
        <v>0</v>
      </c>
      <c r="P1135" s="529">
        <f t="shared" si="667"/>
        <v>150</v>
      </c>
      <c r="Q1135" s="24">
        <f t="shared" si="668"/>
        <v>2</v>
      </c>
      <c r="R1135" s="530">
        <f t="shared" si="669"/>
        <v>0.0129032258064516</v>
      </c>
    </row>
    <row r="1136" spans="1:18">
      <c r="A1136" s="524"/>
      <c r="B1136" s="540" t="s">
        <v>99</v>
      </c>
      <c r="C1136" s="551">
        <v>398.41</v>
      </c>
      <c r="D1136" s="551">
        <v>21011</v>
      </c>
      <c r="E1136" s="551">
        <v>254</v>
      </c>
      <c r="F1136" s="551">
        <v>0</v>
      </c>
      <c r="G1136" s="551">
        <v>0</v>
      </c>
      <c r="H1136" s="551">
        <v>1</v>
      </c>
      <c r="I1136" s="551">
        <v>0</v>
      </c>
      <c r="J1136" s="551">
        <v>0</v>
      </c>
      <c r="K1136" s="527">
        <f t="shared" si="662"/>
        <v>0.0120889058112417</v>
      </c>
      <c r="L1136" s="528">
        <f t="shared" si="663"/>
        <v>1.56854330708661</v>
      </c>
      <c r="M1136" s="528">
        <f t="shared" si="664"/>
        <v>18.9619723002237</v>
      </c>
      <c r="N1136" s="528">
        <f t="shared" si="665"/>
        <v>0</v>
      </c>
      <c r="O1136" s="528">
        <f t="shared" si="666"/>
        <v>0</v>
      </c>
      <c r="P1136" s="529">
        <f t="shared" si="667"/>
        <v>398.41</v>
      </c>
      <c r="Q1136" s="24">
        <f t="shared" si="668"/>
        <v>1</v>
      </c>
      <c r="R1136" s="530">
        <f t="shared" si="669"/>
        <v>0.00393700787401575</v>
      </c>
    </row>
    <row r="1137" spans="1:18">
      <c r="A1137" s="524"/>
      <c r="B1137" s="540" t="s">
        <v>100</v>
      </c>
      <c r="C1137" s="552">
        <v>585.44</v>
      </c>
      <c r="D1137" s="551">
        <v>326197</v>
      </c>
      <c r="E1137" s="551">
        <v>2825</v>
      </c>
      <c r="F1137" s="551">
        <v>1</v>
      </c>
      <c r="G1137" s="551">
        <v>400</v>
      </c>
      <c r="H1137" s="551">
        <v>8</v>
      </c>
      <c r="I1137" s="551">
        <v>10</v>
      </c>
      <c r="J1137" s="551">
        <v>0</v>
      </c>
      <c r="K1137" s="527">
        <f t="shared" si="662"/>
        <v>0.00866041073339117</v>
      </c>
      <c r="L1137" s="528">
        <f t="shared" si="663"/>
        <v>0.207235398230089</v>
      </c>
      <c r="M1137" s="528">
        <f t="shared" si="664"/>
        <v>1.79474366717045</v>
      </c>
      <c r="N1137" s="528">
        <f t="shared" si="665"/>
        <v>0.683246788740093</v>
      </c>
      <c r="O1137" s="528">
        <f t="shared" si="666"/>
        <v>0.000353982300884956</v>
      </c>
      <c r="P1137" s="529">
        <f t="shared" si="667"/>
        <v>32.5244444444444</v>
      </c>
      <c r="Q1137" s="24">
        <f t="shared" si="668"/>
        <v>18</v>
      </c>
      <c r="R1137" s="530">
        <f t="shared" si="669"/>
        <v>0.0063716814159292</v>
      </c>
    </row>
    <row r="1138" spans="1:18">
      <c r="A1138" s="524"/>
      <c r="B1138" s="540" t="s">
        <v>101</v>
      </c>
      <c r="C1138" s="551">
        <v>0</v>
      </c>
      <c r="D1138" s="551">
        <v>0</v>
      </c>
      <c r="E1138" s="551">
        <v>0</v>
      </c>
      <c r="F1138" s="551">
        <v>0</v>
      </c>
      <c r="G1138" s="551">
        <v>0</v>
      </c>
      <c r="H1138" s="551">
        <v>0</v>
      </c>
      <c r="I1138" s="551">
        <v>0</v>
      </c>
      <c r="J1138" s="551">
        <v>0</v>
      </c>
      <c r="K1138" s="527">
        <f t="shared" si="662"/>
        <v>0</v>
      </c>
      <c r="L1138" s="528">
        <f t="shared" si="663"/>
        <v>0</v>
      </c>
      <c r="M1138" s="528">
        <f t="shared" si="664"/>
        <v>0</v>
      </c>
      <c r="N1138" s="528">
        <f t="shared" si="665"/>
        <v>0</v>
      </c>
      <c r="O1138" s="528">
        <f t="shared" si="666"/>
        <v>0</v>
      </c>
      <c r="P1138" s="529">
        <f t="shared" si="667"/>
        <v>0</v>
      </c>
      <c r="Q1138" s="24">
        <f t="shared" si="668"/>
        <v>0</v>
      </c>
      <c r="R1138" s="530">
        <f t="shared" si="669"/>
        <v>0</v>
      </c>
    </row>
    <row r="1139" spans="1:18">
      <c r="A1139" s="524"/>
      <c r="B1139" s="531" t="s">
        <v>96</v>
      </c>
      <c r="C1139" s="533">
        <f t="shared" ref="C1139:J1139" si="671">SUM(C1135:C1138)</f>
        <v>1283.85</v>
      </c>
      <c r="D1139" s="533">
        <f t="shared" si="671"/>
        <v>352881</v>
      </c>
      <c r="E1139" s="533">
        <f t="shared" si="671"/>
        <v>3234</v>
      </c>
      <c r="F1139" s="533">
        <f t="shared" si="671"/>
        <v>1</v>
      </c>
      <c r="G1139" s="533">
        <f t="shared" si="671"/>
        <v>400</v>
      </c>
      <c r="H1139" s="533">
        <f t="shared" si="671"/>
        <v>11</v>
      </c>
      <c r="I1139" s="533">
        <f t="shared" si="671"/>
        <v>10</v>
      </c>
      <c r="J1139" s="533">
        <f t="shared" si="671"/>
        <v>0</v>
      </c>
      <c r="K1139" s="534">
        <f t="shared" si="662"/>
        <v>0.00916456255791612</v>
      </c>
      <c r="L1139" s="535">
        <f t="shared" si="663"/>
        <v>0.396985157699443</v>
      </c>
      <c r="M1139" s="535">
        <f t="shared" si="664"/>
        <v>3.63819531230075</v>
      </c>
      <c r="N1139" s="535">
        <f t="shared" si="665"/>
        <v>0.311562877283172</v>
      </c>
      <c r="O1139" s="535">
        <f t="shared" si="666"/>
        <v>0.000309214594928881</v>
      </c>
      <c r="P1139" s="536">
        <f t="shared" si="667"/>
        <v>61.1357142857143</v>
      </c>
      <c r="Q1139" s="531">
        <f t="shared" si="668"/>
        <v>21</v>
      </c>
      <c r="R1139" s="537">
        <f t="shared" si="669"/>
        <v>0.00649350649350649</v>
      </c>
    </row>
    <row r="1140" spans="1:18">
      <c r="A1140" s="524">
        <v>45678</v>
      </c>
      <c r="B1140" s="540" t="s">
        <v>98</v>
      </c>
      <c r="C1140" s="551">
        <v>300</v>
      </c>
      <c r="D1140" s="553">
        <v>6194</v>
      </c>
      <c r="E1140" s="551">
        <v>189</v>
      </c>
      <c r="F1140" s="551">
        <v>1</v>
      </c>
      <c r="G1140" s="551">
        <v>7802</v>
      </c>
      <c r="H1140" s="551">
        <v>2</v>
      </c>
      <c r="I1140" s="551">
        <v>0</v>
      </c>
      <c r="J1140" s="551">
        <v>0</v>
      </c>
      <c r="K1140" s="527">
        <f t="shared" si="662"/>
        <v>0.0305134000645786</v>
      </c>
      <c r="L1140" s="528">
        <f t="shared" si="663"/>
        <v>1.58730158730159</v>
      </c>
      <c r="M1140" s="528">
        <f t="shared" si="664"/>
        <v>48.433968356474</v>
      </c>
      <c r="N1140" s="528">
        <f t="shared" si="665"/>
        <v>26.0066666666667</v>
      </c>
      <c r="O1140" s="528">
        <f t="shared" si="666"/>
        <v>0.00529100529100529</v>
      </c>
      <c r="P1140" s="529">
        <f t="shared" si="667"/>
        <v>150</v>
      </c>
      <c r="Q1140" s="24">
        <f t="shared" si="668"/>
        <v>2</v>
      </c>
      <c r="R1140" s="530">
        <f t="shared" si="669"/>
        <v>0.0105820105820106</v>
      </c>
    </row>
    <row r="1141" spans="1:18">
      <c r="A1141" s="524"/>
      <c r="B1141" s="540" t="s">
        <v>99</v>
      </c>
      <c r="C1141" s="551">
        <v>0</v>
      </c>
      <c r="D1141" s="551">
        <v>0</v>
      </c>
      <c r="E1141" s="551">
        <v>0</v>
      </c>
      <c r="F1141" s="551">
        <v>0</v>
      </c>
      <c r="G1141" s="551">
        <v>0</v>
      </c>
      <c r="H1141" s="551">
        <v>0</v>
      </c>
      <c r="I1141" s="551">
        <v>0</v>
      </c>
      <c r="J1141" s="551">
        <v>0</v>
      </c>
      <c r="K1141" s="527">
        <f t="shared" si="662"/>
        <v>0</v>
      </c>
      <c r="L1141" s="528">
        <f t="shared" si="663"/>
        <v>0</v>
      </c>
      <c r="M1141" s="528">
        <f t="shared" si="664"/>
        <v>0</v>
      </c>
      <c r="N1141" s="528">
        <f t="shared" si="665"/>
        <v>0</v>
      </c>
      <c r="O1141" s="528">
        <f t="shared" si="666"/>
        <v>0</v>
      </c>
      <c r="P1141" s="529">
        <f t="shared" si="667"/>
        <v>0</v>
      </c>
      <c r="Q1141" s="24">
        <f t="shared" si="668"/>
        <v>0</v>
      </c>
      <c r="R1141" s="530">
        <f t="shared" si="669"/>
        <v>0</v>
      </c>
    </row>
    <row r="1142" spans="1:18">
      <c r="A1142" s="524"/>
      <c r="B1142" s="540" t="s">
        <v>100</v>
      </c>
      <c r="C1142" s="552">
        <v>593.86</v>
      </c>
      <c r="D1142" s="551">
        <v>319075</v>
      </c>
      <c r="E1142" s="551">
        <v>2351</v>
      </c>
      <c r="F1142" s="551">
        <v>0</v>
      </c>
      <c r="G1142" s="551">
        <v>0</v>
      </c>
      <c r="H1142" s="551">
        <v>13</v>
      </c>
      <c r="I1142" s="551">
        <v>13</v>
      </c>
      <c r="J1142" s="551">
        <v>1</v>
      </c>
      <c r="K1142" s="527">
        <f t="shared" si="662"/>
        <v>0.00736817362689023</v>
      </c>
      <c r="L1142" s="528">
        <f t="shared" si="663"/>
        <v>0.252598894087622</v>
      </c>
      <c r="M1142" s="528">
        <f t="shared" si="664"/>
        <v>1.86119250959806</v>
      </c>
      <c r="N1142" s="528">
        <f t="shared" si="665"/>
        <v>0</v>
      </c>
      <c r="O1142" s="528">
        <f t="shared" si="666"/>
        <v>0</v>
      </c>
      <c r="P1142" s="529">
        <f t="shared" si="667"/>
        <v>22.8407692307692</v>
      </c>
      <c r="Q1142" s="24">
        <f t="shared" si="668"/>
        <v>26</v>
      </c>
      <c r="R1142" s="530">
        <f t="shared" si="669"/>
        <v>0.0110591237771161</v>
      </c>
    </row>
    <row r="1143" spans="1:18">
      <c r="A1143" s="524"/>
      <c r="B1143" s="540" t="s">
        <v>101</v>
      </c>
      <c r="C1143" s="551">
        <v>0</v>
      </c>
      <c r="D1143" s="551">
        <v>0</v>
      </c>
      <c r="E1143" s="551">
        <v>0</v>
      </c>
      <c r="F1143" s="551">
        <v>0</v>
      </c>
      <c r="G1143" s="551">
        <v>0</v>
      </c>
      <c r="H1143" s="551">
        <v>0</v>
      </c>
      <c r="I1143" s="551">
        <v>0</v>
      </c>
      <c r="J1143" s="551">
        <v>0</v>
      </c>
      <c r="K1143" s="527">
        <f t="shared" si="662"/>
        <v>0</v>
      </c>
      <c r="L1143" s="528">
        <f t="shared" si="663"/>
        <v>0</v>
      </c>
      <c r="M1143" s="528">
        <f t="shared" si="664"/>
        <v>0</v>
      </c>
      <c r="N1143" s="528">
        <f t="shared" si="665"/>
        <v>0</v>
      </c>
      <c r="O1143" s="528">
        <f t="shared" si="666"/>
        <v>0</v>
      </c>
      <c r="P1143" s="529">
        <f t="shared" si="667"/>
        <v>0</v>
      </c>
      <c r="Q1143" s="24">
        <f t="shared" si="668"/>
        <v>0</v>
      </c>
      <c r="R1143" s="530">
        <f t="shared" si="669"/>
        <v>0</v>
      </c>
    </row>
    <row r="1144" spans="1:18">
      <c r="A1144" s="524"/>
      <c r="B1144" s="531" t="s">
        <v>96</v>
      </c>
      <c r="C1144" s="533">
        <f t="shared" ref="C1144:J1144" si="672">SUM(C1140:C1143)</f>
        <v>893.86</v>
      </c>
      <c r="D1144" s="533">
        <f t="shared" si="672"/>
        <v>325269</v>
      </c>
      <c r="E1144" s="533">
        <f t="shared" si="672"/>
        <v>2540</v>
      </c>
      <c r="F1144" s="533">
        <f t="shared" si="672"/>
        <v>1</v>
      </c>
      <c r="G1144" s="533">
        <f t="shared" si="672"/>
        <v>7802</v>
      </c>
      <c r="H1144" s="533">
        <f t="shared" si="672"/>
        <v>15</v>
      </c>
      <c r="I1144" s="533">
        <f t="shared" si="672"/>
        <v>13</v>
      </c>
      <c r="J1144" s="533">
        <f t="shared" si="672"/>
        <v>1</v>
      </c>
      <c r="K1144" s="534">
        <f t="shared" si="662"/>
        <v>0.00780892123135005</v>
      </c>
      <c r="L1144" s="535">
        <f t="shared" si="663"/>
        <v>0.351913385826772</v>
      </c>
      <c r="M1144" s="535">
        <f t="shared" si="664"/>
        <v>2.74806391017896</v>
      </c>
      <c r="N1144" s="535">
        <f t="shared" si="665"/>
        <v>8.7284362204372</v>
      </c>
      <c r="O1144" s="535">
        <f t="shared" si="666"/>
        <v>0.000393700787401575</v>
      </c>
      <c r="P1144" s="536">
        <f t="shared" si="667"/>
        <v>31.9235714285714</v>
      </c>
      <c r="Q1144" s="531">
        <f t="shared" si="668"/>
        <v>28</v>
      </c>
      <c r="R1144" s="537">
        <f t="shared" si="669"/>
        <v>0.0110236220472441</v>
      </c>
    </row>
    <row r="1145" spans="1:18">
      <c r="A1145" s="524">
        <v>45679</v>
      </c>
      <c r="B1145" s="540" t="s">
        <v>98</v>
      </c>
      <c r="C1145" s="551">
        <v>300</v>
      </c>
      <c r="D1145" s="553">
        <v>9372</v>
      </c>
      <c r="E1145" s="551">
        <v>254</v>
      </c>
      <c r="F1145" s="551">
        <v>0</v>
      </c>
      <c r="G1145" s="551">
        <v>0</v>
      </c>
      <c r="H1145" s="551">
        <v>1</v>
      </c>
      <c r="I1145" s="551">
        <v>0</v>
      </c>
      <c r="J1145" s="551">
        <v>1</v>
      </c>
      <c r="K1145" s="527">
        <f t="shared" ref="K1145:K1164" si="673">IF(E1145=0,0,E1145/D1145)</f>
        <v>0.0271020059752454</v>
      </c>
      <c r="L1145" s="528">
        <f t="shared" ref="L1145:L1164" si="674">IF(C1145=0,0,C1145/E1145)</f>
        <v>1.18110236220472</v>
      </c>
      <c r="M1145" s="528">
        <f t="shared" ref="M1145:M1164" si="675">IF(D1145=0,0,C1145/D1145*1000)</f>
        <v>32.0102432778489</v>
      </c>
      <c r="N1145" s="528">
        <f t="shared" ref="N1145:N1164" si="676">IF(G1145=0,0,G1145/C1145)</f>
        <v>0</v>
      </c>
      <c r="O1145" s="528">
        <f t="shared" ref="O1145:O1164" si="677">IF(F1145=0,0,F1145/E1145)</f>
        <v>0</v>
      </c>
      <c r="P1145" s="529">
        <f t="shared" ref="P1145:P1164" si="678">IF(H1145+I1145=0,0,C1145/(H1145+I1145))</f>
        <v>300</v>
      </c>
      <c r="Q1145" s="24">
        <f t="shared" ref="Q1145:Q1164" si="679">H1145+I1145</f>
        <v>1</v>
      </c>
      <c r="R1145" s="530">
        <f t="shared" ref="R1145:R1164" si="680">IF(Q1145=0,0,Q1145/E1145)</f>
        <v>0.00393700787401575</v>
      </c>
    </row>
    <row r="1146" spans="1:18">
      <c r="A1146" s="524"/>
      <c r="B1146" s="540" t="s">
        <v>99</v>
      </c>
      <c r="C1146" s="551">
        <v>0</v>
      </c>
      <c r="D1146" s="551">
        <v>0</v>
      </c>
      <c r="E1146" s="551">
        <v>0</v>
      </c>
      <c r="F1146" s="551">
        <v>0</v>
      </c>
      <c r="G1146" s="551">
        <v>0</v>
      </c>
      <c r="H1146" s="551">
        <v>0</v>
      </c>
      <c r="I1146" s="551">
        <v>0</v>
      </c>
      <c r="J1146" s="551">
        <v>0</v>
      </c>
      <c r="K1146" s="527">
        <f t="shared" si="673"/>
        <v>0</v>
      </c>
      <c r="L1146" s="528">
        <f t="shared" si="674"/>
        <v>0</v>
      </c>
      <c r="M1146" s="528">
        <f t="shared" si="675"/>
        <v>0</v>
      </c>
      <c r="N1146" s="528">
        <f t="shared" si="676"/>
        <v>0</v>
      </c>
      <c r="O1146" s="528">
        <f t="shared" si="677"/>
        <v>0</v>
      </c>
      <c r="P1146" s="529">
        <f t="shared" si="678"/>
        <v>0</v>
      </c>
      <c r="Q1146" s="24">
        <f t="shared" si="679"/>
        <v>0</v>
      </c>
      <c r="R1146" s="530">
        <f t="shared" si="680"/>
        <v>0</v>
      </c>
    </row>
    <row r="1147" spans="1:18">
      <c r="A1147" s="524"/>
      <c r="B1147" s="540" t="s">
        <v>100</v>
      </c>
      <c r="C1147" s="552">
        <v>599.44</v>
      </c>
      <c r="D1147" s="551">
        <v>375450</v>
      </c>
      <c r="E1147" s="551">
        <v>2436</v>
      </c>
      <c r="F1147" s="551">
        <v>0</v>
      </c>
      <c r="G1147" s="551">
        <v>0</v>
      </c>
      <c r="H1147" s="551">
        <v>7</v>
      </c>
      <c r="I1147" s="551">
        <v>13</v>
      </c>
      <c r="J1147" s="551">
        <v>1</v>
      </c>
      <c r="K1147" s="527">
        <f t="shared" si="673"/>
        <v>0.00648821414302837</v>
      </c>
      <c r="L1147" s="528">
        <f t="shared" si="674"/>
        <v>0.246075533661741</v>
      </c>
      <c r="M1147" s="528">
        <f t="shared" si="675"/>
        <v>1.59659075775736</v>
      </c>
      <c r="N1147" s="528">
        <f t="shared" si="676"/>
        <v>0</v>
      </c>
      <c r="O1147" s="528">
        <f t="shared" si="677"/>
        <v>0</v>
      </c>
      <c r="P1147" s="529">
        <f t="shared" si="678"/>
        <v>29.972</v>
      </c>
      <c r="Q1147" s="24">
        <f t="shared" si="679"/>
        <v>20</v>
      </c>
      <c r="R1147" s="530">
        <f t="shared" si="680"/>
        <v>0.00821018062397373</v>
      </c>
    </row>
    <row r="1148" spans="1:18">
      <c r="A1148" s="524"/>
      <c r="B1148" s="540" t="s">
        <v>101</v>
      </c>
      <c r="C1148" s="551">
        <v>0</v>
      </c>
      <c r="D1148" s="551">
        <v>0</v>
      </c>
      <c r="E1148" s="551">
        <v>0</v>
      </c>
      <c r="F1148" s="551">
        <v>0</v>
      </c>
      <c r="G1148" s="551">
        <v>0</v>
      </c>
      <c r="H1148" s="551">
        <v>0</v>
      </c>
      <c r="I1148" s="551">
        <v>0</v>
      </c>
      <c r="J1148" s="551">
        <v>0</v>
      </c>
      <c r="K1148" s="527">
        <f t="shared" si="673"/>
        <v>0</v>
      </c>
      <c r="L1148" s="528">
        <f t="shared" si="674"/>
        <v>0</v>
      </c>
      <c r="M1148" s="528">
        <f t="shared" si="675"/>
        <v>0</v>
      </c>
      <c r="N1148" s="528">
        <f t="shared" si="676"/>
        <v>0</v>
      </c>
      <c r="O1148" s="528">
        <f t="shared" si="677"/>
        <v>0</v>
      </c>
      <c r="P1148" s="529">
        <f t="shared" si="678"/>
        <v>0</v>
      </c>
      <c r="Q1148" s="24">
        <f t="shared" si="679"/>
        <v>0</v>
      </c>
      <c r="R1148" s="530">
        <f t="shared" si="680"/>
        <v>0</v>
      </c>
    </row>
    <row r="1149" spans="1:18">
      <c r="A1149" s="524"/>
      <c r="B1149" s="531" t="s">
        <v>96</v>
      </c>
      <c r="C1149" s="533">
        <f t="shared" ref="C1149:J1149" si="681">SUM(C1145:C1148)</f>
        <v>899.44</v>
      </c>
      <c r="D1149" s="533">
        <f t="shared" si="681"/>
        <v>384822</v>
      </c>
      <c r="E1149" s="533">
        <f t="shared" si="681"/>
        <v>2690</v>
      </c>
      <c r="F1149" s="533">
        <f t="shared" si="681"/>
        <v>0</v>
      </c>
      <c r="G1149" s="533">
        <f t="shared" si="681"/>
        <v>0</v>
      </c>
      <c r="H1149" s="533">
        <f t="shared" si="681"/>
        <v>8</v>
      </c>
      <c r="I1149" s="533">
        <f t="shared" si="681"/>
        <v>13</v>
      </c>
      <c r="J1149" s="533">
        <f t="shared" si="681"/>
        <v>2</v>
      </c>
      <c r="K1149" s="534">
        <f t="shared" si="673"/>
        <v>0.0069902448404717</v>
      </c>
      <c r="L1149" s="535">
        <f t="shared" si="674"/>
        <v>0.334364312267658</v>
      </c>
      <c r="M1149" s="535">
        <f t="shared" si="675"/>
        <v>2.33728840866686</v>
      </c>
      <c r="N1149" s="535">
        <f t="shared" si="676"/>
        <v>0</v>
      </c>
      <c r="O1149" s="535">
        <f t="shared" si="677"/>
        <v>0</v>
      </c>
      <c r="P1149" s="536">
        <f t="shared" si="678"/>
        <v>42.8304761904762</v>
      </c>
      <c r="Q1149" s="531">
        <f t="shared" si="679"/>
        <v>21</v>
      </c>
      <c r="R1149" s="537">
        <f t="shared" si="680"/>
        <v>0.00780669144981413</v>
      </c>
    </row>
    <row r="1150" spans="1:18">
      <c r="A1150" s="524">
        <v>45680</v>
      </c>
      <c r="B1150" s="540" t="s">
        <v>98</v>
      </c>
      <c r="C1150" s="551">
        <v>300</v>
      </c>
      <c r="D1150" s="553">
        <v>9092</v>
      </c>
      <c r="E1150" s="551">
        <v>248</v>
      </c>
      <c r="F1150" s="551">
        <v>0</v>
      </c>
      <c r="G1150" s="551">
        <v>0</v>
      </c>
      <c r="H1150" s="551">
        <v>9</v>
      </c>
      <c r="I1150" s="551">
        <v>2</v>
      </c>
      <c r="J1150" s="551">
        <v>1</v>
      </c>
      <c r="K1150" s="527">
        <f t="shared" si="673"/>
        <v>0.0272767267927849</v>
      </c>
      <c r="L1150" s="528">
        <f t="shared" si="674"/>
        <v>1.20967741935484</v>
      </c>
      <c r="M1150" s="528">
        <f t="shared" si="675"/>
        <v>32.996040475143</v>
      </c>
      <c r="N1150" s="528">
        <f t="shared" si="676"/>
        <v>0</v>
      </c>
      <c r="O1150" s="528">
        <f t="shared" si="677"/>
        <v>0</v>
      </c>
      <c r="P1150" s="529">
        <f t="shared" si="678"/>
        <v>27.2727272727273</v>
      </c>
      <c r="Q1150" s="24">
        <f t="shared" si="679"/>
        <v>11</v>
      </c>
      <c r="R1150" s="530">
        <f t="shared" si="680"/>
        <v>0.0443548387096774</v>
      </c>
    </row>
    <row r="1151" spans="1:18">
      <c r="A1151" s="524"/>
      <c r="B1151" s="540" t="s">
        <v>99</v>
      </c>
      <c r="C1151" s="551">
        <v>0</v>
      </c>
      <c r="D1151" s="551">
        <v>0</v>
      </c>
      <c r="E1151" s="551">
        <v>0</v>
      </c>
      <c r="F1151" s="551">
        <v>0</v>
      </c>
      <c r="G1151" s="551">
        <v>0</v>
      </c>
      <c r="H1151" s="551">
        <v>0</v>
      </c>
      <c r="I1151" s="551">
        <v>0</v>
      </c>
      <c r="J1151" s="551">
        <v>0</v>
      </c>
      <c r="K1151" s="527">
        <f t="shared" si="673"/>
        <v>0</v>
      </c>
      <c r="L1151" s="528">
        <f t="shared" si="674"/>
        <v>0</v>
      </c>
      <c r="M1151" s="528">
        <f t="shared" si="675"/>
        <v>0</v>
      </c>
      <c r="N1151" s="528">
        <f t="shared" si="676"/>
        <v>0</v>
      </c>
      <c r="O1151" s="528">
        <f t="shared" si="677"/>
        <v>0</v>
      </c>
      <c r="P1151" s="529">
        <f t="shared" si="678"/>
        <v>0</v>
      </c>
      <c r="Q1151" s="24">
        <f t="shared" si="679"/>
        <v>0</v>
      </c>
      <c r="R1151" s="530">
        <f t="shared" si="680"/>
        <v>0</v>
      </c>
    </row>
    <row r="1152" spans="1:18">
      <c r="A1152" s="524"/>
      <c r="B1152" s="540" t="s">
        <v>100</v>
      </c>
      <c r="C1152" s="552">
        <v>598.79</v>
      </c>
      <c r="D1152" s="551">
        <v>403587</v>
      </c>
      <c r="E1152" s="551">
        <v>2138</v>
      </c>
      <c r="F1152" s="551">
        <v>0</v>
      </c>
      <c r="G1152" s="551">
        <v>0</v>
      </c>
      <c r="H1152" s="551">
        <v>23</v>
      </c>
      <c r="I1152" s="551">
        <v>15</v>
      </c>
      <c r="J1152" s="551">
        <v>0</v>
      </c>
      <c r="K1152" s="527">
        <f t="shared" si="673"/>
        <v>0.00529749471613308</v>
      </c>
      <c r="L1152" s="528">
        <f t="shared" si="674"/>
        <v>0.280070159027128</v>
      </c>
      <c r="M1152" s="528">
        <f t="shared" si="675"/>
        <v>1.48367018759276</v>
      </c>
      <c r="N1152" s="528">
        <f t="shared" si="676"/>
        <v>0</v>
      </c>
      <c r="O1152" s="528">
        <f t="shared" si="677"/>
        <v>0</v>
      </c>
      <c r="P1152" s="529">
        <f t="shared" si="678"/>
        <v>15.7576315789474</v>
      </c>
      <c r="Q1152" s="24">
        <f t="shared" si="679"/>
        <v>38</v>
      </c>
      <c r="R1152" s="530">
        <f t="shared" si="680"/>
        <v>0.0177736202057998</v>
      </c>
    </row>
    <row r="1153" spans="1:18">
      <c r="A1153" s="524"/>
      <c r="B1153" s="540" t="s">
        <v>101</v>
      </c>
      <c r="C1153" s="551">
        <v>0</v>
      </c>
      <c r="D1153" s="551">
        <v>0</v>
      </c>
      <c r="E1153" s="551">
        <v>0</v>
      </c>
      <c r="F1153" s="551">
        <v>0</v>
      </c>
      <c r="G1153" s="551">
        <v>0</v>
      </c>
      <c r="H1153" s="551">
        <v>0</v>
      </c>
      <c r="I1153" s="551">
        <v>0</v>
      </c>
      <c r="J1153" s="551">
        <v>0</v>
      </c>
      <c r="K1153" s="527">
        <f t="shared" si="673"/>
        <v>0</v>
      </c>
      <c r="L1153" s="528">
        <f t="shared" si="674"/>
        <v>0</v>
      </c>
      <c r="M1153" s="528">
        <f t="shared" si="675"/>
        <v>0</v>
      </c>
      <c r="N1153" s="528">
        <f t="shared" si="676"/>
        <v>0</v>
      </c>
      <c r="O1153" s="528">
        <f t="shared" si="677"/>
        <v>0</v>
      </c>
      <c r="P1153" s="529">
        <f t="shared" si="678"/>
        <v>0</v>
      </c>
      <c r="Q1153" s="24">
        <f t="shared" si="679"/>
        <v>0</v>
      </c>
      <c r="R1153" s="530">
        <f t="shared" si="680"/>
        <v>0</v>
      </c>
    </row>
    <row r="1154" spans="1:18">
      <c r="A1154" s="524"/>
      <c r="B1154" s="531" t="s">
        <v>96</v>
      </c>
      <c r="C1154" s="533">
        <f t="shared" ref="C1154:J1154" si="682">SUM(C1150:C1153)</f>
        <v>898.79</v>
      </c>
      <c r="D1154" s="533">
        <f t="shared" si="682"/>
        <v>412679</v>
      </c>
      <c r="E1154" s="533">
        <f t="shared" si="682"/>
        <v>2386</v>
      </c>
      <c r="F1154" s="533">
        <f t="shared" si="682"/>
        <v>0</v>
      </c>
      <c r="G1154" s="533">
        <f t="shared" si="682"/>
        <v>0</v>
      </c>
      <c r="H1154" s="533">
        <f t="shared" si="682"/>
        <v>32</v>
      </c>
      <c r="I1154" s="533">
        <f t="shared" si="682"/>
        <v>17</v>
      </c>
      <c r="J1154" s="533">
        <f t="shared" si="682"/>
        <v>1</v>
      </c>
      <c r="K1154" s="534">
        <f t="shared" si="673"/>
        <v>0.00578173350231051</v>
      </c>
      <c r="L1154" s="535">
        <f t="shared" si="674"/>
        <v>0.376693210393965</v>
      </c>
      <c r="M1154" s="535">
        <f t="shared" si="675"/>
        <v>2.17793975462769</v>
      </c>
      <c r="N1154" s="535">
        <f t="shared" si="676"/>
        <v>0</v>
      </c>
      <c r="O1154" s="535">
        <f t="shared" si="677"/>
        <v>0</v>
      </c>
      <c r="P1154" s="536">
        <f t="shared" si="678"/>
        <v>18.3426530612245</v>
      </c>
      <c r="Q1154" s="531">
        <f t="shared" si="679"/>
        <v>49</v>
      </c>
      <c r="R1154" s="537">
        <f t="shared" si="680"/>
        <v>0.020536462699078</v>
      </c>
    </row>
    <row r="1155" spans="1:18">
      <c r="A1155" s="524">
        <v>45681</v>
      </c>
      <c r="B1155" s="540" t="s">
        <v>98</v>
      </c>
      <c r="C1155" s="551">
        <v>300</v>
      </c>
      <c r="D1155" s="553">
        <v>7036</v>
      </c>
      <c r="E1155" s="551">
        <v>256</v>
      </c>
      <c r="F1155" s="551">
        <v>0</v>
      </c>
      <c r="G1155" s="551">
        <v>0</v>
      </c>
      <c r="H1155" s="551">
        <v>0</v>
      </c>
      <c r="I1155" s="551">
        <v>0</v>
      </c>
      <c r="J1155" s="551">
        <v>2</v>
      </c>
      <c r="K1155" s="527">
        <f t="shared" si="673"/>
        <v>0.0363843092666288</v>
      </c>
      <c r="L1155" s="528">
        <f t="shared" si="674"/>
        <v>1.171875</v>
      </c>
      <c r="M1155" s="528">
        <f t="shared" si="675"/>
        <v>42.6378624218306</v>
      </c>
      <c r="N1155" s="528">
        <f t="shared" si="676"/>
        <v>0</v>
      </c>
      <c r="O1155" s="528">
        <f t="shared" si="677"/>
        <v>0</v>
      </c>
      <c r="P1155" s="529">
        <f t="shared" si="678"/>
        <v>0</v>
      </c>
      <c r="Q1155" s="24">
        <f t="shared" si="679"/>
        <v>0</v>
      </c>
      <c r="R1155" s="530">
        <f t="shared" si="680"/>
        <v>0</v>
      </c>
    </row>
    <row r="1156" spans="1:18">
      <c r="A1156" s="524"/>
      <c r="B1156" s="540" t="s">
        <v>99</v>
      </c>
      <c r="C1156" s="551">
        <v>0</v>
      </c>
      <c r="D1156" s="551">
        <v>0</v>
      </c>
      <c r="E1156" s="551">
        <v>0</v>
      </c>
      <c r="F1156" s="551">
        <v>0</v>
      </c>
      <c r="G1156" s="551">
        <v>0</v>
      </c>
      <c r="H1156" s="551">
        <v>0</v>
      </c>
      <c r="I1156" s="551">
        <v>0</v>
      </c>
      <c r="J1156" s="551">
        <v>0</v>
      </c>
      <c r="K1156" s="527">
        <f t="shared" si="673"/>
        <v>0</v>
      </c>
      <c r="L1156" s="528">
        <f t="shared" si="674"/>
        <v>0</v>
      </c>
      <c r="M1156" s="528">
        <f t="shared" si="675"/>
        <v>0</v>
      </c>
      <c r="N1156" s="528">
        <f t="shared" si="676"/>
        <v>0</v>
      </c>
      <c r="O1156" s="528">
        <f t="shared" si="677"/>
        <v>0</v>
      </c>
      <c r="P1156" s="529">
        <f t="shared" si="678"/>
        <v>0</v>
      </c>
      <c r="Q1156" s="24">
        <f t="shared" si="679"/>
        <v>0</v>
      </c>
      <c r="R1156" s="530">
        <f t="shared" si="680"/>
        <v>0</v>
      </c>
    </row>
    <row r="1157" spans="1:18">
      <c r="A1157" s="524"/>
      <c r="B1157" s="540" t="s">
        <v>100</v>
      </c>
      <c r="C1157" s="552">
        <v>595.7</v>
      </c>
      <c r="D1157" s="551">
        <v>512156</v>
      </c>
      <c r="E1157" s="551">
        <v>2229</v>
      </c>
      <c r="F1157" s="551">
        <v>0</v>
      </c>
      <c r="G1157" s="551">
        <v>0</v>
      </c>
      <c r="H1157" s="551">
        <v>15</v>
      </c>
      <c r="I1157" s="551">
        <v>12</v>
      </c>
      <c r="J1157" s="551">
        <v>2</v>
      </c>
      <c r="K1157" s="527">
        <f t="shared" si="673"/>
        <v>0.00435218956724123</v>
      </c>
      <c r="L1157" s="528">
        <f t="shared" si="674"/>
        <v>0.267249887842082</v>
      </c>
      <c r="M1157" s="528">
        <f t="shared" si="675"/>
        <v>1.1631221737127</v>
      </c>
      <c r="N1157" s="528">
        <f t="shared" si="676"/>
        <v>0</v>
      </c>
      <c r="O1157" s="528">
        <f t="shared" si="677"/>
        <v>0</v>
      </c>
      <c r="P1157" s="529">
        <f t="shared" si="678"/>
        <v>22.062962962963</v>
      </c>
      <c r="Q1157" s="24">
        <f t="shared" si="679"/>
        <v>27</v>
      </c>
      <c r="R1157" s="530">
        <f t="shared" si="680"/>
        <v>0.0121130551816958</v>
      </c>
    </row>
    <row r="1158" spans="1:18">
      <c r="A1158" s="524"/>
      <c r="B1158" s="540" t="s">
        <v>101</v>
      </c>
      <c r="C1158" s="551">
        <v>0</v>
      </c>
      <c r="D1158" s="551">
        <v>0</v>
      </c>
      <c r="E1158" s="551">
        <v>0</v>
      </c>
      <c r="F1158" s="551">
        <v>0</v>
      </c>
      <c r="G1158" s="551">
        <v>0</v>
      </c>
      <c r="H1158" s="551">
        <v>0</v>
      </c>
      <c r="I1158" s="551">
        <v>0</v>
      </c>
      <c r="J1158" s="551">
        <v>0</v>
      </c>
      <c r="K1158" s="527">
        <f t="shared" si="673"/>
        <v>0</v>
      </c>
      <c r="L1158" s="528">
        <f t="shared" si="674"/>
        <v>0</v>
      </c>
      <c r="M1158" s="528">
        <f t="shared" si="675"/>
        <v>0</v>
      </c>
      <c r="N1158" s="528">
        <f t="shared" si="676"/>
        <v>0</v>
      </c>
      <c r="O1158" s="528">
        <f t="shared" si="677"/>
        <v>0</v>
      </c>
      <c r="P1158" s="529">
        <f t="shared" si="678"/>
        <v>0</v>
      </c>
      <c r="Q1158" s="24">
        <f t="shared" si="679"/>
        <v>0</v>
      </c>
      <c r="R1158" s="530">
        <f t="shared" si="680"/>
        <v>0</v>
      </c>
    </row>
    <row r="1159" spans="1:18">
      <c r="A1159" s="524"/>
      <c r="B1159" s="531" t="s">
        <v>96</v>
      </c>
      <c r="C1159" s="533">
        <f t="shared" ref="C1159:J1159" si="683">SUM(C1155:C1158)</f>
        <v>895.7</v>
      </c>
      <c r="D1159" s="533">
        <f t="shared" si="683"/>
        <v>519192</v>
      </c>
      <c r="E1159" s="533">
        <f t="shared" si="683"/>
        <v>2485</v>
      </c>
      <c r="F1159" s="533">
        <f t="shared" si="683"/>
        <v>0</v>
      </c>
      <c r="G1159" s="533">
        <f t="shared" si="683"/>
        <v>0</v>
      </c>
      <c r="H1159" s="533">
        <f t="shared" si="683"/>
        <v>15</v>
      </c>
      <c r="I1159" s="533">
        <f t="shared" si="683"/>
        <v>12</v>
      </c>
      <c r="J1159" s="533">
        <f t="shared" si="683"/>
        <v>4</v>
      </c>
      <c r="K1159" s="534">
        <f t="shared" si="673"/>
        <v>0.00478628330174579</v>
      </c>
      <c r="L1159" s="535">
        <f t="shared" si="674"/>
        <v>0.360442655935614</v>
      </c>
      <c r="M1159" s="535">
        <f t="shared" si="675"/>
        <v>1.72518066534153</v>
      </c>
      <c r="N1159" s="535">
        <f t="shared" si="676"/>
        <v>0</v>
      </c>
      <c r="O1159" s="535">
        <f t="shared" si="677"/>
        <v>0</v>
      </c>
      <c r="P1159" s="536">
        <f t="shared" si="678"/>
        <v>33.1740740740741</v>
      </c>
      <c r="Q1159" s="531">
        <f t="shared" si="679"/>
        <v>27</v>
      </c>
      <c r="R1159" s="537">
        <f t="shared" si="680"/>
        <v>0.0108651911468813</v>
      </c>
    </row>
    <row r="1160" spans="1:18">
      <c r="A1160" s="524">
        <v>45682</v>
      </c>
      <c r="B1160" s="540" t="s">
        <v>98</v>
      </c>
      <c r="C1160" s="551">
        <v>300</v>
      </c>
      <c r="D1160" s="553">
        <v>6941</v>
      </c>
      <c r="E1160" s="551">
        <v>261</v>
      </c>
      <c r="F1160" s="551">
        <v>0</v>
      </c>
      <c r="G1160" s="551">
        <v>0</v>
      </c>
      <c r="H1160" s="551">
        <v>4</v>
      </c>
      <c r="I1160" s="551">
        <v>1</v>
      </c>
      <c r="J1160" s="551">
        <v>1</v>
      </c>
      <c r="K1160" s="527">
        <f t="shared" si="673"/>
        <v>0.0376026509148538</v>
      </c>
      <c r="L1160" s="528">
        <f t="shared" si="674"/>
        <v>1.14942528735632</v>
      </c>
      <c r="M1160" s="528">
        <f t="shared" si="675"/>
        <v>43.2214378331652</v>
      </c>
      <c r="N1160" s="528">
        <f t="shared" si="676"/>
        <v>0</v>
      </c>
      <c r="O1160" s="528">
        <f t="shared" si="677"/>
        <v>0</v>
      </c>
      <c r="P1160" s="529">
        <f t="shared" si="678"/>
        <v>60</v>
      </c>
      <c r="Q1160" s="24">
        <f t="shared" si="679"/>
        <v>5</v>
      </c>
      <c r="R1160" s="530">
        <f t="shared" si="680"/>
        <v>0.0191570881226054</v>
      </c>
    </row>
    <row r="1161" spans="1:18">
      <c r="A1161" s="524"/>
      <c r="B1161" s="540" t="s">
        <v>99</v>
      </c>
      <c r="C1161" s="551">
        <v>0</v>
      </c>
      <c r="D1161" s="551">
        <v>0</v>
      </c>
      <c r="E1161" s="551">
        <v>0</v>
      </c>
      <c r="F1161" s="551">
        <v>0</v>
      </c>
      <c r="G1161" s="551">
        <v>0</v>
      </c>
      <c r="H1161" s="551">
        <v>0</v>
      </c>
      <c r="I1161" s="551">
        <v>0</v>
      </c>
      <c r="J1161" s="551">
        <v>0</v>
      </c>
      <c r="K1161" s="527">
        <f t="shared" si="673"/>
        <v>0</v>
      </c>
      <c r="L1161" s="528">
        <f t="shared" si="674"/>
        <v>0</v>
      </c>
      <c r="M1161" s="528">
        <f t="shared" si="675"/>
        <v>0</v>
      </c>
      <c r="N1161" s="528">
        <f t="shared" si="676"/>
        <v>0</v>
      </c>
      <c r="O1161" s="528">
        <f t="shared" si="677"/>
        <v>0</v>
      </c>
      <c r="P1161" s="529">
        <f t="shared" si="678"/>
        <v>0</v>
      </c>
      <c r="Q1161" s="24">
        <f t="shared" si="679"/>
        <v>0</v>
      </c>
      <c r="R1161" s="530">
        <f t="shared" si="680"/>
        <v>0</v>
      </c>
    </row>
    <row r="1162" spans="1:18">
      <c r="A1162" s="524"/>
      <c r="B1162" s="540" t="s">
        <v>100</v>
      </c>
      <c r="C1162" s="552">
        <v>600</v>
      </c>
      <c r="D1162" s="551">
        <v>231451</v>
      </c>
      <c r="E1162" s="551">
        <v>2400</v>
      </c>
      <c r="F1162" s="551">
        <v>0</v>
      </c>
      <c r="G1162" s="551">
        <v>0</v>
      </c>
      <c r="H1162" s="551">
        <v>34</v>
      </c>
      <c r="I1162" s="551">
        <v>19</v>
      </c>
      <c r="J1162" s="551">
        <v>5</v>
      </c>
      <c r="K1162" s="527">
        <f t="shared" si="673"/>
        <v>0.0103693654380409</v>
      </c>
      <c r="L1162" s="528">
        <f t="shared" si="674"/>
        <v>0.25</v>
      </c>
      <c r="M1162" s="528">
        <f t="shared" si="675"/>
        <v>2.59234135951022</v>
      </c>
      <c r="N1162" s="528">
        <f t="shared" si="676"/>
        <v>0</v>
      </c>
      <c r="O1162" s="528">
        <f t="shared" si="677"/>
        <v>0</v>
      </c>
      <c r="P1162" s="529">
        <f t="shared" si="678"/>
        <v>11.3207547169811</v>
      </c>
      <c r="Q1162" s="24">
        <f t="shared" si="679"/>
        <v>53</v>
      </c>
      <c r="R1162" s="530">
        <f t="shared" si="680"/>
        <v>0.0220833333333333</v>
      </c>
    </row>
    <row r="1163" spans="1:18">
      <c r="A1163" s="524"/>
      <c r="B1163" s="540" t="s">
        <v>101</v>
      </c>
      <c r="C1163" s="551">
        <v>0</v>
      </c>
      <c r="D1163" s="551">
        <v>0</v>
      </c>
      <c r="E1163" s="551">
        <v>0</v>
      </c>
      <c r="F1163" s="551">
        <v>0</v>
      </c>
      <c r="G1163" s="551">
        <v>0</v>
      </c>
      <c r="H1163" s="551">
        <v>0</v>
      </c>
      <c r="I1163" s="551">
        <v>0</v>
      </c>
      <c r="J1163" s="551">
        <v>0</v>
      </c>
      <c r="K1163" s="527">
        <f t="shared" si="673"/>
        <v>0</v>
      </c>
      <c r="L1163" s="528">
        <f t="shared" si="674"/>
        <v>0</v>
      </c>
      <c r="M1163" s="528">
        <f t="shared" si="675"/>
        <v>0</v>
      </c>
      <c r="N1163" s="528">
        <f t="shared" si="676"/>
        <v>0</v>
      </c>
      <c r="O1163" s="528">
        <f t="shared" si="677"/>
        <v>0</v>
      </c>
      <c r="P1163" s="529">
        <f t="shared" si="678"/>
        <v>0</v>
      </c>
      <c r="Q1163" s="24">
        <f t="shared" si="679"/>
        <v>0</v>
      </c>
      <c r="R1163" s="530">
        <f t="shared" si="680"/>
        <v>0</v>
      </c>
    </row>
    <row r="1164" spans="1:18">
      <c r="A1164" s="524"/>
      <c r="B1164" s="531" t="s">
        <v>96</v>
      </c>
      <c r="C1164" s="533">
        <f t="shared" ref="C1164:J1164" si="684">SUM(C1160:C1163)</f>
        <v>900</v>
      </c>
      <c r="D1164" s="533">
        <f t="shared" si="684"/>
        <v>238392</v>
      </c>
      <c r="E1164" s="533">
        <f t="shared" si="684"/>
        <v>2661</v>
      </c>
      <c r="F1164" s="533">
        <f t="shared" si="684"/>
        <v>0</v>
      </c>
      <c r="G1164" s="533">
        <f t="shared" si="684"/>
        <v>0</v>
      </c>
      <c r="H1164" s="533">
        <f t="shared" si="684"/>
        <v>38</v>
      </c>
      <c r="I1164" s="533">
        <f t="shared" si="684"/>
        <v>20</v>
      </c>
      <c r="J1164" s="533">
        <f t="shared" si="684"/>
        <v>6</v>
      </c>
      <c r="K1164" s="534">
        <f t="shared" si="673"/>
        <v>0.011162287325078</v>
      </c>
      <c r="L1164" s="535">
        <f t="shared" si="674"/>
        <v>0.338218714768884</v>
      </c>
      <c r="M1164" s="535">
        <f t="shared" si="675"/>
        <v>3.77529447296889</v>
      </c>
      <c r="N1164" s="535">
        <f t="shared" si="676"/>
        <v>0</v>
      </c>
      <c r="O1164" s="535">
        <f t="shared" si="677"/>
        <v>0</v>
      </c>
      <c r="P1164" s="536">
        <f t="shared" si="678"/>
        <v>15.5172413793103</v>
      </c>
      <c r="Q1164" s="531">
        <f t="shared" si="679"/>
        <v>58</v>
      </c>
      <c r="R1164" s="537">
        <f t="shared" si="680"/>
        <v>0.0217963171739947</v>
      </c>
    </row>
    <row r="1165" spans="1:18">
      <c r="A1165" s="524">
        <v>45683</v>
      </c>
      <c r="B1165" s="540" t="s">
        <v>98</v>
      </c>
      <c r="C1165" s="551">
        <v>299.86</v>
      </c>
      <c r="D1165" s="553">
        <v>7549</v>
      </c>
      <c r="E1165" s="551">
        <v>243</v>
      </c>
      <c r="F1165" s="551">
        <v>4</v>
      </c>
      <c r="G1165" s="551">
        <v>31436.12</v>
      </c>
      <c r="H1165" s="551">
        <v>3</v>
      </c>
      <c r="I1165" s="551">
        <v>0</v>
      </c>
      <c r="J1165" s="551">
        <v>4</v>
      </c>
      <c r="K1165" s="527">
        <f t="shared" ref="K1165:K1228" si="685">IF(E1165=0,0,E1165/D1165)</f>
        <v>0.0321896939992052</v>
      </c>
      <c r="L1165" s="528">
        <f t="shared" ref="L1165:L1228" si="686">IF(C1165=0,0,C1165/E1165)</f>
        <v>1.23399176954733</v>
      </c>
      <c r="M1165" s="528">
        <f t="shared" ref="M1165:M1228" si="687">IF(D1165=0,0,C1165/D1165*1000)</f>
        <v>39.7218174592661</v>
      </c>
      <c r="N1165" s="528">
        <f t="shared" ref="N1165:N1228" si="688">IF(G1165=0,0,G1165/C1165)</f>
        <v>104.835990128727</v>
      </c>
      <c r="O1165" s="528">
        <f t="shared" ref="O1165:O1228" si="689">IF(F1165=0,0,F1165/E1165)</f>
        <v>0.0164609053497942</v>
      </c>
      <c r="P1165" s="529">
        <f t="shared" ref="P1165:P1228" si="690">IF(H1165+I1165=0,0,C1165/(H1165+I1165))</f>
        <v>99.9533333333333</v>
      </c>
      <c r="Q1165" s="24">
        <f t="shared" ref="Q1165:Q1228" si="691">H1165+I1165</f>
        <v>3</v>
      </c>
      <c r="R1165" s="530">
        <f t="shared" ref="R1165:R1228" si="692">IF(Q1165=0,0,Q1165/E1165)</f>
        <v>0.0123456790123457</v>
      </c>
    </row>
    <row r="1166" spans="1:18">
      <c r="A1166" s="524"/>
      <c r="B1166" s="540" t="s">
        <v>99</v>
      </c>
      <c r="C1166" s="551">
        <v>0</v>
      </c>
      <c r="D1166" s="551">
        <v>0</v>
      </c>
      <c r="E1166" s="551">
        <v>0</v>
      </c>
      <c r="F1166" s="551">
        <v>0</v>
      </c>
      <c r="G1166" s="551">
        <v>0</v>
      </c>
      <c r="H1166" s="551">
        <v>0</v>
      </c>
      <c r="I1166" s="551">
        <v>0</v>
      </c>
      <c r="J1166" s="551">
        <v>0</v>
      </c>
      <c r="K1166" s="527">
        <f t="shared" si="685"/>
        <v>0</v>
      </c>
      <c r="L1166" s="528">
        <f t="shared" si="686"/>
        <v>0</v>
      </c>
      <c r="M1166" s="528">
        <f t="shared" si="687"/>
        <v>0</v>
      </c>
      <c r="N1166" s="528">
        <f t="shared" si="688"/>
        <v>0</v>
      </c>
      <c r="O1166" s="528">
        <f t="shared" si="689"/>
        <v>0</v>
      </c>
      <c r="P1166" s="529">
        <f t="shared" si="690"/>
        <v>0</v>
      </c>
      <c r="Q1166" s="24">
        <f t="shared" si="691"/>
        <v>0</v>
      </c>
      <c r="R1166" s="530">
        <f t="shared" si="692"/>
        <v>0</v>
      </c>
    </row>
    <row r="1167" spans="1:18">
      <c r="A1167" s="524"/>
      <c r="B1167" s="540" t="s">
        <v>100</v>
      </c>
      <c r="C1167" s="552">
        <v>599.99</v>
      </c>
      <c r="D1167" s="551">
        <v>299706</v>
      </c>
      <c r="E1167" s="551">
        <v>2542</v>
      </c>
      <c r="F1167" s="551">
        <v>1</v>
      </c>
      <c r="G1167" s="551">
        <v>3512</v>
      </c>
      <c r="H1167" s="551">
        <v>34</v>
      </c>
      <c r="I1167" s="551">
        <v>30</v>
      </c>
      <c r="J1167" s="551">
        <v>1</v>
      </c>
      <c r="K1167" s="527">
        <f t="shared" si="685"/>
        <v>0.00848164534577219</v>
      </c>
      <c r="L1167" s="528">
        <f t="shared" si="686"/>
        <v>0.236030684500393</v>
      </c>
      <c r="M1167" s="528">
        <f t="shared" si="687"/>
        <v>2.00192855665219</v>
      </c>
      <c r="N1167" s="528">
        <f t="shared" si="688"/>
        <v>5.85343089051484</v>
      </c>
      <c r="O1167" s="528">
        <f t="shared" si="689"/>
        <v>0.0003933910306845</v>
      </c>
      <c r="P1167" s="529">
        <f t="shared" si="690"/>
        <v>9.37484375</v>
      </c>
      <c r="Q1167" s="24">
        <f t="shared" si="691"/>
        <v>64</v>
      </c>
      <c r="R1167" s="530">
        <f t="shared" si="692"/>
        <v>0.025177025963808</v>
      </c>
    </row>
    <row r="1168" spans="1:18">
      <c r="A1168" s="524"/>
      <c r="B1168" s="540" t="s">
        <v>101</v>
      </c>
      <c r="C1168" s="551">
        <v>0</v>
      </c>
      <c r="D1168" s="551">
        <v>0</v>
      </c>
      <c r="E1168" s="551">
        <v>0</v>
      </c>
      <c r="F1168" s="551">
        <v>0</v>
      </c>
      <c r="G1168" s="551">
        <v>0</v>
      </c>
      <c r="H1168" s="551">
        <v>0</v>
      </c>
      <c r="I1168" s="551">
        <v>0</v>
      </c>
      <c r="J1168" s="551">
        <v>0</v>
      </c>
      <c r="K1168" s="527">
        <f t="shared" si="685"/>
        <v>0</v>
      </c>
      <c r="L1168" s="528">
        <f t="shared" si="686"/>
        <v>0</v>
      </c>
      <c r="M1168" s="528">
        <f t="shared" si="687"/>
        <v>0</v>
      </c>
      <c r="N1168" s="528">
        <f t="shared" si="688"/>
        <v>0</v>
      </c>
      <c r="O1168" s="528">
        <f t="shared" si="689"/>
        <v>0</v>
      </c>
      <c r="P1168" s="529">
        <f t="shared" si="690"/>
        <v>0</v>
      </c>
      <c r="Q1168" s="24">
        <f t="shared" si="691"/>
        <v>0</v>
      </c>
      <c r="R1168" s="530">
        <f t="shared" si="692"/>
        <v>0</v>
      </c>
    </row>
    <row r="1169" spans="1:18">
      <c r="A1169" s="524"/>
      <c r="B1169" s="531" t="s">
        <v>96</v>
      </c>
      <c r="C1169" s="533">
        <f t="shared" ref="C1169:J1169" si="693">SUM(C1165:C1168)</f>
        <v>899.85</v>
      </c>
      <c r="D1169" s="533">
        <f t="shared" si="693"/>
        <v>307255</v>
      </c>
      <c r="E1169" s="533">
        <f t="shared" si="693"/>
        <v>2785</v>
      </c>
      <c r="F1169" s="533">
        <f t="shared" si="693"/>
        <v>5</v>
      </c>
      <c r="G1169" s="533">
        <f t="shared" si="693"/>
        <v>34948.12</v>
      </c>
      <c r="H1169" s="533">
        <f t="shared" si="693"/>
        <v>37</v>
      </c>
      <c r="I1169" s="533">
        <f t="shared" si="693"/>
        <v>30</v>
      </c>
      <c r="J1169" s="533">
        <f t="shared" si="693"/>
        <v>5</v>
      </c>
      <c r="K1169" s="534">
        <f t="shared" si="685"/>
        <v>0.0090641323981709</v>
      </c>
      <c r="L1169" s="535">
        <f t="shared" si="686"/>
        <v>0.32310592459605</v>
      </c>
      <c r="M1169" s="535">
        <f t="shared" si="687"/>
        <v>2.92867487917202</v>
      </c>
      <c r="N1169" s="535">
        <f t="shared" si="688"/>
        <v>38.837717397344</v>
      </c>
      <c r="O1169" s="535">
        <f t="shared" si="689"/>
        <v>0.00179533213644524</v>
      </c>
      <c r="P1169" s="536">
        <f t="shared" si="690"/>
        <v>13.4305970149254</v>
      </c>
      <c r="Q1169" s="531">
        <f t="shared" si="691"/>
        <v>67</v>
      </c>
      <c r="R1169" s="537">
        <f t="shared" si="692"/>
        <v>0.0240574506283662</v>
      </c>
    </row>
    <row r="1170" spans="1:18">
      <c r="A1170" s="524">
        <v>45684</v>
      </c>
      <c r="B1170" s="540" t="s">
        <v>98</v>
      </c>
      <c r="C1170" s="551">
        <v>300</v>
      </c>
      <c r="D1170" s="553">
        <v>8569</v>
      </c>
      <c r="E1170" s="551">
        <v>221</v>
      </c>
      <c r="F1170" s="551">
        <v>2</v>
      </c>
      <c r="G1170" s="551">
        <v>25254</v>
      </c>
      <c r="H1170" s="551">
        <v>7</v>
      </c>
      <c r="I1170" s="551">
        <v>3</v>
      </c>
      <c r="J1170" s="551">
        <v>0</v>
      </c>
      <c r="K1170" s="527">
        <f t="shared" si="685"/>
        <v>0.0257906406815264</v>
      </c>
      <c r="L1170" s="528">
        <f t="shared" si="686"/>
        <v>1.35746606334842</v>
      </c>
      <c r="M1170" s="528">
        <f t="shared" si="687"/>
        <v>35.0099194771852</v>
      </c>
      <c r="N1170" s="528">
        <f t="shared" si="688"/>
        <v>84.18</v>
      </c>
      <c r="O1170" s="528">
        <f t="shared" si="689"/>
        <v>0.00904977375565611</v>
      </c>
      <c r="P1170" s="529">
        <f t="shared" si="690"/>
        <v>30</v>
      </c>
      <c r="Q1170" s="24">
        <f t="shared" si="691"/>
        <v>10</v>
      </c>
      <c r="R1170" s="530">
        <f t="shared" si="692"/>
        <v>0.0452488687782805</v>
      </c>
    </row>
    <row r="1171" spans="1:18">
      <c r="A1171" s="524"/>
      <c r="B1171" s="540" t="s">
        <v>99</v>
      </c>
      <c r="C1171" s="551">
        <v>0</v>
      </c>
      <c r="D1171" s="551">
        <v>0</v>
      </c>
      <c r="E1171" s="551">
        <v>0</v>
      </c>
      <c r="F1171" s="551">
        <v>0</v>
      </c>
      <c r="G1171" s="551">
        <v>0</v>
      </c>
      <c r="H1171" s="551">
        <v>0</v>
      </c>
      <c r="I1171" s="551">
        <v>0</v>
      </c>
      <c r="J1171" s="551">
        <v>0</v>
      </c>
      <c r="K1171" s="527">
        <f t="shared" si="685"/>
        <v>0</v>
      </c>
      <c r="L1171" s="528">
        <f t="shared" si="686"/>
        <v>0</v>
      </c>
      <c r="M1171" s="528">
        <f t="shared" si="687"/>
        <v>0</v>
      </c>
      <c r="N1171" s="528">
        <f t="shared" si="688"/>
        <v>0</v>
      </c>
      <c r="O1171" s="528">
        <f t="shared" si="689"/>
        <v>0</v>
      </c>
      <c r="P1171" s="529">
        <f t="shared" si="690"/>
        <v>0</v>
      </c>
      <c r="Q1171" s="24">
        <f t="shared" si="691"/>
        <v>0</v>
      </c>
      <c r="R1171" s="530">
        <f t="shared" si="692"/>
        <v>0</v>
      </c>
    </row>
    <row r="1172" spans="1:18">
      <c r="A1172" s="524"/>
      <c r="B1172" s="540" t="s">
        <v>100</v>
      </c>
      <c r="C1172" s="552">
        <v>597.97</v>
      </c>
      <c r="D1172" s="551">
        <v>312620</v>
      </c>
      <c r="E1172" s="551">
        <v>2470</v>
      </c>
      <c r="F1172" s="551">
        <v>0</v>
      </c>
      <c r="G1172" s="551">
        <v>0</v>
      </c>
      <c r="H1172" s="551">
        <v>22</v>
      </c>
      <c r="I1172" s="551">
        <v>19</v>
      </c>
      <c r="J1172" s="551">
        <v>4</v>
      </c>
      <c r="K1172" s="527">
        <f t="shared" si="685"/>
        <v>0.00790096602904485</v>
      </c>
      <c r="L1172" s="528">
        <f t="shared" si="686"/>
        <v>0.242093117408907</v>
      </c>
      <c r="M1172" s="528">
        <f t="shared" si="687"/>
        <v>1.91276949651334</v>
      </c>
      <c r="N1172" s="528">
        <f t="shared" si="688"/>
        <v>0</v>
      </c>
      <c r="O1172" s="528">
        <f t="shared" si="689"/>
        <v>0</v>
      </c>
      <c r="P1172" s="529">
        <f t="shared" si="690"/>
        <v>14.5846341463415</v>
      </c>
      <c r="Q1172" s="24">
        <f t="shared" si="691"/>
        <v>41</v>
      </c>
      <c r="R1172" s="530">
        <f t="shared" si="692"/>
        <v>0.0165991902834008</v>
      </c>
    </row>
    <row r="1173" spans="1:18">
      <c r="A1173" s="524"/>
      <c r="B1173" s="540" t="s">
        <v>101</v>
      </c>
      <c r="C1173" s="551">
        <v>0</v>
      </c>
      <c r="D1173" s="551">
        <v>0</v>
      </c>
      <c r="E1173" s="551">
        <v>0</v>
      </c>
      <c r="F1173" s="551">
        <v>0</v>
      </c>
      <c r="G1173" s="551">
        <v>0</v>
      </c>
      <c r="H1173" s="551">
        <v>0</v>
      </c>
      <c r="I1173" s="551">
        <v>0</v>
      </c>
      <c r="J1173" s="551">
        <v>0</v>
      </c>
      <c r="K1173" s="527">
        <f t="shared" si="685"/>
        <v>0</v>
      </c>
      <c r="L1173" s="528">
        <f t="shared" si="686"/>
        <v>0</v>
      </c>
      <c r="M1173" s="528">
        <f t="shared" si="687"/>
        <v>0</v>
      </c>
      <c r="N1173" s="528">
        <f t="shared" si="688"/>
        <v>0</v>
      </c>
      <c r="O1173" s="528">
        <f t="shared" si="689"/>
        <v>0</v>
      </c>
      <c r="P1173" s="529">
        <f t="shared" si="690"/>
        <v>0</v>
      </c>
      <c r="Q1173" s="24">
        <f t="shared" si="691"/>
        <v>0</v>
      </c>
      <c r="R1173" s="530">
        <f t="shared" si="692"/>
        <v>0</v>
      </c>
    </row>
    <row r="1174" spans="1:18">
      <c r="A1174" s="524"/>
      <c r="B1174" s="531" t="s">
        <v>96</v>
      </c>
      <c r="C1174" s="533">
        <f t="shared" ref="C1174:J1174" si="694">SUM(C1170:C1173)</f>
        <v>897.97</v>
      </c>
      <c r="D1174" s="533">
        <f t="shared" si="694"/>
        <v>321189</v>
      </c>
      <c r="E1174" s="533">
        <f t="shared" si="694"/>
        <v>2691</v>
      </c>
      <c r="F1174" s="533">
        <f t="shared" si="694"/>
        <v>2</v>
      </c>
      <c r="G1174" s="533">
        <f t="shared" si="694"/>
        <v>25254</v>
      </c>
      <c r="H1174" s="533">
        <f t="shared" si="694"/>
        <v>29</v>
      </c>
      <c r="I1174" s="533">
        <f t="shared" si="694"/>
        <v>22</v>
      </c>
      <c r="J1174" s="533">
        <f t="shared" si="694"/>
        <v>4</v>
      </c>
      <c r="K1174" s="534">
        <f t="shared" si="685"/>
        <v>0.00837824458496399</v>
      </c>
      <c r="L1174" s="535">
        <f t="shared" si="686"/>
        <v>0.333693794128577</v>
      </c>
      <c r="M1174" s="535">
        <f t="shared" si="687"/>
        <v>2.79576822369384</v>
      </c>
      <c r="N1174" s="535">
        <f t="shared" si="688"/>
        <v>28.1234339677272</v>
      </c>
      <c r="O1174" s="535">
        <f t="shared" si="689"/>
        <v>0.000743218134522482</v>
      </c>
      <c r="P1174" s="536">
        <f t="shared" si="690"/>
        <v>17.6072549019608</v>
      </c>
      <c r="Q1174" s="531">
        <f t="shared" si="691"/>
        <v>51</v>
      </c>
      <c r="R1174" s="537">
        <f t="shared" si="692"/>
        <v>0.0189520624303233</v>
      </c>
    </row>
    <row r="1175" spans="1:18">
      <c r="A1175" s="524">
        <v>45685</v>
      </c>
      <c r="B1175" s="540" t="s">
        <v>98</v>
      </c>
      <c r="C1175" s="551">
        <v>299.98</v>
      </c>
      <c r="D1175" s="553">
        <v>8499</v>
      </c>
      <c r="E1175" s="551">
        <v>257</v>
      </c>
      <c r="F1175" s="551">
        <v>0</v>
      </c>
      <c r="G1175" s="551">
        <v>0</v>
      </c>
      <c r="H1175" s="551">
        <v>3</v>
      </c>
      <c r="I1175" s="551">
        <v>0</v>
      </c>
      <c r="J1175" s="551">
        <v>4</v>
      </c>
      <c r="K1175" s="527">
        <f t="shared" si="685"/>
        <v>0.0302388516296035</v>
      </c>
      <c r="L1175" s="528">
        <f t="shared" si="686"/>
        <v>1.1672373540856</v>
      </c>
      <c r="M1175" s="528">
        <f t="shared" si="687"/>
        <v>35.2959171667255</v>
      </c>
      <c r="N1175" s="528">
        <f t="shared" si="688"/>
        <v>0</v>
      </c>
      <c r="O1175" s="528">
        <f t="shared" si="689"/>
        <v>0</v>
      </c>
      <c r="P1175" s="529">
        <f t="shared" si="690"/>
        <v>99.9933333333333</v>
      </c>
      <c r="Q1175" s="24">
        <f t="shared" si="691"/>
        <v>3</v>
      </c>
      <c r="R1175" s="530">
        <f t="shared" si="692"/>
        <v>0.0116731517509728</v>
      </c>
    </row>
    <row r="1176" spans="1:18">
      <c r="A1176" s="524"/>
      <c r="B1176" s="540" t="s">
        <v>99</v>
      </c>
      <c r="C1176" s="551">
        <v>0</v>
      </c>
      <c r="D1176" s="551">
        <v>0</v>
      </c>
      <c r="E1176" s="551">
        <v>0</v>
      </c>
      <c r="F1176" s="551">
        <v>0</v>
      </c>
      <c r="G1176" s="551">
        <v>0</v>
      </c>
      <c r="H1176" s="551">
        <v>0</v>
      </c>
      <c r="I1176" s="551">
        <v>0</v>
      </c>
      <c r="J1176" s="551">
        <v>0</v>
      </c>
      <c r="K1176" s="527">
        <f t="shared" si="685"/>
        <v>0</v>
      </c>
      <c r="L1176" s="528">
        <f t="shared" si="686"/>
        <v>0</v>
      </c>
      <c r="M1176" s="528">
        <f t="shared" si="687"/>
        <v>0</v>
      </c>
      <c r="N1176" s="528">
        <f t="shared" si="688"/>
        <v>0</v>
      </c>
      <c r="O1176" s="528">
        <f t="shared" si="689"/>
        <v>0</v>
      </c>
      <c r="P1176" s="529">
        <f t="shared" si="690"/>
        <v>0</v>
      </c>
      <c r="Q1176" s="24">
        <f t="shared" si="691"/>
        <v>0</v>
      </c>
      <c r="R1176" s="530">
        <f t="shared" si="692"/>
        <v>0</v>
      </c>
    </row>
    <row r="1177" spans="1:18">
      <c r="A1177" s="524"/>
      <c r="B1177" s="540" t="s">
        <v>100</v>
      </c>
      <c r="C1177" s="552">
        <v>598.64</v>
      </c>
      <c r="D1177" s="551">
        <v>358506</v>
      </c>
      <c r="E1177" s="551">
        <v>2587</v>
      </c>
      <c r="F1177" s="551">
        <v>1</v>
      </c>
      <c r="G1177" s="551">
        <v>7194</v>
      </c>
      <c r="H1177" s="551">
        <v>11</v>
      </c>
      <c r="I1177" s="551">
        <v>28</v>
      </c>
      <c r="J1177" s="551">
        <v>0</v>
      </c>
      <c r="K1177" s="527">
        <f t="shared" si="685"/>
        <v>0.00721605775077684</v>
      </c>
      <c r="L1177" s="528">
        <f t="shared" si="686"/>
        <v>0.231403169694627</v>
      </c>
      <c r="M1177" s="528">
        <f t="shared" si="687"/>
        <v>1.66981863622924</v>
      </c>
      <c r="N1177" s="528">
        <f t="shared" si="688"/>
        <v>12.0172390752372</v>
      </c>
      <c r="O1177" s="528">
        <f t="shared" si="689"/>
        <v>0.000386548125241593</v>
      </c>
      <c r="P1177" s="529">
        <f t="shared" si="690"/>
        <v>15.3497435897436</v>
      </c>
      <c r="Q1177" s="24">
        <f t="shared" si="691"/>
        <v>39</v>
      </c>
      <c r="R1177" s="530">
        <f t="shared" si="692"/>
        <v>0.0150753768844221</v>
      </c>
    </row>
    <row r="1178" spans="1:18">
      <c r="A1178" s="524"/>
      <c r="B1178" s="540" t="s">
        <v>101</v>
      </c>
      <c r="C1178" s="551">
        <v>0</v>
      </c>
      <c r="D1178" s="551">
        <v>0</v>
      </c>
      <c r="E1178" s="551">
        <v>0</v>
      </c>
      <c r="F1178" s="551">
        <v>0</v>
      </c>
      <c r="G1178" s="551">
        <v>0</v>
      </c>
      <c r="H1178" s="551">
        <v>0</v>
      </c>
      <c r="I1178" s="551">
        <v>0</v>
      </c>
      <c r="J1178" s="551">
        <v>0</v>
      </c>
      <c r="K1178" s="527">
        <f t="shared" si="685"/>
        <v>0</v>
      </c>
      <c r="L1178" s="528">
        <f t="shared" si="686"/>
        <v>0</v>
      </c>
      <c r="M1178" s="528">
        <f t="shared" si="687"/>
        <v>0</v>
      </c>
      <c r="N1178" s="528">
        <f t="shared" si="688"/>
        <v>0</v>
      </c>
      <c r="O1178" s="528">
        <f t="shared" si="689"/>
        <v>0</v>
      </c>
      <c r="P1178" s="529">
        <f t="shared" si="690"/>
        <v>0</v>
      </c>
      <c r="Q1178" s="24">
        <f t="shared" si="691"/>
        <v>0</v>
      </c>
      <c r="R1178" s="530">
        <f t="shared" si="692"/>
        <v>0</v>
      </c>
    </row>
    <row r="1179" spans="1:18">
      <c r="A1179" s="524"/>
      <c r="B1179" s="531" t="s">
        <v>96</v>
      </c>
      <c r="C1179" s="533">
        <f t="shared" ref="C1179:J1179" si="695">SUM(C1175:C1178)</f>
        <v>898.62</v>
      </c>
      <c r="D1179" s="533">
        <f t="shared" si="695"/>
        <v>367005</v>
      </c>
      <c r="E1179" s="533">
        <f t="shared" si="695"/>
        <v>2844</v>
      </c>
      <c r="F1179" s="533">
        <f t="shared" si="695"/>
        <v>1</v>
      </c>
      <c r="G1179" s="533">
        <f t="shared" si="695"/>
        <v>7194</v>
      </c>
      <c r="H1179" s="533">
        <f t="shared" si="695"/>
        <v>14</v>
      </c>
      <c r="I1179" s="533">
        <f t="shared" si="695"/>
        <v>28</v>
      </c>
      <c r="J1179" s="533">
        <f t="shared" si="695"/>
        <v>4</v>
      </c>
      <c r="K1179" s="534">
        <f t="shared" si="685"/>
        <v>0.00774921322597785</v>
      </c>
      <c r="L1179" s="535">
        <f t="shared" si="686"/>
        <v>0.315970464135021</v>
      </c>
      <c r="M1179" s="535">
        <f t="shared" si="687"/>
        <v>2.44852249969346</v>
      </c>
      <c r="N1179" s="535">
        <f t="shared" si="688"/>
        <v>8.00560859985311</v>
      </c>
      <c r="O1179" s="535">
        <f t="shared" si="689"/>
        <v>0.000351617440225035</v>
      </c>
      <c r="P1179" s="536">
        <f t="shared" si="690"/>
        <v>21.3957142857143</v>
      </c>
      <c r="Q1179" s="531">
        <f t="shared" si="691"/>
        <v>42</v>
      </c>
      <c r="R1179" s="537">
        <f t="shared" si="692"/>
        <v>0.0147679324894515</v>
      </c>
    </row>
    <row r="1180" spans="1:18">
      <c r="A1180" s="524">
        <v>45686</v>
      </c>
      <c r="B1180" s="540" t="s">
        <v>98</v>
      </c>
      <c r="C1180" s="551">
        <v>299.96</v>
      </c>
      <c r="D1180" s="553">
        <v>12562</v>
      </c>
      <c r="E1180" s="551">
        <v>348</v>
      </c>
      <c r="F1180" s="551">
        <v>0</v>
      </c>
      <c r="G1180" s="551">
        <v>0</v>
      </c>
      <c r="H1180" s="551">
        <v>2</v>
      </c>
      <c r="I1180" s="551">
        <v>2</v>
      </c>
      <c r="J1180" s="551">
        <v>4</v>
      </c>
      <c r="K1180" s="527">
        <f t="shared" si="685"/>
        <v>0.0277025951281643</v>
      </c>
      <c r="L1180" s="528">
        <f t="shared" si="686"/>
        <v>0.861954022988506</v>
      </c>
      <c r="M1180" s="528">
        <f t="shared" si="687"/>
        <v>23.878363317943</v>
      </c>
      <c r="N1180" s="528">
        <f t="shared" si="688"/>
        <v>0</v>
      </c>
      <c r="O1180" s="528">
        <f t="shared" si="689"/>
        <v>0</v>
      </c>
      <c r="P1180" s="529">
        <f t="shared" si="690"/>
        <v>74.99</v>
      </c>
      <c r="Q1180" s="24">
        <f t="shared" si="691"/>
        <v>4</v>
      </c>
      <c r="R1180" s="530">
        <f t="shared" si="692"/>
        <v>0.0114942528735632</v>
      </c>
    </row>
    <row r="1181" spans="1:18">
      <c r="A1181" s="524"/>
      <c r="B1181" s="540" t="s">
        <v>99</v>
      </c>
      <c r="C1181" s="551">
        <v>0</v>
      </c>
      <c r="D1181" s="551">
        <v>0</v>
      </c>
      <c r="E1181" s="551">
        <v>0</v>
      </c>
      <c r="F1181" s="551">
        <v>0</v>
      </c>
      <c r="G1181" s="551">
        <v>0</v>
      </c>
      <c r="H1181" s="551">
        <v>0</v>
      </c>
      <c r="I1181" s="551">
        <v>0</v>
      </c>
      <c r="J1181" s="551">
        <v>0</v>
      </c>
      <c r="K1181" s="527">
        <f t="shared" si="685"/>
        <v>0</v>
      </c>
      <c r="L1181" s="528">
        <f t="shared" si="686"/>
        <v>0</v>
      </c>
      <c r="M1181" s="528">
        <f t="shared" si="687"/>
        <v>0</v>
      </c>
      <c r="N1181" s="528">
        <f t="shared" si="688"/>
        <v>0</v>
      </c>
      <c r="O1181" s="528">
        <f t="shared" si="689"/>
        <v>0</v>
      </c>
      <c r="P1181" s="529">
        <f t="shared" si="690"/>
        <v>0</v>
      </c>
      <c r="Q1181" s="24">
        <f t="shared" si="691"/>
        <v>0</v>
      </c>
      <c r="R1181" s="530">
        <f t="shared" si="692"/>
        <v>0</v>
      </c>
    </row>
    <row r="1182" spans="1:18">
      <c r="A1182" s="524"/>
      <c r="B1182" s="540" t="s">
        <v>100</v>
      </c>
      <c r="C1182" s="552">
        <v>599.38</v>
      </c>
      <c r="D1182" s="551">
        <v>539625</v>
      </c>
      <c r="E1182" s="551">
        <v>3714</v>
      </c>
      <c r="F1182" s="551">
        <v>0</v>
      </c>
      <c r="G1182" s="551">
        <v>0</v>
      </c>
      <c r="H1182" s="551">
        <v>33</v>
      </c>
      <c r="I1182" s="551">
        <v>38</v>
      </c>
      <c r="J1182" s="551">
        <v>2</v>
      </c>
      <c r="K1182" s="527">
        <f t="shared" si="685"/>
        <v>0.00688255733148019</v>
      </c>
      <c r="L1182" s="528">
        <f t="shared" si="686"/>
        <v>0.161383952611739</v>
      </c>
      <c r="M1182" s="528">
        <f t="shared" si="687"/>
        <v>1.11073430623118</v>
      </c>
      <c r="N1182" s="528">
        <f t="shared" si="688"/>
        <v>0</v>
      </c>
      <c r="O1182" s="528">
        <f t="shared" si="689"/>
        <v>0</v>
      </c>
      <c r="P1182" s="529">
        <f t="shared" si="690"/>
        <v>8.44197183098592</v>
      </c>
      <c r="Q1182" s="24">
        <f t="shared" si="691"/>
        <v>71</v>
      </c>
      <c r="R1182" s="530">
        <f t="shared" si="692"/>
        <v>0.0191168551427033</v>
      </c>
    </row>
    <row r="1183" spans="1:18">
      <c r="A1183" s="524"/>
      <c r="B1183" s="540" t="s">
        <v>101</v>
      </c>
      <c r="C1183" s="551">
        <v>0</v>
      </c>
      <c r="D1183" s="551">
        <v>0</v>
      </c>
      <c r="E1183" s="551">
        <v>0</v>
      </c>
      <c r="F1183" s="551">
        <v>0</v>
      </c>
      <c r="G1183" s="551">
        <v>0</v>
      </c>
      <c r="H1183" s="551">
        <v>0</v>
      </c>
      <c r="I1183" s="551">
        <v>0</v>
      </c>
      <c r="J1183" s="551">
        <v>0</v>
      </c>
      <c r="K1183" s="527">
        <f t="shared" si="685"/>
        <v>0</v>
      </c>
      <c r="L1183" s="528">
        <f t="shared" si="686"/>
        <v>0</v>
      </c>
      <c r="M1183" s="528">
        <f t="shared" si="687"/>
        <v>0</v>
      </c>
      <c r="N1183" s="528">
        <f t="shared" si="688"/>
        <v>0</v>
      </c>
      <c r="O1183" s="528">
        <f t="shared" si="689"/>
        <v>0</v>
      </c>
      <c r="P1183" s="529">
        <f t="shared" si="690"/>
        <v>0</v>
      </c>
      <c r="Q1183" s="24">
        <f t="shared" si="691"/>
        <v>0</v>
      </c>
      <c r="R1183" s="530">
        <f t="shared" si="692"/>
        <v>0</v>
      </c>
    </row>
    <row r="1184" spans="1:18">
      <c r="A1184" s="524"/>
      <c r="B1184" s="531" t="s">
        <v>96</v>
      </c>
      <c r="C1184" s="533">
        <f t="shared" ref="C1184:J1184" si="696">SUM(C1180:C1183)</f>
        <v>899.34</v>
      </c>
      <c r="D1184" s="533">
        <f t="shared" si="696"/>
        <v>552187</v>
      </c>
      <c r="E1184" s="533">
        <f t="shared" si="696"/>
        <v>4062</v>
      </c>
      <c r="F1184" s="533">
        <f t="shared" si="696"/>
        <v>0</v>
      </c>
      <c r="G1184" s="533">
        <f t="shared" si="696"/>
        <v>0</v>
      </c>
      <c r="H1184" s="533">
        <f t="shared" si="696"/>
        <v>35</v>
      </c>
      <c r="I1184" s="533">
        <f t="shared" si="696"/>
        <v>40</v>
      </c>
      <c r="J1184" s="533">
        <f t="shared" si="696"/>
        <v>6</v>
      </c>
      <c r="K1184" s="534">
        <f t="shared" si="685"/>
        <v>0.00735620360493818</v>
      </c>
      <c r="L1184" s="535">
        <f t="shared" si="686"/>
        <v>0.221403249630724</v>
      </c>
      <c r="M1184" s="535">
        <f t="shared" si="687"/>
        <v>1.62868738307856</v>
      </c>
      <c r="N1184" s="535">
        <f t="shared" si="688"/>
        <v>0</v>
      </c>
      <c r="O1184" s="535">
        <f t="shared" si="689"/>
        <v>0</v>
      </c>
      <c r="P1184" s="536">
        <f t="shared" si="690"/>
        <v>11.9912</v>
      </c>
      <c r="Q1184" s="531">
        <f t="shared" si="691"/>
        <v>75</v>
      </c>
      <c r="R1184" s="537">
        <f t="shared" si="692"/>
        <v>0.0184638109305761</v>
      </c>
    </row>
    <row r="1185" spans="1:18">
      <c r="A1185" s="524">
        <v>45687</v>
      </c>
      <c r="B1185" s="540" t="s">
        <v>98</v>
      </c>
      <c r="C1185" s="551">
        <v>300</v>
      </c>
      <c r="D1185" s="553">
        <v>9349</v>
      </c>
      <c r="E1185" s="551">
        <v>315</v>
      </c>
      <c r="F1185" s="551">
        <v>0</v>
      </c>
      <c r="G1185" s="551">
        <v>0</v>
      </c>
      <c r="H1185" s="551">
        <v>5</v>
      </c>
      <c r="I1185" s="551">
        <v>2</v>
      </c>
      <c r="J1185" s="551">
        <v>3</v>
      </c>
      <c r="K1185" s="527">
        <f t="shared" si="685"/>
        <v>0.0336934431489999</v>
      </c>
      <c r="L1185" s="528">
        <f t="shared" si="686"/>
        <v>0.952380952380952</v>
      </c>
      <c r="M1185" s="528">
        <f t="shared" si="687"/>
        <v>32.088993475238</v>
      </c>
      <c r="N1185" s="528">
        <f t="shared" si="688"/>
        <v>0</v>
      </c>
      <c r="O1185" s="528">
        <f t="shared" si="689"/>
        <v>0</v>
      </c>
      <c r="P1185" s="529">
        <f t="shared" si="690"/>
        <v>42.8571428571429</v>
      </c>
      <c r="Q1185" s="24">
        <f t="shared" si="691"/>
        <v>7</v>
      </c>
      <c r="R1185" s="530">
        <f t="shared" si="692"/>
        <v>0.0222222222222222</v>
      </c>
    </row>
    <row r="1186" spans="1:18">
      <c r="A1186" s="524"/>
      <c r="B1186" s="540" t="s">
        <v>99</v>
      </c>
      <c r="C1186" s="551">
        <v>0</v>
      </c>
      <c r="D1186" s="551">
        <v>0</v>
      </c>
      <c r="E1186" s="551">
        <v>0</v>
      </c>
      <c r="F1186" s="551">
        <v>0</v>
      </c>
      <c r="G1186" s="551">
        <v>0</v>
      </c>
      <c r="H1186" s="551">
        <v>0</v>
      </c>
      <c r="I1186" s="551">
        <v>0</v>
      </c>
      <c r="J1186" s="551">
        <v>0</v>
      </c>
      <c r="K1186" s="527">
        <f t="shared" si="685"/>
        <v>0</v>
      </c>
      <c r="L1186" s="528">
        <f t="shared" si="686"/>
        <v>0</v>
      </c>
      <c r="M1186" s="528">
        <f t="shared" si="687"/>
        <v>0</v>
      </c>
      <c r="N1186" s="528">
        <f t="shared" si="688"/>
        <v>0</v>
      </c>
      <c r="O1186" s="528">
        <f t="shared" si="689"/>
        <v>0</v>
      </c>
      <c r="P1186" s="529">
        <f t="shared" si="690"/>
        <v>0</v>
      </c>
      <c r="Q1186" s="24">
        <f t="shared" si="691"/>
        <v>0</v>
      </c>
      <c r="R1186" s="530">
        <f t="shared" si="692"/>
        <v>0</v>
      </c>
    </row>
    <row r="1187" spans="1:18">
      <c r="A1187" s="524"/>
      <c r="B1187" s="540" t="s">
        <v>100</v>
      </c>
      <c r="C1187" s="552">
        <v>597.65</v>
      </c>
      <c r="D1187" s="551">
        <v>381756</v>
      </c>
      <c r="E1187" s="551">
        <v>2506</v>
      </c>
      <c r="F1187" s="551">
        <v>0</v>
      </c>
      <c r="G1187" s="551">
        <v>0</v>
      </c>
      <c r="H1187" s="551">
        <v>37</v>
      </c>
      <c r="I1187" s="551">
        <v>22</v>
      </c>
      <c r="J1187" s="551">
        <v>3</v>
      </c>
      <c r="K1187" s="527">
        <f t="shared" si="685"/>
        <v>0.00656440239315165</v>
      </c>
      <c r="L1187" s="528">
        <f t="shared" si="686"/>
        <v>0.238487629688747</v>
      </c>
      <c r="M1187" s="528">
        <f t="shared" si="687"/>
        <v>1.56552876706587</v>
      </c>
      <c r="N1187" s="528">
        <f t="shared" si="688"/>
        <v>0</v>
      </c>
      <c r="O1187" s="528">
        <f t="shared" si="689"/>
        <v>0</v>
      </c>
      <c r="P1187" s="529">
        <f t="shared" si="690"/>
        <v>10.1296610169492</v>
      </c>
      <c r="Q1187" s="24">
        <f t="shared" si="691"/>
        <v>59</v>
      </c>
      <c r="R1187" s="530">
        <f t="shared" si="692"/>
        <v>0.0235434956105347</v>
      </c>
    </row>
    <row r="1188" spans="1:18">
      <c r="A1188" s="524"/>
      <c r="B1188" s="540" t="s">
        <v>101</v>
      </c>
      <c r="C1188" s="551">
        <v>0</v>
      </c>
      <c r="D1188" s="551">
        <v>0</v>
      </c>
      <c r="E1188" s="551">
        <v>0</v>
      </c>
      <c r="F1188" s="551">
        <v>0</v>
      </c>
      <c r="G1188" s="551">
        <v>0</v>
      </c>
      <c r="H1188" s="551">
        <v>0</v>
      </c>
      <c r="I1188" s="551">
        <v>0</v>
      </c>
      <c r="J1188" s="551">
        <v>0</v>
      </c>
      <c r="K1188" s="527">
        <f t="shared" si="685"/>
        <v>0</v>
      </c>
      <c r="L1188" s="528">
        <f t="shared" si="686"/>
        <v>0</v>
      </c>
      <c r="M1188" s="528">
        <f t="shared" si="687"/>
        <v>0</v>
      </c>
      <c r="N1188" s="528">
        <f t="shared" si="688"/>
        <v>0</v>
      </c>
      <c r="O1188" s="528">
        <f t="shared" si="689"/>
        <v>0</v>
      </c>
      <c r="P1188" s="529">
        <f t="shared" si="690"/>
        <v>0</v>
      </c>
      <c r="Q1188" s="24">
        <f t="shared" si="691"/>
        <v>0</v>
      </c>
      <c r="R1188" s="530">
        <f t="shared" si="692"/>
        <v>0</v>
      </c>
    </row>
    <row r="1189" spans="1:18">
      <c r="A1189" s="524"/>
      <c r="B1189" s="531" t="s">
        <v>96</v>
      </c>
      <c r="C1189" s="533">
        <f t="shared" ref="C1189:J1189" si="697">SUM(C1185:C1188)</f>
        <v>897.65</v>
      </c>
      <c r="D1189" s="533">
        <f t="shared" si="697"/>
        <v>391105</v>
      </c>
      <c r="E1189" s="533">
        <f t="shared" si="697"/>
        <v>2821</v>
      </c>
      <c r="F1189" s="533">
        <f t="shared" si="697"/>
        <v>0</v>
      </c>
      <c r="G1189" s="533">
        <f t="shared" si="697"/>
        <v>0</v>
      </c>
      <c r="H1189" s="533">
        <f t="shared" si="697"/>
        <v>42</v>
      </c>
      <c r="I1189" s="533">
        <f t="shared" si="697"/>
        <v>24</v>
      </c>
      <c r="J1189" s="533">
        <f t="shared" si="697"/>
        <v>6</v>
      </c>
      <c r="K1189" s="534">
        <f t="shared" si="685"/>
        <v>0.00721289679242147</v>
      </c>
      <c r="L1189" s="535">
        <f t="shared" si="686"/>
        <v>0.318202764976959</v>
      </c>
      <c r="M1189" s="535">
        <f t="shared" si="687"/>
        <v>2.29516370284195</v>
      </c>
      <c r="N1189" s="535">
        <f t="shared" si="688"/>
        <v>0</v>
      </c>
      <c r="O1189" s="535">
        <f t="shared" si="689"/>
        <v>0</v>
      </c>
      <c r="P1189" s="536">
        <f t="shared" si="690"/>
        <v>13.6007575757576</v>
      </c>
      <c r="Q1189" s="531">
        <f t="shared" si="691"/>
        <v>66</v>
      </c>
      <c r="R1189" s="537">
        <f t="shared" si="692"/>
        <v>0.0233959588798298</v>
      </c>
    </row>
    <row r="1190" spans="1:18">
      <c r="A1190" s="524">
        <v>45688</v>
      </c>
      <c r="B1190" s="540" t="s">
        <v>98</v>
      </c>
      <c r="C1190" s="551">
        <v>299.75</v>
      </c>
      <c r="D1190" s="553">
        <v>10356</v>
      </c>
      <c r="E1190" s="551">
        <v>274</v>
      </c>
      <c r="F1190" s="551">
        <v>0</v>
      </c>
      <c r="G1190" s="551">
        <v>0</v>
      </c>
      <c r="H1190" s="551">
        <v>4</v>
      </c>
      <c r="I1190" s="551">
        <v>1</v>
      </c>
      <c r="J1190" s="551">
        <v>4</v>
      </c>
      <c r="K1190" s="527">
        <f t="shared" si="685"/>
        <v>0.0264580919273851</v>
      </c>
      <c r="L1190" s="528">
        <f t="shared" si="686"/>
        <v>1.09397810218978</v>
      </c>
      <c r="M1190" s="528">
        <f t="shared" si="687"/>
        <v>28.9445731942835</v>
      </c>
      <c r="N1190" s="528">
        <f t="shared" si="688"/>
        <v>0</v>
      </c>
      <c r="O1190" s="528">
        <f t="shared" si="689"/>
        <v>0</v>
      </c>
      <c r="P1190" s="529">
        <f t="shared" si="690"/>
        <v>59.95</v>
      </c>
      <c r="Q1190" s="24">
        <f t="shared" si="691"/>
        <v>5</v>
      </c>
      <c r="R1190" s="530">
        <f t="shared" si="692"/>
        <v>0.0182481751824818</v>
      </c>
    </row>
    <row r="1191" spans="1:18">
      <c r="A1191" s="524"/>
      <c r="B1191" s="540" t="s">
        <v>99</v>
      </c>
      <c r="C1191" s="551">
        <v>0</v>
      </c>
      <c r="D1191" s="551">
        <v>0</v>
      </c>
      <c r="E1191" s="551">
        <v>0</v>
      </c>
      <c r="F1191" s="551">
        <v>0</v>
      </c>
      <c r="G1191" s="551">
        <v>0</v>
      </c>
      <c r="H1191" s="551">
        <v>0</v>
      </c>
      <c r="I1191" s="551">
        <v>0</v>
      </c>
      <c r="J1191" s="551">
        <v>0</v>
      </c>
      <c r="K1191" s="527">
        <f t="shared" si="685"/>
        <v>0</v>
      </c>
      <c r="L1191" s="528">
        <f t="shared" si="686"/>
        <v>0</v>
      </c>
      <c r="M1191" s="528">
        <f t="shared" si="687"/>
        <v>0</v>
      </c>
      <c r="N1191" s="528">
        <f t="shared" si="688"/>
        <v>0</v>
      </c>
      <c r="O1191" s="528">
        <f t="shared" si="689"/>
        <v>0</v>
      </c>
      <c r="P1191" s="529">
        <f t="shared" si="690"/>
        <v>0</v>
      </c>
      <c r="Q1191" s="24">
        <f t="shared" si="691"/>
        <v>0</v>
      </c>
      <c r="R1191" s="530">
        <f t="shared" si="692"/>
        <v>0</v>
      </c>
    </row>
    <row r="1192" spans="1:18">
      <c r="A1192" s="524"/>
      <c r="B1192" s="540" t="s">
        <v>100</v>
      </c>
      <c r="C1192" s="552">
        <v>599.94</v>
      </c>
      <c r="D1192" s="551">
        <v>358905</v>
      </c>
      <c r="E1192" s="551">
        <v>2217</v>
      </c>
      <c r="F1192" s="551">
        <v>0</v>
      </c>
      <c r="G1192" s="551">
        <v>0</v>
      </c>
      <c r="H1192" s="551">
        <v>41</v>
      </c>
      <c r="I1192" s="551">
        <v>22</v>
      </c>
      <c r="J1192" s="551">
        <v>1</v>
      </c>
      <c r="K1192" s="527">
        <f t="shared" si="685"/>
        <v>0.00617712207965896</v>
      </c>
      <c r="L1192" s="528">
        <f t="shared" si="686"/>
        <v>0.270608930987821</v>
      </c>
      <c r="M1192" s="528">
        <f t="shared" si="687"/>
        <v>1.67158440255778</v>
      </c>
      <c r="N1192" s="528">
        <f t="shared" si="688"/>
        <v>0</v>
      </c>
      <c r="O1192" s="528">
        <f t="shared" si="689"/>
        <v>0</v>
      </c>
      <c r="P1192" s="529">
        <f t="shared" si="690"/>
        <v>9.52285714285714</v>
      </c>
      <c r="Q1192" s="24">
        <f t="shared" si="691"/>
        <v>63</v>
      </c>
      <c r="R1192" s="530">
        <f t="shared" si="692"/>
        <v>0.0284167794316644</v>
      </c>
    </row>
    <row r="1193" spans="1:18">
      <c r="A1193" s="524"/>
      <c r="B1193" s="540" t="s">
        <v>101</v>
      </c>
      <c r="C1193" s="551">
        <v>0</v>
      </c>
      <c r="D1193" s="551">
        <v>0</v>
      </c>
      <c r="E1193" s="551">
        <v>0</v>
      </c>
      <c r="F1193" s="551">
        <v>0</v>
      </c>
      <c r="G1193" s="551">
        <v>0</v>
      </c>
      <c r="H1193" s="551">
        <v>0</v>
      </c>
      <c r="I1193" s="551">
        <v>0</v>
      </c>
      <c r="J1193" s="551">
        <v>0</v>
      </c>
      <c r="K1193" s="527">
        <f t="shared" si="685"/>
        <v>0</v>
      </c>
      <c r="L1193" s="528">
        <f t="shared" si="686"/>
        <v>0</v>
      </c>
      <c r="M1193" s="528">
        <f t="shared" si="687"/>
        <v>0</v>
      </c>
      <c r="N1193" s="528">
        <f t="shared" si="688"/>
        <v>0</v>
      </c>
      <c r="O1193" s="528">
        <f t="shared" si="689"/>
        <v>0</v>
      </c>
      <c r="P1193" s="529">
        <f t="shared" si="690"/>
        <v>0</v>
      </c>
      <c r="Q1193" s="24">
        <f t="shared" si="691"/>
        <v>0</v>
      </c>
      <c r="R1193" s="530">
        <f t="shared" si="692"/>
        <v>0</v>
      </c>
    </row>
    <row r="1194" spans="1:18">
      <c r="A1194" s="524"/>
      <c r="B1194" s="531" t="s">
        <v>96</v>
      </c>
      <c r="C1194" s="533">
        <f t="shared" ref="C1194:J1194" si="698">SUM(C1190:C1193)</f>
        <v>899.69</v>
      </c>
      <c r="D1194" s="533">
        <f t="shared" si="698"/>
        <v>369261</v>
      </c>
      <c r="E1194" s="533">
        <f t="shared" si="698"/>
        <v>2491</v>
      </c>
      <c r="F1194" s="533">
        <f t="shared" si="698"/>
        <v>0</v>
      </c>
      <c r="G1194" s="533">
        <f t="shared" si="698"/>
        <v>0</v>
      </c>
      <c r="H1194" s="533">
        <f t="shared" si="698"/>
        <v>45</v>
      </c>
      <c r="I1194" s="533">
        <f t="shared" si="698"/>
        <v>23</v>
      </c>
      <c r="J1194" s="533">
        <f t="shared" si="698"/>
        <v>5</v>
      </c>
      <c r="K1194" s="534">
        <f t="shared" si="685"/>
        <v>0.00674590601227858</v>
      </c>
      <c r="L1194" s="535">
        <f t="shared" si="686"/>
        <v>0.361176234443998</v>
      </c>
      <c r="M1194" s="535">
        <f t="shared" si="687"/>
        <v>2.43646093142791</v>
      </c>
      <c r="N1194" s="535">
        <f t="shared" si="688"/>
        <v>0</v>
      </c>
      <c r="O1194" s="535">
        <f t="shared" si="689"/>
        <v>0</v>
      </c>
      <c r="P1194" s="536">
        <f t="shared" si="690"/>
        <v>13.2307352941176</v>
      </c>
      <c r="Q1194" s="531">
        <f t="shared" si="691"/>
        <v>68</v>
      </c>
      <c r="R1194" s="537">
        <f t="shared" si="692"/>
        <v>0.0272982737856283</v>
      </c>
    </row>
    <row r="1195" spans="1:18">
      <c r="A1195" s="524">
        <v>45689</v>
      </c>
      <c r="B1195" s="540" t="s">
        <v>98</v>
      </c>
      <c r="C1195" s="551">
        <v>300</v>
      </c>
      <c r="D1195" s="553">
        <v>14578</v>
      </c>
      <c r="E1195" s="551">
        <v>413</v>
      </c>
      <c r="F1195" s="551">
        <v>0</v>
      </c>
      <c r="G1195" s="551">
        <v>0</v>
      </c>
      <c r="H1195" s="551">
        <v>5</v>
      </c>
      <c r="I1195" s="551">
        <v>5</v>
      </c>
      <c r="J1195" s="551">
        <v>1</v>
      </c>
      <c r="K1195" s="527">
        <f t="shared" si="685"/>
        <v>0.0283303608176705</v>
      </c>
      <c r="L1195" s="528">
        <f t="shared" si="686"/>
        <v>0.726392251815981</v>
      </c>
      <c r="M1195" s="528">
        <f t="shared" si="687"/>
        <v>20.5789545891069</v>
      </c>
      <c r="N1195" s="528">
        <f t="shared" si="688"/>
        <v>0</v>
      </c>
      <c r="O1195" s="528">
        <f t="shared" si="689"/>
        <v>0</v>
      </c>
      <c r="P1195" s="529">
        <f t="shared" si="690"/>
        <v>30</v>
      </c>
      <c r="Q1195" s="24">
        <f t="shared" si="691"/>
        <v>10</v>
      </c>
      <c r="R1195" s="530">
        <f t="shared" si="692"/>
        <v>0.0242130750605327</v>
      </c>
    </row>
    <row r="1196" spans="1:18">
      <c r="A1196" s="524"/>
      <c r="B1196" s="540" t="s">
        <v>99</v>
      </c>
      <c r="C1196" s="551">
        <v>0</v>
      </c>
      <c r="D1196" s="551">
        <v>0</v>
      </c>
      <c r="E1196" s="551">
        <v>0</v>
      </c>
      <c r="F1196" s="551">
        <v>0</v>
      </c>
      <c r="G1196" s="551">
        <v>0</v>
      </c>
      <c r="H1196" s="551">
        <v>0</v>
      </c>
      <c r="I1196" s="551">
        <v>0</v>
      </c>
      <c r="J1196" s="551">
        <v>0</v>
      </c>
      <c r="K1196" s="527">
        <f t="shared" si="685"/>
        <v>0</v>
      </c>
      <c r="L1196" s="528">
        <f t="shared" si="686"/>
        <v>0</v>
      </c>
      <c r="M1196" s="528">
        <f t="shared" si="687"/>
        <v>0</v>
      </c>
      <c r="N1196" s="528">
        <f t="shared" si="688"/>
        <v>0</v>
      </c>
      <c r="O1196" s="528">
        <f t="shared" si="689"/>
        <v>0</v>
      </c>
      <c r="P1196" s="529">
        <f t="shared" si="690"/>
        <v>0</v>
      </c>
      <c r="Q1196" s="24">
        <f t="shared" si="691"/>
        <v>0</v>
      </c>
      <c r="R1196" s="530">
        <f t="shared" si="692"/>
        <v>0</v>
      </c>
    </row>
    <row r="1197" spans="1:18">
      <c r="A1197" s="524"/>
      <c r="B1197" s="540" t="s">
        <v>100</v>
      </c>
      <c r="C1197" s="552">
        <v>598.31</v>
      </c>
      <c r="D1197" s="551">
        <v>281276</v>
      </c>
      <c r="E1197" s="551">
        <v>1849</v>
      </c>
      <c r="F1197" s="551">
        <v>0</v>
      </c>
      <c r="G1197" s="551">
        <v>0</v>
      </c>
      <c r="H1197" s="551">
        <v>45</v>
      </c>
      <c r="I1197" s="551">
        <v>36</v>
      </c>
      <c r="J1197" s="551">
        <v>6</v>
      </c>
      <c r="K1197" s="527">
        <f t="shared" si="685"/>
        <v>0.00657361452807918</v>
      </c>
      <c r="L1197" s="528">
        <f t="shared" si="686"/>
        <v>0.323585722011898</v>
      </c>
      <c r="M1197" s="528">
        <f t="shared" si="687"/>
        <v>2.12712780329641</v>
      </c>
      <c r="N1197" s="528">
        <f t="shared" si="688"/>
        <v>0</v>
      </c>
      <c r="O1197" s="528">
        <f t="shared" si="689"/>
        <v>0</v>
      </c>
      <c r="P1197" s="529">
        <f t="shared" si="690"/>
        <v>7.38654320987654</v>
      </c>
      <c r="Q1197" s="24">
        <f t="shared" si="691"/>
        <v>81</v>
      </c>
      <c r="R1197" s="530">
        <f t="shared" si="692"/>
        <v>0.0438074634937804</v>
      </c>
    </row>
    <row r="1198" spans="1:18">
      <c r="A1198" s="524"/>
      <c r="B1198" s="540" t="s">
        <v>101</v>
      </c>
      <c r="C1198" s="551">
        <v>0</v>
      </c>
      <c r="D1198" s="551">
        <v>0</v>
      </c>
      <c r="E1198" s="551">
        <v>0</v>
      </c>
      <c r="F1198" s="551">
        <v>0</v>
      </c>
      <c r="G1198" s="551">
        <v>0</v>
      </c>
      <c r="H1198" s="551">
        <v>0</v>
      </c>
      <c r="I1198" s="551">
        <v>0</v>
      </c>
      <c r="J1198" s="551">
        <v>0</v>
      </c>
      <c r="K1198" s="527">
        <f t="shared" si="685"/>
        <v>0</v>
      </c>
      <c r="L1198" s="528">
        <f t="shared" si="686"/>
        <v>0</v>
      </c>
      <c r="M1198" s="528">
        <f t="shared" si="687"/>
        <v>0</v>
      </c>
      <c r="N1198" s="528">
        <f t="shared" si="688"/>
        <v>0</v>
      </c>
      <c r="O1198" s="528">
        <f t="shared" si="689"/>
        <v>0</v>
      </c>
      <c r="P1198" s="529">
        <f t="shared" si="690"/>
        <v>0</v>
      </c>
      <c r="Q1198" s="24">
        <f t="shared" si="691"/>
        <v>0</v>
      </c>
      <c r="R1198" s="530">
        <f t="shared" si="692"/>
        <v>0</v>
      </c>
    </row>
    <row r="1199" spans="1:18">
      <c r="A1199" s="524"/>
      <c r="B1199" s="531" t="s">
        <v>96</v>
      </c>
      <c r="C1199" s="533">
        <f t="shared" ref="C1199:J1199" si="699">SUM(C1195:C1198)</f>
        <v>898.31</v>
      </c>
      <c r="D1199" s="533">
        <f t="shared" si="699"/>
        <v>295854</v>
      </c>
      <c r="E1199" s="533">
        <f t="shared" si="699"/>
        <v>2262</v>
      </c>
      <c r="F1199" s="533">
        <f t="shared" si="699"/>
        <v>0</v>
      </c>
      <c r="G1199" s="533">
        <f t="shared" si="699"/>
        <v>0</v>
      </c>
      <c r="H1199" s="533">
        <f t="shared" si="699"/>
        <v>50</v>
      </c>
      <c r="I1199" s="533">
        <f t="shared" si="699"/>
        <v>41</v>
      </c>
      <c r="J1199" s="533">
        <f t="shared" si="699"/>
        <v>7</v>
      </c>
      <c r="K1199" s="534">
        <f t="shared" si="685"/>
        <v>0.0076456630635381</v>
      </c>
      <c r="L1199" s="535">
        <f t="shared" si="686"/>
        <v>0.397130857648099</v>
      </c>
      <c r="M1199" s="535">
        <f t="shared" si="687"/>
        <v>3.03632872971128</v>
      </c>
      <c r="N1199" s="535">
        <f t="shared" si="688"/>
        <v>0</v>
      </c>
      <c r="O1199" s="535">
        <f t="shared" si="689"/>
        <v>0</v>
      </c>
      <c r="P1199" s="536">
        <f t="shared" si="690"/>
        <v>9.87153846153846</v>
      </c>
      <c r="Q1199" s="531">
        <f t="shared" si="691"/>
        <v>91</v>
      </c>
      <c r="R1199" s="537">
        <f t="shared" si="692"/>
        <v>0.0402298850574713</v>
      </c>
    </row>
    <row r="1200" spans="1:18">
      <c r="A1200" s="524">
        <v>45690</v>
      </c>
      <c r="B1200" s="540" t="s">
        <v>98</v>
      </c>
      <c r="C1200" s="551">
        <v>299.92</v>
      </c>
      <c r="D1200" s="553">
        <v>16097</v>
      </c>
      <c r="E1200" s="551">
        <v>505</v>
      </c>
      <c r="F1200" s="551">
        <v>0</v>
      </c>
      <c r="G1200" s="551">
        <v>0</v>
      </c>
      <c r="H1200" s="551">
        <v>22</v>
      </c>
      <c r="I1200" s="551">
        <v>1</v>
      </c>
      <c r="J1200" s="551">
        <v>1</v>
      </c>
      <c r="K1200" s="527">
        <f t="shared" si="685"/>
        <v>0.0313723053985215</v>
      </c>
      <c r="L1200" s="528">
        <f t="shared" si="686"/>
        <v>0.59390099009901</v>
      </c>
      <c r="M1200" s="528">
        <f t="shared" si="687"/>
        <v>18.6320432378704</v>
      </c>
      <c r="N1200" s="528">
        <f t="shared" si="688"/>
        <v>0</v>
      </c>
      <c r="O1200" s="528">
        <f t="shared" si="689"/>
        <v>0</v>
      </c>
      <c r="P1200" s="529">
        <f t="shared" si="690"/>
        <v>13.04</v>
      </c>
      <c r="Q1200" s="24">
        <f t="shared" si="691"/>
        <v>23</v>
      </c>
      <c r="R1200" s="530">
        <f t="shared" si="692"/>
        <v>0.0455445544554455</v>
      </c>
    </row>
    <row r="1201" spans="1:18">
      <c r="A1201" s="524"/>
      <c r="B1201" s="540" t="s">
        <v>99</v>
      </c>
      <c r="C1201" s="551">
        <v>0</v>
      </c>
      <c r="D1201" s="551">
        <v>0</v>
      </c>
      <c r="E1201" s="551">
        <v>0</v>
      </c>
      <c r="F1201" s="551">
        <v>0</v>
      </c>
      <c r="G1201" s="551">
        <v>0</v>
      </c>
      <c r="H1201" s="551">
        <v>0</v>
      </c>
      <c r="I1201" s="551">
        <v>0</v>
      </c>
      <c r="J1201" s="551">
        <v>0</v>
      </c>
      <c r="K1201" s="527">
        <f t="shared" si="685"/>
        <v>0</v>
      </c>
      <c r="L1201" s="528">
        <f t="shared" si="686"/>
        <v>0</v>
      </c>
      <c r="M1201" s="528">
        <f t="shared" si="687"/>
        <v>0</v>
      </c>
      <c r="N1201" s="528">
        <f t="shared" si="688"/>
        <v>0</v>
      </c>
      <c r="O1201" s="528">
        <f t="shared" si="689"/>
        <v>0</v>
      </c>
      <c r="P1201" s="529">
        <f t="shared" si="690"/>
        <v>0</v>
      </c>
      <c r="Q1201" s="24">
        <f t="shared" si="691"/>
        <v>0</v>
      </c>
      <c r="R1201" s="530">
        <f t="shared" si="692"/>
        <v>0</v>
      </c>
    </row>
    <row r="1202" spans="1:18">
      <c r="A1202" s="524"/>
      <c r="B1202" s="540" t="s">
        <v>100</v>
      </c>
      <c r="C1202" s="552">
        <v>599.29</v>
      </c>
      <c r="D1202" s="551">
        <v>453804</v>
      </c>
      <c r="E1202" s="551">
        <v>2386</v>
      </c>
      <c r="F1202" s="551">
        <v>0</v>
      </c>
      <c r="G1202" s="551">
        <v>0</v>
      </c>
      <c r="H1202" s="551">
        <v>31</v>
      </c>
      <c r="I1202" s="551">
        <v>37</v>
      </c>
      <c r="J1202" s="551">
        <v>2</v>
      </c>
      <c r="K1202" s="527">
        <f t="shared" si="685"/>
        <v>0.00525777648500234</v>
      </c>
      <c r="L1202" s="528">
        <f t="shared" si="686"/>
        <v>0.251169321039396</v>
      </c>
      <c r="M1202" s="528">
        <f t="shared" si="687"/>
        <v>1.32059214991494</v>
      </c>
      <c r="N1202" s="528">
        <f t="shared" si="688"/>
        <v>0</v>
      </c>
      <c r="O1202" s="528">
        <f t="shared" si="689"/>
        <v>0</v>
      </c>
      <c r="P1202" s="529">
        <f t="shared" si="690"/>
        <v>8.81308823529412</v>
      </c>
      <c r="Q1202" s="24">
        <f t="shared" si="691"/>
        <v>68</v>
      </c>
      <c r="R1202" s="530">
        <f t="shared" si="692"/>
        <v>0.0284995808885163</v>
      </c>
    </row>
    <row r="1203" spans="1:18">
      <c r="A1203" s="524"/>
      <c r="B1203" s="540" t="s">
        <v>101</v>
      </c>
      <c r="C1203" s="551">
        <v>0</v>
      </c>
      <c r="D1203" s="551">
        <v>0</v>
      </c>
      <c r="E1203" s="551">
        <v>0</v>
      </c>
      <c r="F1203" s="551">
        <v>0</v>
      </c>
      <c r="G1203" s="551">
        <v>0</v>
      </c>
      <c r="H1203" s="551">
        <v>0</v>
      </c>
      <c r="I1203" s="551">
        <v>0</v>
      </c>
      <c r="J1203" s="551">
        <v>0</v>
      </c>
      <c r="K1203" s="527">
        <f t="shared" si="685"/>
        <v>0</v>
      </c>
      <c r="L1203" s="528">
        <f t="shared" si="686"/>
        <v>0</v>
      </c>
      <c r="M1203" s="528">
        <f t="shared" si="687"/>
        <v>0</v>
      </c>
      <c r="N1203" s="528">
        <f t="shared" si="688"/>
        <v>0</v>
      </c>
      <c r="O1203" s="528">
        <f t="shared" si="689"/>
        <v>0</v>
      </c>
      <c r="P1203" s="529">
        <f t="shared" si="690"/>
        <v>0</v>
      </c>
      <c r="Q1203" s="24">
        <f t="shared" si="691"/>
        <v>0</v>
      </c>
      <c r="R1203" s="530">
        <f t="shared" si="692"/>
        <v>0</v>
      </c>
    </row>
    <row r="1204" spans="1:18">
      <c r="A1204" s="524"/>
      <c r="B1204" s="531" t="s">
        <v>96</v>
      </c>
      <c r="C1204" s="533">
        <f t="shared" ref="C1204:J1204" si="700">SUM(C1200:C1203)</f>
        <v>899.21</v>
      </c>
      <c r="D1204" s="533">
        <f t="shared" si="700"/>
        <v>469901</v>
      </c>
      <c r="E1204" s="533">
        <f t="shared" si="700"/>
        <v>2891</v>
      </c>
      <c r="F1204" s="533">
        <f t="shared" si="700"/>
        <v>0</v>
      </c>
      <c r="G1204" s="533">
        <f t="shared" si="700"/>
        <v>0</v>
      </c>
      <c r="H1204" s="533">
        <f t="shared" si="700"/>
        <v>53</v>
      </c>
      <c r="I1204" s="533">
        <f t="shared" si="700"/>
        <v>38</v>
      </c>
      <c r="J1204" s="533">
        <f t="shared" si="700"/>
        <v>3</v>
      </c>
      <c r="K1204" s="534">
        <f t="shared" si="685"/>
        <v>0.00615235975237337</v>
      </c>
      <c r="L1204" s="535">
        <f t="shared" si="686"/>
        <v>0.31103770321688</v>
      </c>
      <c r="M1204" s="535">
        <f t="shared" si="687"/>
        <v>1.91361584674219</v>
      </c>
      <c r="N1204" s="535">
        <f t="shared" si="688"/>
        <v>0</v>
      </c>
      <c r="O1204" s="535">
        <f t="shared" si="689"/>
        <v>0</v>
      </c>
      <c r="P1204" s="536">
        <f t="shared" si="690"/>
        <v>9.88142857142857</v>
      </c>
      <c r="Q1204" s="531">
        <f t="shared" si="691"/>
        <v>91</v>
      </c>
      <c r="R1204" s="537">
        <f t="shared" si="692"/>
        <v>0.0314769975786925</v>
      </c>
    </row>
    <row r="1205" spans="1:18">
      <c r="A1205" s="524">
        <v>45691</v>
      </c>
      <c r="B1205" s="540" t="s">
        <v>98</v>
      </c>
      <c r="C1205" s="551">
        <v>299.77</v>
      </c>
      <c r="D1205" s="553">
        <v>15170</v>
      </c>
      <c r="E1205" s="551">
        <v>355</v>
      </c>
      <c r="F1205" s="551">
        <v>0</v>
      </c>
      <c r="G1205" s="551">
        <v>0</v>
      </c>
      <c r="H1205" s="551">
        <v>4</v>
      </c>
      <c r="I1205" s="551">
        <v>5</v>
      </c>
      <c r="J1205" s="551">
        <v>2</v>
      </c>
      <c r="K1205" s="527">
        <f t="shared" si="685"/>
        <v>0.0234014502307185</v>
      </c>
      <c r="L1205" s="528">
        <f t="shared" si="686"/>
        <v>0.844422535211268</v>
      </c>
      <c r="M1205" s="528">
        <f t="shared" si="687"/>
        <v>19.7607119314436</v>
      </c>
      <c r="N1205" s="528">
        <f t="shared" si="688"/>
        <v>0</v>
      </c>
      <c r="O1205" s="528">
        <f t="shared" si="689"/>
        <v>0</v>
      </c>
      <c r="P1205" s="529">
        <f t="shared" si="690"/>
        <v>33.3077777777778</v>
      </c>
      <c r="Q1205" s="24">
        <f t="shared" si="691"/>
        <v>9</v>
      </c>
      <c r="R1205" s="530">
        <f t="shared" si="692"/>
        <v>0.0253521126760563</v>
      </c>
    </row>
    <row r="1206" spans="1:18">
      <c r="A1206" s="524"/>
      <c r="B1206" s="540" t="s">
        <v>99</v>
      </c>
      <c r="C1206" s="551">
        <v>0</v>
      </c>
      <c r="D1206" s="551">
        <v>0</v>
      </c>
      <c r="E1206" s="551">
        <v>0</v>
      </c>
      <c r="F1206" s="551">
        <v>0</v>
      </c>
      <c r="G1206" s="551">
        <v>0</v>
      </c>
      <c r="H1206" s="551">
        <v>0</v>
      </c>
      <c r="I1206" s="551">
        <v>0</v>
      </c>
      <c r="J1206" s="551">
        <v>0</v>
      </c>
      <c r="K1206" s="527">
        <f t="shared" si="685"/>
        <v>0</v>
      </c>
      <c r="L1206" s="528">
        <f t="shared" si="686"/>
        <v>0</v>
      </c>
      <c r="M1206" s="528">
        <f t="shared" si="687"/>
        <v>0</v>
      </c>
      <c r="N1206" s="528">
        <f t="shared" si="688"/>
        <v>0</v>
      </c>
      <c r="O1206" s="528">
        <f t="shared" si="689"/>
        <v>0</v>
      </c>
      <c r="P1206" s="529">
        <f t="shared" si="690"/>
        <v>0</v>
      </c>
      <c r="Q1206" s="24">
        <f t="shared" si="691"/>
        <v>0</v>
      </c>
      <c r="R1206" s="530">
        <f t="shared" si="692"/>
        <v>0</v>
      </c>
    </row>
    <row r="1207" spans="1:18">
      <c r="A1207" s="524"/>
      <c r="B1207" s="540" t="s">
        <v>100</v>
      </c>
      <c r="C1207" s="552">
        <v>597.73</v>
      </c>
      <c r="D1207" s="551">
        <v>685489</v>
      </c>
      <c r="E1207" s="551">
        <v>2412</v>
      </c>
      <c r="F1207" s="551">
        <v>0</v>
      </c>
      <c r="G1207" s="551">
        <v>0</v>
      </c>
      <c r="H1207" s="551">
        <v>34</v>
      </c>
      <c r="I1207" s="551">
        <v>29</v>
      </c>
      <c r="J1207" s="551">
        <v>2</v>
      </c>
      <c r="K1207" s="527">
        <f t="shared" si="685"/>
        <v>0.00351865602511492</v>
      </c>
      <c r="L1207" s="528">
        <f t="shared" si="686"/>
        <v>0.247815091210614</v>
      </c>
      <c r="M1207" s="528">
        <f t="shared" si="687"/>
        <v>0.871976063802629</v>
      </c>
      <c r="N1207" s="528">
        <f t="shared" si="688"/>
        <v>0</v>
      </c>
      <c r="O1207" s="528">
        <f t="shared" si="689"/>
        <v>0</v>
      </c>
      <c r="P1207" s="529">
        <f t="shared" si="690"/>
        <v>9.48777777777778</v>
      </c>
      <c r="Q1207" s="24">
        <f t="shared" si="691"/>
        <v>63</v>
      </c>
      <c r="R1207" s="530">
        <f t="shared" si="692"/>
        <v>0.0261194029850746</v>
      </c>
    </row>
    <row r="1208" spans="1:18">
      <c r="A1208" s="524"/>
      <c r="B1208" s="540" t="s">
        <v>101</v>
      </c>
      <c r="C1208" s="551">
        <v>0</v>
      </c>
      <c r="D1208" s="551">
        <v>0</v>
      </c>
      <c r="E1208" s="551">
        <v>0</v>
      </c>
      <c r="F1208" s="551">
        <v>0</v>
      </c>
      <c r="G1208" s="551">
        <v>0</v>
      </c>
      <c r="H1208" s="551">
        <v>0</v>
      </c>
      <c r="I1208" s="551">
        <v>0</v>
      </c>
      <c r="J1208" s="551">
        <v>0</v>
      </c>
      <c r="K1208" s="527">
        <f t="shared" si="685"/>
        <v>0</v>
      </c>
      <c r="L1208" s="528">
        <f t="shared" si="686"/>
        <v>0</v>
      </c>
      <c r="M1208" s="528">
        <f t="shared" si="687"/>
        <v>0</v>
      </c>
      <c r="N1208" s="528">
        <f t="shared" si="688"/>
        <v>0</v>
      </c>
      <c r="O1208" s="528">
        <f t="shared" si="689"/>
        <v>0</v>
      </c>
      <c r="P1208" s="529">
        <f t="shared" si="690"/>
        <v>0</v>
      </c>
      <c r="Q1208" s="24">
        <f t="shared" si="691"/>
        <v>0</v>
      </c>
      <c r="R1208" s="530">
        <f t="shared" si="692"/>
        <v>0</v>
      </c>
    </row>
    <row r="1209" spans="1:18">
      <c r="A1209" s="524"/>
      <c r="B1209" s="531" t="s">
        <v>96</v>
      </c>
      <c r="C1209" s="533">
        <f t="shared" ref="C1209:J1209" si="701">SUM(C1205:C1208)</f>
        <v>897.5</v>
      </c>
      <c r="D1209" s="533">
        <f t="shared" si="701"/>
        <v>700659</v>
      </c>
      <c r="E1209" s="533">
        <f t="shared" si="701"/>
        <v>2767</v>
      </c>
      <c r="F1209" s="533">
        <f t="shared" si="701"/>
        <v>0</v>
      </c>
      <c r="G1209" s="533">
        <f t="shared" si="701"/>
        <v>0</v>
      </c>
      <c r="H1209" s="533">
        <f t="shared" si="701"/>
        <v>38</v>
      </c>
      <c r="I1209" s="533">
        <f t="shared" si="701"/>
        <v>34</v>
      </c>
      <c r="J1209" s="533">
        <f t="shared" si="701"/>
        <v>4</v>
      </c>
      <c r="K1209" s="534">
        <f t="shared" si="685"/>
        <v>0.0039491393102779</v>
      </c>
      <c r="L1209" s="535">
        <f t="shared" si="686"/>
        <v>0.324358511022768</v>
      </c>
      <c r="M1209" s="535">
        <f t="shared" si="687"/>
        <v>1.28093694650322</v>
      </c>
      <c r="N1209" s="535">
        <f t="shared" si="688"/>
        <v>0</v>
      </c>
      <c r="O1209" s="535">
        <f t="shared" si="689"/>
        <v>0</v>
      </c>
      <c r="P1209" s="536">
        <f t="shared" si="690"/>
        <v>12.4652777777778</v>
      </c>
      <c r="Q1209" s="531">
        <f t="shared" si="691"/>
        <v>72</v>
      </c>
      <c r="R1209" s="537">
        <f t="shared" si="692"/>
        <v>0.0260209613299602</v>
      </c>
    </row>
    <row r="1210" spans="1:18">
      <c r="A1210" s="524">
        <v>45692</v>
      </c>
      <c r="B1210" s="540" t="s">
        <v>98</v>
      </c>
      <c r="C1210" s="551">
        <v>198.23</v>
      </c>
      <c r="D1210" s="553">
        <v>8942</v>
      </c>
      <c r="E1210" s="551">
        <v>208</v>
      </c>
      <c r="F1210" s="551">
        <v>0</v>
      </c>
      <c r="G1210" s="551">
        <v>0</v>
      </c>
      <c r="H1210" s="551">
        <v>15</v>
      </c>
      <c r="I1210" s="551">
        <v>4</v>
      </c>
      <c r="J1210" s="551">
        <v>3</v>
      </c>
      <c r="K1210" s="527">
        <f t="shared" si="685"/>
        <v>0.0232610154327891</v>
      </c>
      <c r="L1210" s="528">
        <f t="shared" si="686"/>
        <v>0.953028846153846</v>
      </c>
      <c r="M1210" s="528">
        <f t="shared" si="687"/>
        <v>22.1684186982778</v>
      </c>
      <c r="N1210" s="528">
        <f t="shared" si="688"/>
        <v>0</v>
      </c>
      <c r="O1210" s="528">
        <f t="shared" si="689"/>
        <v>0</v>
      </c>
      <c r="P1210" s="529">
        <f t="shared" si="690"/>
        <v>10.4331578947368</v>
      </c>
      <c r="Q1210" s="24">
        <f t="shared" si="691"/>
        <v>19</v>
      </c>
      <c r="R1210" s="530">
        <f t="shared" si="692"/>
        <v>0.0913461538461538</v>
      </c>
    </row>
    <row r="1211" spans="1:18">
      <c r="A1211" s="524"/>
      <c r="B1211" s="540" t="s">
        <v>99</v>
      </c>
      <c r="C1211" s="551">
        <v>0</v>
      </c>
      <c r="D1211" s="551">
        <v>0</v>
      </c>
      <c r="E1211" s="551">
        <v>0</v>
      </c>
      <c r="F1211" s="551">
        <v>0</v>
      </c>
      <c r="G1211" s="551">
        <v>0</v>
      </c>
      <c r="H1211" s="551">
        <v>0</v>
      </c>
      <c r="I1211" s="551">
        <v>0</v>
      </c>
      <c r="J1211" s="551">
        <v>0</v>
      </c>
      <c r="K1211" s="527">
        <f t="shared" si="685"/>
        <v>0</v>
      </c>
      <c r="L1211" s="528">
        <f t="shared" si="686"/>
        <v>0</v>
      </c>
      <c r="M1211" s="528">
        <f t="shared" si="687"/>
        <v>0</v>
      </c>
      <c r="N1211" s="528">
        <f t="shared" si="688"/>
        <v>0</v>
      </c>
      <c r="O1211" s="528">
        <f t="shared" si="689"/>
        <v>0</v>
      </c>
      <c r="P1211" s="529">
        <f t="shared" si="690"/>
        <v>0</v>
      </c>
      <c r="Q1211" s="24">
        <f t="shared" si="691"/>
        <v>0</v>
      </c>
      <c r="R1211" s="530">
        <f t="shared" si="692"/>
        <v>0</v>
      </c>
    </row>
    <row r="1212" spans="1:18">
      <c r="A1212" s="524"/>
      <c r="B1212" s="540" t="s">
        <v>100</v>
      </c>
      <c r="C1212" s="552">
        <v>551.44</v>
      </c>
      <c r="D1212" s="551">
        <v>1059676</v>
      </c>
      <c r="E1212" s="551">
        <v>2792</v>
      </c>
      <c r="F1212" s="551">
        <v>0</v>
      </c>
      <c r="G1212" s="551">
        <v>0</v>
      </c>
      <c r="H1212" s="551">
        <v>42</v>
      </c>
      <c r="I1212" s="551">
        <v>25</v>
      </c>
      <c r="J1212" s="551">
        <v>3</v>
      </c>
      <c r="K1212" s="527">
        <f t="shared" si="685"/>
        <v>0.00263476760821232</v>
      </c>
      <c r="L1212" s="528">
        <f t="shared" si="686"/>
        <v>0.197507163323782</v>
      </c>
      <c r="M1212" s="528">
        <f t="shared" si="687"/>
        <v>0.520385476315402</v>
      </c>
      <c r="N1212" s="528">
        <f t="shared" si="688"/>
        <v>0</v>
      </c>
      <c r="O1212" s="528">
        <f t="shared" si="689"/>
        <v>0</v>
      </c>
      <c r="P1212" s="529">
        <f t="shared" si="690"/>
        <v>8.23044776119403</v>
      </c>
      <c r="Q1212" s="24">
        <f t="shared" si="691"/>
        <v>67</v>
      </c>
      <c r="R1212" s="530">
        <f t="shared" si="692"/>
        <v>0.0239971346704871</v>
      </c>
    </row>
    <row r="1213" spans="1:18">
      <c r="A1213" s="524"/>
      <c r="B1213" s="540" t="s">
        <v>101</v>
      </c>
      <c r="C1213" s="551">
        <v>0</v>
      </c>
      <c r="D1213" s="551">
        <v>0</v>
      </c>
      <c r="E1213" s="551">
        <v>0</v>
      </c>
      <c r="F1213" s="551">
        <v>0</v>
      </c>
      <c r="G1213" s="551">
        <v>0</v>
      </c>
      <c r="H1213" s="551">
        <v>0</v>
      </c>
      <c r="I1213" s="551">
        <v>0</v>
      </c>
      <c r="J1213" s="551">
        <v>0</v>
      </c>
      <c r="K1213" s="527">
        <f t="shared" si="685"/>
        <v>0</v>
      </c>
      <c r="L1213" s="528">
        <f t="shared" si="686"/>
        <v>0</v>
      </c>
      <c r="M1213" s="528">
        <f t="shared" si="687"/>
        <v>0</v>
      </c>
      <c r="N1213" s="528">
        <f t="shared" si="688"/>
        <v>0</v>
      </c>
      <c r="O1213" s="528">
        <f t="shared" si="689"/>
        <v>0</v>
      </c>
      <c r="P1213" s="529">
        <f t="shared" si="690"/>
        <v>0</v>
      </c>
      <c r="Q1213" s="24">
        <f t="shared" si="691"/>
        <v>0</v>
      </c>
      <c r="R1213" s="530">
        <f t="shared" si="692"/>
        <v>0</v>
      </c>
    </row>
    <row r="1214" spans="1:18">
      <c r="A1214" s="524"/>
      <c r="B1214" s="531" t="s">
        <v>96</v>
      </c>
      <c r="C1214" s="533">
        <f t="shared" ref="C1214:J1214" si="702">SUM(C1210:C1213)</f>
        <v>749.67</v>
      </c>
      <c r="D1214" s="533">
        <f t="shared" si="702"/>
        <v>1068618</v>
      </c>
      <c r="E1214" s="533">
        <f t="shared" si="702"/>
        <v>3000</v>
      </c>
      <c r="F1214" s="533">
        <f t="shared" si="702"/>
        <v>0</v>
      </c>
      <c r="G1214" s="533">
        <f t="shared" si="702"/>
        <v>0</v>
      </c>
      <c r="H1214" s="533">
        <f t="shared" si="702"/>
        <v>57</v>
      </c>
      <c r="I1214" s="533">
        <f t="shared" si="702"/>
        <v>29</v>
      </c>
      <c r="J1214" s="533">
        <f t="shared" si="702"/>
        <v>6</v>
      </c>
      <c r="K1214" s="534">
        <f t="shared" si="685"/>
        <v>0.00280736427797398</v>
      </c>
      <c r="L1214" s="535">
        <f t="shared" si="686"/>
        <v>0.24989</v>
      </c>
      <c r="M1214" s="535">
        <f t="shared" si="687"/>
        <v>0.701532259422918</v>
      </c>
      <c r="N1214" s="535">
        <f t="shared" si="688"/>
        <v>0</v>
      </c>
      <c r="O1214" s="535">
        <f t="shared" si="689"/>
        <v>0</v>
      </c>
      <c r="P1214" s="536">
        <f t="shared" si="690"/>
        <v>8.71709302325582</v>
      </c>
      <c r="Q1214" s="531">
        <f t="shared" si="691"/>
        <v>86</v>
      </c>
      <c r="R1214" s="537">
        <f t="shared" si="692"/>
        <v>0.0286666666666667</v>
      </c>
    </row>
    <row r="1215" spans="1:18">
      <c r="A1215" s="524">
        <v>45693</v>
      </c>
      <c r="B1215" s="540" t="s">
        <v>98</v>
      </c>
      <c r="C1215" s="551">
        <v>200</v>
      </c>
      <c r="D1215" s="553">
        <v>8918</v>
      </c>
      <c r="E1215" s="551">
        <v>189</v>
      </c>
      <c r="F1215" s="551">
        <v>0</v>
      </c>
      <c r="G1215" s="551">
        <v>0</v>
      </c>
      <c r="H1215" s="551">
        <v>5</v>
      </c>
      <c r="I1215" s="551">
        <v>0</v>
      </c>
      <c r="J1215" s="551">
        <v>2</v>
      </c>
      <c r="K1215" s="527">
        <f t="shared" si="685"/>
        <v>0.0211930926216641</v>
      </c>
      <c r="L1215" s="528">
        <f t="shared" si="686"/>
        <v>1.05820105820106</v>
      </c>
      <c r="M1215" s="528">
        <f t="shared" si="687"/>
        <v>22.4265530387979</v>
      </c>
      <c r="N1215" s="528">
        <f t="shared" si="688"/>
        <v>0</v>
      </c>
      <c r="O1215" s="528">
        <f t="shared" si="689"/>
        <v>0</v>
      </c>
      <c r="P1215" s="529">
        <f t="shared" si="690"/>
        <v>40</v>
      </c>
      <c r="Q1215" s="24">
        <f t="shared" si="691"/>
        <v>5</v>
      </c>
      <c r="R1215" s="530">
        <f t="shared" si="692"/>
        <v>0.0264550264550265</v>
      </c>
    </row>
    <row r="1216" spans="1:18">
      <c r="A1216" s="524"/>
      <c r="B1216" s="540" t="s">
        <v>99</v>
      </c>
      <c r="C1216" s="551">
        <v>0</v>
      </c>
      <c r="D1216" s="551">
        <v>0</v>
      </c>
      <c r="E1216" s="551">
        <v>0</v>
      </c>
      <c r="F1216" s="551">
        <v>0</v>
      </c>
      <c r="G1216" s="551">
        <v>0</v>
      </c>
      <c r="H1216" s="551">
        <v>0</v>
      </c>
      <c r="I1216" s="551">
        <v>0</v>
      </c>
      <c r="J1216" s="551">
        <v>0</v>
      </c>
      <c r="K1216" s="527">
        <f t="shared" si="685"/>
        <v>0</v>
      </c>
      <c r="L1216" s="528">
        <f t="shared" si="686"/>
        <v>0</v>
      </c>
      <c r="M1216" s="528">
        <f t="shared" si="687"/>
        <v>0</v>
      </c>
      <c r="N1216" s="528">
        <f t="shared" si="688"/>
        <v>0</v>
      </c>
      <c r="O1216" s="528">
        <f t="shared" si="689"/>
        <v>0</v>
      </c>
      <c r="P1216" s="529">
        <f t="shared" si="690"/>
        <v>0</v>
      </c>
      <c r="Q1216" s="24">
        <f t="shared" si="691"/>
        <v>0</v>
      </c>
      <c r="R1216" s="530">
        <f t="shared" si="692"/>
        <v>0</v>
      </c>
    </row>
    <row r="1217" spans="1:18">
      <c r="A1217" s="524"/>
      <c r="B1217" s="540" t="s">
        <v>100</v>
      </c>
      <c r="C1217" s="552">
        <v>398.97</v>
      </c>
      <c r="D1217" s="551">
        <v>423149</v>
      </c>
      <c r="E1217" s="551">
        <v>1344</v>
      </c>
      <c r="F1217" s="551">
        <v>0</v>
      </c>
      <c r="G1217" s="551">
        <v>0</v>
      </c>
      <c r="H1217" s="551">
        <v>27</v>
      </c>
      <c r="I1217" s="551">
        <v>14</v>
      </c>
      <c r="J1217" s="551">
        <v>1</v>
      </c>
      <c r="K1217" s="527">
        <f t="shared" si="685"/>
        <v>0.00317618616610225</v>
      </c>
      <c r="L1217" s="528">
        <f t="shared" si="686"/>
        <v>0.296852678571429</v>
      </c>
      <c r="M1217" s="528">
        <f t="shared" si="687"/>
        <v>0.942859371048969</v>
      </c>
      <c r="N1217" s="528">
        <f t="shared" si="688"/>
        <v>0</v>
      </c>
      <c r="O1217" s="528">
        <f t="shared" si="689"/>
        <v>0</v>
      </c>
      <c r="P1217" s="529">
        <f t="shared" si="690"/>
        <v>9.7309756097561</v>
      </c>
      <c r="Q1217" s="24">
        <f t="shared" si="691"/>
        <v>41</v>
      </c>
      <c r="R1217" s="530">
        <f t="shared" si="692"/>
        <v>0.0305059523809524</v>
      </c>
    </row>
    <row r="1218" spans="1:18">
      <c r="A1218" s="524"/>
      <c r="B1218" s="540" t="s">
        <v>101</v>
      </c>
      <c r="C1218" s="551">
        <v>0</v>
      </c>
      <c r="D1218" s="551">
        <v>0</v>
      </c>
      <c r="E1218" s="551">
        <v>0</v>
      </c>
      <c r="F1218" s="551">
        <v>0</v>
      </c>
      <c r="G1218" s="551">
        <v>0</v>
      </c>
      <c r="H1218" s="551">
        <v>0</v>
      </c>
      <c r="I1218" s="551">
        <v>0</v>
      </c>
      <c r="J1218" s="551">
        <v>0</v>
      </c>
      <c r="K1218" s="527">
        <f t="shared" si="685"/>
        <v>0</v>
      </c>
      <c r="L1218" s="528">
        <f t="shared" si="686"/>
        <v>0</v>
      </c>
      <c r="M1218" s="528">
        <f t="shared" si="687"/>
        <v>0</v>
      </c>
      <c r="N1218" s="528">
        <f t="shared" si="688"/>
        <v>0</v>
      </c>
      <c r="O1218" s="528">
        <f t="shared" si="689"/>
        <v>0</v>
      </c>
      <c r="P1218" s="529">
        <f t="shared" si="690"/>
        <v>0</v>
      </c>
      <c r="Q1218" s="24">
        <f t="shared" si="691"/>
        <v>0</v>
      </c>
      <c r="R1218" s="530">
        <f t="shared" si="692"/>
        <v>0</v>
      </c>
    </row>
    <row r="1219" spans="1:18">
      <c r="A1219" s="524"/>
      <c r="B1219" s="531" t="s">
        <v>96</v>
      </c>
      <c r="C1219" s="533">
        <f t="shared" ref="C1219:J1219" si="703">SUM(C1215:C1218)</f>
        <v>598.97</v>
      </c>
      <c r="D1219" s="533">
        <f t="shared" si="703"/>
        <v>432067</v>
      </c>
      <c r="E1219" s="533">
        <f t="shared" si="703"/>
        <v>1533</v>
      </c>
      <c r="F1219" s="533">
        <f t="shared" si="703"/>
        <v>0</v>
      </c>
      <c r="G1219" s="533">
        <f t="shared" si="703"/>
        <v>0</v>
      </c>
      <c r="H1219" s="533">
        <f t="shared" si="703"/>
        <v>32</v>
      </c>
      <c r="I1219" s="533">
        <f t="shared" si="703"/>
        <v>14</v>
      </c>
      <c r="J1219" s="533">
        <f t="shared" si="703"/>
        <v>3</v>
      </c>
      <c r="K1219" s="534">
        <f t="shared" si="685"/>
        <v>0.00354806083315782</v>
      </c>
      <c r="L1219" s="535">
        <f t="shared" si="686"/>
        <v>0.39071754729289</v>
      </c>
      <c r="M1219" s="535">
        <f t="shared" si="687"/>
        <v>1.38628962637739</v>
      </c>
      <c r="N1219" s="535">
        <f t="shared" si="688"/>
        <v>0</v>
      </c>
      <c r="O1219" s="535">
        <f t="shared" si="689"/>
        <v>0</v>
      </c>
      <c r="P1219" s="536">
        <f t="shared" si="690"/>
        <v>13.0210869565217</v>
      </c>
      <c r="Q1219" s="531">
        <f t="shared" si="691"/>
        <v>46</v>
      </c>
      <c r="R1219" s="537">
        <f t="shared" si="692"/>
        <v>0.0300065231572081</v>
      </c>
    </row>
    <row r="1220" spans="1:18">
      <c r="A1220" s="524">
        <v>45694</v>
      </c>
      <c r="B1220" s="540" t="s">
        <v>98</v>
      </c>
      <c r="C1220" s="551">
        <v>200</v>
      </c>
      <c r="D1220" s="553">
        <v>6199</v>
      </c>
      <c r="E1220" s="551">
        <v>150</v>
      </c>
      <c r="F1220" s="551">
        <v>0</v>
      </c>
      <c r="G1220" s="551">
        <v>0</v>
      </c>
      <c r="H1220" s="551">
        <v>6</v>
      </c>
      <c r="I1220" s="551">
        <v>2</v>
      </c>
      <c r="J1220" s="551">
        <v>3</v>
      </c>
      <c r="K1220" s="527">
        <f t="shared" si="685"/>
        <v>0.0241974512018067</v>
      </c>
      <c r="L1220" s="528">
        <f t="shared" si="686"/>
        <v>1.33333333333333</v>
      </c>
      <c r="M1220" s="528">
        <f t="shared" si="687"/>
        <v>32.2632682690757</v>
      </c>
      <c r="N1220" s="528">
        <f t="shared" si="688"/>
        <v>0</v>
      </c>
      <c r="O1220" s="528">
        <f t="shared" si="689"/>
        <v>0</v>
      </c>
      <c r="P1220" s="529">
        <f t="shared" si="690"/>
        <v>25</v>
      </c>
      <c r="Q1220" s="24">
        <f t="shared" si="691"/>
        <v>8</v>
      </c>
      <c r="R1220" s="530">
        <f t="shared" si="692"/>
        <v>0.0533333333333333</v>
      </c>
    </row>
    <row r="1221" spans="1:18">
      <c r="A1221" s="524"/>
      <c r="B1221" s="540" t="s">
        <v>99</v>
      </c>
      <c r="C1221" s="551">
        <v>596.71</v>
      </c>
      <c r="D1221" s="551">
        <v>7023</v>
      </c>
      <c r="E1221" s="551">
        <v>449</v>
      </c>
      <c r="F1221" s="551">
        <v>1</v>
      </c>
      <c r="G1221" s="551">
        <v>400</v>
      </c>
      <c r="H1221" s="551">
        <v>8</v>
      </c>
      <c r="I1221" s="551">
        <v>0</v>
      </c>
      <c r="J1221" s="551">
        <v>2</v>
      </c>
      <c r="K1221" s="527">
        <f t="shared" si="685"/>
        <v>0.0639327922540225</v>
      </c>
      <c r="L1221" s="528">
        <f t="shared" si="686"/>
        <v>1.32897550111359</v>
      </c>
      <c r="M1221" s="528">
        <f t="shared" si="687"/>
        <v>84.9651146233803</v>
      </c>
      <c r="N1221" s="528">
        <f t="shared" si="688"/>
        <v>0.670342377369241</v>
      </c>
      <c r="O1221" s="528">
        <f t="shared" si="689"/>
        <v>0.0022271714922049</v>
      </c>
      <c r="P1221" s="529">
        <f t="shared" si="690"/>
        <v>74.58875</v>
      </c>
      <c r="Q1221" s="24">
        <f t="shared" si="691"/>
        <v>8</v>
      </c>
      <c r="R1221" s="530">
        <f t="shared" si="692"/>
        <v>0.0178173719376392</v>
      </c>
    </row>
    <row r="1222" spans="1:18">
      <c r="A1222" s="524"/>
      <c r="B1222" s="540" t="s">
        <v>100</v>
      </c>
      <c r="C1222" s="552">
        <v>400</v>
      </c>
      <c r="D1222" s="551">
        <v>196508</v>
      </c>
      <c r="E1222" s="551">
        <v>889</v>
      </c>
      <c r="F1222" s="551">
        <v>1</v>
      </c>
      <c r="G1222" s="551">
        <v>10823</v>
      </c>
      <c r="H1222" s="551">
        <v>35</v>
      </c>
      <c r="I1222" s="551">
        <v>6</v>
      </c>
      <c r="J1222" s="551">
        <v>1</v>
      </c>
      <c r="K1222" s="527">
        <f t="shared" si="685"/>
        <v>0.00452398884523785</v>
      </c>
      <c r="L1222" s="528">
        <f t="shared" si="686"/>
        <v>0.449943757030371</v>
      </c>
      <c r="M1222" s="528">
        <f t="shared" si="687"/>
        <v>2.03554053778981</v>
      </c>
      <c r="N1222" s="528">
        <f t="shared" si="688"/>
        <v>27.0575</v>
      </c>
      <c r="O1222" s="528">
        <f t="shared" si="689"/>
        <v>0.00112485939257593</v>
      </c>
      <c r="P1222" s="529">
        <f t="shared" si="690"/>
        <v>9.75609756097561</v>
      </c>
      <c r="Q1222" s="24">
        <f t="shared" si="691"/>
        <v>41</v>
      </c>
      <c r="R1222" s="530">
        <f t="shared" si="692"/>
        <v>0.046119235095613</v>
      </c>
    </row>
    <row r="1223" spans="1:18">
      <c r="A1223" s="524"/>
      <c r="B1223" s="540" t="s">
        <v>101</v>
      </c>
      <c r="C1223" s="551">
        <v>0</v>
      </c>
      <c r="D1223" s="551">
        <v>0</v>
      </c>
      <c r="E1223" s="551">
        <v>0</v>
      </c>
      <c r="F1223" s="551">
        <v>0</v>
      </c>
      <c r="G1223" s="551">
        <v>0</v>
      </c>
      <c r="H1223" s="551">
        <v>0</v>
      </c>
      <c r="I1223" s="551">
        <v>0</v>
      </c>
      <c r="J1223" s="551">
        <v>0</v>
      </c>
      <c r="K1223" s="527">
        <f t="shared" si="685"/>
        <v>0</v>
      </c>
      <c r="L1223" s="528">
        <f t="shared" si="686"/>
        <v>0</v>
      </c>
      <c r="M1223" s="528">
        <f t="shared" si="687"/>
        <v>0</v>
      </c>
      <c r="N1223" s="528">
        <f t="shared" si="688"/>
        <v>0</v>
      </c>
      <c r="O1223" s="528">
        <f t="shared" si="689"/>
        <v>0</v>
      </c>
      <c r="P1223" s="529">
        <f t="shared" si="690"/>
        <v>0</v>
      </c>
      <c r="Q1223" s="24">
        <f t="shared" si="691"/>
        <v>0</v>
      </c>
      <c r="R1223" s="530">
        <f t="shared" si="692"/>
        <v>0</v>
      </c>
    </row>
    <row r="1224" spans="1:18">
      <c r="A1224" s="524"/>
      <c r="B1224" s="531" t="s">
        <v>96</v>
      </c>
      <c r="C1224" s="533">
        <f t="shared" ref="C1224:J1224" si="704">SUM(C1220:C1223)</f>
        <v>1196.71</v>
      </c>
      <c r="D1224" s="533">
        <f t="shared" si="704"/>
        <v>209730</v>
      </c>
      <c r="E1224" s="533">
        <f t="shared" si="704"/>
        <v>1488</v>
      </c>
      <c r="F1224" s="533">
        <f t="shared" si="704"/>
        <v>2</v>
      </c>
      <c r="G1224" s="533">
        <f t="shared" si="704"/>
        <v>11223</v>
      </c>
      <c r="H1224" s="533">
        <f t="shared" si="704"/>
        <v>49</v>
      </c>
      <c r="I1224" s="533">
        <f t="shared" si="704"/>
        <v>8</v>
      </c>
      <c r="J1224" s="533">
        <f t="shared" si="704"/>
        <v>6</v>
      </c>
      <c r="K1224" s="534">
        <f t="shared" si="685"/>
        <v>0.00709483621799456</v>
      </c>
      <c r="L1224" s="535">
        <f t="shared" si="686"/>
        <v>0.80424059139785</v>
      </c>
      <c r="M1224" s="535">
        <f t="shared" si="687"/>
        <v>5.70595527583083</v>
      </c>
      <c r="N1224" s="535">
        <f t="shared" si="688"/>
        <v>9.37821193104428</v>
      </c>
      <c r="O1224" s="535">
        <f t="shared" si="689"/>
        <v>0.00134408602150538</v>
      </c>
      <c r="P1224" s="536">
        <f t="shared" si="690"/>
        <v>20.9949122807018</v>
      </c>
      <c r="Q1224" s="531">
        <f t="shared" si="691"/>
        <v>57</v>
      </c>
      <c r="R1224" s="537">
        <f t="shared" si="692"/>
        <v>0.0383064516129032</v>
      </c>
    </row>
    <row r="1225" spans="1:18">
      <c r="A1225" s="524">
        <v>45695</v>
      </c>
      <c r="B1225" s="540" t="s">
        <v>98</v>
      </c>
      <c r="C1225" s="551">
        <v>200</v>
      </c>
      <c r="D1225" s="553">
        <v>2020</v>
      </c>
      <c r="E1225" s="551">
        <v>86</v>
      </c>
      <c r="F1225" s="551">
        <v>0</v>
      </c>
      <c r="G1225" s="551">
        <v>0</v>
      </c>
      <c r="H1225" s="551">
        <v>6</v>
      </c>
      <c r="I1225" s="551">
        <v>1</v>
      </c>
      <c r="J1225" s="551">
        <v>0</v>
      </c>
      <c r="K1225" s="527">
        <f t="shared" si="685"/>
        <v>0.0425742574257426</v>
      </c>
      <c r="L1225" s="528">
        <f t="shared" si="686"/>
        <v>2.32558139534884</v>
      </c>
      <c r="M1225" s="528">
        <f t="shared" si="687"/>
        <v>99.009900990099</v>
      </c>
      <c r="N1225" s="528">
        <f t="shared" si="688"/>
        <v>0</v>
      </c>
      <c r="O1225" s="528">
        <f t="shared" si="689"/>
        <v>0</v>
      </c>
      <c r="P1225" s="529">
        <f t="shared" si="690"/>
        <v>28.5714285714286</v>
      </c>
      <c r="Q1225" s="24">
        <f t="shared" si="691"/>
        <v>7</v>
      </c>
      <c r="R1225" s="530">
        <f t="shared" si="692"/>
        <v>0.0813953488372093</v>
      </c>
    </row>
    <row r="1226" spans="1:18">
      <c r="A1226" s="524"/>
      <c r="B1226" s="540" t="s">
        <v>99</v>
      </c>
      <c r="C1226" s="551">
        <v>600</v>
      </c>
      <c r="D1226" s="551">
        <v>5189</v>
      </c>
      <c r="E1226" s="551">
        <v>454</v>
      </c>
      <c r="F1226" s="551">
        <v>1</v>
      </c>
      <c r="G1226" s="551">
        <v>10844</v>
      </c>
      <c r="H1226" s="551">
        <v>5</v>
      </c>
      <c r="I1226" s="551">
        <v>1</v>
      </c>
      <c r="J1226" s="551">
        <v>2</v>
      </c>
      <c r="K1226" s="527">
        <f t="shared" si="685"/>
        <v>0.087492773174022</v>
      </c>
      <c r="L1226" s="528">
        <f t="shared" si="686"/>
        <v>1.3215859030837</v>
      </c>
      <c r="M1226" s="528">
        <f t="shared" si="687"/>
        <v>115.629215648487</v>
      </c>
      <c r="N1226" s="528">
        <f t="shared" si="688"/>
        <v>18.0733333333333</v>
      </c>
      <c r="O1226" s="528">
        <f t="shared" si="689"/>
        <v>0.00220264317180617</v>
      </c>
      <c r="P1226" s="529">
        <f t="shared" si="690"/>
        <v>100</v>
      </c>
      <c r="Q1226" s="24">
        <f t="shared" si="691"/>
        <v>6</v>
      </c>
      <c r="R1226" s="530">
        <f t="shared" si="692"/>
        <v>0.013215859030837</v>
      </c>
    </row>
    <row r="1227" spans="1:18">
      <c r="A1227" s="524"/>
      <c r="B1227" s="540" t="s">
        <v>100</v>
      </c>
      <c r="C1227" s="552">
        <v>396.1</v>
      </c>
      <c r="D1227" s="551">
        <v>195092</v>
      </c>
      <c r="E1227" s="551">
        <v>874</v>
      </c>
      <c r="F1227" s="551">
        <v>0</v>
      </c>
      <c r="G1227" s="551">
        <v>0</v>
      </c>
      <c r="H1227" s="551">
        <v>38</v>
      </c>
      <c r="I1227" s="551">
        <v>13</v>
      </c>
      <c r="J1227" s="551">
        <v>5</v>
      </c>
      <c r="K1227" s="527">
        <f t="shared" si="685"/>
        <v>0.00447993767043241</v>
      </c>
      <c r="L1227" s="528">
        <f t="shared" si="686"/>
        <v>0.453203661327231</v>
      </c>
      <c r="M1227" s="528">
        <f t="shared" si="687"/>
        <v>2.03032415475776</v>
      </c>
      <c r="N1227" s="528">
        <f t="shared" si="688"/>
        <v>0</v>
      </c>
      <c r="O1227" s="528">
        <f t="shared" si="689"/>
        <v>0</v>
      </c>
      <c r="P1227" s="529">
        <f t="shared" si="690"/>
        <v>7.76666666666667</v>
      </c>
      <c r="Q1227" s="24">
        <f t="shared" si="691"/>
        <v>51</v>
      </c>
      <c r="R1227" s="530">
        <f t="shared" si="692"/>
        <v>0.0583524027459954</v>
      </c>
    </row>
    <row r="1228" spans="1:18">
      <c r="A1228" s="524"/>
      <c r="B1228" s="540" t="s">
        <v>101</v>
      </c>
      <c r="C1228" s="551">
        <v>0</v>
      </c>
      <c r="D1228" s="551">
        <v>0</v>
      </c>
      <c r="E1228" s="551">
        <v>0</v>
      </c>
      <c r="F1228" s="551">
        <v>0</v>
      </c>
      <c r="G1228" s="551">
        <v>0</v>
      </c>
      <c r="H1228" s="551">
        <v>0</v>
      </c>
      <c r="I1228" s="551">
        <v>0</v>
      </c>
      <c r="J1228" s="551">
        <v>0</v>
      </c>
      <c r="K1228" s="527">
        <f t="shared" si="685"/>
        <v>0</v>
      </c>
      <c r="L1228" s="528">
        <f t="shared" si="686"/>
        <v>0</v>
      </c>
      <c r="M1228" s="528">
        <f t="shared" si="687"/>
        <v>0</v>
      </c>
      <c r="N1228" s="528">
        <f t="shared" si="688"/>
        <v>0</v>
      </c>
      <c r="O1228" s="528">
        <f t="shared" si="689"/>
        <v>0</v>
      </c>
      <c r="P1228" s="529">
        <f t="shared" si="690"/>
        <v>0</v>
      </c>
      <c r="Q1228" s="24">
        <f t="shared" si="691"/>
        <v>0</v>
      </c>
      <c r="R1228" s="530">
        <f t="shared" si="692"/>
        <v>0</v>
      </c>
    </row>
    <row r="1229" spans="1:18">
      <c r="A1229" s="524"/>
      <c r="B1229" s="531" t="s">
        <v>96</v>
      </c>
      <c r="C1229" s="533">
        <f t="shared" ref="C1229:J1229" si="705">SUM(C1225:C1228)</f>
        <v>1196.1</v>
      </c>
      <c r="D1229" s="533">
        <f t="shared" si="705"/>
        <v>202301</v>
      </c>
      <c r="E1229" s="533">
        <f t="shared" si="705"/>
        <v>1414</v>
      </c>
      <c r="F1229" s="533">
        <f t="shared" si="705"/>
        <v>1</v>
      </c>
      <c r="G1229" s="533">
        <f t="shared" si="705"/>
        <v>10844</v>
      </c>
      <c r="H1229" s="533">
        <f t="shared" si="705"/>
        <v>49</v>
      </c>
      <c r="I1229" s="533">
        <f t="shared" si="705"/>
        <v>15</v>
      </c>
      <c r="J1229" s="533">
        <f t="shared" si="705"/>
        <v>7</v>
      </c>
      <c r="K1229" s="534">
        <f t="shared" ref="K1229:K1234" si="706">IF(E1229=0,0,E1229/D1229)</f>
        <v>0.00698958482657031</v>
      </c>
      <c r="L1229" s="535">
        <f t="shared" ref="L1229:L1234" si="707">IF(C1229=0,0,C1229/E1229)</f>
        <v>0.845898161244696</v>
      </c>
      <c r="M1229" s="535">
        <f t="shared" ref="M1229:M1234" si="708">IF(D1229=0,0,C1229/D1229*1000)</f>
        <v>5.91247695265965</v>
      </c>
      <c r="N1229" s="535">
        <f t="shared" ref="N1229:N1234" si="709">IF(G1229=0,0,G1229/C1229)</f>
        <v>9.0661315943483</v>
      </c>
      <c r="O1229" s="535">
        <f t="shared" ref="O1229:O1234" si="710">IF(F1229=0,0,F1229/E1229)</f>
        <v>0.000707213578500707</v>
      </c>
      <c r="P1229" s="536">
        <f t="shared" ref="P1229:P1234" si="711">IF(H1229+I1229=0,0,C1229/(H1229+I1229))</f>
        <v>18.6890625</v>
      </c>
      <c r="Q1229" s="531">
        <f t="shared" ref="Q1229:Q1234" si="712">H1229+I1229</f>
        <v>64</v>
      </c>
      <c r="R1229" s="537">
        <f t="shared" ref="R1229:R1234" si="713">IF(Q1229=0,0,Q1229/E1229)</f>
        <v>0.0452616690240453</v>
      </c>
    </row>
    <row r="1230" spans="1:18">
      <c r="A1230" s="524">
        <v>45696</v>
      </c>
      <c r="B1230" s="540" t="s">
        <v>98</v>
      </c>
      <c r="C1230" s="551">
        <v>200</v>
      </c>
      <c r="D1230" s="553">
        <v>3481</v>
      </c>
      <c r="E1230" s="551">
        <v>122</v>
      </c>
      <c r="F1230" s="551">
        <v>0</v>
      </c>
      <c r="G1230" s="551">
        <v>0</v>
      </c>
      <c r="H1230" s="551">
        <v>5</v>
      </c>
      <c r="I1230" s="551">
        <v>0</v>
      </c>
      <c r="J1230" s="551">
        <v>0</v>
      </c>
      <c r="K1230" s="527">
        <f t="shared" si="706"/>
        <v>0.0350474001723643</v>
      </c>
      <c r="L1230" s="528">
        <f t="shared" si="707"/>
        <v>1.63934426229508</v>
      </c>
      <c r="M1230" s="528">
        <f t="shared" si="708"/>
        <v>57.454754380925</v>
      </c>
      <c r="N1230" s="528">
        <f t="shared" si="709"/>
        <v>0</v>
      </c>
      <c r="O1230" s="528">
        <f t="shared" si="710"/>
        <v>0</v>
      </c>
      <c r="P1230" s="529">
        <f t="shared" si="711"/>
        <v>40</v>
      </c>
      <c r="Q1230" s="24">
        <f t="shared" si="712"/>
        <v>5</v>
      </c>
      <c r="R1230" s="530">
        <f t="shared" si="713"/>
        <v>0.040983606557377</v>
      </c>
    </row>
    <row r="1231" spans="1:18">
      <c r="A1231" s="524"/>
      <c r="B1231" s="540" t="s">
        <v>99</v>
      </c>
      <c r="C1231" s="551">
        <v>0</v>
      </c>
      <c r="D1231" s="551">
        <v>0</v>
      </c>
      <c r="E1231" s="551">
        <v>0</v>
      </c>
      <c r="F1231" s="551">
        <v>0</v>
      </c>
      <c r="G1231" s="551">
        <v>0</v>
      </c>
      <c r="H1231" s="551">
        <v>0</v>
      </c>
      <c r="I1231" s="551">
        <v>0</v>
      </c>
      <c r="J1231" s="551">
        <v>0</v>
      </c>
      <c r="K1231" s="527">
        <f t="shared" si="706"/>
        <v>0</v>
      </c>
      <c r="L1231" s="528">
        <f t="shared" si="707"/>
        <v>0</v>
      </c>
      <c r="M1231" s="528">
        <f t="shared" si="708"/>
        <v>0</v>
      </c>
      <c r="N1231" s="528">
        <f t="shared" si="709"/>
        <v>0</v>
      </c>
      <c r="O1231" s="528">
        <f t="shared" si="710"/>
        <v>0</v>
      </c>
      <c r="P1231" s="529">
        <f t="shared" si="711"/>
        <v>0</v>
      </c>
      <c r="Q1231" s="24">
        <f t="shared" si="712"/>
        <v>0</v>
      </c>
      <c r="R1231" s="530">
        <f t="shared" si="713"/>
        <v>0</v>
      </c>
    </row>
    <row r="1232" spans="1:18">
      <c r="A1232" s="524"/>
      <c r="B1232" s="540" t="s">
        <v>100</v>
      </c>
      <c r="C1232" s="552">
        <v>396.11</v>
      </c>
      <c r="D1232" s="551">
        <v>151485</v>
      </c>
      <c r="E1232" s="551">
        <v>845</v>
      </c>
      <c r="F1232" s="551">
        <v>0</v>
      </c>
      <c r="G1232" s="551">
        <v>0</v>
      </c>
      <c r="H1232" s="551">
        <v>25</v>
      </c>
      <c r="I1232" s="551">
        <v>7</v>
      </c>
      <c r="J1232" s="551">
        <v>3</v>
      </c>
      <c r="K1232" s="527">
        <f t="shared" si="706"/>
        <v>0.00557811004389874</v>
      </c>
      <c r="L1232" s="528">
        <f t="shared" si="707"/>
        <v>0.468769230769231</v>
      </c>
      <c r="M1232" s="528">
        <f t="shared" si="708"/>
        <v>2.61484635442453</v>
      </c>
      <c r="N1232" s="528">
        <f t="shared" si="709"/>
        <v>0</v>
      </c>
      <c r="O1232" s="528">
        <f t="shared" si="710"/>
        <v>0</v>
      </c>
      <c r="P1232" s="529">
        <f t="shared" si="711"/>
        <v>12.3784375</v>
      </c>
      <c r="Q1232" s="24">
        <f t="shared" si="712"/>
        <v>32</v>
      </c>
      <c r="R1232" s="530">
        <f t="shared" si="713"/>
        <v>0.0378698224852071</v>
      </c>
    </row>
    <row r="1233" spans="1:18">
      <c r="A1233" s="524"/>
      <c r="B1233" s="540" t="s">
        <v>101</v>
      </c>
      <c r="C1233" s="551">
        <v>0</v>
      </c>
      <c r="D1233" s="551">
        <v>0</v>
      </c>
      <c r="E1233" s="551">
        <v>0</v>
      </c>
      <c r="F1233" s="551">
        <v>0</v>
      </c>
      <c r="G1233" s="551">
        <v>0</v>
      </c>
      <c r="H1233" s="551">
        <v>0</v>
      </c>
      <c r="I1233" s="551">
        <v>0</v>
      </c>
      <c r="J1233" s="551">
        <v>0</v>
      </c>
      <c r="K1233" s="527">
        <f t="shared" si="706"/>
        <v>0</v>
      </c>
      <c r="L1233" s="528">
        <f t="shared" si="707"/>
        <v>0</v>
      </c>
      <c r="M1233" s="528">
        <f t="shared" si="708"/>
        <v>0</v>
      </c>
      <c r="N1233" s="528">
        <f t="shared" si="709"/>
        <v>0</v>
      </c>
      <c r="O1233" s="528">
        <f t="shared" si="710"/>
        <v>0</v>
      </c>
      <c r="P1233" s="529">
        <f t="shared" si="711"/>
        <v>0</v>
      </c>
      <c r="Q1233" s="24">
        <f t="shared" si="712"/>
        <v>0</v>
      </c>
      <c r="R1233" s="530">
        <f t="shared" si="713"/>
        <v>0</v>
      </c>
    </row>
    <row r="1234" spans="1:18">
      <c r="A1234" s="524"/>
      <c r="B1234" s="531" t="s">
        <v>96</v>
      </c>
      <c r="C1234" s="533">
        <f t="shared" ref="C1234:J1234" si="714">SUM(C1230:C1233)</f>
        <v>596.11</v>
      </c>
      <c r="D1234" s="533">
        <f t="shared" si="714"/>
        <v>154966</v>
      </c>
      <c r="E1234" s="533">
        <f t="shared" si="714"/>
        <v>967</v>
      </c>
      <c r="F1234" s="533">
        <f t="shared" si="714"/>
        <v>0</v>
      </c>
      <c r="G1234" s="533">
        <f t="shared" si="714"/>
        <v>0</v>
      </c>
      <c r="H1234" s="533">
        <f t="shared" si="714"/>
        <v>30</v>
      </c>
      <c r="I1234" s="533">
        <f t="shared" si="714"/>
        <v>7</v>
      </c>
      <c r="J1234" s="533">
        <f t="shared" si="714"/>
        <v>3</v>
      </c>
      <c r="K1234" s="534">
        <f t="shared" si="706"/>
        <v>0.00624007846882542</v>
      </c>
      <c r="L1234" s="535">
        <f t="shared" si="707"/>
        <v>0.616452947259566</v>
      </c>
      <c r="M1234" s="535">
        <f t="shared" si="708"/>
        <v>3.84671476323839</v>
      </c>
      <c r="N1234" s="535">
        <f t="shared" si="709"/>
        <v>0</v>
      </c>
      <c r="O1234" s="535">
        <f t="shared" si="710"/>
        <v>0</v>
      </c>
      <c r="P1234" s="536">
        <f t="shared" si="711"/>
        <v>16.1110810810811</v>
      </c>
      <c r="Q1234" s="531">
        <f t="shared" si="712"/>
        <v>37</v>
      </c>
      <c r="R1234" s="537">
        <f t="shared" si="713"/>
        <v>0.0382626680455016</v>
      </c>
    </row>
    <row r="1235" spans="1:18">
      <c r="A1235" s="524">
        <v>45697</v>
      </c>
      <c r="B1235" s="540" t="s">
        <v>98</v>
      </c>
      <c r="C1235" s="551">
        <v>200</v>
      </c>
      <c r="D1235" s="553">
        <v>2072</v>
      </c>
      <c r="E1235" s="551">
        <v>107</v>
      </c>
      <c r="F1235" s="551">
        <v>3</v>
      </c>
      <c r="G1235" s="551">
        <v>44176</v>
      </c>
      <c r="H1235" s="551">
        <v>12</v>
      </c>
      <c r="I1235" s="551">
        <v>2</v>
      </c>
      <c r="J1235" s="551">
        <v>2</v>
      </c>
      <c r="K1235" s="527">
        <f t="shared" ref="K1235:K1264" si="715">IF(E1235=0,0,E1235/D1235)</f>
        <v>0.0516409266409266</v>
      </c>
      <c r="L1235" s="528">
        <f t="shared" ref="L1235:L1264" si="716">IF(C1235=0,0,C1235/E1235)</f>
        <v>1.86915887850467</v>
      </c>
      <c r="M1235" s="528">
        <f t="shared" ref="M1235:M1264" si="717">IF(D1235=0,0,C1235/D1235*1000)</f>
        <v>96.5250965250965</v>
      </c>
      <c r="N1235" s="528">
        <f t="shared" ref="N1235:N1264" si="718">IF(G1235=0,0,G1235/C1235)</f>
        <v>220.88</v>
      </c>
      <c r="O1235" s="528">
        <f t="shared" ref="O1235:O1264" si="719">IF(F1235=0,0,F1235/E1235)</f>
        <v>0.0280373831775701</v>
      </c>
      <c r="P1235" s="529">
        <f t="shared" ref="P1235:P1264" si="720">IF(H1235+I1235=0,0,C1235/(H1235+I1235))</f>
        <v>14.2857142857143</v>
      </c>
      <c r="Q1235" s="24">
        <f t="shared" ref="Q1235:Q1264" si="721">H1235+I1235</f>
        <v>14</v>
      </c>
      <c r="R1235" s="530">
        <f t="shared" ref="R1235:R1264" si="722">IF(Q1235=0,0,Q1235/E1235)</f>
        <v>0.130841121495327</v>
      </c>
    </row>
    <row r="1236" spans="1:18">
      <c r="A1236" s="524"/>
      <c r="B1236" s="540" t="s">
        <v>99</v>
      </c>
      <c r="C1236" s="551">
        <v>0</v>
      </c>
      <c r="D1236" s="551">
        <v>0</v>
      </c>
      <c r="E1236" s="551">
        <v>0</v>
      </c>
      <c r="F1236" s="551">
        <v>0</v>
      </c>
      <c r="G1236" s="551">
        <v>0</v>
      </c>
      <c r="H1236" s="551">
        <v>0</v>
      </c>
      <c r="I1236" s="551">
        <v>0</v>
      </c>
      <c r="J1236" s="551">
        <v>0</v>
      </c>
      <c r="K1236" s="527">
        <f t="shared" si="715"/>
        <v>0</v>
      </c>
      <c r="L1236" s="528">
        <f t="shared" si="716"/>
        <v>0</v>
      </c>
      <c r="M1236" s="528">
        <f t="shared" si="717"/>
        <v>0</v>
      </c>
      <c r="N1236" s="528">
        <f t="shared" si="718"/>
        <v>0</v>
      </c>
      <c r="O1236" s="528">
        <f t="shared" si="719"/>
        <v>0</v>
      </c>
      <c r="P1236" s="529">
        <f t="shared" si="720"/>
        <v>0</v>
      </c>
      <c r="Q1236" s="24">
        <f t="shared" si="721"/>
        <v>0</v>
      </c>
      <c r="R1236" s="530">
        <f t="shared" si="722"/>
        <v>0</v>
      </c>
    </row>
    <row r="1237" spans="1:18">
      <c r="A1237" s="524"/>
      <c r="B1237" s="540" t="s">
        <v>100</v>
      </c>
      <c r="C1237" s="552">
        <v>400</v>
      </c>
      <c r="D1237" s="551">
        <v>166213</v>
      </c>
      <c r="E1237" s="551">
        <v>911</v>
      </c>
      <c r="F1237" s="551">
        <v>0</v>
      </c>
      <c r="G1237" s="551">
        <v>0</v>
      </c>
      <c r="H1237" s="551">
        <v>25</v>
      </c>
      <c r="I1237" s="551">
        <v>14</v>
      </c>
      <c r="J1237" s="551">
        <v>4</v>
      </c>
      <c r="K1237" s="527">
        <f t="shared" si="715"/>
        <v>0.00548091906168591</v>
      </c>
      <c r="L1237" s="528">
        <f t="shared" si="716"/>
        <v>0.439077936333699</v>
      </c>
      <c r="M1237" s="528">
        <f t="shared" si="717"/>
        <v>2.40655063081708</v>
      </c>
      <c r="N1237" s="528">
        <f t="shared" si="718"/>
        <v>0</v>
      </c>
      <c r="O1237" s="528">
        <f t="shared" si="719"/>
        <v>0</v>
      </c>
      <c r="P1237" s="529">
        <f t="shared" si="720"/>
        <v>10.2564102564103</v>
      </c>
      <c r="Q1237" s="24">
        <f t="shared" si="721"/>
        <v>39</v>
      </c>
      <c r="R1237" s="530">
        <f t="shared" si="722"/>
        <v>0.0428100987925357</v>
      </c>
    </row>
    <row r="1238" spans="1:18">
      <c r="A1238" s="524"/>
      <c r="B1238" s="540" t="s">
        <v>101</v>
      </c>
      <c r="C1238" s="551">
        <v>0</v>
      </c>
      <c r="D1238" s="551">
        <v>0</v>
      </c>
      <c r="E1238" s="551">
        <v>0</v>
      </c>
      <c r="F1238" s="551">
        <v>0</v>
      </c>
      <c r="G1238" s="551">
        <v>0</v>
      </c>
      <c r="H1238" s="551">
        <v>0</v>
      </c>
      <c r="I1238" s="551">
        <v>0</v>
      </c>
      <c r="J1238" s="551">
        <v>0</v>
      </c>
      <c r="K1238" s="527">
        <f t="shared" si="715"/>
        <v>0</v>
      </c>
      <c r="L1238" s="528">
        <f t="shared" si="716"/>
        <v>0</v>
      </c>
      <c r="M1238" s="528">
        <f t="shared" si="717"/>
        <v>0</v>
      </c>
      <c r="N1238" s="528">
        <f t="shared" si="718"/>
        <v>0</v>
      </c>
      <c r="O1238" s="528">
        <f t="shared" si="719"/>
        <v>0</v>
      </c>
      <c r="P1238" s="529">
        <f t="shared" si="720"/>
        <v>0</v>
      </c>
      <c r="Q1238" s="24">
        <f t="shared" si="721"/>
        <v>0</v>
      </c>
      <c r="R1238" s="530">
        <f t="shared" si="722"/>
        <v>0</v>
      </c>
    </row>
    <row r="1239" spans="1:18">
      <c r="A1239" s="524"/>
      <c r="B1239" s="531" t="s">
        <v>96</v>
      </c>
      <c r="C1239" s="533">
        <f t="shared" ref="C1239:J1239" si="723">SUM(C1235:C1238)</f>
        <v>600</v>
      </c>
      <c r="D1239" s="533">
        <f t="shared" si="723"/>
        <v>168285</v>
      </c>
      <c r="E1239" s="533">
        <f t="shared" si="723"/>
        <v>1018</v>
      </c>
      <c r="F1239" s="533">
        <f t="shared" si="723"/>
        <v>3</v>
      </c>
      <c r="G1239" s="533">
        <f t="shared" si="723"/>
        <v>44176</v>
      </c>
      <c r="H1239" s="533">
        <f t="shared" si="723"/>
        <v>37</v>
      </c>
      <c r="I1239" s="533">
        <f t="shared" si="723"/>
        <v>16</v>
      </c>
      <c r="J1239" s="533">
        <f t="shared" si="723"/>
        <v>6</v>
      </c>
      <c r="K1239" s="534">
        <f t="shared" si="715"/>
        <v>0.00604926166919214</v>
      </c>
      <c r="L1239" s="535">
        <f t="shared" si="716"/>
        <v>0.589390962671906</v>
      </c>
      <c r="M1239" s="535">
        <f t="shared" si="717"/>
        <v>3.56538015865942</v>
      </c>
      <c r="N1239" s="535">
        <f t="shared" si="718"/>
        <v>73.6266666666667</v>
      </c>
      <c r="O1239" s="535">
        <f t="shared" si="719"/>
        <v>0.00294695481335953</v>
      </c>
      <c r="P1239" s="536">
        <f t="shared" si="720"/>
        <v>11.3207547169811</v>
      </c>
      <c r="Q1239" s="531">
        <f t="shared" si="721"/>
        <v>53</v>
      </c>
      <c r="R1239" s="537">
        <f t="shared" si="722"/>
        <v>0.0520628683693517</v>
      </c>
    </row>
    <row r="1240" spans="1:18">
      <c r="A1240" s="524">
        <v>45698</v>
      </c>
      <c r="B1240" s="540" t="s">
        <v>98</v>
      </c>
      <c r="C1240" s="551">
        <v>300</v>
      </c>
      <c r="D1240" s="553">
        <v>12409</v>
      </c>
      <c r="E1240" s="551">
        <v>223</v>
      </c>
      <c r="F1240" s="551">
        <v>0</v>
      </c>
      <c r="G1240" s="551">
        <v>0</v>
      </c>
      <c r="H1240" s="551">
        <v>8</v>
      </c>
      <c r="I1240" s="551">
        <v>0</v>
      </c>
      <c r="J1240" s="551">
        <v>0</v>
      </c>
      <c r="K1240" s="527">
        <f t="shared" si="715"/>
        <v>0.0179708276251108</v>
      </c>
      <c r="L1240" s="528">
        <f t="shared" si="716"/>
        <v>1.34529147982063</v>
      </c>
      <c r="M1240" s="528">
        <f t="shared" si="717"/>
        <v>24.1760012893867</v>
      </c>
      <c r="N1240" s="528">
        <f t="shared" si="718"/>
        <v>0</v>
      </c>
      <c r="O1240" s="528">
        <f t="shared" si="719"/>
        <v>0</v>
      </c>
      <c r="P1240" s="529">
        <f t="shared" si="720"/>
        <v>37.5</v>
      </c>
      <c r="Q1240" s="24">
        <f t="shared" si="721"/>
        <v>8</v>
      </c>
      <c r="R1240" s="530">
        <f t="shared" si="722"/>
        <v>0.0358744394618834</v>
      </c>
    </row>
    <row r="1241" spans="1:18">
      <c r="A1241" s="524"/>
      <c r="B1241" s="540" t="s">
        <v>99</v>
      </c>
      <c r="C1241" s="551">
        <v>0</v>
      </c>
      <c r="D1241" s="551">
        <v>0</v>
      </c>
      <c r="E1241" s="551">
        <v>0</v>
      </c>
      <c r="F1241" s="551">
        <v>0</v>
      </c>
      <c r="G1241" s="551">
        <v>0</v>
      </c>
      <c r="H1241" s="551">
        <v>0</v>
      </c>
      <c r="I1241" s="551">
        <v>0</v>
      </c>
      <c r="J1241" s="551">
        <v>0</v>
      </c>
      <c r="K1241" s="527">
        <f t="shared" si="715"/>
        <v>0</v>
      </c>
      <c r="L1241" s="528">
        <f t="shared" si="716"/>
        <v>0</v>
      </c>
      <c r="M1241" s="528">
        <f t="shared" si="717"/>
        <v>0</v>
      </c>
      <c r="N1241" s="528">
        <f t="shared" si="718"/>
        <v>0</v>
      </c>
      <c r="O1241" s="528">
        <f t="shared" si="719"/>
        <v>0</v>
      </c>
      <c r="P1241" s="529">
        <f t="shared" si="720"/>
        <v>0</v>
      </c>
      <c r="Q1241" s="24">
        <f t="shared" si="721"/>
        <v>0</v>
      </c>
      <c r="R1241" s="530">
        <f t="shared" si="722"/>
        <v>0</v>
      </c>
    </row>
    <row r="1242" spans="1:18">
      <c r="A1242" s="524"/>
      <c r="B1242" s="540" t="s">
        <v>100</v>
      </c>
      <c r="C1242" s="552">
        <v>398.21</v>
      </c>
      <c r="D1242" s="551">
        <v>197057</v>
      </c>
      <c r="E1242" s="551">
        <v>879</v>
      </c>
      <c r="F1242" s="551">
        <v>0</v>
      </c>
      <c r="G1242" s="551">
        <v>0</v>
      </c>
      <c r="H1242" s="551">
        <v>40</v>
      </c>
      <c r="I1242" s="551">
        <v>9</v>
      </c>
      <c r="J1242" s="551">
        <v>5</v>
      </c>
      <c r="K1242" s="527">
        <f t="shared" si="715"/>
        <v>0.00446063829247375</v>
      </c>
      <c r="L1242" s="528">
        <f t="shared" si="716"/>
        <v>0.453026166097838</v>
      </c>
      <c r="M1242" s="528">
        <f t="shared" si="717"/>
        <v>2.02078586398859</v>
      </c>
      <c r="N1242" s="528">
        <f t="shared" si="718"/>
        <v>0</v>
      </c>
      <c r="O1242" s="528">
        <f t="shared" si="719"/>
        <v>0</v>
      </c>
      <c r="P1242" s="529">
        <f t="shared" si="720"/>
        <v>8.12673469387755</v>
      </c>
      <c r="Q1242" s="24">
        <f t="shared" si="721"/>
        <v>49</v>
      </c>
      <c r="R1242" s="530">
        <f t="shared" si="722"/>
        <v>0.055745164960182</v>
      </c>
    </row>
    <row r="1243" spans="1:18">
      <c r="A1243" s="524"/>
      <c r="B1243" s="540" t="s">
        <v>101</v>
      </c>
      <c r="C1243" s="551">
        <v>0</v>
      </c>
      <c r="D1243" s="551">
        <v>0</v>
      </c>
      <c r="E1243" s="551">
        <v>0</v>
      </c>
      <c r="F1243" s="551">
        <v>0</v>
      </c>
      <c r="G1243" s="551">
        <v>0</v>
      </c>
      <c r="H1243" s="551">
        <v>0</v>
      </c>
      <c r="I1243" s="551">
        <v>0</v>
      </c>
      <c r="J1243" s="551">
        <v>0</v>
      </c>
      <c r="K1243" s="527">
        <f t="shared" si="715"/>
        <v>0</v>
      </c>
      <c r="L1243" s="528">
        <f t="shared" si="716"/>
        <v>0</v>
      </c>
      <c r="M1243" s="528">
        <f t="shared" si="717"/>
        <v>0</v>
      </c>
      <c r="N1243" s="528">
        <f t="shared" si="718"/>
        <v>0</v>
      </c>
      <c r="O1243" s="528">
        <f t="shared" si="719"/>
        <v>0</v>
      </c>
      <c r="P1243" s="529">
        <f t="shared" si="720"/>
        <v>0</v>
      </c>
      <c r="Q1243" s="24">
        <f t="shared" si="721"/>
        <v>0</v>
      </c>
      <c r="R1243" s="530">
        <f t="shared" si="722"/>
        <v>0</v>
      </c>
    </row>
    <row r="1244" spans="1:18">
      <c r="A1244" s="524"/>
      <c r="B1244" s="531" t="s">
        <v>96</v>
      </c>
      <c r="C1244" s="533">
        <f t="shared" ref="C1244:J1244" si="724">SUM(C1240:C1243)</f>
        <v>698.21</v>
      </c>
      <c r="D1244" s="533">
        <f t="shared" si="724"/>
        <v>209466</v>
      </c>
      <c r="E1244" s="533">
        <f t="shared" si="724"/>
        <v>1102</v>
      </c>
      <c r="F1244" s="533">
        <f t="shared" si="724"/>
        <v>0</v>
      </c>
      <c r="G1244" s="533">
        <f t="shared" si="724"/>
        <v>0</v>
      </c>
      <c r="H1244" s="533">
        <f t="shared" si="724"/>
        <v>48</v>
      </c>
      <c r="I1244" s="533">
        <f t="shared" si="724"/>
        <v>9</v>
      </c>
      <c r="J1244" s="533">
        <f t="shared" si="724"/>
        <v>5</v>
      </c>
      <c r="K1244" s="534">
        <f t="shared" si="715"/>
        <v>0.00526099701144816</v>
      </c>
      <c r="L1244" s="535">
        <f t="shared" si="716"/>
        <v>0.633584392014519</v>
      </c>
      <c r="M1244" s="535">
        <f t="shared" si="717"/>
        <v>3.33328559288858</v>
      </c>
      <c r="N1244" s="535">
        <f t="shared" si="718"/>
        <v>0</v>
      </c>
      <c r="O1244" s="535">
        <f t="shared" si="719"/>
        <v>0</v>
      </c>
      <c r="P1244" s="536">
        <f t="shared" si="720"/>
        <v>12.249298245614</v>
      </c>
      <c r="Q1244" s="531">
        <f t="shared" si="721"/>
        <v>57</v>
      </c>
      <c r="R1244" s="537">
        <f t="shared" si="722"/>
        <v>0.0517241379310345</v>
      </c>
    </row>
    <row r="1245" spans="1:18">
      <c r="A1245" s="524">
        <v>45699</v>
      </c>
      <c r="B1245" s="540" t="s">
        <v>98</v>
      </c>
      <c r="C1245" s="551">
        <v>300</v>
      </c>
      <c r="D1245" s="553">
        <v>8548</v>
      </c>
      <c r="E1245" s="551">
        <v>202</v>
      </c>
      <c r="F1245" s="551">
        <v>0</v>
      </c>
      <c r="G1245" s="551">
        <v>0</v>
      </c>
      <c r="H1245" s="551">
        <v>2</v>
      </c>
      <c r="I1245" s="551">
        <v>0</v>
      </c>
      <c r="J1245" s="551">
        <v>0</v>
      </c>
      <c r="K1245" s="527">
        <f t="shared" si="715"/>
        <v>0.0236312587739822</v>
      </c>
      <c r="L1245" s="528">
        <f t="shared" si="716"/>
        <v>1.48514851485149</v>
      </c>
      <c r="M1245" s="528">
        <f t="shared" si="717"/>
        <v>35.0959288722508</v>
      </c>
      <c r="N1245" s="528">
        <f t="shared" si="718"/>
        <v>0</v>
      </c>
      <c r="O1245" s="528">
        <f t="shared" si="719"/>
        <v>0</v>
      </c>
      <c r="P1245" s="529">
        <f t="shared" si="720"/>
        <v>150</v>
      </c>
      <c r="Q1245" s="24">
        <f t="shared" si="721"/>
        <v>2</v>
      </c>
      <c r="R1245" s="530">
        <f t="shared" si="722"/>
        <v>0.0099009900990099</v>
      </c>
    </row>
    <row r="1246" spans="1:18">
      <c r="A1246" s="524"/>
      <c r="B1246" s="540" t="s">
        <v>99</v>
      </c>
      <c r="C1246" s="551">
        <v>0</v>
      </c>
      <c r="D1246" s="551">
        <v>0</v>
      </c>
      <c r="E1246" s="551">
        <v>0</v>
      </c>
      <c r="F1246" s="551">
        <v>0</v>
      </c>
      <c r="G1246" s="551">
        <v>0</v>
      </c>
      <c r="H1246" s="551">
        <v>0</v>
      </c>
      <c r="I1246" s="551">
        <v>0</v>
      </c>
      <c r="J1246" s="551">
        <v>0</v>
      </c>
      <c r="K1246" s="527">
        <f t="shared" si="715"/>
        <v>0</v>
      </c>
      <c r="L1246" s="528">
        <f t="shared" si="716"/>
        <v>0</v>
      </c>
      <c r="M1246" s="528">
        <f t="shared" si="717"/>
        <v>0</v>
      </c>
      <c r="N1246" s="528">
        <f t="shared" si="718"/>
        <v>0</v>
      </c>
      <c r="O1246" s="528">
        <f t="shared" si="719"/>
        <v>0</v>
      </c>
      <c r="P1246" s="529">
        <f t="shared" si="720"/>
        <v>0</v>
      </c>
      <c r="Q1246" s="24">
        <f t="shared" si="721"/>
        <v>0</v>
      </c>
      <c r="R1246" s="530">
        <f t="shared" si="722"/>
        <v>0</v>
      </c>
    </row>
    <row r="1247" spans="1:18">
      <c r="A1247" s="524"/>
      <c r="B1247" s="540" t="s">
        <v>100</v>
      </c>
      <c r="C1247" s="552">
        <v>399.46</v>
      </c>
      <c r="D1247" s="551">
        <v>179246</v>
      </c>
      <c r="E1247" s="551">
        <v>931</v>
      </c>
      <c r="F1247" s="551">
        <v>0</v>
      </c>
      <c r="G1247" s="551">
        <v>0</v>
      </c>
      <c r="H1247" s="551">
        <v>34</v>
      </c>
      <c r="I1247" s="551">
        <v>15</v>
      </c>
      <c r="J1247" s="551">
        <v>2</v>
      </c>
      <c r="K1247" s="527">
        <f t="shared" si="715"/>
        <v>0.0051939792240831</v>
      </c>
      <c r="L1247" s="528">
        <f t="shared" si="716"/>
        <v>0.42906552094522</v>
      </c>
      <c r="M1247" s="528">
        <f t="shared" si="717"/>
        <v>2.22855740155987</v>
      </c>
      <c r="N1247" s="528">
        <f t="shared" si="718"/>
        <v>0</v>
      </c>
      <c r="O1247" s="528">
        <f t="shared" si="719"/>
        <v>0</v>
      </c>
      <c r="P1247" s="529">
        <f t="shared" si="720"/>
        <v>8.15224489795918</v>
      </c>
      <c r="Q1247" s="24">
        <f t="shared" si="721"/>
        <v>49</v>
      </c>
      <c r="R1247" s="530">
        <f t="shared" si="722"/>
        <v>0.0526315789473684</v>
      </c>
    </row>
    <row r="1248" spans="1:18">
      <c r="A1248" s="524"/>
      <c r="B1248" s="540" t="s">
        <v>101</v>
      </c>
      <c r="C1248" s="551">
        <v>0</v>
      </c>
      <c r="D1248" s="551">
        <v>0</v>
      </c>
      <c r="E1248" s="551">
        <v>0</v>
      </c>
      <c r="F1248" s="551">
        <v>0</v>
      </c>
      <c r="G1248" s="551">
        <v>0</v>
      </c>
      <c r="H1248" s="551">
        <v>0</v>
      </c>
      <c r="I1248" s="551">
        <v>0</v>
      </c>
      <c r="J1248" s="551">
        <v>0</v>
      </c>
      <c r="K1248" s="527">
        <f t="shared" si="715"/>
        <v>0</v>
      </c>
      <c r="L1248" s="528">
        <f t="shared" si="716"/>
        <v>0</v>
      </c>
      <c r="M1248" s="528">
        <f t="shared" si="717"/>
        <v>0</v>
      </c>
      <c r="N1248" s="528">
        <f t="shared" si="718"/>
        <v>0</v>
      </c>
      <c r="O1248" s="528">
        <f t="shared" si="719"/>
        <v>0</v>
      </c>
      <c r="P1248" s="529">
        <f t="shared" si="720"/>
        <v>0</v>
      </c>
      <c r="Q1248" s="24">
        <f t="shared" si="721"/>
        <v>0</v>
      </c>
      <c r="R1248" s="530">
        <f t="shared" si="722"/>
        <v>0</v>
      </c>
    </row>
    <row r="1249" spans="1:18">
      <c r="A1249" s="524"/>
      <c r="B1249" s="531" t="s">
        <v>96</v>
      </c>
      <c r="C1249" s="533">
        <f t="shared" ref="C1249:J1249" si="725">SUM(C1245:C1248)</f>
        <v>699.46</v>
      </c>
      <c r="D1249" s="533">
        <f t="shared" si="725"/>
        <v>187794</v>
      </c>
      <c r="E1249" s="533">
        <f t="shared" si="725"/>
        <v>1133</v>
      </c>
      <c r="F1249" s="533">
        <f t="shared" si="725"/>
        <v>0</v>
      </c>
      <c r="G1249" s="533">
        <f t="shared" si="725"/>
        <v>0</v>
      </c>
      <c r="H1249" s="533">
        <f t="shared" si="725"/>
        <v>36</v>
      </c>
      <c r="I1249" s="533">
        <f t="shared" si="725"/>
        <v>15</v>
      </c>
      <c r="J1249" s="533">
        <f t="shared" si="725"/>
        <v>2</v>
      </c>
      <c r="K1249" s="534">
        <f t="shared" si="715"/>
        <v>0.00603320659871987</v>
      </c>
      <c r="L1249" s="535">
        <f t="shared" si="716"/>
        <v>0.617352162400706</v>
      </c>
      <c r="M1249" s="535">
        <f t="shared" si="717"/>
        <v>3.72461313992992</v>
      </c>
      <c r="N1249" s="535">
        <f t="shared" si="718"/>
        <v>0</v>
      </c>
      <c r="O1249" s="535">
        <f t="shared" si="719"/>
        <v>0</v>
      </c>
      <c r="P1249" s="536">
        <f t="shared" si="720"/>
        <v>13.7149019607843</v>
      </c>
      <c r="Q1249" s="531">
        <f t="shared" si="721"/>
        <v>51</v>
      </c>
      <c r="R1249" s="537">
        <f t="shared" si="722"/>
        <v>0.0450132391879965</v>
      </c>
    </row>
    <row r="1250" spans="1:18">
      <c r="A1250" s="524">
        <v>45700</v>
      </c>
      <c r="B1250" s="540" t="s">
        <v>98</v>
      </c>
      <c r="C1250" s="551">
        <v>300</v>
      </c>
      <c r="D1250" s="553">
        <v>8002</v>
      </c>
      <c r="E1250" s="551">
        <v>195</v>
      </c>
      <c r="F1250" s="551">
        <v>0</v>
      </c>
      <c r="G1250" s="551">
        <v>0</v>
      </c>
      <c r="H1250" s="551">
        <v>6</v>
      </c>
      <c r="I1250" s="551">
        <v>2</v>
      </c>
      <c r="J1250" s="551">
        <v>2</v>
      </c>
      <c r="K1250" s="527">
        <f t="shared" si="715"/>
        <v>0.0243689077730567</v>
      </c>
      <c r="L1250" s="528">
        <f t="shared" si="716"/>
        <v>1.53846153846154</v>
      </c>
      <c r="M1250" s="528">
        <f t="shared" si="717"/>
        <v>37.4906273431642</v>
      </c>
      <c r="N1250" s="528">
        <f t="shared" si="718"/>
        <v>0</v>
      </c>
      <c r="O1250" s="528">
        <f t="shared" si="719"/>
        <v>0</v>
      </c>
      <c r="P1250" s="529">
        <f t="shared" si="720"/>
        <v>37.5</v>
      </c>
      <c r="Q1250" s="24">
        <f t="shared" si="721"/>
        <v>8</v>
      </c>
      <c r="R1250" s="530">
        <f t="shared" si="722"/>
        <v>0.041025641025641</v>
      </c>
    </row>
    <row r="1251" spans="1:18">
      <c r="A1251" s="524"/>
      <c r="B1251" s="540" t="s">
        <v>99</v>
      </c>
      <c r="C1251" s="551">
        <v>0</v>
      </c>
      <c r="D1251" s="551">
        <v>0</v>
      </c>
      <c r="E1251" s="551">
        <v>0</v>
      </c>
      <c r="F1251" s="551">
        <v>0</v>
      </c>
      <c r="G1251" s="551">
        <v>0</v>
      </c>
      <c r="H1251" s="551">
        <v>0</v>
      </c>
      <c r="I1251" s="551">
        <v>0</v>
      </c>
      <c r="J1251" s="551">
        <v>0</v>
      </c>
      <c r="K1251" s="527">
        <f t="shared" si="715"/>
        <v>0</v>
      </c>
      <c r="L1251" s="528">
        <f t="shared" si="716"/>
        <v>0</v>
      </c>
      <c r="M1251" s="528">
        <f t="shared" si="717"/>
        <v>0</v>
      </c>
      <c r="N1251" s="528">
        <f t="shared" si="718"/>
        <v>0</v>
      </c>
      <c r="O1251" s="528">
        <f t="shared" si="719"/>
        <v>0</v>
      </c>
      <c r="P1251" s="529">
        <f t="shared" si="720"/>
        <v>0</v>
      </c>
      <c r="Q1251" s="24">
        <f t="shared" si="721"/>
        <v>0</v>
      </c>
      <c r="R1251" s="530">
        <f t="shared" si="722"/>
        <v>0</v>
      </c>
    </row>
    <row r="1252" spans="1:18">
      <c r="A1252" s="524"/>
      <c r="B1252" s="540" t="s">
        <v>100</v>
      </c>
      <c r="C1252" s="552">
        <v>396.6</v>
      </c>
      <c r="D1252" s="551">
        <v>105464</v>
      </c>
      <c r="E1252" s="551">
        <v>704</v>
      </c>
      <c r="F1252" s="551">
        <v>0</v>
      </c>
      <c r="G1252" s="551">
        <v>0</v>
      </c>
      <c r="H1252" s="551">
        <v>22</v>
      </c>
      <c r="I1252" s="551">
        <v>6</v>
      </c>
      <c r="J1252" s="551">
        <v>1</v>
      </c>
      <c r="K1252" s="527">
        <f t="shared" si="715"/>
        <v>0.00667526359705682</v>
      </c>
      <c r="L1252" s="528">
        <f t="shared" si="716"/>
        <v>0.563352272727273</v>
      </c>
      <c r="M1252" s="528">
        <f t="shared" si="717"/>
        <v>3.76052491845559</v>
      </c>
      <c r="N1252" s="528">
        <f t="shared" si="718"/>
        <v>0</v>
      </c>
      <c r="O1252" s="528">
        <f t="shared" si="719"/>
        <v>0</v>
      </c>
      <c r="P1252" s="529">
        <f t="shared" si="720"/>
        <v>14.1642857142857</v>
      </c>
      <c r="Q1252" s="24">
        <f t="shared" si="721"/>
        <v>28</v>
      </c>
      <c r="R1252" s="530">
        <f t="shared" si="722"/>
        <v>0.0397727272727273</v>
      </c>
    </row>
    <row r="1253" spans="1:18">
      <c r="A1253" s="524"/>
      <c r="B1253" s="540" t="s">
        <v>101</v>
      </c>
      <c r="C1253" s="551">
        <v>0</v>
      </c>
      <c r="D1253" s="551">
        <v>0</v>
      </c>
      <c r="E1253" s="551">
        <v>0</v>
      </c>
      <c r="F1253" s="551">
        <v>0</v>
      </c>
      <c r="G1253" s="551">
        <v>0</v>
      </c>
      <c r="H1253" s="551">
        <v>0</v>
      </c>
      <c r="I1253" s="551">
        <v>0</v>
      </c>
      <c r="J1253" s="551">
        <v>0</v>
      </c>
      <c r="K1253" s="527">
        <f t="shared" si="715"/>
        <v>0</v>
      </c>
      <c r="L1253" s="528">
        <f t="shared" si="716"/>
        <v>0</v>
      </c>
      <c r="M1253" s="528">
        <f t="shared" si="717"/>
        <v>0</v>
      </c>
      <c r="N1253" s="528">
        <f t="shared" si="718"/>
        <v>0</v>
      </c>
      <c r="O1253" s="528">
        <f t="shared" si="719"/>
        <v>0</v>
      </c>
      <c r="P1253" s="529">
        <f t="shared" si="720"/>
        <v>0</v>
      </c>
      <c r="Q1253" s="24">
        <f t="shared" si="721"/>
        <v>0</v>
      </c>
      <c r="R1253" s="530">
        <f t="shared" si="722"/>
        <v>0</v>
      </c>
    </row>
    <row r="1254" spans="1:18">
      <c r="A1254" s="524"/>
      <c r="B1254" s="531" t="s">
        <v>96</v>
      </c>
      <c r="C1254" s="533">
        <f t="shared" ref="C1254:J1254" si="726">SUM(C1250:C1253)</f>
        <v>696.6</v>
      </c>
      <c r="D1254" s="533">
        <f t="shared" si="726"/>
        <v>113466</v>
      </c>
      <c r="E1254" s="533">
        <f t="shared" si="726"/>
        <v>899</v>
      </c>
      <c r="F1254" s="533">
        <f t="shared" si="726"/>
        <v>0</v>
      </c>
      <c r="G1254" s="533">
        <f t="shared" si="726"/>
        <v>0</v>
      </c>
      <c r="H1254" s="533">
        <f t="shared" si="726"/>
        <v>28</v>
      </c>
      <c r="I1254" s="533">
        <f t="shared" si="726"/>
        <v>8</v>
      </c>
      <c r="J1254" s="533">
        <f t="shared" si="726"/>
        <v>3</v>
      </c>
      <c r="K1254" s="534">
        <f t="shared" si="715"/>
        <v>0.00792307827895581</v>
      </c>
      <c r="L1254" s="535">
        <f t="shared" si="716"/>
        <v>0.774860956618465</v>
      </c>
      <c r="M1254" s="535">
        <f t="shared" si="717"/>
        <v>6.13928401459468</v>
      </c>
      <c r="N1254" s="535">
        <f t="shared" si="718"/>
        <v>0</v>
      </c>
      <c r="O1254" s="535">
        <f t="shared" si="719"/>
        <v>0</v>
      </c>
      <c r="P1254" s="536">
        <f t="shared" si="720"/>
        <v>19.35</v>
      </c>
      <c r="Q1254" s="531">
        <f t="shared" si="721"/>
        <v>36</v>
      </c>
      <c r="R1254" s="537">
        <f t="shared" si="722"/>
        <v>0.0400444938820912</v>
      </c>
    </row>
    <row r="1255" spans="1:18">
      <c r="A1255" s="524">
        <v>45701</v>
      </c>
      <c r="B1255" s="540" t="s">
        <v>98</v>
      </c>
      <c r="C1255" s="551">
        <v>300</v>
      </c>
      <c r="D1255" s="553">
        <v>7550</v>
      </c>
      <c r="E1255" s="551">
        <v>211</v>
      </c>
      <c r="F1255" s="551">
        <v>0</v>
      </c>
      <c r="G1255" s="551">
        <v>0</v>
      </c>
      <c r="H1255" s="551">
        <v>1</v>
      </c>
      <c r="I1255" s="551">
        <v>0</v>
      </c>
      <c r="J1255" s="551">
        <v>1</v>
      </c>
      <c r="K1255" s="527">
        <f t="shared" si="715"/>
        <v>0.0279470198675497</v>
      </c>
      <c r="L1255" s="528">
        <f t="shared" si="716"/>
        <v>1.4218009478673</v>
      </c>
      <c r="M1255" s="528">
        <f t="shared" si="717"/>
        <v>39.7350993377483</v>
      </c>
      <c r="N1255" s="528">
        <f t="shared" si="718"/>
        <v>0</v>
      </c>
      <c r="O1255" s="528">
        <f t="shared" si="719"/>
        <v>0</v>
      </c>
      <c r="P1255" s="529">
        <f t="shared" si="720"/>
        <v>300</v>
      </c>
      <c r="Q1255" s="24">
        <f t="shared" si="721"/>
        <v>1</v>
      </c>
      <c r="R1255" s="530">
        <f t="shared" si="722"/>
        <v>0.004739336492891</v>
      </c>
    </row>
    <row r="1256" spans="1:18">
      <c r="A1256" s="524"/>
      <c r="B1256" s="540" t="s">
        <v>99</v>
      </c>
      <c r="C1256" s="551">
        <v>0</v>
      </c>
      <c r="D1256" s="551">
        <v>0</v>
      </c>
      <c r="E1256" s="551">
        <v>0</v>
      </c>
      <c r="F1256" s="551">
        <v>0</v>
      </c>
      <c r="G1256" s="551">
        <v>0</v>
      </c>
      <c r="H1256" s="551">
        <v>0</v>
      </c>
      <c r="I1256" s="551">
        <v>0</v>
      </c>
      <c r="J1256" s="551">
        <v>0</v>
      </c>
      <c r="K1256" s="527">
        <f t="shared" si="715"/>
        <v>0</v>
      </c>
      <c r="L1256" s="528">
        <f t="shared" si="716"/>
        <v>0</v>
      </c>
      <c r="M1256" s="528">
        <f t="shared" si="717"/>
        <v>0</v>
      </c>
      <c r="N1256" s="528">
        <f t="shared" si="718"/>
        <v>0</v>
      </c>
      <c r="O1256" s="528">
        <f t="shared" si="719"/>
        <v>0</v>
      </c>
      <c r="P1256" s="529">
        <f t="shared" si="720"/>
        <v>0</v>
      </c>
      <c r="Q1256" s="24">
        <f t="shared" si="721"/>
        <v>0</v>
      </c>
      <c r="R1256" s="530">
        <f t="shared" si="722"/>
        <v>0</v>
      </c>
    </row>
    <row r="1257" spans="1:18">
      <c r="A1257" s="524"/>
      <c r="B1257" s="540" t="s">
        <v>100</v>
      </c>
      <c r="C1257" s="552">
        <v>399.61</v>
      </c>
      <c r="D1257" s="551">
        <v>247832</v>
      </c>
      <c r="E1257" s="551">
        <v>1060</v>
      </c>
      <c r="F1257" s="551">
        <v>0</v>
      </c>
      <c r="G1257" s="551">
        <v>0</v>
      </c>
      <c r="H1257" s="551">
        <v>20</v>
      </c>
      <c r="I1257" s="551">
        <v>11</v>
      </c>
      <c r="J1257" s="551">
        <v>1</v>
      </c>
      <c r="K1257" s="527">
        <f t="shared" si="715"/>
        <v>0.00427709093256722</v>
      </c>
      <c r="L1257" s="528">
        <f t="shared" si="716"/>
        <v>0.376990566037736</v>
      </c>
      <c r="M1257" s="528">
        <f t="shared" si="717"/>
        <v>1.61242293166338</v>
      </c>
      <c r="N1257" s="528">
        <f t="shared" si="718"/>
        <v>0</v>
      </c>
      <c r="O1257" s="528">
        <f t="shared" si="719"/>
        <v>0</v>
      </c>
      <c r="P1257" s="529">
        <f t="shared" si="720"/>
        <v>12.8906451612903</v>
      </c>
      <c r="Q1257" s="24">
        <f t="shared" si="721"/>
        <v>31</v>
      </c>
      <c r="R1257" s="530">
        <f t="shared" si="722"/>
        <v>0.0292452830188679</v>
      </c>
    </row>
    <row r="1258" spans="1:18">
      <c r="A1258" s="524"/>
      <c r="B1258" s="540" t="s">
        <v>101</v>
      </c>
      <c r="C1258" s="551">
        <v>0</v>
      </c>
      <c r="D1258" s="551">
        <v>0</v>
      </c>
      <c r="E1258" s="551">
        <v>0</v>
      </c>
      <c r="F1258" s="551">
        <v>0</v>
      </c>
      <c r="G1258" s="551">
        <v>0</v>
      </c>
      <c r="H1258" s="551">
        <v>0</v>
      </c>
      <c r="I1258" s="551">
        <v>0</v>
      </c>
      <c r="J1258" s="551">
        <v>0</v>
      </c>
      <c r="K1258" s="527">
        <f t="shared" si="715"/>
        <v>0</v>
      </c>
      <c r="L1258" s="528">
        <f t="shared" si="716"/>
        <v>0</v>
      </c>
      <c r="M1258" s="528">
        <f t="shared" si="717"/>
        <v>0</v>
      </c>
      <c r="N1258" s="528">
        <f t="shared" si="718"/>
        <v>0</v>
      </c>
      <c r="O1258" s="528">
        <f t="shared" si="719"/>
        <v>0</v>
      </c>
      <c r="P1258" s="529">
        <f t="shared" si="720"/>
        <v>0</v>
      </c>
      <c r="Q1258" s="24">
        <f t="shared" si="721"/>
        <v>0</v>
      </c>
      <c r="R1258" s="530">
        <f t="shared" si="722"/>
        <v>0</v>
      </c>
    </row>
    <row r="1259" spans="1:18">
      <c r="A1259" s="524"/>
      <c r="B1259" s="531" t="s">
        <v>96</v>
      </c>
      <c r="C1259" s="533">
        <f t="shared" ref="C1259:J1259" si="727">SUM(C1255:C1258)</f>
        <v>699.61</v>
      </c>
      <c r="D1259" s="533">
        <f t="shared" si="727"/>
        <v>255382</v>
      </c>
      <c r="E1259" s="533">
        <f t="shared" si="727"/>
        <v>1271</v>
      </c>
      <c r="F1259" s="533">
        <f t="shared" si="727"/>
        <v>0</v>
      </c>
      <c r="G1259" s="533">
        <f t="shared" si="727"/>
        <v>0</v>
      </c>
      <c r="H1259" s="533">
        <f t="shared" si="727"/>
        <v>21</v>
      </c>
      <c r="I1259" s="533">
        <f t="shared" si="727"/>
        <v>11</v>
      </c>
      <c r="J1259" s="533">
        <f t="shared" si="727"/>
        <v>2</v>
      </c>
      <c r="K1259" s="534">
        <f t="shared" si="715"/>
        <v>0.00497685819674057</v>
      </c>
      <c r="L1259" s="535">
        <f t="shared" si="716"/>
        <v>0.550440597954367</v>
      </c>
      <c r="M1259" s="535">
        <f t="shared" si="717"/>
        <v>2.73946480174797</v>
      </c>
      <c r="N1259" s="535">
        <f t="shared" si="718"/>
        <v>0</v>
      </c>
      <c r="O1259" s="535">
        <f t="shared" si="719"/>
        <v>0</v>
      </c>
      <c r="P1259" s="536">
        <f t="shared" si="720"/>
        <v>21.8628125</v>
      </c>
      <c r="Q1259" s="531">
        <f t="shared" si="721"/>
        <v>32</v>
      </c>
      <c r="R1259" s="537">
        <f t="shared" si="722"/>
        <v>0.025177025963808</v>
      </c>
    </row>
    <row r="1260" spans="1:18">
      <c r="A1260" s="524">
        <v>45702</v>
      </c>
      <c r="B1260" s="540" t="s">
        <v>98</v>
      </c>
      <c r="C1260" s="551">
        <v>300</v>
      </c>
      <c r="D1260" s="553">
        <v>7257</v>
      </c>
      <c r="E1260" s="551">
        <v>244</v>
      </c>
      <c r="F1260" s="551">
        <v>0</v>
      </c>
      <c r="G1260" s="551">
        <v>0</v>
      </c>
      <c r="H1260" s="551">
        <v>7</v>
      </c>
      <c r="I1260" s="551">
        <v>0</v>
      </c>
      <c r="J1260" s="551">
        <v>0</v>
      </c>
      <c r="K1260" s="527">
        <f t="shared" si="715"/>
        <v>0.033622709108447</v>
      </c>
      <c r="L1260" s="528">
        <f t="shared" si="716"/>
        <v>1.22950819672131</v>
      </c>
      <c r="M1260" s="528">
        <f t="shared" si="717"/>
        <v>41.3393964448119</v>
      </c>
      <c r="N1260" s="528">
        <f t="shared" si="718"/>
        <v>0</v>
      </c>
      <c r="O1260" s="528">
        <f t="shared" si="719"/>
        <v>0</v>
      </c>
      <c r="P1260" s="529">
        <f t="shared" si="720"/>
        <v>42.8571428571429</v>
      </c>
      <c r="Q1260" s="24">
        <f t="shared" si="721"/>
        <v>7</v>
      </c>
      <c r="R1260" s="530">
        <f t="shared" si="722"/>
        <v>0.0286885245901639</v>
      </c>
    </row>
    <row r="1261" spans="1:18">
      <c r="A1261" s="524"/>
      <c r="B1261" s="540" t="s">
        <v>99</v>
      </c>
      <c r="C1261" s="551">
        <v>0</v>
      </c>
      <c r="D1261" s="551">
        <v>0</v>
      </c>
      <c r="E1261" s="551">
        <v>0</v>
      </c>
      <c r="F1261" s="551">
        <v>0</v>
      </c>
      <c r="G1261" s="551">
        <v>0</v>
      </c>
      <c r="H1261" s="551">
        <v>0</v>
      </c>
      <c r="I1261" s="551">
        <v>0</v>
      </c>
      <c r="J1261" s="551">
        <v>0</v>
      </c>
      <c r="K1261" s="527">
        <f t="shared" si="715"/>
        <v>0</v>
      </c>
      <c r="L1261" s="528">
        <f t="shared" si="716"/>
        <v>0</v>
      </c>
      <c r="M1261" s="528">
        <f t="shared" si="717"/>
        <v>0</v>
      </c>
      <c r="N1261" s="528">
        <f t="shared" si="718"/>
        <v>0</v>
      </c>
      <c r="O1261" s="528">
        <f t="shared" si="719"/>
        <v>0</v>
      </c>
      <c r="P1261" s="529">
        <f t="shared" si="720"/>
        <v>0</v>
      </c>
      <c r="Q1261" s="24">
        <f t="shared" si="721"/>
        <v>0</v>
      </c>
      <c r="R1261" s="530">
        <f t="shared" si="722"/>
        <v>0</v>
      </c>
    </row>
    <row r="1262" spans="1:18">
      <c r="A1262" s="524"/>
      <c r="B1262" s="540" t="s">
        <v>100</v>
      </c>
      <c r="C1262" s="552">
        <v>391.59</v>
      </c>
      <c r="D1262" s="551">
        <v>222642</v>
      </c>
      <c r="E1262" s="551">
        <v>1217</v>
      </c>
      <c r="F1262" s="551">
        <v>0</v>
      </c>
      <c r="G1262" s="551">
        <v>0</v>
      </c>
      <c r="H1262" s="551">
        <v>14</v>
      </c>
      <c r="I1262" s="551">
        <v>9</v>
      </c>
      <c r="J1262" s="551">
        <v>4</v>
      </c>
      <c r="K1262" s="527">
        <f t="shared" si="715"/>
        <v>0.00546617439656489</v>
      </c>
      <c r="L1262" s="528">
        <f t="shared" si="716"/>
        <v>0.32176663927691</v>
      </c>
      <c r="M1262" s="528">
        <f t="shared" si="717"/>
        <v>1.75883256528418</v>
      </c>
      <c r="N1262" s="528">
        <f t="shared" si="718"/>
        <v>0</v>
      </c>
      <c r="O1262" s="528">
        <f t="shared" si="719"/>
        <v>0</v>
      </c>
      <c r="P1262" s="529">
        <f t="shared" si="720"/>
        <v>17.025652173913</v>
      </c>
      <c r="Q1262" s="24">
        <f t="shared" si="721"/>
        <v>23</v>
      </c>
      <c r="R1262" s="530">
        <f t="shared" si="722"/>
        <v>0.018898931799507</v>
      </c>
    </row>
    <row r="1263" spans="1:18">
      <c r="A1263" s="524"/>
      <c r="B1263" s="540" t="s">
        <v>101</v>
      </c>
      <c r="C1263" s="551">
        <v>0</v>
      </c>
      <c r="D1263" s="551">
        <v>0</v>
      </c>
      <c r="E1263" s="551">
        <v>0</v>
      </c>
      <c r="F1263" s="551">
        <v>0</v>
      </c>
      <c r="G1263" s="551">
        <v>0</v>
      </c>
      <c r="H1263" s="551">
        <v>0</v>
      </c>
      <c r="I1263" s="551">
        <v>0</v>
      </c>
      <c r="J1263" s="551">
        <v>0</v>
      </c>
      <c r="K1263" s="527">
        <f t="shared" si="715"/>
        <v>0</v>
      </c>
      <c r="L1263" s="528">
        <f t="shared" si="716"/>
        <v>0</v>
      </c>
      <c r="M1263" s="528">
        <f t="shared" si="717"/>
        <v>0</v>
      </c>
      <c r="N1263" s="528">
        <f t="shared" si="718"/>
        <v>0</v>
      </c>
      <c r="O1263" s="528">
        <f t="shared" si="719"/>
        <v>0</v>
      </c>
      <c r="P1263" s="529">
        <f t="shared" si="720"/>
        <v>0</v>
      </c>
      <c r="Q1263" s="24">
        <f t="shared" si="721"/>
        <v>0</v>
      </c>
      <c r="R1263" s="530">
        <f t="shared" si="722"/>
        <v>0</v>
      </c>
    </row>
    <row r="1264" spans="1:18">
      <c r="A1264" s="524"/>
      <c r="B1264" s="531" t="s">
        <v>96</v>
      </c>
      <c r="C1264" s="533">
        <f t="shared" ref="C1264:J1264" si="728">SUM(C1260:C1263)</f>
        <v>691.59</v>
      </c>
      <c r="D1264" s="533">
        <f t="shared" si="728"/>
        <v>229899</v>
      </c>
      <c r="E1264" s="533">
        <f t="shared" si="728"/>
        <v>1461</v>
      </c>
      <c r="F1264" s="533">
        <f t="shared" si="728"/>
        <v>0</v>
      </c>
      <c r="G1264" s="533">
        <f t="shared" si="728"/>
        <v>0</v>
      </c>
      <c r="H1264" s="533">
        <f t="shared" si="728"/>
        <v>21</v>
      </c>
      <c r="I1264" s="533">
        <f t="shared" si="728"/>
        <v>9</v>
      </c>
      <c r="J1264" s="533">
        <f t="shared" si="728"/>
        <v>4</v>
      </c>
      <c r="K1264" s="534">
        <f t="shared" si="715"/>
        <v>0.00635496457139874</v>
      </c>
      <c r="L1264" s="535">
        <f t="shared" si="716"/>
        <v>0.473367556468172</v>
      </c>
      <c r="M1264" s="535">
        <f t="shared" si="717"/>
        <v>3.00823405060483</v>
      </c>
      <c r="N1264" s="535">
        <f t="shared" si="718"/>
        <v>0</v>
      </c>
      <c r="O1264" s="535">
        <f t="shared" si="719"/>
        <v>0</v>
      </c>
      <c r="P1264" s="536">
        <f t="shared" si="720"/>
        <v>23.053</v>
      </c>
      <c r="Q1264" s="531">
        <f t="shared" si="721"/>
        <v>30</v>
      </c>
      <c r="R1264" s="537">
        <f t="shared" si="722"/>
        <v>0.0205338809034908</v>
      </c>
    </row>
    <row r="1265" spans="1:18">
      <c r="A1265" s="524">
        <v>45703</v>
      </c>
      <c r="B1265" s="540" t="s">
        <v>98</v>
      </c>
      <c r="C1265" s="551">
        <v>300</v>
      </c>
      <c r="D1265" s="553">
        <v>6186</v>
      </c>
      <c r="E1265" s="551">
        <v>165</v>
      </c>
      <c r="F1265" s="551">
        <v>0</v>
      </c>
      <c r="G1265" s="551">
        <v>0</v>
      </c>
      <c r="H1265" s="551">
        <v>4</v>
      </c>
      <c r="I1265" s="551">
        <v>1</v>
      </c>
      <c r="J1265" s="551">
        <v>0</v>
      </c>
      <c r="K1265" s="527">
        <f t="shared" ref="K1265:K1269" si="729">IF(E1265=0,0,E1265/D1265)</f>
        <v>0.0266731328806983</v>
      </c>
      <c r="L1265" s="528">
        <f t="shared" ref="L1265:L1269" si="730">IF(C1265=0,0,C1265/E1265)</f>
        <v>1.81818181818182</v>
      </c>
      <c r="M1265" s="528">
        <f t="shared" ref="M1265:M1269" si="731">IF(D1265=0,0,C1265/D1265*1000)</f>
        <v>48.4966052376334</v>
      </c>
      <c r="N1265" s="528">
        <f t="shared" ref="N1265:N1269" si="732">IF(G1265=0,0,G1265/C1265)</f>
        <v>0</v>
      </c>
      <c r="O1265" s="528">
        <f t="shared" ref="O1265:O1269" si="733">IF(F1265=0,0,F1265/E1265)</f>
        <v>0</v>
      </c>
      <c r="P1265" s="529">
        <f t="shared" ref="P1265:P1269" si="734">IF(H1265+I1265=0,0,C1265/(H1265+I1265))</f>
        <v>60</v>
      </c>
      <c r="Q1265" s="24">
        <f t="shared" ref="Q1265:Q1269" si="735">H1265+I1265</f>
        <v>5</v>
      </c>
      <c r="R1265" s="530">
        <f t="shared" ref="R1265:R1269" si="736">IF(Q1265=0,0,Q1265/E1265)</f>
        <v>0.0303030303030303</v>
      </c>
    </row>
    <row r="1266" spans="1:18">
      <c r="A1266" s="524"/>
      <c r="B1266" s="540" t="s">
        <v>99</v>
      </c>
      <c r="C1266" s="551">
        <v>0</v>
      </c>
      <c r="D1266" s="551">
        <v>0</v>
      </c>
      <c r="E1266" s="551">
        <v>0</v>
      </c>
      <c r="F1266" s="551">
        <v>0</v>
      </c>
      <c r="G1266" s="551">
        <v>0</v>
      </c>
      <c r="H1266" s="551">
        <v>0</v>
      </c>
      <c r="I1266" s="551">
        <v>0</v>
      </c>
      <c r="J1266" s="551">
        <v>0</v>
      </c>
      <c r="K1266" s="527">
        <f t="shared" si="729"/>
        <v>0</v>
      </c>
      <c r="L1266" s="528">
        <f t="shared" si="730"/>
        <v>0</v>
      </c>
      <c r="M1266" s="528">
        <f t="shared" si="731"/>
        <v>0</v>
      </c>
      <c r="N1266" s="528">
        <f t="shared" si="732"/>
        <v>0</v>
      </c>
      <c r="O1266" s="528">
        <f t="shared" si="733"/>
        <v>0</v>
      </c>
      <c r="P1266" s="529">
        <f t="shared" si="734"/>
        <v>0</v>
      </c>
      <c r="Q1266" s="24">
        <f t="shared" si="735"/>
        <v>0</v>
      </c>
      <c r="R1266" s="530">
        <f t="shared" si="736"/>
        <v>0</v>
      </c>
    </row>
    <row r="1267" spans="1:18">
      <c r="A1267" s="524"/>
      <c r="B1267" s="540" t="s">
        <v>100</v>
      </c>
      <c r="C1267" s="552">
        <v>396</v>
      </c>
      <c r="D1267" s="551">
        <v>287189</v>
      </c>
      <c r="E1267" s="551">
        <v>1550</v>
      </c>
      <c r="F1267" s="551">
        <v>0</v>
      </c>
      <c r="G1267" s="551">
        <v>0</v>
      </c>
      <c r="H1267" s="551">
        <v>19</v>
      </c>
      <c r="I1267" s="551">
        <v>8</v>
      </c>
      <c r="J1267" s="551">
        <v>2</v>
      </c>
      <c r="K1267" s="527">
        <f t="shared" si="729"/>
        <v>0.00539714264822121</v>
      </c>
      <c r="L1267" s="528">
        <f t="shared" si="730"/>
        <v>0.255483870967742</v>
      </c>
      <c r="M1267" s="528">
        <f t="shared" si="731"/>
        <v>1.37888289593264</v>
      </c>
      <c r="N1267" s="528">
        <f t="shared" si="732"/>
        <v>0</v>
      </c>
      <c r="O1267" s="528">
        <f t="shared" si="733"/>
        <v>0</v>
      </c>
      <c r="P1267" s="529">
        <f t="shared" si="734"/>
        <v>14.6666666666667</v>
      </c>
      <c r="Q1267" s="24">
        <f t="shared" si="735"/>
        <v>27</v>
      </c>
      <c r="R1267" s="530">
        <f t="shared" si="736"/>
        <v>0.0174193548387097</v>
      </c>
    </row>
    <row r="1268" spans="1:18">
      <c r="A1268" s="524"/>
      <c r="B1268" s="540" t="s">
        <v>101</v>
      </c>
      <c r="C1268" s="551">
        <v>0</v>
      </c>
      <c r="D1268" s="551">
        <v>0</v>
      </c>
      <c r="E1268" s="551">
        <v>0</v>
      </c>
      <c r="F1268" s="551">
        <v>0</v>
      </c>
      <c r="G1268" s="551">
        <v>0</v>
      </c>
      <c r="H1268" s="551">
        <v>0</v>
      </c>
      <c r="I1268" s="551">
        <v>0</v>
      </c>
      <c r="J1268" s="551">
        <v>0</v>
      </c>
      <c r="K1268" s="527">
        <f t="shared" si="729"/>
        <v>0</v>
      </c>
      <c r="L1268" s="528">
        <f t="shared" si="730"/>
        <v>0</v>
      </c>
      <c r="M1268" s="528">
        <f t="shared" si="731"/>
        <v>0</v>
      </c>
      <c r="N1268" s="528">
        <f t="shared" si="732"/>
        <v>0</v>
      </c>
      <c r="O1268" s="528">
        <f t="shared" si="733"/>
        <v>0</v>
      </c>
      <c r="P1268" s="529">
        <f t="shared" si="734"/>
        <v>0</v>
      </c>
      <c r="Q1268" s="24">
        <f t="shared" si="735"/>
        <v>0</v>
      </c>
      <c r="R1268" s="530">
        <f t="shared" si="736"/>
        <v>0</v>
      </c>
    </row>
    <row r="1269" spans="1:18">
      <c r="A1269" s="524"/>
      <c r="B1269" s="531" t="s">
        <v>96</v>
      </c>
      <c r="C1269" s="533">
        <f t="shared" ref="C1269:J1269" si="737">SUM(C1265:C1268)</f>
        <v>696</v>
      </c>
      <c r="D1269" s="533">
        <f t="shared" si="737"/>
        <v>293375</v>
      </c>
      <c r="E1269" s="533">
        <f t="shared" si="737"/>
        <v>1715</v>
      </c>
      <c r="F1269" s="533">
        <f t="shared" si="737"/>
        <v>0</v>
      </c>
      <c r="G1269" s="533">
        <f t="shared" si="737"/>
        <v>0</v>
      </c>
      <c r="H1269" s="533">
        <f t="shared" si="737"/>
        <v>23</v>
      </c>
      <c r="I1269" s="533">
        <f t="shared" si="737"/>
        <v>9</v>
      </c>
      <c r="J1269" s="533">
        <f t="shared" si="737"/>
        <v>2</v>
      </c>
      <c r="K1269" s="534">
        <f t="shared" si="729"/>
        <v>0.00584576054537708</v>
      </c>
      <c r="L1269" s="535">
        <f t="shared" si="730"/>
        <v>0.405830903790087</v>
      </c>
      <c r="M1269" s="535">
        <f t="shared" si="731"/>
        <v>2.37239028547081</v>
      </c>
      <c r="N1269" s="535">
        <f t="shared" si="732"/>
        <v>0</v>
      </c>
      <c r="O1269" s="535">
        <f t="shared" si="733"/>
        <v>0</v>
      </c>
      <c r="P1269" s="536">
        <f t="shared" si="734"/>
        <v>21.75</v>
      </c>
      <c r="Q1269" s="531">
        <f t="shared" si="735"/>
        <v>32</v>
      </c>
      <c r="R1269" s="537">
        <f t="shared" si="736"/>
        <v>0.0186588921282799</v>
      </c>
    </row>
    <row r="1270" spans="1:18">
      <c r="A1270" s="524">
        <v>45704</v>
      </c>
      <c r="B1270" s="540" t="s">
        <v>98</v>
      </c>
      <c r="C1270" s="551">
        <v>300</v>
      </c>
      <c r="D1270" s="553">
        <v>7212</v>
      </c>
      <c r="E1270" s="551">
        <v>226</v>
      </c>
      <c r="F1270" s="551">
        <v>0</v>
      </c>
      <c r="G1270" s="551">
        <v>0</v>
      </c>
      <c r="H1270" s="551">
        <v>12</v>
      </c>
      <c r="I1270" s="551">
        <v>0</v>
      </c>
      <c r="J1270" s="551">
        <v>1</v>
      </c>
      <c r="K1270" s="527">
        <f t="shared" ref="K1270:K1329" si="738">IF(E1270=0,0,E1270/D1270)</f>
        <v>0.031336661120355</v>
      </c>
      <c r="L1270" s="528">
        <f t="shared" ref="L1270:L1329" si="739">IF(C1270=0,0,C1270/E1270)</f>
        <v>1.32743362831858</v>
      </c>
      <c r="M1270" s="528">
        <f t="shared" ref="M1270:M1329" si="740">IF(D1270=0,0,C1270/D1270*1000)</f>
        <v>41.5973377703827</v>
      </c>
      <c r="N1270" s="528">
        <f t="shared" ref="N1270:N1329" si="741">IF(G1270=0,0,G1270/C1270)</f>
        <v>0</v>
      </c>
      <c r="O1270" s="528">
        <f t="shared" ref="O1270:O1329" si="742">IF(F1270=0,0,F1270/E1270)</f>
        <v>0</v>
      </c>
      <c r="P1270" s="529">
        <f t="shared" ref="P1270:P1329" si="743">IF(H1270+I1270=0,0,C1270/(H1270+I1270))</f>
        <v>25</v>
      </c>
      <c r="Q1270" s="24">
        <f t="shared" ref="Q1270:Q1329" si="744">H1270+I1270</f>
        <v>12</v>
      </c>
      <c r="R1270" s="530">
        <f t="shared" ref="R1270:R1329" si="745">IF(Q1270=0,0,Q1270/E1270)</f>
        <v>0.0530973451327434</v>
      </c>
    </row>
    <row r="1271" spans="1:18">
      <c r="A1271" s="524"/>
      <c r="B1271" s="540" t="s">
        <v>99</v>
      </c>
      <c r="C1271" s="551">
        <v>0</v>
      </c>
      <c r="D1271" s="551">
        <v>0</v>
      </c>
      <c r="E1271" s="551">
        <v>0</v>
      </c>
      <c r="F1271" s="551">
        <v>0</v>
      </c>
      <c r="G1271" s="551">
        <v>0</v>
      </c>
      <c r="H1271" s="551">
        <v>0</v>
      </c>
      <c r="I1271" s="551">
        <v>0</v>
      </c>
      <c r="J1271" s="551">
        <v>0</v>
      </c>
      <c r="K1271" s="527">
        <f t="shared" si="738"/>
        <v>0</v>
      </c>
      <c r="L1271" s="528">
        <f t="shared" si="739"/>
        <v>0</v>
      </c>
      <c r="M1271" s="528">
        <f t="shared" si="740"/>
        <v>0</v>
      </c>
      <c r="N1271" s="528">
        <f t="shared" si="741"/>
        <v>0</v>
      </c>
      <c r="O1271" s="528">
        <f t="shared" si="742"/>
        <v>0</v>
      </c>
      <c r="P1271" s="529">
        <f t="shared" si="743"/>
        <v>0</v>
      </c>
      <c r="Q1271" s="24">
        <f t="shared" si="744"/>
        <v>0</v>
      </c>
      <c r="R1271" s="530">
        <f t="shared" si="745"/>
        <v>0</v>
      </c>
    </row>
    <row r="1272" spans="1:18">
      <c r="A1272" s="524"/>
      <c r="B1272" s="540" t="s">
        <v>100</v>
      </c>
      <c r="C1272" s="552">
        <v>398.81</v>
      </c>
      <c r="D1272" s="551">
        <v>526454</v>
      </c>
      <c r="E1272" s="551">
        <v>2337</v>
      </c>
      <c r="F1272" s="551">
        <v>0</v>
      </c>
      <c r="G1272" s="551">
        <v>0</v>
      </c>
      <c r="H1272" s="551">
        <v>20</v>
      </c>
      <c r="I1272" s="551">
        <v>13</v>
      </c>
      <c r="J1272" s="551">
        <v>1</v>
      </c>
      <c r="K1272" s="527">
        <f t="shared" si="738"/>
        <v>0.0044391342833372</v>
      </c>
      <c r="L1272" s="528">
        <f t="shared" si="739"/>
        <v>0.170650406504065</v>
      </c>
      <c r="M1272" s="528">
        <f t="shared" si="740"/>
        <v>0.757540069977624</v>
      </c>
      <c r="N1272" s="528">
        <f t="shared" si="741"/>
        <v>0</v>
      </c>
      <c r="O1272" s="528">
        <f t="shared" si="742"/>
        <v>0</v>
      </c>
      <c r="P1272" s="529">
        <f t="shared" si="743"/>
        <v>12.0851515151515</v>
      </c>
      <c r="Q1272" s="24">
        <f t="shared" si="744"/>
        <v>33</v>
      </c>
      <c r="R1272" s="530">
        <f t="shared" si="745"/>
        <v>0.0141206675224647</v>
      </c>
    </row>
    <row r="1273" spans="1:18">
      <c r="A1273" s="524"/>
      <c r="B1273" s="540" t="s">
        <v>101</v>
      </c>
      <c r="C1273" s="551">
        <v>0</v>
      </c>
      <c r="D1273" s="551">
        <v>0</v>
      </c>
      <c r="E1273" s="551">
        <v>0</v>
      </c>
      <c r="F1273" s="551">
        <v>0</v>
      </c>
      <c r="G1273" s="551">
        <v>0</v>
      </c>
      <c r="H1273" s="551">
        <v>0</v>
      </c>
      <c r="I1273" s="551">
        <v>0</v>
      </c>
      <c r="J1273" s="551">
        <v>0</v>
      </c>
      <c r="K1273" s="527">
        <f t="shared" si="738"/>
        <v>0</v>
      </c>
      <c r="L1273" s="528">
        <f t="shared" si="739"/>
        <v>0</v>
      </c>
      <c r="M1273" s="528">
        <f t="shared" si="740"/>
        <v>0</v>
      </c>
      <c r="N1273" s="528">
        <f t="shared" si="741"/>
        <v>0</v>
      </c>
      <c r="O1273" s="528">
        <f t="shared" si="742"/>
        <v>0</v>
      </c>
      <c r="P1273" s="529">
        <f t="shared" si="743"/>
        <v>0</v>
      </c>
      <c r="Q1273" s="24">
        <f t="shared" si="744"/>
        <v>0</v>
      </c>
      <c r="R1273" s="530">
        <f t="shared" si="745"/>
        <v>0</v>
      </c>
    </row>
    <row r="1274" spans="1:18">
      <c r="A1274" s="524"/>
      <c r="B1274" s="531" t="s">
        <v>96</v>
      </c>
      <c r="C1274" s="533">
        <f t="shared" ref="C1274:J1274" si="746">SUM(C1270:C1273)</f>
        <v>698.81</v>
      </c>
      <c r="D1274" s="533">
        <f t="shared" si="746"/>
        <v>533666</v>
      </c>
      <c r="E1274" s="533">
        <f t="shared" si="746"/>
        <v>2563</v>
      </c>
      <c r="F1274" s="533">
        <f t="shared" si="746"/>
        <v>0</v>
      </c>
      <c r="G1274" s="533">
        <f t="shared" si="746"/>
        <v>0</v>
      </c>
      <c r="H1274" s="533">
        <f t="shared" si="746"/>
        <v>32</v>
      </c>
      <c r="I1274" s="533">
        <f t="shared" si="746"/>
        <v>13</v>
      </c>
      <c r="J1274" s="533">
        <f t="shared" si="746"/>
        <v>2</v>
      </c>
      <c r="K1274" s="534">
        <f t="shared" si="738"/>
        <v>0.00480262935993674</v>
      </c>
      <c r="L1274" s="535">
        <f t="shared" si="739"/>
        <v>0.272653140850566</v>
      </c>
      <c r="M1274" s="535">
        <f t="shared" si="740"/>
        <v>1.30945197932789</v>
      </c>
      <c r="N1274" s="535">
        <f t="shared" si="741"/>
        <v>0</v>
      </c>
      <c r="O1274" s="535">
        <f t="shared" si="742"/>
        <v>0</v>
      </c>
      <c r="P1274" s="536">
        <f t="shared" si="743"/>
        <v>15.5291111111111</v>
      </c>
      <c r="Q1274" s="531">
        <f t="shared" si="744"/>
        <v>45</v>
      </c>
      <c r="R1274" s="537">
        <f t="shared" si="745"/>
        <v>0.0175575497463909</v>
      </c>
    </row>
    <row r="1275" spans="1:18">
      <c r="A1275" s="524">
        <v>45705</v>
      </c>
      <c r="B1275" s="540" t="s">
        <v>98</v>
      </c>
      <c r="C1275" s="551">
        <v>300</v>
      </c>
      <c r="D1275" s="553">
        <v>6247</v>
      </c>
      <c r="E1275" s="551">
        <v>194</v>
      </c>
      <c r="F1275" s="551">
        <v>0</v>
      </c>
      <c r="G1275" s="551">
        <v>0</v>
      </c>
      <c r="H1275" s="551">
        <v>3</v>
      </c>
      <c r="I1275" s="551">
        <v>0</v>
      </c>
      <c r="J1275" s="551">
        <v>1</v>
      </c>
      <c r="K1275" s="527">
        <f t="shared" si="738"/>
        <v>0.0310549063550504</v>
      </c>
      <c r="L1275" s="528">
        <f t="shared" si="739"/>
        <v>1.54639175257732</v>
      </c>
      <c r="M1275" s="528">
        <f t="shared" si="740"/>
        <v>48.023051064511</v>
      </c>
      <c r="N1275" s="528">
        <f t="shared" si="741"/>
        <v>0</v>
      </c>
      <c r="O1275" s="528">
        <f t="shared" si="742"/>
        <v>0</v>
      </c>
      <c r="P1275" s="529">
        <f t="shared" si="743"/>
        <v>100</v>
      </c>
      <c r="Q1275" s="24">
        <f t="shared" si="744"/>
        <v>3</v>
      </c>
      <c r="R1275" s="530">
        <f t="shared" si="745"/>
        <v>0.0154639175257732</v>
      </c>
    </row>
    <row r="1276" spans="1:18">
      <c r="A1276" s="524"/>
      <c r="B1276" s="540" t="s">
        <v>99</v>
      </c>
      <c r="C1276" s="551">
        <v>600</v>
      </c>
      <c r="D1276" s="551">
        <v>9063</v>
      </c>
      <c r="E1276" s="551">
        <v>381</v>
      </c>
      <c r="F1276" s="551">
        <v>1</v>
      </c>
      <c r="G1276" s="551">
        <v>10203</v>
      </c>
      <c r="H1276" s="551">
        <v>15</v>
      </c>
      <c r="I1276" s="551">
        <v>2</v>
      </c>
      <c r="J1276" s="551">
        <v>4</v>
      </c>
      <c r="K1276" s="527">
        <f t="shared" si="738"/>
        <v>0.0420390599139358</v>
      </c>
      <c r="L1276" s="528">
        <f t="shared" si="739"/>
        <v>1.5748031496063</v>
      </c>
      <c r="M1276" s="528">
        <f t="shared" si="740"/>
        <v>66.203243958954</v>
      </c>
      <c r="N1276" s="528">
        <f t="shared" si="741"/>
        <v>17.005</v>
      </c>
      <c r="O1276" s="528">
        <f t="shared" si="742"/>
        <v>0.0026246719160105</v>
      </c>
      <c r="P1276" s="529">
        <f t="shared" si="743"/>
        <v>35.2941176470588</v>
      </c>
      <c r="Q1276" s="24">
        <f t="shared" si="744"/>
        <v>17</v>
      </c>
      <c r="R1276" s="530">
        <f t="shared" si="745"/>
        <v>0.0446194225721785</v>
      </c>
    </row>
    <row r="1277" spans="1:18">
      <c r="A1277" s="524"/>
      <c r="B1277" s="540" t="s">
        <v>100</v>
      </c>
      <c r="C1277" s="552">
        <v>400</v>
      </c>
      <c r="D1277" s="551">
        <v>460411</v>
      </c>
      <c r="E1277" s="551">
        <v>1642</v>
      </c>
      <c r="F1277" s="551">
        <v>0</v>
      </c>
      <c r="G1277" s="551">
        <v>0</v>
      </c>
      <c r="H1277" s="551">
        <v>35</v>
      </c>
      <c r="I1277" s="551">
        <v>16</v>
      </c>
      <c r="J1277" s="551">
        <v>4</v>
      </c>
      <c r="K1277" s="527">
        <f t="shared" si="738"/>
        <v>0.00356637873552109</v>
      </c>
      <c r="L1277" s="528">
        <f t="shared" si="739"/>
        <v>0.243605359317905</v>
      </c>
      <c r="M1277" s="528">
        <f t="shared" si="740"/>
        <v>0.86878897333035</v>
      </c>
      <c r="N1277" s="528">
        <f t="shared" si="741"/>
        <v>0</v>
      </c>
      <c r="O1277" s="528">
        <f t="shared" si="742"/>
        <v>0</v>
      </c>
      <c r="P1277" s="529">
        <f t="shared" si="743"/>
        <v>7.84313725490196</v>
      </c>
      <c r="Q1277" s="24">
        <f t="shared" si="744"/>
        <v>51</v>
      </c>
      <c r="R1277" s="530">
        <f t="shared" si="745"/>
        <v>0.0310596833130329</v>
      </c>
    </row>
    <row r="1278" spans="1:18">
      <c r="A1278" s="524"/>
      <c r="B1278" s="540" t="s">
        <v>101</v>
      </c>
      <c r="C1278" s="551">
        <v>0</v>
      </c>
      <c r="D1278" s="551">
        <v>0</v>
      </c>
      <c r="E1278" s="551">
        <v>0</v>
      </c>
      <c r="F1278" s="551">
        <v>0</v>
      </c>
      <c r="G1278" s="551">
        <v>0</v>
      </c>
      <c r="H1278" s="551">
        <v>0</v>
      </c>
      <c r="I1278" s="551">
        <v>0</v>
      </c>
      <c r="J1278" s="551">
        <v>0</v>
      </c>
      <c r="K1278" s="527">
        <f t="shared" si="738"/>
        <v>0</v>
      </c>
      <c r="L1278" s="528">
        <f t="shared" si="739"/>
        <v>0</v>
      </c>
      <c r="M1278" s="528">
        <f t="shared" si="740"/>
        <v>0</v>
      </c>
      <c r="N1278" s="528">
        <f t="shared" si="741"/>
        <v>0</v>
      </c>
      <c r="O1278" s="528">
        <f t="shared" si="742"/>
        <v>0</v>
      </c>
      <c r="P1278" s="529">
        <f t="shared" si="743"/>
        <v>0</v>
      </c>
      <c r="Q1278" s="24">
        <f t="shared" si="744"/>
        <v>0</v>
      </c>
      <c r="R1278" s="530">
        <f t="shared" si="745"/>
        <v>0</v>
      </c>
    </row>
    <row r="1279" spans="1:18">
      <c r="A1279" s="524"/>
      <c r="B1279" s="531" t="s">
        <v>96</v>
      </c>
      <c r="C1279" s="533">
        <f t="shared" ref="C1279:J1279" si="747">SUM(C1275:C1278)</f>
        <v>1300</v>
      </c>
      <c r="D1279" s="533">
        <f t="shared" si="747"/>
        <v>475721</v>
      </c>
      <c r="E1279" s="533">
        <f t="shared" si="747"/>
        <v>2217</v>
      </c>
      <c r="F1279" s="533">
        <f t="shared" si="747"/>
        <v>1</v>
      </c>
      <c r="G1279" s="533">
        <f t="shared" si="747"/>
        <v>10203</v>
      </c>
      <c r="H1279" s="533">
        <f t="shared" si="747"/>
        <v>53</v>
      </c>
      <c r="I1279" s="533">
        <f t="shared" si="747"/>
        <v>18</v>
      </c>
      <c r="J1279" s="533">
        <f t="shared" si="747"/>
        <v>9</v>
      </c>
      <c r="K1279" s="534">
        <f t="shared" si="738"/>
        <v>0.00466029458443079</v>
      </c>
      <c r="L1279" s="535">
        <f t="shared" si="739"/>
        <v>0.58637798827244</v>
      </c>
      <c r="M1279" s="535">
        <f t="shared" si="740"/>
        <v>2.73269416317547</v>
      </c>
      <c r="N1279" s="535">
        <f t="shared" si="741"/>
        <v>7.84846153846154</v>
      </c>
      <c r="O1279" s="535">
        <f t="shared" si="742"/>
        <v>0.0004510599909788</v>
      </c>
      <c r="P1279" s="536">
        <f t="shared" si="743"/>
        <v>18.3098591549296</v>
      </c>
      <c r="Q1279" s="531">
        <f t="shared" si="744"/>
        <v>71</v>
      </c>
      <c r="R1279" s="537">
        <f t="shared" si="745"/>
        <v>0.0320252593594948</v>
      </c>
    </row>
    <row r="1280" spans="1:18">
      <c r="A1280" s="524">
        <v>45706</v>
      </c>
      <c r="B1280" s="540" t="s">
        <v>98</v>
      </c>
      <c r="C1280" s="551">
        <v>300</v>
      </c>
      <c r="D1280" s="553">
        <v>6101</v>
      </c>
      <c r="E1280" s="551">
        <v>272</v>
      </c>
      <c r="F1280" s="551">
        <v>1</v>
      </c>
      <c r="G1280" s="551">
        <v>15414</v>
      </c>
      <c r="H1280" s="551">
        <v>10</v>
      </c>
      <c r="I1280" s="551">
        <v>3</v>
      </c>
      <c r="J1280" s="551">
        <v>2</v>
      </c>
      <c r="K1280" s="527">
        <f t="shared" si="738"/>
        <v>0.0445828552696279</v>
      </c>
      <c r="L1280" s="528">
        <f t="shared" si="739"/>
        <v>1.10294117647059</v>
      </c>
      <c r="M1280" s="528">
        <f t="shared" si="740"/>
        <v>49.1722668415014</v>
      </c>
      <c r="N1280" s="528">
        <f t="shared" si="741"/>
        <v>51.38</v>
      </c>
      <c r="O1280" s="528">
        <f t="shared" si="742"/>
        <v>0.00367647058823529</v>
      </c>
      <c r="P1280" s="529">
        <f t="shared" si="743"/>
        <v>23.0769230769231</v>
      </c>
      <c r="Q1280" s="24">
        <f t="shared" si="744"/>
        <v>13</v>
      </c>
      <c r="R1280" s="530">
        <f t="shared" si="745"/>
        <v>0.0477941176470588</v>
      </c>
    </row>
    <row r="1281" spans="1:18">
      <c r="A1281" s="524"/>
      <c r="B1281" s="540" t="s">
        <v>99</v>
      </c>
      <c r="C1281" s="551">
        <v>0</v>
      </c>
      <c r="D1281" s="551">
        <v>0</v>
      </c>
      <c r="E1281" s="551">
        <v>0</v>
      </c>
      <c r="F1281" s="551">
        <v>0</v>
      </c>
      <c r="G1281" s="551">
        <v>0</v>
      </c>
      <c r="H1281" s="551">
        <v>0</v>
      </c>
      <c r="I1281" s="551">
        <v>0</v>
      </c>
      <c r="J1281" s="551">
        <v>0</v>
      </c>
      <c r="K1281" s="527">
        <f t="shared" si="738"/>
        <v>0</v>
      </c>
      <c r="L1281" s="528">
        <f t="shared" si="739"/>
        <v>0</v>
      </c>
      <c r="M1281" s="528">
        <f t="shared" si="740"/>
        <v>0</v>
      </c>
      <c r="N1281" s="528">
        <f t="shared" si="741"/>
        <v>0</v>
      </c>
      <c r="O1281" s="528">
        <f t="shared" si="742"/>
        <v>0</v>
      </c>
      <c r="P1281" s="529">
        <f t="shared" si="743"/>
        <v>0</v>
      </c>
      <c r="Q1281" s="24">
        <f t="shared" si="744"/>
        <v>0</v>
      </c>
      <c r="R1281" s="530">
        <f t="shared" si="745"/>
        <v>0</v>
      </c>
    </row>
    <row r="1282" spans="1:18">
      <c r="A1282" s="524"/>
      <c r="B1282" s="540" t="s">
        <v>100</v>
      </c>
      <c r="C1282" s="552">
        <v>246.96</v>
      </c>
      <c r="D1282" s="551">
        <v>179193</v>
      </c>
      <c r="E1282" s="551">
        <v>718</v>
      </c>
      <c r="F1282" s="551">
        <v>1</v>
      </c>
      <c r="G1282" s="551">
        <v>19994</v>
      </c>
      <c r="H1282" s="551">
        <v>33</v>
      </c>
      <c r="I1282" s="551">
        <v>5</v>
      </c>
      <c r="J1282" s="551">
        <v>1</v>
      </c>
      <c r="K1282" s="527">
        <f t="shared" si="738"/>
        <v>0.00400685294626464</v>
      </c>
      <c r="L1282" s="528">
        <f t="shared" si="739"/>
        <v>0.343955431754875</v>
      </c>
      <c r="M1282" s="528">
        <f t="shared" si="740"/>
        <v>1.37817883511075</v>
      </c>
      <c r="N1282" s="528">
        <f t="shared" si="741"/>
        <v>80.9604794298672</v>
      </c>
      <c r="O1282" s="528">
        <f t="shared" si="742"/>
        <v>0.00139275766016713</v>
      </c>
      <c r="P1282" s="529">
        <f t="shared" si="743"/>
        <v>6.49894736842105</v>
      </c>
      <c r="Q1282" s="24">
        <f t="shared" si="744"/>
        <v>38</v>
      </c>
      <c r="R1282" s="530">
        <f t="shared" si="745"/>
        <v>0.052924791086351</v>
      </c>
    </row>
    <row r="1283" spans="1:18">
      <c r="A1283" s="524"/>
      <c r="B1283" s="540" t="s">
        <v>101</v>
      </c>
      <c r="C1283" s="551">
        <v>0</v>
      </c>
      <c r="D1283" s="551">
        <v>0</v>
      </c>
      <c r="E1283" s="551">
        <v>0</v>
      </c>
      <c r="F1283" s="551">
        <v>0</v>
      </c>
      <c r="G1283" s="551">
        <v>0</v>
      </c>
      <c r="H1283" s="551">
        <v>0</v>
      </c>
      <c r="I1283" s="551">
        <v>0</v>
      </c>
      <c r="J1283" s="551">
        <v>0</v>
      </c>
      <c r="K1283" s="527">
        <f t="shared" si="738"/>
        <v>0</v>
      </c>
      <c r="L1283" s="528">
        <f t="shared" si="739"/>
        <v>0</v>
      </c>
      <c r="M1283" s="528">
        <f t="shared" si="740"/>
        <v>0</v>
      </c>
      <c r="N1283" s="528">
        <f t="shared" si="741"/>
        <v>0</v>
      </c>
      <c r="O1283" s="528">
        <f t="shared" si="742"/>
        <v>0</v>
      </c>
      <c r="P1283" s="529">
        <f t="shared" si="743"/>
        <v>0</v>
      </c>
      <c r="Q1283" s="24">
        <f t="shared" si="744"/>
        <v>0</v>
      </c>
      <c r="R1283" s="530">
        <f t="shared" si="745"/>
        <v>0</v>
      </c>
    </row>
    <row r="1284" spans="1:18">
      <c r="A1284" s="524"/>
      <c r="B1284" s="531" t="s">
        <v>96</v>
      </c>
      <c r="C1284" s="533">
        <f t="shared" ref="C1284:J1284" si="748">SUM(C1280:C1283)</f>
        <v>546.96</v>
      </c>
      <c r="D1284" s="533">
        <f t="shared" si="748"/>
        <v>185294</v>
      </c>
      <c r="E1284" s="533">
        <f t="shared" si="748"/>
        <v>990</v>
      </c>
      <c r="F1284" s="533">
        <f t="shared" si="748"/>
        <v>2</v>
      </c>
      <c r="G1284" s="533">
        <f t="shared" si="748"/>
        <v>35408</v>
      </c>
      <c r="H1284" s="533">
        <f t="shared" si="748"/>
        <v>43</v>
      </c>
      <c r="I1284" s="533">
        <f t="shared" si="748"/>
        <v>8</v>
      </c>
      <c r="J1284" s="533">
        <f t="shared" si="748"/>
        <v>3</v>
      </c>
      <c r="K1284" s="534">
        <f t="shared" si="738"/>
        <v>0.00534286053514955</v>
      </c>
      <c r="L1284" s="535">
        <f t="shared" si="739"/>
        <v>0.552484848484848</v>
      </c>
      <c r="M1284" s="535">
        <f t="shared" si="740"/>
        <v>2.95184949323777</v>
      </c>
      <c r="N1284" s="535">
        <f t="shared" si="741"/>
        <v>64.7359953195846</v>
      </c>
      <c r="O1284" s="535">
        <f t="shared" si="742"/>
        <v>0.00202020202020202</v>
      </c>
      <c r="P1284" s="536">
        <f t="shared" si="743"/>
        <v>10.7247058823529</v>
      </c>
      <c r="Q1284" s="531">
        <f t="shared" si="744"/>
        <v>51</v>
      </c>
      <c r="R1284" s="537">
        <f t="shared" si="745"/>
        <v>0.0515151515151515</v>
      </c>
    </row>
    <row r="1285" spans="1:18">
      <c r="A1285" s="524">
        <v>45707</v>
      </c>
      <c r="B1285" s="540" t="s">
        <v>98</v>
      </c>
      <c r="C1285" s="551">
        <v>299.6</v>
      </c>
      <c r="D1285" s="553">
        <v>4595</v>
      </c>
      <c r="E1285" s="551">
        <v>206</v>
      </c>
      <c r="F1285" s="551">
        <v>0</v>
      </c>
      <c r="G1285" s="551">
        <v>0</v>
      </c>
      <c r="H1285" s="551">
        <v>17</v>
      </c>
      <c r="I1285" s="551">
        <v>3</v>
      </c>
      <c r="J1285" s="551">
        <v>0</v>
      </c>
      <c r="K1285" s="527">
        <f t="shared" si="738"/>
        <v>0.0448313384113166</v>
      </c>
      <c r="L1285" s="528">
        <f t="shared" si="739"/>
        <v>1.45436893203884</v>
      </c>
      <c r="M1285" s="528">
        <f t="shared" si="740"/>
        <v>65.2013057671382</v>
      </c>
      <c r="N1285" s="528">
        <f t="shared" si="741"/>
        <v>0</v>
      </c>
      <c r="O1285" s="528">
        <f t="shared" si="742"/>
        <v>0</v>
      </c>
      <c r="P1285" s="529">
        <f t="shared" si="743"/>
        <v>14.98</v>
      </c>
      <c r="Q1285" s="24">
        <f t="shared" si="744"/>
        <v>20</v>
      </c>
      <c r="R1285" s="530">
        <f t="shared" si="745"/>
        <v>0.0970873786407767</v>
      </c>
    </row>
    <row r="1286" spans="1:18">
      <c r="A1286" s="524"/>
      <c r="B1286" s="540" t="s">
        <v>99</v>
      </c>
      <c r="C1286" s="551">
        <v>0</v>
      </c>
      <c r="D1286" s="551">
        <v>0</v>
      </c>
      <c r="E1286" s="551">
        <v>0</v>
      </c>
      <c r="F1286" s="551">
        <v>0</v>
      </c>
      <c r="G1286" s="551">
        <v>0</v>
      </c>
      <c r="H1286" s="551">
        <v>0</v>
      </c>
      <c r="I1286" s="551">
        <v>0</v>
      </c>
      <c r="J1286" s="551">
        <v>0</v>
      </c>
      <c r="K1286" s="527">
        <f t="shared" si="738"/>
        <v>0</v>
      </c>
      <c r="L1286" s="528">
        <f t="shared" si="739"/>
        <v>0</v>
      </c>
      <c r="M1286" s="528">
        <f t="shared" si="740"/>
        <v>0</v>
      </c>
      <c r="N1286" s="528">
        <f t="shared" si="741"/>
        <v>0</v>
      </c>
      <c r="O1286" s="528">
        <f t="shared" si="742"/>
        <v>0</v>
      </c>
      <c r="P1286" s="529">
        <f t="shared" si="743"/>
        <v>0</v>
      </c>
      <c r="Q1286" s="24">
        <f t="shared" si="744"/>
        <v>0</v>
      </c>
      <c r="R1286" s="530">
        <f t="shared" si="745"/>
        <v>0</v>
      </c>
    </row>
    <row r="1287" spans="1:18">
      <c r="A1287" s="524"/>
      <c r="B1287" s="540" t="s">
        <v>100</v>
      </c>
      <c r="C1287" s="552">
        <v>247.76</v>
      </c>
      <c r="D1287" s="551">
        <v>64368</v>
      </c>
      <c r="E1287" s="551">
        <v>522</v>
      </c>
      <c r="F1287" s="551">
        <v>2</v>
      </c>
      <c r="G1287" s="551">
        <v>17108</v>
      </c>
      <c r="H1287" s="551">
        <v>24</v>
      </c>
      <c r="I1287" s="551">
        <v>4</v>
      </c>
      <c r="J1287" s="551">
        <v>2</v>
      </c>
      <c r="K1287" s="527">
        <f t="shared" si="738"/>
        <v>0.00810961968680089</v>
      </c>
      <c r="L1287" s="528">
        <f t="shared" si="739"/>
        <v>0.47463601532567</v>
      </c>
      <c r="M1287" s="528">
        <f t="shared" si="740"/>
        <v>3.84911757394979</v>
      </c>
      <c r="N1287" s="528">
        <f t="shared" si="741"/>
        <v>69.0506942202131</v>
      </c>
      <c r="O1287" s="528">
        <f t="shared" si="742"/>
        <v>0.00383141762452107</v>
      </c>
      <c r="P1287" s="529">
        <f t="shared" si="743"/>
        <v>8.84857142857143</v>
      </c>
      <c r="Q1287" s="24">
        <f t="shared" si="744"/>
        <v>28</v>
      </c>
      <c r="R1287" s="530">
        <f t="shared" si="745"/>
        <v>0.053639846743295</v>
      </c>
    </row>
    <row r="1288" spans="1:18">
      <c r="A1288" s="524"/>
      <c r="B1288" s="540" t="s">
        <v>101</v>
      </c>
      <c r="C1288" s="551">
        <v>0</v>
      </c>
      <c r="D1288" s="551">
        <v>0</v>
      </c>
      <c r="E1288" s="551">
        <v>0</v>
      </c>
      <c r="F1288" s="551">
        <v>0</v>
      </c>
      <c r="G1288" s="551">
        <v>0</v>
      </c>
      <c r="H1288" s="551">
        <v>0</v>
      </c>
      <c r="I1288" s="551">
        <v>0</v>
      </c>
      <c r="J1288" s="551">
        <v>0</v>
      </c>
      <c r="K1288" s="527">
        <f t="shared" si="738"/>
        <v>0</v>
      </c>
      <c r="L1288" s="528">
        <f t="shared" si="739"/>
        <v>0</v>
      </c>
      <c r="M1288" s="528">
        <f t="shared" si="740"/>
        <v>0</v>
      </c>
      <c r="N1288" s="528">
        <f t="shared" si="741"/>
        <v>0</v>
      </c>
      <c r="O1288" s="528">
        <f t="shared" si="742"/>
        <v>0</v>
      </c>
      <c r="P1288" s="529">
        <f t="shared" si="743"/>
        <v>0</v>
      </c>
      <c r="Q1288" s="24">
        <f t="shared" si="744"/>
        <v>0</v>
      </c>
      <c r="R1288" s="530">
        <f t="shared" si="745"/>
        <v>0</v>
      </c>
    </row>
    <row r="1289" spans="1:18">
      <c r="A1289" s="524"/>
      <c r="B1289" s="531" t="s">
        <v>96</v>
      </c>
      <c r="C1289" s="533">
        <f t="shared" ref="C1289:J1289" si="749">SUM(C1285:C1288)</f>
        <v>547.36</v>
      </c>
      <c r="D1289" s="533">
        <f t="shared" si="749"/>
        <v>68963</v>
      </c>
      <c r="E1289" s="533">
        <f t="shared" si="749"/>
        <v>728</v>
      </c>
      <c r="F1289" s="533">
        <f t="shared" si="749"/>
        <v>2</v>
      </c>
      <c r="G1289" s="533">
        <f t="shared" si="749"/>
        <v>17108</v>
      </c>
      <c r="H1289" s="533">
        <f t="shared" si="749"/>
        <v>41</v>
      </c>
      <c r="I1289" s="533">
        <f t="shared" si="749"/>
        <v>7</v>
      </c>
      <c r="J1289" s="533">
        <f t="shared" si="749"/>
        <v>2</v>
      </c>
      <c r="K1289" s="534">
        <f t="shared" si="738"/>
        <v>0.0105563853080637</v>
      </c>
      <c r="L1289" s="535">
        <f t="shared" si="739"/>
        <v>0.751868131868132</v>
      </c>
      <c r="M1289" s="535">
        <f t="shared" si="740"/>
        <v>7.93700970085408</v>
      </c>
      <c r="N1289" s="535">
        <f t="shared" si="741"/>
        <v>31.2554808535516</v>
      </c>
      <c r="O1289" s="535">
        <f t="shared" si="742"/>
        <v>0.00274725274725275</v>
      </c>
      <c r="P1289" s="536">
        <f t="shared" si="743"/>
        <v>11.4033333333333</v>
      </c>
      <c r="Q1289" s="531">
        <f t="shared" si="744"/>
        <v>48</v>
      </c>
      <c r="R1289" s="537">
        <f t="shared" si="745"/>
        <v>0.0659340659340659</v>
      </c>
    </row>
    <row r="1290" spans="1:18">
      <c r="A1290" s="524">
        <v>45708</v>
      </c>
      <c r="B1290" s="540" t="s">
        <v>98</v>
      </c>
      <c r="C1290" s="551">
        <v>299.83</v>
      </c>
      <c r="D1290" s="553">
        <v>5311</v>
      </c>
      <c r="E1290" s="551">
        <v>221</v>
      </c>
      <c r="F1290" s="551">
        <v>0</v>
      </c>
      <c r="G1290" s="551">
        <v>0</v>
      </c>
      <c r="H1290" s="551">
        <v>4</v>
      </c>
      <c r="I1290" s="551">
        <v>1</v>
      </c>
      <c r="J1290" s="551">
        <v>5</v>
      </c>
      <c r="K1290" s="527">
        <f t="shared" si="738"/>
        <v>0.0416117491997741</v>
      </c>
      <c r="L1290" s="528">
        <f t="shared" si="739"/>
        <v>1.35669683257919</v>
      </c>
      <c r="M1290" s="528">
        <f t="shared" si="740"/>
        <v>56.4545283374129</v>
      </c>
      <c r="N1290" s="528">
        <f t="shared" si="741"/>
        <v>0</v>
      </c>
      <c r="O1290" s="528">
        <f t="shared" si="742"/>
        <v>0</v>
      </c>
      <c r="P1290" s="529">
        <f t="shared" si="743"/>
        <v>59.966</v>
      </c>
      <c r="Q1290" s="24">
        <f t="shared" si="744"/>
        <v>5</v>
      </c>
      <c r="R1290" s="530">
        <f t="shared" si="745"/>
        <v>0.0226244343891403</v>
      </c>
    </row>
    <row r="1291" spans="1:18">
      <c r="A1291" s="524"/>
      <c r="B1291" s="540" t="s">
        <v>99</v>
      </c>
      <c r="C1291" s="551">
        <v>0</v>
      </c>
      <c r="D1291" s="551">
        <v>0</v>
      </c>
      <c r="E1291" s="551">
        <v>0</v>
      </c>
      <c r="F1291" s="551">
        <v>0</v>
      </c>
      <c r="G1291" s="551">
        <v>0</v>
      </c>
      <c r="H1291" s="551">
        <v>0</v>
      </c>
      <c r="I1291" s="551">
        <v>0</v>
      </c>
      <c r="J1291" s="551">
        <v>0</v>
      </c>
      <c r="K1291" s="527">
        <f t="shared" si="738"/>
        <v>0</v>
      </c>
      <c r="L1291" s="528">
        <f t="shared" si="739"/>
        <v>0</v>
      </c>
      <c r="M1291" s="528">
        <f t="shared" si="740"/>
        <v>0</v>
      </c>
      <c r="N1291" s="528">
        <f t="shared" si="741"/>
        <v>0</v>
      </c>
      <c r="O1291" s="528">
        <f t="shared" si="742"/>
        <v>0</v>
      </c>
      <c r="P1291" s="529">
        <f t="shared" si="743"/>
        <v>0</v>
      </c>
      <c r="Q1291" s="24">
        <f t="shared" si="744"/>
        <v>0</v>
      </c>
      <c r="R1291" s="530">
        <f t="shared" si="745"/>
        <v>0</v>
      </c>
    </row>
    <row r="1292" spans="1:18">
      <c r="A1292" s="524"/>
      <c r="B1292" s="540" t="s">
        <v>100</v>
      </c>
      <c r="C1292" s="552">
        <v>248.01</v>
      </c>
      <c r="D1292" s="551">
        <v>29510</v>
      </c>
      <c r="E1292" s="551">
        <v>495</v>
      </c>
      <c r="F1292" s="551">
        <v>0</v>
      </c>
      <c r="G1292" s="551">
        <v>0</v>
      </c>
      <c r="H1292" s="551">
        <v>22</v>
      </c>
      <c r="I1292" s="551">
        <v>4</v>
      </c>
      <c r="J1292" s="551">
        <v>3</v>
      </c>
      <c r="K1292" s="527">
        <f t="shared" si="738"/>
        <v>0.0167739749237547</v>
      </c>
      <c r="L1292" s="528">
        <f t="shared" si="739"/>
        <v>0.501030303030303</v>
      </c>
      <c r="M1292" s="528">
        <f t="shared" si="740"/>
        <v>8.4042697390715</v>
      </c>
      <c r="N1292" s="528">
        <f t="shared" si="741"/>
        <v>0</v>
      </c>
      <c r="O1292" s="528">
        <f t="shared" si="742"/>
        <v>0</v>
      </c>
      <c r="P1292" s="529">
        <f t="shared" si="743"/>
        <v>9.53884615384615</v>
      </c>
      <c r="Q1292" s="24">
        <f t="shared" si="744"/>
        <v>26</v>
      </c>
      <c r="R1292" s="530">
        <f t="shared" si="745"/>
        <v>0.0525252525252525</v>
      </c>
    </row>
    <row r="1293" spans="1:18">
      <c r="A1293" s="524"/>
      <c r="B1293" s="540" t="s">
        <v>101</v>
      </c>
      <c r="C1293" s="551">
        <v>0</v>
      </c>
      <c r="D1293" s="551">
        <v>0</v>
      </c>
      <c r="E1293" s="551">
        <v>0</v>
      </c>
      <c r="F1293" s="551">
        <v>0</v>
      </c>
      <c r="G1293" s="551">
        <v>0</v>
      </c>
      <c r="H1293" s="551">
        <v>0</v>
      </c>
      <c r="I1293" s="551">
        <v>0</v>
      </c>
      <c r="J1293" s="551">
        <v>0</v>
      </c>
      <c r="K1293" s="527">
        <f t="shared" si="738"/>
        <v>0</v>
      </c>
      <c r="L1293" s="528">
        <f t="shared" si="739"/>
        <v>0</v>
      </c>
      <c r="M1293" s="528">
        <f t="shared" si="740"/>
        <v>0</v>
      </c>
      <c r="N1293" s="528">
        <f t="shared" si="741"/>
        <v>0</v>
      </c>
      <c r="O1293" s="528">
        <f t="shared" si="742"/>
        <v>0</v>
      </c>
      <c r="P1293" s="529">
        <f t="shared" si="743"/>
        <v>0</v>
      </c>
      <c r="Q1293" s="24">
        <f t="shared" si="744"/>
        <v>0</v>
      </c>
      <c r="R1293" s="530">
        <f t="shared" si="745"/>
        <v>0</v>
      </c>
    </row>
    <row r="1294" spans="1:18">
      <c r="A1294" s="524"/>
      <c r="B1294" s="531" t="s">
        <v>96</v>
      </c>
      <c r="C1294" s="533">
        <f t="shared" ref="C1294:J1294" si="750">SUM(C1290:C1293)</f>
        <v>547.84</v>
      </c>
      <c r="D1294" s="533">
        <f t="shared" si="750"/>
        <v>34821</v>
      </c>
      <c r="E1294" s="533">
        <f t="shared" si="750"/>
        <v>716</v>
      </c>
      <c r="F1294" s="533">
        <f t="shared" si="750"/>
        <v>0</v>
      </c>
      <c r="G1294" s="533">
        <f t="shared" si="750"/>
        <v>0</v>
      </c>
      <c r="H1294" s="533">
        <f t="shared" si="750"/>
        <v>26</v>
      </c>
      <c r="I1294" s="533">
        <f t="shared" si="750"/>
        <v>5</v>
      </c>
      <c r="J1294" s="533">
        <f t="shared" si="750"/>
        <v>8</v>
      </c>
      <c r="K1294" s="534">
        <f t="shared" si="738"/>
        <v>0.0205623043565664</v>
      </c>
      <c r="L1294" s="535">
        <f t="shared" si="739"/>
        <v>0.765139664804469</v>
      </c>
      <c r="M1294" s="535">
        <f t="shared" si="740"/>
        <v>15.7330346629907</v>
      </c>
      <c r="N1294" s="535">
        <f t="shared" si="741"/>
        <v>0</v>
      </c>
      <c r="O1294" s="535">
        <f t="shared" si="742"/>
        <v>0</v>
      </c>
      <c r="P1294" s="536">
        <f t="shared" si="743"/>
        <v>17.6722580645161</v>
      </c>
      <c r="Q1294" s="531">
        <f t="shared" si="744"/>
        <v>31</v>
      </c>
      <c r="R1294" s="537">
        <f t="shared" si="745"/>
        <v>0.0432960893854749</v>
      </c>
    </row>
    <row r="1295" spans="1:18">
      <c r="A1295" s="524">
        <v>45709</v>
      </c>
      <c r="B1295" s="540" t="s">
        <v>98</v>
      </c>
      <c r="C1295" s="551">
        <v>300</v>
      </c>
      <c r="D1295" s="553">
        <v>5831</v>
      </c>
      <c r="E1295" s="551">
        <v>213</v>
      </c>
      <c r="F1295" s="551">
        <v>2</v>
      </c>
      <c r="G1295" s="551">
        <v>8862</v>
      </c>
      <c r="H1295" s="551">
        <v>15</v>
      </c>
      <c r="I1295" s="551">
        <v>0</v>
      </c>
      <c r="J1295" s="551">
        <v>6</v>
      </c>
      <c r="K1295" s="527">
        <f t="shared" si="738"/>
        <v>0.036528897273195</v>
      </c>
      <c r="L1295" s="528">
        <f t="shared" si="739"/>
        <v>1.40845070422535</v>
      </c>
      <c r="M1295" s="528">
        <f t="shared" si="740"/>
        <v>51.449151089007</v>
      </c>
      <c r="N1295" s="528">
        <f t="shared" si="741"/>
        <v>29.54</v>
      </c>
      <c r="O1295" s="528">
        <f t="shared" si="742"/>
        <v>0.00938967136150235</v>
      </c>
      <c r="P1295" s="529">
        <f t="shared" si="743"/>
        <v>20</v>
      </c>
      <c r="Q1295" s="24">
        <f t="shared" si="744"/>
        <v>15</v>
      </c>
      <c r="R1295" s="530">
        <f t="shared" si="745"/>
        <v>0.0704225352112676</v>
      </c>
    </row>
    <row r="1296" spans="1:18">
      <c r="A1296" s="524"/>
      <c r="B1296" s="540" t="s">
        <v>99</v>
      </c>
      <c r="C1296" s="551">
        <v>1000</v>
      </c>
      <c r="D1296" s="551">
        <v>20564</v>
      </c>
      <c r="E1296" s="551">
        <v>675</v>
      </c>
      <c r="F1296" s="551">
        <v>2</v>
      </c>
      <c r="G1296" s="551">
        <v>27282.88</v>
      </c>
      <c r="H1296" s="551">
        <v>24</v>
      </c>
      <c r="I1296" s="551">
        <v>3</v>
      </c>
      <c r="J1296" s="551">
        <v>2</v>
      </c>
      <c r="K1296" s="527">
        <f t="shared" si="738"/>
        <v>0.0328243532386695</v>
      </c>
      <c r="L1296" s="528">
        <f t="shared" si="739"/>
        <v>1.48148148148148</v>
      </c>
      <c r="M1296" s="528">
        <f t="shared" si="740"/>
        <v>48.6286714646956</v>
      </c>
      <c r="N1296" s="528">
        <f t="shared" si="741"/>
        <v>27.28288</v>
      </c>
      <c r="O1296" s="528">
        <f t="shared" si="742"/>
        <v>0.00296296296296296</v>
      </c>
      <c r="P1296" s="529">
        <f t="shared" si="743"/>
        <v>37.037037037037</v>
      </c>
      <c r="Q1296" s="24">
        <f t="shared" si="744"/>
        <v>27</v>
      </c>
      <c r="R1296" s="530">
        <f t="shared" si="745"/>
        <v>0.04</v>
      </c>
    </row>
    <row r="1297" spans="1:18">
      <c r="A1297" s="524"/>
      <c r="B1297" s="540" t="s">
        <v>100</v>
      </c>
      <c r="C1297" s="552">
        <v>348.23</v>
      </c>
      <c r="D1297" s="551">
        <v>84165</v>
      </c>
      <c r="E1297" s="551">
        <v>699</v>
      </c>
      <c r="F1297" s="551">
        <v>4</v>
      </c>
      <c r="G1297" s="552">
        <v>92483</v>
      </c>
      <c r="H1297" s="551">
        <v>36</v>
      </c>
      <c r="I1297" s="551">
        <v>12</v>
      </c>
      <c r="J1297" s="551">
        <v>1</v>
      </c>
      <c r="K1297" s="527">
        <f t="shared" si="738"/>
        <v>0.00830511495277134</v>
      </c>
      <c r="L1297" s="528">
        <f t="shared" si="739"/>
        <v>0.498183118741059</v>
      </c>
      <c r="M1297" s="528">
        <f t="shared" si="740"/>
        <v>4.13746806867463</v>
      </c>
      <c r="N1297" s="528">
        <f t="shared" si="741"/>
        <v>265.58021996956</v>
      </c>
      <c r="O1297" s="528">
        <f t="shared" si="742"/>
        <v>0.00572246065808298</v>
      </c>
      <c r="P1297" s="529">
        <f t="shared" si="743"/>
        <v>7.25479166666667</v>
      </c>
      <c r="Q1297" s="24">
        <f t="shared" si="744"/>
        <v>48</v>
      </c>
      <c r="R1297" s="530">
        <f t="shared" si="745"/>
        <v>0.0686695278969957</v>
      </c>
    </row>
    <row r="1298" spans="1:18">
      <c r="A1298" s="524"/>
      <c r="B1298" s="540" t="s">
        <v>101</v>
      </c>
      <c r="C1298" s="551">
        <v>0</v>
      </c>
      <c r="D1298" s="551">
        <v>0</v>
      </c>
      <c r="E1298" s="551">
        <v>0</v>
      </c>
      <c r="F1298" s="551">
        <v>0</v>
      </c>
      <c r="G1298" s="551">
        <v>0</v>
      </c>
      <c r="H1298" s="551">
        <v>0</v>
      </c>
      <c r="I1298" s="551">
        <v>0</v>
      </c>
      <c r="J1298" s="551">
        <v>0</v>
      </c>
      <c r="K1298" s="527">
        <f t="shared" si="738"/>
        <v>0</v>
      </c>
      <c r="L1298" s="528">
        <f t="shared" si="739"/>
        <v>0</v>
      </c>
      <c r="M1298" s="528">
        <f t="shared" si="740"/>
        <v>0</v>
      </c>
      <c r="N1298" s="528">
        <f t="shared" si="741"/>
        <v>0</v>
      </c>
      <c r="O1298" s="528">
        <f t="shared" si="742"/>
        <v>0</v>
      </c>
      <c r="P1298" s="529">
        <f t="shared" si="743"/>
        <v>0</v>
      </c>
      <c r="Q1298" s="24">
        <f t="shared" si="744"/>
        <v>0</v>
      </c>
      <c r="R1298" s="530">
        <f t="shared" si="745"/>
        <v>0</v>
      </c>
    </row>
    <row r="1299" spans="1:18">
      <c r="A1299" s="524"/>
      <c r="B1299" s="531" t="s">
        <v>96</v>
      </c>
      <c r="C1299" s="533">
        <f t="shared" ref="C1299:J1299" si="751">SUM(C1295:C1298)</f>
        <v>1648.23</v>
      </c>
      <c r="D1299" s="533">
        <f t="shared" si="751"/>
        <v>110560</v>
      </c>
      <c r="E1299" s="533">
        <f t="shared" si="751"/>
        <v>1587</v>
      </c>
      <c r="F1299" s="533">
        <f t="shared" si="751"/>
        <v>8</v>
      </c>
      <c r="G1299" s="533">
        <f t="shared" si="751"/>
        <v>128627.88</v>
      </c>
      <c r="H1299" s="533">
        <f t="shared" si="751"/>
        <v>75</v>
      </c>
      <c r="I1299" s="533">
        <f t="shared" si="751"/>
        <v>15</v>
      </c>
      <c r="J1299" s="533">
        <f t="shared" si="751"/>
        <v>9</v>
      </c>
      <c r="K1299" s="534">
        <f t="shared" si="738"/>
        <v>0.0143541968162084</v>
      </c>
      <c r="L1299" s="535">
        <f t="shared" si="739"/>
        <v>1.03858223062382</v>
      </c>
      <c r="M1299" s="535">
        <f t="shared" si="740"/>
        <v>14.908013748191</v>
      </c>
      <c r="N1299" s="535">
        <f t="shared" si="741"/>
        <v>78.0400065524836</v>
      </c>
      <c r="O1299" s="535">
        <f t="shared" si="742"/>
        <v>0.00504095778197858</v>
      </c>
      <c r="P1299" s="536">
        <f t="shared" si="743"/>
        <v>18.3136666666667</v>
      </c>
      <c r="Q1299" s="531">
        <f t="shared" si="744"/>
        <v>90</v>
      </c>
      <c r="R1299" s="537">
        <f t="shared" si="745"/>
        <v>0.056710775047259</v>
      </c>
    </row>
    <row r="1300" spans="1:18">
      <c r="A1300" s="524">
        <v>45710</v>
      </c>
      <c r="B1300" s="540" t="s">
        <v>98</v>
      </c>
      <c r="C1300" s="551">
        <v>298.35</v>
      </c>
      <c r="D1300" s="553">
        <v>6449</v>
      </c>
      <c r="E1300" s="551">
        <v>223</v>
      </c>
      <c r="F1300" s="551">
        <v>0</v>
      </c>
      <c r="G1300" s="551">
        <v>0</v>
      </c>
      <c r="H1300" s="551">
        <v>21</v>
      </c>
      <c r="I1300" s="551">
        <v>2</v>
      </c>
      <c r="J1300" s="551">
        <v>3</v>
      </c>
      <c r="K1300" s="527">
        <f t="shared" si="738"/>
        <v>0.0345790044968212</v>
      </c>
      <c r="L1300" s="528">
        <f t="shared" si="739"/>
        <v>1.33789237668161</v>
      </c>
      <c r="M1300" s="528">
        <f t="shared" si="740"/>
        <v>46.2629865095364</v>
      </c>
      <c r="N1300" s="528">
        <f t="shared" si="741"/>
        <v>0</v>
      </c>
      <c r="O1300" s="528">
        <f t="shared" si="742"/>
        <v>0</v>
      </c>
      <c r="P1300" s="529">
        <f t="shared" si="743"/>
        <v>12.9717391304348</v>
      </c>
      <c r="Q1300" s="24">
        <f t="shared" si="744"/>
        <v>23</v>
      </c>
      <c r="R1300" s="530">
        <f t="shared" si="745"/>
        <v>0.103139013452915</v>
      </c>
    </row>
    <row r="1301" spans="1:18">
      <c r="A1301" s="524"/>
      <c r="B1301" s="540" t="s">
        <v>99</v>
      </c>
      <c r="C1301" s="551">
        <v>0</v>
      </c>
      <c r="D1301" s="551">
        <v>0</v>
      </c>
      <c r="E1301" s="551">
        <v>0</v>
      </c>
      <c r="F1301" s="551">
        <v>0</v>
      </c>
      <c r="G1301" s="551">
        <v>0</v>
      </c>
      <c r="H1301" s="551">
        <v>0</v>
      </c>
      <c r="I1301" s="551">
        <v>0</v>
      </c>
      <c r="J1301" s="551">
        <v>0</v>
      </c>
      <c r="K1301" s="527">
        <f t="shared" si="738"/>
        <v>0</v>
      </c>
      <c r="L1301" s="528">
        <f t="shared" si="739"/>
        <v>0</v>
      </c>
      <c r="M1301" s="528">
        <f t="shared" si="740"/>
        <v>0</v>
      </c>
      <c r="N1301" s="528">
        <f t="shared" si="741"/>
        <v>0</v>
      </c>
      <c r="O1301" s="528">
        <f t="shared" si="742"/>
        <v>0</v>
      </c>
      <c r="P1301" s="529">
        <f t="shared" si="743"/>
        <v>0</v>
      </c>
      <c r="Q1301" s="24">
        <f t="shared" si="744"/>
        <v>0</v>
      </c>
      <c r="R1301" s="530">
        <f t="shared" si="745"/>
        <v>0</v>
      </c>
    </row>
    <row r="1302" spans="1:18">
      <c r="A1302" s="524"/>
      <c r="B1302" s="540" t="s">
        <v>100</v>
      </c>
      <c r="C1302" s="552">
        <v>349.78</v>
      </c>
      <c r="D1302" s="551">
        <v>35509</v>
      </c>
      <c r="E1302" s="551">
        <v>430</v>
      </c>
      <c r="F1302" s="551">
        <v>0</v>
      </c>
      <c r="G1302" s="551">
        <v>0</v>
      </c>
      <c r="H1302" s="551">
        <v>29</v>
      </c>
      <c r="I1302" s="551">
        <v>14</v>
      </c>
      <c r="J1302" s="551">
        <v>0</v>
      </c>
      <c r="K1302" s="527">
        <f t="shared" si="738"/>
        <v>0.0121096060153764</v>
      </c>
      <c r="L1302" s="528">
        <f t="shared" si="739"/>
        <v>0.813441860465116</v>
      </c>
      <c r="M1302" s="528">
        <f t="shared" si="740"/>
        <v>9.85046044664733</v>
      </c>
      <c r="N1302" s="528">
        <f t="shared" si="741"/>
        <v>0</v>
      </c>
      <c r="O1302" s="528">
        <f t="shared" si="742"/>
        <v>0</v>
      </c>
      <c r="P1302" s="529">
        <f t="shared" si="743"/>
        <v>8.13441860465116</v>
      </c>
      <c r="Q1302" s="24">
        <f t="shared" si="744"/>
        <v>43</v>
      </c>
      <c r="R1302" s="530">
        <f t="shared" si="745"/>
        <v>0.1</v>
      </c>
    </row>
    <row r="1303" spans="1:18">
      <c r="A1303" s="524"/>
      <c r="B1303" s="540" t="s">
        <v>101</v>
      </c>
      <c r="C1303" s="551">
        <v>0</v>
      </c>
      <c r="D1303" s="551">
        <v>0</v>
      </c>
      <c r="E1303" s="551">
        <v>0</v>
      </c>
      <c r="F1303" s="551">
        <v>0</v>
      </c>
      <c r="G1303" s="551">
        <v>0</v>
      </c>
      <c r="H1303" s="551">
        <v>0</v>
      </c>
      <c r="I1303" s="551">
        <v>0</v>
      </c>
      <c r="J1303" s="551">
        <v>0</v>
      </c>
      <c r="K1303" s="527">
        <f t="shared" si="738"/>
        <v>0</v>
      </c>
      <c r="L1303" s="528">
        <f t="shared" si="739"/>
        <v>0</v>
      </c>
      <c r="M1303" s="528">
        <f t="shared" si="740"/>
        <v>0</v>
      </c>
      <c r="N1303" s="528">
        <f t="shared" si="741"/>
        <v>0</v>
      </c>
      <c r="O1303" s="528">
        <f t="shared" si="742"/>
        <v>0</v>
      </c>
      <c r="P1303" s="529">
        <f t="shared" si="743"/>
        <v>0</v>
      </c>
      <c r="Q1303" s="24">
        <f t="shared" si="744"/>
        <v>0</v>
      </c>
      <c r="R1303" s="530">
        <f t="shared" si="745"/>
        <v>0</v>
      </c>
    </row>
    <row r="1304" spans="1:18">
      <c r="A1304" s="524"/>
      <c r="B1304" s="531" t="s">
        <v>96</v>
      </c>
      <c r="C1304" s="533">
        <f t="shared" ref="C1304:J1304" si="752">SUM(C1300:C1303)</f>
        <v>648.13</v>
      </c>
      <c r="D1304" s="533">
        <f t="shared" si="752"/>
        <v>41958</v>
      </c>
      <c r="E1304" s="533">
        <f t="shared" si="752"/>
        <v>653</v>
      </c>
      <c r="F1304" s="533">
        <f t="shared" si="752"/>
        <v>0</v>
      </c>
      <c r="G1304" s="533">
        <f t="shared" si="752"/>
        <v>0</v>
      </c>
      <c r="H1304" s="533">
        <f t="shared" si="752"/>
        <v>50</v>
      </c>
      <c r="I1304" s="533">
        <f t="shared" si="752"/>
        <v>16</v>
      </c>
      <c r="J1304" s="533">
        <f t="shared" si="752"/>
        <v>3</v>
      </c>
      <c r="K1304" s="534">
        <f t="shared" si="738"/>
        <v>0.0155631822298489</v>
      </c>
      <c r="L1304" s="535">
        <f t="shared" si="739"/>
        <v>0.992542113323124</v>
      </c>
      <c r="M1304" s="535">
        <f t="shared" si="740"/>
        <v>15.4471137804471</v>
      </c>
      <c r="N1304" s="535">
        <f t="shared" si="741"/>
        <v>0</v>
      </c>
      <c r="O1304" s="535">
        <f t="shared" si="742"/>
        <v>0</v>
      </c>
      <c r="P1304" s="536">
        <f t="shared" si="743"/>
        <v>9.82015151515152</v>
      </c>
      <c r="Q1304" s="531">
        <f t="shared" si="744"/>
        <v>66</v>
      </c>
      <c r="R1304" s="537">
        <f t="shared" si="745"/>
        <v>0.101071975497703</v>
      </c>
    </row>
    <row r="1305" spans="1:18">
      <c r="A1305" s="524">
        <v>45711</v>
      </c>
      <c r="B1305" s="540" t="s">
        <v>98</v>
      </c>
      <c r="C1305" s="551">
        <v>299.9</v>
      </c>
      <c r="D1305" s="553">
        <v>4868</v>
      </c>
      <c r="E1305" s="551">
        <v>230</v>
      </c>
      <c r="F1305" s="551">
        <v>0</v>
      </c>
      <c r="G1305" s="551">
        <v>0</v>
      </c>
      <c r="H1305" s="551">
        <v>13</v>
      </c>
      <c r="I1305" s="551">
        <v>1</v>
      </c>
      <c r="J1305" s="551">
        <v>2</v>
      </c>
      <c r="K1305" s="527">
        <f t="shared" si="738"/>
        <v>0.0472473294987675</v>
      </c>
      <c r="L1305" s="528">
        <f t="shared" si="739"/>
        <v>1.30391304347826</v>
      </c>
      <c r="M1305" s="528">
        <f t="shared" si="740"/>
        <v>61.6064092029581</v>
      </c>
      <c r="N1305" s="528">
        <f t="shared" si="741"/>
        <v>0</v>
      </c>
      <c r="O1305" s="528">
        <f t="shared" si="742"/>
        <v>0</v>
      </c>
      <c r="P1305" s="529">
        <f t="shared" si="743"/>
        <v>21.4214285714286</v>
      </c>
      <c r="Q1305" s="24">
        <f t="shared" si="744"/>
        <v>14</v>
      </c>
      <c r="R1305" s="530">
        <f t="shared" si="745"/>
        <v>0.0608695652173913</v>
      </c>
    </row>
    <row r="1306" spans="1:18">
      <c r="A1306" s="524"/>
      <c r="B1306" s="540" t="s">
        <v>99</v>
      </c>
      <c r="C1306" s="551">
        <v>0</v>
      </c>
      <c r="D1306" s="551">
        <v>0</v>
      </c>
      <c r="E1306" s="551">
        <v>0</v>
      </c>
      <c r="F1306" s="551">
        <v>0</v>
      </c>
      <c r="G1306" s="551">
        <v>0</v>
      </c>
      <c r="H1306" s="551">
        <v>0</v>
      </c>
      <c r="I1306" s="551">
        <v>0</v>
      </c>
      <c r="J1306" s="551">
        <v>0</v>
      </c>
      <c r="K1306" s="527">
        <f t="shared" si="738"/>
        <v>0</v>
      </c>
      <c r="L1306" s="528">
        <f t="shared" si="739"/>
        <v>0</v>
      </c>
      <c r="M1306" s="528">
        <f t="shared" si="740"/>
        <v>0</v>
      </c>
      <c r="N1306" s="528">
        <f t="shared" si="741"/>
        <v>0</v>
      </c>
      <c r="O1306" s="528">
        <f t="shared" si="742"/>
        <v>0</v>
      </c>
      <c r="P1306" s="529">
        <f t="shared" si="743"/>
        <v>0</v>
      </c>
      <c r="Q1306" s="24">
        <f t="shared" si="744"/>
        <v>0</v>
      </c>
      <c r="R1306" s="530">
        <f t="shared" si="745"/>
        <v>0</v>
      </c>
    </row>
    <row r="1307" spans="1:18">
      <c r="A1307" s="524"/>
      <c r="B1307" s="540" t="s">
        <v>100</v>
      </c>
      <c r="C1307" s="552">
        <v>350</v>
      </c>
      <c r="D1307" s="551">
        <v>42331</v>
      </c>
      <c r="E1307" s="551">
        <v>560</v>
      </c>
      <c r="F1307" s="551">
        <v>0</v>
      </c>
      <c r="G1307" s="551">
        <v>0</v>
      </c>
      <c r="H1307" s="551">
        <v>43</v>
      </c>
      <c r="I1307" s="551">
        <v>14</v>
      </c>
      <c r="J1307" s="551">
        <v>3</v>
      </c>
      <c r="K1307" s="527">
        <f t="shared" si="738"/>
        <v>0.0132290756183412</v>
      </c>
      <c r="L1307" s="528">
        <f t="shared" si="739"/>
        <v>0.625</v>
      </c>
      <c r="M1307" s="528">
        <f t="shared" si="740"/>
        <v>8.26817226146323</v>
      </c>
      <c r="N1307" s="528">
        <f t="shared" si="741"/>
        <v>0</v>
      </c>
      <c r="O1307" s="528">
        <f t="shared" si="742"/>
        <v>0</v>
      </c>
      <c r="P1307" s="529">
        <f t="shared" si="743"/>
        <v>6.14035087719298</v>
      </c>
      <c r="Q1307" s="24">
        <f t="shared" si="744"/>
        <v>57</v>
      </c>
      <c r="R1307" s="530">
        <f t="shared" si="745"/>
        <v>0.101785714285714</v>
      </c>
    </row>
    <row r="1308" spans="1:18">
      <c r="A1308" s="524"/>
      <c r="B1308" s="540" t="s">
        <v>101</v>
      </c>
      <c r="C1308" s="551">
        <v>0</v>
      </c>
      <c r="D1308" s="551">
        <v>0</v>
      </c>
      <c r="E1308" s="551">
        <v>0</v>
      </c>
      <c r="F1308" s="551">
        <v>0</v>
      </c>
      <c r="G1308" s="551">
        <v>0</v>
      </c>
      <c r="H1308" s="551">
        <v>0</v>
      </c>
      <c r="I1308" s="551">
        <v>0</v>
      </c>
      <c r="J1308" s="551">
        <v>0</v>
      </c>
      <c r="K1308" s="527">
        <f t="shared" si="738"/>
        <v>0</v>
      </c>
      <c r="L1308" s="528">
        <f t="shared" si="739"/>
        <v>0</v>
      </c>
      <c r="M1308" s="528">
        <f t="shared" si="740"/>
        <v>0</v>
      </c>
      <c r="N1308" s="528">
        <f t="shared" si="741"/>
        <v>0</v>
      </c>
      <c r="O1308" s="528">
        <f t="shared" si="742"/>
        <v>0</v>
      </c>
      <c r="P1308" s="529">
        <f t="shared" si="743"/>
        <v>0</v>
      </c>
      <c r="Q1308" s="24">
        <f t="shared" si="744"/>
        <v>0</v>
      </c>
      <c r="R1308" s="530">
        <f t="shared" si="745"/>
        <v>0</v>
      </c>
    </row>
    <row r="1309" spans="1:18">
      <c r="A1309" s="524"/>
      <c r="B1309" s="531" t="s">
        <v>96</v>
      </c>
      <c r="C1309" s="533">
        <f t="shared" ref="C1309:J1309" si="753">SUM(C1305:C1308)</f>
        <v>649.9</v>
      </c>
      <c r="D1309" s="533">
        <f t="shared" si="753"/>
        <v>47199</v>
      </c>
      <c r="E1309" s="533">
        <f t="shared" si="753"/>
        <v>790</v>
      </c>
      <c r="F1309" s="533">
        <f t="shared" si="753"/>
        <v>0</v>
      </c>
      <c r="G1309" s="533">
        <f t="shared" si="753"/>
        <v>0</v>
      </c>
      <c r="H1309" s="533">
        <f t="shared" si="753"/>
        <v>56</v>
      </c>
      <c r="I1309" s="533">
        <f t="shared" si="753"/>
        <v>15</v>
      </c>
      <c r="J1309" s="533">
        <f t="shared" si="753"/>
        <v>5</v>
      </c>
      <c r="K1309" s="534">
        <f t="shared" si="738"/>
        <v>0.0167376427466684</v>
      </c>
      <c r="L1309" s="535">
        <f t="shared" si="739"/>
        <v>0.822658227848101</v>
      </c>
      <c r="M1309" s="535">
        <f t="shared" si="740"/>
        <v>13.7693595203288</v>
      </c>
      <c r="N1309" s="535">
        <f t="shared" si="741"/>
        <v>0</v>
      </c>
      <c r="O1309" s="535">
        <f t="shared" si="742"/>
        <v>0</v>
      </c>
      <c r="P1309" s="536">
        <f t="shared" si="743"/>
        <v>9.15352112676056</v>
      </c>
      <c r="Q1309" s="531">
        <f t="shared" si="744"/>
        <v>71</v>
      </c>
      <c r="R1309" s="537">
        <f t="shared" si="745"/>
        <v>0.089873417721519</v>
      </c>
    </row>
    <row r="1310" spans="1:18">
      <c r="A1310" s="524">
        <v>45712</v>
      </c>
      <c r="B1310" s="540" t="s">
        <v>98</v>
      </c>
      <c r="C1310" s="551">
        <v>299.95</v>
      </c>
      <c r="D1310" s="553">
        <v>4532</v>
      </c>
      <c r="E1310" s="551">
        <v>147</v>
      </c>
      <c r="F1310" s="551">
        <v>0</v>
      </c>
      <c r="G1310" s="551">
        <v>0</v>
      </c>
      <c r="H1310" s="551">
        <v>10</v>
      </c>
      <c r="I1310" s="551">
        <v>2</v>
      </c>
      <c r="J1310" s="551">
        <v>1</v>
      </c>
      <c r="K1310" s="527">
        <f t="shared" si="738"/>
        <v>0.0324360105913504</v>
      </c>
      <c r="L1310" s="528">
        <f t="shared" si="739"/>
        <v>2.04047619047619</v>
      </c>
      <c r="M1310" s="528">
        <f t="shared" si="740"/>
        <v>66.184907325684</v>
      </c>
      <c r="N1310" s="528">
        <f t="shared" si="741"/>
        <v>0</v>
      </c>
      <c r="O1310" s="528">
        <f t="shared" si="742"/>
        <v>0</v>
      </c>
      <c r="P1310" s="529">
        <f t="shared" si="743"/>
        <v>24.9958333333333</v>
      </c>
      <c r="Q1310" s="24">
        <f t="shared" si="744"/>
        <v>12</v>
      </c>
      <c r="R1310" s="530">
        <f t="shared" si="745"/>
        <v>0.0816326530612245</v>
      </c>
    </row>
    <row r="1311" spans="1:18">
      <c r="A1311" s="524"/>
      <c r="B1311" s="540" t="s">
        <v>99</v>
      </c>
      <c r="C1311" s="551">
        <v>600</v>
      </c>
      <c r="D1311" s="551">
        <v>16728</v>
      </c>
      <c r="E1311" s="551">
        <v>325</v>
      </c>
      <c r="F1311" s="551">
        <v>0</v>
      </c>
      <c r="G1311" s="551">
        <v>0</v>
      </c>
      <c r="H1311" s="551">
        <v>12</v>
      </c>
      <c r="I1311" s="551">
        <v>1</v>
      </c>
      <c r="J1311" s="551">
        <v>2</v>
      </c>
      <c r="K1311" s="527">
        <f t="shared" si="738"/>
        <v>0.0194285031085605</v>
      </c>
      <c r="L1311" s="528">
        <f t="shared" si="739"/>
        <v>1.84615384615385</v>
      </c>
      <c r="M1311" s="528">
        <f t="shared" si="740"/>
        <v>35.8680057388809</v>
      </c>
      <c r="N1311" s="528">
        <f t="shared" si="741"/>
        <v>0</v>
      </c>
      <c r="O1311" s="528">
        <f t="shared" si="742"/>
        <v>0</v>
      </c>
      <c r="P1311" s="529">
        <f t="shared" si="743"/>
        <v>46.1538461538462</v>
      </c>
      <c r="Q1311" s="24">
        <f t="shared" si="744"/>
        <v>13</v>
      </c>
      <c r="R1311" s="530">
        <f t="shared" si="745"/>
        <v>0.04</v>
      </c>
    </row>
    <row r="1312" spans="1:18">
      <c r="A1312" s="524"/>
      <c r="B1312" s="540" t="s">
        <v>100</v>
      </c>
      <c r="C1312" s="552">
        <v>348.11</v>
      </c>
      <c r="D1312" s="551">
        <v>47758</v>
      </c>
      <c r="E1312" s="551">
        <v>575</v>
      </c>
      <c r="F1312" s="551">
        <v>0</v>
      </c>
      <c r="G1312" s="551">
        <v>0</v>
      </c>
      <c r="H1312" s="551">
        <v>31</v>
      </c>
      <c r="I1312" s="551">
        <v>13</v>
      </c>
      <c r="J1312" s="551">
        <v>3</v>
      </c>
      <c r="K1312" s="527">
        <f t="shared" si="738"/>
        <v>0.0120398676661502</v>
      </c>
      <c r="L1312" s="528">
        <f t="shared" si="739"/>
        <v>0.605408695652174</v>
      </c>
      <c r="M1312" s="528">
        <f t="shared" si="740"/>
        <v>7.28904057958876</v>
      </c>
      <c r="N1312" s="528">
        <f t="shared" si="741"/>
        <v>0</v>
      </c>
      <c r="O1312" s="528">
        <f t="shared" si="742"/>
        <v>0</v>
      </c>
      <c r="P1312" s="529">
        <f t="shared" si="743"/>
        <v>7.91159090909091</v>
      </c>
      <c r="Q1312" s="24">
        <f t="shared" si="744"/>
        <v>44</v>
      </c>
      <c r="R1312" s="530">
        <f t="shared" si="745"/>
        <v>0.0765217391304348</v>
      </c>
    </row>
    <row r="1313" spans="1:18">
      <c r="A1313" s="524"/>
      <c r="B1313" s="540" t="s">
        <v>101</v>
      </c>
      <c r="C1313" s="551">
        <v>0</v>
      </c>
      <c r="D1313" s="551">
        <v>0</v>
      </c>
      <c r="E1313" s="551">
        <v>0</v>
      </c>
      <c r="F1313" s="551">
        <v>0</v>
      </c>
      <c r="G1313" s="551">
        <v>0</v>
      </c>
      <c r="H1313" s="551">
        <v>0</v>
      </c>
      <c r="I1313" s="551">
        <v>0</v>
      </c>
      <c r="J1313" s="551">
        <v>0</v>
      </c>
      <c r="K1313" s="527">
        <f t="shared" si="738"/>
        <v>0</v>
      </c>
      <c r="L1313" s="528">
        <f t="shared" si="739"/>
        <v>0</v>
      </c>
      <c r="M1313" s="528">
        <f t="shared" si="740"/>
        <v>0</v>
      </c>
      <c r="N1313" s="528">
        <f t="shared" si="741"/>
        <v>0</v>
      </c>
      <c r="O1313" s="528">
        <f t="shared" si="742"/>
        <v>0</v>
      </c>
      <c r="P1313" s="529">
        <f t="shared" si="743"/>
        <v>0</v>
      </c>
      <c r="Q1313" s="24">
        <f t="shared" si="744"/>
        <v>0</v>
      </c>
      <c r="R1313" s="530">
        <f t="shared" si="745"/>
        <v>0</v>
      </c>
    </row>
    <row r="1314" spans="1:18">
      <c r="A1314" s="524"/>
      <c r="B1314" s="531" t="s">
        <v>96</v>
      </c>
      <c r="C1314" s="533">
        <f t="shared" ref="C1314:J1314" si="754">SUM(C1310:C1313)</f>
        <v>1248.06</v>
      </c>
      <c r="D1314" s="533">
        <f t="shared" si="754"/>
        <v>69018</v>
      </c>
      <c r="E1314" s="533">
        <f t="shared" si="754"/>
        <v>1047</v>
      </c>
      <c r="F1314" s="533">
        <f t="shared" si="754"/>
        <v>0</v>
      </c>
      <c r="G1314" s="533">
        <f t="shared" si="754"/>
        <v>0</v>
      </c>
      <c r="H1314" s="533">
        <f t="shared" si="754"/>
        <v>53</v>
      </c>
      <c r="I1314" s="533">
        <f t="shared" si="754"/>
        <v>16</v>
      </c>
      <c r="J1314" s="533">
        <f t="shared" si="754"/>
        <v>6</v>
      </c>
      <c r="K1314" s="534">
        <f t="shared" si="738"/>
        <v>0.0151699556637399</v>
      </c>
      <c r="L1314" s="535">
        <f t="shared" si="739"/>
        <v>1.19203438395415</v>
      </c>
      <c r="M1314" s="535">
        <f t="shared" si="740"/>
        <v>18.083108754238</v>
      </c>
      <c r="N1314" s="535">
        <f t="shared" si="741"/>
        <v>0</v>
      </c>
      <c r="O1314" s="535">
        <f t="shared" si="742"/>
        <v>0</v>
      </c>
      <c r="P1314" s="536">
        <f t="shared" si="743"/>
        <v>18.0878260869565</v>
      </c>
      <c r="Q1314" s="531">
        <f t="shared" si="744"/>
        <v>69</v>
      </c>
      <c r="R1314" s="537">
        <f t="shared" si="745"/>
        <v>0.0659025787965616</v>
      </c>
    </row>
    <row r="1315" spans="1:18">
      <c r="A1315" s="524">
        <v>45713</v>
      </c>
      <c r="B1315" s="540" t="s">
        <v>98</v>
      </c>
      <c r="C1315" s="551">
        <v>300</v>
      </c>
      <c r="D1315" s="553">
        <v>5199</v>
      </c>
      <c r="E1315" s="551">
        <v>175</v>
      </c>
      <c r="F1315" s="551">
        <v>0</v>
      </c>
      <c r="G1315" s="551">
        <v>0</v>
      </c>
      <c r="H1315" s="551">
        <v>4</v>
      </c>
      <c r="I1315" s="551">
        <v>0</v>
      </c>
      <c r="J1315" s="551">
        <v>0</v>
      </c>
      <c r="K1315" s="527">
        <f t="shared" si="738"/>
        <v>0.0336603192921716</v>
      </c>
      <c r="L1315" s="528">
        <f t="shared" si="739"/>
        <v>1.71428571428571</v>
      </c>
      <c r="M1315" s="528">
        <f t="shared" si="740"/>
        <v>57.7034045008656</v>
      </c>
      <c r="N1315" s="528">
        <f t="shared" si="741"/>
        <v>0</v>
      </c>
      <c r="O1315" s="528">
        <f t="shared" si="742"/>
        <v>0</v>
      </c>
      <c r="P1315" s="529">
        <f t="shared" si="743"/>
        <v>75</v>
      </c>
      <c r="Q1315" s="24">
        <f t="shared" si="744"/>
        <v>4</v>
      </c>
      <c r="R1315" s="530">
        <f t="shared" si="745"/>
        <v>0.0228571428571429</v>
      </c>
    </row>
    <row r="1316" spans="1:18">
      <c r="A1316" s="524"/>
      <c r="B1316" s="540" t="s">
        <v>99</v>
      </c>
      <c r="C1316" s="551">
        <v>0</v>
      </c>
      <c r="D1316" s="551">
        <v>0</v>
      </c>
      <c r="E1316" s="551">
        <v>0</v>
      </c>
      <c r="F1316" s="551">
        <v>0</v>
      </c>
      <c r="G1316" s="551">
        <v>0</v>
      </c>
      <c r="H1316" s="551">
        <v>0</v>
      </c>
      <c r="I1316" s="551">
        <v>0</v>
      </c>
      <c r="J1316" s="551">
        <v>0</v>
      </c>
      <c r="K1316" s="527">
        <f t="shared" si="738"/>
        <v>0</v>
      </c>
      <c r="L1316" s="528">
        <f t="shared" si="739"/>
        <v>0</v>
      </c>
      <c r="M1316" s="528">
        <f t="shared" si="740"/>
        <v>0</v>
      </c>
      <c r="N1316" s="528">
        <f t="shared" si="741"/>
        <v>0</v>
      </c>
      <c r="O1316" s="528">
        <f t="shared" si="742"/>
        <v>0</v>
      </c>
      <c r="P1316" s="529">
        <f t="shared" si="743"/>
        <v>0</v>
      </c>
      <c r="Q1316" s="24">
        <f t="shared" si="744"/>
        <v>0</v>
      </c>
      <c r="R1316" s="530">
        <f t="shared" si="745"/>
        <v>0</v>
      </c>
    </row>
    <row r="1317" spans="1:18">
      <c r="A1317" s="524"/>
      <c r="B1317" s="540" t="s">
        <v>100</v>
      </c>
      <c r="C1317" s="552">
        <v>344.9</v>
      </c>
      <c r="D1317" s="551">
        <v>86301</v>
      </c>
      <c r="E1317" s="551">
        <v>597</v>
      </c>
      <c r="F1317" s="551">
        <v>0</v>
      </c>
      <c r="G1317" s="551">
        <v>0</v>
      </c>
      <c r="H1317" s="551">
        <v>27</v>
      </c>
      <c r="I1317" s="551">
        <v>5</v>
      </c>
      <c r="J1317" s="551">
        <v>2</v>
      </c>
      <c r="K1317" s="527">
        <f t="shared" si="738"/>
        <v>0.00691764869468488</v>
      </c>
      <c r="L1317" s="528">
        <f t="shared" si="739"/>
        <v>0.577721943048576</v>
      </c>
      <c r="M1317" s="528">
        <f t="shared" si="740"/>
        <v>3.9964774452208</v>
      </c>
      <c r="N1317" s="528">
        <f t="shared" si="741"/>
        <v>0</v>
      </c>
      <c r="O1317" s="528">
        <f t="shared" si="742"/>
        <v>0</v>
      </c>
      <c r="P1317" s="529">
        <f t="shared" si="743"/>
        <v>10.778125</v>
      </c>
      <c r="Q1317" s="24">
        <f t="shared" si="744"/>
        <v>32</v>
      </c>
      <c r="R1317" s="530">
        <f t="shared" si="745"/>
        <v>0.0536013400335008</v>
      </c>
    </row>
    <row r="1318" spans="1:18">
      <c r="A1318" s="524"/>
      <c r="B1318" s="540" t="s">
        <v>101</v>
      </c>
      <c r="C1318" s="551">
        <v>0</v>
      </c>
      <c r="D1318" s="551">
        <v>0</v>
      </c>
      <c r="E1318" s="551">
        <v>0</v>
      </c>
      <c r="F1318" s="551">
        <v>0</v>
      </c>
      <c r="G1318" s="551">
        <v>0</v>
      </c>
      <c r="H1318" s="551">
        <v>0</v>
      </c>
      <c r="I1318" s="551">
        <v>0</v>
      </c>
      <c r="J1318" s="551">
        <v>0</v>
      </c>
      <c r="K1318" s="527">
        <f t="shared" si="738"/>
        <v>0</v>
      </c>
      <c r="L1318" s="528">
        <f t="shared" si="739"/>
        <v>0</v>
      </c>
      <c r="M1318" s="528">
        <f t="shared" si="740"/>
        <v>0</v>
      </c>
      <c r="N1318" s="528">
        <f t="shared" si="741"/>
        <v>0</v>
      </c>
      <c r="O1318" s="528">
        <f t="shared" si="742"/>
        <v>0</v>
      </c>
      <c r="P1318" s="529">
        <f t="shared" si="743"/>
        <v>0</v>
      </c>
      <c r="Q1318" s="24">
        <f t="shared" si="744"/>
        <v>0</v>
      </c>
      <c r="R1318" s="530">
        <f t="shared" si="745"/>
        <v>0</v>
      </c>
    </row>
    <row r="1319" spans="1:18">
      <c r="A1319" s="524"/>
      <c r="B1319" s="531" t="s">
        <v>96</v>
      </c>
      <c r="C1319" s="533">
        <f t="shared" ref="C1319:J1319" si="755">SUM(C1315:C1318)</f>
        <v>644.9</v>
      </c>
      <c r="D1319" s="533">
        <f t="shared" si="755"/>
        <v>91500</v>
      </c>
      <c r="E1319" s="533">
        <f t="shared" si="755"/>
        <v>772</v>
      </c>
      <c r="F1319" s="533">
        <f t="shared" si="755"/>
        <v>0</v>
      </c>
      <c r="G1319" s="533">
        <f t="shared" si="755"/>
        <v>0</v>
      </c>
      <c r="H1319" s="533">
        <f t="shared" si="755"/>
        <v>31</v>
      </c>
      <c r="I1319" s="533">
        <f t="shared" si="755"/>
        <v>5</v>
      </c>
      <c r="J1319" s="533">
        <f t="shared" si="755"/>
        <v>2</v>
      </c>
      <c r="K1319" s="534">
        <f t="shared" si="738"/>
        <v>0.00843715846994536</v>
      </c>
      <c r="L1319" s="535">
        <f t="shared" si="739"/>
        <v>0.835362694300518</v>
      </c>
      <c r="M1319" s="535">
        <f t="shared" si="740"/>
        <v>7.04808743169399</v>
      </c>
      <c r="N1319" s="535">
        <f t="shared" si="741"/>
        <v>0</v>
      </c>
      <c r="O1319" s="535">
        <f t="shared" si="742"/>
        <v>0</v>
      </c>
      <c r="P1319" s="536">
        <f t="shared" si="743"/>
        <v>17.9138888888889</v>
      </c>
      <c r="Q1319" s="531">
        <f t="shared" si="744"/>
        <v>36</v>
      </c>
      <c r="R1319" s="537">
        <f t="shared" si="745"/>
        <v>0.0466321243523316</v>
      </c>
    </row>
    <row r="1320" spans="1:18">
      <c r="A1320" s="524">
        <v>45714</v>
      </c>
      <c r="B1320" s="540" t="s">
        <v>98</v>
      </c>
      <c r="C1320" s="551">
        <v>491.81</v>
      </c>
      <c r="D1320" s="553">
        <v>8889</v>
      </c>
      <c r="E1320" s="551">
        <v>306</v>
      </c>
      <c r="F1320" s="551">
        <v>0</v>
      </c>
      <c r="G1320" s="551">
        <v>0</v>
      </c>
      <c r="H1320" s="551">
        <v>3</v>
      </c>
      <c r="I1320" s="551">
        <v>0</v>
      </c>
      <c r="J1320" s="551">
        <v>1</v>
      </c>
      <c r="K1320" s="527">
        <f t="shared" si="738"/>
        <v>0.0344245696928788</v>
      </c>
      <c r="L1320" s="528">
        <f t="shared" si="739"/>
        <v>1.60722222222222</v>
      </c>
      <c r="M1320" s="528">
        <f t="shared" si="740"/>
        <v>55.3279334008325</v>
      </c>
      <c r="N1320" s="528">
        <f t="shared" si="741"/>
        <v>0</v>
      </c>
      <c r="O1320" s="528">
        <f t="shared" si="742"/>
        <v>0</v>
      </c>
      <c r="P1320" s="529">
        <f t="shared" si="743"/>
        <v>163.936666666667</v>
      </c>
      <c r="Q1320" s="24">
        <f t="shared" si="744"/>
        <v>3</v>
      </c>
      <c r="R1320" s="530">
        <f t="shared" si="745"/>
        <v>0.00980392156862745</v>
      </c>
    </row>
    <row r="1321" spans="1:18">
      <c r="A1321" s="524"/>
      <c r="B1321" s="540" t="s">
        <v>99</v>
      </c>
      <c r="C1321" s="551">
        <v>0</v>
      </c>
      <c r="D1321" s="551">
        <v>0</v>
      </c>
      <c r="E1321" s="551">
        <v>0</v>
      </c>
      <c r="F1321" s="551">
        <v>0</v>
      </c>
      <c r="G1321" s="551">
        <v>0</v>
      </c>
      <c r="H1321" s="551">
        <v>0</v>
      </c>
      <c r="I1321" s="551">
        <v>0</v>
      </c>
      <c r="J1321" s="551">
        <v>0</v>
      </c>
      <c r="K1321" s="527">
        <f t="shared" si="738"/>
        <v>0</v>
      </c>
      <c r="L1321" s="528">
        <f t="shared" si="739"/>
        <v>0</v>
      </c>
      <c r="M1321" s="528">
        <f t="shared" si="740"/>
        <v>0</v>
      </c>
      <c r="N1321" s="528">
        <f t="shared" si="741"/>
        <v>0</v>
      </c>
      <c r="O1321" s="528">
        <f t="shared" si="742"/>
        <v>0</v>
      </c>
      <c r="P1321" s="529">
        <f t="shared" si="743"/>
        <v>0</v>
      </c>
      <c r="Q1321" s="24">
        <f t="shared" si="744"/>
        <v>0</v>
      </c>
      <c r="R1321" s="530">
        <f t="shared" si="745"/>
        <v>0</v>
      </c>
    </row>
    <row r="1322" spans="1:18">
      <c r="A1322" s="524"/>
      <c r="B1322" s="540" t="s">
        <v>100</v>
      </c>
      <c r="C1322" s="552">
        <v>698.19</v>
      </c>
      <c r="D1322" s="551">
        <v>60914</v>
      </c>
      <c r="E1322" s="551">
        <v>652</v>
      </c>
      <c r="F1322" s="551">
        <v>0</v>
      </c>
      <c r="G1322" s="551">
        <v>0</v>
      </c>
      <c r="H1322" s="551">
        <v>26</v>
      </c>
      <c r="I1322" s="551">
        <v>10</v>
      </c>
      <c r="J1322" s="551">
        <v>3</v>
      </c>
      <c r="K1322" s="527">
        <f t="shared" si="738"/>
        <v>0.0107036149325278</v>
      </c>
      <c r="L1322" s="528">
        <f t="shared" si="739"/>
        <v>1.07084355828221</v>
      </c>
      <c r="M1322" s="528">
        <f t="shared" si="740"/>
        <v>11.4618971008307</v>
      </c>
      <c r="N1322" s="528">
        <f t="shared" si="741"/>
        <v>0</v>
      </c>
      <c r="O1322" s="528">
        <f t="shared" si="742"/>
        <v>0</v>
      </c>
      <c r="P1322" s="529">
        <f t="shared" si="743"/>
        <v>19.3941666666667</v>
      </c>
      <c r="Q1322" s="24">
        <f t="shared" si="744"/>
        <v>36</v>
      </c>
      <c r="R1322" s="530">
        <f t="shared" si="745"/>
        <v>0.0552147239263804</v>
      </c>
    </row>
    <row r="1323" spans="1:18">
      <c r="A1323" s="524"/>
      <c r="B1323" s="540" t="s">
        <v>101</v>
      </c>
      <c r="C1323" s="551">
        <v>0</v>
      </c>
      <c r="D1323" s="551">
        <v>0</v>
      </c>
      <c r="E1323" s="551">
        <v>0</v>
      </c>
      <c r="F1323" s="551">
        <v>0</v>
      </c>
      <c r="G1323" s="551">
        <v>0</v>
      </c>
      <c r="H1323" s="551">
        <v>0</v>
      </c>
      <c r="I1323" s="551">
        <v>0</v>
      </c>
      <c r="J1323" s="551">
        <v>0</v>
      </c>
      <c r="K1323" s="527">
        <f t="shared" si="738"/>
        <v>0</v>
      </c>
      <c r="L1323" s="528">
        <f t="shared" si="739"/>
        <v>0</v>
      </c>
      <c r="M1323" s="528">
        <f t="shared" si="740"/>
        <v>0</v>
      </c>
      <c r="N1323" s="528">
        <f t="shared" si="741"/>
        <v>0</v>
      </c>
      <c r="O1323" s="528">
        <f t="shared" si="742"/>
        <v>0</v>
      </c>
      <c r="P1323" s="529">
        <f t="shared" si="743"/>
        <v>0</v>
      </c>
      <c r="Q1323" s="24">
        <f t="shared" si="744"/>
        <v>0</v>
      </c>
      <c r="R1323" s="530">
        <f t="shared" si="745"/>
        <v>0</v>
      </c>
    </row>
    <row r="1324" spans="1:18">
      <c r="A1324" s="524"/>
      <c r="B1324" s="531" t="s">
        <v>96</v>
      </c>
      <c r="C1324" s="533">
        <f t="shared" ref="C1324:J1324" si="756">SUM(C1320:C1323)</f>
        <v>1190</v>
      </c>
      <c r="D1324" s="533">
        <f t="shared" si="756"/>
        <v>69803</v>
      </c>
      <c r="E1324" s="533">
        <f t="shared" si="756"/>
        <v>958</v>
      </c>
      <c r="F1324" s="533">
        <f t="shared" si="756"/>
        <v>0</v>
      </c>
      <c r="G1324" s="533">
        <f t="shared" si="756"/>
        <v>0</v>
      </c>
      <c r="H1324" s="533">
        <f t="shared" si="756"/>
        <v>29</v>
      </c>
      <c r="I1324" s="533">
        <f t="shared" si="756"/>
        <v>10</v>
      </c>
      <c r="J1324" s="533">
        <f t="shared" si="756"/>
        <v>4</v>
      </c>
      <c r="K1324" s="534">
        <f t="shared" si="738"/>
        <v>0.0137243384954801</v>
      </c>
      <c r="L1324" s="535">
        <f t="shared" si="739"/>
        <v>1.24217118997912</v>
      </c>
      <c r="M1324" s="535">
        <f t="shared" si="740"/>
        <v>17.0479778806069</v>
      </c>
      <c r="N1324" s="535">
        <f t="shared" si="741"/>
        <v>0</v>
      </c>
      <c r="O1324" s="535">
        <f t="shared" si="742"/>
        <v>0</v>
      </c>
      <c r="P1324" s="536">
        <f t="shared" si="743"/>
        <v>30.5128205128205</v>
      </c>
      <c r="Q1324" s="531">
        <f t="shared" si="744"/>
        <v>39</v>
      </c>
      <c r="R1324" s="537">
        <f t="shared" si="745"/>
        <v>0.0407098121085595</v>
      </c>
    </row>
    <row r="1325" spans="1:18">
      <c r="A1325" s="524">
        <v>45715</v>
      </c>
      <c r="B1325" s="540" t="s">
        <v>98</v>
      </c>
      <c r="C1325" s="551">
        <v>495.12</v>
      </c>
      <c r="D1325" s="553">
        <v>6261</v>
      </c>
      <c r="E1325" s="551">
        <v>231</v>
      </c>
      <c r="F1325" s="551">
        <v>1</v>
      </c>
      <c r="G1325" s="551">
        <v>11332</v>
      </c>
      <c r="H1325" s="551">
        <v>9</v>
      </c>
      <c r="I1325" s="551">
        <v>3</v>
      </c>
      <c r="J1325" s="551">
        <v>2</v>
      </c>
      <c r="K1325" s="527">
        <f t="shared" si="738"/>
        <v>0.0368950646861524</v>
      </c>
      <c r="L1325" s="528">
        <f t="shared" si="739"/>
        <v>2.14337662337662</v>
      </c>
      <c r="M1325" s="528">
        <f t="shared" si="740"/>
        <v>79.0800191662674</v>
      </c>
      <c r="N1325" s="528">
        <f t="shared" si="741"/>
        <v>22.8873808369688</v>
      </c>
      <c r="O1325" s="528">
        <f t="shared" si="742"/>
        <v>0.00432900432900433</v>
      </c>
      <c r="P1325" s="529">
        <f t="shared" si="743"/>
        <v>41.26</v>
      </c>
      <c r="Q1325" s="24">
        <f t="shared" si="744"/>
        <v>12</v>
      </c>
      <c r="R1325" s="530">
        <f t="shared" si="745"/>
        <v>0.051948051948052</v>
      </c>
    </row>
    <row r="1326" spans="1:18">
      <c r="A1326" s="524"/>
      <c r="B1326" s="540" t="s">
        <v>99</v>
      </c>
      <c r="C1326" s="551">
        <v>0</v>
      </c>
      <c r="D1326" s="551">
        <v>0</v>
      </c>
      <c r="E1326" s="551">
        <v>0</v>
      </c>
      <c r="F1326" s="551">
        <v>0</v>
      </c>
      <c r="G1326" s="551">
        <v>0</v>
      </c>
      <c r="H1326" s="551">
        <v>0</v>
      </c>
      <c r="I1326" s="551">
        <v>0</v>
      </c>
      <c r="J1326" s="551">
        <v>0</v>
      </c>
      <c r="K1326" s="527">
        <f t="shared" si="738"/>
        <v>0</v>
      </c>
      <c r="L1326" s="528">
        <f t="shared" si="739"/>
        <v>0</v>
      </c>
      <c r="M1326" s="528">
        <f t="shared" si="740"/>
        <v>0</v>
      </c>
      <c r="N1326" s="528">
        <f t="shared" si="741"/>
        <v>0</v>
      </c>
      <c r="O1326" s="528">
        <f t="shared" si="742"/>
        <v>0</v>
      </c>
      <c r="P1326" s="529">
        <f t="shared" si="743"/>
        <v>0</v>
      </c>
      <c r="Q1326" s="24">
        <f t="shared" si="744"/>
        <v>0</v>
      </c>
      <c r="R1326" s="530">
        <f t="shared" si="745"/>
        <v>0</v>
      </c>
    </row>
    <row r="1327" spans="1:18">
      <c r="A1327" s="524"/>
      <c r="B1327" s="540" t="s">
        <v>100</v>
      </c>
      <c r="C1327" s="552">
        <v>689.54</v>
      </c>
      <c r="D1327" s="551">
        <v>128994</v>
      </c>
      <c r="E1327" s="551">
        <v>748</v>
      </c>
      <c r="F1327" s="551">
        <v>4</v>
      </c>
      <c r="G1327" s="551">
        <v>28476</v>
      </c>
      <c r="H1327" s="551">
        <v>21</v>
      </c>
      <c r="I1327" s="551">
        <v>12</v>
      </c>
      <c r="J1327" s="551">
        <v>3</v>
      </c>
      <c r="K1327" s="527">
        <f t="shared" si="738"/>
        <v>0.00579871932027846</v>
      </c>
      <c r="L1327" s="528">
        <f t="shared" si="739"/>
        <v>0.921844919786096</v>
      </c>
      <c r="M1327" s="528">
        <f t="shared" si="740"/>
        <v>5.34551994666419</v>
      </c>
      <c r="N1327" s="528">
        <f t="shared" si="741"/>
        <v>41.2970966151347</v>
      </c>
      <c r="O1327" s="528">
        <f t="shared" si="742"/>
        <v>0.0053475935828877</v>
      </c>
      <c r="P1327" s="529">
        <f t="shared" si="743"/>
        <v>20.8951515151515</v>
      </c>
      <c r="Q1327" s="24">
        <f t="shared" si="744"/>
        <v>33</v>
      </c>
      <c r="R1327" s="530">
        <f t="shared" si="745"/>
        <v>0.0441176470588235</v>
      </c>
    </row>
    <row r="1328" spans="1:18">
      <c r="A1328" s="524"/>
      <c r="B1328" s="540" t="s">
        <v>101</v>
      </c>
      <c r="C1328" s="551">
        <v>0</v>
      </c>
      <c r="D1328" s="551">
        <v>0</v>
      </c>
      <c r="E1328" s="551">
        <v>0</v>
      </c>
      <c r="F1328" s="551">
        <v>0</v>
      </c>
      <c r="G1328" s="551">
        <v>0</v>
      </c>
      <c r="H1328" s="551">
        <v>0</v>
      </c>
      <c r="I1328" s="551">
        <v>0</v>
      </c>
      <c r="J1328" s="551">
        <v>0</v>
      </c>
      <c r="K1328" s="527">
        <f t="shared" si="738"/>
        <v>0</v>
      </c>
      <c r="L1328" s="528">
        <f t="shared" si="739"/>
        <v>0</v>
      </c>
      <c r="M1328" s="528">
        <f t="shared" si="740"/>
        <v>0</v>
      </c>
      <c r="N1328" s="528">
        <f t="shared" si="741"/>
        <v>0</v>
      </c>
      <c r="O1328" s="528">
        <f t="shared" si="742"/>
        <v>0</v>
      </c>
      <c r="P1328" s="529">
        <f t="shared" si="743"/>
        <v>0</v>
      </c>
      <c r="Q1328" s="24">
        <f t="shared" si="744"/>
        <v>0</v>
      </c>
      <c r="R1328" s="530">
        <f t="shared" si="745"/>
        <v>0</v>
      </c>
    </row>
    <row r="1329" spans="1:18">
      <c r="A1329" s="524"/>
      <c r="B1329" s="531" t="s">
        <v>96</v>
      </c>
      <c r="C1329" s="533">
        <f t="shared" ref="C1329:J1329" si="757">SUM(C1325:C1328)</f>
        <v>1184.66</v>
      </c>
      <c r="D1329" s="533">
        <f t="shared" si="757"/>
        <v>135255</v>
      </c>
      <c r="E1329" s="533">
        <f t="shared" si="757"/>
        <v>979</v>
      </c>
      <c r="F1329" s="533">
        <f t="shared" si="757"/>
        <v>5</v>
      </c>
      <c r="G1329" s="533">
        <f t="shared" si="757"/>
        <v>39808</v>
      </c>
      <c r="H1329" s="533">
        <f t="shared" si="757"/>
        <v>30</v>
      </c>
      <c r="I1329" s="533">
        <f t="shared" si="757"/>
        <v>15</v>
      </c>
      <c r="J1329" s="533">
        <f t="shared" si="757"/>
        <v>5</v>
      </c>
      <c r="K1329" s="534">
        <f t="shared" si="738"/>
        <v>0.00723817973457543</v>
      </c>
      <c r="L1329" s="535">
        <f t="shared" si="739"/>
        <v>1.21007150153218</v>
      </c>
      <c r="M1329" s="535">
        <f t="shared" si="740"/>
        <v>8.75871501977746</v>
      </c>
      <c r="N1329" s="535">
        <f t="shared" si="741"/>
        <v>33.6028902807557</v>
      </c>
      <c r="O1329" s="535">
        <f t="shared" si="742"/>
        <v>0.00510725229826353</v>
      </c>
      <c r="P1329" s="536">
        <f t="shared" si="743"/>
        <v>26.3257777777778</v>
      </c>
      <c r="Q1329" s="531">
        <f t="shared" si="744"/>
        <v>45</v>
      </c>
      <c r="R1329" s="537">
        <f t="shared" si="745"/>
        <v>0.0459652706843718</v>
      </c>
    </row>
    <row r="1330" spans="1:18">
      <c r="A1330" s="524">
        <v>45716</v>
      </c>
      <c r="B1330" s="540" t="s">
        <v>98</v>
      </c>
      <c r="C1330" s="551">
        <v>600.2</v>
      </c>
      <c r="D1330" s="553">
        <v>5751</v>
      </c>
      <c r="E1330" s="551">
        <v>223</v>
      </c>
      <c r="F1330" s="551">
        <v>0</v>
      </c>
      <c r="G1330" s="551">
        <v>0</v>
      </c>
      <c r="H1330" s="551">
        <v>6</v>
      </c>
      <c r="I1330" s="551">
        <v>2</v>
      </c>
      <c r="J1330" s="551">
        <v>1</v>
      </c>
      <c r="K1330" s="527">
        <f t="shared" ref="K1330:K1334" si="758">IF(E1330=0,0,E1330/D1330)</f>
        <v>0.0387758650669449</v>
      </c>
      <c r="L1330" s="528">
        <f t="shared" ref="L1330:L1334" si="759">IF(C1330=0,0,C1330/E1330)</f>
        <v>2.6914798206278</v>
      </c>
      <c r="M1330" s="528">
        <f t="shared" ref="M1330:M1334" si="760">IF(D1330=0,0,C1330/D1330*1000)</f>
        <v>104.364458355069</v>
      </c>
      <c r="N1330" s="528">
        <f t="shared" ref="N1330:N1334" si="761">IF(G1330=0,0,G1330/C1330)</f>
        <v>0</v>
      </c>
      <c r="O1330" s="528">
        <f t="shared" ref="O1330:O1334" si="762">IF(F1330=0,0,F1330/E1330)</f>
        <v>0</v>
      </c>
      <c r="P1330" s="529">
        <f t="shared" ref="P1330:P1334" si="763">IF(H1330+I1330=0,0,C1330/(H1330+I1330))</f>
        <v>75.025</v>
      </c>
      <c r="Q1330" s="24">
        <f t="shared" ref="Q1330:Q1334" si="764">H1330+I1330</f>
        <v>8</v>
      </c>
      <c r="R1330" s="530">
        <f t="shared" ref="R1330:R1334" si="765">IF(Q1330=0,0,Q1330/E1330)</f>
        <v>0.0358744394618834</v>
      </c>
    </row>
    <row r="1331" spans="1:18">
      <c r="A1331" s="524"/>
      <c r="B1331" s="540" t="s">
        <v>99</v>
      </c>
      <c r="C1331" s="551">
        <v>600</v>
      </c>
      <c r="D1331" s="551">
        <v>0</v>
      </c>
      <c r="E1331" s="551">
        <v>0</v>
      </c>
      <c r="F1331" s="551">
        <v>0</v>
      </c>
      <c r="G1331" s="551">
        <v>0</v>
      </c>
      <c r="H1331" s="551">
        <v>4</v>
      </c>
      <c r="I1331" s="551">
        <v>0</v>
      </c>
      <c r="J1331" s="551">
        <v>2</v>
      </c>
      <c r="K1331" s="527">
        <f t="shared" si="758"/>
        <v>0</v>
      </c>
      <c r="L1331" s="528" t="e">
        <f t="shared" si="759"/>
        <v>#DIV/0!</v>
      </c>
      <c r="M1331" s="528">
        <f t="shared" si="760"/>
        <v>0</v>
      </c>
      <c r="N1331" s="528">
        <f t="shared" si="761"/>
        <v>0</v>
      </c>
      <c r="O1331" s="528">
        <f t="shared" si="762"/>
        <v>0</v>
      </c>
      <c r="P1331" s="529">
        <f t="shared" si="763"/>
        <v>150</v>
      </c>
      <c r="Q1331" s="24">
        <f t="shared" si="764"/>
        <v>4</v>
      </c>
      <c r="R1331" s="530" t="e">
        <f t="shared" si="765"/>
        <v>#DIV/0!</v>
      </c>
    </row>
    <row r="1332" spans="1:18">
      <c r="A1332" s="524"/>
      <c r="B1332" s="540" t="s">
        <v>100</v>
      </c>
      <c r="C1332" s="552">
        <v>695.59</v>
      </c>
      <c r="D1332" s="551">
        <v>86209</v>
      </c>
      <c r="E1332" s="551">
        <v>689</v>
      </c>
      <c r="F1332" s="551">
        <v>1</v>
      </c>
      <c r="G1332" s="551">
        <v>4798</v>
      </c>
      <c r="H1332" s="551">
        <v>29</v>
      </c>
      <c r="I1332" s="551">
        <v>6</v>
      </c>
      <c r="J1332" s="551">
        <v>2</v>
      </c>
      <c r="K1332" s="527">
        <f t="shared" si="758"/>
        <v>0.00799220499019824</v>
      </c>
      <c r="L1332" s="528">
        <f t="shared" si="759"/>
        <v>1.00956458635704</v>
      </c>
      <c r="M1332" s="528">
        <f t="shared" si="760"/>
        <v>8.06864712501015</v>
      </c>
      <c r="N1332" s="528">
        <f t="shared" si="761"/>
        <v>6.89774148564528</v>
      </c>
      <c r="O1332" s="528">
        <f t="shared" si="762"/>
        <v>0.00145137880986938</v>
      </c>
      <c r="P1332" s="529">
        <f t="shared" si="763"/>
        <v>19.874</v>
      </c>
      <c r="Q1332" s="24">
        <f t="shared" si="764"/>
        <v>35</v>
      </c>
      <c r="R1332" s="530">
        <f t="shared" si="765"/>
        <v>0.0507982583454282</v>
      </c>
    </row>
    <row r="1333" spans="1:18">
      <c r="A1333" s="524"/>
      <c r="B1333" s="540" t="s">
        <v>101</v>
      </c>
      <c r="C1333" s="551">
        <v>446.6</v>
      </c>
      <c r="D1333" s="551">
        <v>4452</v>
      </c>
      <c r="E1333" s="551">
        <v>161</v>
      </c>
      <c r="F1333" s="551">
        <v>3</v>
      </c>
      <c r="G1333" s="551">
        <v>27891</v>
      </c>
      <c r="H1333" s="551">
        <v>4</v>
      </c>
      <c r="I1333" s="551">
        <v>0</v>
      </c>
      <c r="J1333" s="551">
        <v>0</v>
      </c>
      <c r="K1333" s="527">
        <f t="shared" si="758"/>
        <v>0.0361635220125786</v>
      </c>
      <c r="L1333" s="528">
        <f t="shared" si="759"/>
        <v>2.77391304347826</v>
      </c>
      <c r="M1333" s="528">
        <f t="shared" si="760"/>
        <v>100.314465408805</v>
      </c>
      <c r="N1333" s="528">
        <f t="shared" si="761"/>
        <v>62.4518584863412</v>
      </c>
      <c r="O1333" s="528">
        <f t="shared" si="762"/>
        <v>0.0186335403726708</v>
      </c>
      <c r="P1333" s="529">
        <f t="shared" si="763"/>
        <v>111.65</v>
      </c>
      <c r="Q1333" s="24">
        <f t="shared" si="764"/>
        <v>4</v>
      </c>
      <c r="R1333" s="530">
        <f t="shared" si="765"/>
        <v>0.0248447204968944</v>
      </c>
    </row>
    <row r="1334" spans="1:18">
      <c r="A1334" s="524"/>
      <c r="B1334" s="531" t="s">
        <v>96</v>
      </c>
      <c r="C1334" s="533">
        <f t="shared" ref="C1334:J1334" si="766">SUM(C1330:C1333)</f>
        <v>2342.39</v>
      </c>
      <c r="D1334" s="533">
        <f t="shared" si="766"/>
        <v>96412</v>
      </c>
      <c r="E1334" s="533">
        <f t="shared" si="766"/>
        <v>1073</v>
      </c>
      <c r="F1334" s="533">
        <f t="shared" si="766"/>
        <v>4</v>
      </c>
      <c r="G1334" s="533">
        <f t="shared" si="766"/>
        <v>32689</v>
      </c>
      <c r="H1334" s="533">
        <f t="shared" si="766"/>
        <v>43</v>
      </c>
      <c r="I1334" s="533">
        <f t="shared" si="766"/>
        <v>8</v>
      </c>
      <c r="J1334" s="533">
        <f t="shared" si="766"/>
        <v>5</v>
      </c>
      <c r="K1334" s="534">
        <f t="shared" si="758"/>
        <v>0.0111293200016595</v>
      </c>
      <c r="L1334" s="535">
        <f t="shared" si="759"/>
        <v>2.18302889095993</v>
      </c>
      <c r="M1334" s="535">
        <f t="shared" si="760"/>
        <v>24.2956271003609</v>
      </c>
      <c r="N1334" s="535">
        <f t="shared" si="761"/>
        <v>13.9554045227311</v>
      </c>
      <c r="O1334" s="535">
        <f t="shared" si="762"/>
        <v>0.00372786579683131</v>
      </c>
      <c r="P1334" s="536">
        <f t="shared" si="763"/>
        <v>45.9292156862745</v>
      </c>
      <c r="Q1334" s="531">
        <f t="shared" si="764"/>
        <v>51</v>
      </c>
      <c r="R1334" s="537">
        <f t="shared" si="765"/>
        <v>0.0475302889095993</v>
      </c>
    </row>
    <row r="1335" spans="1:18">
      <c r="A1335" s="524">
        <v>45717</v>
      </c>
      <c r="B1335" s="540" t="s">
        <v>98</v>
      </c>
      <c r="C1335" s="551">
        <v>600</v>
      </c>
      <c r="D1335" s="553">
        <v>5060</v>
      </c>
      <c r="E1335" s="551">
        <v>216</v>
      </c>
      <c r="F1335" s="551">
        <v>0</v>
      </c>
      <c r="G1335" s="551">
        <v>0</v>
      </c>
      <c r="H1335" s="551">
        <v>14</v>
      </c>
      <c r="I1335" s="551">
        <v>1</v>
      </c>
      <c r="J1335" s="551">
        <v>0</v>
      </c>
      <c r="K1335" s="527">
        <f t="shared" ref="K1335:K1339" si="767">IF(E1335=0,0,E1335/D1335)</f>
        <v>0.0426877470355731</v>
      </c>
      <c r="L1335" s="528">
        <f t="shared" ref="L1335:L1339" si="768">IF(C1335=0,0,C1335/E1335)</f>
        <v>2.77777777777778</v>
      </c>
      <c r="M1335" s="528">
        <f t="shared" ref="M1335:M1339" si="769">IF(D1335=0,0,C1335/D1335*1000)</f>
        <v>118.577075098814</v>
      </c>
      <c r="N1335" s="528">
        <f t="shared" ref="N1335:N1339" si="770">IF(G1335=0,0,G1335/C1335)</f>
        <v>0</v>
      </c>
      <c r="O1335" s="528">
        <f t="shared" ref="O1335:O1339" si="771">IF(F1335=0,0,F1335/E1335)</f>
        <v>0</v>
      </c>
      <c r="P1335" s="529">
        <f t="shared" ref="P1335:P1339" si="772">IF(H1335+I1335=0,0,C1335/(H1335+I1335))</f>
        <v>40</v>
      </c>
      <c r="Q1335" s="24">
        <f t="shared" ref="Q1335:Q1339" si="773">H1335+I1335</f>
        <v>15</v>
      </c>
      <c r="R1335" s="530">
        <f t="shared" ref="R1335:R1339" si="774">IF(Q1335=0,0,Q1335/E1335)</f>
        <v>0.0694444444444444</v>
      </c>
    </row>
    <row r="1336" spans="1:18">
      <c r="A1336" s="524"/>
      <c r="B1336" s="540" t="s">
        <v>99</v>
      </c>
      <c r="C1336" s="551">
        <v>0</v>
      </c>
      <c r="D1336" s="551">
        <v>0</v>
      </c>
      <c r="E1336" s="551">
        <v>0</v>
      </c>
      <c r="F1336" s="551">
        <v>0</v>
      </c>
      <c r="G1336" s="551">
        <v>0</v>
      </c>
      <c r="H1336" s="551">
        <v>0</v>
      </c>
      <c r="I1336" s="551">
        <v>0</v>
      </c>
      <c r="J1336" s="551">
        <v>0</v>
      </c>
      <c r="K1336" s="527">
        <f t="shared" si="767"/>
        <v>0</v>
      </c>
      <c r="L1336" s="528">
        <f t="shared" si="768"/>
        <v>0</v>
      </c>
      <c r="M1336" s="528">
        <f t="shared" si="769"/>
        <v>0</v>
      </c>
      <c r="N1336" s="528">
        <f t="shared" si="770"/>
        <v>0</v>
      </c>
      <c r="O1336" s="528">
        <f t="shared" si="771"/>
        <v>0</v>
      </c>
      <c r="P1336" s="529">
        <f t="shared" si="772"/>
        <v>0</v>
      </c>
      <c r="Q1336" s="24">
        <f t="shared" si="773"/>
        <v>0</v>
      </c>
      <c r="R1336" s="530">
        <f t="shared" si="774"/>
        <v>0</v>
      </c>
    </row>
    <row r="1337" spans="1:18">
      <c r="A1337" s="524"/>
      <c r="B1337" s="540" t="s">
        <v>100</v>
      </c>
      <c r="C1337" s="552">
        <v>698.58</v>
      </c>
      <c r="D1337" s="551">
        <v>65388</v>
      </c>
      <c r="E1337" s="551">
        <v>565</v>
      </c>
      <c r="F1337" s="551">
        <v>0</v>
      </c>
      <c r="G1337" s="551">
        <v>0</v>
      </c>
      <c r="H1337" s="551">
        <v>22</v>
      </c>
      <c r="I1337" s="551">
        <v>6</v>
      </c>
      <c r="J1337" s="551">
        <v>1</v>
      </c>
      <c r="K1337" s="527">
        <f t="shared" si="767"/>
        <v>0.00864072918578332</v>
      </c>
      <c r="L1337" s="528">
        <f t="shared" si="768"/>
        <v>1.23642477876106</v>
      </c>
      <c r="M1337" s="528">
        <f t="shared" si="769"/>
        <v>10.6836116718664</v>
      </c>
      <c r="N1337" s="528">
        <f t="shared" si="770"/>
        <v>0</v>
      </c>
      <c r="O1337" s="528">
        <f t="shared" si="771"/>
        <v>0</v>
      </c>
      <c r="P1337" s="529">
        <f t="shared" si="772"/>
        <v>24.9492857142857</v>
      </c>
      <c r="Q1337" s="24">
        <f t="shared" si="773"/>
        <v>28</v>
      </c>
      <c r="R1337" s="530">
        <f t="shared" si="774"/>
        <v>0.0495575221238938</v>
      </c>
    </row>
    <row r="1338" spans="1:18">
      <c r="A1338" s="524"/>
      <c r="B1338" s="540" t="s">
        <v>101</v>
      </c>
      <c r="C1338" s="551">
        <v>300</v>
      </c>
      <c r="D1338" s="551">
        <v>3150</v>
      </c>
      <c r="E1338" s="551">
        <v>133</v>
      </c>
      <c r="F1338" s="551">
        <v>0</v>
      </c>
      <c r="G1338" s="551">
        <v>0</v>
      </c>
      <c r="H1338" s="551">
        <v>2</v>
      </c>
      <c r="I1338" s="551">
        <v>1</v>
      </c>
      <c r="J1338" s="551">
        <v>0</v>
      </c>
      <c r="K1338" s="527">
        <f t="shared" si="767"/>
        <v>0.0422222222222222</v>
      </c>
      <c r="L1338" s="528">
        <f t="shared" si="768"/>
        <v>2.25563909774436</v>
      </c>
      <c r="M1338" s="528">
        <f t="shared" si="769"/>
        <v>95.2380952380952</v>
      </c>
      <c r="N1338" s="528">
        <f t="shared" si="770"/>
        <v>0</v>
      </c>
      <c r="O1338" s="528">
        <f t="shared" si="771"/>
        <v>0</v>
      </c>
      <c r="P1338" s="529">
        <f t="shared" si="772"/>
        <v>100</v>
      </c>
      <c r="Q1338" s="24">
        <f t="shared" si="773"/>
        <v>3</v>
      </c>
      <c r="R1338" s="530">
        <f t="shared" si="774"/>
        <v>0.0225563909774436</v>
      </c>
    </row>
    <row r="1339" spans="1:18">
      <c r="A1339" s="524"/>
      <c r="B1339" s="531" t="s">
        <v>96</v>
      </c>
      <c r="C1339" s="533">
        <f t="shared" ref="C1339:J1339" si="775">SUM(C1335:C1338)</f>
        <v>1598.58</v>
      </c>
      <c r="D1339" s="533">
        <f t="shared" si="775"/>
        <v>73598</v>
      </c>
      <c r="E1339" s="533">
        <f t="shared" si="775"/>
        <v>914</v>
      </c>
      <c r="F1339" s="533">
        <f t="shared" si="775"/>
        <v>0</v>
      </c>
      <c r="G1339" s="533">
        <f t="shared" si="775"/>
        <v>0</v>
      </c>
      <c r="H1339" s="533">
        <f t="shared" si="775"/>
        <v>38</v>
      </c>
      <c r="I1339" s="533">
        <f t="shared" si="775"/>
        <v>8</v>
      </c>
      <c r="J1339" s="533">
        <f t="shared" si="775"/>
        <v>1</v>
      </c>
      <c r="K1339" s="534">
        <f t="shared" si="767"/>
        <v>0.0124188157286883</v>
      </c>
      <c r="L1339" s="535">
        <f t="shared" si="768"/>
        <v>1.74899343544858</v>
      </c>
      <c r="M1339" s="535">
        <f t="shared" si="769"/>
        <v>21.7204271855213</v>
      </c>
      <c r="N1339" s="535">
        <f t="shared" si="770"/>
        <v>0</v>
      </c>
      <c r="O1339" s="535">
        <f t="shared" si="771"/>
        <v>0</v>
      </c>
      <c r="P1339" s="536">
        <f t="shared" si="772"/>
        <v>34.7517391304348</v>
      </c>
      <c r="Q1339" s="531">
        <f t="shared" si="773"/>
        <v>46</v>
      </c>
      <c r="R1339" s="537">
        <f t="shared" si="774"/>
        <v>0.050328227571116</v>
      </c>
    </row>
    <row r="1340" spans="1:18">
      <c r="A1340" s="524">
        <v>45718</v>
      </c>
      <c r="B1340" s="540" t="s">
        <v>98</v>
      </c>
      <c r="C1340" s="551">
        <v>600</v>
      </c>
      <c r="D1340" s="553">
        <v>3924</v>
      </c>
      <c r="E1340" s="551">
        <v>191</v>
      </c>
      <c r="F1340" s="551">
        <v>0</v>
      </c>
      <c r="G1340" s="551">
        <v>0</v>
      </c>
      <c r="H1340" s="551">
        <v>20</v>
      </c>
      <c r="I1340" s="551">
        <v>3</v>
      </c>
      <c r="J1340" s="551">
        <v>2</v>
      </c>
      <c r="K1340" s="527">
        <f t="shared" ref="K1340:K1344" si="776">IF(E1340=0,0,E1340/D1340)</f>
        <v>0.0486748216106014</v>
      </c>
      <c r="L1340" s="528">
        <f t="shared" ref="L1340:L1344" si="777">IF(C1340=0,0,C1340/E1340)</f>
        <v>3.1413612565445</v>
      </c>
      <c r="M1340" s="528">
        <f t="shared" ref="M1340:M1344" si="778">IF(D1340=0,0,C1340/D1340*1000)</f>
        <v>152.905198776758</v>
      </c>
      <c r="N1340" s="528">
        <f t="shared" ref="N1340:N1344" si="779">IF(G1340=0,0,G1340/C1340)</f>
        <v>0</v>
      </c>
      <c r="O1340" s="528">
        <f t="shared" ref="O1340:O1344" si="780">IF(F1340=0,0,F1340/E1340)</f>
        <v>0</v>
      </c>
      <c r="P1340" s="529">
        <f t="shared" ref="P1340:P1344" si="781">IF(H1340+I1340=0,0,C1340/(H1340+I1340))</f>
        <v>26.0869565217391</v>
      </c>
      <c r="Q1340" s="24">
        <f t="shared" ref="Q1340:Q1344" si="782">H1340+I1340</f>
        <v>23</v>
      </c>
      <c r="R1340" s="530">
        <f t="shared" ref="R1340:R1344" si="783">IF(Q1340=0,0,Q1340/E1340)</f>
        <v>0.120418848167539</v>
      </c>
    </row>
    <row r="1341" spans="1:18">
      <c r="A1341" s="524"/>
      <c r="B1341" s="540" t="s">
        <v>99</v>
      </c>
      <c r="C1341" s="551">
        <v>0</v>
      </c>
      <c r="D1341" s="551">
        <v>0</v>
      </c>
      <c r="E1341" s="551">
        <v>0</v>
      </c>
      <c r="F1341" s="551">
        <v>0</v>
      </c>
      <c r="G1341" s="551">
        <v>0</v>
      </c>
      <c r="H1341" s="551">
        <v>0</v>
      </c>
      <c r="I1341" s="551">
        <v>0</v>
      </c>
      <c r="J1341" s="551">
        <v>0</v>
      </c>
      <c r="K1341" s="527">
        <f t="shared" si="776"/>
        <v>0</v>
      </c>
      <c r="L1341" s="528">
        <f t="shared" si="777"/>
        <v>0</v>
      </c>
      <c r="M1341" s="528">
        <f t="shared" si="778"/>
        <v>0</v>
      </c>
      <c r="N1341" s="528">
        <f t="shared" si="779"/>
        <v>0</v>
      </c>
      <c r="O1341" s="528">
        <f t="shared" si="780"/>
        <v>0</v>
      </c>
      <c r="P1341" s="529">
        <f t="shared" si="781"/>
        <v>0</v>
      </c>
      <c r="Q1341" s="24">
        <f t="shared" si="782"/>
        <v>0</v>
      </c>
      <c r="R1341" s="530">
        <f t="shared" si="783"/>
        <v>0</v>
      </c>
    </row>
    <row r="1342" spans="1:18">
      <c r="A1342" s="524"/>
      <c r="B1342" s="540" t="s">
        <v>100</v>
      </c>
      <c r="C1342" s="552">
        <v>697.77</v>
      </c>
      <c r="D1342" s="551">
        <v>66203</v>
      </c>
      <c r="E1342" s="551">
        <v>726</v>
      </c>
      <c r="F1342" s="551">
        <v>1</v>
      </c>
      <c r="G1342" s="551">
        <v>8198</v>
      </c>
      <c r="H1342" s="551">
        <v>35</v>
      </c>
      <c r="I1342" s="551">
        <v>8</v>
      </c>
      <c r="J1342" s="551">
        <v>5</v>
      </c>
      <c r="K1342" s="527">
        <f t="shared" si="776"/>
        <v>0.0109662704107065</v>
      </c>
      <c r="L1342" s="528">
        <f t="shared" si="777"/>
        <v>0.961115702479339</v>
      </c>
      <c r="M1342" s="528">
        <f t="shared" si="778"/>
        <v>10.5398546893645</v>
      </c>
      <c r="N1342" s="528">
        <f t="shared" si="779"/>
        <v>11.7488570732476</v>
      </c>
      <c r="O1342" s="528">
        <f t="shared" si="780"/>
        <v>0.00137741046831956</v>
      </c>
      <c r="P1342" s="529">
        <f t="shared" si="781"/>
        <v>16.2272093023256</v>
      </c>
      <c r="Q1342" s="24">
        <f t="shared" si="782"/>
        <v>43</v>
      </c>
      <c r="R1342" s="530">
        <f t="shared" si="783"/>
        <v>0.059228650137741</v>
      </c>
    </row>
    <row r="1343" spans="1:18">
      <c r="A1343" s="524"/>
      <c r="B1343" s="540" t="s">
        <v>101</v>
      </c>
      <c r="C1343" s="551">
        <v>456.71</v>
      </c>
      <c r="D1343" s="551">
        <v>7440</v>
      </c>
      <c r="E1343" s="551">
        <v>350</v>
      </c>
      <c r="F1343" s="551">
        <v>4</v>
      </c>
      <c r="G1343" s="551">
        <v>24059</v>
      </c>
      <c r="H1343" s="551">
        <v>15</v>
      </c>
      <c r="I1343" s="551">
        <v>0</v>
      </c>
      <c r="J1343" s="551">
        <v>0</v>
      </c>
      <c r="K1343" s="527">
        <f t="shared" si="776"/>
        <v>0.0470430107526882</v>
      </c>
      <c r="L1343" s="528">
        <f t="shared" si="777"/>
        <v>1.30488571428571</v>
      </c>
      <c r="M1343" s="528">
        <f t="shared" si="778"/>
        <v>61.385752688172</v>
      </c>
      <c r="N1343" s="528">
        <f t="shared" si="779"/>
        <v>52.6789428740339</v>
      </c>
      <c r="O1343" s="528">
        <f t="shared" si="780"/>
        <v>0.0114285714285714</v>
      </c>
      <c r="P1343" s="529">
        <f t="shared" si="781"/>
        <v>30.4473333333333</v>
      </c>
      <c r="Q1343" s="24">
        <f t="shared" si="782"/>
        <v>15</v>
      </c>
      <c r="R1343" s="530">
        <f t="shared" si="783"/>
        <v>0.0428571428571429</v>
      </c>
    </row>
    <row r="1344" spans="1:18">
      <c r="A1344" s="524"/>
      <c r="B1344" s="531" t="s">
        <v>96</v>
      </c>
      <c r="C1344" s="533">
        <f t="shared" ref="C1344:J1344" si="784">SUM(C1340:C1343)</f>
        <v>1754.48</v>
      </c>
      <c r="D1344" s="533">
        <f t="shared" si="784"/>
        <v>77567</v>
      </c>
      <c r="E1344" s="533">
        <f t="shared" si="784"/>
        <v>1267</v>
      </c>
      <c r="F1344" s="533">
        <f t="shared" si="784"/>
        <v>5</v>
      </c>
      <c r="G1344" s="533">
        <f t="shared" si="784"/>
        <v>32257</v>
      </c>
      <c r="H1344" s="533">
        <f t="shared" si="784"/>
        <v>70</v>
      </c>
      <c r="I1344" s="533">
        <f t="shared" si="784"/>
        <v>11</v>
      </c>
      <c r="J1344" s="533">
        <f t="shared" si="784"/>
        <v>7</v>
      </c>
      <c r="K1344" s="534">
        <f t="shared" si="776"/>
        <v>0.0163342658604819</v>
      </c>
      <c r="L1344" s="535">
        <f t="shared" si="777"/>
        <v>1.38475138121547</v>
      </c>
      <c r="M1344" s="535">
        <f t="shared" si="778"/>
        <v>22.618897211443</v>
      </c>
      <c r="N1344" s="535">
        <f t="shared" si="779"/>
        <v>18.3855045369568</v>
      </c>
      <c r="O1344" s="535">
        <f t="shared" si="780"/>
        <v>0.00394632991318074</v>
      </c>
      <c r="P1344" s="536">
        <f t="shared" si="781"/>
        <v>21.6602469135802</v>
      </c>
      <c r="Q1344" s="531">
        <f t="shared" si="782"/>
        <v>81</v>
      </c>
      <c r="R1344" s="537">
        <f t="shared" si="783"/>
        <v>0.063930544593528</v>
      </c>
    </row>
    <row r="1345" spans="1:18">
      <c r="A1345" s="524">
        <v>45719</v>
      </c>
      <c r="B1345" s="540" t="s">
        <v>98</v>
      </c>
      <c r="C1345" s="551">
        <v>699.84</v>
      </c>
      <c r="D1345" s="553">
        <v>5751</v>
      </c>
      <c r="E1345" s="551">
        <v>280</v>
      </c>
      <c r="F1345" s="551">
        <v>0</v>
      </c>
      <c r="G1345" s="551">
        <v>0</v>
      </c>
      <c r="H1345" s="551">
        <v>13</v>
      </c>
      <c r="I1345" s="551">
        <v>3</v>
      </c>
      <c r="J1345" s="551">
        <v>4</v>
      </c>
      <c r="K1345" s="527">
        <f t="shared" ref="K1345:K1374" si="785">IF(E1345=0,0,E1345/D1345)</f>
        <v>0.0486871848374196</v>
      </c>
      <c r="L1345" s="528">
        <f t="shared" ref="L1345:L1374" si="786">IF(C1345=0,0,C1345/E1345)</f>
        <v>2.49942857142857</v>
      </c>
      <c r="M1345" s="528">
        <f t="shared" ref="M1345:M1374" si="787">IF(D1345=0,0,C1345/D1345*1000)</f>
        <v>121.69014084507</v>
      </c>
      <c r="N1345" s="528">
        <f t="shared" ref="N1345:N1374" si="788">IF(G1345=0,0,G1345/C1345)</f>
        <v>0</v>
      </c>
      <c r="O1345" s="528">
        <f t="shared" ref="O1345:O1374" si="789">IF(F1345=0,0,F1345/E1345)</f>
        <v>0</v>
      </c>
      <c r="P1345" s="529">
        <f t="shared" ref="P1345:P1374" si="790">IF(H1345+I1345=0,0,C1345/(H1345+I1345))</f>
        <v>43.74</v>
      </c>
      <c r="Q1345" s="24">
        <f t="shared" ref="Q1345:Q1374" si="791">H1345+I1345</f>
        <v>16</v>
      </c>
      <c r="R1345" s="530">
        <f t="shared" ref="R1345:R1374" si="792">IF(Q1345=0,0,Q1345/E1345)</f>
        <v>0.0571428571428571</v>
      </c>
    </row>
    <row r="1346" spans="1:18">
      <c r="A1346" s="524"/>
      <c r="B1346" s="540" t="s">
        <v>99</v>
      </c>
      <c r="C1346" s="551">
        <v>0</v>
      </c>
      <c r="D1346" s="551">
        <v>0</v>
      </c>
      <c r="E1346" s="551">
        <v>0</v>
      </c>
      <c r="F1346" s="551">
        <v>0</v>
      </c>
      <c r="G1346" s="551">
        <v>0</v>
      </c>
      <c r="H1346" s="551">
        <v>0</v>
      </c>
      <c r="I1346" s="551">
        <v>0</v>
      </c>
      <c r="J1346" s="551">
        <v>0</v>
      </c>
      <c r="K1346" s="527">
        <f t="shared" si="785"/>
        <v>0</v>
      </c>
      <c r="L1346" s="528">
        <f t="shared" si="786"/>
        <v>0</v>
      </c>
      <c r="M1346" s="528">
        <f t="shared" si="787"/>
        <v>0</v>
      </c>
      <c r="N1346" s="528">
        <f t="shared" si="788"/>
        <v>0</v>
      </c>
      <c r="O1346" s="528">
        <f t="shared" si="789"/>
        <v>0</v>
      </c>
      <c r="P1346" s="529">
        <f t="shared" si="790"/>
        <v>0</v>
      </c>
      <c r="Q1346" s="24">
        <f t="shared" si="791"/>
        <v>0</v>
      </c>
      <c r="R1346" s="530">
        <f t="shared" si="792"/>
        <v>0</v>
      </c>
    </row>
    <row r="1347" spans="1:18">
      <c r="A1347" s="524"/>
      <c r="B1347" s="540" t="s">
        <v>100</v>
      </c>
      <c r="C1347" s="552">
        <v>700</v>
      </c>
      <c r="D1347" s="551">
        <v>92862</v>
      </c>
      <c r="E1347" s="551">
        <v>625</v>
      </c>
      <c r="F1347" s="551">
        <v>0</v>
      </c>
      <c r="G1347" s="551">
        <v>0</v>
      </c>
      <c r="H1347" s="551">
        <v>42</v>
      </c>
      <c r="I1347" s="551">
        <v>6</v>
      </c>
      <c r="J1347" s="551">
        <v>2</v>
      </c>
      <c r="K1347" s="527">
        <f t="shared" si="785"/>
        <v>0.00673041717817837</v>
      </c>
      <c r="L1347" s="528">
        <f t="shared" si="786"/>
        <v>1.12</v>
      </c>
      <c r="M1347" s="528">
        <f t="shared" si="787"/>
        <v>7.53806723955978</v>
      </c>
      <c r="N1347" s="528">
        <f t="shared" si="788"/>
        <v>0</v>
      </c>
      <c r="O1347" s="528">
        <f t="shared" si="789"/>
        <v>0</v>
      </c>
      <c r="P1347" s="529">
        <f t="shared" si="790"/>
        <v>14.5833333333333</v>
      </c>
      <c r="Q1347" s="24">
        <f t="shared" si="791"/>
        <v>48</v>
      </c>
      <c r="R1347" s="530">
        <f t="shared" si="792"/>
        <v>0.0768</v>
      </c>
    </row>
    <row r="1348" spans="1:18">
      <c r="A1348" s="524"/>
      <c r="B1348" s="540" t="s">
        <v>101</v>
      </c>
      <c r="C1348" s="551">
        <v>493.87</v>
      </c>
      <c r="D1348" s="551">
        <v>12062</v>
      </c>
      <c r="E1348" s="551">
        <v>329</v>
      </c>
      <c r="F1348" s="551">
        <v>1</v>
      </c>
      <c r="G1348" s="551">
        <v>9297</v>
      </c>
      <c r="H1348" s="551">
        <v>15</v>
      </c>
      <c r="I1348" s="551">
        <v>3</v>
      </c>
      <c r="J1348" s="551">
        <v>0</v>
      </c>
      <c r="K1348" s="527">
        <f t="shared" si="785"/>
        <v>0.0272757419996684</v>
      </c>
      <c r="L1348" s="528">
        <f t="shared" si="786"/>
        <v>1.50112462006079</v>
      </c>
      <c r="M1348" s="528">
        <f t="shared" si="787"/>
        <v>40.9442878461283</v>
      </c>
      <c r="N1348" s="528">
        <f t="shared" si="788"/>
        <v>18.8247919492984</v>
      </c>
      <c r="O1348" s="528">
        <f t="shared" si="789"/>
        <v>0.00303951367781155</v>
      </c>
      <c r="P1348" s="529">
        <f t="shared" si="790"/>
        <v>27.4372222222222</v>
      </c>
      <c r="Q1348" s="24">
        <f t="shared" si="791"/>
        <v>18</v>
      </c>
      <c r="R1348" s="530">
        <f t="shared" si="792"/>
        <v>0.0547112462006079</v>
      </c>
    </row>
    <row r="1349" spans="1:18">
      <c r="A1349" s="524"/>
      <c r="B1349" s="531" t="s">
        <v>96</v>
      </c>
      <c r="C1349" s="533">
        <f t="shared" ref="C1349:J1349" si="793">SUM(C1345:C1348)</f>
        <v>1893.71</v>
      </c>
      <c r="D1349" s="533">
        <f t="shared" si="793"/>
        <v>110675</v>
      </c>
      <c r="E1349" s="533">
        <f t="shared" si="793"/>
        <v>1234</v>
      </c>
      <c r="F1349" s="533">
        <f t="shared" si="793"/>
        <v>1</v>
      </c>
      <c r="G1349" s="533">
        <f t="shared" si="793"/>
        <v>9297</v>
      </c>
      <c r="H1349" s="533">
        <f t="shared" si="793"/>
        <v>70</v>
      </c>
      <c r="I1349" s="533">
        <f t="shared" si="793"/>
        <v>12</v>
      </c>
      <c r="J1349" s="533">
        <f t="shared" si="793"/>
        <v>6</v>
      </c>
      <c r="K1349" s="534">
        <f t="shared" si="785"/>
        <v>0.0111497628190648</v>
      </c>
      <c r="L1349" s="535">
        <f t="shared" si="786"/>
        <v>1.53461102106969</v>
      </c>
      <c r="M1349" s="535">
        <f t="shared" si="787"/>
        <v>17.11054890445</v>
      </c>
      <c r="N1349" s="535">
        <f t="shared" si="788"/>
        <v>4.90941062781524</v>
      </c>
      <c r="O1349" s="535">
        <f t="shared" si="789"/>
        <v>0.000810372771474878</v>
      </c>
      <c r="P1349" s="536">
        <f t="shared" si="790"/>
        <v>23.0940243902439</v>
      </c>
      <c r="Q1349" s="531">
        <f t="shared" si="791"/>
        <v>82</v>
      </c>
      <c r="R1349" s="537">
        <f t="shared" si="792"/>
        <v>0.06645056726094</v>
      </c>
    </row>
    <row r="1350" spans="1:18">
      <c r="A1350" s="524">
        <v>45720</v>
      </c>
      <c r="B1350" s="540" t="s">
        <v>98</v>
      </c>
      <c r="C1350" s="551">
        <v>700</v>
      </c>
      <c r="D1350" s="553">
        <v>7446</v>
      </c>
      <c r="E1350" s="551">
        <v>261</v>
      </c>
      <c r="F1350" s="551">
        <v>3</v>
      </c>
      <c r="G1350" s="551">
        <v>33983</v>
      </c>
      <c r="H1350" s="551">
        <v>14</v>
      </c>
      <c r="I1350" s="551">
        <v>1</v>
      </c>
      <c r="J1350" s="551">
        <v>2</v>
      </c>
      <c r="K1350" s="527">
        <f t="shared" si="785"/>
        <v>0.0350523771152297</v>
      </c>
      <c r="L1350" s="528">
        <f t="shared" si="786"/>
        <v>2.68199233716475</v>
      </c>
      <c r="M1350" s="528">
        <f t="shared" si="787"/>
        <v>94.010206822455</v>
      </c>
      <c r="N1350" s="528">
        <f t="shared" si="788"/>
        <v>48.5471428571429</v>
      </c>
      <c r="O1350" s="528">
        <f t="shared" si="789"/>
        <v>0.0114942528735632</v>
      </c>
      <c r="P1350" s="529">
        <f t="shared" si="790"/>
        <v>46.6666666666667</v>
      </c>
      <c r="Q1350" s="24">
        <f t="shared" si="791"/>
        <v>15</v>
      </c>
      <c r="R1350" s="530">
        <f t="shared" si="792"/>
        <v>0.0574712643678161</v>
      </c>
    </row>
    <row r="1351" spans="1:18">
      <c r="A1351" s="524"/>
      <c r="B1351" s="540" t="s">
        <v>99</v>
      </c>
      <c r="C1351" s="551">
        <v>584.68</v>
      </c>
      <c r="D1351" s="551">
        <v>4472</v>
      </c>
      <c r="E1351" s="551">
        <v>477</v>
      </c>
      <c r="F1351" s="551">
        <v>1</v>
      </c>
      <c r="G1351" s="551">
        <v>9297</v>
      </c>
      <c r="H1351" s="551">
        <v>3</v>
      </c>
      <c r="I1351" s="551">
        <v>3</v>
      </c>
      <c r="J1351" s="551">
        <v>1</v>
      </c>
      <c r="K1351" s="527">
        <f t="shared" si="785"/>
        <v>0.106663685152057</v>
      </c>
      <c r="L1351" s="528">
        <f t="shared" si="786"/>
        <v>1.22574423480084</v>
      </c>
      <c r="M1351" s="528">
        <f t="shared" si="787"/>
        <v>130.742397137746</v>
      </c>
      <c r="N1351" s="528">
        <f t="shared" si="788"/>
        <v>15.9010056783198</v>
      </c>
      <c r="O1351" s="528">
        <f t="shared" si="789"/>
        <v>0.00209643605870021</v>
      </c>
      <c r="P1351" s="529">
        <f t="shared" si="790"/>
        <v>97.4466666666667</v>
      </c>
      <c r="Q1351" s="24">
        <f t="shared" si="791"/>
        <v>6</v>
      </c>
      <c r="R1351" s="530">
        <f t="shared" si="792"/>
        <v>0.0125786163522013</v>
      </c>
    </row>
    <row r="1352" spans="1:18">
      <c r="A1352" s="524"/>
      <c r="B1352" s="540" t="s">
        <v>100</v>
      </c>
      <c r="C1352" s="552">
        <v>693.42</v>
      </c>
      <c r="D1352" s="551">
        <v>103530</v>
      </c>
      <c r="E1352" s="551">
        <v>716</v>
      </c>
      <c r="F1352" s="551">
        <v>1</v>
      </c>
      <c r="G1352" s="551">
        <v>10443</v>
      </c>
      <c r="H1352" s="551">
        <v>38</v>
      </c>
      <c r="I1352" s="551">
        <v>6</v>
      </c>
      <c r="J1352" s="551">
        <v>2</v>
      </c>
      <c r="K1352" s="527">
        <f t="shared" si="785"/>
        <v>0.00691586979619434</v>
      </c>
      <c r="L1352" s="528">
        <f t="shared" si="786"/>
        <v>0.968463687150838</v>
      </c>
      <c r="M1352" s="528">
        <f t="shared" si="787"/>
        <v>6.69776876267748</v>
      </c>
      <c r="N1352" s="528">
        <f t="shared" si="788"/>
        <v>15.06013671368</v>
      </c>
      <c r="O1352" s="528">
        <f t="shared" si="789"/>
        <v>0.00139664804469274</v>
      </c>
      <c r="P1352" s="529">
        <f t="shared" si="790"/>
        <v>15.7595454545455</v>
      </c>
      <c r="Q1352" s="24">
        <f t="shared" si="791"/>
        <v>44</v>
      </c>
      <c r="R1352" s="530">
        <f t="shared" si="792"/>
        <v>0.0614525139664804</v>
      </c>
    </row>
    <row r="1353" spans="1:18">
      <c r="A1353" s="524"/>
      <c r="B1353" s="540" t="s">
        <v>101</v>
      </c>
      <c r="C1353" s="551">
        <v>500</v>
      </c>
      <c r="D1353" s="551">
        <v>12410</v>
      </c>
      <c r="E1353" s="551">
        <v>355</v>
      </c>
      <c r="F1353" s="551">
        <v>5</v>
      </c>
      <c r="G1353" s="551">
        <v>46426</v>
      </c>
      <c r="H1353" s="551">
        <v>19</v>
      </c>
      <c r="I1353" s="551">
        <v>3</v>
      </c>
      <c r="J1353" s="551">
        <v>2</v>
      </c>
      <c r="K1353" s="527">
        <f t="shared" si="785"/>
        <v>0.0286059629331185</v>
      </c>
      <c r="L1353" s="528">
        <f t="shared" si="786"/>
        <v>1.40845070422535</v>
      </c>
      <c r="M1353" s="528">
        <f t="shared" si="787"/>
        <v>40.290088638195</v>
      </c>
      <c r="N1353" s="528">
        <f t="shared" si="788"/>
        <v>92.852</v>
      </c>
      <c r="O1353" s="528">
        <f t="shared" si="789"/>
        <v>0.0140845070422535</v>
      </c>
      <c r="P1353" s="529">
        <f t="shared" si="790"/>
        <v>22.7272727272727</v>
      </c>
      <c r="Q1353" s="24">
        <f t="shared" si="791"/>
        <v>22</v>
      </c>
      <c r="R1353" s="530">
        <f t="shared" si="792"/>
        <v>0.0619718309859155</v>
      </c>
    </row>
    <row r="1354" spans="1:18">
      <c r="A1354" s="524"/>
      <c r="B1354" s="531" t="s">
        <v>96</v>
      </c>
      <c r="C1354" s="533">
        <f t="shared" ref="C1354:J1354" si="794">SUM(C1350:C1353)</f>
        <v>2478.1</v>
      </c>
      <c r="D1354" s="533">
        <f t="shared" si="794"/>
        <v>127858</v>
      </c>
      <c r="E1354" s="533">
        <f t="shared" si="794"/>
        <v>1809</v>
      </c>
      <c r="F1354" s="533">
        <f t="shared" si="794"/>
        <v>10</v>
      </c>
      <c r="G1354" s="533">
        <f t="shared" si="794"/>
        <v>100149</v>
      </c>
      <c r="H1354" s="533">
        <f t="shared" si="794"/>
        <v>74</v>
      </c>
      <c r="I1354" s="533">
        <f t="shared" si="794"/>
        <v>13</v>
      </c>
      <c r="J1354" s="533">
        <f t="shared" si="794"/>
        <v>7</v>
      </c>
      <c r="K1354" s="534">
        <f t="shared" si="785"/>
        <v>0.014148508501619</v>
      </c>
      <c r="L1354" s="535">
        <f t="shared" si="786"/>
        <v>1.36987285793256</v>
      </c>
      <c r="M1354" s="535">
        <f t="shared" si="787"/>
        <v>19.3816577765959</v>
      </c>
      <c r="N1354" s="535">
        <f t="shared" si="788"/>
        <v>40.4136233404625</v>
      </c>
      <c r="O1354" s="535">
        <f t="shared" si="789"/>
        <v>0.00552791597567717</v>
      </c>
      <c r="P1354" s="536">
        <f t="shared" si="790"/>
        <v>28.483908045977</v>
      </c>
      <c r="Q1354" s="531">
        <f t="shared" si="791"/>
        <v>87</v>
      </c>
      <c r="R1354" s="537">
        <f t="shared" si="792"/>
        <v>0.0480928689883914</v>
      </c>
    </row>
    <row r="1355" spans="1:18">
      <c r="A1355" s="524">
        <v>45721</v>
      </c>
      <c r="B1355" s="540" t="s">
        <v>98</v>
      </c>
      <c r="C1355" s="551">
        <v>700</v>
      </c>
      <c r="D1355" s="553">
        <v>7593</v>
      </c>
      <c r="E1355" s="551">
        <v>244</v>
      </c>
      <c r="F1355" s="551">
        <v>2</v>
      </c>
      <c r="G1355" s="551">
        <v>24452</v>
      </c>
      <c r="H1355" s="551">
        <v>11</v>
      </c>
      <c r="I1355" s="551">
        <v>2</v>
      </c>
      <c r="J1355" s="551">
        <v>2</v>
      </c>
      <c r="K1355" s="527">
        <f t="shared" si="785"/>
        <v>0.032134861056236</v>
      </c>
      <c r="L1355" s="528">
        <f t="shared" si="786"/>
        <v>2.86885245901639</v>
      </c>
      <c r="M1355" s="528">
        <f t="shared" si="787"/>
        <v>92.1901751613328</v>
      </c>
      <c r="N1355" s="528">
        <f t="shared" si="788"/>
        <v>34.9314285714286</v>
      </c>
      <c r="O1355" s="528">
        <f t="shared" si="789"/>
        <v>0.00819672131147541</v>
      </c>
      <c r="P1355" s="529">
        <f t="shared" si="790"/>
        <v>53.8461538461538</v>
      </c>
      <c r="Q1355" s="24">
        <f t="shared" si="791"/>
        <v>13</v>
      </c>
      <c r="R1355" s="530">
        <f t="shared" si="792"/>
        <v>0.0532786885245902</v>
      </c>
    </row>
    <row r="1356" spans="1:18">
      <c r="A1356" s="524"/>
      <c r="B1356" s="540" t="s">
        <v>99</v>
      </c>
      <c r="C1356" s="551">
        <v>600</v>
      </c>
      <c r="D1356" s="551">
        <v>5194</v>
      </c>
      <c r="E1356" s="551">
        <v>416</v>
      </c>
      <c r="F1356" s="551">
        <v>0</v>
      </c>
      <c r="G1356" s="551">
        <v>0</v>
      </c>
      <c r="H1356" s="551">
        <v>28</v>
      </c>
      <c r="I1356" s="551">
        <v>0</v>
      </c>
      <c r="J1356" s="551">
        <v>6</v>
      </c>
      <c r="K1356" s="527">
        <f t="shared" si="785"/>
        <v>0.0800924143242202</v>
      </c>
      <c r="L1356" s="528">
        <f t="shared" si="786"/>
        <v>1.44230769230769</v>
      </c>
      <c r="M1356" s="528">
        <f t="shared" si="787"/>
        <v>115.517905275318</v>
      </c>
      <c r="N1356" s="528">
        <f t="shared" si="788"/>
        <v>0</v>
      </c>
      <c r="O1356" s="528">
        <f t="shared" si="789"/>
        <v>0</v>
      </c>
      <c r="P1356" s="529">
        <f t="shared" si="790"/>
        <v>21.4285714285714</v>
      </c>
      <c r="Q1356" s="24">
        <f t="shared" si="791"/>
        <v>28</v>
      </c>
      <c r="R1356" s="530">
        <f t="shared" si="792"/>
        <v>0.0673076923076923</v>
      </c>
    </row>
    <row r="1357" spans="1:18">
      <c r="A1357" s="524"/>
      <c r="B1357" s="540" t="s">
        <v>100</v>
      </c>
      <c r="C1357" s="552">
        <v>494.03</v>
      </c>
      <c r="D1357" s="551">
        <v>61817</v>
      </c>
      <c r="E1357" s="551">
        <v>606</v>
      </c>
      <c r="F1357" s="551">
        <v>0</v>
      </c>
      <c r="G1357" s="551">
        <v>0</v>
      </c>
      <c r="H1357" s="551">
        <v>26</v>
      </c>
      <c r="I1357" s="551">
        <v>5</v>
      </c>
      <c r="J1357" s="551">
        <v>1</v>
      </c>
      <c r="K1357" s="527">
        <f t="shared" si="785"/>
        <v>0.00980312858922303</v>
      </c>
      <c r="L1357" s="528">
        <f t="shared" si="786"/>
        <v>0.81523102310231</v>
      </c>
      <c r="M1357" s="528">
        <f t="shared" si="787"/>
        <v>7.9918145493958</v>
      </c>
      <c r="N1357" s="528">
        <f t="shared" si="788"/>
        <v>0</v>
      </c>
      <c r="O1357" s="528">
        <f t="shared" si="789"/>
        <v>0</v>
      </c>
      <c r="P1357" s="529">
        <f t="shared" si="790"/>
        <v>15.9364516129032</v>
      </c>
      <c r="Q1357" s="24">
        <f t="shared" si="791"/>
        <v>31</v>
      </c>
      <c r="R1357" s="530">
        <f t="shared" si="792"/>
        <v>0.0511551155115512</v>
      </c>
    </row>
    <row r="1358" spans="1:18">
      <c r="A1358" s="524"/>
      <c r="B1358" s="540" t="s">
        <v>101</v>
      </c>
      <c r="C1358" s="551">
        <v>410.32</v>
      </c>
      <c r="D1358" s="551">
        <v>10297</v>
      </c>
      <c r="E1358" s="551">
        <v>242</v>
      </c>
      <c r="F1358" s="551">
        <v>1</v>
      </c>
      <c r="G1358" s="551">
        <v>7704</v>
      </c>
      <c r="H1358" s="551">
        <v>6</v>
      </c>
      <c r="I1358" s="551">
        <v>3</v>
      </c>
      <c r="J1358" s="551">
        <v>0</v>
      </c>
      <c r="K1358" s="527">
        <f t="shared" si="785"/>
        <v>0.0235019908711275</v>
      </c>
      <c r="L1358" s="528">
        <f t="shared" si="786"/>
        <v>1.69553719008264</v>
      </c>
      <c r="M1358" s="528">
        <f t="shared" si="787"/>
        <v>39.8484995629795</v>
      </c>
      <c r="N1358" s="528">
        <f t="shared" si="788"/>
        <v>18.7755897835835</v>
      </c>
      <c r="O1358" s="528">
        <f t="shared" si="789"/>
        <v>0.00413223140495868</v>
      </c>
      <c r="P1358" s="529">
        <f t="shared" si="790"/>
        <v>45.5911111111111</v>
      </c>
      <c r="Q1358" s="24">
        <f t="shared" si="791"/>
        <v>9</v>
      </c>
      <c r="R1358" s="530">
        <f t="shared" si="792"/>
        <v>0.0371900826446281</v>
      </c>
    </row>
    <row r="1359" spans="1:18">
      <c r="A1359" s="524"/>
      <c r="B1359" s="531" t="s">
        <v>96</v>
      </c>
      <c r="C1359" s="533">
        <f t="shared" ref="C1359:J1359" si="795">SUM(C1355:C1358)</f>
        <v>2204.35</v>
      </c>
      <c r="D1359" s="533">
        <f t="shared" si="795"/>
        <v>84901</v>
      </c>
      <c r="E1359" s="533">
        <f t="shared" si="795"/>
        <v>1508</v>
      </c>
      <c r="F1359" s="533">
        <f t="shared" si="795"/>
        <v>3</v>
      </c>
      <c r="G1359" s="533">
        <f t="shared" si="795"/>
        <v>32156</v>
      </c>
      <c r="H1359" s="533">
        <f t="shared" si="795"/>
        <v>71</v>
      </c>
      <c r="I1359" s="533">
        <f t="shared" si="795"/>
        <v>10</v>
      </c>
      <c r="J1359" s="533">
        <f t="shared" si="795"/>
        <v>9</v>
      </c>
      <c r="K1359" s="534">
        <f t="shared" si="785"/>
        <v>0.0177618638178584</v>
      </c>
      <c r="L1359" s="535">
        <f t="shared" si="786"/>
        <v>1.46177055702918</v>
      </c>
      <c r="M1359" s="535">
        <f t="shared" si="787"/>
        <v>25.9637695669073</v>
      </c>
      <c r="N1359" s="535">
        <f t="shared" si="788"/>
        <v>14.5875201306508</v>
      </c>
      <c r="O1359" s="535">
        <f t="shared" si="789"/>
        <v>0.0019893899204244</v>
      </c>
      <c r="P1359" s="536">
        <f t="shared" si="790"/>
        <v>27.2141975308642</v>
      </c>
      <c r="Q1359" s="531">
        <f t="shared" si="791"/>
        <v>81</v>
      </c>
      <c r="R1359" s="537">
        <f t="shared" si="792"/>
        <v>0.0537135278514589</v>
      </c>
    </row>
    <row r="1360" spans="1:18">
      <c r="A1360" s="524">
        <v>45722</v>
      </c>
      <c r="B1360" s="540" t="s">
        <v>98</v>
      </c>
      <c r="C1360" s="551">
        <v>718.51</v>
      </c>
      <c r="D1360" s="553">
        <v>8181</v>
      </c>
      <c r="E1360" s="551">
        <v>302</v>
      </c>
      <c r="F1360" s="551">
        <v>0</v>
      </c>
      <c r="G1360" s="551">
        <v>0</v>
      </c>
      <c r="H1360" s="551">
        <v>9</v>
      </c>
      <c r="I1360" s="551">
        <v>2</v>
      </c>
      <c r="J1360" s="551">
        <v>2</v>
      </c>
      <c r="K1360" s="527">
        <f t="shared" si="785"/>
        <v>0.0369148025913702</v>
      </c>
      <c r="L1360" s="528">
        <f t="shared" si="786"/>
        <v>2.37917218543046</v>
      </c>
      <c r="M1360" s="528">
        <f t="shared" si="787"/>
        <v>87.8266715560445</v>
      </c>
      <c r="N1360" s="528">
        <f t="shared" si="788"/>
        <v>0</v>
      </c>
      <c r="O1360" s="528">
        <f t="shared" si="789"/>
        <v>0</v>
      </c>
      <c r="P1360" s="529">
        <f t="shared" si="790"/>
        <v>65.3190909090909</v>
      </c>
      <c r="Q1360" s="24">
        <f t="shared" si="791"/>
        <v>11</v>
      </c>
      <c r="R1360" s="530">
        <f t="shared" si="792"/>
        <v>0.0364238410596026</v>
      </c>
    </row>
    <row r="1361" spans="1:18">
      <c r="A1361" s="524"/>
      <c r="B1361" s="540" t="s">
        <v>99</v>
      </c>
      <c r="C1361" s="551">
        <v>0</v>
      </c>
      <c r="D1361" s="551">
        <v>0</v>
      </c>
      <c r="E1361" s="551">
        <v>0</v>
      </c>
      <c r="F1361" s="551">
        <v>0</v>
      </c>
      <c r="G1361" s="551">
        <v>0</v>
      </c>
      <c r="H1361" s="551">
        <v>0</v>
      </c>
      <c r="I1361" s="551">
        <v>0</v>
      </c>
      <c r="J1361" s="551">
        <v>0</v>
      </c>
      <c r="K1361" s="527">
        <f t="shared" si="785"/>
        <v>0</v>
      </c>
      <c r="L1361" s="528">
        <f t="shared" si="786"/>
        <v>0</v>
      </c>
      <c r="M1361" s="528">
        <f t="shared" si="787"/>
        <v>0</v>
      </c>
      <c r="N1361" s="528">
        <f t="shared" si="788"/>
        <v>0</v>
      </c>
      <c r="O1361" s="528">
        <f t="shared" si="789"/>
        <v>0</v>
      </c>
      <c r="P1361" s="529">
        <f t="shared" si="790"/>
        <v>0</v>
      </c>
      <c r="Q1361" s="24">
        <f t="shared" si="791"/>
        <v>0</v>
      </c>
      <c r="R1361" s="530">
        <f t="shared" si="792"/>
        <v>0</v>
      </c>
    </row>
    <row r="1362" spans="1:18">
      <c r="A1362" s="524"/>
      <c r="B1362" s="540" t="s">
        <v>100</v>
      </c>
      <c r="C1362" s="552">
        <v>693.86</v>
      </c>
      <c r="D1362" s="551">
        <v>75840</v>
      </c>
      <c r="E1362" s="551">
        <v>664</v>
      </c>
      <c r="F1362" s="551">
        <v>1</v>
      </c>
      <c r="G1362" s="551">
        <v>1898.1</v>
      </c>
      <c r="H1362" s="551">
        <v>32</v>
      </c>
      <c r="I1362" s="551">
        <v>9</v>
      </c>
      <c r="J1362" s="551">
        <v>3</v>
      </c>
      <c r="K1362" s="527">
        <f t="shared" si="785"/>
        <v>0.00875527426160337</v>
      </c>
      <c r="L1362" s="528">
        <f t="shared" si="786"/>
        <v>1.04496987951807</v>
      </c>
      <c r="M1362" s="528">
        <f t="shared" si="787"/>
        <v>9.14899789029536</v>
      </c>
      <c r="N1362" s="528">
        <f t="shared" si="788"/>
        <v>2.73556625255815</v>
      </c>
      <c r="O1362" s="528">
        <f t="shared" si="789"/>
        <v>0.00150602409638554</v>
      </c>
      <c r="P1362" s="529">
        <f t="shared" si="790"/>
        <v>16.9234146341463</v>
      </c>
      <c r="Q1362" s="24">
        <f t="shared" si="791"/>
        <v>41</v>
      </c>
      <c r="R1362" s="530">
        <f t="shared" si="792"/>
        <v>0.0617469879518072</v>
      </c>
    </row>
    <row r="1363" spans="1:18">
      <c r="A1363" s="524"/>
      <c r="B1363" s="540" t="s">
        <v>101</v>
      </c>
      <c r="C1363" s="551">
        <v>498.23</v>
      </c>
      <c r="D1363" s="551">
        <v>29231</v>
      </c>
      <c r="E1363" s="551">
        <v>460</v>
      </c>
      <c r="F1363" s="551">
        <v>7</v>
      </c>
      <c r="G1363" s="551">
        <v>69180</v>
      </c>
      <c r="H1363" s="551">
        <v>11</v>
      </c>
      <c r="I1363" s="551">
        <v>6</v>
      </c>
      <c r="J1363" s="551">
        <v>0</v>
      </c>
      <c r="K1363" s="527">
        <f t="shared" si="785"/>
        <v>0.0157367178680168</v>
      </c>
      <c r="L1363" s="528">
        <f t="shared" si="786"/>
        <v>1.08310869565217</v>
      </c>
      <c r="M1363" s="528">
        <f t="shared" si="787"/>
        <v>17.044575963874</v>
      </c>
      <c r="N1363" s="528">
        <f t="shared" si="788"/>
        <v>138.851534431889</v>
      </c>
      <c r="O1363" s="528">
        <f t="shared" si="789"/>
        <v>0.0152173913043478</v>
      </c>
      <c r="P1363" s="529">
        <f t="shared" si="790"/>
        <v>29.3076470588235</v>
      </c>
      <c r="Q1363" s="24">
        <f t="shared" si="791"/>
        <v>17</v>
      </c>
      <c r="R1363" s="530">
        <f t="shared" si="792"/>
        <v>0.0369565217391304</v>
      </c>
    </row>
    <row r="1364" spans="1:18">
      <c r="A1364" s="524"/>
      <c r="B1364" s="531" t="s">
        <v>96</v>
      </c>
      <c r="C1364" s="533">
        <f t="shared" ref="C1364:J1364" si="796">SUM(C1360:C1363)</f>
        <v>1910.6</v>
      </c>
      <c r="D1364" s="533">
        <f t="shared" si="796"/>
        <v>113252</v>
      </c>
      <c r="E1364" s="533">
        <f t="shared" si="796"/>
        <v>1426</v>
      </c>
      <c r="F1364" s="533">
        <f t="shared" si="796"/>
        <v>8</v>
      </c>
      <c r="G1364" s="533">
        <f t="shared" si="796"/>
        <v>71078.1</v>
      </c>
      <c r="H1364" s="533">
        <f t="shared" si="796"/>
        <v>52</v>
      </c>
      <c r="I1364" s="533">
        <f t="shared" si="796"/>
        <v>17</v>
      </c>
      <c r="J1364" s="533">
        <f t="shared" si="796"/>
        <v>5</v>
      </c>
      <c r="K1364" s="534">
        <f t="shared" si="785"/>
        <v>0.012591389114541</v>
      </c>
      <c r="L1364" s="535">
        <f t="shared" si="786"/>
        <v>1.3398316970547</v>
      </c>
      <c r="M1364" s="535">
        <f t="shared" si="787"/>
        <v>16.8703422456116</v>
      </c>
      <c r="N1364" s="535">
        <f t="shared" si="788"/>
        <v>37.2019784360934</v>
      </c>
      <c r="O1364" s="535">
        <f t="shared" si="789"/>
        <v>0.00561009817671809</v>
      </c>
      <c r="P1364" s="536">
        <f t="shared" si="790"/>
        <v>27.6898550724638</v>
      </c>
      <c r="Q1364" s="531">
        <f t="shared" si="791"/>
        <v>69</v>
      </c>
      <c r="R1364" s="537">
        <f t="shared" si="792"/>
        <v>0.0483870967741935</v>
      </c>
    </row>
    <row r="1365" spans="1:18">
      <c r="A1365" s="524">
        <v>45723</v>
      </c>
      <c r="B1365" s="540" t="s">
        <v>98</v>
      </c>
      <c r="C1365" s="551">
        <v>894.91</v>
      </c>
      <c r="D1365" s="553">
        <v>8351</v>
      </c>
      <c r="E1365" s="551">
        <v>323</v>
      </c>
      <c r="F1365" s="551">
        <v>2</v>
      </c>
      <c r="G1365" s="551">
        <v>26704</v>
      </c>
      <c r="H1365" s="551">
        <v>15</v>
      </c>
      <c r="I1365" s="551">
        <v>3</v>
      </c>
      <c r="J1365" s="551">
        <v>3</v>
      </c>
      <c r="K1365" s="527">
        <f t="shared" si="785"/>
        <v>0.038678002634415</v>
      </c>
      <c r="L1365" s="528">
        <f t="shared" si="786"/>
        <v>2.77061919504644</v>
      </c>
      <c r="M1365" s="528">
        <f t="shared" si="787"/>
        <v>107.162016524967</v>
      </c>
      <c r="N1365" s="528">
        <f t="shared" si="788"/>
        <v>29.8398721659161</v>
      </c>
      <c r="O1365" s="528">
        <f t="shared" si="789"/>
        <v>0.00619195046439629</v>
      </c>
      <c r="P1365" s="529">
        <f t="shared" si="790"/>
        <v>49.7172222222222</v>
      </c>
      <c r="Q1365" s="24">
        <f t="shared" si="791"/>
        <v>18</v>
      </c>
      <c r="R1365" s="530">
        <f t="shared" si="792"/>
        <v>0.0557275541795666</v>
      </c>
    </row>
    <row r="1366" spans="1:18">
      <c r="A1366" s="524"/>
      <c r="B1366" s="540" t="s">
        <v>99</v>
      </c>
      <c r="C1366" s="551">
        <v>600</v>
      </c>
      <c r="D1366" s="551">
        <v>5310</v>
      </c>
      <c r="E1366" s="551">
        <v>405</v>
      </c>
      <c r="F1366" s="551">
        <v>0</v>
      </c>
      <c r="G1366" s="551">
        <v>0</v>
      </c>
      <c r="H1366" s="551">
        <v>4</v>
      </c>
      <c r="I1366" s="551">
        <v>2</v>
      </c>
      <c r="J1366" s="551">
        <v>0</v>
      </c>
      <c r="K1366" s="527">
        <f t="shared" si="785"/>
        <v>0.076271186440678</v>
      </c>
      <c r="L1366" s="528">
        <f t="shared" si="786"/>
        <v>1.48148148148148</v>
      </c>
      <c r="M1366" s="528">
        <f t="shared" si="787"/>
        <v>112.994350282486</v>
      </c>
      <c r="N1366" s="528">
        <f t="shared" si="788"/>
        <v>0</v>
      </c>
      <c r="O1366" s="528">
        <f t="shared" si="789"/>
        <v>0</v>
      </c>
      <c r="P1366" s="529">
        <f t="shared" si="790"/>
        <v>100</v>
      </c>
      <c r="Q1366" s="24">
        <f t="shared" si="791"/>
        <v>6</v>
      </c>
      <c r="R1366" s="530">
        <f t="shared" si="792"/>
        <v>0.0148148148148148</v>
      </c>
    </row>
    <row r="1367" spans="1:18">
      <c r="A1367" s="524"/>
      <c r="B1367" s="540" t="s">
        <v>100</v>
      </c>
      <c r="C1367" s="552">
        <v>781.28</v>
      </c>
      <c r="D1367" s="551">
        <v>85819</v>
      </c>
      <c r="E1367" s="551">
        <v>748</v>
      </c>
      <c r="F1367" s="551">
        <v>0</v>
      </c>
      <c r="G1367" s="551">
        <v>0</v>
      </c>
      <c r="H1367" s="551">
        <v>21</v>
      </c>
      <c r="I1367" s="551">
        <v>11</v>
      </c>
      <c r="J1367" s="551">
        <v>3</v>
      </c>
      <c r="K1367" s="527">
        <f t="shared" si="785"/>
        <v>0.00871601859728032</v>
      </c>
      <c r="L1367" s="528">
        <f t="shared" si="786"/>
        <v>1.04449197860963</v>
      </c>
      <c r="M1367" s="528">
        <f t="shared" si="787"/>
        <v>9.10381151027162</v>
      </c>
      <c r="N1367" s="528">
        <f t="shared" si="788"/>
        <v>0</v>
      </c>
      <c r="O1367" s="528">
        <f t="shared" si="789"/>
        <v>0</v>
      </c>
      <c r="P1367" s="529">
        <f t="shared" si="790"/>
        <v>24.415</v>
      </c>
      <c r="Q1367" s="24">
        <f t="shared" si="791"/>
        <v>32</v>
      </c>
      <c r="R1367" s="530">
        <f t="shared" si="792"/>
        <v>0.0427807486631016</v>
      </c>
    </row>
    <row r="1368" spans="1:18">
      <c r="A1368" s="524"/>
      <c r="B1368" s="540" t="s">
        <v>101</v>
      </c>
      <c r="C1368" s="551">
        <v>498.23</v>
      </c>
      <c r="D1368" s="551">
        <v>29231</v>
      </c>
      <c r="E1368" s="551">
        <v>460</v>
      </c>
      <c r="F1368" s="551">
        <v>3</v>
      </c>
      <c r="G1368" s="551">
        <v>25693</v>
      </c>
      <c r="H1368" s="551">
        <v>11</v>
      </c>
      <c r="I1368" s="551">
        <v>6</v>
      </c>
      <c r="J1368" s="551">
        <v>0</v>
      </c>
      <c r="K1368" s="527">
        <f t="shared" si="785"/>
        <v>0.0157367178680168</v>
      </c>
      <c r="L1368" s="528">
        <f t="shared" si="786"/>
        <v>1.08310869565217</v>
      </c>
      <c r="M1368" s="528">
        <f t="shared" si="787"/>
        <v>17.044575963874</v>
      </c>
      <c r="N1368" s="528">
        <f t="shared" si="788"/>
        <v>51.5685526764747</v>
      </c>
      <c r="O1368" s="528">
        <f t="shared" si="789"/>
        <v>0.00652173913043478</v>
      </c>
      <c r="P1368" s="529">
        <f t="shared" si="790"/>
        <v>29.3076470588235</v>
      </c>
      <c r="Q1368" s="24">
        <f t="shared" si="791"/>
        <v>17</v>
      </c>
      <c r="R1368" s="530">
        <f t="shared" si="792"/>
        <v>0.0369565217391304</v>
      </c>
    </row>
    <row r="1369" spans="1:18">
      <c r="A1369" s="524"/>
      <c r="B1369" s="531" t="s">
        <v>96</v>
      </c>
      <c r="C1369" s="533">
        <f t="shared" ref="C1369:J1369" si="797">SUM(C1365:C1368)</f>
        <v>2774.42</v>
      </c>
      <c r="D1369" s="533">
        <f t="shared" si="797"/>
        <v>128711</v>
      </c>
      <c r="E1369" s="533">
        <f t="shared" si="797"/>
        <v>1936</v>
      </c>
      <c r="F1369" s="533">
        <f t="shared" si="797"/>
        <v>5</v>
      </c>
      <c r="G1369" s="533">
        <f t="shared" si="797"/>
        <v>52397</v>
      </c>
      <c r="H1369" s="533">
        <f t="shared" si="797"/>
        <v>51</v>
      </c>
      <c r="I1369" s="533">
        <f t="shared" si="797"/>
        <v>22</v>
      </c>
      <c r="J1369" s="533">
        <f t="shared" si="797"/>
        <v>6</v>
      </c>
      <c r="K1369" s="534">
        <f t="shared" si="785"/>
        <v>0.0150414494487651</v>
      </c>
      <c r="L1369" s="535">
        <f t="shared" si="786"/>
        <v>1.43306818181818</v>
      </c>
      <c r="M1369" s="535">
        <f t="shared" si="787"/>
        <v>21.5554226134518</v>
      </c>
      <c r="N1369" s="535">
        <f t="shared" si="788"/>
        <v>18.8857490935042</v>
      </c>
      <c r="O1369" s="535">
        <f t="shared" si="789"/>
        <v>0.00258264462809917</v>
      </c>
      <c r="P1369" s="536">
        <f t="shared" si="790"/>
        <v>38.0057534246575</v>
      </c>
      <c r="Q1369" s="531">
        <f t="shared" si="791"/>
        <v>73</v>
      </c>
      <c r="R1369" s="537">
        <f t="shared" si="792"/>
        <v>0.0377066115702479</v>
      </c>
    </row>
    <row r="1370" spans="1:18">
      <c r="A1370" s="524">
        <v>45724</v>
      </c>
      <c r="B1370" s="540" t="s">
        <v>98</v>
      </c>
      <c r="C1370" s="551">
        <v>899.79</v>
      </c>
      <c r="D1370" s="553">
        <v>9596</v>
      </c>
      <c r="E1370" s="551">
        <v>365</v>
      </c>
      <c r="F1370" s="551">
        <v>0</v>
      </c>
      <c r="G1370" s="551">
        <v>0</v>
      </c>
      <c r="H1370" s="551">
        <v>7</v>
      </c>
      <c r="I1370" s="551">
        <v>4</v>
      </c>
      <c r="J1370" s="551">
        <v>3</v>
      </c>
      <c r="K1370" s="527">
        <f t="shared" si="785"/>
        <v>0.0380366819508128</v>
      </c>
      <c r="L1370" s="528">
        <f t="shared" si="786"/>
        <v>2.46517808219178</v>
      </c>
      <c r="M1370" s="528">
        <f t="shared" si="787"/>
        <v>93.7671946644435</v>
      </c>
      <c r="N1370" s="528">
        <f t="shared" si="788"/>
        <v>0</v>
      </c>
      <c r="O1370" s="528">
        <f t="shared" si="789"/>
        <v>0</v>
      </c>
      <c r="P1370" s="529">
        <f t="shared" si="790"/>
        <v>81.7990909090909</v>
      </c>
      <c r="Q1370" s="24">
        <f t="shared" si="791"/>
        <v>11</v>
      </c>
      <c r="R1370" s="530">
        <f t="shared" si="792"/>
        <v>0.0301369863013699</v>
      </c>
    </row>
    <row r="1371" spans="1:18">
      <c r="A1371" s="524"/>
      <c r="B1371" s="540" t="s">
        <v>99</v>
      </c>
      <c r="C1371" s="551">
        <v>0</v>
      </c>
      <c r="D1371" s="551">
        <v>0</v>
      </c>
      <c r="E1371" s="551">
        <v>0</v>
      </c>
      <c r="F1371" s="551">
        <v>0</v>
      </c>
      <c r="G1371" s="551">
        <v>0</v>
      </c>
      <c r="H1371" s="551">
        <v>0</v>
      </c>
      <c r="I1371" s="551">
        <v>0</v>
      </c>
      <c r="J1371" s="551">
        <v>0</v>
      </c>
      <c r="K1371" s="527">
        <f t="shared" si="785"/>
        <v>0</v>
      </c>
      <c r="L1371" s="528">
        <f t="shared" si="786"/>
        <v>0</v>
      </c>
      <c r="M1371" s="528">
        <f t="shared" si="787"/>
        <v>0</v>
      </c>
      <c r="N1371" s="528">
        <f t="shared" si="788"/>
        <v>0</v>
      </c>
      <c r="O1371" s="528">
        <f t="shared" si="789"/>
        <v>0</v>
      </c>
      <c r="P1371" s="529">
        <f t="shared" si="790"/>
        <v>0</v>
      </c>
      <c r="Q1371" s="24">
        <f t="shared" si="791"/>
        <v>0</v>
      </c>
      <c r="R1371" s="530">
        <f t="shared" si="792"/>
        <v>0</v>
      </c>
    </row>
    <row r="1372" spans="1:18">
      <c r="A1372" s="524"/>
      <c r="B1372" s="540" t="s">
        <v>100</v>
      </c>
      <c r="C1372" s="552">
        <v>790.31</v>
      </c>
      <c r="D1372" s="551">
        <v>53636</v>
      </c>
      <c r="E1372" s="551">
        <v>669</v>
      </c>
      <c r="F1372" s="551">
        <v>2</v>
      </c>
      <c r="G1372" s="551">
        <v>23726</v>
      </c>
      <c r="H1372" s="551">
        <v>31</v>
      </c>
      <c r="I1372" s="551">
        <v>13</v>
      </c>
      <c r="J1372" s="551">
        <v>2</v>
      </c>
      <c r="K1372" s="527">
        <f t="shared" si="785"/>
        <v>0.012472965918413</v>
      </c>
      <c r="L1372" s="528">
        <f t="shared" si="786"/>
        <v>1.18133034379671</v>
      </c>
      <c r="M1372" s="528">
        <f t="shared" si="787"/>
        <v>14.7346931165635</v>
      </c>
      <c r="N1372" s="528">
        <f t="shared" si="788"/>
        <v>30.0211309486151</v>
      </c>
      <c r="O1372" s="528">
        <f t="shared" si="789"/>
        <v>0.00298953662182362</v>
      </c>
      <c r="P1372" s="529">
        <f t="shared" si="790"/>
        <v>17.9615909090909</v>
      </c>
      <c r="Q1372" s="24">
        <f t="shared" si="791"/>
        <v>44</v>
      </c>
      <c r="R1372" s="530">
        <f t="shared" si="792"/>
        <v>0.0657698056801196</v>
      </c>
    </row>
    <row r="1373" spans="1:18">
      <c r="A1373" s="524"/>
      <c r="B1373" s="540" t="s">
        <v>101</v>
      </c>
      <c r="C1373" s="551">
        <v>600</v>
      </c>
      <c r="D1373" s="551">
        <v>9635</v>
      </c>
      <c r="E1373" s="551">
        <v>432</v>
      </c>
      <c r="F1373" s="551">
        <v>2</v>
      </c>
      <c r="G1373" s="551">
        <v>17495</v>
      </c>
      <c r="H1373" s="551">
        <v>14</v>
      </c>
      <c r="I1373" s="551">
        <v>2</v>
      </c>
      <c r="J1373" s="551">
        <v>0</v>
      </c>
      <c r="K1373" s="527">
        <f t="shared" si="785"/>
        <v>0.0448365334717177</v>
      </c>
      <c r="L1373" s="528">
        <f t="shared" si="786"/>
        <v>1.38888888888889</v>
      </c>
      <c r="M1373" s="528">
        <f t="shared" si="787"/>
        <v>62.2729631551635</v>
      </c>
      <c r="N1373" s="528">
        <f t="shared" si="788"/>
        <v>29.1583333333333</v>
      </c>
      <c r="O1373" s="528">
        <f t="shared" si="789"/>
        <v>0.00462962962962963</v>
      </c>
      <c r="P1373" s="529">
        <f t="shared" si="790"/>
        <v>37.5</v>
      </c>
      <c r="Q1373" s="24">
        <f t="shared" si="791"/>
        <v>16</v>
      </c>
      <c r="R1373" s="530">
        <f t="shared" si="792"/>
        <v>0.037037037037037</v>
      </c>
    </row>
    <row r="1374" spans="1:18">
      <c r="A1374" s="524"/>
      <c r="B1374" s="531" t="s">
        <v>96</v>
      </c>
      <c r="C1374" s="533">
        <f t="shared" ref="C1374:J1374" si="798">SUM(C1370:C1373)</f>
        <v>2290.1</v>
      </c>
      <c r="D1374" s="533">
        <f t="shared" si="798"/>
        <v>72867</v>
      </c>
      <c r="E1374" s="533">
        <f t="shared" si="798"/>
        <v>1466</v>
      </c>
      <c r="F1374" s="533">
        <f t="shared" si="798"/>
        <v>4</v>
      </c>
      <c r="G1374" s="533">
        <f t="shared" si="798"/>
        <v>41221</v>
      </c>
      <c r="H1374" s="533">
        <f t="shared" si="798"/>
        <v>52</v>
      </c>
      <c r="I1374" s="533">
        <f t="shared" si="798"/>
        <v>19</v>
      </c>
      <c r="J1374" s="533">
        <f t="shared" si="798"/>
        <v>5</v>
      </c>
      <c r="K1374" s="534">
        <f t="shared" si="785"/>
        <v>0.0201188466658432</v>
      </c>
      <c r="L1374" s="535">
        <f t="shared" si="786"/>
        <v>1.56214188267394</v>
      </c>
      <c r="M1374" s="535">
        <f t="shared" si="787"/>
        <v>31.4284930078087</v>
      </c>
      <c r="N1374" s="535">
        <f t="shared" si="788"/>
        <v>17.9996506702764</v>
      </c>
      <c r="O1374" s="535">
        <f t="shared" si="789"/>
        <v>0.00272851296043656</v>
      </c>
      <c r="P1374" s="536">
        <f t="shared" si="790"/>
        <v>32.2549295774648</v>
      </c>
      <c r="Q1374" s="531">
        <f t="shared" si="791"/>
        <v>71</v>
      </c>
      <c r="R1374" s="537">
        <f t="shared" si="792"/>
        <v>0.048431105047749</v>
      </c>
    </row>
    <row r="1375" spans="1:18">
      <c r="A1375" s="524">
        <v>45725</v>
      </c>
      <c r="B1375" s="540" t="s">
        <v>98</v>
      </c>
      <c r="C1375" s="551">
        <v>896.98</v>
      </c>
      <c r="D1375" s="553">
        <v>10913</v>
      </c>
      <c r="E1375" s="551">
        <v>393</v>
      </c>
      <c r="F1375" s="551">
        <v>1</v>
      </c>
      <c r="G1375" s="551">
        <v>11554</v>
      </c>
      <c r="H1375" s="551">
        <v>5</v>
      </c>
      <c r="I1375" s="551">
        <v>1</v>
      </c>
      <c r="J1375" s="551">
        <v>2</v>
      </c>
      <c r="K1375" s="527">
        <f t="shared" ref="K1375:K1409" si="799">IF(E1375=0,0,E1375/D1375)</f>
        <v>0.0360120956657198</v>
      </c>
      <c r="L1375" s="528">
        <f t="shared" ref="L1375:L1409" si="800">IF(C1375=0,0,C1375/E1375)</f>
        <v>2.28239185750636</v>
      </c>
      <c r="M1375" s="528">
        <f t="shared" ref="M1375:M1409" si="801">IF(D1375=0,0,C1375/D1375*1000)</f>
        <v>82.193713919179</v>
      </c>
      <c r="N1375" s="528">
        <f t="shared" ref="N1375:N1409" si="802">IF(G1375=0,0,G1375/C1375)</f>
        <v>12.8810006912083</v>
      </c>
      <c r="O1375" s="528">
        <f t="shared" ref="O1375:O1409" si="803">IF(F1375=0,0,F1375/E1375)</f>
        <v>0.00254452926208651</v>
      </c>
      <c r="P1375" s="529">
        <f t="shared" ref="P1375:P1409" si="804">IF(H1375+I1375=0,0,C1375/(H1375+I1375))</f>
        <v>149.496666666667</v>
      </c>
      <c r="Q1375" s="24">
        <f t="shared" ref="Q1375:Q1409" si="805">H1375+I1375</f>
        <v>6</v>
      </c>
      <c r="R1375" s="530">
        <f t="shared" ref="R1375:R1409" si="806">IF(Q1375=0,0,Q1375/E1375)</f>
        <v>0.0152671755725191</v>
      </c>
    </row>
    <row r="1376" spans="1:18">
      <c r="A1376" s="524"/>
      <c r="B1376" s="540" t="s">
        <v>99</v>
      </c>
      <c r="C1376" s="551">
        <v>0</v>
      </c>
      <c r="D1376" s="551">
        <v>0</v>
      </c>
      <c r="E1376" s="551">
        <v>0</v>
      </c>
      <c r="F1376" s="551">
        <v>0</v>
      </c>
      <c r="G1376" s="551">
        <v>0</v>
      </c>
      <c r="H1376" s="551">
        <v>0</v>
      </c>
      <c r="I1376" s="551">
        <v>0</v>
      </c>
      <c r="J1376" s="551">
        <v>0</v>
      </c>
      <c r="K1376" s="527">
        <f t="shared" si="799"/>
        <v>0</v>
      </c>
      <c r="L1376" s="528">
        <f t="shared" si="800"/>
        <v>0</v>
      </c>
      <c r="M1376" s="528">
        <f t="shared" si="801"/>
        <v>0</v>
      </c>
      <c r="N1376" s="528">
        <f t="shared" si="802"/>
        <v>0</v>
      </c>
      <c r="O1376" s="528">
        <f t="shared" si="803"/>
        <v>0</v>
      </c>
      <c r="P1376" s="529">
        <f t="shared" si="804"/>
        <v>0</v>
      </c>
      <c r="Q1376" s="24">
        <f t="shared" si="805"/>
        <v>0</v>
      </c>
      <c r="R1376" s="530">
        <f t="shared" si="806"/>
        <v>0</v>
      </c>
    </row>
    <row r="1377" spans="1:18">
      <c r="A1377" s="524"/>
      <c r="B1377" s="540" t="s">
        <v>100</v>
      </c>
      <c r="C1377" s="552">
        <v>676.04</v>
      </c>
      <c r="D1377" s="551">
        <v>71714</v>
      </c>
      <c r="E1377" s="551">
        <v>782</v>
      </c>
      <c r="F1377" s="551">
        <v>0</v>
      </c>
      <c r="G1377" s="551">
        <v>0</v>
      </c>
      <c r="H1377" s="551">
        <v>27</v>
      </c>
      <c r="I1377" s="551">
        <v>16</v>
      </c>
      <c r="J1377" s="551">
        <v>4</v>
      </c>
      <c r="K1377" s="527">
        <f t="shared" si="799"/>
        <v>0.0109044259140475</v>
      </c>
      <c r="L1377" s="528">
        <f t="shared" si="800"/>
        <v>0.864501278772378</v>
      </c>
      <c r="M1377" s="528">
        <f t="shared" si="801"/>
        <v>9.4268901469727</v>
      </c>
      <c r="N1377" s="528">
        <f t="shared" si="802"/>
        <v>0</v>
      </c>
      <c r="O1377" s="528">
        <f t="shared" si="803"/>
        <v>0</v>
      </c>
      <c r="P1377" s="529">
        <f t="shared" si="804"/>
        <v>15.7218604651163</v>
      </c>
      <c r="Q1377" s="24">
        <f t="shared" si="805"/>
        <v>43</v>
      </c>
      <c r="R1377" s="530">
        <f t="shared" si="806"/>
        <v>0.0549872122762148</v>
      </c>
    </row>
    <row r="1378" spans="1:18">
      <c r="A1378" s="524"/>
      <c r="B1378" s="540" t="s">
        <v>101</v>
      </c>
      <c r="C1378" s="551">
        <v>571.77</v>
      </c>
      <c r="D1378" s="551">
        <v>11951</v>
      </c>
      <c r="E1378" s="551">
        <v>624</v>
      </c>
      <c r="F1378" s="551">
        <v>0</v>
      </c>
      <c r="G1378" s="551">
        <v>0</v>
      </c>
      <c r="H1378" s="551">
        <v>27</v>
      </c>
      <c r="I1378" s="551">
        <v>5</v>
      </c>
      <c r="J1378" s="551">
        <v>3</v>
      </c>
      <c r="K1378" s="527">
        <f t="shared" si="799"/>
        <v>0.0522132039159903</v>
      </c>
      <c r="L1378" s="528">
        <f t="shared" si="800"/>
        <v>0.916298076923077</v>
      </c>
      <c r="M1378" s="528">
        <f t="shared" si="801"/>
        <v>47.8428583382144</v>
      </c>
      <c r="N1378" s="528">
        <f t="shared" si="802"/>
        <v>0</v>
      </c>
      <c r="O1378" s="528">
        <f t="shared" si="803"/>
        <v>0</v>
      </c>
      <c r="P1378" s="529">
        <f t="shared" si="804"/>
        <v>17.8678125</v>
      </c>
      <c r="Q1378" s="24">
        <f t="shared" si="805"/>
        <v>32</v>
      </c>
      <c r="R1378" s="530">
        <f t="shared" si="806"/>
        <v>0.0512820512820513</v>
      </c>
    </row>
    <row r="1379" spans="1:18">
      <c r="A1379" s="524"/>
      <c r="B1379" s="531" t="s">
        <v>96</v>
      </c>
      <c r="C1379" s="533">
        <f t="shared" ref="C1379:J1379" si="807">SUM(C1375:C1378)</f>
        <v>2144.79</v>
      </c>
      <c r="D1379" s="533">
        <f t="shared" si="807"/>
        <v>94578</v>
      </c>
      <c r="E1379" s="533">
        <f t="shared" si="807"/>
        <v>1799</v>
      </c>
      <c r="F1379" s="533">
        <f t="shared" si="807"/>
        <v>1</v>
      </c>
      <c r="G1379" s="533">
        <f t="shared" si="807"/>
        <v>11554</v>
      </c>
      <c r="H1379" s="533">
        <f t="shared" si="807"/>
        <v>59</v>
      </c>
      <c r="I1379" s="533">
        <f t="shared" si="807"/>
        <v>22</v>
      </c>
      <c r="J1379" s="533">
        <f t="shared" si="807"/>
        <v>9</v>
      </c>
      <c r="K1379" s="534">
        <f t="shared" si="799"/>
        <v>0.0190213368859566</v>
      </c>
      <c r="L1379" s="535">
        <f t="shared" si="800"/>
        <v>1.19221234018899</v>
      </c>
      <c r="M1379" s="535">
        <f t="shared" si="801"/>
        <v>22.6774725623295</v>
      </c>
      <c r="N1379" s="535">
        <f t="shared" si="802"/>
        <v>5.38700758582425</v>
      </c>
      <c r="O1379" s="535">
        <f t="shared" si="803"/>
        <v>0.000555864369093941</v>
      </c>
      <c r="P1379" s="536">
        <f t="shared" si="804"/>
        <v>26.4788888888889</v>
      </c>
      <c r="Q1379" s="531">
        <f t="shared" si="805"/>
        <v>81</v>
      </c>
      <c r="R1379" s="537">
        <f t="shared" si="806"/>
        <v>0.0450250138966092</v>
      </c>
    </row>
    <row r="1380" spans="1:18">
      <c r="A1380" s="524">
        <v>45726</v>
      </c>
      <c r="B1380" s="540" t="s">
        <v>98</v>
      </c>
      <c r="C1380" s="551">
        <v>896.68</v>
      </c>
      <c r="D1380" s="553">
        <v>9137</v>
      </c>
      <c r="E1380" s="551">
        <v>337</v>
      </c>
      <c r="F1380" s="551">
        <v>1</v>
      </c>
      <c r="G1380" s="551">
        <v>11622</v>
      </c>
      <c r="H1380" s="551">
        <v>16</v>
      </c>
      <c r="I1380" s="551">
        <v>1</v>
      </c>
      <c r="J1380" s="551">
        <v>4</v>
      </c>
      <c r="K1380" s="527">
        <f t="shared" si="799"/>
        <v>0.0368830031739083</v>
      </c>
      <c r="L1380" s="528">
        <f t="shared" si="800"/>
        <v>2.66077151335312</v>
      </c>
      <c r="M1380" s="528">
        <f t="shared" si="801"/>
        <v>98.1372441720477</v>
      </c>
      <c r="N1380" s="528">
        <f t="shared" si="802"/>
        <v>12.9611455591738</v>
      </c>
      <c r="O1380" s="528">
        <f t="shared" si="803"/>
        <v>0.0029673590504451</v>
      </c>
      <c r="P1380" s="529">
        <f t="shared" si="804"/>
        <v>52.7458823529412</v>
      </c>
      <c r="Q1380" s="24">
        <f t="shared" si="805"/>
        <v>17</v>
      </c>
      <c r="R1380" s="530">
        <f t="shared" si="806"/>
        <v>0.0504451038575668</v>
      </c>
    </row>
    <row r="1381" spans="1:18">
      <c r="A1381" s="524"/>
      <c r="B1381" s="540" t="s">
        <v>99</v>
      </c>
      <c r="C1381" s="551">
        <v>0</v>
      </c>
      <c r="D1381" s="551">
        <v>0</v>
      </c>
      <c r="E1381" s="551">
        <v>0</v>
      </c>
      <c r="F1381" s="551">
        <v>0</v>
      </c>
      <c r="G1381" s="551">
        <v>0</v>
      </c>
      <c r="H1381" s="551">
        <v>0</v>
      </c>
      <c r="I1381" s="551">
        <v>0</v>
      </c>
      <c r="J1381" s="551">
        <v>0</v>
      </c>
      <c r="K1381" s="527">
        <f t="shared" si="799"/>
        <v>0</v>
      </c>
      <c r="L1381" s="528">
        <f t="shared" si="800"/>
        <v>0</v>
      </c>
      <c r="M1381" s="528">
        <f t="shared" si="801"/>
        <v>0</v>
      </c>
      <c r="N1381" s="528">
        <f t="shared" si="802"/>
        <v>0</v>
      </c>
      <c r="O1381" s="528">
        <f t="shared" si="803"/>
        <v>0</v>
      </c>
      <c r="P1381" s="529">
        <f t="shared" si="804"/>
        <v>0</v>
      </c>
      <c r="Q1381" s="24">
        <f t="shared" si="805"/>
        <v>0</v>
      </c>
      <c r="R1381" s="530">
        <f t="shared" si="806"/>
        <v>0</v>
      </c>
    </row>
    <row r="1382" spans="1:18">
      <c r="A1382" s="524"/>
      <c r="B1382" s="540" t="s">
        <v>100</v>
      </c>
      <c r="C1382" s="552">
        <v>695.18</v>
      </c>
      <c r="D1382" s="551">
        <v>77856</v>
      </c>
      <c r="E1382" s="551">
        <v>724</v>
      </c>
      <c r="F1382" s="551">
        <v>0</v>
      </c>
      <c r="G1382" s="551">
        <v>0</v>
      </c>
      <c r="H1382" s="551">
        <v>21</v>
      </c>
      <c r="I1382" s="551">
        <v>13</v>
      </c>
      <c r="J1382" s="551">
        <v>1</v>
      </c>
      <c r="K1382" s="527">
        <f t="shared" si="799"/>
        <v>0.00929921907110563</v>
      </c>
      <c r="L1382" s="528">
        <f t="shared" si="800"/>
        <v>0.960193370165746</v>
      </c>
      <c r="M1382" s="528">
        <f t="shared" si="801"/>
        <v>8.92904849979449</v>
      </c>
      <c r="N1382" s="528">
        <f t="shared" si="802"/>
        <v>0</v>
      </c>
      <c r="O1382" s="528">
        <f t="shared" si="803"/>
        <v>0</v>
      </c>
      <c r="P1382" s="529">
        <f t="shared" si="804"/>
        <v>20.4464705882353</v>
      </c>
      <c r="Q1382" s="24">
        <f t="shared" si="805"/>
        <v>34</v>
      </c>
      <c r="R1382" s="530">
        <f t="shared" si="806"/>
        <v>0.0469613259668508</v>
      </c>
    </row>
    <row r="1383" spans="1:18">
      <c r="A1383" s="524"/>
      <c r="B1383" s="540" t="s">
        <v>101</v>
      </c>
      <c r="C1383" s="551">
        <v>467.74</v>
      </c>
      <c r="D1383" s="551">
        <v>15099</v>
      </c>
      <c r="E1383" s="551">
        <v>514</v>
      </c>
      <c r="F1383" s="551">
        <v>1</v>
      </c>
      <c r="G1383" s="551">
        <v>9297</v>
      </c>
      <c r="H1383" s="551">
        <v>26</v>
      </c>
      <c r="I1383" s="551">
        <v>1</v>
      </c>
      <c r="J1383" s="551">
        <v>2</v>
      </c>
      <c r="K1383" s="527">
        <f t="shared" si="799"/>
        <v>0.0340419895357308</v>
      </c>
      <c r="L1383" s="528">
        <f t="shared" si="800"/>
        <v>0.91</v>
      </c>
      <c r="M1383" s="528">
        <f t="shared" si="801"/>
        <v>30.9782104775151</v>
      </c>
      <c r="N1383" s="528">
        <f t="shared" si="802"/>
        <v>19.8764270748707</v>
      </c>
      <c r="O1383" s="528">
        <f t="shared" si="803"/>
        <v>0.00194552529182879</v>
      </c>
      <c r="P1383" s="529">
        <f t="shared" si="804"/>
        <v>17.3237037037037</v>
      </c>
      <c r="Q1383" s="24">
        <f t="shared" si="805"/>
        <v>27</v>
      </c>
      <c r="R1383" s="530">
        <f t="shared" si="806"/>
        <v>0.0525291828793774</v>
      </c>
    </row>
    <row r="1384" spans="1:18">
      <c r="A1384" s="524"/>
      <c r="B1384" s="531" t="s">
        <v>96</v>
      </c>
      <c r="C1384" s="533">
        <f t="shared" ref="C1384:J1384" si="808">SUM(C1380:C1383)</f>
        <v>2059.6</v>
      </c>
      <c r="D1384" s="533">
        <f t="shared" si="808"/>
        <v>102092</v>
      </c>
      <c r="E1384" s="533">
        <f t="shared" si="808"/>
        <v>1575</v>
      </c>
      <c r="F1384" s="533">
        <f t="shared" si="808"/>
        <v>2</v>
      </c>
      <c r="G1384" s="533">
        <f t="shared" si="808"/>
        <v>20919</v>
      </c>
      <c r="H1384" s="533">
        <f t="shared" si="808"/>
        <v>63</v>
      </c>
      <c r="I1384" s="533">
        <f t="shared" si="808"/>
        <v>15</v>
      </c>
      <c r="J1384" s="533">
        <f t="shared" si="808"/>
        <v>7</v>
      </c>
      <c r="K1384" s="534">
        <f t="shared" si="799"/>
        <v>0.0154272616855385</v>
      </c>
      <c r="L1384" s="535">
        <f t="shared" si="800"/>
        <v>1.30768253968254</v>
      </c>
      <c r="M1384" s="535">
        <f t="shared" si="801"/>
        <v>20.1739607412922</v>
      </c>
      <c r="N1384" s="535">
        <f t="shared" si="802"/>
        <v>10.1568265682657</v>
      </c>
      <c r="O1384" s="535">
        <f t="shared" si="803"/>
        <v>0.00126984126984127</v>
      </c>
      <c r="P1384" s="536">
        <f t="shared" si="804"/>
        <v>26.4051282051282</v>
      </c>
      <c r="Q1384" s="531">
        <f t="shared" si="805"/>
        <v>78</v>
      </c>
      <c r="R1384" s="537">
        <f t="shared" si="806"/>
        <v>0.0495238095238095</v>
      </c>
    </row>
    <row r="1385" spans="1:18">
      <c r="A1385" s="524">
        <v>45727</v>
      </c>
      <c r="B1385" s="540" t="s">
        <v>98</v>
      </c>
      <c r="C1385" s="551">
        <v>800</v>
      </c>
      <c r="D1385" s="553">
        <v>8814</v>
      </c>
      <c r="E1385" s="551">
        <v>283</v>
      </c>
      <c r="F1385" s="551">
        <v>0</v>
      </c>
      <c r="G1385" s="551">
        <v>0</v>
      </c>
      <c r="H1385" s="551">
        <v>9</v>
      </c>
      <c r="I1385" s="551">
        <v>4</v>
      </c>
      <c r="J1385" s="551">
        <v>2</v>
      </c>
      <c r="K1385" s="527">
        <f t="shared" si="799"/>
        <v>0.0321080099841162</v>
      </c>
      <c r="L1385" s="528">
        <f t="shared" si="800"/>
        <v>2.82685512367491</v>
      </c>
      <c r="M1385" s="528">
        <f t="shared" si="801"/>
        <v>90.764692534604</v>
      </c>
      <c r="N1385" s="528">
        <f t="shared" si="802"/>
        <v>0</v>
      </c>
      <c r="O1385" s="528">
        <f t="shared" si="803"/>
        <v>0</v>
      </c>
      <c r="P1385" s="529">
        <f t="shared" si="804"/>
        <v>61.5384615384615</v>
      </c>
      <c r="Q1385" s="24">
        <f t="shared" si="805"/>
        <v>13</v>
      </c>
      <c r="R1385" s="530">
        <f t="shared" si="806"/>
        <v>0.0459363957597173</v>
      </c>
    </row>
    <row r="1386" spans="1:18">
      <c r="A1386" s="524"/>
      <c r="B1386" s="540" t="s">
        <v>99</v>
      </c>
      <c r="C1386" s="551">
        <v>0</v>
      </c>
      <c r="D1386" s="551">
        <v>0</v>
      </c>
      <c r="E1386" s="551">
        <v>0</v>
      </c>
      <c r="F1386" s="551">
        <v>0</v>
      </c>
      <c r="G1386" s="551">
        <v>0</v>
      </c>
      <c r="H1386" s="551">
        <v>0</v>
      </c>
      <c r="I1386" s="551">
        <v>0</v>
      </c>
      <c r="J1386" s="551">
        <v>0</v>
      </c>
      <c r="K1386" s="527">
        <f t="shared" si="799"/>
        <v>0</v>
      </c>
      <c r="L1386" s="528">
        <f t="shared" si="800"/>
        <v>0</v>
      </c>
      <c r="M1386" s="528">
        <f t="shared" si="801"/>
        <v>0</v>
      </c>
      <c r="N1386" s="528">
        <f t="shared" si="802"/>
        <v>0</v>
      </c>
      <c r="O1386" s="528">
        <f t="shared" si="803"/>
        <v>0</v>
      </c>
      <c r="P1386" s="529">
        <f t="shared" si="804"/>
        <v>0</v>
      </c>
      <c r="Q1386" s="24">
        <f t="shared" si="805"/>
        <v>0</v>
      </c>
      <c r="R1386" s="530">
        <f t="shared" si="806"/>
        <v>0</v>
      </c>
    </row>
    <row r="1387" spans="1:18">
      <c r="A1387" s="524"/>
      <c r="B1387" s="540" t="s">
        <v>100</v>
      </c>
      <c r="C1387" s="552">
        <v>694.72</v>
      </c>
      <c r="D1387" s="551">
        <v>91634</v>
      </c>
      <c r="E1387" s="551">
        <v>876</v>
      </c>
      <c r="F1387" s="551">
        <v>4</v>
      </c>
      <c r="G1387" s="551">
        <v>51534</v>
      </c>
      <c r="H1387" s="551">
        <v>37</v>
      </c>
      <c r="I1387" s="551">
        <v>15</v>
      </c>
      <c r="J1387" s="551">
        <v>2</v>
      </c>
      <c r="K1387" s="527">
        <f t="shared" si="799"/>
        <v>0.00955977039090294</v>
      </c>
      <c r="L1387" s="528">
        <f t="shared" si="800"/>
        <v>0.793059360730594</v>
      </c>
      <c r="M1387" s="528">
        <f t="shared" si="801"/>
        <v>7.58146539494074</v>
      </c>
      <c r="N1387" s="528">
        <f t="shared" si="802"/>
        <v>74.1795255642561</v>
      </c>
      <c r="O1387" s="528">
        <f t="shared" si="803"/>
        <v>0.0045662100456621</v>
      </c>
      <c r="P1387" s="529">
        <f t="shared" si="804"/>
        <v>13.36</v>
      </c>
      <c r="Q1387" s="24">
        <f t="shared" si="805"/>
        <v>52</v>
      </c>
      <c r="R1387" s="530">
        <f t="shared" si="806"/>
        <v>0.0593607305936073</v>
      </c>
    </row>
    <row r="1388" spans="1:18">
      <c r="A1388" s="524"/>
      <c r="B1388" s="540" t="s">
        <v>101</v>
      </c>
      <c r="C1388" s="551">
        <v>581.71</v>
      </c>
      <c r="D1388" s="551">
        <v>14711</v>
      </c>
      <c r="E1388" s="551">
        <v>482</v>
      </c>
      <c r="F1388" s="551">
        <v>2</v>
      </c>
      <c r="G1388" s="551">
        <v>18594</v>
      </c>
      <c r="H1388" s="551">
        <v>18</v>
      </c>
      <c r="I1388" s="551">
        <v>1</v>
      </c>
      <c r="J1388" s="551">
        <v>1</v>
      </c>
      <c r="K1388" s="527">
        <f t="shared" si="799"/>
        <v>0.0327645979199239</v>
      </c>
      <c r="L1388" s="528">
        <f t="shared" si="800"/>
        <v>1.20686721991701</v>
      </c>
      <c r="M1388" s="528">
        <f t="shared" si="801"/>
        <v>39.5425192033172</v>
      </c>
      <c r="N1388" s="528">
        <f t="shared" si="802"/>
        <v>31.9643808770693</v>
      </c>
      <c r="O1388" s="528">
        <f t="shared" si="803"/>
        <v>0.004149377593361</v>
      </c>
      <c r="P1388" s="529">
        <f t="shared" si="804"/>
        <v>30.6163157894737</v>
      </c>
      <c r="Q1388" s="24">
        <f t="shared" si="805"/>
        <v>19</v>
      </c>
      <c r="R1388" s="530">
        <f t="shared" si="806"/>
        <v>0.0394190871369295</v>
      </c>
    </row>
    <row r="1389" spans="1:18">
      <c r="A1389" s="524"/>
      <c r="B1389" s="531" t="s">
        <v>96</v>
      </c>
      <c r="C1389" s="533">
        <f t="shared" ref="C1389:J1389" si="809">SUM(C1385:C1388)</f>
        <v>2076.43</v>
      </c>
      <c r="D1389" s="533">
        <f t="shared" si="809"/>
        <v>115159</v>
      </c>
      <c r="E1389" s="533">
        <f t="shared" si="809"/>
        <v>1641</v>
      </c>
      <c r="F1389" s="533">
        <f t="shared" si="809"/>
        <v>6</v>
      </c>
      <c r="G1389" s="533">
        <f t="shared" si="809"/>
        <v>70128</v>
      </c>
      <c r="H1389" s="533">
        <f t="shared" si="809"/>
        <v>64</v>
      </c>
      <c r="I1389" s="533">
        <f t="shared" si="809"/>
        <v>20</v>
      </c>
      <c r="J1389" s="533">
        <f t="shared" si="809"/>
        <v>5</v>
      </c>
      <c r="K1389" s="534">
        <f t="shared" si="799"/>
        <v>0.0142498632325741</v>
      </c>
      <c r="L1389" s="535">
        <f t="shared" si="800"/>
        <v>1.26534430225472</v>
      </c>
      <c r="M1389" s="535">
        <f t="shared" si="801"/>
        <v>18.0309832492467</v>
      </c>
      <c r="N1389" s="535">
        <f t="shared" si="802"/>
        <v>33.7733513771232</v>
      </c>
      <c r="O1389" s="535">
        <f t="shared" si="803"/>
        <v>0.0036563071297989</v>
      </c>
      <c r="P1389" s="536">
        <f t="shared" si="804"/>
        <v>24.7194047619048</v>
      </c>
      <c r="Q1389" s="531">
        <f t="shared" si="805"/>
        <v>84</v>
      </c>
      <c r="R1389" s="537">
        <f t="shared" si="806"/>
        <v>0.0511882998171846</v>
      </c>
    </row>
    <row r="1390" spans="1:18">
      <c r="A1390" s="524">
        <v>45728</v>
      </c>
      <c r="B1390" s="540" t="s">
        <v>98</v>
      </c>
      <c r="C1390" s="551">
        <v>750</v>
      </c>
      <c r="D1390" s="553">
        <v>9104</v>
      </c>
      <c r="E1390" s="551">
        <v>322</v>
      </c>
      <c r="F1390" s="551">
        <v>0</v>
      </c>
      <c r="G1390" s="551">
        <v>0</v>
      </c>
      <c r="H1390" s="551">
        <v>8</v>
      </c>
      <c r="I1390" s="551">
        <v>1</v>
      </c>
      <c r="J1390" s="551">
        <v>3</v>
      </c>
      <c r="K1390" s="527">
        <f t="shared" si="799"/>
        <v>0.0353690685413005</v>
      </c>
      <c r="L1390" s="528">
        <f t="shared" si="800"/>
        <v>2.32919254658385</v>
      </c>
      <c r="M1390" s="528">
        <f t="shared" si="801"/>
        <v>82.3813708260106</v>
      </c>
      <c r="N1390" s="528">
        <f t="shared" si="802"/>
        <v>0</v>
      </c>
      <c r="O1390" s="528">
        <f t="shared" si="803"/>
        <v>0</v>
      </c>
      <c r="P1390" s="529">
        <f t="shared" si="804"/>
        <v>83.3333333333333</v>
      </c>
      <c r="Q1390" s="24">
        <f t="shared" si="805"/>
        <v>9</v>
      </c>
      <c r="R1390" s="530">
        <f t="shared" si="806"/>
        <v>0.0279503105590062</v>
      </c>
    </row>
    <row r="1391" spans="1:18">
      <c r="A1391" s="524"/>
      <c r="B1391" s="540" t="s">
        <v>99</v>
      </c>
      <c r="C1391" s="551">
        <v>401.75</v>
      </c>
      <c r="D1391" s="551">
        <v>3744</v>
      </c>
      <c r="E1391" s="551">
        <v>265</v>
      </c>
      <c r="F1391" s="551">
        <v>0</v>
      </c>
      <c r="G1391" s="551">
        <v>0</v>
      </c>
      <c r="H1391" s="551">
        <v>5</v>
      </c>
      <c r="I1391" s="551">
        <v>0</v>
      </c>
      <c r="J1391" s="551">
        <v>1</v>
      </c>
      <c r="K1391" s="527">
        <f t="shared" si="799"/>
        <v>0.0707799145299145</v>
      </c>
      <c r="L1391" s="528">
        <f t="shared" si="800"/>
        <v>1.51603773584906</v>
      </c>
      <c r="M1391" s="528">
        <f t="shared" si="801"/>
        <v>107.305021367521</v>
      </c>
      <c r="N1391" s="528">
        <f t="shared" si="802"/>
        <v>0</v>
      </c>
      <c r="O1391" s="528">
        <f t="shared" si="803"/>
        <v>0</v>
      </c>
      <c r="P1391" s="529">
        <f t="shared" si="804"/>
        <v>80.35</v>
      </c>
      <c r="Q1391" s="24">
        <f t="shared" si="805"/>
        <v>5</v>
      </c>
      <c r="R1391" s="530">
        <f t="shared" si="806"/>
        <v>0.0188679245283019</v>
      </c>
    </row>
    <row r="1392" spans="1:18">
      <c r="A1392" s="524"/>
      <c r="B1392" s="540" t="s">
        <v>100</v>
      </c>
      <c r="C1392" s="552">
        <v>684.76</v>
      </c>
      <c r="D1392" s="551">
        <v>89458</v>
      </c>
      <c r="E1392" s="551">
        <v>875</v>
      </c>
      <c r="F1392" s="551">
        <v>2</v>
      </c>
      <c r="G1392" s="551">
        <v>17568</v>
      </c>
      <c r="H1392" s="551">
        <v>30</v>
      </c>
      <c r="I1392" s="551">
        <v>14</v>
      </c>
      <c r="J1392" s="551">
        <v>5</v>
      </c>
      <c r="K1392" s="527">
        <f t="shared" si="799"/>
        <v>0.00978112633861701</v>
      </c>
      <c r="L1392" s="528">
        <f t="shared" si="800"/>
        <v>0.782582857142857</v>
      </c>
      <c r="M1392" s="528">
        <f t="shared" si="801"/>
        <v>7.65454179615015</v>
      </c>
      <c r="N1392" s="528">
        <f t="shared" si="802"/>
        <v>25.6557041883288</v>
      </c>
      <c r="O1392" s="528">
        <f t="shared" si="803"/>
        <v>0.00228571428571429</v>
      </c>
      <c r="P1392" s="529">
        <f t="shared" si="804"/>
        <v>15.5627272727273</v>
      </c>
      <c r="Q1392" s="24">
        <f t="shared" si="805"/>
        <v>44</v>
      </c>
      <c r="R1392" s="530">
        <f t="shared" si="806"/>
        <v>0.0502857142857143</v>
      </c>
    </row>
    <row r="1393" spans="1:18">
      <c r="A1393" s="524"/>
      <c r="B1393" s="540" t="s">
        <v>101</v>
      </c>
      <c r="C1393" s="551">
        <v>368.69</v>
      </c>
      <c r="D1393" s="551">
        <v>6418</v>
      </c>
      <c r="E1393" s="551">
        <v>334</v>
      </c>
      <c r="F1393" s="551">
        <v>5</v>
      </c>
      <c r="G1393" s="551">
        <v>33406.02</v>
      </c>
      <c r="H1393" s="551">
        <v>12</v>
      </c>
      <c r="I1393" s="551">
        <v>3</v>
      </c>
      <c r="J1393" s="551">
        <v>2</v>
      </c>
      <c r="K1393" s="527">
        <f t="shared" si="799"/>
        <v>0.0520411343097538</v>
      </c>
      <c r="L1393" s="528">
        <f t="shared" si="800"/>
        <v>1.1038622754491</v>
      </c>
      <c r="M1393" s="528">
        <f t="shared" si="801"/>
        <v>57.4462449361172</v>
      </c>
      <c r="N1393" s="528">
        <f t="shared" si="802"/>
        <v>90.6073394993084</v>
      </c>
      <c r="O1393" s="528">
        <f t="shared" si="803"/>
        <v>0.0149700598802395</v>
      </c>
      <c r="P1393" s="529">
        <f t="shared" si="804"/>
        <v>24.5793333333333</v>
      </c>
      <c r="Q1393" s="24">
        <f t="shared" si="805"/>
        <v>15</v>
      </c>
      <c r="R1393" s="530">
        <f t="shared" si="806"/>
        <v>0.0449101796407186</v>
      </c>
    </row>
    <row r="1394" spans="1:18">
      <c r="A1394" s="524"/>
      <c r="B1394" s="531" t="s">
        <v>96</v>
      </c>
      <c r="C1394" s="533">
        <f t="shared" ref="C1394:J1394" si="810">SUM(C1390:C1393)</f>
        <v>2205.2</v>
      </c>
      <c r="D1394" s="533">
        <f t="shared" si="810"/>
        <v>108724</v>
      </c>
      <c r="E1394" s="533">
        <f t="shared" si="810"/>
        <v>1796</v>
      </c>
      <c r="F1394" s="533">
        <f t="shared" si="810"/>
        <v>7</v>
      </c>
      <c r="G1394" s="533">
        <f t="shared" si="810"/>
        <v>50974.02</v>
      </c>
      <c r="H1394" s="533">
        <f t="shared" si="810"/>
        <v>55</v>
      </c>
      <c r="I1394" s="533">
        <f t="shared" si="810"/>
        <v>18</v>
      </c>
      <c r="J1394" s="533">
        <f t="shared" si="810"/>
        <v>11</v>
      </c>
      <c r="K1394" s="534">
        <f t="shared" si="799"/>
        <v>0.0165188918729995</v>
      </c>
      <c r="L1394" s="535">
        <f t="shared" si="800"/>
        <v>1.22783964365256</v>
      </c>
      <c r="M1394" s="535">
        <f t="shared" si="801"/>
        <v>20.2825503108789</v>
      </c>
      <c r="N1394" s="535">
        <f t="shared" si="802"/>
        <v>23.1153727553056</v>
      </c>
      <c r="O1394" s="535">
        <f t="shared" si="803"/>
        <v>0.00389755011135857</v>
      </c>
      <c r="P1394" s="536">
        <f t="shared" si="804"/>
        <v>30.2082191780822</v>
      </c>
      <c r="Q1394" s="531">
        <f t="shared" si="805"/>
        <v>73</v>
      </c>
      <c r="R1394" s="537">
        <f t="shared" si="806"/>
        <v>0.0406458797327394</v>
      </c>
    </row>
    <row r="1395" spans="1:18">
      <c r="A1395" s="524">
        <v>45729</v>
      </c>
      <c r="B1395" s="540" t="s">
        <v>98</v>
      </c>
      <c r="C1395" s="551">
        <v>742.92</v>
      </c>
      <c r="D1395" s="553">
        <v>12183</v>
      </c>
      <c r="E1395" s="551">
        <v>345</v>
      </c>
      <c r="F1395" s="551">
        <v>0</v>
      </c>
      <c r="G1395" s="551">
        <v>0</v>
      </c>
      <c r="H1395" s="551">
        <v>16</v>
      </c>
      <c r="I1395" s="551">
        <v>6</v>
      </c>
      <c r="J1395" s="551">
        <v>4</v>
      </c>
      <c r="K1395" s="527">
        <f t="shared" si="799"/>
        <v>0.0283181482393499</v>
      </c>
      <c r="L1395" s="528">
        <f t="shared" si="800"/>
        <v>2.15339130434783</v>
      </c>
      <c r="M1395" s="528">
        <f t="shared" si="801"/>
        <v>60.9800541738488</v>
      </c>
      <c r="N1395" s="528">
        <f t="shared" si="802"/>
        <v>0</v>
      </c>
      <c r="O1395" s="528">
        <f t="shared" si="803"/>
        <v>0</v>
      </c>
      <c r="P1395" s="529">
        <f t="shared" si="804"/>
        <v>33.7690909090909</v>
      </c>
      <c r="Q1395" s="24">
        <f t="shared" si="805"/>
        <v>22</v>
      </c>
      <c r="R1395" s="530">
        <f t="shared" si="806"/>
        <v>0.063768115942029</v>
      </c>
    </row>
    <row r="1396" spans="1:18">
      <c r="A1396" s="524"/>
      <c r="B1396" s="540" t="s">
        <v>99</v>
      </c>
      <c r="C1396" s="551">
        <v>0</v>
      </c>
      <c r="D1396" s="551">
        <v>0</v>
      </c>
      <c r="E1396" s="551">
        <v>0</v>
      </c>
      <c r="F1396" s="551">
        <v>0</v>
      </c>
      <c r="G1396" s="551">
        <v>0</v>
      </c>
      <c r="H1396" s="551">
        <v>0</v>
      </c>
      <c r="I1396" s="551">
        <v>0</v>
      </c>
      <c r="J1396" s="551">
        <v>0</v>
      </c>
      <c r="K1396" s="527">
        <f t="shared" si="799"/>
        <v>0</v>
      </c>
      <c r="L1396" s="528">
        <f t="shared" si="800"/>
        <v>0</v>
      </c>
      <c r="M1396" s="528">
        <f t="shared" si="801"/>
        <v>0</v>
      </c>
      <c r="N1396" s="528">
        <f t="shared" si="802"/>
        <v>0</v>
      </c>
      <c r="O1396" s="528">
        <f t="shared" si="803"/>
        <v>0</v>
      </c>
      <c r="P1396" s="529">
        <f t="shared" si="804"/>
        <v>0</v>
      </c>
      <c r="Q1396" s="24">
        <f t="shared" si="805"/>
        <v>0</v>
      </c>
      <c r="R1396" s="530">
        <f t="shared" si="806"/>
        <v>0</v>
      </c>
    </row>
    <row r="1397" spans="1:18">
      <c r="A1397" s="524"/>
      <c r="B1397" s="540" t="s">
        <v>100</v>
      </c>
      <c r="C1397" s="552">
        <v>686.7</v>
      </c>
      <c r="D1397" s="551">
        <v>82305</v>
      </c>
      <c r="E1397" s="551">
        <v>851</v>
      </c>
      <c r="F1397" s="551">
        <v>0</v>
      </c>
      <c r="G1397" s="551">
        <v>0</v>
      </c>
      <c r="H1397" s="551">
        <v>41</v>
      </c>
      <c r="I1397" s="551">
        <v>20</v>
      </c>
      <c r="J1397" s="551">
        <v>2</v>
      </c>
      <c r="K1397" s="527">
        <f t="shared" si="799"/>
        <v>0.0103395905473544</v>
      </c>
      <c r="L1397" s="528">
        <f t="shared" si="800"/>
        <v>0.806933019976498</v>
      </c>
      <c r="M1397" s="528">
        <f t="shared" si="801"/>
        <v>8.3433570256971</v>
      </c>
      <c r="N1397" s="528">
        <f t="shared" si="802"/>
        <v>0</v>
      </c>
      <c r="O1397" s="528">
        <f t="shared" si="803"/>
        <v>0</v>
      </c>
      <c r="P1397" s="529">
        <f t="shared" si="804"/>
        <v>11.2573770491803</v>
      </c>
      <c r="Q1397" s="24">
        <f t="shared" si="805"/>
        <v>61</v>
      </c>
      <c r="R1397" s="530">
        <f t="shared" si="806"/>
        <v>0.0716803760282021</v>
      </c>
    </row>
    <row r="1398" spans="1:18">
      <c r="A1398" s="524"/>
      <c r="B1398" s="540" t="s">
        <v>101</v>
      </c>
      <c r="C1398" s="551">
        <v>470.31</v>
      </c>
      <c r="D1398" s="551">
        <v>20216</v>
      </c>
      <c r="E1398" s="551">
        <v>732</v>
      </c>
      <c r="F1398" s="551">
        <v>3</v>
      </c>
      <c r="G1398" s="551">
        <v>22752</v>
      </c>
      <c r="H1398" s="551">
        <v>32</v>
      </c>
      <c r="I1398" s="551">
        <v>4</v>
      </c>
      <c r="J1398" s="551">
        <v>1</v>
      </c>
      <c r="K1398" s="527">
        <f t="shared" si="799"/>
        <v>0.0362089434111595</v>
      </c>
      <c r="L1398" s="528">
        <f t="shared" si="800"/>
        <v>0.6425</v>
      </c>
      <c r="M1398" s="528">
        <f t="shared" si="801"/>
        <v>23.26424614167</v>
      </c>
      <c r="N1398" s="528">
        <f t="shared" si="802"/>
        <v>48.3766026663265</v>
      </c>
      <c r="O1398" s="528">
        <f t="shared" si="803"/>
        <v>0.00409836065573771</v>
      </c>
      <c r="P1398" s="529">
        <f t="shared" si="804"/>
        <v>13.0641666666667</v>
      </c>
      <c r="Q1398" s="24">
        <f t="shared" si="805"/>
        <v>36</v>
      </c>
      <c r="R1398" s="530">
        <f t="shared" si="806"/>
        <v>0.0491803278688525</v>
      </c>
    </row>
    <row r="1399" spans="1:18">
      <c r="A1399" s="524"/>
      <c r="B1399" s="531" t="s">
        <v>96</v>
      </c>
      <c r="C1399" s="533">
        <f t="shared" ref="C1399:J1399" si="811">SUM(C1395:C1398)</f>
        <v>1899.93</v>
      </c>
      <c r="D1399" s="533">
        <f t="shared" si="811"/>
        <v>114704</v>
      </c>
      <c r="E1399" s="533">
        <f t="shared" si="811"/>
        <v>1928</v>
      </c>
      <c r="F1399" s="533">
        <f t="shared" si="811"/>
        <v>3</v>
      </c>
      <c r="G1399" s="533">
        <f t="shared" si="811"/>
        <v>22752</v>
      </c>
      <c r="H1399" s="533">
        <f t="shared" si="811"/>
        <v>89</v>
      </c>
      <c r="I1399" s="533">
        <f t="shared" si="811"/>
        <v>30</v>
      </c>
      <c r="J1399" s="533">
        <f t="shared" si="811"/>
        <v>7</v>
      </c>
      <c r="K1399" s="534">
        <f t="shared" si="799"/>
        <v>0.0168084809596875</v>
      </c>
      <c r="L1399" s="535">
        <f t="shared" si="800"/>
        <v>0.985440871369294</v>
      </c>
      <c r="M1399" s="535">
        <f t="shared" si="801"/>
        <v>16.5637641233087</v>
      </c>
      <c r="N1399" s="535">
        <f t="shared" si="802"/>
        <v>11.9751780328749</v>
      </c>
      <c r="O1399" s="535">
        <f t="shared" si="803"/>
        <v>0.00155601659751037</v>
      </c>
      <c r="P1399" s="536">
        <f t="shared" si="804"/>
        <v>15.9657983193277</v>
      </c>
      <c r="Q1399" s="531">
        <f t="shared" si="805"/>
        <v>119</v>
      </c>
      <c r="R1399" s="537">
        <f t="shared" si="806"/>
        <v>0.0617219917012448</v>
      </c>
    </row>
    <row r="1400" spans="1:18">
      <c r="A1400" s="524">
        <v>45730</v>
      </c>
      <c r="B1400" s="540" t="s">
        <v>98</v>
      </c>
      <c r="C1400" s="551">
        <v>749.48</v>
      </c>
      <c r="D1400" s="553">
        <v>7768</v>
      </c>
      <c r="E1400" s="551">
        <v>313</v>
      </c>
      <c r="F1400" s="551">
        <v>3</v>
      </c>
      <c r="G1400" s="551">
        <v>30656</v>
      </c>
      <c r="H1400" s="551">
        <v>14</v>
      </c>
      <c r="I1400" s="551">
        <v>3</v>
      </c>
      <c r="J1400" s="551">
        <v>1</v>
      </c>
      <c r="K1400" s="527">
        <f t="shared" si="799"/>
        <v>0.0402935118434603</v>
      </c>
      <c r="L1400" s="528">
        <f t="shared" si="800"/>
        <v>2.39450479233227</v>
      </c>
      <c r="M1400" s="528">
        <f t="shared" si="801"/>
        <v>96.4830072090628</v>
      </c>
      <c r="N1400" s="528">
        <f t="shared" si="802"/>
        <v>40.9030260980947</v>
      </c>
      <c r="O1400" s="528">
        <f t="shared" si="803"/>
        <v>0.00958466453674121</v>
      </c>
      <c r="P1400" s="529">
        <f t="shared" si="804"/>
        <v>44.0870588235294</v>
      </c>
      <c r="Q1400" s="24">
        <f t="shared" si="805"/>
        <v>17</v>
      </c>
      <c r="R1400" s="530">
        <f t="shared" si="806"/>
        <v>0.0543130990415335</v>
      </c>
    </row>
    <row r="1401" spans="1:18">
      <c r="A1401" s="524"/>
      <c r="B1401" s="540" t="s">
        <v>99</v>
      </c>
      <c r="C1401" s="551">
        <v>600</v>
      </c>
      <c r="D1401" s="551">
        <v>7191</v>
      </c>
      <c r="E1401" s="551">
        <v>396</v>
      </c>
      <c r="F1401" s="551">
        <v>0</v>
      </c>
      <c r="G1401" s="551">
        <v>0</v>
      </c>
      <c r="H1401" s="551">
        <v>1</v>
      </c>
      <c r="I1401" s="551">
        <v>0</v>
      </c>
      <c r="J1401" s="551">
        <v>5</v>
      </c>
      <c r="K1401" s="527">
        <f t="shared" si="799"/>
        <v>0.0550688360450563</v>
      </c>
      <c r="L1401" s="528">
        <f t="shared" si="800"/>
        <v>1.51515151515152</v>
      </c>
      <c r="M1401" s="528">
        <f t="shared" si="801"/>
        <v>83.4376303712974</v>
      </c>
      <c r="N1401" s="528">
        <f t="shared" si="802"/>
        <v>0</v>
      </c>
      <c r="O1401" s="528">
        <f t="shared" si="803"/>
        <v>0</v>
      </c>
      <c r="P1401" s="529">
        <f t="shared" si="804"/>
        <v>600</v>
      </c>
      <c r="Q1401" s="24">
        <f t="shared" si="805"/>
        <v>1</v>
      </c>
      <c r="R1401" s="530">
        <f t="shared" si="806"/>
        <v>0.00252525252525253</v>
      </c>
    </row>
    <row r="1402" spans="1:18">
      <c r="A1402" s="524"/>
      <c r="B1402" s="540" t="s">
        <v>100</v>
      </c>
      <c r="C1402" s="552">
        <v>691.91</v>
      </c>
      <c r="D1402" s="551">
        <v>77130</v>
      </c>
      <c r="E1402" s="551">
        <v>762</v>
      </c>
      <c r="F1402" s="551">
        <v>1</v>
      </c>
      <c r="G1402" s="551">
        <v>14512</v>
      </c>
      <c r="H1402" s="551">
        <v>32</v>
      </c>
      <c r="I1402" s="551">
        <v>18</v>
      </c>
      <c r="J1402" s="551">
        <v>1</v>
      </c>
      <c r="K1402" s="527">
        <f t="shared" si="799"/>
        <v>0.00987942434850253</v>
      </c>
      <c r="L1402" s="528">
        <f t="shared" si="800"/>
        <v>0.908018372703412</v>
      </c>
      <c r="M1402" s="528">
        <f t="shared" si="801"/>
        <v>8.97069882017373</v>
      </c>
      <c r="N1402" s="528">
        <f t="shared" si="802"/>
        <v>20.9738260756457</v>
      </c>
      <c r="O1402" s="528">
        <f t="shared" si="803"/>
        <v>0.00131233595800525</v>
      </c>
      <c r="P1402" s="529">
        <f t="shared" si="804"/>
        <v>13.8382</v>
      </c>
      <c r="Q1402" s="24">
        <f t="shared" si="805"/>
        <v>50</v>
      </c>
      <c r="R1402" s="530">
        <f t="shared" si="806"/>
        <v>0.0656167979002625</v>
      </c>
    </row>
    <row r="1403" spans="1:18">
      <c r="A1403" s="524"/>
      <c r="B1403" s="540" t="s">
        <v>101</v>
      </c>
      <c r="C1403" s="551">
        <v>673.65</v>
      </c>
      <c r="D1403" s="551">
        <v>22154</v>
      </c>
      <c r="E1403" s="551">
        <v>766</v>
      </c>
      <c r="F1403" s="551">
        <v>2</v>
      </c>
      <c r="G1403" s="551">
        <v>31210</v>
      </c>
      <c r="H1403" s="551">
        <v>30</v>
      </c>
      <c r="I1403" s="551">
        <v>6</v>
      </c>
      <c r="J1403" s="551">
        <v>2</v>
      </c>
      <c r="K1403" s="527">
        <f t="shared" si="799"/>
        <v>0.0345761487767446</v>
      </c>
      <c r="L1403" s="528">
        <f t="shared" si="800"/>
        <v>0.87943864229765</v>
      </c>
      <c r="M1403" s="528">
        <f t="shared" si="801"/>
        <v>30.4076013361018</v>
      </c>
      <c r="N1403" s="528">
        <f t="shared" si="802"/>
        <v>46.3296964298968</v>
      </c>
      <c r="O1403" s="528">
        <f t="shared" si="803"/>
        <v>0.00261096605744125</v>
      </c>
      <c r="P1403" s="529">
        <f t="shared" si="804"/>
        <v>18.7125</v>
      </c>
      <c r="Q1403" s="24">
        <f t="shared" si="805"/>
        <v>36</v>
      </c>
      <c r="R1403" s="530">
        <f t="shared" si="806"/>
        <v>0.0469973890339426</v>
      </c>
    </row>
    <row r="1404" spans="1:18">
      <c r="A1404" s="524"/>
      <c r="B1404" s="531" t="s">
        <v>96</v>
      </c>
      <c r="C1404" s="533">
        <f t="shared" ref="C1404:J1404" si="812">SUM(C1400:C1403)</f>
        <v>2715.04</v>
      </c>
      <c r="D1404" s="533">
        <f t="shared" si="812"/>
        <v>114243</v>
      </c>
      <c r="E1404" s="533">
        <f t="shared" si="812"/>
        <v>2237</v>
      </c>
      <c r="F1404" s="533">
        <f t="shared" si="812"/>
        <v>6</v>
      </c>
      <c r="G1404" s="533">
        <f t="shared" si="812"/>
        <v>76378</v>
      </c>
      <c r="H1404" s="533">
        <f t="shared" si="812"/>
        <v>77</v>
      </c>
      <c r="I1404" s="533">
        <f t="shared" si="812"/>
        <v>27</v>
      </c>
      <c r="J1404" s="533">
        <f t="shared" si="812"/>
        <v>9</v>
      </c>
      <c r="K1404" s="534">
        <f t="shared" si="799"/>
        <v>0.0195810684243236</v>
      </c>
      <c r="L1404" s="535">
        <f t="shared" si="800"/>
        <v>1.21369691551185</v>
      </c>
      <c r="M1404" s="535">
        <f t="shared" si="801"/>
        <v>23.7654823490279</v>
      </c>
      <c r="N1404" s="535">
        <f t="shared" si="802"/>
        <v>28.1314455772291</v>
      </c>
      <c r="O1404" s="535">
        <f t="shared" si="803"/>
        <v>0.00268216361198033</v>
      </c>
      <c r="P1404" s="536">
        <f t="shared" si="804"/>
        <v>26.1061538461538</v>
      </c>
      <c r="Q1404" s="531">
        <f t="shared" si="805"/>
        <v>104</v>
      </c>
      <c r="R1404" s="537">
        <f t="shared" si="806"/>
        <v>0.0464908359409924</v>
      </c>
    </row>
    <row r="1405" spans="1:18">
      <c r="A1405" s="524">
        <v>45731</v>
      </c>
      <c r="B1405" s="540" t="s">
        <v>98</v>
      </c>
      <c r="C1405" s="551">
        <v>750</v>
      </c>
      <c r="D1405" s="553">
        <v>7332</v>
      </c>
      <c r="E1405" s="551">
        <v>285</v>
      </c>
      <c r="F1405" s="551">
        <v>1</v>
      </c>
      <c r="G1405" s="551">
        <v>5144</v>
      </c>
      <c r="H1405" s="551">
        <v>15</v>
      </c>
      <c r="I1405" s="551">
        <v>6</v>
      </c>
      <c r="J1405" s="551">
        <v>1</v>
      </c>
      <c r="K1405" s="527">
        <f t="shared" si="799"/>
        <v>0.0388707037643208</v>
      </c>
      <c r="L1405" s="528">
        <f t="shared" si="800"/>
        <v>2.63157894736842</v>
      </c>
      <c r="M1405" s="528">
        <f t="shared" si="801"/>
        <v>102.291325695581</v>
      </c>
      <c r="N1405" s="528">
        <f t="shared" si="802"/>
        <v>6.85866666666667</v>
      </c>
      <c r="O1405" s="528">
        <f t="shared" si="803"/>
        <v>0.00350877192982456</v>
      </c>
      <c r="P1405" s="529">
        <f t="shared" si="804"/>
        <v>35.7142857142857</v>
      </c>
      <c r="Q1405" s="24">
        <f t="shared" si="805"/>
        <v>21</v>
      </c>
      <c r="R1405" s="530">
        <f t="shared" si="806"/>
        <v>0.0736842105263158</v>
      </c>
    </row>
    <row r="1406" spans="1:18">
      <c r="A1406" s="524"/>
      <c r="B1406" s="540" t="s">
        <v>99</v>
      </c>
      <c r="C1406" s="551">
        <v>0</v>
      </c>
      <c r="D1406" s="551">
        <v>0</v>
      </c>
      <c r="E1406" s="551">
        <v>0</v>
      </c>
      <c r="F1406" s="551">
        <v>0</v>
      </c>
      <c r="G1406" s="551">
        <v>0</v>
      </c>
      <c r="H1406" s="551">
        <v>0</v>
      </c>
      <c r="I1406" s="551">
        <v>0</v>
      </c>
      <c r="J1406" s="551">
        <v>0</v>
      </c>
      <c r="K1406" s="527">
        <f t="shared" si="799"/>
        <v>0</v>
      </c>
      <c r="L1406" s="528">
        <f t="shared" si="800"/>
        <v>0</v>
      </c>
      <c r="M1406" s="528">
        <f t="shared" si="801"/>
        <v>0</v>
      </c>
      <c r="N1406" s="528">
        <f t="shared" si="802"/>
        <v>0</v>
      </c>
      <c r="O1406" s="528">
        <f t="shared" si="803"/>
        <v>0</v>
      </c>
      <c r="P1406" s="529">
        <f t="shared" si="804"/>
        <v>0</v>
      </c>
      <c r="Q1406" s="24">
        <f t="shared" si="805"/>
        <v>0</v>
      </c>
      <c r="R1406" s="530">
        <f t="shared" si="806"/>
        <v>0</v>
      </c>
    </row>
    <row r="1407" spans="1:18">
      <c r="A1407" s="524"/>
      <c r="B1407" s="540" t="s">
        <v>100</v>
      </c>
      <c r="C1407" s="552">
        <v>668</v>
      </c>
      <c r="D1407" s="551">
        <v>108998</v>
      </c>
      <c r="E1407" s="551">
        <v>857</v>
      </c>
      <c r="F1407" s="551">
        <v>0</v>
      </c>
      <c r="G1407" s="551">
        <v>0</v>
      </c>
      <c r="H1407" s="551">
        <v>30</v>
      </c>
      <c r="I1407" s="551">
        <v>24</v>
      </c>
      <c r="J1407" s="551">
        <v>2</v>
      </c>
      <c r="K1407" s="527">
        <f t="shared" si="799"/>
        <v>0.00786252958769886</v>
      </c>
      <c r="L1407" s="528">
        <f t="shared" si="800"/>
        <v>0.779463243873979</v>
      </c>
      <c r="M1407" s="528">
        <f t="shared" si="801"/>
        <v>6.12855281748289</v>
      </c>
      <c r="N1407" s="528">
        <f t="shared" si="802"/>
        <v>0</v>
      </c>
      <c r="O1407" s="528">
        <f t="shared" si="803"/>
        <v>0</v>
      </c>
      <c r="P1407" s="529">
        <f t="shared" si="804"/>
        <v>12.3703703703704</v>
      </c>
      <c r="Q1407" s="24">
        <f t="shared" si="805"/>
        <v>54</v>
      </c>
      <c r="R1407" s="530">
        <f t="shared" si="806"/>
        <v>0.0630105017502917</v>
      </c>
    </row>
    <row r="1408" spans="1:18">
      <c r="A1408" s="524"/>
      <c r="B1408" s="540" t="s">
        <v>101</v>
      </c>
      <c r="C1408" s="551">
        <v>796.27</v>
      </c>
      <c r="D1408" s="551">
        <v>33235</v>
      </c>
      <c r="E1408" s="551">
        <v>878</v>
      </c>
      <c r="F1408" s="551">
        <v>3</v>
      </c>
      <c r="G1408" s="551">
        <v>19606.32</v>
      </c>
      <c r="H1408" s="551">
        <v>35</v>
      </c>
      <c r="I1408" s="551">
        <v>5</v>
      </c>
      <c r="J1408" s="551">
        <v>2</v>
      </c>
      <c r="K1408" s="527">
        <f t="shared" si="799"/>
        <v>0.0264179329020611</v>
      </c>
      <c r="L1408" s="528">
        <f t="shared" si="800"/>
        <v>0.906913439635535</v>
      </c>
      <c r="M1408" s="528">
        <f t="shared" si="801"/>
        <v>23.958778396269</v>
      </c>
      <c r="N1408" s="528">
        <f t="shared" si="802"/>
        <v>24.6227033543898</v>
      </c>
      <c r="O1408" s="528">
        <f t="shared" si="803"/>
        <v>0.00341685649202733</v>
      </c>
      <c r="P1408" s="529">
        <f t="shared" si="804"/>
        <v>19.90675</v>
      </c>
      <c r="Q1408" s="24">
        <f t="shared" si="805"/>
        <v>40</v>
      </c>
      <c r="R1408" s="530">
        <f t="shared" si="806"/>
        <v>0.0455580865603645</v>
      </c>
    </row>
    <row r="1409" spans="1:18">
      <c r="A1409" s="524"/>
      <c r="B1409" s="531" t="s">
        <v>96</v>
      </c>
      <c r="C1409" s="533">
        <f t="shared" ref="C1409:J1409" si="813">SUM(C1405:C1408)</f>
        <v>2214.27</v>
      </c>
      <c r="D1409" s="533">
        <f t="shared" si="813"/>
        <v>149565</v>
      </c>
      <c r="E1409" s="533">
        <f t="shared" si="813"/>
        <v>2020</v>
      </c>
      <c r="F1409" s="533">
        <f t="shared" si="813"/>
        <v>4</v>
      </c>
      <c r="G1409" s="533">
        <f t="shared" si="813"/>
        <v>24750.32</v>
      </c>
      <c r="H1409" s="533">
        <f t="shared" si="813"/>
        <v>80</v>
      </c>
      <c r="I1409" s="533">
        <f t="shared" si="813"/>
        <v>35</v>
      </c>
      <c r="J1409" s="533">
        <f t="shared" si="813"/>
        <v>5</v>
      </c>
      <c r="K1409" s="534">
        <f t="shared" si="799"/>
        <v>0.0135058335840604</v>
      </c>
      <c r="L1409" s="535">
        <f t="shared" si="800"/>
        <v>1.09617326732673</v>
      </c>
      <c r="M1409" s="535">
        <f t="shared" si="801"/>
        <v>14.8047337278107</v>
      </c>
      <c r="N1409" s="535">
        <f t="shared" si="802"/>
        <v>11.1776431961775</v>
      </c>
      <c r="O1409" s="535">
        <f t="shared" si="803"/>
        <v>0.00198019801980198</v>
      </c>
      <c r="P1409" s="536">
        <f t="shared" si="804"/>
        <v>19.2545217391304</v>
      </c>
      <c r="Q1409" s="531">
        <f t="shared" si="805"/>
        <v>115</v>
      </c>
      <c r="R1409" s="537">
        <f t="shared" si="806"/>
        <v>0.0569306930693069</v>
      </c>
    </row>
    <row r="1410" spans="1:18">
      <c r="A1410" s="524">
        <v>45732</v>
      </c>
      <c r="B1410" s="540" t="s">
        <v>98</v>
      </c>
      <c r="C1410" s="551">
        <v>750</v>
      </c>
      <c r="D1410" s="553">
        <v>7306</v>
      </c>
      <c r="E1410" s="551">
        <v>301</v>
      </c>
      <c r="F1410" s="551">
        <v>0</v>
      </c>
      <c r="G1410" s="551">
        <v>0</v>
      </c>
      <c r="H1410" s="551">
        <v>11</v>
      </c>
      <c r="I1410" s="551">
        <v>2</v>
      </c>
      <c r="J1410" s="551">
        <v>0</v>
      </c>
      <c r="K1410" s="527">
        <f t="shared" ref="K1410:K1473" si="814">IF(E1410=0,0,E1410/D1410)</f>
        <v>0.0411990145086231</v>
      </c>
      <c r="L1410" s="528">
        <f t="shared" ref="L1410:L1473" si="815">IF(C1410=0,0,C1410/E1410)</f>
        <v>2.49169435215947</v>
      </c>
      <c r="M1410" s="528">
        <f t="shared" ref="M1410:M1473" si="816">IF(D1410=0,0,C1410/D1410*1000)</f>
        <v>102.655351765672</v>
      </c>
      <c r="N1410" s="528">
        <f t="shared" ref="N1410:N1473" si="817">IF(G1410=0,0,G1410/C1410)</f>
        <v>0</v>
      </c>
      <c r="O1410" s="528">
        <f t="shared" ref="O1410:O1473" si="818">IF(F1410=0,0,F1410/E1410)</f>
        <v>0</v>
      </c>
      <c r="P1410" s="529">
        <f t="shared" ref="P1410:P1473" si="819">IF(H1410+I1410=0,0,C1410/(H1410+I1410))</f>
        <v>57.6923076923077</v>
      </c>
      <c r="Q1410" s="24">
        <f t="shared" ref="Q1410:Q1473" si="820">H1410+I1410</f>
        <v>13</v>
      </c>
      <c r="R1410" s="530">
        <f t="shared" ref="R1410:R1473" si="821">IF(Q1410=0,0,Q1410/E1410)</f>
        <v>0.0431893687707641</v>
      </c>
    </row>
    <row r="1411" spans="1:18">
      <c r="A1411" s="524"/>
      <c r="B1411" s="540" t="s">
        <v>99</v>
      </c>
      <c r="C1411" s="551">
        <v>0</v>
      </c>
      <c r="D1411" s="551">
        <v>0</v>
      </c>
      <c r="E1411" s="551">
        <v>0</v>
      </c>
      <c r="F1411" s="551">
        <v>0</v>
      </c>
      <c r="G1411" s="551">
        <v>0</v>
      </c>
      <c r="H1411" s="551">
        <v>0</v>
      </c>
      <c r="I1411" s="551">
        <v>0</v>
      </c>
      <c r="J1411" s="551">
        <v>0</v>
      </c>
      <c r="K1411" s="527">
        <f t="shared" si="814"/>
        <v>0</v>
      </c>
      <c r="L1411" s="528">
        <f t="shared" si="815"/>
        <v>0</v>
      </c>
      <c r="M1411" s="528">
        <f t="shared" si="816"/>
        <v>0</v>
      </c>
      <c r="N1411" s="528">
        <f t="shared" si="817"/>
        <v>0</v>
      </c>
      <c r="O1411" s="528">
        <f t="shared" si="818"/>
        <v>0</v>
      </c>
      <c r="P1411" s="529">
        <f t="shared" si="819"/>
        <v>0</v>
      </c>
      <c r="Q1411" s="24">
        <f t="shared" si="820"/>
        <v>0</v>
      </c>
      <c r="R1411" s="530">
        <f t="shared" si="821"/>
        <v>0</v>
      </c>
    </row>
    <row r="1412" spans="1:18">
      <c r="A1412" s="524"/>
      <c r="B1412" s="540" t="s">
        <v>100</v>
      </c>
      <c r="C1412" s="552">
        <v>694.98</v>
      </c>
      <c r="D1412" s="551">
        <v>89700</v>
      </c>
      <c r="E1412" s="551">
        <v>746</v>
      </c>
      <c r="F1412" s="551">
        <v>1</v>
      </c>
      <c r="G1412" s="551">
        <v>13812</v>
      </c>
      <c r="H1412" s="551">
        <v>23</v>
      </c>
      <c r="I1412" s="551">
        <v>27</v>
      </c>
      <c r="J1412" s="551">
        <v>3</v>
      </c>
      <c r="K1412" s="527">
        <f t="shared" si="814"/>
        <v>0.00831661092530658</v>
      </c>
      <c r="L1412" s="528">
        <f t="shared" si="815"/>
        <v>0.931608579088472</v>
      </c>
      <c r="M1412" s="528">
        <f t="shared" si="816"/>
        <v>7.74782608695652</v>
      </c>
      <c r="N1412" s="528">
        <f t="shared" si="817"/>
        <v>19.8739532072865</v>
      </c>
      <c r="O1412" s="528">
        <f t="shared" si="818"/>
        <v>0.00134048257372654</v>
      </c>
      <c r="P1412" s="529">
        <f t="shared" si="819"/>
        <v>13.8996</v>
      </c>
      <c r="Q1412" s="24">
        <f t="shared" si="820"/>
        <v>50</v>
      </c>
      <c r="R1412" s="530">
        <f t="shared" si="821"/>
        <v>0.0670241286863271</v>
      </c>
    </row>
    <row r="1413" spans="1:18">
      <c r="A1413" s="524"/>
      <c r="B1413" s="540" t="s">
        <v>101</v>
      </c>
      <c r="C1413" s="551">
        <v>731.56</v>
      </c>
      <c r="D1413" s="551">
        <v>31697</v>
      </c>
      <c r="E1413" s="551">
        <v>1021</v>
      </c>
      <c r="F1413" s="551">
        <v>1</v>
      </c>
      <c r="G1413" s="551">
        <v>4798</v>
      </c>
      <c r="H1413" s="551">
        <v>40</v>
      </c>
      <c r="I1413" s="551">
        <v>5</v>
      </c>
      <c r="J1413" s="551">
        <v>3</v>
      </c>
      <c r="K1413" s="527">
        <f t="shared" si="814"/>
        <v>0.0322112502760514</v>
      </c>
      <c r="L1413" s="528">
        <f t="shared" si="815"/>
        <v>0.716513222331048</v>
      </c>
      <c r="M1413" s="528">
        <f t="shared" si="816"/>
        <v>23.0797867306054</v>
      </c>
      <c r="N1413" s="528">
        <f t="shared" si="817"/>
        <v>6.55858712887528</v>
      </c>
      <c r="O1413" s="528">
        <f t="shared" si="818"/>
        <v>0.000979431929480901</v>
      </c>
      <c r="P1413" s="529">
        <f t="shared" si="819"/>
        <v>16.2568888888889</v>
      </c>
      <c r="Q1413" s="24">
        <f t="shared" si="820"/>
        <v>45</v>
      </c>
      <c r="R1413" s="530">
        <f t="shared" si="821"/>
        <v>0.0440744368266405</v>
      </c>
    </row>
    <row r="1414" spans="1:18">
      <c r="A1414" s="524"/>
      <c r="B1414" s="531" t="s">
        <v>96</v>
      </c>
      <c r="C1414" s="533">
        <f t="shared" ref="C1414:J1414" si="822">SUM(C1410:C1413)</f>
        <v>2176.54</v>
      </c>
      <c r="D1414" s="533">
        <f t="shared" si="822"/>
        <v>128703</v>
      </c>
      <c r="E1414" s="533">
        <f t="shared" si="822"/>
        <v>2068</v>
      </c>
      <c r="F1414" s="533">
        <f t="shared" si="822"/>
        <v>2</v>
      </c>
      <c r="G1414" s="533">
        <f t="shared" si="822"/>
        <v>18610</v>
      </c>
      <c r="H1414" s="533">
        <f t="shared" si="822"/>
        <v>74</v>
      </c>
      <c r="I1414" s="533">
        <f t="shared" si="822"/>
        <v>34</v>
      </c>
      <c r="J1414" s="533">
        <f t="shared" si="822"/>
        <v>6</v>
      </c>
      <c r="K1414" s="534">
        <f t="shared" si="814"/>
        <v>0.016068001522886</v>
      </c>
      <c r="L1414" s="535">
        <f t="shared" si="815"/>
        <v>1.05248549323017</v>
      </c>
      <c r="M1414" s="535">
        <f t="shared" si="816"/>
        <v>16.9113385080379</v>
      </c>
      <c r="N1414" s="535">
        <f t="shared" si="817"/>
        <v>8.55026785632242</v>
      </c>
      <c r="O1414" s="535">
        <f t="shared" si="818"/>
        <v>0.000967117988394584</v>
      </c>
      <c r="P1414" s="536">
        <f t="shared" si="819"/>
        <v>20.1531481481481</v>
      </c>
      <c r="Q1414" s="531">
        <f t="shared" si="820"/>
        <v>108</v>
      </c>
      <c r="R1414" s="537">
        <f t="shared" si="821"/>
        <v>0.0522243713733075</v>
      </c>
    </row>
    <row r="1415" spans="1:18">
      <c r="A1415" s="524">
        <v>45733</v>
      </c>
      <c r="B1415" s="540" t="s">
        <v>98</v>
      </c>
      <c r="C1415" s="551">
        <v>750</v>
      </c>
      <c r="D1415" s="553">
        <v>9463</v>
      </c>
      <c r="E1415" s="551">
        <v>333</v>
      </c>
      <c r="F1415" s="551">
        <v>0</v>
      </c>
      <c r="G1415" s="551">
        <v>0</v>
      </c>
      <c r="H1415" s="551">
        <v>16</v>
      </c>
      <c r="I1415" s="551">
        <v>0</v>
      </c>
      <c r="J1415" s="551">
        <v>4</v>
      </c>
      <c r="K1415" s="527">
        <f t="shared" si="814"/>
        <v>0.0351896861460425</v>
      </c>
      <c r="L1415" s="528">
        <f t="shared" si="815"/>
        <v>2.25225225225225</v>
      </c>
      <c r="M1415" s="528">
        <f t="shared" si="816"/>
        <v>79.2560498784741</v>
      </c>
      <c r="N1415" s="528">
        <f t="shared" si="817"/>
        <v>0</v>
      </c>
      <c r="O1415" s="528">
        <f t="shared" si="818"/>
        <v>0</v>
      </c>
      <c r="P1415" s="529">
        <f t="shared" si="819"/>
        <v>46.875</v>
      </c>
      <c r="Q1415" s="24">
        <f t="shared" si="820"/>
        <v>16</v>
      </c>
      <c r="R1415" s="530">
        <f t="shared" si="821"/>
        <v>0.048048048048048</v>
      </c>
    </row>
    <row r="1416" spans="1:18">
      <c r="A1416" s="524"/>
      <c r="B1416" s="540" t="s">
        <v>99</v>
      </c>
      <c r="C1416" s="551">
        <v>0</v>
      </c>
      <c r="D1416" s="551">
        <v>0</v>
      </c>
      <c r="E1416" s="551">
        <v>0</v>
      </c>
      <c r="F1416" s="551">
        <v>0</v>
      </c>
      <c r="G1416" s="551">
        <v>0</v>
      </c>
      <c r="H1416" s="551">
        <v>0</v>
      </c>
      <c r="I1416" s="551">
        <v>0</v>
      </c>
      <c r="J1416" s="551">
        <v>0</v>
      </c>
      <c r="K1416" s="527">
        <f t="shared" si="814"/>
        <v>0</v>
      </c>
      <c r="L1416" s="528">
        <f t="shared" si="815"/>
        <v>0</v>
      </c>
      <c r="M1416" s="528">
        <f t="shared" si="816"/>
        <v>0</v>
      </c>
      <c r="N1416" s="528">
        <f t="shared" si="817"/>
        <v>0</v>
      </c>
      <c r="O1416" s="528">
        <f t="shared" si="818"/>
        <v>0</v>
      </c>
      <c r="P1416" s="529">
        <f t="shared" si="819"/>
        <v>0</v>
      </c>
      <c r="Q1416" s="24">
        <f t="shared" si="820"/>
        <v>0</v>
      </c>
      <c r="R1416" s="530">
        <f t="shared" si="821"/>
        <v>0</v>
      </c>
    </row>
    <row r="1417" spans="1:18">
      <c r="A1417" s="524"/>
      <c r="B1417" s="540" t="s">
        <v>100</v>
      </c>
      <c r="C1417" s="552">
        <v>956.97</v>
      </c>
      <c r="D1417" s="551">
        <v>79469</v>
      </c>
      <c r="E1417" s="551">
        <v>988</v>
      </c>
      <c r="F1417" s="551">
        <v>1</v>
      </c>
      <c r="G1417" s="551">
        <v>5074</v>
      </c>
      <c r="H1417" s="551">
        <v>39</v>
      </c>
      <c r="I1417" s="551">
        <v>18</v>
      </c>
      <c r="J1417" s="551">
        <v>3</v>
      </c>
      <c r="K1417" s="527">
        <f t="shared" si="814"/>
        <v>0.0124325208571896</v>
      </c>
      <c r="L1417" s="528">
        <f t="shared" si="815"/>
        <v>0.968593117408907</v>
      </c>
      <c r="M1417" s="528">
        <f t="shared" si="816"/>
        <v>12.0420541343165</v>
      </c>
      <c r="N1417" s="528">
        <f t="shared" si="817"/>
        <v>5.30215158259925</v>
      </c>
      <c r="O1417" s="528">
        <f t="shared" si="818"/>
        <v>0.00101214574898785</v>
      </c>
      <c r="P1417" s="529">
        <f t="shared" si="819"/>
        <v>16.7889473684211</v>
      </c>
      <c r="Q1417" s="24">
        <f t="shared" si="820"/>
        <v>57</v>
      </c>
      <c r="R1417" s="530">
        <f t="shared" si="821"/>
        <v>0.0576923076923077</v>
      </c>
    </row>
    <row r="1418" spans="1:18">
      <c r="A1418" s="524"/>
      <c r="B1418" s="540" t="s">
        <v>101</v>
      </c>
      <c r="C1418" s="551">
        <v>526.91</v>
      </c>
      <c r="D1418" s="551">
        <v>28165</v>
      </c>
      <c r="E1418" s="551">
        <v>869</v>
      </c>
      <c r="F1418" s="551">
        <v>1</v>
      </c>
      <c r="G1418" s="551">
        <v>14374</v>
      </c>
      <c r="H1418" s="551">
        <v>23</v>
      </c>
      <c r="I1418" s="551">
        <v>8</v>
      </c>
      <c r="J1418" s="551">
        <v>5</v>
      </c>
      <c r="K1418" s="527">
        <f t="shared" si="814"/>
        <v>0.0308538966802769</v>
      </c>
      <c r="L1418" s="528">
        <f t="shared" si="815"/>
        <v>0.606340621403913</v>
      </c>
      <c r="M1418" s="528">
        <f t="shared" si="816"/>
        <v>18.7079708858512</v>
      </c>
      <c r="N1418" s="528">
        <f t="shared" si="817"/>
        <v>27.279801104553</v>
      </c>
      <c r="O1418" s="528">
        <f t="shared" si="818"/>
        <v>0.00115074798619102</v>
      </c>
      <c r="P1418" s="529">
        <f t="shared" si="819"/>
        <v>16.9970967741935</v>
      </c>
      <c r="Q1418" s="24">
        <f t="shared" si="820"/>
        <v>31</v>
      </c>
      <c r="R1418" s="530">
        <f t="shared" si="821"/>
        <v>0.0356731875719217</v>
      </c>
    </row>
    <row r="1419" spans="1:18">
      <c r="A1419" s="524"/>
      <c r="B1419" s="531" t="s">
        <v>96</v>
      </c>
      <c r="C1419" s="533">
        <f t="shared" ref="C1419:J1419" si="823">SUM(C1415:C1418)</f>
        <v>2233.88</v>
      </c>
      <c r="D1419" s="533">
        <f t="shared" si="823"/>
        <v>117097</v>
      </c>
      <c r="E1419" s="533">
        <f t="shared" si="823"/>
        <v>2190</v>
      </c>
      <c r="F1419" s="533">
        <f t="shared" si="823"/>
        <v>2</v>
      </c>
      <c r="G1419" s="533">
        <f t="shared" si="823"/>
        <v>19448</v>
      </c>
      <c r="H1419" s="533">
        <f t="shared" si="823"/>
        <v>78</v>
      </c>
      <c r="I1419" s="533">
        <f t="shared" si="823"/>
        <v>26</v>
      </c>
      <c r="J1419" s="533">
        <f t="shared" si="823"/>
        <v>12</v>
      </c>
      <c r="K1419" s="534">
        <f t="shared" si="814"/>
        <v>0.0187024432735254</v>
      </c>
      <c r="L1419" s="535">
        <f t="shared" si="815"/>
        <v>1.02003652968037</v>
      </c>
      <c r="M1419" s="535">
        <f t="shared" si="816"/>
        <v>19.0771753332707</v>
      </c>
      <c r="N1419" s="535">
        <f t="shared" si="817"/>
        <v>8.70592869805003</v>
      </c>
      <c r="O1419" s="535">
        <f t="shared" si="818"/>
        <v>0.00091324200913242</v>
      </c>
      <c r="P1419" s="536">
        <f t="shared" si="819"/>
        <v>21.4796153846154</v>
      </c>
      <c r="Q1419" s="531">
        <f t="shared" si="820"/>
        <v>104</v>
      </c>
      <c r="R1419" s="537">
        <f t="shared" si="821"/>
        <v>0.0474885844748858</v>
      </c>
    </row>
    <row r="1420" spans="1:18">
      <c r="A1420" s="524">
        <v>45734</v>
      </c>
      <c r="B1420" s="540" t="s">
        <v>98</v>
      </c>
      <c r="C1420" s="551">
        <v>748.85</v>
      </c>
      <c r="D1420" s="553">
        <v>9810</v>
      </c>
      <c r="E1420" s="551">
        <v>313</v>
      </c>
      <c r="F1420" s="551">
        <v>0</v>
      </c>
      <c r="G1420" s="551">
        <v>0</v>
      </c>
      <c r="H1420" s="551">
        <v>21</v>
      </c>
      <c r="I1420" s="551">
        <v>4</v>
      </c>
      <c r="J1420" s="551">
        <v>0</v>
      </c>
      <c r="K1420" s="527">
        <f t="shared" si="814"/>
        <v>0.0319062181447503</v>
      </c>
      <c r="L1420" s="528">
        <f t="shared" si="815"/>
        <v>2.39249201277955</v>
      </c>
      <c r="M1420" s="528">
        <f t="shared" si="816"/>
        <v>76.335372069317</v>
      </c>
      <c r="N1420" s="528">
        <f t="shared" si="817"/>
        <v>0</v>
      </c>
      <c r="O1420" s="528">
        <f t="shared" si="818"/>
        <v>0</v>
      </c>
      <c r="P1420" s="529">
        <f t="shared" si="819"/>
        <v>29.954</v>
      </c>
      <c r="Q1420" s="24">
        <f t="shared" si="820"/>
        <v>25</v>
      </c>
      <c r="R1420" s="530">
        <f t="shared" si="821"/>
        <v>0.0798722044728434</v>
      </c>
    </row>
    <row r="1421" spans="1:18">
      <c r="A1421" s="524"/>
      <c r="B1421" s="540" t="s">
        <v>99</v>
      </c>
      <c r="C1421" s="551">
        <v>600</v>
      </c>
      <c r="D1421" s="551">
        <v>6073</v>
      </c>
      <c r="E1421" s="551">
        <v>515</v>
      </c>
      <c r="F1421" s="551">
        <v>0</v>
      </c>
      <c r="G1421" s="551">
        <v>0</v>
      </c>
      <c r="H1421" s="551">
        <v>6</v>
      </c>
      <c r="I1421" s="551">
        <v>0</v>
      </c>
      <c r="J1421" s="551">
        <v>0</v>
      </c>
      <c r="K1421" s="527">
        <f t="shared" si="814"/>
        <v>0.0848015807673308</v>
      </c>
      <c r="L1421" s="528">
        <f t="shared" si="815"/>
        <v>1.16504854368932</v>
      </c>
      <c r="M1421" s="528">
        <f t="shared" si="816"/>
        <v>98.797958175531</v>
      </c>
      <c r="N1421" s="528">
        <f t="shared" si="817"/>
        <v>0</v>
      </c>
      <c r="O1421" s="528">
        <f t="shared" si="818"/>
        <v>0</v>
      </c>
      <c r="P1421" s="529">
        <f t="shared" si="819"/>
        <v>100</v>
      </c>
      <c r="Q1421" s="24">
        <f t="shared" si="820"/>
        <v>6</v>
      </c>
      <c r="R1421" s="530">
        <f t="shared" si="821"/>
        <v>0.0116504854368932</v>
      </c>
    </row>
    <row r="1422" spans="1:18">
      <c r="A1422" s="524"/>
      <c r="B1422" s="540" t="s">
        <v>100</v>
      </c>
      <c r="C1422" s="552">
        <v>981.39</v>
      </c>
      <c r="D1422" s="551">
        <v>120953</v>
      </c>
      <c r="E1422" s="551">
        <v>2445</v>
      </c>
      <c r="F1422" s="551">
        <v>2</v>
      </c>
      <c r="G1422" s="551">
        <v>14520</v>
      </c>
      <c r="H1422" s="551">
        <v>35</v>
      </c>
      <c r="I1422" s="551">
        <v>29</v>
      </c>
      <c r="J1422" s="551">
        <v>3</v>
      </c>
      <c r="K1422" s="527">
        <f t="shared" si="814"/>
        <v>0.0202144634692815</v>
      </c>
      <c r="L1422" s="528">
        <f t="shared" si="815"/>
        <v>0.401386503067485</v>
      </c>
      <c r="M1422" s="528">
        <f t="shared" si="816"/>
        <v>8.1138128033203</v>
      </c>
      <c r="N1422" s="528">
        <f t="shared" si="817"/>
        <v>14.7953413016232</v>
      </c>
      <c r="O1422" s="528">
        <f t="shared" si="818"/>
        <v>0.00081799591002045</v>
      </c>
      <c r="P1422" s="529">
        <f t="shared" si="819"/>
        <v>15.33421875</v>
      </c>
      <c r="Q1422" s="24">
        <f t="shared" si="820"/>
        <v>64</v>
      </c>
      <c r="R1422" s="530">
        <f t="shared" si="821"/>
        <v>0.0261758691206544</v>
      </c>
    </row>
    <row r="1423" spans="1:18">
      <c r="A1423" s="524"/>
      <c r="B1423" s="540" t="s">
        <v>101</v>
      </c>
      <c r="C1423" s="551">
        <v>463.22</v>
      </c>
      <c r="D1423" s="551">
        <v>20584</v>
      </c>
      <c r="E1423" s="551">
        <v>747</v>
      </c>
      <c r="F1423" s="551">
        <v>4</v>
      </c>
      <c r="G1423" s="551">
        <v>25084</v>
      </c>
      <c r="H1423" s="551">
        <v>39</v>
      </c>
      <c r="I1423" s="551">
        <v>3</v>
      </c>
      <c r="J1423" s="551">
        <v>2</v>
      </c>
      <c r="K1423" s="527">
        <f t="shared" si="814"/>
        <v>0.0362903225806452</v>
      </c>
      <c r="L1423" s="528">
        <f t="shared" si="815"/>
        <v>0.620107095046854</v>
      </c>
      <c r="M1423" s="528">
        <f t="shared" si="816"/>
        <v>22.5038865137971</v>
      </c>
      <c r="N1423" s="528">
        <f t="shared" si="817"/>
        <v>54.1513751565131</v>
      </c>
      <c r="O1423" s="528">
        <f t="shared" si="818"/>
        <v>0.00535475234270415</v>
      </c>
      <c r="P1423" s="529">
        <f t="shared" si="819"/>
        <v>11.0290476190476</v>
      </c>
      <c r="Q1423" s="24">
        <f t="shared" si="820"/>
        <v>42</v>
      </c>
      <c r="R1423" s="530">
        <f t="shared" si="821"/>
        <v>0.0562248995983936</v>
      </c>
    </row>
    <row r="1424" spans="1:18">
      <c r="A1424" s="524"/>
      <c r="B1424" s="531" t="s">
        <v>96</v>
      </c>
      <c r="C1424" s="533">
        <f t="shared" ref="C1424:J1424" si="824">SUM(C1420:C1423)</f>
        <v>2793.46</v>
      </c>
      <c r="D1424" s="533">
        <f t="shared" si="824"/>
        <v>157420</v>
      </c>
      <c r="E1424" s="533">
        <f t="shared" si="824"/>
        <v>4020</v>
      </c>
      <c r="F1424" s="533">
        <f t="shared" si="824"/>
        <v>6</v>
      </c>
      <c r="G1424" s="533">
        <f t="shared" si="824"/>
        <v>39604</v>
      </c>
      <c r="H1424" s="533">
        <f t="shared" si="824"/>
        <v>101</v>
      </c>
      <c r="I1424" s="533">
        <f t="shared" si="824"/>
        <v>36</v>
      </c>
      <c r="J1424" s="533">
        <f t="shared" si="824"/>
        <v>5</v>
      </c>
      <c r="K1424" s="534">
        <f t="shared" si="814"/>
        <v>0.0255367805869648</v>
      </c>
      <c r="L1424" s="535">
        <f t="shared" si="815"/>
        <v>0.694890547263682</v>
      </c>
      <c r="M1424" s="535">
        <f t="shared" si="816"/>
        <v>17.7452674374285</v>
      </c>
      <c r="N1424" s="535">
        <f t="shared" si="817"/>
        <v>14.1774000701639</v>
      </c>
      <c r="O1424" s="535">
        <f t="shared" si="818"/>
        <v>0.00149253731343284</v>
      </c>
      <c r="P1424" s="536">
        <f t="shared" si="819"/>
        <v>20.3902189781022</v>
      </c>
      <c r="Q1424" s="531">
        <f t="shared" si="820"/>
        <v>137</v>
      </c>
      <c r="R1424" s="537">
        <f t="shared" si="821"/>
        <v>0.0340796019900498</v>
      </c>
    </row>
    <row r="1425" spans="1:18">
      <c r="A1425" s="524">
        <v>45735</v>
      </c>
      <c r="B1425" s="540" t="s">
        <v>98</v>
      </c>
      <c r="C1425" s="551">
        <v>750</v>
      </c>
      <c r="D1425" s="553">
        <v>10208</v>
      </c>
      <c r="E1425" s="551">
        <v>346</v>
      </c>
      <c r="F1425" s="551">
        <v>0</v>
      </c>
      <c r="G1425" s="551">
        <v>0</v>
      </c>
      <c r="H1425" s="551">
        <v>10</v>
      </c>
      <c r="I1425" s="551">
        <v>2</v>
      </c>
      <c r="J1425" s="551">
        <v>2</v>
      </c>
      <c r="K1425" s="527">
        <f t="shared" si="814"/>
        <v>0.0338949843260188</v>
      </c>
      <c r="L1425" s="528">
        <f t="shared" si="815"/>
        <v>2.16763005780347</v>
      </c>
      <c r="M1425" s="528">
        <f t="shared" si="816"/>
        <v>73.4717868338558</v>
      </c>
      <c r="N1425" s="528">
        <f t="shared" si="817"/>
        <v>0</v>
      </c>
      <c r="O1425" s="528">
        <f t="shared" si="818"/>
        <v>0</v>
      </c>
      <c r="P1425" s="529">
        <f t="shared" si="819"/>
        <v>62.5</v>
      </c>
      <c r="Q1425" s="24">
        <f t="shared" si="820"/>
        <v>12</v>
      </c>
      <c r="R1425" s="530">
        <f t="shared" si="821"/>
        <v>0.0346820809248555</v>
      </c>
    </row>
    <row r="1426" spans="1:18">
      <c r="A1426" s="524"/>
      <c r="B1426" s="540" t="s">
        <v>99</v>
      </c>
      <c r="C1426" s="551">
        <v>600</v>
      </c>
      <c r="D1426" s="551">
        <v>5775</v>
      </c>
      <c r="E1426" s="551">
        <v>431</v>
      </c>
      <c r="F1426" s="551">
        <v>1</v>
      </c>
      <c r="G1426" s="551">
        <v>7004</v>
      </c>
      <c r="H1426" s="551">
        <v>4</v>
      </c>
      <c r="I1426" s="551">
        <v>0</v>
      </c>
      <c r="J1426" s="551">
        <v>0</v>
      </c>
      <c r="K1426" s="527">
        <f t="shared" si="814"/>
        <v>0.0746320346320346</v>
      </c>
      <c r="L1426" s="528">
        <f t="shared" si="815"/>
        <v>1.39211136890951</v>
      </c>
      <c r="M1426" s="528">
        <f t="shared" si="816"/>
        <v>103.896103896104</v>
      </c>
      <c r="N1426" s="528">
        <f t="shared" si="817"/>
        <v>11.6733333333333</v>
      </c>
      <c r="O1426" s="528">
        <f t="shared" si="818"/>
        <v>0.00232018561484919</v>
      </c>
      <c r="P1426" s="529">
        <f t="shared" si="819"/>
        <v>150</v>
      </c>
      <c r="Q1426" s="24">
        <f t="shared" si="820"/>
        <v>4</v>
      </c>
      <c r="R1426" s="530">
        <f t="shared" si="821"/>
        <v>0.00928074245939675</v>
      </c>
    </row>
    <row r="1427" spans="1:18">
      <c r="A1427" s="524"/>
      <c r="B1427" s="540" t="s">
        <v>100</v>
      </c>
      <c r="C1427" s="552">
        <v>992</v>
      </c>
      <c r="D1427" s="551">
        <v>95209</v>
      </c>
      <c r="E1427" s="551">
        <v>1269</v>
      </c>
      <c r="F1427" s="551">
        <v>2</v>
      </c>
      <c r="G1427" s="551">
        <v>12870</v>
      </c>
      <c r="H1427" s="551">
        <v>34</v>
      </c>
      <c r="I1427" s="551">
        <v>26</v>
      </c>
      <c r="J1427" s="551">
        <v>3</v>
      </c>
      <c r="K1427" s="527">
        <f t="shared" si="814"/>
        <v>0.0133285718787089</v>
      </c>
      <c r="L1427" s="528">
        <f t="shared" si="815"/>
        <v>0.781717888100867</v>
      </c>
      <c r="M1427" s="528">
        <f t="shared" si="816"/>
        <v>10.419183060425</v>
      </c>
      <c r="N1427" s="528">
        <f t="shared" si="817"/>
        <v>12.9737903225806</v>
      </c>
      <c r="O1427" s="528">
        <f t="shared" si="818"/>
        <v>0.00157604412923562</v>
      </c>
      <c r="P1427" s="529">
        <f t="shared" si="819"/>
        <v>16.5333333333333</v>
      </c>
      <c r="Q1427" s="24">
        <f t="shared" si="820"/>
        <v>60</v>
      </c>
      <c r="R1427" s="530">
        <f t="shared" si="821"/>
        <v>0.0472813238770686</v>
      </c>
    </row>
    <row r="1428" spans="1:18">
      <c r="A1428" s="524"/>
      <c r="B1428" s="540" t="s">
        <v>101</v>
      </c>
      <c r="C1428" s="551">
        <v>563.71</v>
      </c>
      <c r="D1428" s="551">
        <v>18908</v>
      </c>
      <c r="E1428" s="551">
        <v>729</v>
      </c>
      <c r="F1428" s="551">
        <v>2</v>
      </c>
      <c r="G1428" s="551">
        <v>15617.02</v>
      </c>
      <c r="H1428" s="551">
        <v>29</v>
      </c>
      <c r="I1428" s="551">
        <v>10</v>
      </c>
      <c r="J1428" s="551">
        <v>0</v>
      </c>
      <c r="K1428" s="527">
        <f t="shared" si="814"/>
        <v>0.0385551089485932</v>
      </c>
      <c r="L1428" s="528">
        <f t="shared" si="815"/>
        <v>0.773264746227709</v>
      </c>
      <c r="M1428" s="528">
        <f t="shared" si="816"/>
        <v>29.8133065369156</v>
      </c>
      <c r="N1428" s="528">
        <f t="shared" si="817"/>
        <v>27.7039967359103</v>
      </c>
      <c r="O1428" s="528">
        <f t="shared" si="818"/>
        <v>0.00274348422496571</v>
      </c>
      <c r="P1428" s="529">
        <f t="shared" si="819"/>
        <v>14.4541025641026</v>
      </c>
      <c r="Q1428" s="24">
        <f t="shared" si="820"/>
        <v>39</v>
      </c>
      <c r="R1428" s="530">
        <f t="shared" si="821"/>
        <v>0.0534979423868313</v>
      </c>
    </row>
    <row r="1429" spans="1:18">
      <c r="A1429" s="524"/>
      <c r="B1429" s="531" t="s">
        <v>96</v>
      </c>
      <c r="C1429" s="533">
        <f t="shared" ref="C1429:J1429" si="825">SUM(C1425:C1428)</f>
        <v>2905.71</v>
      </c>
      <c r="D1429" s="533">
        <f t="shared" si="825"/>
        <v>130100</v>
      </c>
      <c r="E1429" s="533">
        <f t="shared" si="825"/>
        <v>2775</v>
      </c>
      <c r="F1429" s="533">
        <f t="shared" si="825"/>
        <v>5</v>
      </c>
      <c r="G1429" s="533">
        <f t="shared" si="825"/>
        <v>35491.02</v>
      </c>
      <c r="H1429" s="533">
        <f t="shared" si="825"/>
        <v>77</v>
      </c>
      <c r="I1429" s="533">
        <f t="shared" si="825"/>
        <v>38</v>
      </c>
      <c r="J1429" s="533">
        <f t="shared" si="825"/>
        <v>5</v>
      </c>
      <c r="K1429" s="534">
        <f t="shared" si="814"/>
        <v>0.0213297463489623</v>
      </c>
      <c r="L1429" s="535">
        <f t="shared" si="815"/>
        <v>1.0471027027027</v>
      </c>
      <c r="M1429" s="535">
        <f t="shared" si="816"/>
        <v>22.3344350499616</v>
      </c>
      <c r="N1429" s="535">
        <f t="shared" si="817"/>
        <v>12.2142333543265</v>
      </c>
      <c r="O1429" s="535">
        <f t="shared" si="818"/>
        <v>0.0018018018018018</v>
      </c>
      <c r="P1429" s="536">
        <f t="shared" si="819"/>
        <v>25.2670434782609</v>
      </c>
      <c r="Q1429" s="531">
        <f t="shared" si="820"/>
        <v>115</v>
      </c>
      <c r="R1429" s="537">
        <f t="shared" si="821"/>
        <v>0.0414414414414414</v>
      </c>
    </row>
    <row r="1430" spans="1:18">
      <c r="A1430" s="524">
        <v>45736</v>
      </c>
      <c r="B1430" s="540" t="s">
        <v>98</v>
      </c>
      <c r="C1430" s="551">
        <v>750</v>
      </c>
      <c r="D1430" s="553">
        <v>8932</v>
      </c>
      <c r="E1430" s="551">
        <v>291</v>
      </c>
      <c r="F1430" s="551">
        <v>0</v>
      </c>
      <c r="G1430" s="551">
        <v>0</v>
      </c>
      <c r="H1430" s="551">
        <v>9</v>
      </c>
      <c r="I1430" s="551">
        <v>3</v>
      </c>
      <c r="J1430" s="551">
        <v>2</v>
      </c>
      <c r="K1430" s="527">
        <f t="shared" si="814"/>
        <v>0.0325794894760412</v>
      </c>
      <c r="L1430" s="528">
        <f t="shared" si="815"/>
        <v>2.57731958762887</v>
      </c>
      <c r="M1430" s="528">
        <f t="shared" si="816"/>
        <v>83.9677563815495</v>
      </c>
      <c r="N1430" s="528">
        <f t="shared" si="817"/>
        <v>0</v>
      </c>
      <c r="O1430" s="528">
        <f t="shared" si="818"/>
        <v>0</v>
      </c>
      <c r="P1430" s="529">
        <f t="shared" si="819"/>
        <v>62.5</v>
      </c>
      <c r="Q1430" s="24">
        <f t="shared" si="820"/>
        <v>12</v>
      </c>
      <c r="R1430" s="530">
        <f t="shared" si="821"/>
        <v>0.0412371134020619</v>
      </c>
    </row>
    <row r="1431" spans="1:18">
      <c r="A1431" s="524"/>
      <c r="B1431" s="540" t="s">
        <v>99</v>
      </c>
      <c r="C1431" s="551">
        <v>575.34</v>
      </c>
      <c r="D1431" s="551">
        <v>4250</v>
      </c>
      <c r="E1431" s="551">
        <v>427</v>
      </c>
      <c r="F1431" s="551">
        <v>0</v>
      </c>
      <c r="G1431" s="551">
        <v>0</v>
      </c>
      <c r="H1431" s="551">
        <v>10</v>
      </c>
      <c r="I1431" s="551">
        <v>2</v>
      </c>
      <c r="J1431" s="551">
        <v>3</v>
      </c>
      <c r="K1431" s="527">
        <f t="shared" si="814"/>
        <v>0.100470588235294</v>
      </c>
      <c r="L1431" s="528">
        <f t="shared" si="815"/>
        <v>1.34740046838408</v>
      </c>
      <c r="M1431" s="528">
        <f t="shared" si="816"/>
        <v>135.374117647059</v>
      </c>
      <c r="N1431" s="528">
        <f t="shared" si="817"/>
        <v>0</v>
      </c>
      <c r="O1431" s="528">
        <f t="shared" si="818"/>
        <v>0</v>
      </c>
      <c r="P1431" s="529">
        <f t="shared" si="819"/>
        <v>47.945</v>
      </c>
      <c r="Q1431" s="24">
        <f t="shared" si="820"/>
        <v>12</v>
      </c>
      <c r="R1431" s="530">
        <f t="shared" si="821"/>
        <v>0.0281030444964871</v>
      </c>
    </row>
    <row r="1432" spans="1:18">
      <c r="A1432" s="524"/>
      <c r="B1432" s="540" t="s">
        <v>100</v>
      </c>
      <c r="C1432" s="552">
        <v>996.21</v>
      </c>
      <c r="D1432" s="551">
        <v>84370</v>
      </c>
      <c r="E1432" s="551">
        <v>889</v>
      </c>
      <c r="F1432" s="551">
        <v>2</v>
      </c>
      <c r="G1432" s="551">
        <v>11642</v>
      </c>
      <c r="H1432" s="551">
        <v>43</v>
      </c>
      <c r="I1432" s="551">
        <v>16</v>
      </c>
      <c r="J1432" s="551">
        <v>4</v>
      </c>
      <c r="K1432" s="527">
        <f t="shared" si="814"/>
        <v>0.0105369207064122</v>
      </c>
      <c r="L1432" s="528">
        <f t="shared" si="815"/>
        <v>1.12059617547807</v>
      </c>
      <c r="M1432" s="528">
        <f t="shared" si="816"/>
        <v>11.8076330449212</v>
      </c>
      <c r="N1432" s="528">
        <f t="shared" si="817"/>
        <v>11.6862910430532</v>
      </c>
      <c r="O1432" s="528">
        <f t="shared" si="818"/>
        <v>0.00224971878515186</v>
      </c>
      <c r="P1432" s="529">
        <f t="shared" si="819"/>
        <v>16.8849152542373</v>
      </c>
      <c r="Q1432" s="24">
        <f t="shared" si="820"/>
        <v>59</v>
      </c>
      <c r="R1432" s="530">
        <f t="shared" si="821"/>
        <v>0.0663667041619797</v>
      </c>
    </row>
    <row r="1433" spans="1:18">
      <c r="A1433" s="524"/>
      <c r="B1433" s="540" t="s">
        <v>101</v>
      </c>
      <c r="C1433" s="551">
        <v>586.84</v>
      </c>
      <c r="D1433" s="551">
        <v>23224</v>
      </c>
      <c r="E1433" s="551">
        <v>741</v>
      </c>
      <c r="F1433" s="551">
        <v>2</v>
      </c>
      <c r="G1433" s="551">
        <v>17495</v>
      </c>
      <c r="H1433" s="551">
        <v>15</v>
      </c>
      <c r="I1433" s="551">
        <v>4</v>
      </c>
      <c r="J1433" s="551">
        <v>5</v>
      </c>
      <c r="K1433" s="527">
        <f t="shared" si="814"/>
        <v>0.0319066482948674</v>
      </c>
      <c r="L1433" s="528">
        <f t="shared" si="815"/>
        <v>0.79195681511471</v>
      </c>
      <c r="M1433" s="528">
        <f t="shared" si="816"/>
        <v>25.2686875645884</v>
      </c>
      <c r="N1433" s="528">
        <f t="shared" si="817"/>
        <v>29.8122145729671</v>
      </c>
      <c r="O1433" s="528">
        <f t="shared" si="818"/>
        <v>0.00269905533063428</v>
      </c>
      <c r="P1433" s="529">
        <f t="shared" si="819"/>
        <v>30.8863157894737</v>
      </c>
      <c r="Q1433" s="24">
        <f t="shared" si="820"/>
        <v>19</v>
      </c>
      <c r="R1433" s="530">
        <f t="shared" si="821"/>
        <v>0.0256410256410256</v>
      </c>
    </row>
    <row r="1434" spans="1:18">
      <c r="A1434" s="524"/>
      <c r="B1434" s="531" t="s">
        <v>96</v>
      </c>
      <c r="C1434" s="533">
        <f t="shared" ref="C1434:J1434" si="826">SUM(C1430:C1433)</f>
        <v>2908.39</v>
      </c>
      <c r="D1434" s="533">
        <f t="shared" si="826"/>
        <v>120776</v>
      </c>
      <c r="E1434" s="533">
        <f t="shared" si="826"/>
        <v>2348</v>
      </c>
      <c r="F1434" s="533">
        <f t="shared" si="826"/>
        <v>4</v>
      </c>
      <c r="G1434" s="533">
        <f t="shared" si="826"/>
        <v>29137</v>
      </c>
      <c r="H1434" s="533">
        <f t="shared" si="826"/>
        <v>77</v>
      </c>
      <c r="I1434" s="533">
        <f t="shared" si="826"/>
        <v>25</v>
      </c>
      <c r="J1434" s="533">
        <f t="shared" si="826"/>
        <v>14</v>
      </c>
      <c r="K1434" s="534">
        <f t="shared" si="814"/>
        <v>0.0194409485328211</v>
      </c>
      <c r="L1434" s="535">
        <f t="shared" si="815"/>
        <v>1.23866695059625</v>
      </c>
      <c r="M1434" s="535">
        <f t="shared" si="816"/>
        <v>24.0808604358482</v>
      </c>
      <c r="N1434" s="535">
        <f t="shared" si="817"/>
        <v>10.0182575239222</v>
      </c>
      <c r="O1434" s="535">
        <f t="shared" si="818"/>
        <v>0.00170357751277683</v>
      </c>
      <c r="P1434" s="536">
        <f t="shared" si="819"/>
        <v>28.5136274509804</v>
      </c>
      <c r="Q1434" s="531">
        <f t="shared" si="820"/>
        <v>102</v>
      </c>
      <c r="R1434" s="537">
        <f t="shared" si="821"/>
        <v>0.0434412265758092</v>
      </c>
    </row>
    <row r="1435" spans="1:18">
      <c r="A1435" s="524">
        <v>45737</v>
      </c>
      <c r="B1435" s="540" t="s">
        <v>98</v>
      </c>
      <c r="C1435" s="551">
        <v>749.96</v>
      </c>
      <c r="D1435" s="553">
        <v>8287</v>
      </c>
      <c r="E1435" s="551">
        <v>274</v>
      </c>
      <c r="F1435" s="551">
        <v>0</v>
      </c>
      <c r="G1435" s="551">
        <v>0</v>
      </c>
      <c r="H1435" s="551">
        <v>5</v>
      </c>
      <c r="I1435" s="551">
        <v>3</v>
      </c>
      <c r="J1435" s="551">
        <v>0</v>
      </c>
      <c r="K1435" s="527">
        <f t="shared" si="814"/>
        <v>0.0330638349221673</v>
      </c>
      <c r="L1435" s="528">
        <f t="shared" si="815"/>
        <v>2.7370802919708</v>
      </c>
      <c r="M1435" s="528">
        <f t="shared" si="816"/>
        <v>90.49837094244</v>
      </c>
      <c r="N1435" s="528">
        <f t="shared" si="817"/>
        <v>0</v>
      </c>
      <c r="O1435" s="528">
        <f t="shared" si="818"/>
        <v>0</v>
      </c>
      <c r="P1435" s="529">
        <f t="shared" si="819"/>
        <v>93.745</v>
      </c>
      <c r="Q1435" s="24">
        <f t="shared" si="820"/>
        <v>8</v>
      </c>
      <c r="R1435" s="530">
        <f t="shared" si="821"/>
        <v>0.0291970802919708</v>
      </c>
    </row>
    <row r="1436" spans="1:18">
      <c r="A1436" s="524"/>
      <c r="B1436" s="540" t="s">
        <v>99</v>
      </c>
      <c r="C1436" s="551">
        <v>324.21</v>
      </c>
      <c r="D1436" s="551">
        <v>2678</v>
      </c>
      <c r="E1436" s="551">
        <v>281</v>
      </c>
      <c r="F1436" s="551">
        <v>2</v>
      </c>
      <c r="G1436" s="551">
        <v>23564</v>
      </c>
      <c r="H1436" s="551">
        <v>3</v>
      </c>
      <c r="I1436" s="551">
        <v>0</v>
      </c>
      <c r="J1436" s="551">
        <v>1</v>
      </c>
      <c r="K1436" s="527">
        <f t="shared" si="814"/>
        <v>0.104929051530993</v>
      </c>
      <c r="L1436" s="528">
        <f t="shared" si="815"/>
        <v>1.15377224199288</v>
      </c>
      <c r="M1436" s="528">
        <f t="shared" si="816"/>
        <v>121.064227035101</v>
      </c>
      <c r="N1436" s="528">
        <f t="shared" si="817"/>
        <v>72.6812868202708</v>
      </c>
      <c r="O1436" s="528">
        <f t="shared" si="818"/>
        <v>0.00711743772241993</v>
      </c>
      <c r="P1436" s="529">
        <f t="shared" si="819"/>
        <v>108.07</v>
      </c>
      <c r="Q1436" s="24">
        <f t="shared" si="820"/>
        <v>3</v>
      </c>
      <c r="R1436" s="530">
        <f t="shared" si="821"/>
        <v>0.0106761565836299</v>
      </c>
    </row>
    <row r="1437" spans="1:18">
      <c r="A1437" s="524"/>
      <c r="B1437" s="540" t="s">
        <v>100</v>
      </c>
      <c r="C1437" s="552">
        <v>992.69</v>
      </c>
      <c r="D1437" s="551">
        <v>94067</v>
      </c>
      <c r="E1437" s="551">
        <v>1010</v>
      </c>
      <c r="F1437" s="551">
        <v>2</v>
      </c>
      <c r="G1437" s="551">
        <v>22066</v>
      </c>
      <c r="H1437" s="551">
        <v>47</v>
      </c>
      <c r="I1437" s="551">
        <v>26</v>
      </c>
      <c r="J1437" s="551">
        <v>7</v>
      </c>
      <c r="K1437" s="527">
        <f t="shared" si="814"/>
        <v>0.0107370278631188</v>
      </c>
      <c r="L1437" s="528">
        <f t="shared" si="815"/>
        <v>0.982861386138614</v>
      </c>
      <c r="M1437" s="528">
        <f t="shared" si="816"/>
        <v>10.5530100885539</v>
      </c>
      <c r="N1437" s="528">
        <f t="shared" si="817"/>
        <v>22.2284902638286</v>
      </c>
      <c r="O1437" s="528">
        <f t="shared" si="818"/>
        <v>0.00198019801980198</v>
      </c>
      <c r="P1437" s="529">
        <f t="shared" si="819"/>
        <v>13.5984931506849</v>
      </c>
      <c r="Q1437" s="24">
        <f t="shared" si="820"/>
        <v>73</v>
      </c>
      <c r="R1437" s="530">
        <f t="shared" si="821"/>
        <v>0.0722772277227723</v>
      </c>
    </row>
    <row r="1438" spans="1:18">
      <c r="A1438" s="524"/>
      <c r="B1438" s="540" t="s">
        <v>101</v>
      </c>
      <c r="C1438" s="551">
        <v>525.76</v>
      </c>
      <c r="D1438" s="551">
        <v>17107</v>
      </c>
      <c r="E1438" s="551">
        <v>601</v>
      </c>
      <c r="F1438" s="551">
        <v>1</v>
      </c>
      <c r="G1438" s="551">
        <v>9297</v>
      </c>
      <c r="H1438" s="551">
        <v>11</v>
      </c>
      <c r="I1438" s="551">
        <v>4</v>
      </c>
      <c r="J1438" s="551">
        <v>1</v>
      </c>
      <c r="K1438" s="527">
        <f t="shared" si="814"/>
        <v>0.0351318173846963</v>
      </c>
      <c r="L1438" s="528">
        <f t="shared" si="815"/>
        <v>0.874808652246256</v>
      </c>
      <c r="M1438" s="528">
        <f t="shared" si="816"/>
        <v>30.7336178172678</v>
      </c>
      <c r="N1438" s="528">
        <f t="shared" si="817"/>
        <v>17.68297321972</v>
      </c>
      <c r="O1438" s="528">
        <f t="shared" si="818"/>
        <v>0.00166389351081531</v>
      </c>
      <c r="P1438" s="529">
        <f t="shared" si="819"/>
        <v>35.0506666666667</v>
      </c>
      <c r="Q1438" s="24">
        <f t="shared" si="820"/>
        <v>15</v>
      </c>
      <c r="R1438" s="530">
        <f t="shared" si="821"/>
        <v>0.0249584026622296</v>
      </c>
    </row>
    <row r="1439" spans="1:18">
      <c r="A1439" s="524"/>
      <c r="B1439" s="531" t="s">
        <v>96</v>
      </c>
      <c r="C1439" s="533">
        <f t="shared" ref="C1439:J1439" si="827">SUM(C1435:C1438)</f>
        <v>2592.62</v>
      </c>
      <c r="D1439" s="533">
        <f t="shared" si="827"/>
        <v>122139</v>
      </c>
      <c r="E1439" s="533">
        <f t="shared" si="827"/>
        <v>2166</v>
      </c>
      <c r="F1439" s="533">
        <f t="shared" si="827"/>
        <v>5</v>
      </c>
      <c r="G1439" s="533">
        <f t="shared" si="827"/>
        <v>54927</v>
      </c>
      <c r="H1439" s="533">
        <f t="shared" si="827"/>
        <v>66</v>
      </c>
      <c r="I1439" s="533">
        <f t="shared" si="827"/>
        <v>33</v>
      </c>
      <c r="J1439" s="533">
        <f t="shared" si="827"/>
        <v>9</v>
      </c>
      <c r="K1439" s="534">
        <f t="shared" si="814"/>
        <v>0.0177338933510181</v>
      </c>
      <c r="L1439" s="535">
        <f t="shared" si="815"/>
        <v>1.1969621421976</v>
      </c>
      <c r="M1439" s="535">
        <f t="shared" si="816"/>
        <v>21.2267989749384</v>
      </c>
      <c r="N1439" s="535">
        <f t="shared" si="817"/>
        <v>21.1859046061513</v>
      </c>
      <c r="O1439" s="535">
        <f t="shared" si="818"/>
        <v>0.0023084025854109</v>
      </c>
      <c r="P1439" s="536">
        <f t="shared" si="819"/>
        <v>26.1880808080808</v>
      </c>
      <c r="Q1439" s="531">
        <f t="shared" si="820"/>
        <v>99</v>
      </c>
      <c r="R1439" s="537">
        <f t="shared" si="821"/>
        <v>0.0457063711911357</v>
      </c>
    </row>
    <row r="1440" spans="1:18">
      <c r="A1440" s="524">
        <v>45738</v>
      </c>
      <c r="B1440" s="540" t="s">
        <v>98</v>
      </c>
      <c r="C1440" s="551">
        <v>750</v>
      </c>
      <c r="D1440" s="553">
        <v>10923</v>
      </c>
      <c r="E1440" s="551">
        <v>357</v>
      </c>
      <c r="F1440" s="551">
        <v>0</v>
      </c>
      <c r="G1440" s="551">
        <v>0</v>
      </c>
      <c r="H1440" s="551">
        <v>11</v>
      </c>
      <c r="I1440" s="551">
        <v>2</v>
      </c>
      <c r="J1440" s="551">
        <v>3</v>
      </c>
      <c r="K1440" s="527">
        <f t="shared" si="814"/>
        <v>0.0326833287558363</v>
      </c>
      <c r="L1440" s="528">
        <f t="shared" si="815"/>
        <v>2.10084033613445</v>
      </c>
      <c r="M1440" s="528">
        <f t="shared" si="816"/>
        <v>68.662455369404</v>
      </c>
      <c r="N1440" s="528">
        <f t="shared" si="817"/>
        <v>0</v>
      </c>
      <c r="O1440" s="528">
        <f t="shared" si="818"/>
        <v>0</v>
      </c>
      <c r="P1440" s="529">
        <f t="shared" si="819"/>
        <v>57.6923076923077</v>
      </c>
      <c r="Q1440" s="24">
        <f t="shared" si="820"/>
        <v>13</v>
      </c>
      <c r="R1440" s="530">
        <f t="shared" si="821"/>
        <v>0.0364145658263305</v>
      </c>
    </row>
    <row r="1441" spans="1:18">
      <c r="A1441" s="524"/>
      <c r="B1441" s="540" t="s">
        <v>99</v>
      </c>
      <c r="C1441" s="551">
        <v>0</v>
      </c>
      <c r="D1441" s="551">
        <v>0</v>
      </c>
      <c r="E1441" s="551">
        <v>0</v>
      </c>
      <c r="F1441" s="551">
        <v>0</v>
      </c>
      <c r="G1441" s="551">
        <v>0</v>
      </c>
      <c r="H1441" s="551">
        <v>0</v>
      </c>
      <c r="I1441" s="551">
        <v>0</v>
      </c>
      <c r="J1441" s="551">
        <v>0</v>
      </c>
      <c r="K1441" s="527">
        <f t="shared" si="814"/>
        <v>0</v>
      </c>
      <c r="L1441" s="528">
        <f t="shared" si="815"/>
        <v>0</v>
      </c>
      <c r="M1441" s="528">
        <f t="shared" si="816"/>
        <v>0</v>
      </c>
      <c r="N1441" s="528">
        <f t="shared" si="817"/>
        <v>0</v>
      </c>
      <c r="O1441" s="528">
        <f t="shared" si="818"/>
        <v>0</v>
      </c>
      <c r="P1441" s="529">
        <f t="shared" si="819"/>
        <v>0</v>
      </c>
      <c r="Q1441" s="24">
        <f t="shared" si="820"/>
        <v>0</v>
      </c>
      <c r="R1441" s="530">
        <f t="shared" si="821"/>
        <v>0</v>
      </c>
    </row>
    <row r="1442" spans="1:18">
      <c r="A1442" s="524"/>
      <c r="B1442" s="540" t="s">
        <v>100</v>
      </c>
      <c r="C1442" s="552">
        <v>994.93</v>
      </c>
      <c r="D1442" s="551">
        <v>81130</v>
      </c>
      <c r="E1442" s="551">
        <v>927</v>
      </c>
      <c r="F1442" s="551">
        <v>1</v>
      </c>
      <c r="G1442" s="551">
        <v>13173</v>
      </c>
      <c r="H1442" s="551">
        <v>37</v>
      </c>
      <c r="I1442" s="551">
        <v>27</v>
      </c>
      <c r="J1442" s="551">
        <v>5</v>
      </c>
      <c r="K1442" s="527">
        <f t="shared" si="814"/>
        <v>0.0114261062492296</v>
      </c>
      <c r="L1442" s="528">
        <f t="shared" si="815"/>
        <v>1.07327939590076</v>
      </c>
      <c r="M1442" s="528">
        <f t="shared" si="816"/>
        <v>12.263404412671</v>
      </c>
      <c r="N1442" s="528">
        <f t="shared" si="817"/>
        <v>13.240127446152</v>
      </c>
      <c r="O1442" s="528">
        <f t="shared" si="818"/>
        <v>0.00107874865156419</v>
      </c>
      <c r="P1442" s="529">
        <f t="shared" si="819"/>
        <v>15.54578125</v>
      </c>
      <c r="Q1442" s="24">
        <f t="shared" si="820"/>
        <v>64</v>
      </c>
      <c r="R1442" s="530">
        <f t="shared" si="821"/>
        <v>0.0690399137001079</v>
      </c>
    </row>
    <row r="1443" spans="1:18">
      <c r="A1443" s="524"/>
      <c r="B1443" s="540" t="s">
        <v>101</v>
      </c>
      <c r="C1443" s="551">
        <v>457.79</v>
      </c>
      <c r="D1443" s="551">
        <v>10282</v>
      </c>
      <c r="E1443" s="551">
        <v>494</v>
      </c>
      <c r="F1443" s="551">
        <v>0</v>
      </c>
      <c r="G1443" s="551">
        <v>0</v>
      </c>
      <c r="H1443" s="551">
        <v>12</v>
      </c>
      <c r="I1443" s="551">
        <v>3</v>
      </c>
      <c r="J1443" s="551">
        <v>0</v>
      </c>
      <c r="K1443" s="527">
        <f t="shared" si="814"/>
        <v>0.0480451274071192</v>
      </c>
      <c r="L1443" s="528">
        <f t="shared" si="815"/>
        <v>0.9267004048583</v>
      </c>
      <c r="M1443" s="528">
        <f t="shared" si="816"/>
        <v>44.523439019646</v>
      </c>
      <c r="N1443" s="528">
        <f t="shared" si="817"/>
        <v>0</v>
      </c>
      <c r="O1443" s="528">
        <f t="shared" si="818"/>
        <v>0</v>
      </c>
      <c r="P1443" s="529">
        <f t="shared" si="819"/>
        <v>30.5193333333333</v>
      </c>
      <c r="Q1443" s="24">
        <f t="shared" si="820"/>
        <v>15</v>
      </c>
      <c r="R1443" s="530">
        <f t="shared" si="821"/>
        <v>0.0303643724696356</v>
      </c>
    </row>
    <row r="1444" spans="1:18">
      <c r="A1444" s="524"/>
      <c r="B1444" s="531" t="s">
        <v>96</v>
      </c>
      <c r="C1444" s="533">
        <f t="shared" ref="C1444:J1444" si="828">SUM(C1440:C1443)</f>
        <v>2202.72</v>
      </c>
      <c r="D1444" s="533">
        <f t="shared" si="828"/>
        <v>102335</v>
      </c>
      <c r="E1444" s="533">
        <f t="shared" si="828"/>
        <v>1778</v>
      </c>
      <c r="F1444" s="533">
        <f t="shared" si="828"/>
        <v>1</v>
      </c>
      <c r="G1444" s="533">
        <f t="shared" si="828"/>
        <v>13173</v>
      </c>
      <c r="H1444" s="533">
        <f t="shared" si="828"/>
        <v>60</v>
      </c>
      <c r="I1444" s="533">
        <f t="shared" si="828"/>
        <v>32</v>
      </c>
      <c r="J1444" s="533">
        <f t="shared" si="828"/>
        <v>8</v>
      </c>
      <c r="K1444" s="534">
        <f t="shared" si="814"/>
        <v>0.0173743098646602</v>
      </c>
      <c r="L1444" s="535">
        <f t="shared" si="815"/>
        <v>1.23887514060742</v>
      </c>
      <c r="M1444" s="535">
        <f t="shared" si="816"/>
        <v>21.5246005765378</v>
      </c>
      <c r="N1444" s="535">
        <f t="shared" si="817"/>
        <v>5.9803334059708</v>
      </c>
      <c r="O1444" s="535">
        <f t="shared" si="818"/>
        <v>0.000562429696287964</v>
      </c>
      <c r="P1444" s="536">
        <f t="shared" si="819"/>
        <v>23.9426086956522</v>
      </c>
      <c r="Q1444" s="531">
        <f t="shared" si="820"/>
        <v>92</v>
      </c>
      <c r="R1444" s="537">
        <f t="shared" si="821"/>
        <v>0.0517435320584927</v>
      </c>
    </row>
    <row r="1445" spans="1:18">
      <c r="A1445" s="524">
        <v>45739</v>
      </c>
      <c r="B1445" s="540" t="s">
        <v>98</v>
      </c>
      <c r="C1445" s="551">
        <v>749.43</v>
      </c>
      <c r="D1445" s="553">
        <v>8406</v>
      </c>
      <c r="E1445" s="551">
        <v>289</v>
      </c>
      <c r="F1445" s="551">
        <v>0</v>
      </c>
      <c r="G1445" s="551">
        <v>0</v>
      </c>
      <c r="H1445" s="551">
        <v>8</v>
      </c>
      <c r="I1445" s="551">
        <v>4</v>
      </c>
      <c r="J1445" s="551">
        <v>4</v>
      </c>
      <c r="K1445" s="527">
        <f t="shared" si="814"/>
        <v>0.0343802046157507</v>
      </c>
      <c r="L1445" s="528">
        <f t="shared" si="815"/>
        <v>2.59318339100346</v>
      </c>
      <c r="M1445" s="528">
        <f t="shared" si="816"/>
        <v>89.1541755888651</v>
      </c>
      <c r="N1445" s="528">
        <f t="shared" si="817"/>
        <v>0</v>
      </c>
      <c r="O1445" s="528">
        <f t="shared" si="818"/>
        <v>0</v>
      </c>
      <c r="P1445" s="529">
        <f t="shared" si="819"/>
        <v>62.4525</v>
      </c>
      <c r="Q1445" s="24">
        <f t="shared" si="820"/>
        <v>12</v>
      </c>
      <c r="R1445" s="530">
        <f t="shared" si="821"/>
        <v>0.041522491349481</v>
      </c>
    </row>
    <row r="1446" spans="1:18">
      <c r="A1446" s="524"/>
      <c r="B1446" s="540" t="s">
        <v>99</v>
      </c>
      <c r="C1446" s="551">
        <v>0</v>
      </c>
      <c r="D1446" s="551">
        <v>0</v>
      </c>
      <c r="E1446" s="551">
        <v>0</v>
      </c>
      <c r="F1446" s="551">
        <v>0</v>
      </c>
      <c r="G1446" s="551">
        <v>0</v>
      </c>
      <c r="H1446" s="551">
        <v>0</v>
      </c>
      <c r="I1446" s="551">
        <v>0</v>
      </c>
      <c r="J1446" s="551">
        <v>0</v>
      </c>
      <c r="K1446" s="527">
        <f t="shared" si="814"/>
        <v>0</v>
      </c>
      <c r="L1446" s="528">
        <f t="shared" si="815"/>
        <v>0</v>
      </c>
      <c r="M1446" s="528">
        <f t="shared" si="816"/>
        <v>0</v>
      </c>
      <c r="N1446" s="528">
        <f t="shared" si="817"/>
        <v>0</v>
      </c>
      <c r="O1446" s="528">
        <f t="shared" si="818"/>
        <v>0</v>
      </c>
      <c r="P1446" s="529">
        <f t="shared" si="819"/>
        <v>0</v>
      </c>
      <c r="Q1446" s="24">
        <f t="shared" si="820"/>
        <v>0</v>
      </c>
      <c r="R1446" s="530">
        <f t="shared" si="821"/>
        <v>0</v>
      </c>
    </row>
    <row r="1447" spans="1:18">
      <c r="A1447" s="524"/>
      <c r="B1447" s="540" t="s">
        <v>100</v>
      </c>
      <c r="C1447" s="552">
        <v>984.91</v>
      </c>
      <c r="D1447" s="551">
        <v>81619</v>
      </c>
      <c r="E1447" s="551">
        <v>947</v>
      </c>
      <c r="F1447" s="551">
        <v>0</v>
      </c>
      <c r="G1447" s="551">
        <v>0</v>
      </c>
      <c r="H1447" s="551">
        <v>35</v>
      </c>
      <c r="I1447" s="551">
        <v>20</v>
      </c>
      <c r="J1447" s="551">
        <v>2</v>
      </c>
      <c r="K1447" s="527">
        <f t="shared" si="814"/>
        <v>0.0116026905499945</v>
      </c>
      <c r="L1447" s="528">
        <f t="shared" si="815"/>
        <v>1.04003167898627</v>
      </c>
      <c r="M1447" s="528">
        <f t="shared" si="816"/>
        <v>12.0671657334689</v>
      </c>
      <c r="N1447" s="528">
        <f t="shared" si="817"/>
        <v>0</v>
      </c>
      <c r="O1447" s="528">
        <f t="shared" si="818"/>
        <v>0</v>
      </c>
      <c r="P1447" s="529">
        <f t="shared" si="819"/>
        <v>17.9074545454545</v>
      </c>
      <c r="Q1447" s="24">
        <f t="shared" si="820"/>
        <v>55</v>
      </c>
      <c r="R1447" s="530">
        <f t="shared" si="821"/>
        <v>0.058078141499472</v>
      </c>
    </row>
    <row r="1448" spans="1:18">
      <c r="A1448" s="524"/>
      <c r="B1448" s="540" t="s">
        <v>101</v>
      </c>
      <c r="C1448" s="551">
        <v>415.57</v>
      </c>
      <c r="D1448" s="551">
        <v>12185</v>
      </c>
      <c r="E1448" s="551">
        <v>511</v>
      </c>
      <c r="F1448" s="551">
        <v>2</v>
      </c>
      <c r="G1448" s="551">
        <v>31849</v>
      </c>
      <c r="H1448" s="551">
        <v>30</v>
      </c>
      <c r="I1448" s="551">
        <v>1</v>
      </c>
      <c r="J1448" s="551">
        <v>1</v>
      </c>
      <c r="K1448" s="527">
        <f t="shared" si="814"/>
        <v>0.0419368075502667</v>
      </c>
      <c r="L1448" s="528">
        <f t="shared" si="815"/>
        <v>0.813248532289628</v>
      </c>
      <c r="M1448" s="528">
        <f t="shared" si="816"/>
        <v>34.105047189167</v>
      </c>
      <c r="N1448" s="528">
        <f t="shared" si="817"/>
        <v>76.6393146762278</v>
      </c>
      <c r="O1448" s="528">
        <f t="shared" si="818"/>
        <v>0.00391389432485323</v>
      </c>
      <c r="P1448" s="529">
        <f t="shared" si="819"/>
        <v>13.4054838709677</v>
      </c>
      <c r="Q1448" s="24">
        <f t="shared" si="820"/>
        <v>31</v>
      </c>
      <c r="R1448" s="530">
        <f t="shared" si="821"/>
        <v>0.060665362035225</v>
      </c>
    </row>
    <row r="1449" spans="1:18">
      <c r="A1449" s="524"/>
      <c r="B1449" s="531" t="s">
        <v>96</v>
      </c>
      <c r="C1449" s="533">
        <f t="shared" ref="C1449:J1449" si="829">SUM(C1445:C1448)</f>
        <v>2149.91</v>
      </c>
      <c r="D1449" s="533">
        <f t="shared" si="829"/>
        <v>102210</v>
      </c>
      <c r="E1449" s="533">
        <f t="shared" si="829"/>
        <v>1747</v>
      </c>
      <c r="F1449" s="533">
        <f t="shared" si="829"/>
        <v>2</v>
      </c>
      <c r="G1449" s="533">
        <f t="shared" si="829"/>
        <v>31849</v>
      </c>
      <c r="H1449" s="533">
        <f t="shared" si="829"/>
        <v>73</v>
      </c>
      <c r="I1449" s="533">
        <f t="shared" si="829"/>
        <v>25</v>
      </c>
      <c r="J1449" s="533">
        <f t="shared" si="829"/>
        <v>7</v>
      </c>
      <c r="K1449" s="534">
        <f t="shared" si="814"/>
        <v>0.0170922610312103</v>
      </c>
      <c r="L1449" s="535">
        <f t="shared" si="815"/>
        <v>1.23062965082999</v>
      </c>
      <c r="M1449" s="535">
        <f t="shared" si="816"/>
        <v>21.0342432247334</v>
      </c>
      <c r="N1449" s="535">
        <f t="shared" si="817"/>
        <v>14.814108497565</v>
      </c>
      <c r="O1449" s="535">
        <f t="shared" si="818"/>
        <v>0.00114481969089868</v>
      </c>
      <c r="P1449" s="536">
        <f t="shared" si="819"/>
        <v>21.9378571428571</v>
      </c>
      <c r="Q1449" s="531">
        <f t="shared" si="820"/>
        <v>98</v>
      </c>
      <c r="R1449" s="537">
        <f t="shared" si="821"/>
        <v>0.0560961648540355</v>
      </c>
    </row>
    <row r="1450" spans="1:18">
      <c r="A1450" s="524">
        <v>45740</v>
      </c>
      <c r="B1450" s="540" t="s">
        <v>98</v>
      </c>
      <c r="C1450" s="551">
        <v>750</v>
      </c>
      <c r="D1450" s="553">
        <v>9129</v>
      </c>
      <c r="E1450" s="551">
        <v>324</v>
      </c>
      <c r="F1450" s="551">
        <v>0</v>
      </c>
      <c r="G1450" s="551">
        <v>0</v>
      </c>
      <c r="H1450" s="551">
        <v>8</v>
      </c>
      <c r="I1450" s="551">
        <v>1</v>
      </c>
      <c r="J1450" s="551">
        <v>2</v>
      </c>
      <c r="K1450" s="527">
        <f t="shared" si="814"/>
        <v>0.0354912914886625</v>
      </c>
      <c r="L1450" s="528">
        <f t="shared" si="815"/>
        <v>2.31481481481481</v>
      </c>
      <c r="M1450" s="528">
        <f t="shared" si="816"/>
        <v>82.1557673348669</v>
      </c>
      <c r="N1450" s="528">
        <f t="shared" si="817"/>
        <v>0</v>
      </c>
      <c r="O1450" s="528">
        <f t="shared" si="818"/>
        <v>0</v>
      </c>
      <c r="P1450" s="529">
        <f t="shared" si="819"/>
        <v>83.3333333333333</v>
      </c>
      <c r="Q1450" s="24">
        <f t="shared" si="820"/>
        <v>9</v>
      </c>
      <c r="R1450" s="530">
        <f t="shared" si="821"/>
        <v>0.0277777777777778</v>
      </c>
    </row>
    <row r="1451" spans="1:18">
      <c r="A1451" s="524"/>
      <c r="B1451" s="540" t="s">
        <v>99</v>
      </c>
      <c r="C1451" s="551">
        <v>0</v>
      </c>
      <c r="D1451" s="551">
        <v>0</v>
      </c>
      <c r="E1451" s="551">
        <v>0</v>
      </c>
      <c r="F1451" s="551">
        <v>0</v>
      </c>
      <c r="G1451" s="551">
        <v>0</v>
      </c>
      <c r="H1451" s="551">
        <v>0</v>
      </c>
      <c r="I1451" s="551">
        <v>0</v>
      </c>
      <c r="J1451" s="551">
        <v>0</v>
      </c>
      <c r="K1451" s="527">
        <f t="shared" si="814"/>
        <v>0</v>
      </c>
      <c r="L1451" s="528">
        <f t="shared" si="815"/>
        <v>0</v>
      </c>
      <c r="M1451" s="528">
        <f t="shared" si="816"/>
        <v>0</v>
      </c>
      <c r="N1451" s="528">
        <f t="shared" si="817"/>
        <v>0</v>
      </c>
      <c r="O1451" s="528">
        <f t="shared" si="818"/>
        <v>0</v>
      </c>
      <c r="P1451" s="529">
        <f t="shared" si="819"/>
        <v>0</v>
      </c>
      <c r="Q1451" s="24">
        <f t="shared" si="820"/>
        <v>0</v>
      </c>
      <c r="R1451" s="530">
        <f t="shared" si="821"/>
        <v>0</v>
      </c>
    </row>
    <row r="1452" spans="1:18">
      <c r="A1452" s="524"/>
      <c r="B1452" s="540" t="s">
        <v>100</v>
      </c>
      <c r="C1452" s="552">
        <v>988.77</v>
      </c>
      <c r="D1452" s="551">
        <v>80942</v>
      </c>
      <c r="E1452" s="551">
        <v>911</v>
      </c>
      <c r="F1452" s="551">
        <v>1</v>
      </c>
      <c r="G1452" s="551">
        <v>13923</v>
      </c>
      <c r="H1452" s="551">
        <v>50</v>
      </c>
      <c r="I1452" s="551">
        <v>20</v>
      </c>
      <c r="J1452" s="551">
        <v>6</v>
      </c>
      <c r="K1452" s="527">
        <f t="shared" si="814"/>
        <v>0.0112549726964987</v>
      </c>
      <c r="L1452" s="528">
        <f t="shared" si="815"/>
        <v>1.08536772777168</v>
      </c>
      <c r="M1452" s="528">
        <f t="shared" si="816"/>
        <v>12.2157841417311</v>
      </c>
      <c r="N1452" s="528">
        <f t="shared" si="817"/>
        <v>14.0811311022786</v>
      </c>
      <c r="O1452" s="528">
        <f t="shared" si="818"/>
        <v>0.00109769484083425</v>
      </c>
      <c r="P1452" s="529">
        <f t="shared" si="819"/>
        <v>14.1252857142857</v>
      </c>
      <c r="Q1452" s="24">
        <f t="shared" si="820"/>
        <v>70</v>
      </c>
      <c r="R1452" s="530">
        <f t="shared" si="821"/>
        <v>0.0768386388583974</v>
      </c>
    </row>
    <row r="1453" spans="1:18">
      <c r="A1453" s="524"/>
      <c r="B1453" s="540" t="s">
        <v>101</v>
      </c>
      <c r="C1453" s="551">
        <v>464.7</v>
      </c>
      <c r="D1453" s="551">
        <v>13229</v>
      </c>
      <c r="E1453" s="551">
        <v>526</v>
      </c>
      <c r="F1453" s="551">
        <v>2</v>
      </c>
      <c r="G1453" s="551">
        <v>21370</v>
      </c>
      <c r="H1453" s="551">
        <v>20</v>
      </c>
      <c r="I1453" s="551">
        <v>7</v>
      </c>
      <c r="J1453" s="551">
        <v>3</v>
      </c>
      <c r="K1453" s="527">
        <f t="shared" si="814"/>
        <v>0.0397611308488926</v>
      </c>
      <c r="L1453" s="528">
        <f t="shared" si="815"/>
        <v>0.883460076045627</v>
      </c>
      <c r="M1453" s="528">
        <f t="shared" si="816"/>
        <v>35.1273716834228</v>
      </c>
      <c r="N1453" s="528">
        <f t="shared" si="817"/>
        <v>45.9866580589628</v>
      </c>
      <c r="O1453" s="528">
        <f t="shared" si="818"/>
        <v>0.00380228136882129</v>
      </c>
      <c r="P1453" s="529">
        <f t="shared" si="819"/>
        <v>17.2111111111111</v>
      </c>
      <c r="Q1453" s="24">
        <f t="shared" si="820"/>
        <v>27</v>
      </c>
      <c r="R1453" s="530">
        <f t="shared" si="821"/>
        <v>0.0513307984790875</v>
      </c>
    </row>
    <row r="1454" spans="1:18">
      <c r="A1454" s="524"/>
      <c r="B1454" s="531" t="s">
        <v>96</v>
      </c>
      <c r="C1454" s="533">
        <f t="shared" ref="C1454:J1454" si="830">SUM(C1450:C1453)</f>
        <v>2203.47</v>
      </c>
      <c r="D1454" s="533">
        <f t="shared" si="830"/>
        <v>103300</v>
      </c>
      <c r="E1454" s="533">
        <f t="shared" si="830"/>
        <v>1761</v>
      </c>
      <c r="F1454" s="533">
        <f t="shared" si="830"/>
        <v>3</v>
      </c>
      <c r="G1454" s="533">
        <f t="shared" si="830"/>
        <v>35293</v>
      </c>
      <c r="H1454" s="533">
        <f t="shared" si="830"/>
        <v>78</v>
      </c>
      <c r="I1454" s="533">
        <f t="shared" si="830"/>
        <v>28</v>
      </c>
      <c r="J1454" s="533">
        <f t="shared" si="830"/>
        <v>11</v>
      </c>
      <c r="K1454" s="534">
        <f t="shared" si="814"/>
        <v>0.0170474346563408</v>
      </c>
      <c r="L1454" s="535">
        <f t="shared" si="815"/>
        <v>1.25126064735945</v>
      </c>
      <c r="M1454" s="535">
        <f t="shared" si="816"/>
        <v>21.3307841239109</v>
      </c>
      <c r="N1454" s="535">
        <f t="shared" si="817"/>
        <v>16.0170095349608</v>
      </c>
      <c r="O1454" s="535">
        <f t="shared" si="818"/>
        <v>0.00170357751277683</v>
      </c>
      <c r="P1454" s="536">
        <f t="shared" si="819"/>
        <v>20.7874528301887</v>
      </c>
      <c r="Q1454" s="531">
        <f t="shared" si="820"/>
        <v>106</v>
      </c>
      <c r="R1454" s="537">
        <f t="shared" si="821"/>
        <v>0.0601930721181147</v>
      </c>
    </row>
    <row r="1455" spans="1:18">
      <c r="A1455" s="524">
        <v>45741</v>
      </c>
      <c r="B1455" s="540" t="s">
        <v>98</v>
      </c>
      <c r="C1455" s="551">
        <v>750</v>
      </c>
      <c r="D1455" s="553">
        <v>12372</v>
      </c>
      <c r="E1455" s="551">
        <v>380</v>
      </c>
      <c r="F1455" s="551">
        <v>1</v>
      </c>
      <c r="G1455" s="551">
        <v>5744</v>
      </c>
      <c r="H1455" s="551">
        <v>8</v>
      </c>
      <c r="I1455" s="551">
        <v>5</v>
      </c>
      <c r="J1455" s="551">
        <v>1</v>
      </c>
      <c r="K1455" s="527">
        <f t="shared" si="814"/>
        <v>0.0307145166505011</v>
      </c>
      <c r="L1455" s="528">
        <f t="shared" si="815"/>
        <v>1.97368421052632</v>
      </c>
      <c r="M1455" s="528">
        <f t="shared" si="816"/>
        <v>60.6207565470417</v>
      </c>
      <c r="N1455" s="528">
        <f t="shared" si="817"/>
        <v>7.65866666666667</v>
      </c>
      <c r="O1455" s="528">
        <f t="shared" si="818"/>
        <v>0.00263157894736842</v>
      </c>
      <c r="P1455" s="529">
        <f t="shared" si="819"/>
        <v>57.6923076923077</v>
      </c>
      <c r="Q1455" s="24">
        <f t="shared" si="820"/>
        <v>13</v>
      </c>
      <c r="R1455" s="530">
        <f t="shared" si="821"/>
        <v>0.0342105263157895</v>
      </c>
    </row>
    <row r="1456" spans="1:18">
      <c r="A1456" s="524"/>
      <c r="B1456" s="540" t="s">
        <v>99</v>
      </c>
      <c r="C1456" s="551">
        <v>0</v>
      </c>
      <c r="D1456" s="551">
        <v>0</v>
      </c>
      <c r="E1456" s="551">
        <v>0</v>
      </c>
      <c r="F1456" s="551">
        <v>0</v>
      </c>
      <c r="G1456" s="551">
        <v>0</v>
      </c>
      <c r="H1456" s="551">
        <v>0</v>
      </c>
      <c r="I1456" s="551">
        <v>0</v>
      </c>
      <c r="J1456" s="551">
        <v>0</v>
      </c>
      <c r="K1456" s="527">
        <f t="shared" si="814"/>
        <v>0</v>
      </c>
      <c r="L1456" s="528">
        <f t="shared" si="815"/>
        <v>0</v>
      </c>
      <c r="M1456" s="528">
        <f t="shared" si="816"/>
        <v>0</v>
      </c>
      <c r="N1456" s="528">
        <f t="shared" si="817"/>
        <v>0</v>
      </c>
      <c r="O1456" s="528">
        <f t="shared" si="818"/>
        <v>0</v>
      </c>
      <c r="P1456" s="529">
        <f t="shared" si="819"/>
        <v>0</v>
      </c>
      <c r="Q1456" s="24">
        <f t="shared" si="820"/>
        <v>0</v>
      </c>
      <c r="R1456" s="530">
        <f t="shared" si="821"/>
        <v>0</v>
      </c>
    </row>
    <row r="1457" spans="1:18">
      <c r="A1457" s="524"/>
      <c r="B1457" s="540" t="s">
        <v>100</v>
      </c>
      <c r="C1457" s="552">
        <v>1634.19</v>
      </c>
      <c r="D1457" s="551">
        <v>164688</v>
      </c>
      <c r="E1457" s="551">
        <v>1640</v>
      </c>
      <c r="F1457" s="551">
        <v>5</v>
      </c>
      <c r="G1457" s="551">
        <v>53221</v>
      </c>
      <c r="H1457" s="551">
        <v>49</v>
      </c>
      <c r="I1457" s="551">
        <v>44</v>
      </c>
      <c r="J1457" s="551">
        <v>3</v>
      </c>
      <c r="K1457" s="527">
        <f t="shared" si="814"/>
        <v>0.00995822403575245</v>
      </c>
      <c r="L1457" s="528">
        <f t="shared" si="815"/>
        <v>0.996457317073171</v>
      </c>
      <c r="M1457" s="528">
        <f t="shared" si="816"/>
        <v>9.92294520547945</v>
      </c>
      <c r="N1457" s="528">
        <f t="shared" si="817"/>
        <v>32.5672045478188</v>
      </c>
      <c r="O1457" s="528">
        <f t="shared" si="818"/>
        <v>0.00304878048780488</v>
      </c>
      <c r="P1457" s="529">
        <f t="shared" si="819"/>
        <v>17.571935483871</v>
      </c>
      <c r="Q1457" s="24">
        <f t="shared" si="820"/>
        <v>93</v>
      </c>
      <c r="R1457" s="530">
        <f t="shared" si="821"/>
        <v>0.0567073170731707</v>
      </c>
    </row>
    <row r="1458" spans="1:18">
      <c r="A1458" s="524"/>
      <c r="B1458" s="540" t="s">
        <v>101</v>
      </c>
      <c r="C1458" s="551">
        <v>309.33</v>
      </c>
      <c r="D1458" s="551">
        <v>11679</v>
      </c>
      <c r="E1458" s="551">
        <v>397</v>
      </c>
      <c r="F1458" s="551">
        <v>0</v>
      </c>
      <c r="G1458" s="551">
        <v>0</v>
      </c>
      <c r="H1458" s="551">
        <v>13</v>
      </c>
      <c r="I1458" s="551">
        <v>2</v>
      </c>
      <c r="J1458" s="551">
        <v>0</v>
      </c>
      <c r="K1458" s="527">
        <f t="shared" si="814"/>
        <v>0.0339926363558524</v>
      </c>
      <c r="L1458" s="528">
        <f t="shared" si="815"/>
        <v>0.779168765743073</v>
      </c>
      <c r="M1458" s="528">
        <f t="shared" si="816"/>
        <v>26.4860005137426</v>
      </c>
      <c r="N1458" s="528">
        <f t="shared" si="817"/>
        <v>0</v>
      </c>
      <c r="O1458" s="528">
        <f t="shared" si="818"/>
        <v>0</v>
      </c>
      <c r="P1458" s="529">
        <f t="shared" si="819"/>
        <v>20.622</v>
      </c>
      <c r="Q1458" s="24">
        <f t="shared" si="820"/>
        <v>15</v>
      </c>
      <c r="R1458" s="530">
        <f t="shared" si="821"/>
        <v>0.0377833753148615</v>
      </c>
    </row>
    <row r="1459" spans="1:18">
      <c r="A1459" s="524"/>
      <c r="B1459" s="531" t="s">
        <v>96</v>
      </c>
      <c r="C1459" s="533">
        <f t="shared" ref="C1459:J1459" si="831">SUM(C1455:C1458)</f>
        <v>2693.52</v>
      </c>
      <c r="D1459" s="533">
        <f t="shared" si="831"/>
        <v>188739</v>
      </c>
      <c r="E1459" s="533">
        <f t="shared" si="831"/>
        <v>2417</v>
      </c>
      <c r="F1459" s="533">
        <f t="shared" si="831"/>
        <v>6</v>
      </c>
      <c r="G1459" s="533">
        <f t="shared" si="831"/>
        <v>58965</v>
      </c>
      <c r="H1459" s="533">
        <f t="shared" si="831"/>
        <v>70</v>
      </c>
      <c r="I1459" s="533">
        <f t="shared" si="831"/>
        <v>51</v>
      </c>
      <c r="J1459" s="533">
        <f t="shared" si="831"/>
        <v>4</v>
      </c>
      <c r="K1459" s="534">
        <f t="shared" si="814"/>
        <v>0.012806044325762</v>
      </c>
      <c r="L1459" s="535">
        <f t="shared" si="815"/>
        <v>1.11440628878775</v>
      </c>
      <c r="M1459" s="535">
        <f t="shared" si="816"/>
        <v>14.2711363311239</v>
      </c>
      <c r="N1459" s="535">
        <f t="shared" si="817"/>
        <v>21.8914283168493</v>
      </c>
      <c r="O1459" s="535">
        <f t="shared" si="818"/>
        <v>0.00248241621845263</v>
      </c>
      <c r="P1459" s="536">
        <f t="shared" si="819"/>
        <v>22.2604958677686</v>
      </c>
      <c r="Q1459" s="531">
        <f t="shared" si="820"/>
        <v>121</v>
      </c>
      <c r="R1459" s="537">
        <f t="shared" si="821"/>
        <v>0.0500620604054613</v>
      </c>
    </row>
    <row r="1460" spans="1:18">
      <c r="A1460" s="524">
        <v>45742</v>
      </c>
      <c r="B1460" s="540" t="s">
        <v>98</v>
      </c>
      <c r="C1460" s="551">
        <v>748.17</v>
      </c>
      <c r="D1460" s="553">
        <v>15506</v>
      </c>
      <c r="E1460" s="551">
        <v>426</v>
      </c>
      <c r="F1460" s="551">
        <v>1</v>
      </c>
      <c r="G1460" s="551">
        <v>36296</v>
      </c>
      <c r="H1460" s="551">
        <v>8</v>
      </c>
      <c r="I1460" s="551">
        <v>0</v>
      </c>
      <c r="J1460" s="551">
        <v>1</v>
      </c>
      <c r="K1460" s="527">
        <f t="shared" si="814"/>
        <v>0.0274732361666452</v>
      </c>
      <c r="L1460" s="528">
        <f t="shared" si="815"/>
        <v>1.7562676056338</v>
      </c>
      <c r="M1460" s="528">
        <f t="shared" si="816"/>
        <v>48.2503547014059</v>
      </c>
      <c r="N1460" s="528">
        <f t="shared" si="817"/>
        <v>48.5130384805592</v>
      </c>
      <c r="O1460" s="528">
        <f t="shared" si="818"/>
        <v>0.00234741784037559</v>
      </c>
      <c r="P1460" s="529">
        <f t="shared" si="819"/>
        <v>93.52125</v>
      </c>
      <c r="Q1460" s="24">
        <f t="shared" si="820"/>
        <v>8</v>
      </c>
      <c r="R1460" s="530">
        <f t="shared" si="821"/>
        <v>0.0187793427230047</v>
      </c>
    </row>
    <row r="1461" spans="1:18">
      <c r="A1461" s="524"/>
      <c r="B1461" s="540" t="s">
        <v>99</v>
      </c>
      <c r="C1461" s="551">
        <v>0</v>
      </c>
      <c r="D1461" s="551">
        <v>0</v>
      </c>
      <c r="E1461" s="551">
        <v>0</v>
      </c>
      <c r="F1461" s="551">
        <v>0</v>
      </c>
      <c r="G1461" s="551">
        <v>0</v>
      </c>
      <c r="H1461" s="551">
        <v>0</v>
      </c>
      <c r="I1461" s="551">
        <v>0</v>
      </c>
      <c r="J1461" s="551">
        <v>0</v>
      </c>
      <c r="K1461" s="527">
        <f t="shared" si="814"/>
        <v>0</v>
      </c>
      <c r="L1461" s="528">
        <f t="shared" si="815"/>
        <v>0</v>
      </c>
      <c r="M1461" s="528">
        <f t="shared" si="816"/>
        <v>0</v>
      </c>
      <c r="N1461" s="528">
        <f t="shared" si="817"/>
        <v>0</v>
      </c>
      <c r="O1461" s="528">
        <f t="shared" si="818"/>
        <v>0</v>
      </c>
      <c r="P1461" s="529">
        <f t="shared" si="819"/>
        <v>0</v>
      </c>
      <c r="Q1461" s="24">
        <f t="shared" si="820"/>
        <v>0</v>
      </c>
      <c r="R1461" s="530">
        <f t="shared" si="821"/>
        <v>0</v>
      </c>
    </row>
    <row r="1462" spans="1:18">
      <c r="A1462" s="524"/>
      <c r="B1462" s="540" t="s">
        <v>100</v>
      </c>
      <c r="C1462" s="552">
        <v>1652.13</v>
      </c>
      <c r="D1462" s="551">
        <v>228882</v>
      </c>
      <c r="E1462" s="551">
        <v>1956</v>
      </c>
      <c r="F1462" s="551">
        <v>7</v>
      </c>
      <c r="G1462" s="551">
        <v>118448</v>
      </c>
      <c r="H1462" s="551">
        <v>51</v>
      </c>
      <c r="I1462" s="551">
        <v>50</v>
      </c>
      <c r="J1462" s="551">
        <v>1</v>
      </c>
      <c r="K1462" s="527">
        <f t="shared" si="814"/>
        <v>0.00854588827430728</v>
      </c>
      <c r="L1462" s="528">
        <f t="shared" si="815"/>
        <v>0.844647239263804</v>
      </c>
      <c r="M1462" s="528">
        <f t="shared" si="816"/>
        <v>7.21826093795056</v>
      </c>
      <c r="N1462" s="528">
        <f t="shared" si="817"/>
        <v>71.6941160804537</v>
      </c>
      <c r="O1462" s="528">
        <f t="shared" si="818"/>
        <v>0.00357873210633947</v>
      </c>
      <c r="P1462" s="529">
        <f t="shared" si="819"/>
        <v>16.3577227722772</v>
      </c>
      <c r="Q1462" s="24">
        <f t="shared" si="820"/>
        <v>101</v>
      </c>
      <c r="R1462" s="530">
        <f t="shared" si="821"/>
        <v>0.0516359918200409</v>
      </c>
    </row>
    <row r="1463" spans="1:18">
      <c r="A1463" s="524"/>
      <c r="B1463" s="540" t="s">
        <v>101</v>
      </c>
      <c r="C1463" s="551">
        <v>477.95</v>
      </c>
      <c r="D1463" s="551">
        <v>17042</v>
      </c>
      <c r="E1463" s="551">
        <v>442</v>
      </c>
      <c r="F1463" s="551">
        <v>4</v>
      </c>
      <c r="G1463" s="551">
        <v>32583</v>
      </c>
      <c r="H1463" s="551">
        <v>15</v>
      </c>
      <c r="I1463" s="551">
        <v>4</v>
      </c>
      <c r="J1463" s="551">
        <v>0</v>
      </c>
      <c r="K1463" s="527">
        <f t="shared" si="814"/>
        <v>0.0259359230137308</v>
      </c>
      <c r="L1463" s="528">
        <f t="shared" si="815"/>
        <v>1.08133484162896</v>
      </c>
      <c r="M1463" s="528">
        <f t="shared" si="816"/>
        <v>28.0454172045535</v>
      </c>
      <c r="N1463" s="528">
        <f t="shared" si="817"/>
        <v>68.1724029710221</v>
      </c>
      <c r="O1463" s="528">
        <f t="shared" si="818"/>
        <v>0.00904977375565611</v>
      </c>
      <c r="P1463" s="529">
        <f t="shared" si="819"/>
        <v>25.1552631578947</v>
      </c>
      <c r="Q1463" s="24">
        <f t="shared" si="820"/>
        <v>19</v>
      </c>
      <c r="R1463" s="530">
        <f t="shared" si="821"/>
        <v>0.0429864253393665</v>
      </c>
    </row>
    <row r="1464" spans="1:18">
      <c r="A1464" s="524"/>
      <c r="B1464" s="531" t="s">
        <v>96</v>
      </c>
      <c r="C1464" s="533">
        <f t="shared" ref="C1464:J1464" si="832">SUM(C1460:C1463)</f>
        <v>2878.25</v>
      </c>
      <c r="D1464" s="533">
        <f t="shared" si="832"/>
        <v>261430</v>
      </c>
      <c r="E1464" s="533">
        <f t="shared" si="832"/>
        <v>2824</v>
      </c>
      <c r="F1464" s="533">
        <f t="shared" si="832"/>
        <v>12</v>
      </c>
      <c r="G1464" s="533">
        <f t="shared" si="832"/>
        <v>187327</v>
      </c>
      <c r="H1464" s="533">
        <f t="shared" si="832"/>
        <v>74</v>
      </c>
      <c r="I1464" s="533">
        <f t="shared" si="832"/>
        <v>54</v>
      </c>
      <c r="J1464" s="533">
        <f t="shared" si="832"/>
        <v>2</v>
      </c>
      <c r="K1464" s="534">
        <f t="shared" si="814"/>
        <v>0.0108021267643346</v>
      </c>
      <c r="L1464" s="535">
        <f t="shared" si="815"/>
        <v>1.01921033994334</v>
      </c>
      <c r="M1464" s="535">
        <f t="shared" si="816"/>
        <v>11.0096392915886</v>
      </c>
      <c r="N1464" s="535">
        <f t="shared" si="817"/>
        <v>65.083644575697</v>
      </c>
      <c r="O1464" s="535">
        <f t="shared" si="818"/>
        <v>0.00424929178470255</v>
      </c>
      <c r="P1464" s="536">
        <f t="shared" si="819"/>
        <v>22.486328125</v>
      </c>
      <c r="Q1464" s="531">
        <f t="shared" si="820"/>
        <v>128</v>
      </c>
      <c r="R1464" s="537">
        <f t="shared" si="821"/>
        <v>0.0453257790368272</v>
      </c>
    </row>
    <row r="1465" spans="1:18">
      <c r="A1465" s="524">
        <v>45743</v>
      </c>
      <c r="B1465" s="540" t="s">
        <v>98</v>
      </c>
      <c r="C1465" s="551">
        <v>750</v>
      </c>
      <c r="D1465" s="553">
        <v>11655</v>
      </c>
      <c r="E1465" s="551">
        <v>346</v>
      </c>
      <c r="F1465" s="551">
        <v>3</v>
      </c>
      <c r="G1465" s="551">
        <v>44662</v>
      </c>
      <c r="H1465" s="551">
        <v>8</v>
      </c>
      <c r="I1465" s="551">
        <v>2</v>
      </c>
      <c r="J1465" s="551">
        <v>1</v>
      </c>
      <c r="K1465" s="527">
        <f t="shared" si="814"/>
        <v>0.0296868296868297</v>
      </c>
      <c r="L1465" s="528">
        <f t="shared" si="815"/>
        <v>2.16763005780347</v>
      </c>
      <c r="M1465" s="528">
        <f t="shared" si="816"/>
        <v>64.3500643500644</v>
      </c>
      <c r="N1465" s="528">
        <f t="shared" si="817"/>
        <v>59.5493333333333</v>
      </c>
      <c r="O1465" s="528">
        <f t="shared" si="818"/>
        <v>0.00867052023121387</v>
      </c>
      <c r="P1465" s="529">
        <f t="shared" si="819"/>
        <v>75</v>
      </c>
      <c r="Q1465" s="24">
        <f t="shared" si="820"/>
        <v>10</v>
      </c>
      <c r="R1465" s="530">
        <f t="shared" si="821"/>
        <v>0.0289017341040462</v>
      </c>
    </row>
    <row r="1466" spans="1:18">
      <c r="A1466" s="524"/>
      <c r="B1466" s="540" t="s">
        <v>99</v>
      </c>
      <c r="C1466" s="551">
        <v>0</v>
      </c>
      <c r="D1466" s="551">
        <v>0</v>
      </c>
      <c r="E1466" s="551">
        <v>0</v>
      </c>
      <c r="F1466" s="551">
        <v>0</v>
      </c>
      <c r="G1466" s="551">
        <v>0</v>
      </c>
      <c r="H1466" s="551">
        <v>0</v>
      </c>
      <c r="I1466" s="551">
        <v>0</v>
      </c>
      <c r="J1466" s="551">
        <v>0</v>
      </c>
      <c r="K1466" s="527">
        <f t="shared" si="814"/>
        <v>0</v>
      </c>
      <c r="L1466" s="528">
        <f t="shared" si="815"/>
        <v>0</v>
      </c>
      <c r="M1466" s="528">
        <f t="shared" si="816"/>
        <v>0</v>
      </c>
      <c r="N1466" s="528">
        <f t="shared" si="817"/>
        <v>0</v>
      </c>
      <c r="O1466" s="528">
        <f t="shared" si="818"/>
        <v>0</v>
      </c>
      <c r="P1466" s="529">
        <f t="shared" si="819"/>
        <v>0</v>
      </c>
      <c r="Q1466" s="24">
        <f t="shared" si="820"/>
        <v>0</v>
      </c>
      <c r="R1466" s="530">
        <f t="shared" si="821"/>
        <v>0</v>
      </c>
    </row>
    <row r="1467" spans="1:18">
      <c r="A1467" s="524"/>
      <c r="B1467" s="540" t="s">
        <v>100</v>
      </c>
      <c r="C1467" s="552">
        <v>1676.37</v>
      </c>
      <c r="D1467" s="551">
        <v>198490</v>
      </c>
      <c r="E1467" s="551">
        <v>1447</v>
      </c>
      <c r="F1467" s="551">
        <v>1</v>
      </c>
      <c r="G1467" s="551">
        <v>16892</v>
      </c>
      <c r="H1467" s="551">
        <v>31</v>
      </c>
      <c r="I1467" s="551">
        <v>38</v>
      </c>
      <c r="J1467" s="551">
        <v>4</v>
      </c>
      <c r="K1467" s="527">
        <f t="shared" si="814"/>
        <v>0.00729003980049373</v>
      </c>
      <c r="L1467" s="528">
        <f t="shared" si="815"/>
        <v>1.15851416724257</v>
      </c>
      <c r="M1467" s="528">
        <f t="shared" si="816"/>
        <v>8.44561438863419</v>
      </c>
      <c r="N1467" s="528">
        <f t="shared" si="817"/>
        <v>10.0765344166264</v>
      </c>
      <c r="O1467" s="528">
        <f t="shared" si="818"/>
        <v>0.000691085003455425</v>
      </c>
      <c r="P1467" s="529">
        <f t="shared" si="819"/>
        <v>24.2952173913043</v>
      </c>
      <c r="Q1467" s="24">
        <f t="shared" si="820"/>
        <v>69</v>
      </c>
      <c r="R1467" s="530">
        <f t="shared" si="821"/>
        <v>0.0476848652384243</v>
      </c>
    </row>
    <row r="1468" spans="1:18">
      <c r="A1468" s="524"/>
      <c r="B1468" s="540" t="s">
        <v>101</v>
      </c>
      <c r="C1468" s="551">
        <v>403.93</v>
      </c>
      <c r="D1468" s="551">
        <v>12777</v>
      </c>
      <c r="E1468" s="551">
        <v>358</v>
      </c>
      <c r="F1468" s="551">
        <v>0</v>
      </c>
      <c r="G1468" s="551">
        <v>0</v>
      </c>
      <c r="H1468" s="551">
        <v>19</v>
      </c>
      <c r="I1468" s="551">
        <v>2</v>
      </c>
      <c r="J1468" s="551">
        <v>0</v>
      </c>
      <c r="K1468" s="527">
        <f t="shared" si="814"/>
        <v>0.0280190968145887</v>
      </c>
      <c r="L1468" s="528">
        <f t="shared" si="815"/>
        <v>1.12829608938547</v>
      </c>
      <c r="M1468" s="528">
        <f t="shared" si="816"/>
        <v>31.6138373640135</v>
      </c>
      <c r="N1468" s="528">
        <f t="shared" si="817"/>
        <v>0</v>
      </c>
      <c r="O1468" s="528">
        <f t="shared" si="818"/>
        <v>0</v>
      </c>
      <c r="P1468" s="529">
        <f t="shared" si="819"/>
        <v>19.2347619047619</v>
      </c>
      <c r="Q1468" s="24">
        <f t="shared" si="820"/>
        <v>21</v>
      </c>
      <c r="R1468" s="530">
        <f t="shared" si="821"/>
        <v>0.058659217877095</v>
      </c>
    </row>
    <row r="1469" spans="1:18">
      <c r="A1469" s="524"/>
      <c r="B1469" s="531" t="s">
        <v>96</v>
      </c>
      <c r="C1469" s="533">
        <f t="shared" ref="C1469:J1469" si="833">SUM(C1465:C1468)</f>
        <v>2830.3</v>
      </c>
      <c r="D1469" s="533">
        <f t="shared" si="833"/>
        <v>222922</v>
      </c>
      <c r="E1469" s="533">
        <f t="shared" si="833"/>
        <v>2151</v>
      </c>
      <c r="F1469" s="533">
        <f t="shared" si="833"/>
        <v>4</v>
      </c>
      <c r="G1469" s="533">
        <f t="shared" si="833"/>
        <v>61554</v>
      </c>
      <c r="H1469" s="533">
        <f t="shared" si="833"/>
        <v>58</v>
      </c>
      <c r="I1469" s="533">
        <f t="shared" si="833"/>
        <v>42</v>
      </c>
      <c r="J1469" s="533">
        <f t="shared" si="833"/>
        <v>5</v>
      </c>
      <c r="K1469" s="534">
        <f t="shared" si="814"/>
        <v>0.00964911493706319</v>
      </c>
      <c r="L1469" s="535">
        <f t="shared" si="815"/>
        <v>1.31580660158066</v>
      </c>
      <c r="M1469" s="535">
        <f t="shared" si="816"/>
        <v>12.6963691335983</v>
      </c>
      <c r="N1469" s="535">
        <f t="shared" si="817"/>
        <v>21.7482245698336</v>
      </c>
      <c r="O1469" s="535">
        <f t="shared" si="818"/>
        <v>0.00185960018596002</v>
      </c>
      <c r="P1469" s="536">
        <f t="shared" si="819"/>
        <v>28.303</v>
      </c>
      <c r="Q1469" s="531">
        <f t="shared" si="820"/>
        <v>100</v>
      </c>
      <c r="R1469" s="537">
        <f t="shared" si="821"/>
        <v>0.0464900046490005</v>
      </c>
    </row>
    <row r="1470" spans="1:18">
      <c r="A1470" s="524">
        <v>45744</v>
      </c>
      <c r="B1470" s="540" t="s">
        <v>98</v>
      </c>
      <c r="C1470" s="551">
        <v>750</v>
      </c>
      <c r="D1470" s="553">
        <v>12685</v>
      </c>
      <c r="E1470" s="551">
        <v>350</v>
      </c>
      <c r="F1470" s="551">
        <v>0</v>
      </c>
      <c r="G1470" s="551">
        <v>0</v>
      </c>
      <c r="H1470" s="551">
        <v>15</v>
      </c>
      <c r="I1470" s="551">
        <v>5</v>
      </c>
      <c r="J1470" s="551">
        <v>3</v>
      </c>
      <c r="K1470" s="527">
        <f t="shared" si="814"/>
        <v>0.0275916436736303</v>
      </c>
      <c r="L1470" s="528">
        <f t="shared" si="815"/>
        <v>2.14285714285714</v>
      </c>
      <c r="M1470" s="528">
        <f t="shared" si="816"/>
        <v>59.1249507292077</v>
      </c>
      <c r="N1470" s="528">
        <f t="shared" si="817"/>
        <v>0</v>
      </c>
      <c r="O1470" s="528">
        <f t="shared" si="818"/>
        <v>0</v>
      </c>
      <c r="P1470" s="529">
        <f t="shared" si="819"/>
        <v>37.5</v>
      </c>
      <c r="Q1470" s="24">
        <f t="shared" si="820"/>
        <v>20</v>
      </c>
      <c r="R1470" s="530">
        <f t="shared" si="821"/>
        <v>0.0571428571428571</v>
      </c>
    </row>
    <row r="1471" spans="1:18">
      <c r="A1471" s="524"/>
      <c r="B1471" s="540" t="s">
        <v>99</v>
      </c>
      <c r="C1471" s="551">
        <v>0</v>
      </c>
      <c r="D1471" s="551">
        <v>0</v>
      </c>
      <c r="E1471" s="551">
        <v>0</v>
      </c>
      <c r="F1471" s="551">
        <v>0</v>
      </c>
      <c r="G1471" s="551">
        <v>0</v>
      </c>
      <c r="H1471" s="551">
        <v>0</v>
      </c>
      <c r="I1471" s="551">
        <v>0</v>
      </c>
      <c r="J1471" s="551">
        <v>0</v>
      </c>
      <c r="K1471" s="527">
        <f t="shared" si="814"/>
        <v>0</v>
      </c>
      <c r="L1471" s="528">
        <f t="shared" si="815"/>
        <v>0</v>
      </c>
      <c r="M1471" s="528">
        <f t="shared" si="816"/>
        <v>0</v>
      </c>
      <c r="N1471" s="528">
        <f t="shared" si="817"/>
        <v>0</v>
      </c>
      <c r="O1471" s="528">
        <f t="shared" si="818"/>
        <v>0</v>
      </c>
      <c r="P1471" s="529">
        <f t="shared" si="819"/>
        <v>0</v>
      </c>
      <c r="Q1471" s="24">
        <f t="shared" si="820"/>
        <v>0</v>
      </c>
      <c r="R1471" s="530">
        <f t="shared" si="821"/>
        <v>0</v>
      </c>
    </row>
    <row r="1472" spans="1:18">
      <c r="A1472" s="524"/>
      <c r="B1472" s="540" t="s">
        <v>100</v>
      </c>
      <c r="C1472" s="552">
        <v>1657.43</v>
      </c>
      <c r="D1472" s="551">
        <v>170496</v>
      </c>
      <c r="E1472" s="551">
        <v>1293</v>
      </c>
      <c r="F1472" s="551">
        <v>1</v>
      </c>
      <c r="G1472" s="551">
        <v>7523.01</v>
      </c>
      <c r="H1472" s="551">
        <v>40</v>
      </c>
      <c r="I1472" s="551">
        <v>40</v>
      </c>
      <c r="J1472" s="551">
        <v>3</v>
      </c>
      <c r="K1472" s="527">
        <f t="shared" si="814"/>
        <v>0.00758375563063063</v>
      </c>
      <c r="L1472" s="528">
        <f t="shared" si="815"/>
        <v>1.28184841453983</v>
      </c>
      <c r="M1472" s="528">
        <f t="shared" si="816"/>
        <v>9.72122513138138</v>
      </c>
      <c r="N1472" s="528">
        <f t="shared" si="817"/>
        <v>4.53896092142655</v>
      </c>
      <c r="O1472" s="528">
        <f t="shared" si="818"/>
        <v>0.000773395204949729</v>
      </c>
      <c r="P1472" s="529">
        <f t="shared" si="819"/>
        <v>20.717875</v>
      </c>
      <c r="Q1472" s="24">
        <f t="shared" si="820"/>
        <v>80</v>
      </c>
      <c r="R1472" s="530">
        <f t="shared" si="821"/>
        <v>0.0618716163959783</v>
      </c>
    </row>
    <row r="1473" spans="1:18">
      <c r="A1473" s="524"/>
      <c r="B1473" s="540" t="s">
        <v>101</v>
      </c>
      <c r="C1473" s="551">
        <v>384.74</v>
      </c>
      <c r="D1473" s="551">
        <v>34174</v>
      </c>
      <c r="E1473" s="551">
        <v>404</v>
      </c>
      <c r="F1473" s="551">
        <v>0</v>
      </c>
      <c r="G1473" s="551">
        <v>0</v>
      </c>
      <c r="H1473" s="551">
        <v>8</v>
      </c>
      <c r="I1473" s="551">
        <v>1</v>
      </c>
      <c r="J1473" s="551">
        <v>1</v>
      </c>
      <c r="K1473" s="527">
        <f t="shared" si="814"/>
        <v>0.0118218528706034</v>
      </c>
      <c r="L1473" s="528">
        <f t="shared" si="815"/>
        <v>0.952326732673267</v>
      </c>
      <c r="M1473" s="528">
        <f t="shared" si="816"/>
        <v>11.2582665184058</v>
      </c>
      <c r="N1473" s="528">
        <f t="shared" si="817"/>
        <v>0</v>
      </c>
      <c r="O1473" s="528">
        <f t="shared" si="818"/>
        <v>0</v>
      </c>
      <c r="P1473" s="529">
        <f t="shared" si="819"/>
        <v>42.7488888888889</v>
      </c>
      <c r="Q1473" s="24">
        <f t="shared" si="820"/>
        <v>9</v>
      </c>
      <c r="R1473" s="530">
        <f t="shared" si="821"/>
        <v>0.0222772277227723</v>
      </c>
    </row>
    <row r="1474" spans="1:18">
      <c r="A1474" s="524"/>
      <c r="B1474" s="531" t="s">
        <v>96</v>
      </c>
      <c r="C1474" s="533">
        <f t="shared" ref="C1474:J1474" si="834">SUM(C1470:C1473)</f>
        <v>2792.17</v>
      </c>
      <c r="D1474" s="533">
        <f t="shared" si="834"/>
        <v>217355</v>
      </c>
      <c r="E1474" s="533">
        <f t="shared" si="834"/>
        <v>2047</v>
      </c>
      <c r="F1474" s="533">
        <f t="shared" si="834"/>
        <v>1</v>
      </c>
      <c r="G1474" s="533">
        <f t="shared" si="834"/>
        <v>7523.01</v>
      </c>
      <c r="H1474" s="533">
        <f t="shared" si="834"/>
        <v>63</v>
      </c>
      <c r="I1474" s="533">
        <f t="shared" si="834"/>
        <v>46</v>
      </c>
      <c r="J1474" s="533">
        <f t="shared" si="834"/>
        <v>7</v>
      </c>
      <c r="K1474" s="534">
        <f t="shared" ref="K1474:K1479" si="835">IF(E1474=0,0,E1474/D1474)</f>
        <v>0.00941777276805227</v>
      </c>
      <c r="L1474" s="535">
        <f t="shared" ref="L1474:L1479" si="836">IF(C1474=0,0,C1474/E1474)</f>
        <v>1.36403028822667</v>
      </c>
      <c r="M1474" s="535">
        <f t="shared" ref="M1474:M1479" si="837">IF(D1474=0,0,C1474/D1474*1000)</f>
        <v>12.8461273032596</v>
      </c>
      <c r="N1474" s="535">
        <f t="shared" ref="N1474:N1479" si="838">IF(G1474=0,0,G1474/C1474)</f>
        <v>2.69432376968451</v>
      </c>
      <c r="O1474" s="535">
        <f t="shared" ref="O1474:O1479" si="839">IF(F1474=0,0,F1474/E1474)</f>
        <v>0.000488519785051295</v>
      </c>
      <c r="P1474" s="536">
        <f t="shared" ref="P1474:P1479" si="840">IF(H1474+I1474=0,0,C1474/(H1474+I1474))</f>
        <v>25.6162385321101</v>
      </c>
      <c r="Q1474" s="531">
        <f t="shared" ref="Q1474:Q1479" si="841">H1474+I1474</f>
        <v>109</v>
      </c>
      <c r="R1474" s="537">
        <f t="shared" ref="R1474:R1479" si="842">IF(Q1474=0,0,Q1474/E1474)</f>
        <v>0.0532486565705911</v>
      </c>
    </row>
    <row r="1475" spans="1:18">
      <c r="A1475" s="524">
        <v>45745</v>
      </c>
      <c r="B1475" s="540" t="s">
        <v>98</v>
      </c>
      <c r="C1475" s="551">
        <v>749.13</v>
      </c>
      <c r="D1475" s="553">
        <v>13878</v>
      </c>
      <c r="E1475" s="551">
        <v>416</v>
      </c>
      <c r="F1475" s="551">
        <v>6</v>
      </c>
      <c r="G1475" s="551">
        <v>120606</v>
      </c>
      <c r="H1475" s="551">
        <v>8</v>
      </c>
      <c r="I1475" s="551">
        <v>9</v>
      </c>
      <c r="J1475" s="551">
        <v>0</v>
      </c>
      <c r="K1475" s="527">
        <f t="shared" si="835"/>
        <v>0.0299755007926214</v>
      </c>
      <c r="L1475" s="528">
        <f t="shared" si="836"/>
        <v>1.80079326923077</v>
      </c>
      <c r="M1475" s="528">
        <f t="shared" si="837"/>
        <v>53.9796800691742</v>
      </c>
      <c r="N1475" s="528">
        <f t="shared" si="838"/>
        <v>160.994753914541</v>
      </c>
      <c r="O1475" s="528">
        <f t="shared" si="839"/>
        <v>0.0144230769230769</v>
      </c>
      <c r="P1475" s="529">
        <f t="shared" si="840"/>
        <v>44.0664705882353</v>
      </c>
      <c r="Q1475" s="24">
        <f t="shared" si="841"/>
        <v>17</v>
      </c>
      <c r="R1475" s="530">
        <f t="shared" si="842"/>
        <v>0.0408653846153846</v>
      </c>
    </row>
    <row r="1476" spans="1:18">
      <c r="A1476" s="524"/>
      <c r="B1476" s="540" t="s">
        <v>99</v>
      </c>
      <c r="C1476" s="551">
        <v>0</v>
      </c>
      <c r="D1476" s="551">
        <v>0</v>
      </c>
      <c r="E1476" s="551">
        <v>0</v>
      </c>
      <c r="F1476" s="551">
        <v>0</v>
      </c>
      <c r="G1476" s="551">
        <v>0</v>
      </c>
      <c r="H1476" s="551">
        <v>0</v>
      </c>
      <c r="I1476" s="551">
        <v>0</v>
      </c>
      <c r="J1476" s="551">
        <v>0</v>
      </c>
      <c r="K1476" s="527">
        <f t="shared" si="835"/>
        <v>0</v>
      </c>
      <c r="L1476" s="528">
        <f t="shared" si="836"/>
        <v>0</v>
      </c>
      <c r="M1476" s="528">
        <f t="shared" si="837"/>
        <v>0</v>
      </c>
      <c r="N1476" s="528">
        <f t="shared" si="838"/>
        <v>0</v>
      </c>
      <c r="O1476" s="528">
        <f t="shared" si="839"/>
        <v>0</v>
      </c>
      <c r="P1476" s="529">
        <f t="shared" si="840"/>
        <v>0</v>
      </c>
      <c r="Q1476" s="24">
        <f t="shared" si="841"/>
        <v>0</v>
      </c>
      <c r="R1476" s="530">
        <f t="shared" si="842"/>
        <v>0</v>
      </c>
    </row>
    <row r="1477" spans="1:18">
      <c r="A1477" s="524"/>
      <c r="B1477" s="540" t="s">
        <v>100</v>
      </c>
      <c r="C1477" s="552">
        <v>1688.08</v>
      </c>
      <c r="D1477" s="551">
        <v>258430</v>
      </c>
      <c r="E1477" s="551">
        <v>1825</v>
      </c>
      <c r="F1477" s="551">
        <v>0</v>
      </c>
      <c r="G1477" s="551">
        <v>0</v>
      </c>
      <c r="H1477" s="551">
        <v>48</v>
      </c>
      <c r="I1477" s="551">
        <v>53</v>
      </c>
      <c r="J1477" s="551">
        <v>5</v>
      </c>
      <c r="K1477" s="527">
        <f t="shared" si="835"/>
        <v>0.00706187362148357</v>
      </c>
      <c r="L1477" s="528">
        <f t="shared" si="836"/>
        <v>0.924975342465753</v>
      </c>
      <c r="M1477" s="528">
        <f t="shared" si="837"/>
        <v>6.53205897148164</v>
      </c>
      <c r="N1477" s="528">
        <f t="shared" si="838"/>
        <v>0</v>
      </c>
      <c r="O1477" s="528">
        <f t="shared" si="839"/>
        <v>0</v>
      </c>
      <c r="P1477" s="529">
        <f t="shared" si="840"/>
        <v>16.7136633663366</v>
      </c>
      <c r="Q1477" s="24">
        <f t="shared" si="841"/>
        <v>101</v>
      </c>
      <c r="R1477" s="530">
        <f t="shared" si="842"/>
        <v>0.0553424657534247</v>
      </c>
    </row>
    <row r="1478" spans="1:18">
      <c r="A1478" s="524"/>
      <c r="B1478" s="540" t="s">
        <v>101</v>
      </c>
      <c r="C1478" s="551">
        <v>350.68</v>
      </c>
      <c r="D1478" s="551">
        <v>40374</v>
      </c>
      <c r="E1478" s="551">
        <v>490</v>
      </c>
      <c r="F1478" s="551">
        <v>2</v>
      </c>
      <c r="G1478" s="551">
        <v>13409</v>
      </c>
      <c r="H1478" s="551">
        <v>13</v>
      </c>
      <c r="I1478" s="551">
        <v>1</v>
      </c>
      <c r="J1478" s="551">
        <v>0</v>
      </c>
      <c r="K1478" s="527">
        <f t="shared" si="835"/>
        <v>0.0121365235052261</v>
      </c>
      <c r="L1478" s="528">
        <f t="shared" si="836"/>
        <v>0.715673469387755</v>
      </c>
      <c r="M1478" s="528">
        <f t="shared" si="837"/>
        <v>8.68578788329123</v>
      </c>
      <c r="N1478" s="528">
        <f t="shared" si="838"/>
        <v>38.237139272271</v>
      </c>
      <c r="O1478" s="528">
        <f t="shared" si="839"/>
        <v>0.00408163265306122</v>
      </c>
      <c r="P1478" s="529">
        <f t="shared" si="840"/>
        <v>25.0485714285714</v>
      </c>
      <c r="Q1478" s="24">
        <f t="shared" si="841"/>
        <v>14</v>
      </c>
      <c r="R1478" s="530">
        <f t="shared" si="842"/>
        <v>0.0285714285714286</v>
      </c>
    </row>
    <row r="1479" spans="1:18">
      <c r="A1479" s="524"/>
      <c r="B1479" s="531" t="s">
        <v>96</v>
      </c>
      <c r="C1479" s="533">
        <f t="shared" ref="C1479:J1479" si="843">SUM(C1475:C1478)</f>
        <v>2787.89</v>
      </c>
      <c r="D1479" s="533">
        <f t="shared" si="843"/>
        <v>312682</v>
      </c>
      <c r="E1479" s="533">
        <f t="shared" si="843"/>
        <v>2731</v>
      </c>
      <c r="F1479" s="533">
        <f t="shared" si="843"/>
        <v>8</v>
      </c>
      <c r="G1479" s="533">
        <f t="shared" si="843"/>
        <v>134015</v>
      </c>
      <c r="H1479" s="533">
        <f t="shared" si="843"/>
        <v>69</v>
      </c>
      <c r="I1479" s="533">
        <f t="shared" si="843"/>
        <v>63</v>
      </c>
      <c r="J1479" s="533">
        <f t="shared" si="843"/>
        <v>5</v>
      </c>
      <c r="K1479" s="534">
        <f t="shared" si="835"/>
        <v>0.00873411325244178</v>
      </c>
      <c r="L1479" s="535">
        <f t="shared" si="836"/>
        <v>1.0208311973636</v>
      </c>
      <c r="M1479" s="535">
        <f t="shared" si="837"/>
        <v>8.91605528939945</v>
      </c>
      <c r="N1479" s="535">
        <f t="shared" si="838"/>
        <v>48.0704044994602</v>
      </c>
      <c r="O1479" s="535">
        <f t="shared" si="839"/>
        <v>0.00292932991578177</v>
      </c>
      <c r="P1479" s="536">
        <f t="shared" si="840"/>
        <v>21.1203787878788</v>
      </c>
      <c r="Q1479" s="531">
        <f t="shared" si="841"/>
        <v>132</v>
      </c>
      <c r="R1479" s="537">
        <f t="shared" si="842"/>
        <v>0.0483339436103991</v>
      </c>
    </row>
    <row r="1480" spans="1:18">
      <c r="A1480" s="524">
        <v>45746</v>
      </c>
      <c r="B1480" s="540" t="s">
        <v>98</v>
      </c>
      <c r="C1480" s="551">
        <v>750</v>
      </c>
      <c r="D1480" s="553">
        <v>12627</v>
      </c>
      <c r="E1480" s="551">
        <v>398</v>
      </c>
      <c r="F1480" s="551">
        <v>1</v>
      </c>
      <c r="G1480" s="551">
        <v>43962</v>
      </c>
      <c r="H1480" s="551">
        <v>8</v>
      </c>
      <c r="I1480" s="551">
        <v>5</v>
      </c>
      <c r="J1480" s="551">
        <v>0</v>
      </c>
      <c r="K1480" s="527">
        <f t="shared" ref="K1480:K1543" si="844">IF(E1480=0,0,E1480/D1480)</f>
        <v>0.03151975924606</v>
      </c>
      <c r="L1480" s="528">
        <f t="shared" ref="L1480:L1543" si="845">IF(C1480=0,0,C1480/E1480)</f>
        <v>1.88442211055276</v>
      </c>
      <c r="M1480" s="528">
        <f t="shared" ref="M1480:M1543" si="846">IF(D1480=0,0,C1480/D1480*1000)</f>
        <v>59.3965312425754</v>
      </c>
      <c r="N1480" s="528">
        <f t="shared" ref="N1480:N1543" si="847">IF(G1480=0,0,G1480/C1480)</f>
        <v>58.616</v>
      </c>
      <c r="O1480" s="528">
        <f t="shared" ref="O1480:O1543" si="848">IF(F1480=0,0,F1480/E1480)</f>
        <v>0.00251256281407035</v>
      </c>
      <c r="P1480" s="529">
        <f t="shared" ref="P1480:P1543" si="849">IF(H1480+I1480=0,0,C1480/(H1480+I1480))</f>
        <v>57.6923076923077</v>
      </c>
      <c r="Q1480" s="24">
        <f t="shared" ref="Q1480:Q1543" si="850">H1480+I1480</f>
        <v>13</v>
      </c>
      <c r="R1480" s="530">
        <f t="shared" ref="R1480:R1543" si="851">IF(Q1480=0,0,Q1480/E1480)</f>
        <v>0.0326633165829146</v>
      </c>
    </row>
    <row r="1481" spans="1:18">
      <c r="A1481" s="524"/>
      <c r="B1481" s="540" t="s">
        <v>99</v>
      </c>
      <c r="C1481" s="551">
        <v>0</v>
      </c>
      <c r="D1481" s="551">
        <v>0</v>
      </c>
      <c r="E1481" s="551">
        <v>0</v>
      </c>
      <c r="F1481" s="551">
        <v>0</v>
      </c>
      <c r="G1481" s="551">
        <v>0</v>
      </c>
      <c r="H1481" s="551">
        <v>0</v>
      </c>
      <c r="I1481" s="551">
        <v>0</v>
      </c>
      <c r="J1481" s="551">
        <v>0</v>
      </c>
      <c r="K1481" s="527">
        <f t="shared" si="844"/>
        <v>0</v>
      </c>
      <c r="L1481" s="528">
        <f t="shared" si="845"/>
        <v>0</v>
      </c>
      <c r="M1481" s="528">
        <f t="shared" si="846"/>
        <v>0</v>
      </c>
      <c r="N1481" s="528">
        <f t="shared" si="847"/>
        <v>0</v>
      </c>
      <c r="O1481" s="528">
        <f t="shared" si="848"/>
        <v>0</v>
      </c>
      <c r="P1481" s="529">
        <f t="shared" si="849"/>
        <v>0</v>
      </c>
      <c r="Q1481" s="24">
        <f t="shared" si="850"/>
        <v>0</v>
      </c>
      <c r="R1481" s="530">
        <f t="shared" si="851"/>
        <v>0</v>
      </c>
    </row>
    <row r="1482" spans="1:18">
      <c r="A1482" s="524"/>
      <c r="B1482" s="540" t="s">
        <v>100</v>
      </c>
      <c r="C1482" s="552">
        <v>1673.04</v>
      </c>
      <c r="D1482" s="551">
        <v>313616</v>
      </c>
      <c r="E1482" s="551">
        <v>1780</v>
      </c>
      <c r="F1482" s="551">
        <v>0</v>
      </c>
      <c r="G1482" s="551">
        <v>0</v>
      </c>
      <c r="H1482" s="551">
        <v>51</v>
      </c>
      <c r="I1482" s="551">
        <v>38</v>
      </c>
      <c r="J1482" s="551">
        <v>6</v>
      </c>
      <c r="K1482" s="527">
        <f t="shared" si="844"/>
        <v>0.00567573083005969</v>
      </c>
      <c r="L1482" s="528">
        <f t="shared" si="845"/>
        <v>0.939910112359551</v>
      </c>
      <c r="M1482" s="528">
        <f t="shared" si="846"/>
        <v>5.33467680220397</v>
      </c>
      <c r="N1482" s="528">
        <f t="shared" si="847"/>
        <v>0</v>
      </c>
      <c r="O1482" s="528">
        <f t="shared" si="848"/>
        <v>0</v>
      </c>
      <c r="P1482" s="529">
        <f t="shared" si="849"/>
        <v>18.798202247191</v>
      </c>
      <c r="Q1482" s="24">
        <f t="shared" si="850"/>
        <v>89</v>
      </c>
      <c r="R1482" s="530">
        <f t="shared" si="851"/>
        <v>0.05</v>
      </c>
    </row>
    <row r="1483" spans="1:18">
      <c r="A1483" s="524"/>
      <c r="B1483" s="540" t="s">
        <v>101</v>
      </c>
      <c r="C1483" s="551">
        <v>466.65</v>
      </c>
      <c r="D1483" s="551">
        <v>42523</v>
      </c>
      <c r="E1483" s="551">
        <v>506</v>
      </c>
      <c r="F1483" s="551">
        <v>3</v>
      </c>
      <c r="G1483" s="551">
        <v>22293</v>
      </c>
      <c r="H1483" s="551">
        <v>13</v>
      </c>
      <c r="I1483" s="551">
        <v>0</v>
      </c>
      <c r="J1483" s="551">
        <v>2</v>
      </c>
      <c r="K1483" s="527">
        <f t="shared" si="844"/>
        <v>0.0118994426545634</v>
      </c>
      <c r="L1483" s="528">
        <f t="shared" si="845"/>
        <v>0.922233201581028</v>
      </c>
      <c r="M1483" s="528">
        <f t="shared" si="846"/>
        <v>10.9740610963479</v>
      </c>
      <c r="N1483" s="528">
        <f t="shared" si="847"/>
        <v>47.7724204435873</v>
      </c>
      <c r="O1483" s="528">
        <f t="shared" si="848"/>
        <v>0.00592885375494071</v>
      </c>
      <c r="P1483" s="529">
        <f t="shared" si="849"/>
        <v>35.8961538461538</v>
      </c>
      <c r="Q1483" s="24">
        <f t="shared" si="850"/>
        <v>13</v>
      </c>
      <c r="R1483" s="530">
        <f t="shared" si="851"/>
        <v>0.0256916996047431</v>
      </c>
    </row>
    <row r="1484" spans="1:18">
      <c r="A1484" s="524"/>
      <c r="B1484" s="531" t="s">
        <v>96</v>
      </c>
      <c r="C1484" s="533">
        <f t="shared" ref="C1484:J1484" si="852">SUM(C1480:C1483)</f>
        <v>2889.69</v>
      </c>
      <c r="D1484" s="533">
        <f t="shared" si="852"/>
        <v>368766</v>
      </c>
      <c r="E1484" s="533">
        <f t="shared" si="852"/>
        <v>2684</v>
      </c>
      <c r="F1484" s="533">
        <f t="shared" si="852"/>
        <v>4</v>
      </c>
      <c r="G1484" s="533">
        <f t="shared" si="852"/>
        <v>66255</v>
      </c>
      <c r="H1484" s="533">
        <f t="shared" si="852"/>
        <v>72</v>
      </c>
      <c r="I1484" s="533">
        <f t="shared" si="852"/>
        <v>43</v>
      </c>
      <c r="J1484" s="533">
        <f t="shared" si="852"/>
        <v>8</v>
      </c>
      <c r="K1484" s="534">
        <f t="shared" si="844"/>
        <v>0.00727832826236692</v>
      </c>
      <c r="L1484" s="535">
        <f t="shared" si="845"/>
        <v>1.07663561847988</v>
      </c>
      <c r="M1484" s="535">
        <f t="shared" si="846"/>
        <v>7.83610745025301</v>
      </c>
      <c r="N1484" s="535">
        <f t="shared" si="847"/>
        <v>22.9280649481432</v>
      </c>
      <c r="O1484" s="535">
        <f t="shared" si="848"/>
        <v>0.0014903129657228</v>
      </c>
      <c r="P1484" s="536">
        <f t="shared" si="849"/>
        <v>25.1277391304348</v>
      </c>
      <c r="Q1484" s="531">
        <f t="shared" si="850"/>
        <v>115</v>
      </c>
      <c r="R1484" s="537">
        <f t="shared" si="851"/>
        <v>0.0428464977645306</v>
      </c>
    </row>
    <row r="1485" spans="1:18">
      <c r="A1485" s="524">
        <v>45747</v>
      </c>
      <c r="B1485" s="540" t="s">
        <v>98</v>
      </c>
      <c r="C1485" s="551">
        <v>750</v>
      </c>
      <c r="D1485" s="553">
        <v>10889</v>
      </c>
      <c r="E1485" s="551">
        <v>329</v>
      </c>
      <c r="F1485" s="551">
        <v>0</v>
      </c>
      <c r="G1485" s="551">
        <v>0</v>
      </c>
      <c r="H1485" s="551">
        <v>10</v>
      </c>
      <c r="I1485" s="551">
        <v>3</v>
      </c>
      <c r="J1485" s="551">
        <v>1</v>
      </c>
      <c r="K1485" s="527">
        <f t="shared" si="844"/>
        <v>0.0302139774083938</v>
      </c>
      <c r="L1485" s="528">
        <f t="shared" si="845"/>
        <v>2.27963525835866</v>
      </c>
      <c r="M1485" s="528">
        <f t="shared" si="846"/>
        <v>68.8768481954266</v>
      </c>
      <c r="N1485" s="528">
        <f t="shared" si="847"/>
        <v>0</v>
      </c>
      <c r="O1485" s="528">
        <f t="shared" si="848"/>
        <v>0</v>
      </c>
      <c r="P1485" s="529">
        <f t="shared" si="849"/>
        <v>57.6923076923077</v>
      </c>
      <c r="Q1485" s="24">
        <f t="shared" si="850"/>
        <v>13</v>
      </c>
      <c r="R1485" s="530">
        <f t="shared" si="851"/>
        <v>0.0395136778115502</v>
      </c>
    </row>
    <row r="1486" spans="1:18">
      <c r="A1486" s="524"/>
      <c r="B1486" s="540" t="s">
        <v>99</v>
      </c>
      <c r="C1486" s="551">
        <v>345.81</v>
      </c>
      <c r="D1486" s="551">
        <v>3108</v>
      </c>
      <c r="E1486" s="551">
        <v>304</v>
      </c>
      <c r="F1486" s="551">
        <v>0</v>
      </c>
      <c r="G1486" s="551">
        <v>0</v>
      </c>
      <c r="H1486" s="551">
        <v>4</v>
      </c>
      <c r="I1486" s="551">
        <v>0</v>
      </c>
      <c r="J1486" s="551">
        <v>1</v>
      </c>
      <c r="K1486" s="527">
        <f t="shared" si="844"/>
        <v>0.0978120978120978</v>
      </c>
      <c r="L1486" s="528">
        <f t="shared" si="845"/>
        <v>1.13753289473684</v>
      </c>
      <c r="M1486" s="528">
        <f t="shared" si="846"/>
        <v>111.264478764479</v>
      </c>
      <c r="N1486" s="528">
        <f t="shared" si="847"/>
        <v>0</v>
      </c>
      <c r="O1486" s="528">
        <f t="shared" si="848"/>
        <v>0</v>
      </c>
      <c r="P1486" s="529">
        <f t="shared" si="849"/>
        <v>86.4525</v>
      </c>
      <c r="Q1486" s="24">
        <f t="shared" si="850"/>
        <v>4</v>
      </c>
      <c r="R1486" s="530">
        <f t="shared" si="851"/>
        <v>0.0131578947368421</v>
      </c>
    </row>
    <row r="1487" spans="1:18">
      <c r="A1487" s="524"/>
      <c r="B1487" s="540" t="s">
        <v>100</v>
      </c>
      <c r="C1487" s="552">
        <v>2564.35</v>
      </c>
      <c r="D1487" s="551">
        <v>524940</v>
      </c>
      <c r="E1487" s="551">
        <v>2546</v>
      </c>
      <c r="F1487" s="551">
        <v>0</v>
      </c>
      <c r="G1487" s="551">
        <v>0</v>
      </c>
      <c r="H1487" s="551">
        <v>60</v>
      </c>
      <c r="I1487" s="551">
        <v>64</v>
      </c>
      <c r="J1487" s="551">
        <v>5</v>
      </c>
      <c r="K1487" s="527">
        <f t="shared" si="844"/>
        <v>0.00485007810416429</v>
      </c>
      <c r="L1487" s="528">
        <f t="shared" si="845"/>
        <v>1.00720738413197</v>
      </c>
      <c r="M1487" s="528">
        <f t="shared" si="846"/>
        <v>4.88503448013106</v>
      </c>
      <c r="N1487" s="528">
        <f t="shared" si="847"/>
        <v>0</v>
      </c>
      <c r="O1487" s="528">
        <f t="shared" si="848"/>
        <v>0</v>
      </c>
      <c r="P1487" s="529">
        <f t="shared" si="849"/>
        <v>20.6802419354839</v>
      </c>
      <c r="Q1487" s="24">
        <f t="shared" si="850"/>
        <v>124</v>
      </c>
      <c r="R1487" s="530">
        <f t="shared" si="851"/>
        <v>0.0487038491751767</v>
      </c>
    </row>
    <row r="1488" spans="1:18">
      <c r="A1488" s="524"/>
      <c r="B1488" s="540" t="s">
        <v>101</v>
      </c>
      <c r="C1488" s="551">
        <v>511.56</v>
      </c>
      <c r="D1488" s="551">
        <v>52236</v>
      </c>
      <c r="E1488" s="551">
        <v>592</v>
      </c>
      <c r="F1488" s="551">
        <v>1</v>
      </c>
      <c r="G1488" s="551">
        <v>4798</v>
      </c>
      <c r="H1488" s="551">
        <v>11</v>
      </c>
      <c r="I1488" s="551">
        <v>3</v>
      </c>
      <c r="J1488" s="551">
        <v>2</v>
      </c>
      <c r="K1488" s="527">
        <f t="shared" si="844"/>
        <v>0.0113331801822498</v>
      </c>
      <c r="L1488" s="528">
        <f t="shared" si="845"/>
        <v>0.864121621621622</v>
      </c>
      <c r="M1488" s="528">
        <f t="shared" si="846"/>
        <v>9.79324603721571</v>
      </c>
      <c r="N1488" s="528">
        <f t="shared" si="847"/>
        <v>9.37915396043475</v>
      </c>
      <c r="O1488" s="528">
        <f t="shared" si="848"/>
        <v>0.00168918918918919</v>
      </c>
      <c r="P1488" s="529">
        <f t="shared" si="849"/>
        <v>36.54</v>
      </c>
      <c r="Q1488" s="24">
        <f t="shared" si="850"/>
        <v>14</v>
      </c>
      <c r="R1488" s="530">
        <f t="shared" si="851"/>
        <v>0.0236486486486486</v>
      </c>
    </row>
    <row r="1489" spans="1:18">
      <c r="A1489" s="524"/>
      <c r="B1489" s="531" t="s">
        <v>96</v>
      </c>
      <c r="C1489" s="533">
        <f t="shared" ref="C1489:J1489" si="853">SUM(C1485:C1488)</f>
        <v>4171.72</v>
      </c>
      <c r="D1489" s="533">
        <f t="shared" si="853"/>
        <v>591173</v>
      </c>
      <c r="E1489" s="533">
        <f t="shared" si="853"/>
        <v>3771</v>
      </c>
      <c r="F1489" s="533">
        <f t="shared" si="853"/>
        <v>1</v>
      </c>
      <c r="G1489" s="533">
        <f t="shared" si="853"/>
        <v>4798</v>
      </c>
      <c r="H1489" s="533">
        <f t="shared" si="853"/>
        <v>85</v>
      </c>
      <c r="I1489" s="533">
        <f t="shared" si="853"/>
        <v>70</v>
      </c>
      <c r="J1489" s="533">
        <f t="shared" si="853"/>
        <v>9</v>
      </c>
      <c r="K1489" s="534">
        <f t="shared" si="844"/>
        <v>0.00637884341808574</v>
      </c>
      <c r="L1489" s="535">
        <f t="shared" si="845"/>
        <v>1.10626359055953</v>
      </c>
      <c r="M1489" s="535">
        <f t="shared" si="846"/>
        <v>7.05668222330858</v>
      </c>
      <c r="N1489" s="535">
        <f t="shared" si="847"/>
        <v>1.15012512824447</v>
      </c>
      <c r="O1489" s="535">
        <f t="shared" si="848"/>
        <v>0.000265181649429859</v>
      </c>
      <c r="P1489" s="536">
        <f t="shared" si="849"/>
        <v>26.9143225806452</v>
      </c>
      <c r="Q1489" s="531">
        <f t="shared" si="850"/>
        <v>155</v>
      </c>
      <c r="R1489" s="537">
        <f t="shared" si="851"/>
        <v>0.0411031556616282</v>
      </c>
    </row>
    <row r="1490" spans="1:18">
      <c r="A1490" s="524">
        <v>45748</v>
      </c>
      <c r="B1490" s="540" t="s">
        <v>98</v>
      </c>
      <c r="C1490" s="551">
        <v>636.28</v>
      </c>
      <c r="D1490" s="553">
        <v>13100</v>
      </c>
      <c r="E1490" s="551">
        <v>358</v>
      </c>
      <c r="F1490" s="551">
        <v>0</v>
      </c>
      <c r="G1490" s="551">
        <v>0</v>
      </c>
      <c r="H1490" s="551">
        <v>8</v>
      </c>
      <c r="I1490" s="551">
        <v>2</v>
      </c>
      <c r="J1490" s="551">
        <v>0</v>
      </c>
      <c r="K1490" s="527">
        <f t="shared" si="844"/>
        <v>0.0273282442748092</v>
      </c>
      <c r="L1490" s="528">
        <f t="shared" si="845"/>
        <v>1.77731843575419</v>
      </c>
      <c r="M1490" s="528">
        <f t="shared" si="846"/>
        <v>48.5709923664122</v>
      </c>
      <c r="N1490" s="528">
        <f t="shared" si="847"/>
        <v>0</v>
      </c>
      <c r="O1490" s="528">
        <f t="shared" si="848"/>
        <v>0</v>
      </c>
      <c r="P1490" s="529">
        <f t="shared" si="849"/>
        <v>63.628</v>
      </c>
      <c r="Q1490" s="24">
        <f t="shared" si="850"/>
        <v>10</v>
      </c>
      <c r="R1490" s="530">
        <f t="shared" si="851"/>
        <v>0.0279329608938547</v>
      </c>
    </row>
    <row r="1491" spans="1:18">
      <c r="A1491" s="524"/>
      <c r="B1491" s="540" t="s">
        <v>99</v>
      </c>
      <c r="C1491" s="551">
        <v>0</v>
      </c>
      <c r="D1491" s="551">
        <v>0</v>
      </c>
      <c r="E1491" s="551">
        <v>0</v>
      </c>
      <c r="F1491" s="551">
        <v>0</v>
      </c>
      <c r="G1491" s="551">
        <v>0</v>
      </c>
      <c r="H1491" s="551">
        <v>0</v>
      </c>
      <c r="I1491" s="551">
        <v>0</v>
      </c>
      <c r="J1491" s="551">
        <v>0</v>
      </c>
      <c r="K1491" s="527">
        <f t="shared" si="844"/>
        <v>0</v>
      </c>
      <c r="L1491" s="528">
        <f t="shared" si="845"/>
        <v>0</v>
      </c>
      <c r="M1491" s="528">
        <f t="shared" si="846"/>
        <v>0</v>
      </c>
      <c r="N1491" s="528">
        <f t="shared" si="847"/>
        <v>0</v>
      </c>
      <c r="O1491" s="528">
        <f t="shared" si="848"/>
        <v>0</v>
      </c>
      <c r="P1491" s="529">
        <f t="shared" si="849"/>
        <v>0</v>
      </c>
      <c r="Q1491" s="24">
        <f t="shared" si="850"/>
        <v>0</v>
      </c>
      <c r="R1491" s="530">
        <f t="shared" si="851"/>
        <v>0</v>
      </c>
    </row>
    <row r="1492" spans="1:18">
      <c r="A1492" s="524"/>
      <c r="B1492" s="540" t="s">
        <v>100</v>
      </c>
      <c r="C1492" s="552">
        <v>627.33</v>
      </c>
      <c r="D1492" s="551">
        <v>98167</v>
      </c>
      <c r="E1492" s="551">
        <v>712</v>
      </c>
      <c r="F1492" s="551">
        <v>2</v>
      </c>
      <c r="G1492" s="551">
        <v>25472</v>
      </c>
      <c r="H1492" s="551">
        <v>20</v>
      </c>
      <c r="I1492" s="551">
        <v>13</v>
      </c>
      <c r="J1492" s="551">
        <v>5</v>
      </c>
      <c r="K1492" s="527">
        <f t="shared" si="844"/>
        <v>0.00725294650951949</v>
      </c>
      <c r="L1492" s="528">
        <f t="shared" si="845"/>
        <v>0.881081460674157</v>
      </c>
      <c r="M1492" s="528">
        <f t="shared" si="846"/>
        <v>6.39043670479897</v>
      </c>
      <c r="N1492" s="528">
        <f t="shared" si="847"/>
        <v>40.6038289257647</v>
      </c>
      <c r="O1492" s="528">
        <f t="shared" si="848"/>
        <v>0.00280898876404494</v>
      </c>
      <c r="P1492" s="529">
        <f t="shared" si="849"/>
        <v>19.01</v>
      </c>
      <c r="Q1492" s="24">
        <f t="shared" si="850"/>
        <v>33</v>
      </c>
      <c r="R1492" s="530">
        <f t="shared" si="851"/>
        <v>0.0463483146067416</v>
      </c>
    </row>
    <row r="1493" spans="1:18">
      <c r="A1493" s="524"/>
      <c r="B1493" s="540" t="s">
        <v>101</v>
      </c>
      <c r="C1493" s="551">
        <v>111.39</v>
      </c>
      <c r="D1493" s="551">
        <v>18374</v>
      </c>
      <c r="E1493" s="551">
        <v>140</v>
      </c>
      <c r="F1493" s="551">
        <v>0</v>
      </c>
      <c r="G1493" s="551">
        <v>0</v>
      </c>
      <c r="H1493" s="551">
        <v>2</v>
      </c>
      <c r="I1493" s="551">
        <v>0</v>
      </c>
      <c r="J1493" s="551">
        <v>2</v>
      </c>
      <c r="K1493" s="527">
        <f t="shared" si="844"/>
        <v>0.0076194622836617</v>
      </c>
      <c r="L1493" s="528">
        <f t="shared" si="845"/>
        <v>0.795642857142857</v>
      </c>
      <c r="M1493" s="528">
        <f t="shared" si="846"/>
        <v>6.06237074126483</v>
      </c>
      <c r="N1493" s="528">
        <f t="shared" si="847"/>
        <v>0</v>
      </c>
      <c r="O1493" s="528">
        <f t="shared" si="848"/>
        <v>0</v>
      </c>
      <c r="P1493" s="529">
        <f t="shared" si="849"/>
        <v>55.695</v>
      </c>
      <c r="Q1493" s="24">
        <f t="shared" si="850"/>
        <v>2</v>
      </c>
      <c r="R1493" s="530">
        <f t="shared" si="851"/>
        <v>0.0142857142857143</v>
      </c>
    </row>
    <row r="1494" spans="1:18">
      <c r="A1494" s="524"/>
      <c r="B1494" s="531" t="s">
        <v>96</v>
      </c>
      <c r="C1494" s="533">
        <f t="shared" ref="C1494:J1494" si="854">SUM(C1490:C1493)</f>
        <v>1375</v>
      </c>
      <c r="D1494" s="533">
        <f t="shared" si="854"/>
        <v>129641</v>
      </c>
      <c r="E1494" s="533">
        <f t="shared" si="854"/>
        <v>1210</v>
      </c>
      <c r="F1494" s="533">
        <f t="shared" si="854"/>
        <v>2</v>
      </c>
      <c r="G1494" s="533">
        <f t="shared" si="854"/>
        <v>25472</v>
      </c>
      <c r="H1494" s="533">
        <f t="shared" si="854"/>
        <v>30</v>
      </c>
      <c r="I1494" s="533">
        <f t="shared" si="854"/>
        <v>15</v>
      </c>
      <c r="J1494" s="533">
        <f t="shared" si="854"/>
        <v>7</v>
      </c>
      <c r="K1494" s="534">
        <f t="shared" si="844"/>
        <v>0.00933346703589142</v>
      </c>
      <c r="L1494" s="535">
        <f t="shared" si="845"/>
        <v>1.13636363636364</v>
      </c>
      <c r="M1494" s="535">
        <f t="shared" si="846"/>
        <v>10.6062125407857</v>
      </c>
      <c r="N1494" s="535">
        <f t="shared" si="847"/>
        <v>18.5250909090909</v>
      </c>
      <c r="O1494" s="535">
        <f t="shared" si="848"/>
        <v>0.00165289256198347</v>
      </c>
      <c r="P1494" s="536">
        <f t="shared" si="849"/>
        <v>30.5555555555556</v>
      </c>
      <c r="Q1494" s="531">
        <f t="shared" si="850"/>
        <v>45</v>
      </c>
      <c r="R1494" s="537">
        <f t="shared" si="851"/>
        <v>0.0371900826446281</v>
      </c>
    </row>
    <row r="1495" spans="1:18">
      <c r="A1495" s="524">
        <v>45749</v>
      </c>
      <c r="B1495" s="540" t="s">
        <v>98</v>
      </c>
      <c r="C1495" s="551">
        <v>600</v>
      </c>
      <c r="D1495" s="553">
        <v>9313</v>
      </c>
      <c r="E1495" s="551">
        <v>276</v>
      </c>
      <c r="F1495" s="551">
        <v>0</v>
      </c>
      <c r="G1495" s="551">
        <v>0</v>
      </c>
      <c r="H1495" s="551">
        <v>8</v>
      </c>
      <c r="I1495" s="551">
        <v>6</v>
      </c>
      <c r="J1495" s="551">
        <v>0</v>
      </c>
      <c r="K1495" s="527">
        <f t="shared" si="844"/>
        <v>0.0296359926983786</v>
      </c>
      <c r="L1495" s="528">
        <f t="shared" si="845"/>
        <v>2.17391304347826</v>
      </c>
      <c r="M1495" s="528">
        <f t="shared" si="846"/>
        <v>64.4260710834318</v>
      </c>
      <c r="N1495" s="528">
        <f t="shared" si="847"/>
        <v>0</v>
      </c>
      <c r="O1495" s="528">
        <f t="shared" si="848"/>
        <v>0</v>
      </c>
      <c r="P1495" s="529">
        <f t="shared" si="849"/>
        <v>42.8571428571429</v>
      </c>
      <c r="Q1495" s="24">
        <f t="shared" si="850"/>
        <v>14</v>
      </c>
      <c r="R1495" s="530">
        <f t="shared" si="851"/>
        <v>0.0507246376811594</v>
      </c>
    </row>
    <row r="1496" spans="1:18">
      <c r="A1496" s="524"/>
      <c r="B1496" s="540" t="s">
        <v>99</v>
      </c>
      <c r="C1496" s="551">
        <v>0</v>
      </c>
      <c r="D1496" s="551">
        <v>0</v>
      </c>
      <c r="E1496" s="551">
        <v>0</v>
      </c>
      <c r="F1496" s="551">
        <v>0</v>
      </c>
      <c r="G1496" s="551">
        <v>0</v>
      </c>
      <c r="H1496" s="551">
        <v>0</v>
      </c>
      <c r="I1496" s="551">
        <v>0</v>
      </c>
      <c r="J1496" s="551">
        <v>0</v>
      </c>
      <c r="K1496" s="527">
        <f t="shared" si="844"/>
        <v>0</v>
      </c>
      <c r="L1496" s="528">
        <f t="shared" si="845"/>
        <v>0</v>
      </c>
      <c r="M1496" s="528">
        <f t="shared" si="846"/>
        <v>0</v>
      </c>
      <c r="N1496" s="528">
        <f t="shared" si="847"/>
        <v>0</v>
      </c>
      <c r="O1496" s="528">
        <f t="shared" si="848"/>
        <v>0</v>
      </c>
      <c r="P1496" s="529">
        <f t="shared" si="849"/>
        <v>0</v>
      </c>
      <c r="Q1496" s="24">
        <f t="shared" si="850"/>
        <v>0</v>
      </c>
      <c r="R1496" s="530">
        <f t="shared" si="851"/>
        <v>0</v>
      </c>
    </row>
    <row r="1497" spans="1:18">
      <c r="A1497" s="524"/>
      <c r="B1497" s="540" t="s">
        <v>100</v>
      </c>
      <c r="C1497" s="552">
        <v>586.86</v>
      </c>
      <c r="D1497" s="551">
        <v>127341</v>
      </c>
      <c r="E1497" s="551">
        <v>834</v>
      </c>
      <c r="F1497" s="551">
        <v>0</v>
      </c>
      <c r="G1497" s="551">
        <v>0</v>
      </c>
      <c r="H1497" s="551">
        <v>15</v>
      </c>
      <c r="I1497" s="551">
        <v>13</v>
      </c>
      <c r="J1497" s="551">
        <v>2</v>
      </c>
      <c r="K1497" s="527">
        <f t="shared" si="844"/>
        <v>0.00654934388767168</v>
      </c>
      <c r="L1497" s="528">
        <f t="shared" si="845"/>
        <v>0.703669064748201</v>
      </c>
      <c r="M1497" s="528">
        <f t="shared" si="846"/>
        <v>4.60857068815228</v>
      </c>
      <c r="N1497" s="528">
        <f t="shared" si="847"/>
        <v>0</v>
      </c>
      <c r="O1497" s="528">
        <f t="shared" si="848"/>
        <v>0</v>
      </c>
      <c r="P1497" s="529">
        <f t="shared" si="849"/>
        <v>20.9592857142857</v>
      </c>
      <c r="Q1497" s="24">
        <f t="shared" si="850"/>
        <v>28</v>
      </c>
      <c r="R1497" s="530">
        <f t="shared" si="851"/>
        <v>0.0335731414868106</v>
      </c>
    </row>
    <row r="1498" spans="1:18">
      <c r="A1498" s="524"/>
      <c r="B1498" s="540" t="s">
        <v>101</v>
      </c>
      <c r="C1498" s="551">
        <v>0</v>
      </c>
      <c r="D1498" s="551">
        <v>0</v>
      </c>
      <c r="E1498" s="551">
        <v>0</v>
      </c>
      <c r="F1498" s="551">
        <v>0</v>
      </c>
      <c r="G1498" s="551">
        <v>0</v>
      </c>
      <c r="H1498" s="551">
        <v>0</v>
      </c>
      <c r="I1498" s="551">
        <v>0</v>
      </c>
      <c r="J1498" s="551">
        <v>0</v>
      </c>
      <c r="K1498" s="527">
        <f t="shared" si="844"/>
        <v>0</v>
      </c>
      <c r="L1498" s="528">
        <f t="shared" si="845"/>
        <v>0</v>
      </c>
      <c r="M1498" s="528">
        <f t="shared" si="846"/>
        <v>0</v>
      </c>
      <c r="N1498" s="528">
        <f t="shared" si="847"/>
        <v>0</v>
      </c>
      <c r="O1498" s="528">
        <f t="shared" si="848"/>
        <v>0</v>
      </c>
      <c r="P1498" s="529">
        <f t="shared" si="849"/>
        <v>0</v>
      </c>
      <c r="Q1498" s="24">
        <f t="shared" si="850"/>
        <v>0</v>
      </c>
      <c r="R1498" s="530">
        <f t="shared" si="851"/>
        <v>0</v>
      </c>
    </row>
    <row r="1499" spans="1:18">
      <c r="A1499" s="524"/>
      <c r="B1499" s="531" t="s">
        <v>96</v>
      </c>
      <c r="C1499" s="533">
        <f t="shared" ref="C1499:J1499" si="855">SUM(C1495:C1498)</f>
        <v>1186.86</v>
      </c>
      <c r="D1499" s="533">
        <f t="shared" si="855"/>
        <v>136654</v>
      </c>
      <c r="E1499" s="533">
        <f t="shared" si="855"/>
        <v>1110</v>
      </c>
      <c r="F1499" s="533">
        <f t="shared" si="855"/>
        <v>0</v>
      </c>
      <c r="G1499" s="533">
        <f t="shared" si="855"/>
        <v>0</v>
      </c>
      <c r="H1499" s="533">
        <f t="shared" si="855"/>
        <v>23</v>
      </c>
      <c r="I1499" s="533">
        <f t="shared" si="855"/>
        <v>19</v>
      </c>
      <c r="J1499" s="533">
        <f t="shared" si="855"/>
        <v>2</v>
      </c>
      <c r="K1499" s="534">
        <f t="shared" si="844"/>
        <v>0.00812270405549783</v>
      </c>
      <c r="L1499" s="535">
        <f t="shared" si="845"/>
        <v>1.06924324324324</v>
      </c>
      <c r="M1499" s="535">
        <f t="shared" si="846"/>
        <v>8.68514642820554</v>
      </c>
      <c r="N1499" s="535">
        <f t="shared" si="847"/>
        <v>0</v>
      </c>
      <c r="O1499" s="535">
        <f t="shared" si="848"/>
        <v>0</v>
      </c>
      <c r="P1499" s="536">
        <f t="shared" si="849"/>
        <v>28.2585714285714</v>
      </c>
      <c r="Q1499" s="531">
        <f t="shared" si="850"/>
        <v>42</v>
      </c>
      <c r="R1499" s="537">
        <f t="shared" si="851"/>
        <v>0.0378378378378378</v>
      </c>
    </row>
    <row r="1500" spans="1:18">
      <c r="A1500" s="524">
        <v>45750</v>
      </c>
      <c r="B1500" s="540" t="s">
        <v>98</v>
      </c>
      <c r="C1500" s="551">
        <v>487.43</v>
      </c>
      <c r="D1500" s="553">
        <v>5987</v>
      </c>
      <c r="E1500" s="551">
        <v>216</v>
      </c>
      <c r="F1500" s="551">
        <v>0</v>
      </c>
      <c r="G1500" s="551">
        <v>0</v>
      </c>
      <c r="H1500" s="551">
        <v>7</v>
      </c>
      <c r="I1500" s="551">
        <v>1</v>
      </c>
      <c r="J1500" s="551">
        <v>0</v>
      </c>
      <c r="K1500" s="527">
        <f t="shared" si="844"/>
        <v>0.0360781693669618</v>
      </c>
      <c r="L1500" s="528">
        <f t="shared" si="845"/>
        <v>2.25662037037037</v>
      </c>
      <c r="M1500" s="528">
        <f t="shared" si="846"/>
        <v>81.4147319191582</v>
      </c>
      <c r="N1500" s="528">
        <f t="shared" si="847"/>
        <v>0</v>
      </c>
      <c r="O1500" s="528">
        <f t="shared" si="848"/>
        <v>0</v>
      </c>
      <c r="P1500" s="529">
        <f t="shared" si="849"/>
        <v>60.92875</v>
      </c>
      <c r="Q1500" s="24">
        <f t="shared" si="850"/>
        <v>8</v>
      </c>
      <c r="R1500" s="530">
        <f t="shared" si="851"/>
        <v>0.037037037037037</v>
      </c>
    </row>
    <row r="1501" spans="1:18">
      <c r="A1501" s="524"/>
      <c r="B1501" s="540" t="s">
        <v>99</v>
      </c>
      <c r="C1501" s="551">
        <v>0</v>
      </c>
      <c r="D1501" s="551">
        <v>0</v>
      </c>
      <c r="E1501" s="551">
        <v>0</v>
      </c>
      <c r="F1501" s="551">
        <v>0</v>
      </c>
      <c r="G1501" s="551">
        <v>0</v>
      </c>
      <c r="H1501" s="551">
        <v>0</v>
      </c>
      <c r="I1501" s="551">
        <v>0</v>
      </c>
      <c r="J1501" s="551">
        <v>0</v>
      </c>
      <c r="K1501" s="527">
        <f t="shared" si="844"/>
        <v>0</v>
      </c>
      <c r="L1501" s="528">
        <f t="shared" si="845"/>
        <v>0</v>
      </c>
      <c r="M1501" s="528">
        <f t="shared" si="846"/>
        <v>0</v>
      </c>
      <c r="N1501" s="528">
        <f t="shared" si="847"/>
        <v>0</v>
      </c>
      <c r="O1501" s="528">
        <f t="shared" si="848"/>
        <v>0</v>
      </c>
      <c r="P1501" s="529">
        <f t="shared" si="849"/>
        <v>0</v>
      </c>
      <c r="Q1501" s="24">
        <f t="shared" si="850"/>
        <v>0</v>
      </c>
      <c r="R1501" s="530">
        <f t="shared" si="851"/>
        <v>0</v>
      </c>
    </row>
    <row r="1502" spans="1:18">
      <c r="A1502" s="524"/>
      <c r="B1502" s="540" t="s">
        <v>100</v>
      </c>
      <c r="C1502" s="552">
        <v>593.04</v>
      </c>
      <c r="D1502" s="551">
        <v>93619</v>
      </c>
      <c r="E1502" s="551">
        <v>572</v>
      </c>
      <c r="F1502" s="551">
        <v>1</v>
      </c>
      <c r="G1502" s="551">
        <v>7420</v>
      </c>
      <c r="H1502" s="551">
        <v>29</v>
      </c>
      <c r="I1502" s="551">
        <v>15</v>
      </c>
      <c r="J1502" s="551">
        <v>1</v>
      </c>
      <c r="K1502" s="527">
        <f t="shared" si="844"/>
        <v>0.00610987085954774</v>
      </c>
      <c r="L1502" s="528">
        <f t="shared" si="845"/>
        <v>1.03678321678322</v>
      </c>
      <c r="M1502" s="528">
        <f t="shared" si="846"/>
        <v>6.33461156389194</v>
      </c>
      <c r="N1502" s="528">
        <f t="shared" si="847"/>
        <v>12.5118035882908</v>
      </c>
      <c r="O1502" s="528">
        <f t="shared" si="848"/>
        <v>0.00174825174825175</v>
      </c>
      <c r="P1502" s="529">
        <f t="shared" si="849"/>
        <v>13.4781818181818</v>
      </c>
      <c r="Q1502" s="24">
        <f t="shared" si="850"/>
        <v>44</v>
      </c>
      <c r="R1502" s="530">
        <f t="shared" si="851"/>
        <v>0.0769230769230769</v>
      </c>
    </row>
    <row r="1503" spans="1:18">
      <c r="A1503" s="524"/>
      <c r="B1503" s="540" t="s">
        <v>101</v>
      </c>
      <c r="C1503" s="551">
        <v>0</v>
      </c>
      <c r="D1503" s="551">
        <v>0</v>
      </c>
      <c r="E1503" s="551">
        <v>0</v>
      </c>
      <c r="F1503" s="551">
        <v>0</v>
      </c>
      <c r="G1503" s="551">
        <v>0</v>
      </c>
      <c r="H1503" s="551">
        <v>0</v>
      </c>
      <c r="I1503" s="551">
        <v>0</v>
      </c>
      <c r="J1503" s="551">
        <v>0</v>
      </c>
      <c r="K1503" s="527">
        <f t="shared" si="844"/>
        <v>0</v>
      </c>
      <c r="L1503" s="528">
        <f t="shared" si="845"/>
        <v>0</v>
      </c>
      <c r="M1503" s="528">
        <f t="shared" si="846"/>
        <v>0</v>
      </c>
      <c r="N1503" s="528">
        <f t="shared" si="847"/>
        <v>0</v>
      </c>
      <c r="O1503" s="528">
        <f t="shared" si="848"/>
        <v>0</v>
      </c>
      <c r="P1503" s="529">
        <f t="shared" si="849"/>
        <v>0</v>
      </c>
      <c r="Q1503" s="24">
        <f t="shared" si="850"/>
        <v>0</v>
      </c>
      <c r="R1503" s="530">
        <f t="shared" si="851"/>
        <v>0</v>
      </c>
    </row>
    <row r="1504" spans="1:18">
      <c r="A1504" s="524"/>
      <c r="B1504" s="531" t="s">
        <v>96</v>
      </c>
      <c r="C1504" s="533">
        <f t="shared" ref="C1504:J1504" si="856">SUM(C1500:C1503)</f>
        <v>1080.47</v>
      </c>
      <c r="D1504" s="533">
        <f t="shared" si="856"/>
        <v>99606</v>
      </c>
      <c r="E1504" s="533">
        <f t="shared" si="856"/>
        <v>788</v>
      </c>
      <c r="F1504" s="533">
        <f t="shared" si="856"/>
        <v>1</v>
      </c>
      <c r="G1504" s="533">
        <f t="shared" si="856"/>
        <v>7420</v>
      </c>
      <c r="H1504" s="533">
        <f t="shared" si="856"/>
        <v>36</v>
      </c>
      <c r="I1504" s="533">
        <f t="shared" si="856"/>
        <v>16</v>
      </c>
      <c r="J1504" s="533">
        <f t="shared" si="856"/>
        <v>1</v>
      </c>
      <c r="K1504" s="534">
        <f t="shared" si="844"/>
        <v>0.00791117000983877</v>
      </c>
      <c r="L1504" s="535">
        <f t="shared" si="845"/>
        <v>1.37115482233503</v>
      </c>
      <c r="M1504" s="535">
        <f t="shared" si="846"/>
        <v>10.8474389093027</v>
      </c>
      <c r="N1504" s="535">
        <f t="shared" si="847"/>
        <v>6.86738178755542</v>
      </c>
      <c r="O1504" s="535">
        <f t="shared" si="848"/>
        <v>0.00126903553299492</v>
      </c>
      <c r="P1504" s="536">
        <f t="shared" si="849"/>
        <v>20.7782692307692</v>
      </c>
      <c r="Q1504" s="531">
        <f t="shared" si="850"/>
        <v>52</v>
      </c>
      <c r="R1504" s="537">
        <f t="shared" si="851"/>
        <v>0.065989847715736</v>
      </c>
    </row>
    <row r="1505" spans="1:18">
      <c r="A1505" s="524">
        <v>45751</v>
      </c>
      <c r="B1505" s="540" t="s">
        <v>98</v>
      </c>
      <c r="C1505" s="551">
        <v>500</v>
      </c>
      <c r="D1505" s="553">
        <v>6438</v>
      </c>
      <c r="E1505" s="551">
        <v>242</v>
      </c>
      <c r="F1505" s="551">
        <v>1</v>
      </c>
      <c r="G1505" s="551">
        <v>28846.2</v>
      </c>
      <c r="H1505" s="551">
        <v>5</v>
      </c>
      <c r="I1505" s="551">
        <v>1</v>
      </c>
      <c r="J1505" s="551">
        <v>2</v>
      </c>
      <c r="K1505" s="527">
        <f t="shared" si="844"/>
        <v>0.0375893134513824</v>
      </c>
      <c r="L1505" s="528">
        <f t="shared" si="845"/>
        <v>2.06611570247934</v>
      </c>
      <c r="M1505" s="528">
        <f t="shared" si="846"/>
        <v>77.663870767319</v>
      </c>
      <c r="N1505" s="528">
        <f t="shared" si="847"/>
        <v>57.6924</v>
      </c>
      <c r="O1505" s="528">
        <f t="shared" si="848"/>
        <v>0.00413223140495868</v>
      </c>
      <c r="P1505" s="529">
        <f t="shared" si="849"/>
        <v>83.3333333333333</v>
      </c>
      <c r="Q1505" s="24">
        <f t="shared" si="850"/>
        <v>6</v>
      </c>
      <c r="R1505" s="530">
        <f t="shared" si="851"/>
        <v>0.0247933884297521</v>
      </c>
    </row>
    <row r="1506" spans="1:18">
      <c r="A1506" s="524"/>
      <c r="B1506" s="540" t="s">
        <v>99</v>
      </c>
      <c r="C1506" s="551">
        <v>0</v>
      </c>
      <c r="D1506" s="551">
        <v>0</v>
      </c>
      <c r="E1506" s="551">
        <v>0</v>
      </c>
      <c r="F1506" s="551">
        <v>0</v>
      </c>
      <c r="G1506" s="551">
        <v>0</v>
      </c>
      <c r="H1506" s="551">
        <v>0</v>
      </c>
      <c r="I1506" s="551">
        <v>0</v>
      </c>
      <c r="J1506" s="551">
        <v>0</v>
      </c>
      <c r="K1506" s="527">
        <f t="shared" si="844"/>
        <v>0</v>
      </c>
      <c r="L1506" s="528">
        <f t="shared" si="845"/>
        <v>0</v>
      </c>
      <c r="M1506" s="528">
        <f t="shared" si="846"/>
        <v>0</v>
      </c>
      <c r="N1506" s="528">
        <f t="shared" si="847"/>
        <v>0</v>
      </c>
      <c r="O1506" s="528">
        <f t="shared" si="848"/>
        <v>0</v>
      </c>
      <c r="P1506" s="529">
        <f t="shared" si="849"/>
        <v>0</v>
      </c>
      <c r="Q1506" s="24">
        <f t="shared" si="850"/>
        <v>0</v>
      </c>
      <c r="R1506" s="530">
        <f t="shared" si="851"/>
        <v>0</v>
      </c>
    </row>
    <row r="1507" spans="1:18">
      <c r="A1507" s="524"/>
      <c r="B1507" s="540" t="s">
        <v>100</v>
      </c>
      <c r="C1507" s="552">
        <v>600</v>
      </c>
      <c r="D1507" s="551">
        <v>65987</v>
      </c>
      <c r="E1507" s="551">
        <v>620</v>
      </c>
      <c r="F1507" s="551">
        <v>3</v>
      </c>
      <c r="G1507" s="551">
        <v>37104</v>
      </c>
      <c r="H1507" s="551">
        <v>20</v>
      </c>
      <c r="I1507" s="551">
        <v>13</v>
      </c>
      <c r="J1507" s="551">
        <v>7</v>
      </c>
      <c r="K1507" s="527">
        <f t="shared" si="844"/>
        <v>0.00939579007986422</v>
      </c>
      <c r="L1507" s="528">
        <f t="shared" si="845"/>
        <v>0.967741935483871</v>
      </c>
      <c r="M1507" s="528">
        <f t="shared" si="846"/>
        <v>9.09270007728795</v>
      </c>
      <c r="N1507" s="528">
        <f t="shared" si="847"/>
        <v>61.84</v>
      </c>
      <c r="O1507" s="528">
        <f t="shared" si="848"/>
        <v>0.00483870967741936</v>
      </c>
      <c r="P1507" s="529">
        <f t="shared" si="849"/>
        <v>18.1818181818182</v>
      </c>
      <c r="Q1507" s="24">
        <f t="shared" si="850"/>
        <v>33</v>
      </c>
      <c r="R1507" s="530">
        <f t="shared" si="851"/>
        <v>0.0532258064516129</v>
      </c>
    </row>
    <row r="1508" spans="1:18">
      <c r="A1508" s="524"/>
      <c r="B1508" s="540" t="s">
        <v>101</v>
      </c>
      <c r="C1508" s="551">
        <v>0</v>
      </c>
      <c r="D1508" s="551">
        <v>0</v>
      </c>
      <c r="E1508" s="551">
        <v>0</v>
      </c>
      <c r="F1508" s="551">
        <v>0</v>
      </c>
      <c r="G1508" s="551">
        <v>0</v>
      </c>
      <c r="H1508" s="551">
        <v>0</v>
      </c>
      <c r="I1508" s="551">
        <v>0</v>
      </c>
      <c r="J1508" s="551">
        <v>0</v>
      </c>
      <c r="K1508" s="527">
        <f t="shared" si="844"/>
        <v>0</v>
      </c>
      <c r="L1508" s="528">
        <f t="shared" si="845"/>
        <v>0</v>
      </c>
      <c r="M1508" s="528">
        <f t="shared" si="846"/>
        <v>0</v>
      </c>
      <c r="N1508" s="528">
        <f t="shared" si="847"/>
        <v>0</v>
      </c>
      <c r="O1508" s="528">
        <f t="shared" si="848"/>
        <v>0</v>
      </c>
      <c r="P1508" s="529">
        <f t="shared" si="849"/>
        <v>0</v>
      </c>
      <c r="Q1508" s="24">
        <f t="shared" si="850"/>
        <v>0</v>
      </c>
      <c r="R1508" s="530">
        <f t="shared" si="851"/>
        <v>0</v>
      </c>
    </row>
    <row r="1509" spans="1:18">
      <c r="A1509" s="524"/>
      <c r="B1509" s="531" t="s">
        <v>96</v>
      </c>
      <c r="C1509" s="533">
        <f t="shared" ref="C1509:J1509" si="857">SUM(C1505:C1508)</f>
        <v>1100</v>
      </c>
      <c r="D1509" s="533">
        <f t="shared" si="857"/>
        <v>72425</v>
      </c>
      <c r="E1509" s="533">
        <f t="shared" si="857"/>
        <v>862</v>
      </c>
      <c r="F1509" s="533">
        <f t="shared" si="857"/>
        <v>4</v>
      </c>
      <c r="G1509" s="533">
        <f t="shared" si="857"/>
        <v>65950.2</v>
      </c>
      <c r="H1509" s="533">
        <f t="shared" si="857"/>
        <v>25</v>
      </c>
      <c r="I1509" s="533">
        <f t="shared" si="857"/>
        <v>14</v>
      </c>
      <c r="J1509" s="533">
        <f t="shared" si="857"/>
        <v>9</v>
      </c>
      <c r="K1509" s="534">
        <f t="shared" si="844"/>
        <v>0.0119019675526407</v>
      </c>
      <c r="L1509" s="535">
        <f t="shared" si="845"/>
        <v>1.27610208816705</v>
      </c>
      <c r="M1509" s="535">
        <f t="shared" si="846"/>
        <v>15.1881256472213</v>
      </c>
      <c r="N1509" s="535">
        <f t="shared" si="847"/>
        <v>59.9547272727273</v>
      </c>
      <c r="O1509" s="535">
        <f t="shared" si="848"/>
        <v>0.00464037122969838</v>
      </c>
      <c r="P1509" s="536">
        <f t="shared" si="849"/>
        <v>28.2051282051282</v>
      </c>
      <c r="Q1509" s="531">
        <f t="shared" si="850"/>
        <v>39</v>
      </c>
      <c r="R1509" s="537">
        <f t="shared" si="851"/>
        <v>0.0452436194895592</v>
      </c>
    </row>
    <row r="1510" spans="1:18">
      <c r="A1510" s="524">
        <v>45752</v>
      </c>
      <c r="B1510" s="540" t="s">
        <v>98</v>
      </c>
      <c r="C1510" s="551">
        <v>500</v>
      </c>
      <c r="D1510" s="553">
        <v>6121</v>
      </c>
      <c r="E1510" s="551">
        <v>241</v>
      </c>
      <c r="F1510" s="551">
        <v>0</v>
      </c>
      <c r="G1510" s="551">
        <v>0</v>
      </c>
      <c r="H1510" s="551">
        <v>6</v>
      </c>
      <c r="I1510" s="551">
        <v>2</v>
      </c>
      <c r="J1510" s="551">
        <v>1</v>
      </c>
      <c r="K1510" s="527">
        <f t="shared" si="844"/>
        <v>0.0393726515275282</v>
      </c>
      <c r="L1510" s="528">
        <f t="shared" si="845"/>
        <v>2.0746887966805</v>
      </c>
      <c r="M1510" s="528">
        <f t="shared" si="846"/>
        <v>81.685999019768</v>
      </c>
      <c r="N1510" s="528">
        <f t="shared" si="847"/>
        <v>0</v>
      </c>
      <c r="O1510" s="528">
        <f t="shared" si="848"/>
        <v>0</v>
      </c>
      <c r="P1510" s="529">
        <f t="shared" si="849"/>
        <v>62.5</v>
      </c>
      <c r="Q1510" s="24">
        <f t="shared" si="850"/>
        <v>8</v>
      </c>
      <c r="R1510" s="530">
        <f t="shared" si="851"/>
        <v>0.033195020746888</v>
      </c>
    </row>
    <row r="1511" spans="1:18">
      <c r="A1511" s="524"/>
      <c r="B1511" s="540" t="s">
        <v>99</v>
      </c>
      <c r="C1511" s="551">
        <v>0</v>
      </c>
      <c r="D1511" s="551">
        <v>0</v>
      </c>
      <c r="E1511" s="551">
        <v>0</v>
      </c>
      <c r="F1511" s="551">
        <v>0</v>
      </c>
      <c r="G1511" s="551">
        <v>0</v>
      </c>
      <c r="H1511" s="551">
        <v>0</v>
      </c>
      <c r="I1511" s="551">
        <v>0</v>
      </c>
      <c r="J1511" s="551">
        <v>0</v>
      </c>
      <c r="K1511" s="527">
        <f t="shared" si="844"/>
        <v>0</v>
      </c>
      <c r="L1511" s="528">
        <f t="shared" si="845"/>
        <v>0</v>
      </c>
      <c r="M1511" s="528">
        <f t="shared" si="846"/>
        <v>0</v>
      </c>
      <c r="N1511" s="528">
        <f t="shared" si="847"/>
        <v>0</v>
      </c>
      <c r="O1511" s="528">
        <f t="shared" si="848"/>
        <v>0</v>
      </c>
      <c r="P1511" s="529">
        <f t="shared" si="849"/>
        <v>0</v>
      </c>
      <c r="Q1511" s="24">
        <f t="shared" si="850"/>
        <v>0</v>
      </c>
      <c r="R1511" s="530">
        <f t="shared" si="851"/>
        <v>0</v>
      </c>
    </row>
    <row r="1512" spans="1:18">
      <c r="A1512" s="524"/>
      <c r="B1512" s="540" t="s">
        <v>100</v>
      </c>
      <c r="C1512" s="552">
        <v>581.73</v>
      </c>
      <c r="D1512" s="551">
        <v>52625</v>
      </c>
      <c r="E1512" s="551">
        <v>541</v>
      </c>
      <c r="F1512" s="551">
        <v>1</v>
      </c>
      <c r="G1512" s="551">
        <v>9756</v>
      </c>
      <c r="H1512" s="551">
        <v>27</v>
      </c>
      <c r="I1512" s="551">
        <v>16</v>
      </c>
      <c r="J1512" s="551">
        <v>3</v>
      </c>
      <c r="K1512" s="527">
        <f t="shared" si="844"/>
        <v>0.0102802850356295</v>
      </c>
      <c r="L1512" s="528">
        <f t="shared" si="845"/>
        <v>1.0752865064695</v>
      </c>
      <c r="M1512" s="528">
        <f t="shared" si="846"/>
        <v>11.0542517814727</v>
      </c>
      <c r="N1512" s="528">
        <f t="shared" si="847"/>
        <v>16.7706668041875</v>
      </c>
      <c r="O1512" s="528">
        <f t="shared" si="848"/>
        <v>0.00184842883548983</v>
      </c>
      <c r="P1512" s="529">
        <f t="shared" si="849"/>
        <v>13.5286046511628</v>
      </c>
      <c r="Q1512" s="24">
        <f t="shared" si="850"/>
        <v>43</v>
      </c>
      <c r="R1512" s="530">
        <f t="shared" si="851"/>
        <v>0.0794824399260629</v>
      </c>
    </row>
    <row r="1513" spans="1:18">
      <c r="A1513" s="524"/>
      <c r="B1513" s="540" t="s">
        <v>101</v>
      </c>
      <c r="C1513" s="551">
        <v>0</v>
      </c>
      <c r="D1513" s="551">
        <v>0</v>
      </c>
      <c r="E1513" s="551">
        <v>0</v>
      </c>
      <c r="F1513" s="551">
        <v>0</v>
      </c>
      <c r="G1513" s="551">
        <v>0</v>
      </c>
      <c r="H1513" s="551">
        <v>0</v>
      </c>
      <c r="I1513" s="551">
        <v>0</v>
      </c>
      <c r="J1513" s="551">
        <v>0</v>
      </c>
      <c r="K1513" s="527">
        <f t="shared" si="844"/>
        <v>0</v>
      </c>
      <c r="L1513" s="528">
        <f t="shared" si="845"/>
        <v>0</v>
      </c>
      <c r="M1513" s="528">
        <f t="shared" si="846"/>
        <v>0</v>
      </c>
      <c r="N1513" s="528">
        <f t="shared" si="847"/>
        <v>0</v>
      </c>
      <c r="O1513" s="528">
        <f t="shared" si="848"/>
        <v>0</v>
      </c>
      <c r="P1513" s="529">
        <f t="shared" si="849"/>
        <v>0</v>
      </c>
      <c r="Q1513" s="24">
        <f t="shared" si="850"/>
        <v>0</v>
      </c>
      <c r="R1513" s="530">
        <f t="shared" si="851"/>
        <v>0</v>
      </c>
    </row>
    <row r="1514" spans="1:18">
      <c r="A1514" s="524"/>
      <c r="B1514" s="531" t="s">
        <v>96</v>
      </c>
      <c r="C1514" s="533">
        <f t="shared" ref="C1514:J1514" si="858">SUM(C1510:C1513)</f>
        <v>1081.73</v>
      </c>
      <c r="D1514" s="533">
        <f t="shared" si="858"/>
        <v>58746</v>
      </c>
      <c r="E1514" s="533">
        <f t="shared" si="858"/>
        <v>782</v>
      </c>
      <c r="F1514" s="533">
        <f t="shared" si="858"/>
        <v>1</v>
      </c>
      <c r="G1514" s="533">
        <f t="shared" si="858"/>
        <v>9756</v>
      </c>
      <c r="H1514" s="533">
        <f t="shared" si="858"/>
        <v>33</v>
      </c>
      <c r="I1514" s="533">
        <f t="shared" si="858"/>
        <v>18</v>
      </c>
      <c r="J1514" s="533">
        <f t="shared" si="858"/>
        <v>4</v>
      </c>
      <c r="K1514" s="534">
        <f t="shared" si="844"/>
        <v>0.0133115446158036</v>
      </c>
      <c r="L1514" s="535">
        <f t="shared" si="845"/>
        <v>1.38328644501279</v>
      </c>
      <c r="M1514" s="535">
        <f t="shared" si="846"/>
        <v>18.4136792292241</v>
      </c>
      <c r="N1514" s="535">
        <f t="shared" si="847"/>
        <v>9.01888641343034</v>
      </c>
      <c r="O1514" s="535">
        <f t="shared" si="848"/>
        <v>0.00127877237851662</v>
      </c>
      <c r="P1514" s="536">
        <f t="shared" si="849"/>
        <v>21.2103921568627</v>
      </c>
      <c r="Q1514" s="531">
        <f t="shared" si="850"/>
        <v>51</v>
      </c>
      <c r="R1514" s="537">
        <f t="shared" si="851"/>
        <v>0.0652173913043478</v>
      </c>
    </row>
    <row r="1515" spans="1:18">
      <c r="A1515" s="524">
        <v>45753</v>
      </c>
      <c r="B1515" s="540" t="s">
        <v>98</v>
      </c>
      <c r="C1515" s="551">
        <v>492.29</v>
      </c>
      <c r="D1515" s="553">
        <v>6833</v>
      </c>
      <c r="E1515" s="551">
        <v>274</v>
      </c>
      <c r="F1515" s="551">
        <v>2</v>
      </c>
      <c r="G1515" s="551">
        <v>50536</v>
      </c>
      <c r="H1515" s="551">
        <v>18</v>
      </c>
      <c r="I1515" s="551">
        <v>8</v>
      </c>
      <c r="J1515" s="551">
        <v>0</v>
      </c>
      <c r="K1515" s="527">
        <f t="shared" si="844"/>
        <v>0.0400995170496122</v>
      </c>
      <c r="L1515" s="528">
        <f t="shared" si="845"/>
        <v>1.79667883211679</v>
      </c>
      <c r="M1515" s="528">
        <f t="shared" si="846"/>
        <v>72.0459534611444</v>
      </c>
      <c r="N1515" s="528">
        <f t="shared" si="847"/>
        <v>102.654939161876</v>
      </c>
      <c r="O1515" s="528">
        <f t="shared" si="848"/>
        <v>0.0072992700729927</v>
      </c>
      <c r="P1515" s="529">
        <f t="shared" si="849"/>
        <v>18.9342307692308</v>
      </c>
      <c r="Q1515" s="24">
        <f t="shared" si="850"/>
        <v>26</v>
      </c>
      <c r="R1515" s="530">
        <f t="shared" si="851"/>
        <v>0.0948905109489051</v>
      </c>
    </row>
    <row r="1516" spans="1:18">
      <c r="A1516" s="524"/>
      <c r="B1516" s="540" t="s">
        <v>99</v>
      </c>
      <c r="C1516" s="551">
        <v>0</v>
      </c>
      <c r="D1516" s="551">
        <v>0</v>
      </c>
      <c r="E1516" s="551">
        <v>0</v>
      </c>
      <c r="F1516" s="551">
        <v>0</v>
      </c>
      <c r="G1516" s="551">
        <v>0</v>
      </c>
      <c r="H1516" s="551">
        <v>0</v>
      </c>
      <c r="I1516" s="551">
        <v>0</v>
      </c>
      <c r="J1516" s="551">
        <v>0</v>
      </c>
      <c r="K1516" s="527">
        <f t="shared" si="844"/>
        <v>0</v>
      </c>
      <c r="L1516" s="528">
        <f t="shared" si="845"/>
        <v>0</v>
      </c>
      <c r="M1516" s="528">
        <f t="shared" si="846"/>
        <v>0</v>
      </c>
      <c r="N1516" s="528">
        <f t="shared" si="847"/>
        <v>0</v>
      </c>
      <c r="O1516" s="528">
        <f t="shared" si="848"/>
        <v>0</v>
      </c>
      <c r="P1516" s="529">
        <f t="shared" si="849"/>
        <v>0</v>
      </c>
      <c r="Q1516" s="24">
        <f t="shared" si="850"/>
        <v>0</v>
      </c>
      <c r="R1516" s="530">
        <f t="shared" si="851"/>
        <v>0</v>
      </c>
    </row>
    <row r="1517" spans="1:18">
      <c r="A1517" s="524"/>
      <c r="B1517" s="540" t="s">
        <v>100</v>
      </c>
      <c r="C1517" s="552">
        <v>583.16</v>
      </c>
      <c r="D1517" s="551">
        <v>33779</v>
      </c>
      <c r="E1517" s="551">
        <v>518</v>
      </c>
      <c r="F1517" s="551">
        <v>0</v>
      </c>
      <c r="G1517" s="551">
        <v>0</v>
      </c>
      <c r="H1517" s="551">
        <v>33</v>
      </c>
      <c r="I1517" s="551">
        <v>9</v>
      </c>
      <c r="J1517" s="551">
        <v>1</v>
      </c>
      <c r="K1517" s="527">
        <f t="shared" si="844"/>
        <v>0.0153349714319548</v>
      </c>
      <c r="L1517" s="528">
        <f t="shared" si="845"/>
        <v>1.12579150579151</v>
      </c>
      <c r="M1517" s="528">
        <f t="shared" si="846"/>
        <v>17.2639805796501</v>
      </c>
      <c r="N1517" s="528">
        <f t="shared" si="847"/>
        <v>0</v>
      </c>
      <c r="O1517" s="528">
        <f t="shared" si="848"/>
        <v>0</v>
      </c>
      <c r="P1517" s="529">
        <f t="shared" si="849"/>
        <v>13.8847619047619</v>
      </c>
      <c r="Q1517" s="24">
        <f t="shared" si="850"/>
        <v>42</v>
      </c>
      <c r="R1517" s="530">
        <f t="shared" si="851"/>
        <v>0.0810810810810811</v>
      </c>
    </row>
    <row r="1518" spans="1:18">
      <c r="A1518" s="524"/>
      <c r="B1518" s="540" t="s">
        <v>101</v>
      </c>
      <c r="C1518" s="551">
        <v>0</v>
      </c>
      <c r="D1518" s="551">
        <v>0</v>
      </c>
      <c r="E1518" s="551">
        <v>0</v>
      </c>
      <c r="F1518" s="551">
        <v>0</v>
      </c>
      <c r="G1518" s="551">
        <v>0</v>
      </c>
      <c r="H1518" s="551">
        <v>0</v>
      </c>
      <c r="I1518" s="551">
        <v>0</v>
      </c>
      <c r="J1518" s="551">
        <v>0</v>
      </c>
      <c r="K1518" s="527">
        <f t="shared" si="844"/>
        <v>0</v>
      </c>
      <c r="L1518" s="528">
        <f t="shared" si="845"/>
        <v>0</v>
      </c>
      <c r="M1518" s="528">
        <f t="shared" si="846"/>
        <v>0</v>
      </c>
      <c r="N1518" s="528">
        <f t="shared" si="847"/>
        <v>0</v>
      </c>
      <c r="O1518" s="528">
        <f t="shared" si="848"/>
        <v>0</v>
      </c>
      <c r="P1518" s="529">
        <f t="shared" si="849"/>
        <v>0</v>
      </c>
      <c r="Q1518" s="24">
        <f t="shared" si="850"/>
        <v>0</v>
      </c>
      <c r="R1518" s="530">
        <f t="shared" si="851"/>
        <v>0</v>
      </c>
    </row>
    <row r="1519" spans="1:18">
      <c r="A1519" s="524"/>
      <c r="B1519" s="531" t="s">
        <v>96</v>
      </c>
      <c r="C1519" s="533">
        <f t="shared" ref="C1519:J1519" si="859">SUM(C1515:C1518)</f>
        <v>1075.45</v>
      </c>
      <c r="D1519" s="533">
        <f t="shared" si="859"/>
        <v>40612</v>
      </c>
      <c r="E1519" s="533">
        <f t="shared" si="859"/>
        <v>792</v>
      </c>
      <c r="F1519" s="533">
        <f t="shared" si="859"/>
        <v>2</v>
      </c>
      <c r="G1519" s="533">
        <f t="shared" si="859"/>
        <v>50536</v>
      </c>
      <c r="H1519" s="533">
        <f t="shared" si="859"/>
        <v>51</v>
      </c>
      <c r="I1519" s="533">
        <f t="shared" si="859"/>
        <v>17</v>
      </c>
      <c r="J1519" s="533">
        <f t="shared" si="859"/>
        <v>1</v>
      </c>
      <c r="K1519" s="534">
        <f t="shared" si="844"/>
        <v>0.019501625135428</v>
      </c>
      <c r="L1519" s="535">
        <f t="shared" si="845"/>
        <v>1.35789141414141</v>
      </c>
      <c r="M1519" s="535">
        <f t="shared" si="846"/>
        <v>26.481089333202</v>
      </c>
      <c r="N1519" s="535">
        <f t="shared" si="847"/>
        <v>46.9905620902878</v>
      </c>
      <c r="O1519" s="535">
        <f t="shared" si="848"/>
        <v>0.00252525252525253</v>
      </c>
      <c r="P1519" s="536">
        <f t="shared" si="849"/>
        <v>15.8154411764706</v>
      </c>
      <c r="Q1519" s="531">
        <f t="shared" si="850"/>
        <v>68</v>
      </c>
      <c r="R1519" s="537">
        <f t="shared" si="851"/>
        <v>0.0858585858585859</v>
      </c>
    </row>
    <row r="1520" spans="1:18">
      <c r="A1520" s="524">
        <v>45754</v>
      </c>
      <c r="B1520" s="540" t="s">
        <v>98</v>
      </c>
      <c r="C1520" s="551">
        <v>489.65</v>
      </c>
      <c r="D1520" s="553">
        <v>5312</v>
      </c>
      <c r="E1520" s="551">
        <v>227</v>
      </c>
      <c r="F1520" s="551">
        <v>1</v>
      </c>
      <c r="G1520" s="551">
        <v>14427</v>
      </c>
      <c r="H1520" s="551">
        <v>8</v>
      </c>
      <c r="I1520" s="551">
        <v>2</v>
      </c>
      <c r="J1520" s="551">
        <v>1</v>
      </c>
      <c r="K1520" s="527">
        <f t="shared" si="844"/>
        <v>0.0427334337349398</v>
      </c>
      <c r="L1520" s="528">
        <f t="shared" si="845"/>
        <v>2.15704845814978</v>
      </c>
      <c r="M1520" s="528">
        <f t="shared" si="846"/>
        <v>92.1780873493976</v>
      </c>
      <c r="N1520" s="528">
        <f t="shared" si="847"/>
        <v>29.4639027877055</v>
      </c>
      <c r="O1520" s="528">
        <f t="shared" si="848"/>
        <v>0.00440528634361234</v>
      </c>
      <c r="P1520" s="529">
        <f t="shared" si="849"/>
        <v>48.965</v>
      </c>
      <c r="Q1520" s="24">
        <f t="shared" si="850"/>
        <v>10</v>
      </c>
      <c r="R1520" s="530">
        <f t="shared" si="851"/>
        <v>0.0440528634361234</v>
      </c>
    </row>
    <row r="1521" spans="1:18">
      <c r="A1521" s="524"/>
      <c r="B1521" s="540" t="s">
        <v>99</v>
      </c>
      <c r="C1521" s="551">
        <v>493.05</v>
      </c>
      <c r="D1521" s="551">
        <v>3952</v>
      </c>
      <c r="E1521" s="551">
        <v>407</v>
      </c>
      <c r="F1521" s="551">
        <v>1</v>
      </c>
      <c r="G1521" s="551">
        <v>14814</v>
      </c>
      <c r="H1521" s="551">
        <v>10</v>
      </c>
      <c r="I1521" s="551">
        <v>0</v>
      </c>
      <c r="J1521" s="551">
        <v>8</v>
      </c>
      <c r="K1521" s="527">
        <f t="shared" si="844"/>
        <v>0.102985829959514</v>
      </c>
      <c r="L1521" s="528">
        <f t="shared" si="845"/>
        <v>1.21142506142506</v>
      </c>
      <c r="M1521" s="528">
        <f t="shared" si="846"/>
        <v>124.759615384615</v>
      </c>
      <c r="N1521" s="528">
        <f t="shared" si="847"/>
        <v>30.0456343170064</v>
      </c>
      <c r="O1521" s="528">
        <f t="shared" si="848"/>
        <v>0.00245700245700246</v>
      </c>
      <c r="P1521" s="529">
        <f t="shared" si="849"/>
        <v>49.305</v>
      </c>
      <c r="Q1521" s="24">
        <f t="shared" si="850"/>
        <v>10</v>
      </c>
      <c r="R1521" s="530">
        <f t="shared" si="851"/>
        <v>0.0245700245700246</v>
      </c>
    </row>
    <row r="1522" spans="1:18">
      <c r="A1522" s="524"/>
      <c r="B1522" s="540" t="s">
        <v>100</v>
      </c>
      <c r="C1522" s="552">
        <v>582.97</v>
      </c>
      <c r="D1522" s="551">
        <v>35435</v>
      </c>
      <c r="E1522" s="551">
        <v>566</v>
      </c>
      <c r="F1522" s="551">
        <v>0</v>
      </c>
      <c r="G1522" s="551">
        <v>0</v>
      </c>
      <c r="H1522" s="551">
        <v>37</v>
      </c>
      <c r="I1522" s="551">
        <v>8</v>
      </c>
      <c r="J1522" s="551">
        <v>1</v>
      </c>
      <c r="K1522" s="527">
        <f t="shared" si="844"/>
        <v>0.0159729081416678</v>
      </c>
      <c r="L1522" s="528">
        <f t="shared" si="845"/>
        <v>1.02998233215548</v>
      </c>
      <c r="M1522" s="528">
        <f t="shared" si="846"/>
        <v>16.4518131790603</v>
      </c>
      <c r="N1522" s="528">
        <f t="shared" si="847"/>
        <v>0</v>
      </c>
      <c r="O1522" s="528">
        <f t="shared" si="848"/>
        <v>0</v>
      </c>
      <c r="P1522" s="529">
        <f t="shared" si="849"/>
        <v>12.9548888888889</v>
      </c>
      <c r="Q1522" s="24">
        <f t="shared" si="850"/>
        <v>45</v>
      </c>
      <c r="R1522" s="530">
        <f t="shared" si="851"/>
        <v>0.0795053003533569</v>
      </c>
    </row>
    <row r="1523" spans="1:18">
      <c r="A1523" s="524"/>
      <c r="B1523" s="540" t="s">
        <v>101</v>
      </c>
      <c r="C1523" s="551">
        <v>0</v>
      </c>
      <c r="D1523" s="551">
        <v>0</v>
      </c>
      <c r="E1523" s="551">
        <v>0</v>
      </c>
      <c r="F1523" s="551">
        <v>0</v>
      </c>
      <c r="G1523" s="551">
        <v>0</v>
      </c>
      <c r="H1523" s="551">
        <v>0</v>
      </c>
      <c r="I1523" s="551">
        <v>0</v>
      </c>
      <c r="J1523" s="551">
        <v>0</v>
      </c>
      <c r="K1523" s="527">
        <f t="shared" si="844"/>
        <v>0</v>
      </c>
      <c r="L1523" s="528">
        <f t="shared" si="845"/>
        <v>0</v>
      </c>
      <c r="M1523" s="528">
        <f t="shared" si="846"/>
        <v>0</v>
      </c>
      <c r="N1523" s="528">
        <f t="shared" si="847"/>
        <v>0</v>
      </c>
      <c r="O1523" s="528">
        <f t="shared" si="848"/>
        <v>0</v>
      </c>
      <c r="P1523" s="529">
        <f t="shared" si="849"/>
        <v>0</v>
      </c>
      <c r="Q1523" s="24">
        <f t="shared" si="850"/>
        <v>0</v>
      </c>
      <c r="R1523" s="530">
        <f t="shared" si="851"/>
        <v>0</v>
      </c>
    </row>
    <row r="1524" spans="1:18">
      <c r="A1524" s="524"/>
      <c r="B1524" s="531" t="s">
        <v>96</v>
      </c>
      <c r="C1524" s="533">
        <f t="shared" ref="C1524:J1524" si="860">SUM(C1520:C1523)</f>
        <v>1565.67</v>
      </c>
      <c r="D1524" s="533">
        <f t="shared" si="860"/>
        <v>44699</v>
      </c>
      <c r="E1524" s="533">
        <f t="shared" si="860"/>
        <v>1200</v>
      </c>
      <c r="F1524" s="533">
        <f t="shared" si="860"/>
        <v>2</v>
      </c>
      <c r="G1524" s="533">
        <f t="shared" si="860"/>
        <v>29241</v>
      </c>
      <c r="H1524" s="533">
        <f t="shared" si="860"/>
        <v>55</v>
      </c>
      <c r="I1524" s="533">
        <f t="shared" si="860"/>
        <v>10</v>
      </c>
      <c r="J1524" s="533">
        <f t="shared" si="860"/>
        <v>10</v>
      </c>
      <c r="K1524" s="534">
        <f t="shared" si="844"/>
        <v>0.0268462381708763</v>
      </c>
      <c r="L1524" s="535">
        <f t="shared" si="845"/>
        <v>1.304725</v>
      </c>
      <c r="M1524" s="535">
        <f t="shared" si="846"/>
        <v>35.0269580974966</v>
      </c>
      <c r="N1524" s="535">
        <f t="shared" si="847"/>
        <v>18.6763494222921</v>
      </c>
      <c r="O1524" s="535">
        <f t="shared" si="848"/>
        <v>0.00166666666666667</v>
      </c>
      <c r="P1524" s="536">
        <f t="shared" si="849"/>
        <v>24.0872307692308</v>
      </c>
      <c r="Q1524" s="531">
        <f t="shared" si="850"/>
        <v>65</v>
      </c>
      <c r="R1524" s="537">
        <f t="shared" si="851"/>
        <v>0.0541666666666667</v>
      </c>
    </row>
    <row r="1525" spans="1:18">
      <c r="A1525" s="524">
        <v>45755</v>
      </c>
      <c r="B1525" s="540" t="s">
        <v>98</v>
      </c>
      <c r="C1525" s="551">
        <v>500</v>
      </c>
      <c r="D1525" s="553">
        <v>5114</v>
      </c>
      <c r="E1525" s="551">
        <v>239</v>
      </c>
      <c r="F1525" s="551">
        <v>0</v>
      </c>
      <c r="G1525" s="551">
        <v>0</v>
      </c>
      <c r="H1525" s="551">
        <v>5</v>
      </c>
      <c r="I1525" s="551">
        <v>0</v>
      </c>
      <c r="J1525" s="551">
        <v>0</v>
      </c>
      <c r="K1525" s="527">
        <f t="shared" si="844"/>
        <v>0.0467344544387955</v>
      </c>
      <c r="L1525" s="528">
        <f t="shared" si="845"/>
        <v>2.09205020920502</v>
      </c>
      <c r="M1525" s="528">
        <f t="shared" si="846"/>
        <v>97.7708251857646</v>
      </c>
      <c r="N1525" s="528">
        <f t="shared" si="847"/>
        <v>0</v>
      </c>
      <c r="O1525" s="528">
        <f t="shared" si="848"/>
        <v>0</v>
      </c>
      <c r="P1525" s="529">
        <f t="shared" si="849"/>
        <v>100</v>
      </c>
      <c r="Q1525" s="24">
        <f t="shared" si="850"/>
        <v>5</v>
      </c>
      <c r="R1525" s="530">
        <f t="shared" si="851"/>
        <v>0.0209205020920502</v>
      </c>
    </row>
    <row r="1526" spans="1:18">
      <c r="A1526" s="524"/>
      <c r="B1526" s="540" t="s">
        <v>99</v>
      </c>
      <c r="C1526" s="551">
        <v>0</v>
      </c>
      <c r="D1526" s="551">
        <v>0</v>
      </c>
      <c r="E1526" s="551">
        <v>0</v>
      </c>
      <c r="F1526" s="551">
        <v>0</v>
      </c>
      <c r="G1526" s="551">
        <v>0</v>
      </c>
      <c r="H1526" s="551">
        <v>0</v>
      </c>
      <c r="I1526" s="551">
        <v>0</v>
      </c>
      <c r="J1526" s="551">
        <v>0</v>
      </c>
      <c r="K1526" s="527">
        <f t="shared" si="844"/>
        <v>0</v>
      </c>
      <c r="L1526" s="528">
        <f t="shared" si="845"/>
        <v>0</v>
      </c>
      <c r="M1526" s="528">
        <f t="shared" si="846"/>
        <v>0</v>
      </c>
      <c r="N1526" s="528">
        <f t="shared" si="847"/>
        <v>0</v>
      </c>
      <c r="O1526" s="528">
        <f t="shared" si="848"/>
        <v>0</v>
      </c>
      <c r="P1526" s="529">
        <f t="shared" si="849"/>
        <v>0</v>
      </c>
      <c r="Q1526" s="24">
        <f t="shared" si="850"/>
        <v>0</v>
      </c>
      <c r="R1526" s="530">
        <f t="shared" si="851"/>
        <v>0</v>
      </c>
    </row>
    <row r="1527" spans="1:18">
      <c r="A1527" s="524"/>
      <c r="B1527" s="540" t="s">
        <v>100</v>
      </c>
      <c r="C1527" s="552">
        <v>596.01</v>
      </c>
      <c r="D1527" s="551">
        <v>39413</v>
      </c>
      <c r="E1527" s="551">
        <v>508</v>
      </c>
      <c r="F1527" s="551">
        <v>0</v>
      </c>
      <c r="G1527" s="551">
        <v>0</v>
      </c>
      <c r="H1527" s="551">
        <v>19</v>
      </c>
      <c r="I1527" s="551">
        <v>9</v>
      </c>
      <c r="J1527" s="551">
        <v>2</v>
      </c>
      <c r="K1527" s="527">
        <f t="shared" si="844"/>
        <v>0.0128891482505772</v>
      </c>
      <c r="L1527" s="528">
        <f t="shared" si="845"/>
        <v>1.17324803149606</v>
      </c>
      <c r="M1527" s="528">
        <f t="shared" si="846"/>
        <v>15.1221678126506</v>
      </c>
      <c r="N1527" s="528">
        <f t="shared" si="847"/>
        <v>0</v>
      </c>
      <c r="O1527" s="528">
        <f t="shared" si="848"/>
        <v>0</v>
      </c>
      <c r="P1527" s="529">
        <f t="shared" si="849"/>
        <v>21.2860714285714</v>
      </c>
      <c r="Q1527" s="24">
        <f t="shared" si="850"/>
        <v>28</v>
      </c>
      <c r="R1527" s="530">
        <f t="shared" si="851"/>
        <v>0.0551181102362205</v>
      </c>
    </row>
    <row r="1528" spans="1:18">
      <c r="A1528" s="524"/>
      <c r="B1528" s="540" t="s">
        <v>101</v>
      </c>
      <c r="C1528" s="551">
        <v>0</v>
      </c>
      <c r="D1528" s="551">
        <v>0</v>
      </c>
      <c r="E1528" s="551">
        <v>0</v>
      </c>
      <c r="F1528" s="551">
        <v>0</v>
      </c>
      <c r="G1528" s="551">
        <v>0</v>
      </c>
      <c r="H1528" s="551">
        <v>0</v>
      </c>
      <c r="I1528" s="551">
        <v>0</v>
      </c>
      <c r="J1528" s="551">
        <v>0</v>
      </c>
      <c r="K1528" s="527">
        <f t="shared" si="844"/>
        <v>0</v>
      </c>
      <c r="L1528" s="528">
        <f t="shared" si="845"/>
        <v>0</v>
      </c>
      <c r="M1528" s="528">
        <f t="shared" si="846"/>
        <v>0</v>
      </c>
      <c r="N1528" s="528">
        <f t="shared" si="847"/>
        <v>0</v>
      </c>
      <c r="O1528" s="528">
        <f t="shared" si="848"/>
        <v>0</v>
      </c>
      <c r="P1528" s="529">
        <f t="shared" si="849"/>
        <v>0</v>
      </c>
      <c r="Q1528" s="24">
        <f t="shared" si="850"/>
        <v>0</v>
      </c>
      <c r="R1528" s="530">
        <f t="shared" si="851"/>
        <v>0</v>
      </c>
    </row>
    <row r="1529" spans="1:18">
      <c r="A1529" s="524"/>
      <c r="B1529" s="531" t="s">
        <v>96</v>
      </c>
      <c r="C1529" s="533">
        <f t="shared" ref="C1529:J1529" si="861">SUM(C1525:C1528)</f>
        <v>1096.01</v>
      </c>
      <c r="D1529" s="533">
        <f t="shared" si="861"/>
        <v>44527</v>
      </c>
      <c r="E1529" s="533">
        <f t="shared" si="861"/>
        <v>747</v>
      </c>
      <c r="F1529" s="533">
        <f t="shared" si="861"/>
        <v>0</v>
      </c>
      <c r="G1529" s="533">
        <f t="shared" si="861"/>
        <v>0</v>
      </c>
      <c r="H1529" s="533">
        <f t="shared" si="861"/>
        <v>24</v>
      </c>
      <c r="I1529" s="533">
        <f t="shared" si="861"/>
        <v>9</v>
      </c>
      <c r="J1529" s="533">
        <f t="shared" si="861"/>
        <v>2</v>
      </c>
      <c r="K1529" s="534">
        <f t="shared" si="844"/>
        <v>0.0167763379522537</v>
      </c>
      <c r="L1529" s="535">
        <f t="shared" si="845"/>
        <v>1.46721552878179</v>
      </c>
      <c r="M1529" s="535">
        <f t="shared" si="846"/>
        <v>24.614503559638</v>
      </c>
      <c r="N1529" s="535">
        <f t="shared" si="847"/>
        <v>0</v>
      </c>
      <c r="O1529" s="535">
        <f t="shared" si="848"/>
        <v>0</v>
      </c>
      <c r="P1529" s="536">
        <f t="shared" si="849"/>
        <v>33.2124242424242</v>
      </c>
      <c r="Q1529" s="531">
        <f t="shared" si="850"/>
        <v>33</v>
      </c>
      <c r="R1529" s="537">
        <f t="shared" si="851"/>
        <v>0.0441767068273092</v>
      </c>
    </row>
    <row r="1530" spans="1:18">
      <c r="A1530" s="524">
        <v>45756</v>
      </c>
      <c r="B1530" s="540" t="s">
        <v>98</v>
      </c>
      <c r="C1530" s="551">
        <v>500</v>
      </c>
      <c r="D1530" s="553">
        <v>4989</v>
      </c>
      <c r="E1530" s="551">
        <v>213</v>
      </c>
      <c r="F1530" s="551">
        <v>0</v>
      </c>
      <c r="G1530" s="551">
        <v>0</v>
      </c>
      <c r="H1530" s="551">
        <v>4</v>
      </c>
      <c r="I1530" s="551">
        <v>1</v>
      </c>
      <c r="J1530" s="551">
        <v>0</v>
      </c>
      <c r="K1530" s="527">
        <f t="shared" si="844"/>
        <v>0.0426939266386049</v>
      </c>
      <c r="L1530" s="528">
        <f t="shared" si="845"/>
        <v>2.34741784037559</v>
      </c>
      <c r="M1530" s="528">
        <f t="shared" si="846"/>
        <v>100.220485067148</v>
      </c>
      <c r="N1530" s="528">
        <f t="shared" si="847"/>
        <v>0</v>
      </c>
      <c r="O1530" s="528">
        <f t="shared" si="848"/>
        <v>0</v>
      </c>
      <c r="P1530" s="529">
        <f t="shared" si="849"/>
        <v>100</v>
      </c>
      <c r="Q1530" s="24">
        <f t="shared" si="850"/>
        <v>5</v>
      </c>
      <c r="R1530" s="530">
        <f t="shared" si="851"/>
        <v>0.0234741784037559</v>
      </c>
    </row>
    <row r="1531" spans="1:18">
      <c r="A1531" s="524"/>
      <c r="B1531" s="540" t="s">
        <v>99</v>
      </c>
      <c r="C1531" s="551">
        <v>0</v>
      </c>
      <c r="D1531" s="551">
        <v>0</v>
      </c>
      <c r="E1531" s="551">
        <v>0</v>
      </c>
      <c r="F1531" s="551">
        <v>0</v>
      </c>
      <c r="G1531" s="551">
        <v>0</v>
      </c>
      <c r="H1531" s="551">
        <v>0</v>
      </c>
      <c r="I1531" s="551">
        <v>0</v>
      </c>
      <c r="J1531" s="551">
        <v>0</v>
      </c>
      <c r="K1531" s="527">
        <f t="shared" si="844"/>
        <v>0</v>
      </c>
      <c r="L1531" s="528">
        <f t="shared" si="845"/>
        <v>0</v>
      </c>
      <c r="M1531" s="528">
        <f t="shared" si="846"/>
        <v>0</v>
      </c>
      <c r="N1531" s="528">
        <f t="shared" si="847"/>
        <v>0</v>
      </c>
      <c r="O1531" s="528">
        <f t="shared" si="848"/>
        <v>0</v>
      </c>
      <c r="P1531" s="529">
        <f t="shared" si="849"/>
        <v>0</v>
      </c>
      <c r="Q1531" s="24">
        <f t="shared" si="850"/>
        <v>0</v>
      </c>
      <c r="R1531" s="530">
        <f t="shared" si="851"/>
        <v>0</v>
      </c>
    </row>
    <row r="1532" spans="1:18">
      <c r="A1532" s="524"/>
      <c r="B1532" s="540" t="s">
        <v>100</v>
      </c>
      <c r="C1532" s="552">
        <v>590.92</v>
      </c>
      <c r="D1532" s="551">
        <v>46498</v>
      </c>
      <c r="E1532" s="551">
        <v>674</v>
      </c>
      <c r="F1532" s="551">
        <v>2</v>
      </c>
      <c r="G1532" s="551">
        <v>27628</v>
      </c>
      <c r="H1532" s="551">
        <v>20</v>
      </c>
      <c r="I1532" s="551">
        <v>9</v>
      </c>
      <c r="J1532" s="551">
        <v>5</v>
      </c>
      <c r="K1532" s="527">
        <f t="shared" si="844"/>
        <v>0.0144952471074025</v>
      </c>
      <c r="L1532" s="528">
        <f t="shared" si="845"/>
        <v>0.87673590504451</v>
      </c>
      <c r="M1532" s="528">
        <f t="shared" si="846"/>
        <v>12.7085035915523</v>
      </c>
      <c r="N1532" s="528">
        <f t="shared" si="847"/>
        <v>46.7542137683612</v>
      </c>
      <c r="O1532" s="528">
        <f t="shared" si="848"/>
        <v>0.0029673590504451</v>
      </c>
      <c r="P1532" s="529">
        <f t="shared" si="849"/>
        <v>20.3765517241379</v>
      </c>
      <c r="Q1532" s="24">
        <f t="shared" si="850"/>
        <v>29</v>
      </c>
      <c r="R1532" s="530">
        <f t="shared" si="851"/>
        <v>0.043026706231454</v>
      </c>
    </row>
    <row r="1533" spans="1:18">
      <c r="A1533" s="524"/>
      <c r="B1533" s="540" t="s">
        <v>101</v>
      </c>
      <c r="C1533" s="551">
        <v>0</v>
      </c>
      <c r="D1533" s="551">
        <v>0</v>
      </c>
      <c r="E1533" s="551">
        <v>0</v>
      </c>
      <c r="F1533" s="551">
        <v>0</v>
      </c>
      <c r="G1533" s="551">
        <v>0</v>
      </c>
      <c r="H1533" s="551">
        <v>0</v>
      </c>
      <c r="I1533" s="551">
        <v>0</v>
      </c>
      <c r="J1533" s="551">
        <v>0</v>
      </c>
      <c r="K1533" s="527">
        <f t="shared" si="844"/>
        <v>0</v>
      </c>
      <c r="L1533" s="528">
        <f t="shared" si="845"/>
        <v>0</v>
      </c>
      <c r="M1533" s="528">
        <f t="shared" si="846"/>
        <v>0</v>
      </c>
      <c r="N1533" s="528">
        <f t="shared" si="847"/>
        <v>0</v>
      </c>
      <c r="O1533" s="528">
        <f t="shared" si="848"/>
        <v>0</v>
      </c>
      <c r="P1533" s="529">
        <f t="shared" si="849"/>
        <v>0</v>
      </c>
      <c r="Q1533" s="24">
        <f t="shared" si="850"/>
        <v>0</v>
      </c>
      <c r="R1533" s="530">
        <f t="shared" si="851"/>
        <v>0</v>
      </c>
    </row>
    <row r="1534" spans="1:18">
      <c r="A1534" s="524"/>
      <c r="B1534" s="531" t="s">
        <v>96</v>
      </c>
      <c r="C1534" s="533">
        <f t="shared" ref="C1534:J1534" si="862">SUM(C1530:C1533)</f>
        <v>1090.92</v>
      </c>
      <c r="D1534" s="533">
        <f t="shared" si="862"/>
        <v>51487</v>
      </c>
      <c r="E1534" s="533">
        <f t="shared" si="862"/>
        <v>887</v>
      </c>
      <c r="F1534" s="533">
        <f t="shared" si="862"/>
        <v>2</v>
      </c>
      <c r="G1534" s="533">
        <f t="shared" si="862"/>
        <v>27628</v>
      </c>
      <c r="H1534" s="533">
        <f t="shared" si="862"/>
        <v>24</v>
      </c>
      <c r="I1534" s="533">
        <f t="shared" si="862"/>
        <v>10</v>
      </c>
      <c r="J1534" s="533">
        <f t="shared" si="862"/>
        <v>5</v>
      </c>
      <c r="K1534" s="534">
        <f t="shared" si="844"/>
        <v>0.017227649697982</v>
      </c>
      <c r="L1534" s="535">
        <f t="shared" si="845"/>
        <v>1.22989853438557</v>
      </c>
      <c r="M1534" s="535">
        <f t="shared" si="846"/>
        <v>21.1882611144561</v>
      </c>
      <c r="N1534" s="535">
        <f t="shared" si="847"/>
        <v>25.3254134125325</v>
      </c>
      <c r="O1534" s="535">
        <f t="shared" si="848"/>
        <v>0.00225479143179256</v>
      </c>
      <c r="P1534" s="536">
        <f t="shared" si="849"/>
        <v>32.0858823529412</v>
      </c>
      <c r="Q1534" s="531">
        <f t="shared" si="850"/>
        <v>34</v>
      </c>
      <c r="R1534" s="537">
        <f t="shared" si="851"/>
        <v>0.0383314543404735</v>
      </c>
    </row>
    <row r="1535" spans="1:18">
      <c r="A1535" s="524">
        <v>45757</v>
      </c>
      <c r="B1535" s="540" t="s">
        <v>98</v>
      </c>
      <c r="C1535" s="551">
        <v>500</v>
      </c>
      <c r="D1535" s="553">
        <v>5954</v>
      </c>
      <c r="E1535" s="551">
        <v>237</v>
      </c>
      <c r="F1535" s="551">
        <v>0</v>
      </c>
      <c r="G1535" s="551">
        <v>0</v>
      </c>
      <c r="H1535" s="551">
        <v>6</v>
      </c>
      <c r="I1535" s="551">
        <v>3</v>
      </c>
      <c r="J1535" s="551">
        <v>1</v>
      </c>
      <c r="K1535" s="527">
        <f t="shared" si="844"/>
        <v>0.0398051729929459</v>
      </c>
      <c r="L1535" s="528">
        <f t="shared" si="845"/>
        <v>2.10970464135021</v>
      </c>
      <c r="M1535" s="528">
        <f t="shared" si="846"/>
        <v>83.9771582129661</v>
      </c>
      <c r="N1535" s="528">
        <f t="shared" si="847"/>
        <v>0</v>
      </c>
      <c r="O1535" s="528">
        <f t="shared" si="848"/>
        <v>0</v>
      </c>
      <c r="P1535" s="529">
        <f t="shared" si="849"/>
        <v>55.5555555555556</v>
      </c>
      <c r="Q1535" s="24">
        <f t="shared" si="850"/>
        <v>9</v>
      </c>
      <c r="R1535" s="530">
        <f t="shared" si="851"/>
        <v>0.0379746835443038</v>
      </c>
    </row>
    <row r="1536" spans="1:18">
      <c r="A1536" s="524"/>
      <c r="B1536" s="540" t="s">
        <v>99</v>
      </c>
      <c r="C1536" s="551">
        <v>0</v>
      </c>
      <c r="D1536" s="551">
        <v>0</v>
      </c>
      <c r="E1536" s="551">
        <v>0</v>
      </c>
      <c r="F1536" s="551">
        <v>0</v>
      </c>
      <c r="G1536" s="551">
        <v>0</v>
      </c>
      <c r="H1536" s="551">
        <v>0</v>
      </c>
      <c r="I1536" s="551">
        <v>0</v>
      </c>
      <c r="J1536" s="551">
        <v>0</v>
      </c>
      <c r="K1536" s="527">
        <f t="shared" si="844"/>
        <v>0</v>
      </c>
      <c r="L1536" s="528">
        <f t="shared" si="845"/>
        <v>0</v>
      </c>
      <c r="M1536" s="528">
        <f t="shared" si="846"/>
        <v>0</v>
      </c>
      <c r="N1536" s="528">
        <f t="shared" si="847"/>
        <v>0</v>
      </c>
      <c r="O1536" s="528">
        <f t="shared" si="848"/>
        <v>0</v>
      </c>
      <c r="P1536" s="529">
        <f t="shared" si="849"/>
        <v>0</v>
      </c>
      <c r="Q1536" s="24">
        <f t="shared" si="850"/>
        <v>0</v>
      </c>
      <c r="R1536" s="530">
        <f t="shared" si="851"/>
        <v>0</v>
      </c>
    </row>
    <row r="1537" spans="1:18">
      <c r="A1537" s="524"/>
      <c r="B1537" s="540" t="s">
        <v>100</v>
      </c>
      <c r="C1537" s="552">
        <v>591.28</v>
      </c>
      <c r="D1537" s="551">
        <v>42602</v>
      </c>
      <c r="E1537" s="551">
        <v>468</v>
      </c>
      <c r="F1537" s="551">
        <v>3</v>
      </c>
      <c r="G1537" s="551">
        <v>50712</v>
      </c>
      <c r="H1537" s="551">
        <v>29</v>
      </c>
      <c r="I1537" s="551">
        <v>17</v>
      </c>
      <c r="J1537" s="551">
        <v>2</v>
      </c>
      <c r="K1537" s="527">
        <f t="shared" si="844"/>
        <v>0.0109853997464908</v>
      </c>
      <c r="L1537" s="528">
        <f t="shared" si="845"/>
        <v>1.2634188034188</v>
      </c>
      <c r="M1537" s="528">
        <f t="shared" si="846"/>
        <v>13.8791606027886</v>
      </c>
      <c r="N1537" s="528">
        <f t="shared" si="847"/>
        <v>85.7664727371127</v>
      </c>
      <c r="O1537" s="528">
        <f t="shared" si="848"/>
        <v>0.00641025641025641</v>
      </c>
      <c r="P1537" s="529">
        <f t="shared" si="849"/>
        <v>12.8539130434783</v>
      </c>
      <c r="Q1537" s="24">
        <f t="shared" si="850"/>
        <v>46</v>
      </c>
      <c r="R1537" s="530">
        <f t="shared" si="851"/>
        <v>0.0982905982905983</v>
      </c>
    </row>
    <row r="1538" spans="1:18">
      <c r="A1538" s="524"/>
      <c r="B1538" s="540" t="s">
        <v>101</v>
      </c>
      <c r="C1538" s="551">
        <v>0</v>
      </c>
      <c r="D1538" s="551">
        <v>0</v>
      </c>
      <c r="E1538" s="551">
        <v>0</v>
      </c>
      <c r="F1538" s="551">
        <v>0</v>
      </c>
      <c r="G1538" s="551">
        <v>0</v>
      </c>
      <c r="H1538" s="551">
        <v>0</v>
      </c>
      <c r="I1538" s="551">
        <v>0</v>
      </c>
      <c r="J1538" s="551">
        <v>0</v>
      </c>
      <c r="K1538" s="527">
        <f t="shared" si="844"/>
        <v>0</v>
      </c>
      <c r="L1538" s="528">
        <f t="shared" si="845"/>
        <v>0</v>
      </c>
      <c r="M1538" s="528">
        <f t="shared" si="846"/>
        <v>0</v>
      </c>
      <c r="N1538" s="528">
        <f t="shared" si="847"/>
        <v>0</v>
      </c>
      <c r="O1538" s="528">
        <f t="shared" si="848"/>
        <v>0</v>
      </c>
      <c r="P1538" s="529">
        <f t="shared" si="849"/>
        <v>0</v>
      </c>
      <c r="Q1538" s="24">
        <f t="shared" si="850"/>
        <v>0</v>
      </c>
      <c r="R1538" s="530">
        <f t="shared" si="851"/>
        <v>0</v>
      </c>
    </row>
    <row r="1539" spans="1:18">
      <c r="A1539" s="524"/>
      <c r="B1539" s="531" t="s">
        <v>96</v>
      </c>
      <c r="C1539" s="533">
        <f t="shared" ref="C1539:J1539" si="863">SUM(C1535:C1538)</f>
        <v>1091.28</v>
      </c>
      <c r="D1539" s="533">
        <f t="shared" si="863"/>
        <v>48556</v>
      </c>
      <c r="E1539" s="533">
        <f t="shared" si="863"/>
        <v>705</v>
      </c>
      <c r="F1539" s="533">
        <f t="shared" si="863"/>
        <v>3</v>
      </c>
      <c r="G1539" s="533">
        <f t="shared" si="863"/>
        <v>50712</v>
      </c>
      <c r="H1539" s="533">
        <f t="shared" si="863"/>
        <v>35</v>
      </c>
      <c r="I1539" s="533">
        <f t="shared" si="863"/>
        <v>20</v>
      </c>
      <c r="J1539" s="533">
        <f t="shared" si="863"/>
        <v>3</v>
      </c>
      <c r="K1539" s="534">
        <f t="shared" si="844"/>
        <v>0.0145193179009803</v>
      </c>
      <c r="L1539" s="535">
        <f t="shared" si="845"/>
        <v>1.54791489361702</v>
      </c>
      <c r="M1539" s="535">
        <f t="shared" si="846"/>
        <v>22.4746684240876</v>
      </c>
      <c r="N1539" s="535">
        <f t="shared" si="847"/>
        <v>46.4702001319551</v>
      </c>
      <c r="O1539" s="535">
        <f t="shared" si="848"/>
        <v>0.00425531914893617</v>
      </c>
      <c r="P1539" s="536">
        <f t="shared" si="849"/>
        <v>19.8414545454545</v>
      </c>
      <c r="Q1539" s="531">
        <f t="shared" si="850"/>
        <v>55</v>
      </c>
      <c r="R1539" s="537">
        <f t="shared" si="851"/>
        <v>0.0780141843971631</v>
      </c>
    </row>
    <row r="1540" spans="1:18">
      <c r="A1540" s="524">
        <v>45758</v>
      </c>
      <c r="B1540" s="540" t="s">
        <v>98</v>
      </c>
      <c r="C1540" s="551">
        <v>500</v>
      </c>
      <c r="D1540" s="553">
        <v>4785</v>
      </c>
      <c r="E1540" s="551">
        <v>189</v>
      </c>
      <c r="F1540" s="551">
        <v>0</v>
      </c>
      <c r="G1540" s="551">
        <v>0</v>
      </c>
      <c r="H1540" s="551">
        <v>10</v>
      </c>
      <c r="I1540" s="551">
        <v>0</v>
      </c>
      <c r="J1540" s="551">
        <v>1</v>
      </c>
      <c r="K1540" s="527">
        <f t="shared" si="844"/>
        <v>0.0394984326018809</v>
      </c>
      <c r="L1540" s="528">
        <f t="shared" si="845"/>
        <v>2.64550264550265</v>
      </c>
      <c r="M1540" s="528">
        <f t="shared" si="846"/>
        <v>104.493207941484</v>
      </c>
      <c r="N1540" s="528">
        <f t="shared" si="847"/>
        <v>0</v>
      </c>
      <c r="O1540" s="528">
        <f t="shared" si="848"/>
        <v>0</v>
      </c>
      <c r="P1540" s="529">
        <f t="shared" si="849"/>
        <v>50</v>
      </c>
      <c r="Q1540" s="24">
        <f t="shared" si="850"/>
        <v>10</v>
      </c>
      <c r="R1540" s="530">
        <f t="shared" si="851"/>
        <v>0.0529100529100529</v>
      </c>
    </row>
    <row r="1541" spans="1:18">
      <c r="A1541" s="524"/>
      <c r="B1541" s="540" t="s">
        <v>99</v>
      </c>
      <c r="C1541" s="551">
        <v>316.29</v>
      </c>
      <c r="D1541" s="551">
        <v>1637</v>
      </c>
      <c r="E1541" s="551">
        <v>242</v>
      </c>
      <c r="F1541" s="551">
        <v>0</v>
      </c>
      <c r="G1541" s="551">
        <v>0</v>
      </c>
      <c r="H1541" s="551">
        <v>4</v>
      </c>
      <c r="I1541" s="551">
        <v>0</v>
      </c>
      <c r="J1541" s="551">
        <v>0</v>
      </c>
      <c r="K1541" s="527">
        <f t="shared" si="844"/>
        <v>0.147831398900428</v>
      </c>
      <c r="L1541" s="528">
        <f t="shared" si="845"/>
        <v>1.30698347107438</v>
      </c>
      <c r="M1541" s="528">
        <f t="shared" si="846"/>
        <v>193.213194868662</v>
      </c>
      <c r="N1541" s="528">
        <f t="shared" si="847"/>
        <v>0</v>
      </c>
      <c r="O1541" s="528">
        <f t="shared" si="848"/>
        <v>0</v>
      </c>
      <c r="P1541" s="529">
        <f t="shared" si="849"/>
        <v>79.0725</v>
      </c>
      <c r="Q1541" s="24">
        <f t="shared" si="850"/>
        <v>4</v>
      </c>
      <c r="R1541" s="530">
        <f t="shared" si="851"/>
        <v>0.0165289256198347</v>
      </c>
    </row>
    <row r="1542" spans="1:18">
      <c r="A1542" s="524"/>
      <c r="B1542" s="540" t="s">
        <v>100</v>
      </c>
      <c r="C1542" s="552">
        <v>588.51</v>
      </c>
      <c r="D1542" s="551">
        <v>63157</v>
      </c>
      <c r="E1542" s="551">
        <v>602</v>
      </c>
      <c r="F1542" s="551">
        <v>0</v>
      </c>
      <c r="G1542" s="551">
        <v>0</v>
      </c>
      <c r="H1542" s="551">
        <v>38</v>
      </c>
      <c r="I1542" s="551">
        <v>14</v>
      </c>
      <c r="J1542" s="551">
        <v>0</v>
      </c>
      <c r="K1542" s="527">
        <f t="shared" si="844"/>
        <v>0.00953180170052409</v>
      </c>
      <c r="L1542" s="528">
        <f t="shared" si="845"/>
        <v>0.977591362126246</v>
      </c>
      <c r="M1542" s="528">
        <f t="shared" si="846"/>
        <v>9.31820700793261</v>
      </c>
      <c r="N1542" s="528">
        <f t="shared" si="847"/>
        <v>0</v>
      </c>
      <c r="O1542" s="528">
        <f t="shared" si="848"/>
        <v>0</v>
      </c>
      <c r="P1542" s="529">
        <f t="shared" si="849"/>
        <v>11.3175</v>
      </c>
      <c r="Q1542" s="24">
        <f t="shared" si="850"/>
        <v>52</v>
      </c>
      <c r="R1542" s="530">
        <f t="shared" si="851"/>
        <v>0.0863787375415282</v>
      </c>
    </row>
    <row r="1543" spans="1:18">
      <c r="A1543" s="524"/>
      <c r="B1543" s="540" t="s">
        <v>101</v>
      </c>
      <c r="C1543" s="551">
        <v>0</v>
      </c>
      <c r="D1543" s="551">
        <v>0</v>
      </c>
      <c r="E1543" s="551">
        <v>0</v>
      </c>
      <c r="F1543" s="551">
        <v>0</v>
      </c>
      <c r="G1543" s="551">
        <v>0</v>
      </c>
      <c r="H1543" s="551">
        <v>0</v>
      </c>
      <c r="I1543" s="551">
        <v>0</v>
      </c>
      <c r="J1543" s="551">
        <v>0</v>
      </c>
      <c r="K1543" s="527">
        <f t="shared" si="844"/>
        <v>0</v>
      </c>
      <c r="L1543" s="528">
        <f t="shared" si="845"/>
        <v>0</v>
      </c>
      <c r="M1543" s="528">
        <f t="shared" si="846"/>
        <v>0</v>
      </c>
      <c r="N1543" s="528">
        <f t="shared" si="847"/>
        <v>0</v>
      </c>
      <c r="O1543" s="528">
        <f t="shared" si="848"/>
        <v>0</v>
      </c>
      <c r="P1543" s="529">
        <f t="shared" si="849"/>
        <v>0</v>
      </c>
      <c r="Q1543" s="24">
        <f t="shared" si="850"/>
        <v>0</v>
      </c>
      <c r="R1543" s="530">
        <f t="shared" si="851"/>
        <v>0</v>
      </c>
    </row>
    <row r="1544" spans="1:18">
      <c r="A1544" s="524"/>
      <c r="B1544" s="531" t="s">
        <v>96</v>
      </c>
      <c r="C1544" s="533">
        <f t="shared" ref="C1544:J1544" si="864">SUM(C1540:C1543)</f>
        <v>1404.8</v>
      </c>
      <c r="D1544" s="533">
        <f t="shared" si="864"/>
        <v>69579</v>
      </c>
      <c r="E1544" s="533">
        <f t="shared" si="864"/>
        <v>1033</v>
      </c>
      <c r="F1544" s="533">
        <f t="shared" si="864"/>
        <v>0</v>
      </c>
      <c r="G1544" s="533">
        <f t="shared" si="864"/>
        <v>0</v>
      </c>
      <c r="H1544" s="533">
        <f t="shared" si="864"/>
        <v>52</v>
      </c>
      <c r="I1544" s="533">
        <f t="shared" si="864"/>
        <v>14</v>
      </c>
      <c r="J1544" s="533">
        <f t="shared" si="864"/>
        <v>1</v>
      </c>
      <c r="K1544" s="534">
        <f t="shared" ref="K1544:K1549" si="865">IF(E1544=0,0,E1544/D1544)</f>
        <v>0.0148464335503528</v>
      </c>
      <c r="L1544" s="535">
        <f t="shared" ref="L1544:L1549" si="866">IF(C1544=0,0,C1544/E1544)</f>
        <v>1.35992255566312</v>
      </c>
      <c r="M1544" s="535">
        <f t="shared" ref="M1544:M1549" si="867">IF(D1544=0,0,C1544/D1544*1000)</f>
        <v>20.1899998562785</v>
      </c>
      <c r="N1544" s="535">
        <f t="shared" ref="N1544:N1549" si="868">IF(G1544=0,0,G1544/C1544)</f>
        <v>0</v>
      </c>
      <c r="O1544" s="535">
        <f t="shared" ref="O1544:O1549" si="869">IF(F1544=0,0,F1544/E1544)</f>
        <v>0</v>
      </c>
      <c r="P1544" s="536">
        <f t="shared" ref="P1544:P1549" si="870">IF(H1544+I1544=0,0,C1544/(H1544+I1544))</f>
        <v>21.2848484848485</v>
      </c>
      <c r="Q1544" s="531">
        <f t="shared" ref="Q1544:Q1549" si="871">H1544+I1544</f>
        <v>66</v>
      </c>
      <c r="R1544" s="537">
        <f t="shared" ref="R1544:R1549" si="872">IF(Q1544=0,0,Q1544/E1544)</f>
        <v>0.063891577928364</v>
      </c>
    </row>
    <row r="1545" spans="1:18">
      <c r="A1545" s="524">
        <v>45759</v>
      </c>
      <c r="B1545" s="540" t="s">
        <v>98</v>
      </c>
      <c r="C1545" s="551">
        <v>852.36</v>
      </c>
      <c r="D1545" s="553">
        <v>44476</v>
      </c>
      <c r="E1545" s="551">
        <v>776</v>
      </c>
      <c r="F1545" s="551">
        <v>0</v>
      </c>
      <c r="G1545" s="551">
        <v>0</v>
      </c>
      <c r="H1545" s="551">
        <v>12</v>
      </c>
      <c r="I1545" s="551">
        <v>2</v>
      </c>
      <c r="J1545" s="551">
        <v>2</v>
      </c>
      <c r="K1545" s="527">
        <f t="shared" si="865"/>
        <v>0.0174476121953413</v>
      </c>
      <c r="L1545" s="528">
        <f t="shared" si="866"/>
        <v>1.09840206185567</v>
      </c>
      <c r="M1545" s="528">
        <f t="shared" si="867"/>
        <v>19.164493209821</v>
      </c>
      <c r="N1545" s="528">
        <f t="shared" si="868"/>
        <v>0</v>
      </c>
      <c r="O1545" s="528">
        <f t="shared" si="869"/>
        <v>0</v>
      </c>
      <c r="P1545" s="529">
        <f t="shared" si="870"/>
        <v>60.8828571428571</v>
      </c>
      <c r="Q1545" s="24">
        <f t="shared" si="871"/>
        <v>14</v>
      </c>
      <c r="R1545" s="530">
        <f t="shared" si="872"/>
        <v>0.0180412371134021</v>
      </c>
    </row>
    <row r="1546" spans="1:18">
      <c r="A1546" s="524"/>
      <c r="B1546" s="540" t="s">
        <v>99</v>
      </c>
      <c r="C1546" s="551">
        <v>0</v>
      </c>
      <c r="D1546" s="551">
        <v>0</v>
      </c>
      <c r="E1546" s="551">
        <v>0</v>
      </c>
      <c r="F1546" s="551">
        <v>0</v>
      </c>
      <c r="G1546" s="551">
        <v>0</v>
      </c>
      <c r="H1546" s="551">
        <v>0</v>
      </c>
      <c r="I1546" s="551">
        <v>0</v>
      </c>
      <c r="J1546" s="551">
        <v>0</v>
      </c>
      <c r="K1546" s="527">
        <f t="shared" si="865"/>
        <v>0</v>
      </c>
      <c r="L1546" s="528">
        <f t="shared" si="866"/>
        <v>0</v>
      </c>
      <c r="M1546" s="528">
        <f t="shared" si="867"/>
        <v>0</v>
      </c>
      <c r="N1546" s="528">
        <f t="shared" si="868"/>
        <v>0</v>
      </c>
      <c r="O1546" s="528">
        <f t="shared" si="869"/>
        <v>0</v>
      </c>
      <c r="P1546" s="529">
        <f t="shared" si="870"/>
        <v>0</v>
      </c>
      <c r="Q1546" s="24">
        <f t="shared" si="871"/>
        <v>0</v>
      </c>
      <c r="R1546" s="530">
        <f t="shared" si="872"/>
        <v>0</v>
      </c>
    </row>
    <row r="1547" spans="1:18">
      <c r="A1547" s="524"/>
      <c r="B1547" s="540" t="s">
        <v>100</v>
      </c>
      <c r="C1547" s="552">
        <v>594.55</v>
      </c>
      <c r="D1547" s="551">
        <v>55265</v>
      </c>
      <c r="E1547" s="551">
        <v>654</v>
      </c>
      <c r="F1547" s="551">
        <v>2</v>
      </c>
      <c r="G1547" s="551">
        <v>40264</v>
      </c>
      <c r="H1547" s="551">
        <v>24</v>
      </c>
      <c r="I1547" s="551">
        <v>6</v>
      </c>
      <c r="J1547" s="551">
        <v>1</v>
      </c>
      <c r="K1547" s="527">
        <f t="shared" si="865"/>
        <v>0.011833891251244</v>
      </c>
      <c r="L1547" s="528">
        <f t="shared" si="866"/>
        <v>0.909097859327217</v>
      </c>
      <c r="M1547" s="528">
        <f t="shared" si="867"/>
        <v>10.758165204017</v>
      </c>
      <c r="N1547" s="528">
        <f t="shared" si="868"/>
        <v>67.7218064082079</v>
      </c>
      <c r="O1547" s="528">
        <f t="shared" si="869"/>
        <v>0.00305810397553517</v>
      </c>
      <c r="P1547" s="529">
        <f t="shared" si="870"/>
        <v>19.8183333333333</v>
      </c>
      <c r="Q1547" s="24">
        <f t="shared" si="871"/>
        <v>30</v>
      </c>
      <c r="R1547" s="530">
        <f t="shared" si="872"/>
        <v>0.0458715596330275</v>
      </c>
    </row>
    <row r="1548" spans="1:18">
      <c r="A1548" s="524"/>
      <c r="B1548" s="540" t="s">
        <v>101</v>
      </c>
      <c r="C1548" s="551">
        <v>0</v>
      </c>
      <c r="D1548" s="551">
        <v>0</v>
      </c>
      <c r="E1548" s="551">
        <v>0</v>
      </c>
      <c r="F1548" s="551">
        <v>0</v>
      </c>
      <c r="G1548" s="551">
        <v>0</v>
      </c>
      <c r="H1548" s="551">
        <v>0</v>
      </c>
      <c r="I1548" s="551">
        <v>0</v>
      </c>
      <c r="J1548" s="551">
        <v>0</v>
      </c>
      <c r="K1548" s="527">
        <f t="shared" si="865"/>
        <v>0</v>
      </c>
      <c r="L1548" s="528">
        <f t="shared" si="866"/>
        <v>0</v>
      </c>
      <c r="M1548" s="528">
        <f t="shared" si="867"/>
        <v>0</v>
      </c>
      <c r="N1548" s="528">
        <f t="shared" si="868"/>
        <v>0</v>
      </c>
      <c r="O1548" s="528">
        <f t="shared" si="869"/>
        <v>0</v>
      </c>
      <c r="P1548" s="529">
        <f t="shared" si="870"/>
        <v>0</v>
      </c>
      <c r="Q1548" s="24">
        <f t="shared" si="871"/>
        <v>0</v>
      </c>
      <c r="R1548" s="530">
        <f t="shared" si="872"/>
        <v>0</v>
      </c>
    </row>
    <row r="1549" spans="1:18">
      <c r="A1549" s="524"/>
      <c r="B1549" s="531" t="s">
        <v>96</v>
      </c>
      <c r="C1549" s="533">
        <f t="shared" ref="C1549:J1549" si="873">SUM(C1545:C1548)</f>
        <v>1446.91</v>
      </c>
      <c r="D1549" s="533">
        <f t="shared" si="873"/>
        <v>99741</v>
      </c>
      <c r="E1549" s="533">
        <f t="shared" si="873"/>
        <v>1430</v>
      </c>
      <c r="F1549" s="533">
        <f t="shared" si="873"/>
        <v>2</v>
      </c>
      <c r="G1549" s="533">
        <f t="shared" si="873"/>
        <v>40264</v>
      </c>
      <c r="H1549" s="533">
        <f t="shared" si="873"/>
        <v>36</v>
      </c>
      <c r="I1549" s="533">
        <f t="shared" si="873"/>
        <v>8</v>
      </c>
      <c r="J1549" s="533">
        <f t="shared" si="873"/>
        <v>3</v>
      </c>
      <c r="K1549" s="534">
        <f t="shared" si="865"/>
        <v>0.0143371331749231</v>
      </c>
      <c r="L1549" s="535">
        <f t="shared" si="866"/>
        <v>1.01182517482517</v>
      </c>
      <c r="M1549" s="535">
        <f t="shared" si="867"/>
        <v>14.5066722812083</v>
      </c>
      <c r="N1549" s="535">
        <f t="shared" si="868"/>
        <v>27.8275773890567</v>
      </c>
      <c r="O1549" s="535">
        <f t="shared" si="869"/>
        <v>0.0013986013986014</v>
      </c>
      <c r="P1549" s="536">
        <f t="shared" si="870"/>
        <v>32.8843181818182</v>
      </c>
      <c r="Q1549" s="531">
        <f t="shared" si="871"/>
        <v>44</v>
      </c>
      <c r="R1549" s="537">
        <f t="shared" si="872"/>
        <v>0.0307692307692308</v>
      </c>
    </row>
    <row r="1550" spans="1:18">
      <c r="A1550" s="524">
        <v>45760</v>
      </c>
      <c r="B1550" s="540" t="s">
        <v>98</v>
      </c>
      <c r="C1550" s="551">
        <v>698.19</v>
      </c>
      <c r="D1550" s="553">
        <v>27030</v>
      </c>
      <c r="E1550" s="551">
        <v>539</v>
      </c>
      <c r="F1550" s="551">
        <v>0</v>
      </c>
      <c r="G1550" s="551">
        <v>0</v>
      </c>
      <c r="H1550" s="551">
        <v>6</v>
      </c>
      <c r="I1550" s="551">
        <v>0</v>
      </c>
      <c r="J1550" s="551">
        <v>3</v>
      </c>
      <c r="K1550" s="527">
        <f t="shared" ref="K1550:K1584" si="874">IF(E1550=0,0,E1550/D1550)</f>
        <v>0.0199408065112838</v>
      </c>
      <c r="L1550" s="528">
        <f t="shared" ref="L1550:L1584" si="875">IF(C1550=0,0,C1550/E1550)</f>
        <v>1.29534322820037</v>
      </c>
      <c r="M1550" s="528">
        <f t="shared" ref="M1550:M1584" si="876">IF(D1550=0,0,C1550/D1550*1000)</f>
        <v>25.8301886792453</v>
      </c>
      <c r="N1550" s="528">
        <f t="shared" ref="N1550:N1584" si="877">IF(G1550=0,0,G1550/C1550)</f>
        <v>0</v>
      </c>
      <c r="O1550" s="528">
        <f t="shared" ref="O1550:O1584" si="878">IF(F1550=0,0,F1550/E1550)</f>
        <v>0</v>
      </c>
      <c r="P1550" s="529">
        <f t="shared" ref="P1550:P1584" si="879">IF(H1550+I1550=0,0,C1550/(H1550+I1550))</f>
        <v>116.365</v>
      </c>
      <c r="Q1550" s="24">
        <f t="shared" ref="Q1550:Q1584" si="880">H1550+I1550</f>
        <v>6</v>
      </c>
      <c r="R1550" s="530">
        <f t="shared" ref="R1550:R1584" si="881">IF(Q1550=0,0,Q1550/E1550)</f>
        <v>0.0111317254174397</v>
      </c>
    </row>
    <row r="1551" spans="1:18">
      <c r="A1551" s="524"/>
      <c r="B1551" s="540" t="s">
        <v>99</v>
      </c>
      <c r="C1551" s="551">
        <v>0</v>
      </c>
      <c r="D1551" s="551">
        <v>0</v>
      </c>
      <c r="E1551" s="551">
        <v>0</v>
      </c>
      <c r="F1551" s="551">
        <v>0</v>
      </c>
      <c r="G1551" s="551">
        <v>0</v>
      </c>
      <c r="H1551" s="551">
        <v>0</v>
      </c>
      <c r="I1551" s="551">
        <v>0</v>
      </c>
      <c r="J1551" s="551">
        <v>0</v>
      </c>
      <c r="K1551" s="527">
        <f t="shared" si="874"/>
        <v>0</v>
      </c>
      <c r="L1551" s="528">
        <f t="shared" si="875"/>
        <v>0</v>
      </c>
      <c r="M1551" s="528">
        <f t="shared" si="876"/>
        <v>0</v>
      </c>
      <c r="N1551" s="528">
        <f t="shared" si="877"/>
        <v>0</v>
      </c>
      <c r="O1551" s="528">
        <f t="shared" si="878"/>
        <v>0</v>
      </c>
      <c r="P1551" s="529">
        <f t="shared" si="879"/>
        <v>0</v>
      </c>
      <c r="Q1551" s="24">
        <f t="shared" si="880"/>
        <v>0</v>
      </c>
      <c r="R1551" s="530">
        <f t="shared" si="881"/>
        <v>0</v>
      </c>
    </row>
    <row r="1552" spans="1:18">
      <c r="A1552" s="524"/>
      <c r="B1552" s="540" t="s">
        <v>100</v>
      </c>
      <c r="C1552" s="552">
        <v>770.87</v>
      </c>
      <c r="D1552" s="551">
        <v>61830</v>
      </c>
      <c r="E1552" s="551">
        <v>714</v>
      </c>
      <c r="F1552" s="551">
        <v>1</v>
      </c>
      <c r="G1552" s="551">
        <v>9074</v>
      </c>
      <c r="H1552" s="551">
        <v>44</v>
      </c>
      <c r="I1552" s="551">
        <v>13</v>
      </c>
      <c r="J1552" s="551">
        <v>1</v>
      </c>
      <c r="K1552" s="527">
        <f t="shared" si="874"/>
        <v>0.0115477923338185</v>
      </c>
      <c r="L1552" s="528">
        <f t="shared" si="875"/>
        <v>1.07964985994398</v>
      </c>
      <c r="M1552" s="528">
        <f t="shared" si="876"/>
        <v>12.4675723758693</v>
      </c>
      <c r="N1552" s="528">
        <f t="shared" si="877"/>
        <v>11.7711157523318</v>
      </c>
      <c r="O1552" s="528">
        <f t="shared" si="878"/>
        <v>0.00140056022408964</v>
      </c>
      <c r="P1552" s="529">
        <f t="shared" si="879"/>
        <v>13.5240350877193</v>
      </c>
      <c r="Q1552" s="24">
        <f t="shared" si="880"/>
        <v>57</v>
      </c>
      <c r="R1552" s="530">
        <f t="shared" si="881"/>
        <v>0.0798319327731092</v>
      </c>
    </row>
    <row r="1553" spans="1:18">
      <c r="A1553" s="524"/>
      <c r="B1553" s="540" t="s">
        <v>101</v>
      </c>
      <c r="C1553" s="551">
        <v>0</v>
      </c>
      <c r="D1553" s="551">
        <v>0</v>
      </c>
      <c r="E1553" s="551">
        <v>0</v>
      </c>
      <c r="F1553" s="551">
        <v>0</v>
      </c>
      <c r="G1553" s="551">
        <v>0</v>
      </c>
      <c r="H1553" s="551">
        <v>0</v>
      </c>
      <c r="I1553" s="551">
        <v>0</v>
      </c>
      <c r="J1553" s="551">
        <v>0</v>
      </c>
      <c r="K1553" s="527">
        <f t="shared" si="874"/>
        <v>0</v>
      </c>
      <c r="L1553" s="528">
        <f t="shared" si="875"/>
        <v>0</v>
      </c>
      <c r="M1553" s="528">
        <f t="shared" si="876"/>
        <v>0</v>
      </c>
      <c r="N1553" s="528">
        <f t="shared" si="877"/>
        <v>0</v>
      </c>
      <c r="O1553" s="528">
        <f t="shared" si="878"/>
        <v>0</v>
      </c>
      <c r="P1553" s="529">
        <f t="shared" si="879"/>
        <v>0</v>
      </c>
      <c r="Q1553" s="24">
        <f t="shared" si="880"/>
        <v>0</v>
      </c>
      <c r="R1553" s="530">
        <f t="shared" si="881"/>
        <v>0</v>
      </c>
    </row>
    <row r="1554" spans="1:18">
      <c r="A1554" s="524"/>
      <c r="B1554" s="531" t="s">
        <v>96</v>
      </c>
      <c r="C1554" s="533">
        <f t="shared" ref="C1554:J1554" si="882">SUM(C1550:C1553)</f>
        <v>1469.06</v>
      </c>
      <c r="D1554" s="533">
        <f t="shared" si="882"/>
        <v>88860</v>
      </c>
      <c r="E1554" s="533">
        <f t="shared" si="882"/>
        <v>1253</v>
      </c>
      <c r="F1554" s="533">
        <f t="shared" si="882"/>
        <v>1</v>
      </c>
      <c r="G1554" s="533">
        <f t="shared" si="882"/>
        <v>9074</v>
      </c>
      <c r="H1554" s="533">
        <f t="shared" si="882"/>
        <v>50</v>
      </c>
      <c r="I1554" s="533">
        <f t="shared" si="882"/>
        <v>13</v>
      </c>
      <c r="J1554" s="533">
        <f t="shared" si="882"/>
        <v>4</v>
      </c>
      <c r="K1554" s="534">
        <f t="shared" si="874"/>
        <v>0.0141008327706505</v>
      </c>
      <c r="L1554" s="535">
        <f t="shared" si="875"/>
        <v>1.17243415802075</v>
      </c>
      <c r="M1554" s="535">
        <f t="shared" si="876"/>
        <v>16.532297996849</v>
      </c>
      <c r="N1554" s="535">
        <f t="shared" si="877"/>
        <v>6.17673886703062</v>
      </c>
      <c r="O1554" s="535">
        <f t="shared" si="878"/>
        <v>0.000798084596967279</v>
      </c>
      <c r="P1554" s="536">
        <f t="shared" si="879"/>
        <v>23.3184126984127</v>
      </c>
      <c r="Q1554" s="531">
        <f t="shared" si="880"/>
        <v>63</v>
      </c>
      <c r="R1554" s="537">
        <f t="shared" si="881"/>
        <v>0.0502793296089385</v>
      </c>
    </row>
    <row r="1555" spans="1:18">
      <c r="A1555" s="524">
        <v>45761</v>
      </c>
      <c r="B1555" s="540" t="s">
        <v>98</v>
      </c>
      <c r="C1555" s="551">
        <v>599.88</v>
      </c>
      <c r="D1555" s="553">
        <v>11393</v>
      </c>
      <c r="E1555" s="551">
        <v>346</v>
      </c>
      <c r="F1555" s="551">
        <v>0</v>
      </c>
      <c r="G1555" s="551">
        <v>0</v>
      </c>
      <c r="H1555" s="551">
        <v>8</v>
      </c>
      <c r="I1555" s="551">
        <v>5</v>
      </c>
      <c r="J1555" s="551">
        <v>0</v>
      </c>
      <c r="K1555" s="527">
        <f t="shared" si="874"/>
        <v>0.0303695251470201</v>
      </c>
      <c r="L1555" s="528">
        <f t="shared" si="875"/>
        <v>1.73375722543353</v>
      </c>
      <c r="M1555" s="528">
        <f t="shared" si="876"/>
        <v>52.6533836566313</v>
      </c>
      <c r="N1555" s="528">
        <f t="shared" si="877"/>
        <v>0</v>
      </c>
      <c r="O1555" s="528">
        <f t="shared" si="878"/>
        <v>0</v>
      </c>
      <c r="P1555" s="529">
        <f t="shared" si="879"/>
        <v>46.1446153846154</v>
      </c>
      <c r="Q1555" s="24">
        <f t="shared" si="880"/>
        <v>13</v>
      </c>
      <c r="R1555" s="530">
        <f t="shared" si="881"/>
        <v>0.0375722543352601</v>
      </c>
    </row>
    <row r="1556" spans="1:18">
      <c r="A1556" s="524"/>
      <c r="B1556" s="540" t="s">
        <v>99</v>
      </c>
      <c r="C1556" s="551">
        <v>308</v>
      </c>
      <c r="D1556" s="551">
        <v>1471</v>
      </c>
      <c r="E1556" s="551">
        <v>228</v>
      </c>
      <c r="F1556" s="551">
        <v>1</v>
      </c>
      <c r="G1556" s="551">
        <v>9074</v>
      </c>
      <c r="H1556" s="551">
        <v>2</v>
      </c>
      <c r="I1556" s="551">
        <v>1</v>
      </c>
      <c r="J1556" s="551">
        <v>1</v>
      </c>
      <c r="K1556" s="527">
        <f t="shared" si="874"/>
        <v>0.154996600951734</v>
      </c>
      <c r="L1556" s="528">
        <f t="shared" si="875"/>
        <v>1.35087719298246</v>
      </c>
      <c r="M1556" s="528">
        <f t="shared" si="876"/>
        <v>209.3813732155</v>
      </c>
      <c r="N1556" s="528">
        <f t="shared" si="877"/>
        <v>29.461038961039</v>
      </c>
      <c r="O1556" s="528">
        <f t="shared" si="878"/>
        <v>0.0043859649122807</v>
      </c>
      <c r="P1556" s="529">
        <f t="shared" si="879"/>
        <v>102.666666666667</v>
      </c>
      <c r="Q1556" s="24">
        <f t="shared" si="880"/>
        <v>3</v>
      </c>
      <c r="R1556" s="530">
        <f t="shared" si="881"/>
        <v>0.0131578947368421</v>
      </c>
    </row>
    <row r="1557" spans="1:18">
      <c r="A1557" s="524"/>
      <c r="B1557" s="540" t="s">
        <v>100</v>
      </c>
      <c r="C1557" s="552">
        <v>786.77</v>
      </c>
      <c r="D1557" s="551">
        <v>65009</v>
      </c>
      <c r="E1557" s="551">
        <v>639</v>
      </c>
      <c r="F1557" s="551">
        <v>1</v>
      </c>
      <c r="G1557" s="551">
        <v>5514</v>
      </c>
      <c r="H1557" s="551">
        <v>21</v>
      </c>
      <c r="I1557" s="551">
        <v>10</v>
      </c>
      <c r="J1557" s="551">
        <v>1</v>
      </c>
      <c r="K1557" s="527">
        <f t="shared" si="874"/>
        <v>0.00982940823578274</v>
      </c>
      <c r="L1557" s="528">
        <f t="shared" si="875"/>
        <v>1.23125195618153</v>
      </c>
      <c r="M1557" s="528">
        <f t="shared" si="876"/>
        <v>12.1024781184144</v>
      </c>
      <c r="N1557" s="528">
        <f t="shared" si="877"/>
        <v>7.00840143879406</v>
      </c>
      <c r="O1557" s="528">
        <f t="shared" si="878"/>
        <v>0.00156494522691706</v>
      </c>
      <c r="P1557" s="529">
        <f t="shared" si="879"/>
        <v>25.3796774193548</v>
      </c>
      <c r="Q1557" s="24">
        <f t="shared" si="880"/>
        <v>31</v>
      </c>
      <c r="R1557" s="530">
        <f t="shared" si="881"/>
        <v>0.0485133020344288</v>
      </c>
    </row>
    <row r="1558" spans="1:18">
      <c r="A1558" s="524"/>
      <c r="B1558" s="540" t="s">
        <v>101</v>
      </c>
      <c r="C1558" s="551">
        <v>0</v>
      </c>
      <c r="D1558" s="551">
        <v>0</v>
      </c>
      <c r="E1558" s="551">
        <v>0</v>
      </c>
      <c r="F1558" s="551">
        <v>0</v>
      </c>
      <c r="G1558" s="551">
        <v>0</v>
      </c>
      <c r="H1558" s="551">
        <v>0</v>
      </c>
      <c r="I1558" s="551">
        <v>0</v>
      </c>
      <c r="J1558" s="551">
        <v>0</v>
      </c>
      <c r="K1558" s="527">
        <f t="shared" si="874"/>
        <v>0</v>
      </c>
      <c r="L1558" s="528">
        <f t="shared" si="875"/>
        <v>0</v>
      </c>
      <c r="M1558" s="528">
        <f t="shared" si="876"/>
        <v>0</v>
      </c>
      <c r="N1558" s="528">
        <f t="shared" si="877"/>
        <v>0</v>
      </c>
      <c r="O1558" s="528">
        <f t="shared" si="878"/>
        <v>0</v>
      </c>
      <c r="P1558" s="529">
        <f t="shared" si="879"/>
        <v>0</v>
      </c>
      <c r="Q1558" s="24">
        <f t="shared" si="880"/>
        <v>0</v>
      </c>
      <c r="R1558" s="530">
        <f t="shared" si="881"/>
        <v>0</v>
      </c>
    </row>
    <row r="1559" spans="1:18">
      <c r="A1559" s="524"/>
      <c r="B1559" s="531" t="s">
        <v>96</v>
      </c>
      <c r="C1559" s="533">
        <f t="shared" ref="C1559:J1559" si="883">SUM(C1555:C1558)</f>
        <v>1694.65</v>
      </c>
      <c r="D1559" s="533">
        <f t="shared" si="883"/>
        <v>77873</v>
      </c>
      <c r="E1559" s="533">
        <f t="shared" si="883"/>
        <v>1213</v>
      </c>
      <c r="F1559" s="533">
        <f t="shared" si="883"/>
        <v>2</v>
      </c>
      <c r="G1559" s="533">
        <f t="shared" si="883"/>
        <v>14588</v>
      </c>
      <c r="H1559" s="533">
        <f t="shared" si="883"/>
        <v>31</v>
      </c>
      <c r="I1559" s="533">
        <f t="shared" si="883"/>
        <v>16</v>
      </c>
      <c r="J1559" s="533">
        <f t="shared" si="883"/>
        <v>2</v>
      </c>
      <c r="K1559" s="534">
        <f t="shared" si="874"/>
        <v>0.0155766440229605</v>
      </c>
      <c r="L1559" s="535">
        <f t="shared" si="875"/>
        <v>1.39707337180544</v>
      </c>
      <c r="M1559" s="535">
        <f t="shared" si="876"/>
        <v>21.7617145865704</v>
      </c>
      <c r="N1559" s="535">
        <f t="shared" si="877"/>
        <v>8.60826719381583</v>
      </c>
      <c r="O1559" s="535">
        <f t="shared" si="878"/>
        <v>0.00164880461665293</v>
      </c>
      <c r="P1559" s="536">
        <f t="shared" si="879"/>
        <v>36.0563829787234</v>
      </c>
      <c r="Q1559" s="531">
        <f t="shared" si="880"/>
        <v>47</v>
      </c>
      <c r="R1559" s="537">
        <f t="shared" si="881"/>
        <v>0.0387469084913438</v>
      </c>
    </row>
    <row r="1560" spans="1:18">
      <c r="A1560" s="524">
        <v>45762</v>
      </c>
      <c r="B1560" s="540" t="s">
        <v>98</v>
      </c>
      <c r="C1560" s="551">
        <v>594.03</v>
      </c>
      <c r="D1560" s="553">
        <v>15880</v>
      </c>
      <c r="E1560" s="551">
        <v>330</v>
      </c>
      <c r="F1560" s="551">
        <v>4</v>
      </c>
      <c r="G1560" s="551">
        <v>50485</v>
      </c>
      <c r="H1560" s="551">
        <v>6</v>
      </c>
      <c r="I1560" s="551">
        <v>4</v>
      </c>
      <c r="J1560" s="551">
        <v>3</v>
      </c>
      <c r="K1560" s="527">
        <f t="shared" si="874"/>
        <v>0.0207808564231738</v>
      </c>
      <c r="L1560" s="528">
        <f t="shared" si="875"/>
        <v>1.80009090909091</v>
      </c>
      <c r="M1560" s="528">
        <f t="shared" si="876"/>
        <v>37.4074307304786</v>
      </c>
      <c r="N1560" s="528">
        <f t="shared" si="877"/>
        <v>84.9872902041984</v>
      </c>
      <c r="O1560" s="528">
        <f t="shared" si="878"/>
        <v>0.0121212121212121</v>
      </c>
      <c r="P1560" s="529">
        <f t="shared" si="879"/>
        <v>59.403</v>
      </c>
      <c r="Q1560" s="24">
        <f t="shared" si="880"/>
        <v>10</v>
      </c>
      <c r="R1560" s="530">
        <f t="shared" si="881"/>
        <v>0.0303030303030303</v>
      </c>
    </row>
    <row r="1561" spans="1:18">
      <c r="A1561" s="524"/>
      <c r="B1561" s="540" t="s">
        <v>99</v>
      </c>
      <c r="C1561" s="551">
        <v>0</v>
      </c>
      <c r="D1561" s="551">
        <v>0</v>
      </c>
      <c r="E1561" s="551">
        <v>0</v>
      </c>
      <c r="F1561" s="551">
        <v>0</v>
      </c>
      <c r="G1561" s="551">
        <v>0</v>
      </c>
      <c r="H1561" s="551">
        <v>0</v>
      </c>
      <c r="I1561" s="551">
        <v>0</v>
      </c>
      <c r="J1561" s="551">
        <v>0</v>
      </c>
      <c r="K1561" s="527">
        <f t="shared" si="874"/>
        <v>0</v>
      </c>
      <c r="L1561" s="528">
        <f t="shared" si="875"/>
        <v>0</v>
      </c>
      <c r="M1561" s="528">
        <f t="shared" si="876"/>
        <v>0</v>
      </c>
      <c r="N1561" s="528">
        <f t="shared" si="877"/>
        <v>0</v>
      </c>
      <c r="O1561" s="528">
        <f t="shared" si="878"/>
        <v>0</v>
      </c>
      <c r="P1561" s="529">
        <f t="shared" si="879"/>
        <v>0</v>
      </c>
      <c r="Q1561" s="24">
        <f t="shared" si="880"/>
        <v>0</v>
      </c>
      <c r="R1561" s="530">
        <f t="shared" si="881"/>
        <v>0</v>
      </c>
    </row>
    <row r="1562" spans="1:18">
      <c r="A1562" s="524"/>
      <c r="B1562" s="540" t="s">
        <v>100</v>
      </c>
      <c r="C1562" s="552">
        <v>786.76</v>
      </c>
      <c r="D1562" s="551">
        <v>64909</v>
      </c>
      <c r="E1562" s="551">
        <v>700</v>
      </c>
      <c r="F1562" s="551">
        <v>1</v>
      </c>
      <c r="G1562" s="551">
        <v>11814</v>
      </c>
      <c r="H1562" s="551">
        <v>22</v>
      </c>
      <c r="I1562" s="551">
        <v>3</v>
      </c>
      <c r="J1562" s="551">
        <v>1</v>
      </c>
      <c r="K1562" s="527">
        <f t="shared" si="874"/>
        <v>0.0107843288295922</v>
      </c>
      <c r="L1562" s="528">
        <f t="shared" si="875"/>
        <v>1.12394285714286</v>
      </c>
      <c r="M1562" s="528">
        <f t="shared" si="876"/>
        <v>12.1209693570999</v>
      </c>
      <c r="N1562" s="528">
        <f t="shared" si="877"/>
        <v>15.016015049062</v>
      </c>
      <c r="O1562" s="528">
        <f t="shared" si="878"/>
        <v>0.00142857142857143</v>
      </c>
      <c r="P1562" s="529">
        <f t="shared" si="879"/>
        <v>31.4704</v>
      </c>
      <c r="Q1562" s="24">
        <f t="shared" si="880"/>
        <v>25</v>
      </c>
      <c r="R1562" s="530">
        <f t="shared" si="881"/>
        <v>0.0357142857142857</v>
      </c>
    </row>
    <row r="1563" spans="1:18">
      <c r="A1563" s="524"/>
      <c r="B1563" s="540" t="s">
        <v>101</v>
      </c>
      <c r="C1563" s="551">
        <v>0</v>
      </c>
      <c r="D1563" s="551">
        <v>0</v>
      </c>
      <c r="E1563" s="551">
        <v>0</v>
      </c>
      <c r="F1563" s="551">
        <v>0</v>
      </c>
      <c r="G1563" s="551">
        <v>0</v>
      </c>
      <c r="H1563" s="551">
        <v>0</v>
      </c>
      <c r="I1563" s="551">
        <v>0</v>
      </c>
      <c r="J1563" s="551">
        <v>0</v>
      </c>
      <c r="K1563" s="527">
        <f t="shared" si="874"/>
        <v>0</v>
      </c>
      <c r="L1563" s="528">
        <f t="shared" si="875"/>
        <v>0</v>
      </c>
      <c r="M1563" s="528">
        <f t="shared" si="876"/>
        <v>0</v>
      </c>
      <c r="N1563" s="528">
        <f t="shared" si="877"/>
        <v>0</v>
      </c>
      <c r="O1563" s="528">
        <f t="shared" si="878"/>
        <v>0</v>
      </c>
      <c r="P1563" s="529">
        <f t="shared" si="879"/>
        <v>0</v>
      </c>
      <c r="Q1563" s="24">
        <f t="shared" si="880"/>
        <v>0</v>
      </c>
      <c r="R1563" s="530">
        <f t="shared" si="881"/>
        <v>0</v>
      </c>
    </row>
    <row r="1564" spans="1:18">
      <c r="A1564" s="524"/>
      <c r="B1564" s="531" t="s">
        <v>96</v>
      </c>
      <c r="C1564" s="533">
        <f t="shared" ref="C1564:J1564" si="884">SUM(C1560:C1563)</f>
        <v>1380.79</v>
      </c>
      <c r="D1564" s="533">
        <f t="shared" si="884"/>
        <v>80789</v>
      </c>
      <c r="E1564" s="533">
        <f t="shared" si="884"/>
        <v>1030</v>
      </c>
      <c r="F1564" s="533">
        <f t="shared" si="884"/>
        <v>5</v>
      </c>
      <c r="G1564" s="533">
        <f t="shared" si="884"/>
        <v>62299</v>
      </c>
      <c r="H1564" s="533">
        <f t="shared" si="884"/>
        <v>28</v>
      </c>
      <c r="I1564" s="533">
        <f t="shared" si="884"/>
        <v>7</v>
      </c>
      <c r="J1564" s="533">
        <f t="shared" si="884"/>
        <v>4</v>
      </c>
      <c r="K1564" s="534">
        <f t="shared" si="874"/>
        <v>0.0127492604191165</v>
      </c>
      <c r="L1564" s="535">
        <f t="shared" si="875"/>
        <v>1.34057281553398</v>
      </c>
      <c r="M1564" s="535">
        <f t="shared" si="876"/>
        <v>17.0913119360309</v>
      </c>
      <c r="N1564" s="535">
        <f t="shared" si="877"/>
        <v>45.1183742640083</v>
      </c>
      <c r="O1564" s="535">
        <f t="shared" si="878"/>
        <v>0.00485436893203883</v>
      </c>
      <c r="P1564" s="536">
        <f t="shared" si="879"/>
        <v>39.4511428571429</v>
      </c>
      <c r="Q1564" s="531">
        <f t="shared" si="880"/>
        <v>35</v>
      </c>
      <c r="R1564" s="537">
        <f t="shared" si="881"/>
        <v>0.0339805825242718</v>
      </c>
    </row>
    <row r="1565" spans="1:18">
      <c r="A1565" s="524">
        <v>45763</v>
      </c>
      <c r="B1565" s="540" t="s">
        <v>98</v>
      </c>
      <c r="C1565" s="551">
        <v>600.93</v>
      </c>
      <c r="D1565" s="553">
        <v>9862</v>
      </c>
      <c r="E1565" s="551">
        <v>277</v>
      </c>
      <c r="F1565" s="551">
        <v>0</v>
      </c>
      <c r="G1565" s="551">
        <v>0</v>
      </c>
      <c r="H1565" s="551">
        <v>1</v>
      </c>
      <c r="I1565" s="551">
        <v>4</v>
      </c>
      <c r="J1565" s="551">
        <v>4</v>
      </c>
      <c r="K1565" s="527">
        <f t="shared" si="874"/>
        <v>0.0280876090042588</v>
      </c>
      <c r="L1565" s="528">
        <f t="shared" si="875"/>
        <v>2.16942238267148</v>
      </c>
      <c r="M1565" s="528">
        <f t="shared" si="876"/>
        <v>60.933887649564</v>
      </c>
      <c r="N1565" s="528">
        <f t="shared" si="877"/>
        <v>0</v>
      </c>
      <c r="O1565" s="528">
        <f t="shared" si="878"/>
        <v>0</v>
      </c>
      <c r="P1565" s="529">
        <f t="shared" si="879"/>
        <v>120.186</v>
      </c>
      <c r="Q1565" s="24">
        <f t="shared" si="880"/>
        <v>5</v>
      </c>
      <c r="R1565" s="530">
        <f t="shared" si="881"/>
        <v>0.0180505415162455</v>
      </c>
    </row>
    <row r="1566" spans="1:18">
      <c r="A1566" s="524"/>
      <c r="B1566" s="540" t="s">
        <v>99</v>
      </c>
      <c r="C1566" s="551">
        <v>571.4</v>
      </c>
      <c r="D1566" s="551">
        <v>2949</v>
      </c>
      <c r="E1566" s="551">
        <v>403</v>
      </c>
      <c r="F1566" s="551">
        <v>0</v>
      </c>
      <c r="G1566" s="551">
        <v>0</v>
      </c>
      <c r="H1566" s="551">
        <v>2</v>
      </c>
      <c r="I1566" s="551">
        <v>0</v>
      </c>
      <c r="J1566" s="551">
        <v>3</v>
      </c>
      <c r="K1566" s="527">
        <f t="shared" si="874"/>
        <v>0.136656493726687</v>
      </c>
      <c r="L1566" s="528">
        <f t="shared" si="875"/>
        <v>1.41786600496278</v>
      </c>
      <c r="M1566" s="528">
        <f t="shared" si="876"/>
        <v>193.760596812479</v>
      </c>
      <c r="N1566" s="528">
        <f t="shared" si="877"/>
        <v>0</v>
      </c>
      <c r="O1566" s="528">
        <f t="shared" si="878"/>
        <v>0</v>
      </c>
      <c r="P1566" s="529">
        <f t="shared" si="879"/>
        <v>285.7</v>
      </c>
      <c r="Q1566" s="24">
        <f t="shared" si="880"/>
        <v>2</v>
      </c>
      <c r="R1566" s="530">
        <f t="shared" si="881"/>
        <v>0.00496277915632754</v>
      </c>
    </row>
    <row r="1567" spans="1:18">
      <c r="A1567" s="524"/>
      <c r="B1567" s="540" t="s">
        <v>100</v>
      </c>
      <c r="C1567" s="552">
        <v>1067.11</v>
      </c>
      <c r="D1567" s="551">
        <v>68110</v>
      </c>
      <c r="E1567" s="551">
        <v>756</v>
      </c>
      <c r="F1567" s="551">
        <v>3</v>
      </c>
      <c r="G1567" s="551">
        <v>50586</v>
      </c>
      <c r="H1567" s="551">
        <v>33</v>
      </c>
      <c r="I1567" s="551">
        <v>16</v>
      </c>
      <c r="J1567" s="551">
        <v>1</v>
      </c>
      <c r="K1567" s="527">
        <f t="shared" si="874"/>
        <v>0.0110996916752312</v>
      </c>
      <c r="L1567" s="528">
        <f t="shared" si="875"/>
        <v>1.41152116402116</v>
      </c>
      <c r="M1567" s="528">
        <f t="shared" si="876"/>
        <v>15.6674497136984</v>
      </c>
      <c r="N1567" s="528">
        <f t="shared" si="877"/>
        <v>47.40467243302</v>
      </c>
      <c r="O1567" s="528">
        <f t="shared" si="878"/>
        <v>0.00396825396825397</v>
      </c>
      <c r="P1567" s="529">
        <f t="shared" si="879"/>
        <v>21.7777551020408</v>
      </c>
      <c r="Q1567" s="24">
        <f t="shared" si="880"/>
        <v>49</v>
      </c>
      <c r="R1567" s="530">
        <f t="shared" si="881"/>
        <v>0.0648148148148148</v>
      </c>
    </row>
    <row r="1568" spans="1:18">
      <c r="A1568" s="524"/>
      <c r="B1568" s="540" t="s">
        <v>101</v>
      </c>
      <c r="C1568" s="551">
        <v>0</v>
      </c>
      <c r="D1568" s="551">
        <v>0</v>
      </c>
      <c r="E1568" s="551">
        <v>0</v>
      </c>
      <c r="F1568" s="551">
        <v>0</v>
      </c>
      <c r="G1568" s="551">
        <v>0</v>
      </c>
      <c r="H1568" s="551">
        <v>0</v>
      </c>
      <c r="I1568" s="551">
        <v>0</v>
      </c>
      <c r="J1568" s="551">
        <v>0</v>
      </c>
      <c r="K1568" s="527">
        <f t="shared" si="874"/>
        <v>0</v>
      </c>
      <c r="L1568" s="528">
        <f t="shared" si="875"/>
        <v>0</v>
      </c>
      <c r="M1568" s="528">
        <f t="shared" si="876"/>
        <v>0</v>
      </c>
      <c r="N1568" s="528">
        <f t="shared" si="877"/>
        <v>0</v>
      </c>
      <c r="O1568" s="528">
        <f t="shared" si="878"/>
        <v>0</v>
      </c>
      <c r="P1568" s="529">
        <f t="shared" si="879"/>
        <v>0</v>
      </c>
      <c r="Q1568" s="24">
        <f t="shared" si="880"/>
        <v>0</v>
      </c>
      <c r="R1568" s="530">
        <f t="shared" si="881"/>
        <v>0</v>
      </c>
    </row>
    <row r="1569" spans="1:18">
      <c r="A1569" s="524"/>
      <c r="B1569" s="531" t="s">
        <v>96</v>
      </c>
      <c r="C1569" s="533">
        <f t="shared" ref="C1569:J1569" si="885">SUM(C1565:C1568)</f>
        <v>2239.44</v>
      </c>
      <c r="D1569" s="533">
        <f t="shared" si="885"/>
        <v>80921</v>
      </c>
      <c r="E1569" s="533">
        <f t="shared" si="885"/>
        <v>1436</v>
      </c>
      <c r="F1569" s="533">
        <f t="shared" si="885"/>
        <v>3</v>
      </c>
      <c r="G1569" s="533">
        <f t="shared" si="885"/>
        <v>50586</v>
      </c>
      <c r="H1569" s="533">
        <f t="shared" si="885"/>
        <v>36</v>
      </c>
      <c r="I1569" s="533">
        <f t="shared" si="885"/>
        <v>20</v>
      </c>
      <c r="J1569" s="533">
        <f t="shared" si="885"/>
        <v>8</v>
      </c>
      <c r="K1569" s="534">
        <f t="shared" si="874"/>
        <v>0.017745702598831</v>
      </c>
      <c r="L1569" s="535">
        <f t="shared" si="875"/>
        <v>1.55949860724234</v>
      </c>
      <c r="M1569" s="535">
        <f t="shared" si="876"/>
        <v>27.6743984874136</v>
      </c>
      <c r="N1569" s="535">
        <f t="shared" si="877"/>
        <v>22.588682885007</v>
      </c>
      <c r="O1569" s="535">
        <f t="shared" si="878"/>
        <v>0.0020891364902507</v>
      </c>
      <c r="P1569" s="536">
        <f t="shared" si="879"/>
        <v>39.99</v>
      </c>
      <c r="Q1569" s="531">
        <f t="shared" si="880"/>
        <v>56</v>
      </c>
      <c r="R1569" s="537">
        <f t="shared" si="881"/>
        <v>0.0389972144846797</v>
      </c>
    </row>
    <row r="1570" spans="1:18">
      <c r="A1570" s="524">
        <v>45764</v>
      </c>
      <c r="B1570" s="540" t="s">
        <v>98</v>
      </c>
      <c r="C1570" s="551">
        <v>973.28</v>
      </c>
      <c r="D1570" s="553">
        <v>14805</v>
      </c>
      <c r="E1570" s="551">
        <v>414</v>
      </c>
      <c r="F1570" s="551">
        <v>4</v>
      </c>
      <c r="G1570" s="551">
        <v>76317</v>
      </c>
      <c r="H1570" s="551">
        <v>16</v>
      </c>
      <c r="I1570" s="551">
        <v>4</v>
      </c>
      <c r="J1570" s="551">
        <v>3</v>
      </c>
      <c r="K1570" s="527">
        <f t="shared" si="874"/>
        <v>0.0279635258358663</v>
      </c>
      <c r="L1570" s="528">
        <f t="shared" si="875"/>
        <v>2.35091787439614</v>
      </c>
      <c r="M1570" s="528">
        <f t="shared" si="876"/>
        <v>65.7399527186761</v>
      </c>
      <c r="N1570" s="528">
        <f t="shared" si="877"/>
        <v>78.4121732697682</v>
      </c>
      <c r="O1570" s="528">
        <f t="shared" si="878"/>
        <v>0.00966183574879227</v>
      </c>
      <c r="P1570" s="529">
        <f t="shared" si="879"/>
        <v>48.664</v>
      </c>
      <c r="Q1570" s="24">
        <f t="shared" si="880"/>
        <v>20</v>
      </c>
      <c r="R1570" s="530">
        <f t="shared" si="881"/>
        <v>0.0483091787439614</v>
      </c>
    </row>
    <row r="1571" spans="1:18">
      <c r="A1571" s="524"/>
      <c r="B1571" s="540" t="s">
        <v>99</v>
      </c>
      <c r="C1571" s="551">
        <v>600</v>
      </c>
      <c r="D1571" s="551">
        <v>5791</v>
      </c>
      <c r="E1571" s="551">
        <v>512</v>
      </c>
      <c r="F1571" s="551">
        <v>0</v>
      </c>
      <c r="G1571" s="551">
        <v>0</v>
      </c>
      <c r="H1571" s="551">
        <v>4</v>
      </c>
      <c r="I1571" s="551">
        <v>0</v>
      </c>
      <c r="J1571" s="551">
        <v>3</v>
      </c>
      <c r="K1571" s="527">
        <f t="shared" si="874"/>
        <v>0.088413054740114</v>
      </c>
      <c r="L1571" s="528">
        <f t="shared" si="875"/>
        <v>1.171875</v>
      </c>
      <c r="M1571" s="528">
        <f t="shared" si="876"/>
        <v>103.609048523571</v>
      </c>
      <c r="N1571" s="528">
        <f t="shared" si="877"/>
        <v>0</v>
      </c>
      <c r="O1571" s="528">
        <f t="shared" si="878"/>
        <v>0</v>
      </c>
      <c r="P1571" s="529">
        <f t="shared" si="879"/>
        <v>150</v>
      </c>
      <c r="Q1571" s="24">
        <f t="shared" si="880"/>
        <v>4</v>
      </c>
      <c r="R1571" s="530">
        <f t="shared" si="881"/>
        <v>0.0078125</v>
      </c>
    </row>
    <row r="1572" spans="1:18">
      <c r="A1572" s="524"/>
      <c r="B1572" s="540" t="s">
        <v>100</v>
      </c>
      <c r="C1572" s="552">
        <v>1270.12</v>
      </c>
      <c r="D1572" s="551">
        <v>181426</v>
      </c>
      <c r="E1572" s="551">
        <v>1108</v>
      </c>
      <c r="F1572" s="551">
        <v>0</v>
      </c>
      <c r="G1572" s="551">
        <v>0</v>
      </c>
      <c r="H1572" s="551">
        <v>34</v>
      </c>
      <c r="I1572" s="551">
        <v>15</v>
      </c>
      <c r="J1572" s="551">
        <v>4</v>
      </c>
      <c r="K1572" s="527">
        <f t="shared" si="874"/>
        <v>0.00610717317253315</v>
      </c>
      <c r="L1572" s="528">
        <f t="shared" si="875"/>
        <v>1.14631768953069</v>
      </c>
      <c r="M1572" s="528">
        <f t="shared" si="876"/>
        <v>7.00076064070199</v>
      </c>
      <c r="N1572" s="528">
        <f t="shared" si="877"/>
        <v>0</v>
      </c>
      <c r="O1572" s="528">
        <f t="shared" si="878"/>
        <v>0</v>
      </c>
      <c r="P1572" s="529">
        <f t="shared" si="879"/>
        <v>25.9208163265306</v>
      </c>
      <c r="Q1572" s="24">
        <f t="shared" si="880"/>
        <v>49</v>
      </c>
      <c r="R1572" s="530">
        <f t="shared" si="881"/>
        <v>0.0442238267148014</v>
      </c>
    </row>
    <row r="1573" spans="1:18">
      <c r="A1573" s="524"/>
      <c r="B1573" s="540" t="s">
        <v>101</v>
      </c>
      <c r="C1573" s="551">
        <v>0</v>
      </c>
      <c r="D1573" s="551">
        <v>0</v>
      </c>
      <c r="E1573" s="551">
        <v>0</v>
      </c>
      <c r="F1573" s="551">
        <v>0</v>
      </c>
      <c r="G1573" s="551">
        <v>0</v>
      </c>
      <c r="H1573" s="551">
        <v>0</v>
      </c>
      <c r="I1573" s="551">
        <v>0</v>
      </c>
      <c r="J1573" s="551">
        <v>0</v>
      </c>
      <c r="K1573" s="527">
        <f t="shared" si="874"/>
        <v>0</v>
      </c>
      <c r="L1573" s="528">
        <f t="shared" si="875"/>
        <v>0</v>
      </c>
      <c r="M1573" s="528">
        <f t="shared" si="876"/>
        <v>0</v>
      </c>
      <c r="N1573" s="528">
        <f t="shared" si="877"/>
        <v>0</v>
      </c>
      <c r="O1573" s="528">
        <f t="shared" si="878"/>
        <v>0</v>
      </c>
      <c r="P1573" s="529">
        <f t="shared" si="879"/>
        <v>0</v>
      </c>
      <c r="Q1573" s="24">
        <f t="shared" si="880"/>
        <v>0</v>
      </c>
      <c r="R1573" s="530">
        <f t="shared" si="881"/>
        <v>0</v>
      </c>
    </row>
    <row r="1574" spans="1:18">
      <c r="A1574" s="524"/>
      <c r="B1574" s="531" t="s">
        <v>96</v>
      </c>
      <c r="C1574" s="533">
        <f t="shared" ref="C1574:J1574" si="886">SUM(C1570:C1573)</f>
        <v>2843.4</v>
      </c>
      <c r="D1574" s="533">
        <f t="shared" si="886"/>
        <v>202022</v>
      </c>
      <c r="E1574" s="533">
        <f t="shared" si="886"/>
        <v>2034</v>
      </c>
      <c r="F1574" s="533">
        <f t="shared" si="886"/>
        <v>4</v>
      </c>
      <c r="G1574" s="533">
        <f t="shared" si="886"/>
        <v>76317</v>
      </c>
      <c r="H1574" s="533">
        <f t="shared" si="886"/>
        <v>54</v>
      </c>
      <c r="I1574" s="533">
        <f t="shared" si="886"/>
        <v>19</v>
      </c>
      <c r="J1574" s="533">
        <f t="shared" si="886"/>
        <v>10</v>
      </c>
      <c r="K1574" s="534">
        <f t="shared" si="874"/>
        <v>0.0100682103929275</v>
      </c>
      <c r="L1574" s="535">
        <f t="shared" si="875"/>
        <v>1.39793510324484</v>
      </c>
      <c r="M1574" s="535">
        <f t="shared" si="876"/>
        <v>14.0747047351279</v>
      </c>
      <c r="N1574" s="535">
        <f t="shared" si="877"/>
        <v>26.8400506435957</v>
      </c>
      <c r="O1574" s="535">
        <f t="shared" si="878"/>
        <v>0.00196656833824975</v>
      </c>
      <c r="P1574" s="536">
        <f t="shared" si="879"/>
        <v>38.9506849315068</v>
      </c>
      <c r="Q1574" s="531">
        <f t="shared" si="880"/>
        <v>73</v>
      </c>
      <c r="R1574" s="537">
        <f t="shared" si="881"/>
        <v>0.035889872173058</v>
      </c>
    </row>
    <row r="1575" spans="1:18">
      <c r="A1575" s="524">
        <v>45765</v>
      </c>
      <c r="B1575" s="540" t="s">
        <v>98</v>
      </c>
      <c r="C1575" s="551">
        <v>899.48</v>
      </c>
      <c r="D1575" s="553">
        <v>21023</v>
      </c>
      <c r="E1575" s="551">
        <v>474</v>
      </c>
      <c r="F1575" s="551">
        <v>0</v>
      </c>
      <c r="G1575" s="551">
        <v>0</v>
      </c>
      <c r="H1575" s="551">
        <v>10</v>
      </c>
      <c r="I1575" s="551">
        <v>1</v>
      </c>
      <c r="J1575" s="551">
        <v>3</v>
      </c>
      <c r="K1575" s="527">
        <f t="shared" si="874"/>
        <v>0.0225467345288494</v>
      </c>
      <c r="L1575" s="528">
        <f t="shared" si="875"/>
        <v>1.89763713080169</v>
      </c>
      <c r="M1575" s="528">
        <f t="shared" si="876"/>
        <v>42.785520620273</v>
      </c>
      <c r="N1575" s="528">
        <f t="shared" si="877"/>
        <v>0</v>
      </c>
      <c r="O1575" s="528">
        <f t="shared" si="878"/>
        <v>0</v>
      </c>
      <c r="P1575" s="529">
        <f t="shared" si="879"/>
        <v>81.7709090909091</v>
      </c>
      <c r="Q1575" s="24">
        <f t="shared" si="880"/>
        <v>11</v>
      </c>
      <c r="R1575" s="530">
        <f t="shared" si="881"/>
        <v>0.0232067510548523</v>
      </c>
    </row>
    <row r="1576" spans="1:18">
      <c r="A1576" s="524"/>
      <c r="B1576" s="540" t="s">
        <v>99</v>
      </c>
      <c r="C1576" s="551">
        <v>600</v>
      </c>
      <c r="D1576" s="551">
        <v>5097</v>
      </c>
      <c r="E1576" s="551">
        <v>362</v>
      </c>
      <c r="F1576" s="551">
        <v>2</v>
      </c>
      <c r="G1576" s="551">
        <v>35748</v>
      </c>
      <c r="H1576" s="551">
        <v>2</v>
      </c>
      <c r="I1576" s="551">
        <v>0</v>
      </c>
      <c r="J1576" s="551">
        <v>0</v>
      </c>
      <c r="K1576" s="527">
        <f t="shared" si="874"/>
        <v>0.071022169903865</v>
      </c>
      <c r="L1576" s="528">
        <f t="shared" si="875"/>
        <v>1.65745856353591</v>
      </c>
      <c r="M1576" s="528">
        <f t="shared" si="876"/>
        <v>117.716303708064</v>
      </c>
      <c r="N1576" s="528">
        <f t="shared" si="877"/>
        <v>59.58</v>
      </c>
      <c r="O1576" s="528">
        <f t="shared" si="878"/>
        <v>0.00552486187845304</v>
      </c>
      <c r="P1576" s="529">
        <f t="shared" si="879"/>
        <v>300</v>
      </c>
      <c r="Q1576" s="24">
        <f t="shared" si="880"/>
        <v>2</v>
      </c>
      <c r="R1576" s="530">
        <f t="shared" si="881"/>
        <v>0.00552486187845304</v>
      </c>
    </row>
    <row r="1577" spans="1:18">
      <c r="A1577" s="524"/>
      <c r="B1577" s="540" t="s">
        <v>100</v>
      </c>
      <c r="C1577" s="552">
        <v>1261.12</v>
      </c>
      <c r="D1577" s="551">
        <v>128402</v>
      </c>
      <c r="E1577" s="551">
        <v>906</v>
      </c>
      <c r="F1577" s="551">
        <v>1</v>
      </c>
      <c r="G1577" s="551">
        <v>6576</v>
      </c>
      <c r="H1577" s="551">
        <v>20</v>
      </c>
      <c r="I1577" s="551">
        <v>17</v>
      </c>
      <c r="J1577" s="551">
        <v>2</v>
      </c>
      <c r="K1577" s="527">
        <f t="shared" si="874"/>
        <v>0.00705596486036043</v>
      </c>
      <c r="L1577" s="528">
        <f t="shared" si="875"/>
        <v>1.3919646799117</v>
      </c>
      <c r="M1577" s="528">
        <f t="shared" si="876"/>
        <v>9.82165386831981</v>
      </c>
      <c r="N1577" s="528">
        <f t="shared" si="877"/>
        <v>5.21441258563816</v>
      </c>
      <c r="O1577" s="528">
        <f t="shared" si="878"/>
        <v>0.0011037527593819</v>
      </c>
      <c r="P1577" s="529">
        <f t="shared" si="879"/>
        <v>34.0843243243243</v>
      </c>
      <c r="Q1577" s="24">
        <f t="shared" si="880"/>
        <v>37</v>
      </c>
      <c r="R1577" s="530">
        <f t="shared" si="881"/>
        <v>0.0408388520971302</v>
      </c>
    </row>
    <row r="1578" spans="1:18">
      <c r="A1578" s="524"/>
      <c r="B1578" s="540" t="s">
        <v>101</v>
      </c>
      <c r="C1578" s="551">
        <v>0</v>
      </c>
      <c r="D1578" s="551">
        <v>0</v>
      </c>
      <c r="E1578" s="551">
        <v>0</v>
      </c>
      <c r="F1578" s="551">
        <v>0</v>
      </c>
      <c r="G1578" s="551">
        <v>0</v>
      </c>
      <c r="H1578" s="551">
        <v>0</v>
      </c>
      <c r="I1578" s="551">
        <v>0</v>
      </c>
      <c r="J1578" s="551">
        <v>0</v>
      </c>
      <c r="K1578" s="527">
        <f t="shared" si="874"/>
        <v>0</v>
      </c>
      <c r="L1578" s="528">
        <f t="shared" si="875"/>
        <v>0</v>
      </c>
      <c r="M1578" s="528">
        <f t="shared" si="876"/>
        <v>0</v>
      </c>
      <c r="N1578" s="528">
        <f t="shared" si="877"/>
        <v>0</v>
      </c>
      <c r="O1578" s="528">
        <f t="shared" si="878"/>
        <v>0</v>
      </c>
      <c r="P1578" s="529">
        <f t="shared" si="879"/>
        <v>0</v>
      </c>
      <c r="Q1578" s="24">
        <f t="shared" si="880"/>
        <v>0</v>
      </c>
      <c r="R1578" s="530">
        <f t="shared" si="881"/>
        <v>0</v>
      </c>
    </row>
    <row r="1579" spans="1:18">
      <c r="A1579" s="524"/>
      <c r="B1579" s="531" t="s">
        <v>96</v>
      </c>
      <c r="C1579" s="533">
        <f t="shared" ref="C1579:J1579" si="887">SUM(C1575:C1578)</f>
        <v>2760.6</v>
      </c>
      <c r="D1579" s="533">
        <f t="shared" si="887"/>
        <v>154522</v>
      </c>
      <c r="E1579" s="533">
        <f t="shared" si="887"/>
        <v>1742</v>
      </c>
      <c r="F1579" s="533">
        <f t="shared" si="887"/>
        <v>3</v>
      </c>
      <c r="G1579" s="533">
        <f t="shared" si="887"/>
        <v>42324</v>
      </c>
      <c r="H1579" s="533">
        <f t="shared" si="887"/>
        <v>32</v>
      </c>
      <c r="I1579" s="533">
        <f t="shared" si="887"/>
        <v>18</v>
      </c>
      <c r="J1579" s="533">
        <f t="shared" si="887"/>
        <v>5</v>
      </c>
      <c r="K1579" s="534">
        <f t="shared" si="874"/>
        <v>0.0112734756215943</v>
      </c>
      <c r="L1579" s="535">
        <f t="shared" si="875"/>
        <v>1.58473019517796</v>
      </c>
      <c r="M1579" s="535">
        <f t="shared" si="876"/>
        <v>17.8654172221431</v>
      </c>
      <c r="N1579" s="535">
        <f t="shared" si="877"/>
        <v>15.3314496848511</v>
      </c>
      <c r="O1579" s="535">
        <f t="shared" si="878"/>
        <v>0.00172215843857635</v>
      </c>
      <c r="P1579" s="536">
        <f t="shared" si="879"/>
        <v>55.212</v>
      </c>
      <c r="Q1579" s="531">
        <f t="shared" si="880"/>
        <v>50</v>
      </c>
      <c r="R1579" s="537">
        <f t="shared" si="881"/>
        <v>0.0287026406429392</v>
      </c>
    </row>
    <row r="1580" spans="1:18">
      <c r="A1580" s="524">
        <v>45766</v>
      </c>
      <c r="B1580" s="540" t="s">
        <v>98</v>
      </c>
      <c r="C1580" s="551">
        <v>890.81</v>
      </c>
      <c r="D1580" s="553">
        <v>17997</v>
      </c>
      <c r="E1580" s="551">
        <v>449</v>
      </c>
      <c r="F1580" s="551">
        <v>0</v>
      </c>
      <c r="G1580" s="551">
        <v>0</v>
      </c>
      <c r="H1580" s="551">
        <v>19</v>
      </c>
      <c r="I1580" s="551">
        <v>2</v>
      </c>
      <c r="J1580" s="551">
        <v>1</v>
      </c>
      <c r="K1580" s="527">
        <f t="shared" si="874"/>
        <v>0.0249486025448686</v>
      </c>
      <c r="L1580" s="528">
        <f t="shared" si="875"/>
        <v>1.98398663697105</v>
      </c>
      <c r="M1580" s="528">
        <f t="shared" si="876"/>
        <v>49.4976940601211</v>
      </c>
      <c r="N1580" s="528">
        <f t="shared" si="877"/>
        <v>0</v>
      </c>
      <c r="O1580" s="528">
        <f t="shared" si="878"/>
        <v>0</v>
      </c>
      <c r="P1580" s="529">
        <f t="shared" si="879"/>
        <v>42.4195238095238</v>
      </c>
      <c r="Q1580" s="24">
        <f t="shared" si="880"/>
        <v>21</v>
      </c>
      <c r="R1580" s="530">
        <f t="shared" si="881"/>
        <v>0.0467706013363029</v>
      </c>
    </row>
    <row r="1581" spans="1:18">
      <c r="A1581" s="524"/>
      <c r="B1581" s="540" t="s">
        <v>99</v>
      </c>
      <c r="C1581" s="551">
        <v>600</v>
      </c>
      <c r="D1581" s="551">
        <v>7297</v>
      </c>
      <c r="E1581" s="551">
        <v>419</v>
      </c>
      <c r="F1581" s="551">
        <v>0</v>
      </c>
      <c r="G1581" s="551">
        <v>0</v>
      </c>
      <c r="H1581" s="551">
        <v>5</v>
      </c>
      <c r="I1581" s="551">
        <v>0</v>
      </c>
      <c r="J1581" s="551">
        <v>1</v>
      </c>
      <c r="K1581" s="527">
        <f t="shared" si="874"/>
        <v>0.0574208578868028</v>
      </c>
      <c r="L1581" s="528">
        <f t="shared" si="875"/>
        <v>1.43198090692124</v>
      </c>
      <c r="M1581" s="528">
        <f t="shared" si="876"/>
        <v>82.2255721529396</v>
      </c>
      <c r="N1581" s="528">
        <f t="shared" si="877"/>
        <v>0</v>
      </c>
      <c r="O1581" s="528">
        <f t="shared" si="878"/>
        <v>0</v>
      </c>
      <c r="P1581" s="529">
        <f t="shared" si="879"/>
        <v>120</v>
      </c>
      <c r="Q1581" s="24">
        <f t="shared" si="880"/>
        <v>5</v>
      </c>
      <c r="R1581" s="530">
        <f t="shared" si="881"/>
        <v>0.0119331742243437</v>
      </c>
    </row>
    <row r="1582" spans="1:18">
      <c r="A1582" s="524"/>
      <c r="B1582" s="540" t="s">
        <v>100</v>
      </c>
      <c r="C1582" s="552">
        <v>1267.88</v>
      </c>
      <c r="D1582" s="553">
        <v>15496</v>
      </c>
      <c r="E1582" s="551">
        <v>1017</v>
      </c>
      <c r="F1582" s="551">
        <v>2</v>
      </c>
      <c r="G1582" s="551">
        <v>21712</v>
      </c>
      <c r="H1582" s="551">
        <v>34</v>
      </c>
      <c r="I1582" s="551">
        <v>30</v>
      </c>
      <c r="J1582" s="551">
        <v>4</v>
      </c>
      <c r="K1582" s="527">
        <f t="shared" si="874"/>
        <v>0.065629839958699</v>
      </c>
      <c r="L1582" s="528">
        <f t="shared" si="875"/>
        <v>1.24668633235005</v>
      </c>
      <c r="M1582" s="528">
        <f t="shared" si="876"/>
        <v>81.8198244708312</v>
      </c>
      <c r="N1582" s="528">
        <f t="shared" si="877"/>
        <v>17.124649020412</v>
      </c>
      <c r="O1582" s="528">
        <f t="shared" si="878"/>
        <v>0.00196656833824975</v>
      </c>
      <c r="P1582" s="529">
        <f t="shared" si="879"/>
        <v>19.810625</v>
      </c>
      <c r="Q1582" s="24">
        <f t="shared" si="880"/>
        <v>64</v>
      </c>
      <c r="R1582" s="530">
        <f t="shared" si="881"/>
        <v>0.0629301868239921</v>
      </c>
    </row>
    <row r="1583" spans="1:18">
      <c r="A1583" s="524"/>
      <c r="B1583" s="540" t="s">
        <v>101</v>
      </c>
      <c r="C1583" s="551">
        <v>0</v>
      </c>
      <c r="D1583" s="551">
        <v>0</v>
      </c>
      <c r="E1583" s="551">
        <v>0</v>
      </c>
      <c r="F1583" s="551">
        <v>0</v>
      </c>
      <c r="G1583" s="551">
        <v>0</v>
      </c>
      <c r="H1583" s="551">
        <v>0</v>
      </c>
      <c r="I1583" s="551">
        <v>0</v>
      </c>
      <c r="J1583" s="551">
        <v>0</v>
      </c>
      <c r="K1583" s="527">
        <f t="shared" si="874"/>
        <v>0</v>
      </c>
      <c r="L1583" s="528">
        <f t="shared" si="875"/>
        <v>0</v>
      </c>
      <c r="M1583" s="528">
        <f t="shared" si="876"/>
        <v>0</v>
      </c>
      <c r="N1583" s="528">
        <f t="shared" si="877"/>
        <v>0</v>
      </c>
      <c r="O1583" s="528">
        <f t="shared" si="878"/>
        <v>0</v>
      </c>
      <c r="P1583" s="529">
        <f t="shared" si="879"/>
        <v>0</v>
      </c>
      <c r="Q1583" s="24">
        <f t="shared" si="880"/>
        <v>0</v>
      </c>
      <c r="R1583" s="530">
        <f t="shared" si="881"/>
        <v>0</v>
      </c>
    </row>
    <row r="1584" spans="1:18">
      <c r="A1584" s="524"/>
      <c r="B1584" s="531" t="s">
        <v>96</v>
      </c>
      <c r="C1584" s="533">
        <f t="shared" ref="C1584:J1584" si="888">SUM(C1580:C1583)</f>
        <v>2758.69</v>
      </c>
      <c r="D1584" s="533">
        <f t="shared" si="888"/>
        <v>40790</v>
      </c>
      <c r="E1584" s="533">
        <f t="shared" si="888"/>
        <v>1885</v>
      </c>
      <c r="F1584" s="533">
        <f t="shared" si="888"/>
        <v>2</v>
      </c>
      <c r="G1584" s="533">
        <f t="shared" si="888"/>
        <v>21712</v>
      </c>
      <c r="H1584" s="533">
        <f t="shared" si="888"/>
        <v>58</v>
      </c>
      <c r="I1584" s="533">
        <f t="shared" si="888"/>
        <v>32</v>
      </c>
      <c r="J1584" s="533">
        <f t="shared" si="888"/>
        <v>6</v>
      </c>
      <c r="K1584" s="534">
        <f t="shared" si="874"/>
        <v>0.046212306937975</v>
      </c>
      <c r="L1584" s="535">
        <f t="shared" si="875"/>
        <v>1.46349602122016</v>
      </c>
      <c r="M1584" s="535">
        <f t="shared" si="876"/>
        <v>67.6315273351312</v>
      </c>
      <c r="N1584" s="535">
        <f t="shared" si="877"/>
        <v>7.87040225614331</v>
      </c>
      <c r="O1584" s="535">
        <f t="shared" si="878"/>
        <v>0.00106100795755968</v>
      </c>
      <c r="P1584" s="536">
        <f t="shared" si="879"/>
        <v>30.6521111111111</v>
      </c>
      <c r="Q1584" s="531">
        <f t="shared" si="880"/>
        <v>90</v>
      </c>
      <c r="R1584" s="537">
        <f t="shared" si="881"/>
        <v>0.0477453580901857</v>
      </c>
    </row>
    <row r="1585" spans="1:18">
      <c r="A1585" s="524">
        <v>45767</v>
      </c>
      <c r="B1585" s="540" t="s">
        <v>98</v>
      </c>
      <c r="C1585" s="551">
        <v>600</v>
      </c>
      <c r="D1585" s="553">
        <v>14862</v>
      </c>
      <c r="E1585" s="551">
        <v>426</v>
      </c>
      <c r="F1585" s="551">
        <v>0</v>
      </c>
      <c r="G1585" s="551">
        <v>0</v>
      </c>
      <c r="H1585" s="551">
        <v>12</v>
      </c>
      <c r="I1585" s="551">
        <v>0</v>
      </c>
      <c r="J1585" s="551">
        <v>3</v>
      </c>
      <c r="K1585" s="527">
        <f t="shared" ref="K1585:K1648" si="889">IF(E1585=0,0,E1585/D1585)</f>
        <v>0.028663706096084</v>
      </c>
      <c r="L1585" s="528">
        <f t="shared" ref="L1585:L1648" si="890">IF(C1585=0,0,C1585/E1585)</f>
        <v>1.40845070422535</v>
      </c>
      <c r="M1585" s="528">
        <f t="shared" ref="M1585:M1648" si="891">IF(D1585=0,0,C1585/D1585*1000)</f>
        <v>40.371417036738</v>
      </c>
      <c r="N1585" s="528">
        <f t="shared" ref="N1585:N1648" si="892">IF(G1585=0,0,G1585/C1585)</f>
        <v>0</v>
      </c>
      <c r="O1585" s="528">
        <f t="shared" ref="O1585:O1648" si="893">IF(F1585=0,0,F1585/E1585)</f>
        <v>0</v>
      </c>
      <c r="P1585" s="529">
        <f t="shared" ref="P1585:P1648" si="894">IF(H1585+I1585=0,0,C1585/(H1585+I1585))</f>
        <v>50</v>
      </c>
      <c r="Q1585" s="24">
        <f t="shared" ref="Q1585:Q1648" si="895">H1585+I1585</f>
        <v>12</v>
      </c>
      <c r="R1585" s="530">
        <f t="shared" ref="R1585:R1648" si="896">IF(Q1585=0,0,Q1585/E1585)</f>
        <v>0.028169014084507</v>
      </c>
    </row>
    <row r="1586" spans="1:18">
      <c r="A1586" s="524"/>
      <c r="B1586" s="540" t="s">
        <v>99</v>
      </c>
      <c r="C1586" s="551">
        <v>600</v>
      </c>
      <c r="D1586" s="551">
        <v>4846</v>
      </c>
      <c r="E1586" s="551">
        <v>414</v>
      </c>
      <c r="F1586" s="551">
        <v>0</v>
      </c>
      <c r="G1586" s="551">
        <v>0</v>
      </c>
      <c r="H1586" s="551">
        <v>9</v>
      </c>
      <c r="I1586" s="551">
        <v>0</v>
      </c>
      <c r="J1586" s="551">
        <v>0</v>
      </c>
      <c r="K1586" s="527">
        <f t="shared" si="889"/>
        <v>0.0854312835328106</v>
      </c>
      <c r="L1586" s="528">
        <f t="shared" si="890"/>
        <v>1.44927536231884</v>
      </c>
      <c r="M1586" s="528">
        <f t="shared" si="891"/>
        <v>123.813454395378</v>
      </c>
      <c r="N1586" s="528">
        <f t="shared" si="892"/>
        <v>0</v>
      </c>
      <c r="O1586" s="528">
        <f t="shared" si="893"/>
        <v>0</v>
      </c>
      <c r="P1586" s="529">
        <f t="shared" si="894"/>
        <v>66.6666666666667</v>
      </c>
      <c r="Q1586" s="24">
        <f t="shared" si="895"/>
        <v>9</v>
      </c>
      <c r="R1586" s="530">
        <f t="shared" si="896"/>
        <v>0.0217391304347826</v>
      </c>
    </row>
    <row r="1587" spans="1:18">
      <c r="A1587" s="524"/>
      <c r="B1587" s="540" t="s">
        <v>100</v>
      </c>
      <c r="C1587" s="552">
        <v>784.17</v>
      </c>
      <c r="D1587" s="553">
        <v>73438</v>
      </c>
      <c r="E1587" s="551">
        <v>599</v>
      </c>
      <c r="F1587" s="551">
        <v>1</v>
      </c>
      <c r="G1587" s="551">
        <v>14032</v>
      </c>
      <c r="H1587" s="551">
        <v>20</v>
      </c>
      <c r="I1587" s="551">
        <v>13</v>
      </c>
      <c r="J1587" s="551">
        <v>2</v>
      </c>
      <c r="K1587" s="527">
        <f t="shared" si="889"/>
        <v>0.00815654021079005</v>
      </c>
      <c r="L1587" s="528">
        <f t="shared" si="890"/>
        <v>1.30913188647746</v>
      </c>
      <c r="M1587" s="528">
        <f t="shared" si="891"/>
        <v>10.6779868732809</v>
      </c>
      <c r="N1587" s="528">
        <f t="shared" si="892"/>
        <v>17.8940790899932</v>
      </c>
      <c r="O1587" s="528">
        <f t="shared" si="893"/>
        <v>0.00166944908180301</v>
      </c>
      <c r="P1587" s="529">
        <f t="shared" si="894"/>
        <v>23.7627272727273</v>
      </c>
      <c r="Q1587" s="24">
        <f t="shared" si="895"/>
        <v>33</v>
      </c>
      <c r="R1587" s="530">
        <f t="shared" si="896"/>
        <v>0.0550918196994992</v>
      </c>
    </row>
    <row r="1588" spans="1:18">
      <c r="A1588" s="524"/>
      <c r="B1588" s="540" t="s">
        <v>101</v>
      </c>
      <c r="C1588" s="551">
        <v>0</v>
      </c>
      <c r="D1588" s="551">
        <v>0</v>
      </c>
      <c r="E1588" s="551">
        <v>0</v>
      </c>
      <c r="F1588" s="551">
        <v>0</v>
      </c>
      <c r="G1588" s="551">
        <v>0</v>
      </c>
      <c r="H1588" s="551">
        <v>0</v>
      </c>
      <c r="I1588" s="551">
        <v>0</v>
      </c>
      <c r="J1588" s="551">
        <v>0</v>
      </c>
      <c r="K1588" s="527">
        <f t="shared" si="889"/>
        <v>0</v>
      </c>
      <c r="L1588" s="528">
        <f t="shared" si="890"/>
        <v>0</v>
      </c>
      <c r="M1588" s="528">
        <f t="shared" si="891"/>
        <v>0</v>
      </c>
      <c r="N1588" s="528">
        <f t="shared" si="892"/>
        <v>0</v>
      </c>
      <c r="O1588" s="528">
        <f t="shared" si="893"/>
        <v>0</v>
      </c>
      <c r="P1588" s="529">
        <f t="shared" si="894"/>
        <v>0</v>
      </c>
      <c r="Q1588" s="24">
        <f t="shared" si="895"/>
        <v>0</v>
      </c>
      <c r="R1588" s="530">
        <f t="shared" si="896"/>
        <v>0</v>
      </c>
    </row>
    <row r="1589" spans="1:18">
      <c r="A1589" s="524"/>
      <c r="B1589" s="531" t="s">
        <v>96</v>
      </c>
      <c r="C1589" s="533">
        <f t="shared" ref="C1589:J1589" si="897">SUM(C1585:C1588)</f>
        <v>1984.17</v>
      </c>
      <c r="D1589" s="533">
        <f t="shared" si="897"/>
        <v>93146</v>
      </c>
      <c r="E1589" s="533">
        <f t="shared" si="897"/>
        <v>1439</v>
      </c>
      <c r="F1589" s="533">
        <f t="shared" si="897"/>
        <v>1</v>
      </c>
      <c r="G1589" s="533">
        <f t="shared" si="897"/>
        <v>14032</v>
      </c>
      <c r="H1589" s="533">
        <f t="shared" si="897"/>
        <v>41</v>
      </c>
      <c r="I1589" s="533">
        <f t="shared" si="897"/>
        <v>13</v>
      </c>
      <c r="J1589" s="533">
        <f t="shared" si="897"/>
        <v>5</v>
      </c>
      <c r="K1589" s="534">
        <f t="shared" si="889"/>
        <v>0.0154488652223391</v>
      </c>
      <c r="L1589" s="535">
        <f t="shared" si="890"/>
        <v>1.37885337039611</v>
      </c>
      <c r="M1589" s="535">
        <f t="shared" si="891"/>
        <v>21.3017198806175</v>
      </c>
      <c r="N1589" s="535">
        <f t="shared" si="892"/>
        <v>7.07197467958895</v>
      </c>
      <c r="O1589" s="535">
        <f t="shared" si="893"/>
        <v>0.000694927032661571</v>
      </c>
      <c r="P1589" s="536">
        <f t="shared" si="894"/>
        <v>36.7438888888889</v>
      </c>
      <c r="Q1589" s="531">
        <f t="shared" si="895"/>
        <v>54</v>
      </c>
      <c r="R1589" s="537">
        <f t="shared" si="896"/>
        <v>0.0375260597637248</v>
      </c>
    </row>
    <row r="1590" spans="1:18">
      <c r="A1590" s="524">
        <v>45768</v>
      </c>
      <c r="B1590" s="540" t="s">
        <v>98</v>
      </c>
      <c r="C1590" s="551">
        <v>499.74</v>
      </c>
      <c r="D1590" s="553">
        <v>16321</v>
      </c>
      <c r="E1590" s="551">
        <v>346</v>
      </c>
      <c r="F1590" s="551">
        <v>0</v>
      </c>
      <c r="G1590" s="551">
        <v>0</v>
      </c>
      <c r="H1590" s="551">
        <v>18</v>
      </c>
      <c r="I1590" s="551">
        <v>2</v>
      </c>
      <c r="J1590" s="551">
        <v>1</v>
      </c>
      <c r="K1590" s="527">
        <f t="shared" si="889"/>
        <v>0.0211996813920716</v>
      </c>
      <c r="L1590" s="528">
        <f t="shared" si="890"/>
        <v>1.44433526011561</v>
      </c>
      <c r="M1590" s="528">
        <f t="shared" si="891"/>
        <v>30.6194473377857</v>
      </c>
      <c r="N1590" s="528">
        <f t="shared" si="892"/>
        <v>0</v>
      </c>
      <c r="O1590" s="528">
        <f t="shared" si="893"/>
        <v>0</v>
      </c>
      <c r="P1590" s="529">
        <f t="shared" si="894"/>
        <v>24.987</v>
      </c>
      <c r="Q1590" s="24">
        <f t="shared" si="895"/>
        <v>20</v>
      </c>
      <c r="R1590" s="530">
        <f t="shared" si="896"/>
        <v>0.0578034682080925</v>
      </c>
    </row>
    <row r="1591" spans="1:18">
      <c r="A1591" s="524"/>
      <c r="B1591" s="540" t="s">
        <v>99</v>
      </c>
      <c r="C1591" s="551">
        <v>600</v>
      </c>
      <c r="D1591" s="551">
        <v>9694</v>
      </c>
      <c r="E1591" s="551">
        <v>569</v>
      </c>
      <c r="F1591" s="551">
        <v>0</v>
      </c>
      <c r="G1591" s="551">
        <v>0</v>
      </c>
      <c r="H1591" s="551">
        <v>9</v>
      </c>
      <c r="I1591" s="551">
        <v>0</v>
      </c>
      <c r="J1591" s="551">
        <v>8</v>
      </c>
      <c r="K1591" s="527">
        <f t="shared" si="889"/>
        <v>0.0586961006808335</v>
      </c>
      <c r="L1591" s="528">
        <f t="shared" si="890"/>
        <v>1.05448154657293</v>
      </c>
      <c r="M1591" s="528">
        <f t="shared" si="891"/>
        <v>61.893955023726</v>
      </c>
      <c r="N1591" s="528">
        <f t="shared" si="892"/>
        <v>0</v>
      </c>
      <c r="O1591" s="528">
        <f t="shared" si="893"/>
        <v>0</v>
      </c>
      <c r="P1591" s="529">
        <f t="shared" si="894"/>
        <v>66.6666666666667</v>
      </c>
      <c r="Q1591" s="24">
        <f t="shared" si="895"/>
        <v>9</v>
      </c>
      <c r="R1591" s="530">
        <f t="shared" si="896"/>
        <v>0.015817223198594</v>
      </c>
    </row>
    <row r="1592" spans="1:18">
      <c r="A1592" s="524"/>
      <c r="B1592" s="540" t="s">
        <v>100</v>
      </c>
      <c r="C1592" s="552">
        <v>545.34</v>
      </c>
      <c r="D1592" s="553">
        <v>49758</v>
      </c>
      <c r="E1592" s="551">
        <v>452</v>
      </c>
      <c r="F1592" s="551">
        <v>0</v>
      </c>
      <c r="G1592" s="551">
        <v>0</v>
      </c>
      <c r="H1592" s="551">
        <v>9</v>
      </c>
      <c r="I1592" s="551">
        <v>4</v>
      </c>
      <c r="J1592" s="551">
        <v>1</v>
      </c>
      <c r="K1592" s="527">
        <f t="shared" si="889"/>
        <v>0.00908396639736324</v>
      </c>
      <c r="L1592" s="528">
        <f t="shared" si="890"/>
        <v>1.20650442477876</v>
      </c>
      <c r="M1592" s="528">
        <f t="shared" si="891"/>
        <v>10.9598456529603</v>
      </c>
      <c r="N1592" s="528">
        <f t="shared" si="892"/>
        <v>0</v>
      </c>
      <c r="O1592" s="528">
        <f t="shared" si="893"/>
        <v>0</v>
      </c>
      <c r="P1592" s="529">
        <f t="shared" si="894"/>
        <v>41.9492307692308</v>
      </c>
      <c r="Q1592" s="24">
        <f t="shared" si="895"/>
        <v>13</v>
      </c>
      <c r="R1592" s="530">
        <f t="shared" si="896"/>
        <v>0.0287610619469027</v>
      </c>
    </row>
    <row r="1593" spans="1:18">
      <c r="A1593" s="524"/>
      <c r="B1593" s="540" t="s">
        <v>101</v>
      </c>
      <c r="C1593" s="551">
        <v>0</v>
      </c>
      <c r="D1593" s="551">
        <v>0</v>
      </c>
      <c r="E1593" s="551">
        <v>0</v>
      </c>
      <c r="F1593" s="551">
        <v>0</v>
      </c>
      <c r="G1593" s="551">
        <v>0</v>
      </c>
      <c r="H1593" s="551">
        <v>0</v>
      </c>
      <c r="I1593" s="551">
        <v>0</v>
      </c>
      <c r="J1593" s="551">
        <v>0</v>
      </c>
      <c r="K1593" s="527">
        <f t="shared" si="889"/>
        <v>0</v>
      </c>
      <c r="L1593" s="528">
        <f t="shared" si="890"/>
        <v>0</v>
      </c>
      <c r="M1593" s="528">
        <f t="shared" si="891"/>
        <v>0</v>
      </c>
      <c r="N1593" s="528">
        <f t="shared" si="892"/>
        <v>0</v>
      </c>
      <c r="O1593" s="528">
        <f t="shared" si="893"/>
        <v>0</v>
      </c>
      <c r="P1593" s="529">
        <f t="shared" si="894"/>
        <v>0</v>
      </c>
      <c r="Q1593" s="24">
        <f t="shared" si="895"/>
        <v>0</v>
      </c>
      <c r="R1593" s="530">
        <f t="shared" si="896"/>
        <v>0</v>
      </c>
    </row>
    <row r="1594" spans="1:18">
      <c r="A1594" s="524"/>
      <c r="B1594" s="531" t="s">
        <v>96</v>
      </c>
      <c r="C1594" s="533">
        <f t="shared" ref="C1594:J1594" si="898">SUM(C1590:C1593)</f>
        <v>1645.08</v>
      </c>
      <c r="D1594" s="533">
        <f t="shared" si="898"/>
        <v>75773</v>
      </c>
      <c r="E1594" s="533">
        <f t="shared" si="898"/>
        <v>1367</v>
      </c>
      <c r="F1594" s="533">
        <f t="shared" si="898"/>
        <v>0</v>
      </c>
      <c r="G1594" s="533">
        <f t="shared" si="898"/>
        <v>0</v>
      </c>
      <c r="H1594" s="533">
        <f t="shared" si="898"/>
        <v>36</v>
      </c>
      <c r="I1594" s="533">
        <f t="shared" si="898"/>
        <v>6</v>
      </c>
      <c r="J1594" s="533">
        <f t="shared" si="898"/>
        <v>10</v>
      </c>
      <c r="K1594" s="534">
        <f t="shared" si="889"/>
        <v>0.0180407269080015</v>
      </c>
      <c r="L1594" s="535">
        <f t="shared" si="890"/>
        <v>1.20342355523043</v>
      </c>
      <c r="M1594" s="535">
        <f t="shared" si="891"/>
        <v>21.7106357145685</v>
      </c>
      <c r="N1594" s="535">
        <f t="shared" si="892"/>
        <v>0</v>
      </c>
      <c r="O1594" s="535">
        <f t="shared" si="893"/>
        <v>0</v>
      </c>
      <c r="P1594" s="536">
        <f t="shared" si="894"/>
        <v>39.1685714285714</v>
      </c>
      <c r="Q1594" s="531">
        <f t="shared" si="895"/>
        <v>42</v>
      </c>
      <c r="R1594" s="537">
        <f t="shared" si="896"/>
        <v>0.0307242136064375</v>
      </c>
    </row>
    <row r="1595" spans="1:18">
      <c r="A1595" s="524">
        <v>45769</v>
      </c>
      <c r="B1595" s="540" t="s">
        <v>98</v>
      </c>
      <c r="C1595" s="551">
        <v>499.68</v>
      </c>
      <c r="D1595" s="553">
        <v>12436</v>
      </c>
      <c r="E1595" s="551">
        <v>348</v>
      </c>
      <c r="F1595" s="551">
        <v>0</v>
      </c>
      <c r="G1595" s="551">
        <v>0</v>
      </c>
      <c r="H1595" s="551">
        <v>8</v>
      </c>
      <c r="I1595" s="551">
        <v>2</v>
      </c>
      <c r="J1595" s="551">
        <v>2</v>
      </c>
      <c r="K1595" s="527">
        <f t="shared" si="889"/>
        <v>0.0279832743647475</v>
      </c>
      <c r="L1595" s="528">
        <f t="shared" si="890"/>
        <v>1.43586206896552</v>
      </c>
      <c r="M1595" s="528">
        <f t="shared" si="891"/>
        <v>40.1801222257961</v>
      </c>
      <c r="N1595" s="528">
        <f t="shared" si="892"/>
        <v>0</v>
      </c>
      <c r="O1595" s="528">
        <f t="shared" si="893"/>
        <v>0</v>
      </c>
      <c r="P1595" s="529">
        <f t="shared" si="894"/>
        <v>49.968</v>
      </c>
      <c r="Q1595" s="24">
        <f t="shared" si="895"/>
        <v>10</v>
      </c>
      <c r="R1595" s="530">
        <f t="shared" si="896"/>
        <v>0.028735632183908</v>
      </c>
    </row>
    <row r="1596" spans="1:18">
      <c r="A1596" s="524"/>
      <c r="B1596" s="540" t="s">
        <v>99</v>
      </c>
      <c r="C1596" s="551">
        <v>600</v>
      </c>
      <c r="D1596" s="551">
        <v>5134</v>
      </c>
      <c r="E1596" s="551">
        <v>400</v>
      </c>
      <c r="F1596" s="551">
        <v>0</v>
      </c>
      <c r="G1596" s="551">
        <v>0</v>
      </c>
      <c r="H1596" s="551">
        <v>5</v>
      </c>
      <c r="I1596" s="551">
        <v>1</v>
      </c>
      <c r="J1596" s="551">
        <v>3</v>
      </c>
      <c r="K1596" s="527">
        <f t="shared" si="889"/>
        <v>0.0779119594857811</v>
      </c>
      <c r="L1596" s="528">
        <f t="shared" si="890"/>
        <v>1.5</v>
      </c>
      <c r="M1596" s="528">
        <f t="shared" si="891"/>
        <v>116.867939228672</v>
      </c>
      <c r="N1596" s="528">
        <f t="shared" si="892"/>
        <v>0</v>
      </c>
      <c r="O1596" s="528">
        <f t="shared" si="893"/>
        <v>0</v>
      </c>
      <c r="P1596" s="529">
        <f t="shared" si="894"/>
        <v>100</v>
      </c>
      <c r="Q1596" s="24">
        <f t="shared" si="895"/>
        <v>6</v>
      </c>
      <c r="R1596" s="530">
        <f t="shared" si="896"/>
        <v>0.015</v>
      </c>
    </row>
    <row r="1597" spans="1:18">
      <c r="A1597" s="524"/>
      <c r="B1597" s="540" t="s">
        <v>100</v>
      </c>
      <c r="C1597" s="552">
        <v>546.81</v>
      </c>
      <c r="D1597" s="553">
        <v>45969</v>
      </c>
      <c r="E1597" s="551">
        <v>424</v>
      </c>
      <c r="F1597" s="551">
        <v>4</v>
      </c>
      <c r="G1597" s="551">
        <v>52469</v>
      </c>
      <c r="H1597" s="551">
        <v>15</v>
      </c>
      <c r="I1597" s="551">
        <v>5</v>
      </c>
      <c r="J1597" s="551">
        <v>1</v>
      </c>
      <c r="K1597" s="527">
        <f t="shared" si="889"/>
        <v>0.00922360721355696</v>
      </c>
      <c r="L1597" s="528">
        <f t="shared" si="890"/>
        <v>1.28964622641509</v>
      </c>
      <c r="M1597" s="528">
        <f t="shared" si="891"/>
        <v>11.8951902368988</v>
      </c>
      <c r="N1597" s="528">
        <f t="shared" si="892"/>
        <v>95.9547191894808</v>
      </c>
      <c r="O1597" s="528">
        <f t="shared" si="893"/>
        <v>0.00943396226415094</v>
      </c>
      <c r="P1597" s="529">
        <f t="shared" si="894"/>
        <v>27.3405</v>
      </c>
      <c r="Q1597" s="24">
        <f t="shared" si="895"/>
        <v>20</v>
      </c>
      <c r="R1597" s="530">
        <f t="shared" si="896"/>
        <v>0.0471698113207547</v>
      </c>
    </row>
    <row r="1598" spans="1:18">
      <c r="A1598" s="524"/>
      <c r="B1598" s="540" t="s">
        <v>101</v>
      </c>
      <c r="C1598" s="551">
        <v>0</v>
      </c>
      <c r="D1598" s="551">
        <v>0</v>
      </c>
      <c r="E1598" s="551">
        <v>0</v>
      </c>
      <c r="F1598" s="551">
        <v>0</v>
      </c>
      <c r="G1598" s="551">
        <v>0</v>
      </c>
      <c r="H1598" s="551">
        <v>0</v>
      </c>
      <c r="I1598" s="551">
        <v>0</v>
      </c>
      <c r="J1598" s="551">
        <v>0</v>
      </c>
      <c r="K1598" s="527">
        <f t="shared" si="889"/>
        <v>0</v>
      </c>
      <c r="L1598" s="528">
        <f t="shared" si="890"/>
        <v>0</v>
      </c>
      <c r="M1598" s="528">
        <f t="shared" si="891"/>
        <v>0</v>
      </c>
      <c r="N1598" s="528">
        <f t="shared" si="892"/>
        <v>0</v>
      </c>
      <c r="O1598" s="528">
        <f t="shared" si="893"/>
        <v>0</v>
      </c>
      <c r="P1598" s="529">
        <f t="shared" si="894"/>
        <v>0</v>
      </c>
      <c r="Q1598" s="24">
        <f t="shared" si="895"/>
        <v>0</v>
      </c>
      <c r="R1598" s="530">
        <f t="shared" si="896"/>
        <v>0</v>
      </c>
    </row>
    <row r="1599" spans="1:18">
      <c r="A1599" s="524"/>
      <c r="B1599" s="531" t="s">
        <v>96</v>
      </c>
      <c r="C1599" s="533">
        <f t="shared" ref="C1599:J1599" si="899">SUM(C1595:C1598)</f>
        <v>1646.49</v>
      </c>
      <c r="D1599" s="533">
        <f t="shared" si="899"/>
        <v>63539</v>
      </c>
      <c r="E1599" s="533">
        <f t="shared" si="899"/>
        <v>1172</v>
      </c>
      <c r="F1599" s="533">
        <f t="shared" si="899"/>
        <v>4</v>
      </c>
      <c r="G1599" s="533">
        <f t="shared" si="899"/>
        <v>52469</v>
      </c>
      <c r="H1599" s="533">
        <f t="shared" si="899"/>
        <v>28</v>
      </c>
      <c r="I1599" s="533">
        <f t="shared" si="899"/>
        <v>8</v>
      </c>
      <c r="J1599" s="533">
        <f t="shared" si="899"/>
        <v>6</v>
      </c>
      <c r="K1599" s="534">
        <f t="shared" si="889"/>
        <v>0.0184453642644675</v>
      </c>
      <c r="L1599" s="535">
        <f t="shared" si="890"/>
        <v>1.40485494880546</v>
      </c>
      <c r="M1599" s="535">
        <f t="shared" si="891"/>
        <v>25.9130612694566</v>
      </c>
      <c r="N1599" s="535">
        <f t="shared" si="892"/>
        <v>31.867184131091</v>
      </c>
      <c r="O1599" s="535">
        <f t="shared" si="893"/>
        <v>0.00341296928327645</v>
      </c>
      <c r="P1599" s="536">
        <f t="shared" si="894"/>
        <v>45.7358333333333</v>
      </c>
      <c r="Q1599" s="531">
        <f t="shared" si="895"/>
        <v>36</v>
      </c>
      <c r="R1599" s="537">
        <f t="shared" si="896"/>
        <v>0.0307167235494881</v>
      </c>
    </row>
    <row r="1600" spans="1:18">
      <c r="A1600" s="524">
        <v>45770</v>
      </c>
      <c r="B1600" s="540" t="s">
        <v>98</v>
      </c>
      <c r="C1600" s="551">
        <v>471.4</v>
      </c>
      <c r="D1600" s="553">
        <v>9850</v>
      </c>
      <c r="E1600" s="551">
        <v>324</v>
      </c>
      <c r="F1600" s="551">
        <v>0</v>
      </c>
      <c r="G1600" s="551">
        <v>0</v>
      </c>
      <c r="H1600" s="551">
        <v>12</v>
      </c>
      <c r="I1600" s="551">
        <v>3</v>
      </c>
      <c r="J1600" s="551">
        <v>1</v>
      </c>
      <c r="K1600" s="527">
        <f t="shared" si="889"/>
        <v>0.0328934010152284</v>
      </c>
      <c r="L1600" s="528">
        <f t="shared" si="890"/>
        <v>1.45493827160494</v>
      </c>
      <c r="M1600" s="528">
        <f t="shared" si="891"/>
        <v>47.8578680203046</v>
      </c>
      <c r="N1600" s="528">
        <f t="shared" si="892"/>
        <v>0</v>
      </c>
      <c r="O1600" s="528">
        <f t="shared" si="893"/>
        <v>0</v>
      </c>
      <c r="P1600" s="529">
        <f t="shared" si="894"/>
        <v>31.4266666666667</v>
      </c>
      <c r="Q1600" s="24">
        <f t="shared" si="895"/>
        <v>15</v>
      </c>
      <c r="R1600" s="530">
        <f t="shared" si="896"/>
        <v>0.0462962962962963</v>
      </c>
    </row>
    <row r="1601" spans="1:18">
      <c r="A1601" s="524"/>
      <c r="B1601" s="540" t="s">
        <v>99</v>
      </c>
      <c r="C1601" s="551">
        <v>500</v>
      </c>
      <c r="D1601" s="551">
        <v>8897</v>
      </c>
      <c r="E1601" s="551">
        <v>400</v>
      </c>
      <c r="F1601" s="551">
        <v>0</v>
      </c>
      <c r="G1601" s="551">
        <v>0</v>
      </c>
      <c r="H1601" s="551">
        <v>23</v>
      </c>
      <c r="I1601" s="551">
        <v>1</v>
      </c>
      <c r="J1601" s="551">
        <v>2</v>
      </c>
      <c r="K1601" s="527">
        <f t="shared" si="889"/>
        <v>0.0449589749353715</v>
      </c>
      <c r="L1601" s="528">
        <f t="shared" si="890"/>
        <v>1.25</v>
      </c>
      <c r="M1601" s="528">
        <f t="shared" si="891"/>
        <v>56.1987186692143</v>
      </c>
      <c r="N1601" s="528">
        <f t="shared" si="892"/>
        <v>0</v>
      </c>
      <c r="O1601" s="528">
        <f t="shared" si="893"/>
        <v>0</v>
      </c>
      <c r="P1601" s="529">
        <f t="shared" si="894"/>
        <v>20.8333333333333</v>
      </c>
      <c r="Q1601" s="24">
        <f t="shared" si="895"/>
        <v>24</v>
      </c>
      <c r="R1601" s="530">
        <f t="shared" si="896"/>
        <v>0.06</v>
      </c>
    </row>
    <row r="1602" spans="1:18">
      <c r="A1602" s="524"/>
      <c r="B1602" s="540" t="s">
        <v>100</v>
      </c>
      <c r="C1602" s="552">
        <v>337.5</v>
      </c>
      <c r="D1602" s="553">
        <v>30823</v>
      </c>
      <c r="E1602" s="551">
        <v>309</v>
      </c>
      <c r="F1602" s="551">
        <v>0</v>
      </c>
      <c r="G1602" s="551">
        <v>0</v>
      </c>
      <c r="H1602" s="551">
        <v>2</v>
      </c>
      <c r="I1602" s="551">
        <v>1</v>
      </c>
      <c r="J1602" s="551">
        <v>0</v>
      </c>
      <c r="K1602" s="527">
        <f t="shared" si="889"/>
        <v>0.0100249813450994</v>
      </c>
      <c r="L1602" s="528">
        <f t="shared" si="890"/>
        <v>1.09223300970874</v>
      </c>
      <c r="M1602" s="528">
        <f t="shared" si="891"/>
        <v>10.9496155468319</v>
      </c>
      <c r="N1602" s="528">
        <f t="shared" si="892"/>
        <v>0</v>
      </c>
      <c r="O1602" s="528">
        <f t="shared" si="893"/>
        <v>0</v>
      </c>
      <c r="P1602" s="529">
        <f t="shared" si="894"/>
        <v>112.5</v>
      </c>
      <c r="Q1602" s="24">
        <f t="shared" si="895"/>
        <v>3</v>
      </c>
      <c r="R1602" s="530">
        <f t="shared" si="896"/>
        <v>0.00970873786407767</v>
      </c>
    </row>
    <row r="1603" spans="1:18">
      <c r="A1603" s="524"/>
      <c r="B1603" s="540" t="s">
        <v>101</v>
      </c>
      <c r="C1603" s="551">
        <v>0</v>
      </c>
      <c r="D1603" s="551">
        <v>0</v>
      </c>
      <c r="E1603" s="551">
        <v>0</v>
      </c>
      <c r="F1603" s="551">
        <v>0</v>
      </c>
      <c r="G1603" s="551">
        <v>0</v>
      </c>
      <c r="H1603" s="551">
        <v>0</v>
      </c>
      <c r="I1603" s="551">
        <v>0</v>
      </c>
      <c r="J1603" s="551">
        <v>0</v>
      </c>
      <c r="K1603" s="527">
        <f t="shared" si="889"/>
        <v>0</v>
      </c>
      <c r="L1603" s="528">
        <f t="shared" si="890"/>
        <v>0</v>
      </c>
      <c r="M1603" s="528">
        <f t="shared" si="891"/>
        <v>0</v>
      </c>
      <c r="N1603" s="528">
        <f t="shared" si="892"/>
        <v>0</v>
      </c>
      <c r="O1603" s="528">
        <f t="shared" si="893"/>
        <v>0</v>
      </c>
      <c r="P1603" s="529">
        <f t="shared" si="894"/>
        <v>0</v>
      </c>
      <c r="Q1603" s="24">
        <f t="shared" si="895"/>
        <v>0</v>
      </c>
      <c r="R1603" s="530">
        <f t="shared" si="896"/>
        <v>0</v>
      </c>
    </row>
    <row r="1604" spans="1:18">
      <c r="A1604" s="524"/>
      <c r="B1604" s="531" t="s">
        <v>96</v>
      </c>
      <c r="C1604" s="533">
        <f t="shared" ref="C1604:J1604" si="900">SUM(C1600:C1603)</f>
        <v>1308.9</v>
      </c>
      <c r="D1604" s="533">
        <f t="shared" si="900"/>
        <v>49570</v>
      </c>
      <c r="E1604" s="533">
        <f t="shared" si="900"/>
        <v>1033</v>
      </c>
      <c r="F1604" s="533">
        <f t="shared" si="900"/>
        <v>0</v>
      </c>
      <c r="G1604" s="533">
        <f t="shared" si="900"/>
        <v>0</v>
      </c>
      <c r="H1604" s="533">
        <f t="shared" si="900"/>
        <v>37</v>
      </c>
      <c r="I1604" s="533">
        <f t="shared" si="900"/>
        <v>5</v>
      </c>
      <c r="J1604" s="533">
        <f t="shared" si="900"/>
        <v>3</v>
      </c>
      <c r="K1604" s="534">
        <f t="shared" si="889"/>
        <v>0.0208392172685092</v>
      </c>
      <c r="L1604" s="535">
        <f t="shared" si="890"/>
        <v>1.26708615682478</v>
      </c>
      <c r="M1604" s="535">
        <f t="shared" si="891"/>
        <v>26.4050837199919</v>
      </c>
      <c r="N1604" s="535">
        <f t="shared" si="892"/>
        <v>0</v>
      </c>
      <c r="O1604" s="535">
        <f t="shared" si="893"/>
        <v>0</v>
      </c>
      <c r="P1604" s="536">
        <f t="shared" si="894"/>
        <v>31.1642857142857</v>
      </c>
      <c r="Q1604" s="531">
        <f t="shared" si="895"/>
        <v>42</v>
      </c>
      <c r="R1604" s="537">
        <f t="shared" si="896"/>
        <v>0.0406582768635044</v>
      </c>
    </row>
    <row r="1605" spans="1:18">
      <c r="A1605" s="524">
        <v>45771</v>
      </c>
      <c r="B1605" s="540" t="s">
        <v>98</v>
      </c>
      <c r="C1605" s="551">
        <v>399</v>
      </c>
      <c r="D1605" s="553">
        <v>9541</v>
      </c>
      <c r="E1605" s="551">
        <v>296</v>
      </c>
      <c r="F1605" s="551">
        <v>1</v>
      </c>
      <c r="G1605" s="551">
        <v>12843</v>
      </c>
      <c r="H1605" s="551">
        <v>4</v>
      </c>
      <c r="I1605" s="551">
        <v>4</v>
      </c>
      <c r="J1605" s="551">
        <v>1</v>
      </c>
      <c r="K1605" s="527">
        <f t="shared" si="889"/>
        <v>0.0310240016769731</v>
      </c>
      <c r="L1605" s="528">
        <f t="shared" si="890"/>
        <v>1.34797297297297</v>
      </c>
      <c r="M1605" s="528">
        <f t="shared" si="891"/>
        <v>41.8195157740279</v>
      </c>
      <c r="N1605" s="528">
        <f t="shared" si="892"/>
        <v>32.187969924812</v>
      </c>
      <c r="O1605" s="528">
        <f t="shared" si="893"/>
        <v>0.00337837837837838</v>
      </c>
      <c r="P1605" s="529">
        <f t="shared" si="894"/>
        <v>49.875</v>
      </c>
      <c r="Q1605" s="24">
        <f t="shared" si="895"/>
        <v>8</v>
      </c>
      <c r="R1605" s="530">
        <f t="shared" si="896"/>
        <v>0.027027027027027</v>
      </c>
    </row>
    <row r="1606" spans="1:18">
      <c r="A1606" s="524"/>
      <c r="B1606" s="540" t="s">
        <v>99</v>
      </c>
      <c r="C1606" s="551">
        <v>500</v>
      </c>
      <c r="D1606" s="551">
        <v>2874</v>
      </c>
      <c r="E1606" s="551">
        <v>353</v>
      </c>
      <c r="F1606" s="551">
        <v>0</v>
      </c>
      <c r="G1606" s="551">
        <v>0</v>
      </c>
      <c r="H1606" s="551">
        <v>3</v>
      </c>
      <c r="I1606" s="551">
        <v>0</v>
      </c>
      <c r="J1606" s="551">
        <v>0</v>
      </c>
      <c r="K1606" s="527">
        <f t="shared" si="889"/>
        <v>0.122825330549756</v>
      </c>
      <c r="L1606" s="528">
        <f t="shared" si="890"/>
        <v>1.41643059490085</v>
      </c>
      <c r="M1606" s="528">
        <f t="shared" si="891"/>
        <v>173.973556019485</v>
      </c>
      <c r="N1606" s="528">
        <f t="shared" si="892"/>
        <v>0</v>
      </c>
      <c r="O1606" s="528">
        <f t="shared" si="893"/>
        <v>0</v>
      </c>
      <c r="P1606" s="529">
        <f t="shared" si="894"/>
        <v>166.666666666667</v>
      </c>
      <c r="Q1606" s="24">
        <f t="shared" si="895"/>
        <v>3</v>
      </c>
      <c r="R1606" s="530">
        <f t="shared" si="896"/>
        <v>0.0084985835694051</v>
      </c>
    </row>
    <row r="1607" spans="1:18">
      <c r="A1607" s="524"/>
      <c r="B1607" s="540" t="s">
        <v>100</v>
      </c>
      <c r="C1607" s="552">
        <v>317.27</v>
      </c>
      <c r="D1607" s="553">
        <v>15790</v>
      </c>
      <c r="E1607" s="551">
        <v>245</v>
      </c>
      <c r="F1607" s="551">
        <v>1</v>
      </c>
      <c r="G1607" s="551">
        <v>500</v>
      </c>
      <c r="H1607" s="551">
        <v>10</v>
      </c>
      <c r="I1607" s="551">
        <v>3</v>
      </c>
      <c r="J1607" s="551">
        <v>0</v>
      </c>
      <c r="K1607" s="527">
        <f t="shared" si="889"/>
        <v>0.0155161494616846</v>
      </c>
      <c r="L1607" s="528">
        <f t="shared" si="890"/>
        <v>1.29497959183673</v>
      </c>
      <c r="M1607" s="528">
        <f t="shared" si="891"/>
        <v>20.0930968967701</v>
      </c>
      <c r="N1607" s="528">
        <f t="shared" si="892"/>
        <v>1.57594477889495</v>
      </c>
      <c r="O1607" s="528">
        <f t="shared" si="893"/>
        <v>0.00408163265306122</v>
      </c>
      <c r="P1607" s="529">
        <f t="shared" si="894"/>
        <v>24.4053846153846</v>
      </c>
      <c r="Q1607" s="24">
        <f t="shared" si="895"/>
        <v>13</v>
      </c>
      <c r="R1607" s="530">
        <f t="shared" si="896"/>
        <v>0.0530612244897959</v>
      </c>
    </row>
    <row r="1608" spans="1:18">
      <c r="A1608" s="524"/>
      <c r="B1608" s="540" t="s">
        <v>101</v>
      </c>
      <c r="C1608" s="551">
        <v>0</v>
      </c>
      <c r="D1608" s="551">
        <v>0</v>
      </c>
      <c r="E1608" s="551">
        <v>0</v>
      </c>
      <c r="F1608" s="551">
        <v>0</v>
      </c>
      <c r="G1608" s="551">
        <v>0</v>
      </c>
      <c r="H1608" s="551">
        <v>0</v>
      </c>
      <c r="I1608" s="551">
        <v>0</v>
      </c>
      <c r="J1608" s="551">
        <v>0</v>
      </c>
      <c r="K1608" s="527">
        <f t="shared" si="889"/>
        <v>0</v>
      </c>
      <c r="L1608" s="528">
        <f t="shared" si="890"/>
        <v>0</v>
      </c>
      <c r="M1608" s="528">
        <f t="shared" si="891"/>
        <v>0</v>
      </c>
      <c r="N1608" s="528">
        <f t="shared" si="892"/>
        <v>0</v>
      </c>
      <c r="O1608" s="528">
        <f t="shared" si="893"/>
        <v>0</v>
      </c>
      <c r="P1608" s="529">
        <f t="shared" si="894"/>
        <v>0</v>
      </c>
      <c r="Q1608" s="24">
        <f t="shared" si="895"/>
        <v>0</v>
      </c>
      <c r="R1608" s="530">
        <f t="shared" si="896"/>
        <v>0</v>
      </c>
    </row>
    <row r="1609" spans="1:18">
      <c r="A1609" s="524"/>
      <c r="B1609" s="531" t="s">
        <v>96</v>
      </c>
      <c r="C1609" s="533">
        <f t="shared" ref="C1609:J1609" si="901">SUM(C1605:C1608)</f>
        <v>1216.27</v>
      </c>
      <c r="D1609" s="533">
        <f t="shared" si="901"/>
        <v>28205</v>
      </c>
      <c r="E1609" s="533">
        <f t="shared" si="901"/>
        <v>894</v>
      </c>
      <c r="F1609" s="533">
        <f t="shared" si="901"/>
        <v>2</v>
      </c>
      <c r="G1609" s="533">
        <f t="shared" si="901"/>
        <v>13343</v>
      </c>
      <c r="H1609" s="533">
        <f t="shared" si="901"/>
        <v>17</v>
      </c>
      <c r="I1609" s="533">
        <f t="shared" si="901"/>
        <v>7</v>
      </c>
      <c r="J1609" s="533">
        <f t="shared" si="901"/>
        <v>1</v>
      </c>
      <c r="K1609" s="534">
        <f t="shared" si="889"/>
        <v>0.0316965077113987</v>
      </c>
      <c r="L1609" s="535">
        <f t="shared" si="890"/>
        <v>1.36048098434004</v>
      </c>
      <c r="M1609" s="535">
        <f t="shared" si="891"/>
        <v>43.1224960113455</v>
      </c>
      <c r="N1609" s="535">
        <f t="shared" si="892"/>
        <v>10.9704259744958</v>
      </c>
      <c r="O1609" s="535">
        <f t="shared" si="893"/>
        <v>0.00223713646532438</v>
      </c>
      <c r="P1609" s="536">
        <f t="shared" si="894"/>
        <v>50.6779166666667</v>
      </c>
      <c r="Q1609" s="531">
        <f t="shared" si="895"/>
        <v>24</v>
      </c>
      <c r="R1609" s="537">
        <f t="shared" si="896"/>
        <v>0.0268456375838926</v>
      </c>
    </row>
    <row r="1610" spans="1:18">
      <c r="A1610" s="524">
        <v>45772</v>
      </c>
      <c r="B1610" s="540" t="s">
        <v>98</v>
      </c>
      <c r="C1610" s="551">
        <v>400</v>
      </c>
      <c r="D1610" s="553">
        <v>10355</v>
      </c>
      <c r="E1610" s="551">
        <v>296</v>
      </c>
      <c r="F1610" s="551">
        <v>0</v>
      </c>
      <c r="G1610" s="551">
        <v>0</v>
      </c>
      <c r="H1610" s="551">
        <v>4</v>
      </c>
      <c r="I1610" s="551">
        <v>3</v>
      </c>
      <c r="J1610" s="551">
        <v>1</v>
      </c>
      <c r="K1610" s="527">
        <f t="shared" si="889"/>
        <v>0.0285852245292129</v>
      </c>
      <c r="L1610" s="528">
        <f t="shared" si="890"/>
        <v>1.35135135135135</v>
      </c>
      <c r="M1610" s="528">
        <f t="shared" si="891"/>
        <v>38.6286817962337</v>
      </c>
      <c r="N1610" s="528">
        <f t="shared" si="892"/>
        <v>0</v>
      </c>
      <c r="O1610" s="528">
        <f t="shared" si="893"/>
        <v>0</v>
      </c>
      <c r="P1610" s="529">
        <f t="shared" si="894"/>
        <v>57.1428571428571</v>
      </c>
      <c r="Q1610" s="24">
        <f t="shared" si="895"/>
        <v>7</v>
      </c>
      <c r="R1610" s="530">
        <f t="shared" si="896"/>
        <v>0.0236486486486486</v>
      </c>
    </row>
    <row r="1611" spans="1:18">
      <c r="A1611" s="524"/>
      <c r="B1611" s="540" t="s">
        <v>99</v>
      </c>
      <c r="C1611" s="551">
        <v>500</v>
      </c>
      <c r="D1611" s="551">
        <v>4947</v>
      </c>
      <c r="E1611" s="551">
        <v>348</v>
      </c>
      <c r="F1611" s="551">
        <v>1</v>
      </c>
      <c r="G1611" s="551">
        <v>6576</v>
      </c>
      <c r="H1611" s="551">
        <v>4</v>
      </c>
      <c r="I1611" s="551">
        <v>1</v>
      </c>
      <c r="J1611" s="551">
        <v>0</v>
      </c>
      <c r="K1611" s="527">
        <f t="shared" si="889"/>
        <v>0.0703456640388114</v>
      </c>
      <c r="L1611" s="528">
        <f t="shared" si="890"/>
        <v>1.4367816091954</v>
      </c>
      <c r="M1611" s="528">
        <f t="shared" si="891"/>
        <v>101.071356377603</v>
      </c>
      <c r="N1611" s="528">
        <f t="shared" si="892"/>
        <v>13.152</v>
      </c>
      <c r="O1611" s="528">
        <f t="shared" si="893"/>
        <v>0.0028735632183908</v>
      </c>
      <c r="P1611" s="529">
        <f t="shared" si="894"/>
        <v>100</v>
      </c>
      <c r="Q1611" s="24">
        <f t="shared" si="895"/>
        <v>5</v>
      </c>
      <c r="R1611" s="530">
        <f t="shared" si="896"/>
        <v>0.014367816091954</v>
      </c>
    </row>
    <row r="1612" spans="1:18">
      <c r="A1612" s="524"/>
      <c r="B1612" s="540" t="s">
        <v>100</v>
      </c>
      <c r="C1612" s="552">
        <v>529.86</v>
      </c>
      <c r="D1612" s="553">
        <v>27845</v>
      </c>
      <c r="E1612" s="551">
        <v>354</v>
      </c>
      <c r="F1612" s="551">
        <v>3</v>
      </c>
      <c r="G1612" s="551">
        <v>17830</v>
      </c>
      <c r="H1612" s="551">
        <v>17</v>
      </c>
      <c r="I1612" s="551">
        <v>3</v>
      </c>
      <c r="J1612" s="551">
        <v>0</v>
      </c>
      <c r="K1612" s="527">
        <f t="shared" si="889"/>
        <v>0.0127132339737834</v>
      </c>
      <c r="L1612" s="528">
        <f t="shared" si="890"/>
        <v>1.49677966101695</v>
      </c>
      <c r="M1612" s="528">
        <f t="shared" si="891"/>
        <v>19.0289100377087</v>
      </c>
      <c r="N1612" s="528">
        <f t="shared" si="892"/>
        <v>33.6503982183973</v>
      </c>
      <c r="O1612" s="528">
        <f t="shared" si="893"/>
        <v>0.00847457627118644</v>
      </c>
      <c r="P1612" s="529">
        <f t="shared" si="894"/>
        <v>26.493</v>
      </c>
      <c r="Q1612" s="24">
        <f t="shared" si="895"/>
        <v>20</v>
      </c>
      <c r="R1612" s="530">
        <f t="shared" si="896"/>
        <v>0.0564971751412429</v>
      </c>
    </row>
    <row r="1613" spans="1:18">
      <c r="A1613" s="524"/>
      <c r="B1613" s="540" t="s">
        <v>101</v>
      </c>
      <c r="C1613" s="551">
        <v>0</v>
      </c>
      <c r="D1613" s="551">
        <v>0</v>
      </c>
      <c r="E1613" s="551">
        <v>0</v>
      </c>
      <c r="F1613" s="551">
        <v>0</v>
      </c>
      <c r="G1613" s="551">
        <v>0</v>
      </c>
      <c r="H1613" s="551">
        <v>0</v>
      </c>
      <c r="I1613" s="551">
        <v>0</v>
      </c>
      <c r="J1613" s="551">
        <v>0</v>
      </c>
      <c r="K1613" s="527">
        <f t="shared" si="889"/>
        <v>0</v>
      </c>
      <c r="L1613" s="528">
        <f t="shared" si="890"/>
        <v>0</v>
      </c>
      <c r="M1613" s="528">
        <f t="shared" si="891"/>
        <v>0</v>
      </c>
      <c r="N1613" s="528">
        <f t="shared" si="892"/>
        <v>0</v>
      </c>
      <c r="O1613" s="528">
        <f t="shared" si="893"/>
        <v>0</v>
      </c>
      <c r="P1613" s="529">
        <f t="shared" si="894"/>
        <v>0</v>
      </c>
      <c r="Q1613" s="24">
        <f t="shared" si="895"/>
        <v>0</v>
      </c>
      <c r="R1613" s="530">
        <f t="shared" si="896"/>
        <v>0</v>
      </c>
    </row>
    <row r="1614" spans="1:18">
      <c r="A1614" s="524"/>
      <c r="B1614" s="531" t="s">
        <v>96</v>
      </c>
      <c r="C1614" s="533">
        <f t="shared" ref="C1614:J1614" si="902">SUM(C1610:C1613)</f>
        <v>1429.86</v>
      </c>
      <c r="D1614" s="533">
        <f t="shared" si="902"/>
        <v>43147</v>
      </c>
      <c r="E1614" s="533">
        <f t="shared" si="902"/>
        <v>998</v>
      </c>
      <c r="F1614" s="533">
        <f t="shared" si="902"/>
        <v>4</v>
      </c>
      <c r="G1614" s="533">
        <f t="shared" si="902"/>
        <v>24406</v>
      </c>
      <c r="H1614" s="533">
        <f t="shared" si="902"/>
        <v>25</v>
      </c>
      <c r="I1614" s="533">
        <f t="shared" si="902"/>
        <v>7</v>
      </c>
      <c r="J1614" s="533">
        <f t="shared" si="902"/>
        <v>1</v>
      </c>
      <c r="K1614" s="534">
        <f t="shared" si="889"/>
        <v>0.0231302292163998</v>
      </c>
      <c r="L1614" s="535">
        <f t="shared" si="890"/>
        <v>1.4327254509018</v>
      </c>
      <c r="M1614" s="535">
        <f t="shared" si="891"/>
        <v>33.1392680835284</v>
      </c>
      <c r="N1614" s="535">
        <f t="shared" si="892"/>
        <v>17.0688039388472</v>
      </c>
      <c r="O1614" s="535">
        <f t="shared" si="893"/>
        <v>0.00400801603206413</v>
      </c>
      <c r="P1614" s="536">
        <f t="shared" si="894"/>
        <v>44.683125</v>
      </c>
      <c r="Q1614" s="531">
        <f t="shared" si="895"/>
        <v>32</v>
      </c>
      <c r="R1614" s="537">
        <f t="shared" si="896"/>
        <v>0.032064128256513</v>
      </c>
    </row>
    <row r="1615" spans="1:18">
      <c r="A1615" s="524">
        <v>45773</v>
      </c>
      <c r="B1615" s="540" t="s">
        <v>98</v>
      </c>
      <c r="C1615" s="551">
        <v>400</v>
      </c>
      <c r="D1615" s="553">
        <v>10424</v>
      </c>
      <c r="E1615" s="551">
        <v>315</v>
      </c>
      <c r="F1615" s="551">
        <v>0</v>
      </c>
      <c r="G1615" s="551">
        <v>0</v>
      </c>
      <c r="H1615" s="551">
        <v>4</v>
      </c>
      <c r="I1615" s="551">
        <v>1</v>
      </c>
      <c r="J1615" s="551">
        <v>1</v>
      </c>
      <c r="K1615" s="527">
        <f t="shared" si="889"/>
        <v>0.0302187260168841</v>
      </c>
      <c r="L1615" s="528">
        <f t="shared" si="890"/>
        <v>1.26984126984127</v>
      </c>
      <c r="M1615" s="528">
        <f t="shared" si="891"/>
        <v>38.3729854182655</v>
      </c>
      <c r="N1615" s="528">
        <f t="shared" si="892"/>
        <v>0</v>
      </c>
      <c r="O1615" s="528">
        <f t="shared" si="893"/>
        <v>0</v>
      </c>
      <c r="P1615" s="529">
        <f t="shared" si="894"/>
        <v>80</v>
      </c>
      <c r="Q1615" s="24">
        <f t="shared" si="895"/>
        <v>5</v>
      </c>
      <c r="R1615" s="530">
        <f t="shared" si="896"/>
        <v>0.0158730158730159</v>
      </c>
    </row>
    <row r="1616" spans="1:18">
      <c r="A1616" s="524"/>
      <c r="B1616" s="540" t="s">
        <v>99</v>
      </c>
      <c r="C1616" s="551">
        <v>489.71</v>
      </c>
      <c r="D1616" s="551">
        <v>4614</v>
      </c>
      <c r="E1616" s="551">
        <v>370</v>
      </c>
      <c r="F1616" s="551">
        <v>0</v>
      </c>
      <c r="G1616" s="551">
        <v>0</v>
      </c>
      <c r="H1616" s="551">
        <v>3</v>
      </c>
      <c r="I1616" s="551">
        <v>0</v>
      </c>
      <c r="J1616" s="551">
        <v>1</v>
      </c>
      <c r="K1616" s="527">
        <f t="shared" si="889"/>
        <v>0.0801907238838318</v>
      </c>
      <c r="L1616" s="528">
        <f t="shared" si="890"/>
        <v>1.32354054054054</v>
      </c>
      <c r="M1616" s="528">
        <f t="shared" si="891"/>
        <v>106.135674035544</v>
      </c>
      <c r="N1616" s="528">
        <f t="shared" si="892"/>
        <v>0</v>
      </c>
      <c r="O1616" s="528">
        <f t="shared" si="893"/>
        <v>0</v>
      </c>
      <c r="P1616" s="529">
        <f t="shared" si="894"/>
        <v>163.236666666667</v>
      </c>
      <c r="Q1616" s="24">
        <f t="shared" si="895"/>
        <v>3</v>
      </c>
      <c r="R1616" s="530">
        <f t="shared" si="896"/>
        <v>0.00810810810810811</v>
      </c>
    </row>
    <row r="1617" spans="1:18">
      <c r="A1617" s="524"/>
      <c r="B1617" s="540" t="s">
        <v>100</v>
      </c>
      <c r="C1617" s="552">
        <v>534.6</v>
      </c>
      <c r="D1617" s="553">
        <v>23780</v>
      </c>
      <c r="E1617" s="551">
        <v>355</v>
      </c>
      <c r="F1617" s="551">
        <v>1</v>
      </c>
      <c r="G1617" s="551">
        <v>6934</v>
      </c>
      <c r="H1617" s="551">
        <v>18</v>
      </c>
      <c r="I1617" s="551">
        <v>7</v>
      </c>
      <c r="J1617" s="551">
        <v>1</v>
      </c>
      <c r="K1617" s="527">
        <f t="shared" si="889"/>
        <v>0.0149285113540791</v>
      </c>
      <c r="L1617" s="528">
        <f t="shared" si="890"/>
        <v>1.50591549295775</v>
      </c>
      <c r="M1617" s="528">
        <f t="shared" si="891"/>
        <v>22.4810765349033</v>
      </c>
      <c r="N1617" s="528">
        <f t="shared" si="892"/>
        <v>12.9704451926674</v>
      </c>
      <c r="O1617" s="528">
        <f t="shared" si="893"/>
        <v>0.0028169014084507</v>
      </c>
      <c r="P1617" s="529">
        <f t="shared" si="894"/>
        <v>21.384</v>
      </c>
      <c r="Q1617" s="24">
        <f t="shared" si="895"/>
        <v>25</v>
      </c>
      <c r="R1617" s="530">
        <f t="shared" si="896"/>
        <v>0.0704225352112676</v>
      </c>
    </row>
    <row r="1618" spans="1:18">
      <c r="A1618" s="524"/>
      <c r="B1618" s="540" t="s">
        <v>101</v>
      </c>
      <c r="C1618" s="551">
        <v>0</v>
      </c>
      <c r="D1618" s="551">
        <v>0</v>
      </c>
      <c r="E1618" s="551">
        <v>0</v>
      </c>
      <c r="F1618" s="551">
        <v>0</v>
      </c>
      <c r="G1618" s="551">
        <v>0</v>
      </c>
      <c r="H1618" s="551">
        <v>0</v>
      </c>
      <c r="I1618" s="551">
        <v>0</v>
      </c>
      <c r="J1618" s="551">
        <v>0</v>
      </c>
      <c r="K1618" s="527">
        <f t="shared" si="889"/>
        <v>0</v>
      </c>
      <c r="L1618" s="528">
        <f t="shared" si="890"/>
        <v>0</v>
      </c>
      <c r="M1618" s="528">
        <f t="shared" si="891"/>
        <v>0</v>
      </c>
      <c r="N1618" s="528">
        <f t="shared" si="892"/>
        <v>0</v>
      </c>
      <c r="O1618" s="528">
        <f t="shared" si="893"/>
        <v>0</v>
      </c>
      <c r="P1618" s="529">
        <f t="shared" si="894"/>
        <v>0</v>
      </c>
      <c r="Q1618" s="24">
        <f t="shared" si="895"/>
        <v>0</v>
      </c>
      <c r="R1618" s="530">
        <f t="shared" si="896"/>
        <v>0</v>
      </c>
    </row>
    <row r="1619" spans="1:18">
      <c r="A1619" s="524"/>
      <c r="B1619" s="531" t="s">
        <v>96</v>
      </c>
      <c r="C1619" s="533">
        <f t="shared" ref="C1619:J1619" si="903">SUM(C1615:C1618)</f>
        <v>1424.31</v>
      </c>
      <c r="D1619" s="533">
        <f t="shared" si="903"/>
        <v>38818</v>
      </c>
      <c r="E1619" s="533">
        <f t="shared" si="903"/>
        <v>1040</v>
      </c>
      <c r="F1619" s="533">
        <f t="shared" si="903"/>
        <v>1</v>
      </c>
      <c r="G1619" s="533">
        <f t="shared" si="903"/>
        <v>6934</v>
      </c>
      <c r="H1619" s="533">
        <f t="shared" si="903"/>
        <v>25</v>
      </c>
      <c r="I1619" s="533">
        <f t="shared" si="903"/>
        <v>8</v>
      </c>
      <c r="J1619" s="533">
        <f t="shared" si="903"/>
        <v>3</v>
      </c>
      <c r="K1619" s="534">
        <f t="shared" si="889"/>
        <v>0.0267916945746818</v>
      </c>
      <c r="L1619" s="535">
        <f t="shared" si="890"/>
        <v>1.36952884615385</v>
      </c>
      <c r="M1619" s="535">
        <f t="shared" si="891"/>
        <v>36.6919985573703</v>
      </c>
      <c r="N1619" s="535">
        <f t="shared" si="892"/>
        <v>4.86832220513793</v>
      </c>
      <c r="O1619" s="535">
        <f t="shared" si="893"/>
        <v>0.000961538461538462</v>
      </c>
      <c r="P1619" s="536">
        <f t="shared" si="894"/>
        <v>43.1609090909091</v>
      </c>
      <c r="Q1619" s="531">
        <f t="shared" si="895"/>
        <v>33</v>
      </c>
      <c r="R1619" s="537">
        <f t="shared" si="896"/>
        <v>0.0317307692307692</v>
      </c>
    </row>
    <row r="1620" spans="1:18">
      <c r="A1620" s="524">
        <v>45774</v>
      </c>
      <c r="B1620" s="540" t="s">
        <v>98</v>
      </c>
      <c r="C1620" s="551">
        <v>398.89</v>
      </c>
      <c r="D1620" s="553">
        <v>10201</v>
      </c>
      <c r="E1620" s="551">
        <v>297</v>
      </c>
      <c r="F1620" s="551">
        <v>0</v>
      </c>
      <c r="G1620" s="551">
        <v>0</v>
      </c>
      <c r="H1620" s="551">
        <v>7</v>
      </c>
      <c r="I1620" s="551">
        <v>0</v>
      </c>
      <c r="J1620" s="551">
        <v>1</v>
      </c>
      <c r="K1620" s="527">
        <f t="shared" si="889"/>
        <v>0.0291147926673856</v>
      </c>
      <c r="L1620" s="528">
        <f t="shared" si="890"/>
        <v>1.34306397306397</v>
      </c>
      <c r="M1620" s="528">
        <f t="shared" si="891"/>
        <v>39.1030291147927</v>
      </c>
      <c r="N1620" s="528">
        <f t="shared" si="892"/>
        <v>0</v>
      </c>
      <c r="O1620" s="528">
        <f t="shared" si="893"/>
        <v>0</v>
      </c>
      <c r="P1620" s="529">
        <f t="shared" si="894"/>
        <v>56.9842857142857</v>
      </c>
      <c r="Q1620" s="24">
        <f t="shared" si="895"/>
        <v>7</v>
      </c>
      <c r="R1620" s="530">
        <f t="shared" si="896"/>
        <v>0.0235690235690236</v>
      </c>
    </row>
    <row r="1621" spans="1:18">
      <c r="A1621" s="524"/>
      <c r="B1621" s="540" t="s">
        <v>99</v>
      </c>
      <c r="C1621" s="551">
        <v>500</v>
      </c>
      <c r="D1621" s="551">
        <v>5098</v>
      </c>
      <c r="E1621" s="551">
        <v>364</v>
      </c>
      <c r="F1621" s="551">
        <v>2</v>
      </c>
      <c r="G1621" s="551">
        <v>44758</v>
      </c>
      <c r="H1621" s="551">
        <v>3</v>
      </c>
      <c r="I1621" s="551">
        <v>2</v>
      </c>
      <c r="J1621" s="551">
        <v>4</v>
      </c>
      <c r="K1621" s="527">
        <f t="shared" si="889"/>
        <v>0.0714005492349941</v>
      </c>
      <c r="L1621" s="528">
        <f t="shared" si="890"/>
        <v>1.37362637362637</v>
      </c>
      <c r="M1621" s="528">
        <f t="shared" si="891"/>
        <v>98.0776775205963</v>
      </c>
      <c r="N1621" s="528">
        <f t="shared" si="892"/>
        <v>89.516</v>
      </c>
      <c r="O1621" s="528">
        <f t="shared" si="893"/>
        <v>0.00549450549450549</v>
      </c>
      <c r="P1621" s="529">
        <f t="shared" si="894"/>
        <v>100</v>
      </c>
      <c r="Q1621" s="24">
        <f t="shared" si="895"/>
        <v>5</v>
      </c>
      <c r="R1621" s="530">
        <f t="shared" si="896"/>
        <v>0.0137362637362637</v>
      </c>
    </row>
    <row r="1622" spans="1:18">
      <c r="A1622" s="524"/>
      <c r="B1622" s="540" t="s">
        <v>100</v>
      </c>
      <c r="C1622" s="552">
        <v>544.9</v>
      </c>
      <c r="D1622" s="553">
        <v>49378</v>
      </c>
      <c r="E1622" s="551">
        <v>440</v>
      </c>
      <c r="F1622" s="551">
        <v>0</v>
      </c>
      <c r="G1622" s="551">
        <v>0</v>
      </c>
      <c r="H1622" s="551">
        <v>13</v>
      </c>
      <c r="I1622" s="551">
        <v>4</v>
      </c>
      <c r="J1622" s="551">
        <v>3</v>
      </c>
      <c r="K1622" s="527">
        <f t="shared" si="889"/>
        <v>0.00891085098626919</v>
      </c>
      <c r="L1622" s="528">
        <f t="shared" si="890"/>
        <v>1.23840909090909</v>
      </c>
      <c r="M1622" s="528">
        <f t="shared" si="891"/>
        <v>11.035278869132</v>
      </c>
      <c r="N1622" s="528">
        <f t="shared" si="892"/>
        <v>0</v>
      </c>
      <c r="O1622" s="528">
        <f t="shared" si="893"/>
        <v>0</v>
      </c>
      <c r="P1622" s="529">
        <f t="shared" si="894"/>
        <v>32.0529411764706</v>
      </c>
      <c r="Q1622" s="24">
        <f t="shared" si="895"/>
        <v>17</v>
      </c>
      <c r="R1622" s="530">
        <f t="shared" si="896"/>
        <v>0.0386363636363636</v>
      </c>
    </row>
    <row r="1623" spans="1:18">
      <c r="A1623" s="524"/>
      <c r="B1623" s="540" t="s">
        <v>101</v>
      </c>
      <c r="C1623" s="551">
        <v>0</v>
      </c>
      <c r="D1623" s="551">
        <v>0</v>
      </c>
      <c r="E1623" s="551">
        <v>0</v>
      </c>
      <c r="F1623" s="551">
        <v>0</v>
      </c>
      <c r="G1623" s="551">
        <v>0</v>
      </c>
      <c r="H1623" s="551">
        <v>0</v>
      </c>
      <c r="I1623" s="551">
        <v>0</v>
      </c>
      <c r="J1623" s="551">
        <v>0</v>
      </c>
      <c r="K1623" s="527">
        <f t="shared" si="889"/>
        <v>0</v>
      </c>
      <c r="L1623" s="528">
        <f t="shared" si="890"/>
        <v>0</v>
      </c>
      <c r="M1623" s="528">
        <f t="shared" si="891"/>
        <v>0</v>
      </c>
      <c r="N1623" s="528">
        <f t="shared" si="892"/>
        <v>0</v>
      </c>
      <c r="O1623" s="528">
        <f t="shared" si="893"/>
        <v>0</v>
      </c>
      <c r="P1623" s="529">
        <f t="shared" si="894"/>
        <v>0</v>
      </c>
      <c r="Q1623" s="24">
        <f t="shared" si="895"/>
        <v>0</v>
      </c>
      <c r="R1623" s="530">
        <f t="shared" si="896"/>
        <v>0</v>
      </c>
    </row>
    <row r="1624" spans="1:18">
      <c r="A1624" s="524"/>
      <c r="B1624" s="531" t="s">
        <v>96</v>
      </c>
      <c r="C1624" s="533">
        <f t="shared" ref="C1624:J1624" si="904">SUM(C1620:C1623)</f>
        <v>1443.79</v>
      </c>
      <c r="D1624" s="533">
        <f t="shared" si="904"/>
        <v>64677</v>
      </c>
      <c r="E1624" s="533">
        <f t="shared" si="904"/>
        <v>1101</v>
      </c>
      <c r="F1624" s="533">
        <f t="shared" si="904"/>
        <v>2</v>
      </c>
      <c r="G1624" s="533">
        <f t="shared" si="904"/>
        <v>44758</v>
      </c>
      <c r="H1624" s="533">
        <f t="shared" si="904"/>
        <v>23</v>
      </c>
      <c r="I1624" s="533">
        <f t="shared" si="904"/>
        <v>6</v>
      </c>
      <c r="J1624" s="533">
        <f t="shared" si="904"/>
        <v>8</v>
      </c>
      <c r="K1624" s="534">
        <f t="shared" si="889"/>
        <v>0.0170230530173014</v>
      </c>
      <c r="L1624" s="535">
        <f t="shared" si="890"/>
        <v>1.31134423251589</v>
      </c>
      <c r="M1624" s="535">
        <f t="shared" si="891"/>
        <v>22.3230823940504</v>
      </c>
      <c r="N1624" s="535">
        <f t="shared" si="892"/>
        <v>31.0003532369666</v>
      </c>
      <c r="O1624" s="535">
        <f t="shared" si="893"/>
        <v>0.00181653042688465</v>
      </c>
      <c r="P1624" s="536">
        <f t="shared" si="894"/>
        <v>49.7858620689655</v>
      </c>
      <c r="Q1624" s="531">
        <f t="shared" si="895"/>
        <v>29</v>
      </c>
      <c r="R1624" s="537">
        <f t="shared" si="896"/>
        <v>0.0263396911898274</v>
      </c>
    </row>
    <row r="1625" spans="1:18">
      <c r="A1625" s="524">
        <v>45775</v>
      </c>
      <c r="B1625" s="540" t="s">
        <v>98</v>
      </c>
      <c r="C1625" s="551">
        <v>399</v>
      </c>
      <c r="D1625" s="553">
        <v>9225</v>
      </c>
      <c r="E1625" s="551">
        <v>280</v>
      </c>
      <c r="F1625" s="551">
        <v>0</v>
      </c>
      <c r="G1625" s="551">
        <v>0</v>
      </c>
      <c r="H1625" s="551">
        <v>4</v>
      </c>
      <c r="I1625" s="551">
        <v>2</v>
      </c>
      <c r="J1625" s="551">
        <v>1</v>
      </c>
      <c r="K1625" s="527">
        <f t="shared" si="889"/>
        <v>0.0303523035230352</v>
      </c>
      <c r="L1625" s="528">
        <f t="shared" si="890"/>
        <v>1.425</v>
      </c>
      <c r="M1625" s="528">
        <f t="shared" si="891"/>
        <v>43.2520325203252</v>
      </c>
      <c r="N1625" s="528">
        <f t="shared" si="892"/>
        <v>0</v>
      </c>
      <c r="O1625" s="528">
        <f t="shared" si="893"/>
        <v>0</v>
      </c>
      <c r="P1625" s="529">
        <f t="shared" si="894"/>
        <v>66.5</v>
      </c>
      <c r="Q1625" s="24">
        <f t="shared" si="895"/>
        <v>6</v>
      </c>
      <c r="R1625" s="530">
        <f t="shared" si="896"/>
        <v>0.0214285714285714</v>
      </c>
    </row>
    <row r="1626" spans="1:18">
      <c r="A1626" s="524"/>
      <c r="B1626" s="540" t="s">
        <v>99</v>
      </c>
      <c r="C1626" s="551">
        <v>500</v>
      </c>
      <c r="D1626" s="551">
        <v>3337</v>
      </c>
      <c r="E1626" s="551">
        <v>302</v>
      </c>
      <c r="F1626" s="551">
        <v>0</v>
      </c>
      <c r="G1626" s="551">
        <v>0</v>
      </c>
      <c r="H1626" s="551">
        <v>10</v>
      </c>
      <c r="I1626" s="551">
        <v>0</v>
      </c>
      <c r="J1626" s="551">
        <v>1</v>
      </c>
      <c r="K1626" s="527">
        <f t="shared" si="889"/>
        <v>0.0905004495055439</v>
      </c>
      <c r="L1626" s="528">
        <f t="shared" si="890"/>
        <v>1.65562913907285</v>
      </c>
      <c r="M1626" s="528">
        <f t="shared" si="891"/>
        <v>149.835181300569</v>
      </c>
      <c r="N1626" s="528">
        <f t="shared" si="892"/>
        <v>0</v>
      </c>
      <c r="O1626" s="528">
        <f t="shared" si="893"/>
        <v>0</v>
      </c>
      <c r="P1626" s="529">
        <f t="shared" si="894"/>
        <v>50</v>
      </c>
      <c r="Q1626" s="24">
        <f t="shared" si="895"/>
        <v>10</v>
      </c>
      <c r="R1626" s="530">
        <f t="shared" si="896"/>
        <v>0.033112582781457</v>
      </c>
    </row>
    <row r="1627" spans="1:18">
      <c r="A1627" s="524"/>
      <c r="B1627" s="540" t="s">
        <v>100</v>
      </c>
      <c r="C1627" s="552">
        <v>538.47</v>
      </c>
      <c r="D1627" s="553">
        <v>37863</v>
      </c>
      <c r="E1627" s="551">
        <v>335</v>
      </c>
      <c r="F1627" s="551">
        <v>1</v>
      </c>
      <c r="G1627" s="551">
        <v>4198</v>
      </c>
      <c r="H1627" s="551">
        <v>13</v>
      </c>
      <c r="I1627" s="551">
        <v>4</v>
      </c>
      <c r="J1627" s="551">
        <v>0</v>
      </c>
      <c r="K1627" s="527">
        <f t="shared" si="889"/>
        <v>0.00884768771624013</v>
      </c>
      <c r="L1627" s="528">
        <f t="shared" si="890"/>
        <v>1.60737313432836</v>
      </c>
      <c r="M1627" s="528">
        <f t="shared" si="891"/>
        <v>14.2215355360114</v>
      </c>
      <c r="N1627" s="528">
        <f t="shared" si="892"/>
        <v>7.79616320314966</v>
      </c>
      <c r="O1627" s="528">
        <f t="shared" si="893"/>
        <v>0.00298507462686567</v>
      </c>
      <c r="P1627" s="529">
        <f t="shared" si="894"/>
        <v>31.6747058823529</v>
      </c>
      <c r="Q1627" s="24">
        <f t="shared" si="895"/>
        <v>17</v>
      </c>
      <c r="R1627" s="530">
        <f t="shared" si="896"/>
        <v>0.0507462686567164</v>
      </c>
    </row>
    <row r="1628" spans="1:18">
      <c r="A1628" s="524"/>
      <c r="B1628" s="540" t="s">
        <v>101</v>
      </c>
      <c r="C1628" s="551">
        <v>0</v>
      </c>
      <c r="D1628" s="551">
        <v>0</v>
      </c>
      <c r="E1628" s="551">
        <v>0</v>
      </c>
      <c r="F1628" s="551">
        <v>0</v>
      </c>
      <c r="G1628" s="551">
        <v>0</v>
      </c>
      <c r="H1628" s="551">
        <v>0</v>
      </c>
      <c r="I1628" s="551">
        <v>0</v>
      </c>
      <c r="J1628" s="551">
        <v>0</v>
      </c>
      <c r="K1628" s="527">
        <f t="shared" si="889"/>
        <v>0</v>
      </c>
      <c r="L1628" s="528">
        <f t="shared" si="890"/>
        <v>0</v>
      </c>
      <c r="M1628" s="528">
        <f t="shared" si="891"/>
        <v>0</v>
      </c>
      <c r="N1628" s="528">
        <f t="shared" si="892"/>
        <v>0</v>
      </c>
      <c r="O1628" s="528">
        <f t="shared" si="893"/>
        <v>0</v>
      </c>
      <c r="P1628" s="529">
        <f t="shared" si="894"/>
        <v>0</v>
      </c>
      <c r="Q1628" s="24">
        <f t="shared" si="895"/>
        <v>0</v>
      </c>
      <c r="R1628" s="530">
        <f t="shared" si="896"/>
        <v>0</v>
      </c>
    </row>
    <row r="1629" spans="1:18">
      <c r="A1629" s="524"/>
      <c r="B1629" s="531" t="s">
        <v>96</v>
      </c>
      <c r="C1629" s="533">
        <f t="shared" ref="C1629:J1629" si="905">SUM(C1625:C1628)</f>
        <v>1437.47</v>
      </c>
      <c r="D1629" s="533">
        <f t="shared" si="905"/>
        <v>50425</v>
      </c>
      <c r="E1629" s="533">
        <f t="shared" si="905"/>
        <v>917</v>
      </c>
      <c r="F1629" s="533">
        <f t="shared" si="905"/>
        <v>1</v>
      </c>
      <c r="G1629" s="533">
        <f t="shared" si="905"/>
        <v>4198</v>
      </c>
      <c r="H1629" s="533">
        <f t="shared" si="905"/>
        <v>27</v>
      </c>
      <c r="I1629" s="533">
        <f t="shared" si="905"/>
        <v>6</v>
      </c>
      <c r="J1629" s="533">
        <f t="shared" si="905"/>
        <v>2</v>
      </c>
      <c r="K1629" s="534">
        <f t="shared" si="889"/>
        <v>0.0181854238968765</v>
      </c>
      <c r="L1629" s="535">
        <f t="shared" si="890"/>
        <v>1.56757906215921</v>
      </c>
      <c r="M1629" s="535">
        <f t="shared" si="891"/>
        <v>28.5070897372335</v>
      </c>
      <c r="N1629" s="535">
        <f t="shared" si="892"/>
        <v>2.92040877374832</v>
      </c>
      <c r="O1629" s="535">
        <f t="shared" si="893"/>
        <v>0.00109051254089422</v>
      </c>
      <c r="P1629" s="536">
        <f t="shared" si="894"/>
        <v>43.559696969697</v>
      </c>
      <c r="Q1629" s="531">
        <f t="shared" si="895"/>
        <v>33</v>
      </c>
      <c r="R1629" s="537">
        <f t="shared" si="896"/>
        <v>0.0359869138495093</v>
      </c>
    </row>
    <row r="1630" spans="1:18">
      <c r="A1630" s="524">
        <v>45776</v>
      </c>
      <c r="B1630" s="540" t="s">
        <v>98</v>
      </c>
      <c r="C1630" s="551">
        <v>400</v>
      </c>
      <c r="D1630" s="553">
        <v>9456</v>
      </c>
      <c r="E1630" s="551">
        <v>282</v>
      </c>
      <c r="F1630" s="551">
        <v>0</v>
      </c>
      <c r="G1630" s="551">
        <v>0</v>
      </c>
      <c r="H1630" s="551">
        <v>12</v>
      </c>
      <c r="I1630" s="551">
        <v>0</v>
      </c>
      <c r="J1630" s="551">
        <v>1</v>
      </c>
      <c r="K1630" s="527">
        <f t="shared" si="889"/>
        <v>0.0298223350253807</v>
      </c>
      <c r="L1630" s="528">
        <f t="shared" si="890"/>
        <v>1.41843971631206</v>
      </c>
      <c r="M1630" s="528">
        <f t="shared" si="891"/>
        <v>42.3011844331641</v>
      </c>
      <c r="N1630" s="528">
        <f t="shared" si="892"/>
        <v>0</v>
      </c>
      <c r="O1630" s="528">
        <f t="shared" si="893"/>
        <v>0</v>
      </c>
      <c r="P1630" s="529">
        <f t="shared" si="894"/>
        <v>33.3333333333333</v>
      </c>
      <c r="Q1630" s="24">
        <f t="shared" si="895"/>
        <v>12</v>
      </c>
      <c r="R1630" s="530">
        <f t="shared" si="896"/>
        <v>0.0425531914893617</v>
      </c>
    </row>
    <row r="1631" spans="1:18">
      <c r="A1631" s="524"/>
      <c r="B1631" s="540" t="s">
        <v>99</v>
      </c>
      <c r="C1631" s="551">
        <v>0</v>
      </c>
      <c r="D1631" s="551">
        <v>0</v>
      </c>
      <c r="E1631" s="551">
        <v>0</v>
      </c>
      <c r="F1631" s="551">
        <v>0</v>
      </c>
      <c r="G1631" s="551">
        <v>0</v>
      </c>
      <c r="H1631" s="551">
        <v>0</v>
      </c>
      <c r="I1631" s="551">
        <v>0</v>
      </c>
      <c r="J1631" s="551">
        <v>0</v>
      </c>
      <c r="K1631" s="527">
        <f t="shared" si="889"/>
        <v>0</v>
      </c>
      <c r="L1631" s="528">
        <f t="shared" si="890"/>
        <v>0</v>
      </c>
      <c r="M1631" s="528">
        <f t="shared" si="891"/>
        <v>0</v>
      </c>
      <c r="N1631" s="528">
        <f t="shared" si="892"/>
        <v>0</v>
      </c>
      <c r="O1631" s="528">
        <f t="shared" si="893"/>
        <v>0</v>
      </c>
      <c r="P1631" s="529">
        <f t="shared" si="894"/>
        <v>0</v>
      </c>
      <c r="Q1631" s="24">
        <f t="shared" si="895"/>
        <v>0</v>
      </c>
      <c r="R1631" s="530">
        <f t="shared" si="896"/>
        <v>0</v>
      </c>
    </row>
    <row r="1632" spans="1:18">
      <c r="A1632" s="524"/>
      <c r="B1632" s="540" t="s">
        <v>100</v>
      </c>
      <c r="C1632" s="552">
        <v>538.42</v>
      </c>
      <c r="D1632" s="553">
        <v>23376</v>
      </c>
      <c r="E1632" s="551">
        <v>303</v>
      </c>
      <c r="F1632" s="551">
        <v>0</v>
      </c>
      <c r="G1632" s="551">
        <v>0</v>
      </c>
      <c r="H1632" s="551">
        <v>19</v>
      </c>
      <c r="I1632" s="551">
        <v>7</v>
      </c>
      <c r="J1632" s="551">
        <v>0</v>
      </c>
      <c r="K1632" s="527">
        <f t="shared" si="889"/>
        <v>0.0129620123203285</v>
      </c>
      <c r="L1632" s="528">
        <f t="shared" si="890"/>
        <v>1.77696369636964</v>
      </c>
      <c r="M1632" s="528">
        <f t="shared" si="891"/>
        <v>23.0330253251198</v>
      </c>
      <c r="N1632" s="528">
        <f t="shared" si="892"/>
        <v>0</v>
      </c>
      <c r="O1632" s="528">
        <f t="shared" si="893"/>
        <v>0</v>
      </c>
      <c r="P1632" s="529">
        <f t="shared" si="894"/>
        <v>20.7084615384615</v>
      </c>
      <c r="Q1632" s="24">
        <f t="shared" si="895"/>
        <v>26</v>
      </c>
      <c r="R1632" s="530">
        <f t="shared" si="896"/>
        <v>0.0858085808580858</v>
      </c>
    </row>
    <row r="1633" spans="1:18">
      <c r="A1633" s="524"/>
      <c r="B1633" s="540" t="s">
        <v>101</v>
      </c>
      <c r="C1633" s="551">
        <v>0</v>
      </c>
      <c r="D1633" s="551">
        <v>0</v>
      </c>
      <c r="E1633" s="551">
        <v>0</v>
      </c>
      <c r="F1633" s="551">
        <v>0</v>
      </c>
      <c r="G1633" s="551">
        <v>0</v>
      </c>
      <c r="H1633" s="551">
        <v>0</v>
      </c>
      <c r="I1633" s="551">
        <v>0</v>
      </c>
      <c r="J1633" s="551">
        <v>0</v>
      </c>
      <c r="K1633" s="527">
        <f t="shared" si="889"/>
        <v>0</v>
      </c>
      <c r="L1633" s="528">
        <f t="shared" si="890"/>
        <v>0</v>
      </c>
      <c r="M1633" s="528">
        <f t="shared" si="891"/>
        <v>0</v>
      </c>
      <c r="N1633" s="528">
        <f t="shared" si="892"/>
        <v>0</v>
      </c>
      <c r="O1633" s="528">
        <f t="shared" si="893"/>
        <v>0</v>
      </c>
      <c r="P1633" s="529">
        <f t="shared" si="894"/>
        <v>0</v>
      </c>
      <c r="Q1633" s="24">
        <f t="shared" si="895"/>
        <v>0</v>
      </c>
      <c r="R1633" s="530">
        <f t="shared" si="896"/>
        <v>0</v>
      </c>
    </row>
    <row r="1634" spans="1:18">
      <c r="A1634" s="524"/>
      <c r="B1634" s="531" t="s">
        <v>96</v>
      </c>
      <c r="C1634" s="533">
        <f t="shared" ref="C1634:J1634" si="906">SUM(C1630:C1633)</f>
        <v>938.42</v>
      </c>
      <c r="D1634" s="533">
        <f t="shared" si="906"/>
        <v>32832</v>
      </c>
      <c r="E1634" s="533">
        <f t="shared" si="906"/>
        <v>585</v>
      </c>
      <c r="F1634" s="533">
        <f t="shared" si="906"/>
        <v>0</v>
      </c>
      <c r="G1634" s="533">
        <f t="shared" si="906"/>
        <v>0</v>
      </c>
      <c r="H1634" s="533">
        <f t="shared" si="906"/>
        <v>31</v>
      </c>
      <c r="I1634" s="533">
        <f t="shared" si="906"/>
        <v>7</v>
      </c>
      <c r="J1634" s="533">
        <f t="shared" si="906"/>
        <v>1</v>
      </c>
      <c r="K1634" s="534">
        <f t="shared" si="889"/>
        <v>0.0178179824561404</v>
      </c>
      <c r="L1634" s="535">
        <f t="shared" si="890"/>
        <v>1.60413675213675</v>
      </c>
      <c r="M1634" s="535">
        <f t="shared" si="891"/>
        <v>28.5824805068226</v>
      </c>
      <c r="N1634" s="535">
        <f t="shared" si="892"/>
        <v>0</v>
      </c>
      <c r="O1634" s="535">
        <f t="shared" si="893"/>
        <v>0</v>
      </c>
      <c r="P1634" s="536">
        <f t="shared" si="894"/>
        <v>24.6952631578947</v>
      </c>
      <c r="Q1634" s="531">
        <f t="shared" si="895"/>
        <v>38</v>
      </c>
      <c r="R1634" s="537">
        <f t="shared" si="896"/>
        <v>0.064957264957265</v>
      </c>
    </row>
    <row r="1635" spans="1:18">
      <c r="A1635" s="524">
        <v>45777</v>
      </c>
      <c r="B1635" s="540" t="s">
        <v>98</v>
      </c>
      <c r="C1635" s="551">
        <v>399.09</v>
      </c>
      <c r="D1635" s="553">
        <v>10917</v>
      </c>
      <c r="E1635" s="551">
        <v>325</v>
      </c>
      <c r="F1635" s="551">
        <v>0</v>
      </c>
      <c r="G1635" s="551">
        <v>0</v>
      </c>
      <c r="H1635" s="551">
        <v>6</v>
      </c>
      <c r="I1635" s="551">
        <v>3</v>
      </c>
      <c r="J1635" s="551">
        <v>1</v>
      </c>
      <c r="K1635" s="527">
        <f t="shared" si="889"/>
        <v>0.0297700833562334</v>
      </c>
      <c r="L1635" s="528">
        <f t="shared" si="890"/>
        <v>1.22796923076923</v>
      </c>
      <c r="M1635" s="528">
        <f t="shared" si="891"/>
        <v>36.5567463588898</v>
      </c>
      <c r="N1635" s="528">
        <f t="shared" si="892"/>
        <v>0</v>
      </c>
      <c r="O1635" s="528">
        <f t="shared" si="893"/>
        <v>0</v>
      </c>
      <c r="P1635" s="529">
        <f t="shared" si="894"/>
        <v>44.3433333333333</v>
      </c>
      <c r="Q1635" s="24">
        <f t="shared" si="895"/>
        <v>9</v>
      </c>
      <c r="R1635" s="530">
        <f t="shared" si="896"/>
        <v>0.0276923076923077</v>
      </c>
    </row>
    <row r="1636" spans="1:18">
      <c r="A1636" s="524"/>
      <c r="B1636" s="540" t="s">
        <v>99</v>
      </c>
      <c r="C1636" s="551">
        <v>0</v>
      </c>
      <c r="D1636" s="551">
        <v>0</v>
      </c>
      <c r="E1636" s="551">
        <v>0</v>
      </c>
      <c r="F1636" s="551">
        <v>0</v>
      </c>
      <c r="G1636" s="551">
        <v>0</v>
      </c>
      <c r="H1636" s="551">
        <v>0</v>
      </c>
      <c r="I1636" s="551">
        <v>0</v>
      </c>
      <c r="J1636" s="551">
        <v>0</v>
      </c>
      <c r="K1636" s="527">
        <f t="shared" si="889"/>
        <v>0</v>
      </c>
      <c r="L1636" s="528">
        <f t="shared" si="890"/>
        <v>0</v>
      </c>
      <c r="M1636" s="528">
        <f t="shared" si="891"/>
        <v>0</v>
      </c>
      <c r="N1636" s="528">
        <f t="shared" si="892"/>
        <v>0</v>
      </c>
      <c r="O1636" s="528">
        <f t="shared" si="893"/>
        <v>0</v>
      </c>
      <c r="P1636" s="529">
        <f t="shared" si="894"/>
        <v>0</v>
      </c>
      <c r="Q1636" s="24">
        <f t="shared" si="895"/>
        <v>0</v>
      </c>
      <c r="R1636" s="530">
        <f t="shared" si="896"/>
        <v>0</v>
      </c>
    </row>
    <row r="1637" spans="1:18">
      <c r="A1637" s="524"/>
      <c r="B1637" s="540" t="s">
        <v>100</v>
      </c>
      <c r="C1637" s="552">
        <v>540.53</v>
      </c>
      <c r="D1637" s="553">
        <v>25627</v>
      </c>
      <c r="E1637" s="551">
        <v>308</v>
      </c>
      <c r="F1637" s="551">
        <v>0</v>
      </c>
      <c r="G1637" s="551">
        <v>0</v>
      </c>
      <c r="H1637" s="551">
        <v>21</v>
      </c>
      <c r="I1637" s="551">
        <v>6</v>
      </c>
      <c r="J1637" s="551">
        <v>0</v>
      </c>
      <c r="K1637" s="527">
        <f t="shared" si="889"/>
        <v>0.0120185741600656</v>
      </c>
      <c r="L1637" s="528">
        <f t="shared" si="890"/>
        <v>1.75496753246753</v>
      </c>
      <c r="M1637" s="528">
        <f t="shared" si="891"/>
        <v>21.0922074374683</v>
      </c>
      <c r="N1637" s="528">
        <f t="shared" si="892"/>
        <v>0</v>
      </c>
      <c r="O1637" s="528">
        <f t="shared" si="893"/>
        <v>0</v>
      </c>
      <c r="P1637" s="529">
        <f t="shared" si="894"/>
        <v>20.0196296296296</v>
      </c>
      <c r="Q1637" s="24">
        <f t="shared" si="895"/>
        <v>27</v>
      </c>
      <c r="R1637" s="530">
        <f t="shared" si="896"/>
        <v>0.0876623376623377</v>
      </c>
    </row>
    <row r="1638" spans="1:18">
      <c r="A1638" s="524"/>
      <c r="B1638" s="540" t="s">
        <v>101</v>
      </c>
      <c r="C1638" s="551">
        <v>0</v>
      </c>
      <c r="D1638" s="551">
        <v>0</v>
      </c>
      <c r="E1638" s="551">
        <v>0</v>
      </c>
      <c r="F1638" s="551">
        <v>0</v>
      </c>
      <c r="G1638" s="551">
        <v>0</v>
      </c>
      <c r="H1638" s="551">
        <v>0</v>
      </c>
      <c r="I1638" s="551">
        <v>0</v>
      </c>
      <c r="J1638" s="551">
        <v>0</v>
      </c>
      <c r="K1638" s="527">
        <f t="shared" si="889"/>
        <v>0</v>
      </c>
      <c r="L1638" s="528">
        <f t="shared" si="890"/>
        <v>0</v>
      </c>
      <c r="M1638" s="528">
        <f t="shared" si="891"/>
        <v>0</v>
      </c>
      <c r="N1638" s="528">
        <f t="shared" si="892"/>
        <v>0</v>
      </c>
      <c r="O1638" s="528">
        <f t="shared" si="893"/>
        <v>0</v>
      </c>
      <c r="P1638" s="529">
        <f t="shared" si="894"/>
        <v>0</v>
      </c>
      <c r="Q1638" s="24">
        <f t="shared" si="895"/>
        <v>0</v>
      </c>
      <c r="R1638" s="530">
        <f t="shared" si="896"/>
        <v>0</v>
      </c>
    </row>
    <row r="1639" spans="1:18">
      <c r="A1639" s="524"/>
      <c r="B1639" s="531" t="s">
        <v>96</v>
      </c>
      <c r="C1639" s="533">
        <f t="shared" ref="C1639:J1639" si="907">SUM(C1635:C1638)</f>
        <v>939.62</v>
      </c>
      <c r="D1639" s="533">
        <f t="shared" si="907"/>
        <v>36544</v>
      </c>
      <c r="E1639" s="533">
        <f t="shared" si="907"/>
        <v>633</v>
      </c>
      <c r="F1639" s="533">
        <f t="shared" si="907"/>
        <v>0</v>
      </c>
      <c r="G1639" s="533">
        <f t="shared" si="907"/>
        <v>0</v>
      </c>
      <c r="H1639" s="533">
        <f t="shared" si="907"/>
        <v>27</v>
      </c>
      <c r="I1639" s="533">
        <f t="shared" si="907"/>
        <v>9</v>
      </c>
      <c r="J1639" s="533">
        <f t="shared" si="907"/>
        <v>1</v>
      </c>
      <c r="K1639" s="534">
        <f t="shared" si="889"/>
        <v>0.017321584938704</v>
      </c>
      <c r="L1639" s="535">
        <f t="shared" si="890"/>
        <v>1.48439178515008</v>
      </c>
      <c r="M1639" s="535">
        <f t="shared" si="891"/>
        <v>25.7120183887916</v>
      </c>
      <c r="N1639" s="535">
        <f t="shared" si="892"/>
        <v>0</v>
      </c>
      <c r="O1639" s="535">
        <f t="shared" si="893"/>
        <v>0</v>
      </c>
      <c r="P1639" s="536">
        <f t="shared" si="894"/>
        <v>26.1005555555556</v>
      </c>
      <c r="Q1639" s="531">
        <f t="shared" si="895"/>
        <v>36</v>
      </c>
      <c r="R1639" s="537">
        <f t="shared" si="896"/>
        <v>0.0568720379146919</v>
      </c>
    </row>
    <row r="1640" spans="1:18">
      <c r="A1640" s="524">
        <v>45778</v>
      </c>
      <c r="B1640" s="540" t="s">
        <v>98</v>
      </c>
      <c r="C1640" s="551">
        <v>400</v>
      </c>
      <c r="D1640" s="553">
        <v>8874</v>
      </c>
      <c r="E1640" s="551">
        <v>277</v>
      </c>
      <c r="F1640" s="551">
        <v>0</v>
      </c>
      <c r="G1640" s="551">
        <v>0</v>
      </c>
      <c r="H1640" s="551">
        <v>12</v>
      </c>
      <c r="I1640" s="551">
        <v>3</v>
      </c>
      <c r="J1640" s="551">
        <v>1</v>
      </c>
      <c r="K1640" s="527">
        <f t="shared" si="889"/>
        <v>0.0312147847644805</v>
      </c>
      <c r="L1640" s="528">
        <f t="shared" si="890"/>
        <v>1.44404332129964</v>
      </c>
      <c r="M1640" s="528">
        <f t="shared" si="891"/>
        <v>45.0755014649538</v>
      </c>
      <c r="N1640" s="528">
        <f t="shared" si="892"/>
        <v>0</v>
      </c>
      <c r="O1640" s="528">
        <f t="shared" si="893"/>
        <v>0</v>
      </c>
      <c r="P1640" s="529">
        <f t="shared" si="894"/>
        <v>26.6666666666667</v>
      </c>
      <c r="Q1640" s="24">
        <f t="shared" si="895"/>
        <v>15</v>
      </c>
      <c r="R1640" s="530">
        <f t="shared" si="896"/>
        <v>0.0541516245487365</v>
      </c>
    </row>
    <row r="1641" spans="1:18">
      <c r="A1641" s="524"/>
      <c r="B1641" s="540" t="s">
        <v>99</v>
      </c>
      <c r="C1641" s="551">
        <v>0</v>
      </c>
      <c r="D1641" s="551">
        <v>0</v>
      </c>
      <c r="E1641" s="551">
        <v>0</v>
      </c>
      <c r="F1641" s="551">
        <v>0</v>
      </c>
      <c r="G1641" s="551">
        <v>0</v>
      </c>
      <c r="H1641" s="551">
        <v>0</v>
      </c>
      <c r="I1641" s="551">
        <v>0</v>
      </c>
      <c r="J1641" s="551">
        <v>0</v>
      </c>
      <c r="K1641" s="527">
        <f t="shared" si="889"/>
        <v>0</v>
      </c>
      <c r="L1641" s="528">
        <f t="shared" si="890"/>
        <v>0</v>
      </c>
      <c r="M1641" s="528">
        <f t="shared" si="891"/>
        <v>0</v>
      </c>
      <c r="N1641" s="528">
        <f t="shared" si="892"/>
        <v>0</v>
      </c>
      <c r="O1641" s="528">
        <f t="shared" si="893"/>
        <v>0</v>
      </c>
      <c r="P1641" s="529">
        <f t="shared" si="894"/>
        <v>0</v>
      </c>
      <c r="Q1641" s="24">
        <f t="shared" si="895"/>
        <v>0</v>
      </c>
      <c r="R1641" s="530">
        <f t="shared" si="896"/>
        <v>0</v>
      </c>
    </row>
    <row r="1642" spans="1:18">
      <c r="A1642" s="524"/>
      <c r="B1642" s="540" t="s">
        <v>100</v>
      </c>
      <c r="C1642" s="552">
        <v>532.64</v>
      </c>
      <c r="D1642" s="553">
        <v>24592</v>
      </c>
      <c r="E1642" s="551">
        <v>316</v>
      </c>
      <c r="F1642" s="551">
        <v>0</v>
      </c>
      <c r="G1642" s="551">
        <v>0</v>
      </c>
      <c r="H1642" s="551">
        <v>10</v>
      </c>
      <c r="I1642" s="551">
        <v>8</v>
      </c>
      <c r="J1642" s="551">
        <v>0</v>
      </c>
      <c r="K1642" s="527">
        <f t="shared" si="889"/>
        <v>0.0128497072218608</v>
      </c>
      <c r="L1642" s="528">
        <f t="shared" si="890"/>
        <v>1.68556962025316</v>
      </c>
      <c r="M1642" s="528">
        <f t="shared" si="891"/>
        <v>21.6590761223162</v>
      </c>
      <c r="N1642" s="528">
        <f t="shared" si="892"/>
        <v>0</v>
      </c>
      <c r="O1642" s="528">
        <f t="shared" si="893"/>
        <v>0</v>
      </c>
      <c r="P1642" s="529">
        <f t="shared" si="894"/>
        <v>29.5911111111111</v>
      </c>
      <c r="Q1642" s="24">
        <f t="shared" si="895"/>
        <v>18</v>
      </c>
      <c r="R1642" s="530">
        <f t="shared" si="896"/>
        <v>0.0569620253164557</v>
      </c>
    </row>
    <row r="1643" spans="1:18">
      <c r="A1643" s="524"/>
      <c r="B1643" s="540" t="s">
        <v>101</v>
      </c>
      <c r="C1643" s="551">
        <v>0</v>
      </c>
      <c r="D1643" s="551">
        <v>0</v>
      </c>
      <c r="E1643" s="551">
        <v>0</v>
      </c>
      <c r="F1643" s="551">
        <v>0</v>
      </c>
      <c r="G1643" s="551">
        <v>0</v>
      </c>
      <c r="H1643" s="551">
        <v>0</v>
      </c>
      <c r="I1643" s="551">
        <v>0</v>
      </c>
      <c r="J1643" s="551">
        <v>0</v>
      </c>
      <c r="K1643" s="527">
        <f t="shared" si="889"/>
        <v>0</v>
      </c>
      <c r="L1643" s="528">
        <f t="shared" si="890"/>
        <v>0</v>
      </c>
      <c r="M1643" s="528">
        <f t="shared" si="891"/>
        <v>0</v>
      </c>
      <c r="N1643" s="528">
        <f t="shared" si="892"/>
        <v>0</v>
      </c>
      <c r="O1643" s="528">
        <f t="shared" si="893"/>
        <v>0</v>
      </c>
      <c r="P1643" s="529">
        <f t="shared" si="894"/>
        <v>0</v>
      </c>
      <c r="Q1643" s="24">
        <f t="shared" si="895"/>
        <v>0</v>
      </c>
      <c r="R1643" s="530">
        <f t="shared" si="896"/>
        <v>0</v>
      </c>
    </row>
    <row r="1644" spans="1:18">
      <c r="A1644" s="524"/>
      <c r="B1644" s="531" t="s">
        <v>96</v>
      </c>
      <c r="C1644" s="533">
        <f t="shared" ref="C1644:J1644" si="908">SUM(C1640:C1643)</f>
        <v>932.64</v>
      </c>
      <c r="D1644" s="533">
        <f t="shared" si="908"/>
        <v>33466</v>
      </c>
      <c r="E1644" s="533">
        <f t="shared" si="908"/>
        <v>593</v>
      </c>
      <c r="F1644" s="533">
        <f t="shared" si="908"/>
        <v>0</v>
      </c>
      <c r="G1644" s="533">
        <f t="shared" si="908"/>
        <v>0</v>
      </c>
      <c r="H1644" s="533">
        <f t="shared" si="908"/>
        <v>22</v>
      </c>
      <c r="I1644" s="533">
        <f t="shared" si="908"/>
        <v>11</v>
      </c>
      <c r="J1644" s="533">
        <f t="shared" si="908"/>
        <v>1</v>
      </c>
      <c r="K1644" s="534">
        <f t="shared" si="889"/>
        <v>0.0177194764835953</v>
      </c>
      <c r="L1644" s="535">
        <f t="shared" si="890"/>
        <v>1.57274873524452</v>
      </c>
      <c r="M1644" s="535">
        <f t="shared" si="891"/>
        <v>27.8682842287695</v>
      </c>
      <c r="N1644" s="535">
        <f t="shared" si="892"/>
        <v>0</v>
      </c>
      <c r="O1644" s="535">
        <f t="shared" si="893"/>
        <v>0</v>
      </c>
      <c r="P1644" s="536">
        <f t="shared" si="894"/>
        <v>28.2618181818182</v>
      </c>
      <c r="Q1644" s="531">
        <f t="shared" si="895"/>
        <v>33</v>
      </c>
      <c r="R1644" s="537">
        <f t="shared" si="896"/>
        <v>0.0556492411467116</v>
      </c>
    </row>
    <row r="1645" spans="1:18">
      <c r="A1645" s="524">
        <v>45779</v>
      </c>
      <c r="B1645" s="540" t="s">
        <v>98</v>
      </c>
      <c r="C1645" s="551">
        <v>398.07</v>
      </c>
      <c r="D1645" s="553">
        <v>11603</v>
      </c>
      <c r="E1645" s="551">
        <v>308</v>
      </c>
      <c r="F1645" s="551">
        <v>0</v>
      </c>
      <c r="G1645" s="551">
        <v>0</v>
      </c>
      <c r="H1645" s="551">
        <v>1</v>
      </c>
      <c r="I1645" s="551">
        <v>5</v>
      </c>
      <c r="J1645" s="551">
        <v>0</v>
      </c>
      <c r="K1645" s="527">
        <f t="shared" si="889"/>
        <v>0.0265448590881669</v>
      </c>
      <c r="L1645" s="528">
        <f t="shared" si="890"/>
        <v>1.29243506493506</v>
      </c>
      <c r="M1645" s="528">
        <f t="shared" si="891"/>
        <v>34.3075066793071</v>
      </c>
      <c r="N1645" s="528">
        <f t="shared" si="892"/>
        <v>0</v>
      </c>
      <c r="O1645" s="528">
        <f t="shared" si="893"/>
        <v>0</v>
      </c>
      <c r="P1645" s="529">
        <f t="shared" si="894"/>
        <v>66.345</v>
      </c>
      <c r="Q1645" s="24">
        <f t="shared" si="895"/>
        <v>6</v>
      </c>
      <c r="R1645" s="530">
        <f t="shared" si="896"/>
        <v>0.0194805194805195</v>
      </c>
    </row>
    <row r="1646" spans="1:18">
      <c r="A1646" s="524"/>
      <c r="B1646" s="540" t="s">
        <v>99</v>
      </c>
      <c r="C1646" s="551">
        <v>0</v>
      </c>
      <c r="D1646" s="551">
        <v>0</v>
      </c>
      <c r="E1646" s="551">
        <v>0</v>
      </c>
      <c r="F1646" s="551">
        <v>0</v>
      </c>
      <c r="G1646" s="551">
        <v>0</v>
      </c>
      <c r="H1646" s="551">
        <v>0</v>
      </c>
      <c r="I1646" s="551">
        <v>0</v>
      </c>
      <c r="J1646" s="551">
        <v>0</v>
      </c>
      <c r="K1646" s="527">
        <f t="shared" si="889"/>
        <v>0</v>
      </c>
      <c r="L1646" s="528">
        <f t="shared" si="890"/>
        <v>0</v>
      </c>
      <c r="M1646" s="528">
        <f t="shared" si="891"/>
        <v>0</v>
      </c>
      <c r="N1646" s="528">
        <f t="shared" si="892"/>
        <v>0</v>
      </c>
      <c r="O1646" s="528">
        <f t="shared" si="893"/>
        <v>0</v>
      </c>
      <c r="P1646" s="529">
        <f t="shared" si="894"/>
        <v>0</v>
      </c>
      <c r="Q1646" s="24">
        <f t="shared" si="895"/>
        <v>0</v>
      </c>
      <c r="R1646" s="530">
        <f t="shared" si="896"/>
        <v>0</v>
      </c>
    </row>
    <row r="1647" spans="1:18">
      <c r="A1647" s="524"/>
      <c r="B1647" s="540" t="s">
        <v>100</v>
      </c>
      <c r="C1647" s="552">
        <v>540.7</v>
      </c>
      <c r="D1647" s="553">
        <v>32505</v>
      </c>
      <c r="E1647" s="551">
        <v>402</v>
      </c>
      <c r="F1647" s="551">
        <v>0</v>
      </c>
      <c r="G1647" s="551">
        <v>0</v>
      </c>
      <c r="H1647" s="551">
        <v>9</v>
      </c>
      <c r="I1647" s="551">
        <v>8</v>
      </c>
      <c r="J1647" s="551">
        <v>1</v>
      </c>
      <c r="K1647" s="527">
        <f t="shared" si="889"/>
        <v>0.0123673281033687</v>
      </c>
      <c r="L1647" s="528">
        <f t="shared" si="890"/>
        <v>1.34502487562189</v>
      </c>
      <c r="M1647" s="528">
        <f t="shared" si="891"/>
        <v>16.6343639440086</v>
      </c>
      <c r="N1647" s="528">
        <f t="shared" si="892"/>
        <v>0</v>
      </c>
      <c r="O1647" s="528">
        <f t="shared" si="893"/>
        <v>0</v>
      </c>
      <c r="P1647" s="529">
        <f t="shared" si="894"/>
        <v>31.8058823529412</v>
      </c>
      <c r="Q1647" s="24">
        <f t="shared" si="895"/>
        <v>17</v>
      </c>
      <c r="R1647" s="530">
        <f t="shared" si="896"/>
        <v>0.0422885572139304</v>
      </c>
    </row>
    <row r="1648" spans="1:18">
      <c r="A1648" s="524"/>
      <c r="B1648" s="540" t="s">
        <v>101</v>
      </c>
      <c r="C1648" s="551">
        <v>0</v>
      </c>
      <c r="D1648" s="551">
        <v>0</v>
      </c>
      <c r="E1648" s="551">
        <v>0</v>
      </c>
      <c r="F1648" s="551">
        <v>0</v>
      </c>
      <c r="G1648" s="551">
        <v>0</v>
      </c>
      <c r="H1648" s="551">
        <v>0</v>
      </c>
      <c r="I1648" s="551">
        <v>0</v>
      </c>
      <c r="J1648" s="551">
        <v>0</v>
      </c>
      <c r="K1648" s="527">
        <f t="shared" si="889"/>
        <v>0</v>
      </c>
      <c r="L1648" s="528">
        <f t="shared" si="890"/>
        <v>0</v>
      </c>
      <c r="M1648" s="528">
        <f t="shared" si="891"/>
        <v>0</v>
      </c>
      <c r="N1648" s="528">
        <f t="shared" si="892"/>
        <v>0</v>
      </c>
      <c r="O1648" s="528">
        <f t="shared" si="893"/>
        <v>0</v>
      </c>
      <c r="P1648" s="529">
        <f t="shared" si="894"/>
        <v>0</v>
      </c>
      <c r="Q1648" s="24">
        <f t="shared" si="895"/>
        <v>0</v>
      </c>
      <c r="R1648" s="530">
        <f t="shared" si="896"/>
        <v>0</v>
      </c>
    </row>
    <row r="1649" spans="1:18">
      <c r="A1649" s="524"/>
      <c r="B1649" s="531" t="s">
        <v>96</v>
      </c>
      <c r="C1649" s="533">
        <f t="shared" ref="C1649:J1649" si="909">SUM(C1645:C1648)</f>
        <v>938.77</v>
      </c>
      <c r="D1649" s="533">
        <f t="shared" si="909"/>
        <v>44108</v>
      </c>
      <c r="E1649" s="533">
        <f t="shared" si="909"/>
        <v>710</v>
      </c>
      <c r="F1649" s="533">
        <f t="shared" si="909"/>
        <v>0</v>
      </c>
      <c r="G1649" s="533">
        <f t="shared" si="909"/>
        <v>0</v>
      </c>
      <c r="H1649" s="533">
        <f t="shared" si="909"/>
        <v>10</v>
      </c>
      <c r="I1649" s="533">
        <f t="shared" si="909"/>
        <v>13</v>
      </c>
      <c r="J1649" s="533">
        <f t="shared" si="909"/>
        <v>1</v>
      </c>
      <c r="K1649" s="534">
        <f t="shared" ref="K1649:K1689" si="910">IF(E1649=0,0,E1649/D1649)</f>
        <v>0.0160968531785617</v>
      </c>
      <c r="L1649" s="535">
        <f t="shared" ref="L1649:L1689" si="911">IF(C1649=0,0,C1649/E1649)</f>
        <v>1.32221126760563</v>
      </c>
      <c r="M1649" s="535">
        <f t="shared" ref="M1649:M1689" si="912">IF(D1649=0,0,C1649/D1649*1000)</f>
        <v>21.2834406456879</v>
      </c>
      <c r="N1649" s="535">
        <f t="shared" ref="N1649:N1689" si="913">IF(G1649=0,0,G1649/C1649)</f>
        <v>0</v>
      </c>
      <c r="O1649" s="535">
        <f t="shared" ref="O1649:O1689" si="914">IF(F1649=0,0,F1649/E1649)</f>
        <v>0</v>
      </c>
      <c r="P1649" s="536">
        <f t="shared" ref="P1649:P1689" si="915">IF(H1649+I1649=0,0,C1649/(H1649+I1649))</f>
        <v>40.8160869565217</v>
      </c>
      <c r="Q1649" s="531">
        <f t="shared" ref="Q1649:Q1689" si="916">H1649+I1649</f>
        <v>23</v>
      </c>
      <c r="R1649" s="537">
        <f t="shared" ref="R1649:R1689" si="917">IF(Q1649=0,0,Q1649/E1649)</f>
        <v>0.0323943661971831</v>
      </c>
    </row>
    <row r="1650" spans="1:18">
      <c r="A1650" s="524">
        <v>45780</v>
      </c>
      <c r="B1650" s="540" t="s">
        <v>98</v>
      </c>
      <c r="C1650" s="551">
        <v>400</v>
      </c>
      <c r="D1650" s="553">
        <v>11479</v>
      </c>
      <c r="E1650" s="551">
        <v>312</v>
      </c>
      <c r="F1650" s="551">
        <v>1</v>
      </c>
      <c r="G1650" s="551">
        <v>47048</v>
      </c>
      <c r="H1650" s="551">
        <v>1</v>
      </c>
      <c r="I1650" s="551">
        <v>2</v>
      </c>
      <c r="J1650" s="551">
        <v>1</v>
      </c>
      <c r="K1650" s="527">
        <f t="shared" si="910"/>
        <v>0.0271800679501699</v>
      </c>
      <c r="L1650" s="528">
        <f t="shared" si="911"/>
        <v>1.28205128205128</v>
      </c>
      <c r="M1650" s="528">
        <f t="shared" si="912"/>
        <v>34.8462409617563</v>
      </c>
      <c r="N1650" s="528">
        <f t="shared" si="913"/>
        <v>117.62</v>
      </c>
      <c r="O1650" s="528">
        <f t="shared" si="914"/>
        <v>0.00320512820512821</v>
      </c>
      <c r="P1650" s="529">
        <f t="shared" si="915"/>
        <v>133.333333333333</v>
      </c>
      <c r="Q1650" s="24">
        <f t="shared" si="916"/>
        <v>3</v>
      </c>
      <c r="R1650" s="530">
        <f t="shared" si="917"/>
        <v>0.00961538461538462</v>
      </c>
    </row>
    <row r="1651" spans="1:18">
      <c r="A1651" s="524"/>
      <c r="B1651" s="540" t="s">
        <v>99</v>
      </c>
      <c r="C1651" s="551">
        <v>0</v>
      </c>
      <c r="D1651" s="551">
        <v>0</v>
      </c>
      <c r="E1651" s="551">
        <v>0</v>
      </c>
      <c r="F1651" s="551">
        <v>0</v>
      </c>
      <c r="G1651" s="551">
        <v>0</v>
      </c>
      <c r="H1651" s="551">
        <v>0</v>
      </c>
      <c r="I1651" s="551">
        <v>0</v>
      </c>
      <c r="J1651" s="551">
        <v>0</v>
      </c>
      <c r="K1651" s="527">
        <f t="shared" si="910"/>
        <v>0</v>
      </c>
      <c r="L1651" s="528">
        <f t="shared" si="911"/>
        <v>0</v>
      </c>
      <c r="M1651" s="528">
        <f t="shared" si="912"/>
        <v>0</v>
      </c>
      <c r="N1651" s="528">
        <f t="shared" si="913"/>
        <v>0</v>
      </c>
      <c r="O1651" s="528">
        <f t="shared" si="914"/>
        <v>0</v>
      </c>
      <c r="P1651" s="529">
        <f t="shared" si="915"/>
        <v>0</v>
      </c>
      <c r="Q1651" s="24">
        <f t="shared" si="916"/>
        <v>0</v>
      </c>
      <c r="R1651" s="530">
        <f t="shared" si="917"/>
        <v>0</v>
      </c>
    </row>
    <row r="1652" spans="1:18">
      <c r="A1652" s="524"/>
      <c r="B1652" s="540" t="s">
        <v>100</v>
      </c>
      <c r="C1652" s="552">
        <v>542.49</v>
      </c>
      <c r="D1652" s="553">
        <v>38252</v>
      </c>
      <c r="E1652" s="551">
        <v>367</v>
      </c>
      <c r="F1652" s="551">
        <v>0</v>
      </c>
      <c r="G1652" s="551">
        <v>0</v>
      </c>
      <c r="H1652" s="551">
        <v>17</v>
      </c>
      <c r="I1652" s="551">
        <v>3</v>
      </c>
      <c r="J1652" s="551">
        <v>0</v>
      </c>
      <c r="K1652" s="527">
        <f t="shared" si="910"/>
        <v>0.00959426958067552</v>
      </c>
      <c r="L1652" s="528">
        <f t="shared" si="911"/>
        <v>1.47817438692098</v>
      </c>
      <c r="M1652" s="528">
        <f t="shared" si="912"/>
        <v>14.1820035553697</v>
      </c>
      <c r="N1652" s="528">
        <f t="shared" si="913"/>
        <v>0</v>
      </c>
      <c r="O1652" s="528">
        <f t="shared" si="914"/>
        <v>0</v>
      </c>
      <c r="P1652" s="529">
        <f t="shared" si="915"/>
        <v>27.1245</v>
      </c>
      <c r="Q1652" s="24">
        <f t="shared" si="916"/>
        <v>20</v>
      </c>
      <c r="R1652" s="530">
        <f t="shared" si="917"/>
        <v>0.0544959128065395</v>
      </c>
    </row>
    <row r="1653" spans="1:18">
      <c r="A1653" s="524"/>
      <c r="B1653" s="540" t="s">
        <v>101</v>
      </c>
      <c r="C1653" s="551">
        <v>0</v>
      </c>
      <c r="D1653" s="551">
        <v>0</v>
      </c>
      <c r="E1653" s="551">
        <v>0</v>
      </c>
      <c r="F1653" s="551">
        <v>0</v>
      </c>
      <c r="G1653" s="551">
        <v>0</v>
      </c>
      <c r="H1653" s="551">
        <v>0</v>
      </c>
      <c r="I1653" s="551">
        <v>0</v>
      </c>
      <c r="J1653" s="551">
        <v>0</v>
      </c>
      <c r="K1653" s="527">
        <f t="shared" si="910"/>
        <v>0</v>
      </c>
      <c r="L1653" s="528">
        <f t="shared" si="911"/>
        <v>0</v>
      </c>
      <c r="M1653" s="528">
        <f t="shared" si="912"/>
        <v>0</v>
      </c>
      <c r="N1653" s="528">
        <f t="shared" si="913"/>
        <v>0</v>
      </c>
      <c r="O1653" s="528">
        <f t="shared" si="914"/>
        <v>0</v>
      </c>
      <c r="P1653" s="529">
        <f t="shared" si="915"/>
        <v>0</v>
      </c>
      <c r="Q1653" s="24">
        <f t="shared" si="916"/>
        <v>0</v>
      </c>
      <c r="R1653" s="530">
        <f t="shared" si="917"/>
        <v>0</v>
      </c>
    </row>
    <row r="1654" spans="1:18">
      <c r="A1654" s="524"/>
      <c r="B1654" s="531" t="s">
        <v>96</v>
      </c>
      <c r="C1654" s="533">
        <f t="shared" ref="C1654:J1654" si="918">SUM(C1650:C1653)</f>
        <v>942.49</v>
      </c>
      <c r="D1654" s="533">
        <f t="shared" si="918"/>
        <v>49731</v>
      </c>
      <c r="E1654" s="533">
        <f t="shared" si="918"/>
        <v>679</v>
      </c>
      <c r="F1654" s="533">
        <f t="shared" si="918"/>
        <v>1</v>
      </c>
      <c r="G1654" s="533">
        <f t="shared" si="918"/>
        <v>47048</v>
      </c>
      <c r="H1654" s="533">
        <f t="shared" si="918"/>
        <v>18</v>
      </c>
      <c r="I1654" s="533">
        <f t="shared" si="918"/>
        <v>5</v>
      </c>
      <c r="J1654" s="533">
        <f t="shared" si="918"/>
        <v>1</v>
      </c>
      <c r="K1654" s="534">
        <f t="shared" si="910"/>
        <v>0.01365345559108</v>
      </c>
      <c r="L1654" s="535">
        <f t="shared" si="911"/>
        <v>1.3880559646539</v>
      </c>
      <c r="M1654" s="535">
        <f t="shared" si="912"/>
        <v>18.9517604713358</v>
      </c>
      <c r="N1654" s="535">
        <f t="shared" si="913"/>
        <v>49.9188320300481</v>
      </c>
      <c r="O1654" s="535">
        <f t="shared" si="914"/>
        <v>0.00147275405007364</v>
      </c>
      <c r="P1654" s="536">
        <f t="shared" si="915"/>
        <v>40.9778260869565</v>
      </c>
      <c r="Q1654" s="531">
        <f t="shared" si="916"/>
        <v>23</v>
      </c>
      <c r="R1654" s="537">
        <f t="shared" si="917"/>
        <v>0.0338733431516937</v>
      </c>
    </row>
    <row r="1655" spans="1:18">
      <c r="A1655" s="524">
        <v>45781</v>
      </c>
      <c r="B1655" s="540" t="s">
        <v>98</v>
      </c>
      <c r="C1655" s="551">
        <v>399.6</v>
      </c>
      <c r="D1655" s="553">
        <v>14733</v>
      </c>
      <c r="E1655" s="551">
        <v>349</v>
      </c>
      <c r="F1655" s="551">
        <v>0</v>
      </c>
      <c r="G1655" s="551">
        <v>0</v>
      </c>
      <c r="H1655" s="551">
        <v>17</v>
      </c>
      <c r="I1655" s="551">
        <v>0</v>
      </c>
      <c r="J1655" s="551">
        <v>2</v>
      </c>
      <c r="K1655" s="527">
        <f t="shared" si="910"/>
        <v>0.023688318740243</v>
      </c>
      <c r="L1655" s="528">
        <f t="shared" si="911"/>
        <v>1.14498567335244</v>
      </c>
      <c r="M1655" s="528">
        <f t="shared" si="912"/>
        <v>27.1227855833842</v>
      </c>
      <c r="N1655" s="528">
        <f t="shared" si="913"/>
        <v>0</v>
      </c>
      <c r="O1655" s="528">
        <f t="shared" si="914"/>
        <v>0</v>
      </c>
      <c r="P1655" s="529">
        <f t="shared" si="915"/>
        <v>23.5058823529412</v>
      </c>
      <c r="Q1655" s="24">
        <f t="shared" si="916"/>
        <v>17</v>
      </c>
      <c r="R1655" s="530">
        <f t="shared" si="917"/>
        <v>0.0487106017191977</v>
      </c>
    </row>
    <row r="1656" spans="1:18">
      <c r="A1656" s="524"/>
      <c r="B1656" s="540" t="s">
        <v>99</v>
      </c>
      <c r="C1656" s="551">
        <v>0</v>
      </c>
      <c r="D1656" s="551">
        <v>0</v>
      </c>
      <c r="E1656" s="551">
        <v>0</v>
      </c>
      <c r="F1656" s="551">
        <v>0</v>
      </c>
      <c r="G1656" s="551">
        <v>0</v>
      </c>
      <c r="H1656" s="551">
        <v>0</v>
      </c>
      <c r="I1656" s="551">
        <v>0</v>
      </c>
      <c r="J1656" s="551">
        <v>0</v>
      </c>
      <c r="K1656" s="527">
        <f t="shared" si="910"/>
        <v>0</v>
      </c>
      <c r="L1656" s="528">
        <f t="shared" si="911"/>
        <v>0</v>
      </c>
      <c r="M1656" s="528">
        <f t="shared" si="912"/>
        <v>0</v>
      </c>
      <c r="N1656" s="528">
        <f t="shared" si="913"/>
        <v>0</v>
      </c>
      <c r="O1656" s="528">
        <f t="shared" si="914"/>
        <v>0</v>
      </c>
      <c r="P1656" s="529">
        <f t="shared" si="915"/>
        <v>0</v>
      </c>
      <c r="Q1656" s="24">
        <f t="shared" si="916"/>
        <v>0</v>
      </c>
      <c r="R1656" s="530">
        <f t="shared" si="917"/>
        <v>0</v>
      </c>
    </row>
    <row r="1657" spans="1:18">
      <c r="A1657" s="524"/>
      <c r="B1657" s="540" t="s">
        <v>100</v>
      </c>
      <c r="C1657" s="552">
        <v>537.5</v>
      </c>
      <c r="D1657" s="553">
        <v>29766</v>
      </c>
      <c r="E1657" s="551">
        <v>372</v>
      </c>
      <c r="F1657" s="551">
        <v>0</v>
      </c>
      <c r="G1657" s="551">
        <v>0</v>
      </c>
      <c r="H1657" s="551">
        <v>9</v>
      </c>
      <c r="I1657" s="551">
        <v>7</v>
      </c>
      <c r="J1657" s="551">
        <v>1</v>
      </c>
      <c r="K1657" s="527">
        <f t="shared" si="910"/>
        <v>0.0124974803467043</v>
      </c>
      <c r="L1657" s="528">
        <f t="shared" si="911"/>
        <v>1.44489247311828</v>
      </c>
      <c r="M1657" s="528">
        <f t="shared" si="912"/>
        <v>18.0575152858967</v>
      </c>
      <c r="N1657" s="528">
        <f t="shared" si="913"/>
        <v>0</v>
      </c>
      <c r="O1657" s="528">
        <f t="shared" si="914"/>
        <v>0</v>
      </c>
      <c r="P1657" s="529">
        <f t="shared" si="915"/>
        <v>33.59375</v>
      </c>
      <c r="Q1657" s="24">
        <f t="shared" si="916"/>
        <v>16</v>
      </c>
      <c r="R1657" s="530">
        <f t="shared" si="917"/>
        <v>0.043010752688172</v>
      </c>
    </row>
    <row r="1658" spans="1:18">
      <c r="A1658" s="524"/>
      <c r="B1658" s="540" t="s">
        <v>101</v>
      </c>
      <c r="C1658" s="551">
        <v>0</v>
      </c>
      <c r="D1658" s="551">
        <v>0</v>
      </c>
      <c r="E1658" s="551">
        <v>0</v>
      </c>
      <c r="F1658" s="551">
        <v>0</v>
      </c>
      <c r="G1658" s="551">
        <v>0</v>
      </c>
      <c r="H1658" s="551">
        <v>0</v>
      </c>
      <c r="I1658" s="551">
        <v>0</v>
      </c>
      <c r="J1658" s="551">
        <v>0</v>
      </c>
      <c r="K1658" s="527">
        <f t="shared" si="910"/>
        <v>0</v>
      </c>
      <c r="L1658" s="528">
        <f t="shared" si="911"/>
        <v>0</v>
      </c>
      <c r="M1658" s="528">
        <f t="shared" si="912"/>
        <v>0</v>
      </c>
      <c r="N1658" s="528">
        <f t="shared" si="913"/>
        <v>0</v>
      </c>
      <c r="O1658" s="528">
        <f t="shared" si="914"/>
        <v>0</v>
      </c>
      <c r="P1658" s="529">
        <f t="shared" si="915"/>
        <v>0</v>
      </c>
      <c r="Q1658" s="24">
        <f t="shared" si="916"/>
        <v>0</v>
      </c>
      <c r="R1658" s="530">
        <f t="shared" si="917"/>
        <v>0</v>
      </c>
    </row>
    <row r="1659" spans="1:18">
      <c r="A1659" s="524"/>
      <c r="B1659" s="531" t="s">
        <v>96</v>
      </c>
      <c r="C1659" s="533">
        <f t="shared" ref="C1659:J1659" si="919">SUM(C1655:C1658)</f>
        <v>937.1</v>
      </c>
      <c r="D1659" s="533">
        <f t="shared" si="919"/>
        <v>44499</v>
      </c>
      <c r="E1659" s="533">
        <f t="shared" si="919"/>
        <v>721</v>
      </c>
      <c r="F1659" s="533">
        <f t="shared" si="919"/>
        <v>0</v>
      </c>
      <c r="G1659" s="533">
        <f t="shared" si="919"/>
        <v>0</v>
      </c>
      <c r="H1659" s="533">
        <f t="shared" si="919"/>
        <v>26</v>
      </c>
      <c r="I1659" s="533">
        <f t="shared" si="919"/>
        <v>7</v>
      </c>
      <c r="J1659" s="533">
        <f t="shared" si="919"/>
        <v>3</v>
      </c>
      <c r="K1659" s="534">
        <f t="shared" si="910"/>
        <v>0.0162026112946358</v>
      </c>
      <c r="L1659" s="535">
        <f t="shared" si="911"/>
        <v>1.2997226074896</v>
      </c>
      <c r="M1659" s="535">
        <f t="shared" si="912"/>
        <v>21.0589002000045</v>
      </c>
      <c r="N1659" s="535">
        <f t="shared" si="913"/>
        <v>0</v>
      </c>
      <c r="O1659" s="535">
        <f t="shared" si="914"/>
        <v>0</v>
      </c>
      <c r="P1659" s="536">
        <f t="shared" si="915"/>
        <v>28.3969696969697</v>
      </c>
      <c r="Q1659" s="531">
        <f t="shared" si="916"/>
        <v>33</v>
      </c>
      <c r="R1659" s="537">
        <f t="shared" si="917"/>
        <v>0.0457697642163662</v>
      </c>
    </row>
    <row r="1660" spans="1:18">
      <c r="A1660" s="524">
        <v>45782</v>
      </c>
      <c r="B1660" s="540" t="s">
        <v>98</v>
      </c>
      <c r="C1660" s="551">
        <v>398.05</v>
      </c>
      <c r="D1660" s="553">
        <v>13400</v>
      </c>
      <c r="E1660" s="551">
        <v>349</v>
      </c>
      <c r="F1660" s="551">
        <v>0</v>
      </c>
      <c r="G1660" s="551">
        <v>0</v>
      </c>
      <c r="H1660" s="551">
        <v>34</v>
      </c>
      <c r="I1660" s="551">
        <v>2</v>
      </c>
      <c r="J1660" s="551">
        <v>3</v>
      </c>
      <c r="K1660" s="527">
        <f t="shared" si="910"/>
        <v>0.026044776119403</v>
      </c>
      <c r="L1660" s="528">
        <f t="shared" si="911"/>
        <v>1.14054441260745</v>
      </c>
      <c r="M1660" s="528">
        <f t="shared" si="912"/>
        <v>29.705223880597</v>
      </c>
      <c r="N1660" s="528">
        <f t="shared" si="913"/>
        <v>0</v>
      </c>
      <c r="O1660" s="528">
        <f t="shared" si="914"/>
        <v>0</v>
      </c>
      <c r="P1660" s="529">
        <f t="shared" si="915"/>
        <v>11.0569444444444</v>
      </c>
      <c r="Q1660" s="24">
        <f t="shared" si="916"/>
        <v>36</v>
      </c>
      <c r="R1660" s="530">
        <f t="shared" si="917"/>
        <v>0.103151862464183</v>
      </c>
    </row>
    <row r="1661" spans="1:18">
      <c r="A1661" s="524"/>
      <c r="B1661" s="540" t="s">
        <v>99</v>
      </c>
      <c r="C1661" s="551">
        <v>0</v>
      </c>
      <c r="D1661" s="551">
        <v>0</v>
      </c>
      <c r="E1661" s="551">
        <v>0</v>
      </c>
      <c r="F1661" s="551">
        <v>0</v>
      </c>
      <c r="G1661" s="551">
        <v>0</v>
      </c>
      <c r="H1661" s="551">
        <v>0</v>
      </c>
      <c r="I1661" s="551">
        <v>0</v>
      </c>
      <c r="J1661" s="551">
        <v>0</v>
      </c>
      <c r="K1661" s="527">
        <f t="shared" si="910"/>
        <v>0</v>
      </c>
      <c r="L1661" s="528">
        <f t="shared" si="911"/>
        <v>0</v>
      </c>
      <c r="M1661" s="528">
        <f t="shared" si="912"/>
        <v>0</v>
      </c>
      <c r="N1661" s="528">
        <f t="shared" si="913"/>
        <v>0</v>
      </c>
      <c r="O1661" s="528">
        <f t="shared" si="914"/>
        <v>0</v>
      </c>
      <c r="P1661" s="529">
        <f t="shared" si="915"/>
        <v>0</v>
      </c>
      <c r="Q1661" s="24">
        <f t="shared" si="916"/>
        <v>0</v>
      </c>
      <c r="R1661" s="530">
        <f t="shared" si="917"/>
        <v>0</v>
      </c>
    </row>
    <row r="1662" spans="1:18">
      <c r="A1662" s="524"/>
      <c r="B1662" s="540" t="s">
        <v>100</v>
      </c>
      <c r="C1662" s="552">
        <v>533.22</v>
      </c>
      <c r="D1662" s="553">
        <v>51344</v>
      </c>
      <c r="E1662" s="551">
        <v>389</v>
      </c>
      <c r="F1662" s="551">
        <v>0</v>
      </c>
      <c r="G1662" s="551">
        <v>0</v>
      </c>
      <c r="H1662" s="551">
        <v>14</v>
      </c>
      <c r="I1662" s="551">
        <v>10</v>
      </c>
      <c r="J1662" s="551">
        <v>2</v>
      </c>
      <c r="K1662" s="527">
        <f t="shared" si="910"/>
        <v>0.00757634777189155</v>
      </c>
      <c r="L1662" s="528">
        <f t="shared" si="911"/>
        <v>1.37074550128535</v>
      </c>
      <c r="M1662" s="528">
        <f t="shared" si="912"/>
        <v>10.3852446244936</v>
      </c>
      <c r="N1662" s="528">
        <f t="shared" si="913"/>
        <v>0</v>
      </c>
      <c r="O1662" s="528">
        <f t="shared" si="914"/>
        <v>0</v>
      </c>
      <c r="P1662" s="529">
        <f t="shared" si="915"/>
        <v>22.2175</v>
      </c>
      <c r="Q1662" s="24">
        <f t="shared" si="916"/>
        <v>24</v>
      </c>
      <c r="R1662" s="530">
        <f t="shared" si="917"/>
        <v>0.0616966580976864</v>
      </c>
    </row>
    <row r="1663" spans="1:18">
      <c r="A1663" s="524"/>
      <c r="B1663" s="540" t="s">
        <v>101</v>
      </c>
      <c r="C1663" s="551">
        <v>0</v>
      </c>
      <c r="D1663" s="551">
        <v>0</v>
      </c>
      <c r="E1663" s="551">
        <v>0</v>
      </c>
      <c r="F1663" s="551">
        <v>0</v>
      </c>
      <c r="G1663" s="551">
        <v>0</v>
      </c>
      <c r="H1663" s="551">
        <v>0</v>
      </c>
      <c r="I1663" s="551">
        <v>0</v>
      </c>
      <c r="J1663" s="551">
        <v>0</v>
      </c>
      <c r="K1663" s="527">
        <f t="shared" si="910"/>
        <v>0</v>
      </c>
      <c r="L1663" s="528">
        <f t="shared" si="911"/>
        <v>0</v>
      </c>
      <c r="M1663" s="528">
        <f t="shared" si="912"/>
        <v>0</v>
      </c>
      <c r="N1663" s="528">
        <f t="shared" si="913"/>
        <v>0</v>
      </c>
      <c r="O1663" s="528">
        <f t="shared" si="914"/>
        <v>0</v>
      </c>
      <c r="P1663" s="529">
        <f t="shared" si="915"/>
        <v>0</v>
      </c>
      <c r="Q1663" s="24">
        <f t="shared" si="916"/>
        <v>0</v>
      </c>
      <c r="R1663" s="530">
        <f t="shared" si="917"/>
        <v>0</v>
      </c>
    </row>
    <row r="1664" spans="1:18">
      <c r="A1664" s="524"/>
      <c r="B1664" s="531" t="s">
        <v>96</v>
      </c>
      <c r="C1664" s="533">
        <f t="shared" ref="C1664:J1664" si="920">SUM(C1660:C1663)</f>
        <v>931.27</v>
      </c>
      <c r="D1664" s="533">
        <f t="shared" si="920"/>
        <v>64744</v>
      </c>
      <c r="E1664" s="533">
        <f t="shared" si="920"/>
        <v>738</v>
      </c>
      <c r="F1664" s="533">
        <f t="shared" si="920"/>
        <v>0</v>
      </c>
      <c r="G1664" s="533">
        <f t="shared" si="920"/>
        <v>0</v>
      </c>
      <c r="H1664" s="533">
        <f t="shared" si="920"/>
        <v>48</v>
      </c>
      <c r="I1664" s="533">
        <f t="shared" si="920"/>
        <v>12</v>
      </c>
      <c r="J1664" s="533">
        <f t="shared" si="920"/>
        <v>5</v>
      </c>
      <c r="K1664" s="534">
        <f t="shared" si="910"/>
        <v>0.0113987396515507</v>
      </c>
      <c r="L1664" s="535">
        <f t="shared" si="911"/>
        <v>1.26188346883469</v>
      </c>
      <c r="M1664" s="535">
        <f t="shared" si="912"/>
        <v>14.3838811318423</v>
      </c>
      <c r="N1664" s="535">
        <f t="shared" si="913"/>
        <v>0</v>
      </c>
      <c r="O1664" s="535">
        <f t="shared" si="914"/>
        <v>0</v>
      </c>
      <c r="P1664" s="536">
        <f t="shared" si="915"/>
        <v>15.5211666666667</v>
      </c>
      <c r="Q1664" s="531">
        <f t="shared" si="916"/>
        <v>60</v>
      </c>
      <c r="R1664" s="537">
        <f t="shared" si="917"/>
        <v>0.0813008130081301</v>
      </c>
    </row>
    <row r="1665" spans="1:18">
      <c r="A1665" s="524">
        <v>45783</v>
      </c>
      <c r="B1665" s="540" t="s">
        <v>98</v>
      </c>
      <c r="C1665" s="551">
        <v>495.7</v>
      </c>
      <c r="D1665" s="553">
        <v>12948</v>
      </c>
      <c r="E1665" s="551">
        <v>361</v>
      </c>
      <c r="F1665" s="551">
        <v>0</v>
      </c>
      <c r="G1665" s="551">
        <v>0</v>
      </c>
      <c r="H1665" s="551">
        <v>15</v>
      </c>
      <c r="I1665" s="551">
        <v>6</v>
      </c>
      <c r="J1665" s="551">
        <v>2</v>
      </c>
      <c r="K1665" s="527">
        <f t="shared" si="910"/>
        <v>0.0278807537843682</v>
      </c>
      <c r="L1665" s="528">
        <f t="shared" si="911"/>
        <v>1.37313019390582</v>
      </c>
      <c r="M1665" s="528">
        <f t="shared" si="912"/>
        <v>38.2839048501699</v>
      </c>
      <c r="N1665" s="528">
        <f t="shared" si="913"/>
        <v>0</v>
      </c>
      <c r="O1665" s="528">
        <f t="shared" si="914"/>
        <v>0</v>
      </c>
      <c r="P1665" s="529">
        <f t="shared" si="915"/>
        <v>23.6047619047619</v>
      </c>
      <c r="Q1665" s="24">
        <f t="shared" si="916"/>
        <v>21</v>
      </c>
      <c r="R1665" s="530">
        <f t="shared" si="917"/>
        <v>0.0581717451523546</v>
      </c>
    </row>
    <row r="1666" spans="1:18">
      <c r="A1666" s="524"/>
      <c r="B1666" s="540" t="s">
        <v>99</v>
      </c>
      <c r="C1666" s="551">
        <v>422.51</v>
      </c>
      <c r="D1666" s="551">
        <v>3279</v>
      </c>
      <c r="E1666" s="551">
        <v>380</v>
      </c>
      <c r="F1666" s="551">
        <v>1</v>
      </c>
      <c r="G1666" s="551">
        <v>6404</v>
      </c>
      <c r="H1666" s="551">
        <v>12</v>
      </c>
      <c r="I1666" s="551">
        <v>3</v>
      </c>
      <c r="J1666" s="551">
        <v>4</v>
      </c>
      <c r="K1666" s="527">
        <f t="shared" si="910"/>
        <v>0.115888990545898</v>
      </c>
      <c r="L1666" s="528">
        <f t="shared" si="911"/>
        <v>1.11186842105263</v>
      </c>
      <c r="M1666" s="528">
        <f t="shared" si="912"/>
        <v>128.853308935651</v>
      </c>
      <c r="N1666" s="528">
        <f t="shared" si="913"/>
        <v>15.1570377032496</v>
      </c>
      <c r="O1666" s="528">
        <f t="shared" si="914"/>
        <v>0.00263157894736842</v>
      </c>
      <c r="P1666" s="529">
        <f t="shared" si="915"/>
        <v>28.1673333333333</v>
      </c>
      <c r="Q1666" s="24">
        <f t="shared" si="916"/>
        <v>15</v>
      </c>
      <c r="R1666" s="530">
        <f t="shared" si="917"/>
        <v>0.0394736842105263</v>
      </c>
    </row>
    <row r="1667" spans="1:18">
      <c r="A1667" s="524"/>
      <c r="B1667" s="540" t="s">
        <v>100</v>
      </c>
      <c r="C1667" s="552">
        <v>837.59</v>
      </c>
      <c r="D1667" s="553">
        <v>51105</v>
      </c>
      <c r="E1667" s="551">
        <v>990</v>
      </c>
      <c r="F1667" s="551">
        <v>3</v>
      </c>
      <c r="G1667" s="551">
        <v>17275</v>
      </c>
      <c r="H1667" s="551">
        <v>24</v>
      </c>
      <c r="I1667" s="551">
        <v>6</v>
      </c>
      <c r="J1667" s="551">
        <v>2</v>
      </c>
      <c r="K1667" s="527">
        <f t="shared" si="910"/>
        <v>0.0193718814206046</v>
      </c>
      <c r="L1667" s="528">
        <f t="shared" si="911"/>
        <v>0.846050505050505</v>
      </c>
      <c r="M1667" s="528">
        <f t="shared" si="912"/>
        <v>16.3895900596811</v>
      </c>
      <c r="N1667" s="528">
        <f t="shared" si="913"/>
        <v>20.6246492914194</v>
      </c>
      <c r="O1667" s="528">
        <f t="shared" si="914"/>
        <v>0.00303030303030303</v>
      </c>
      <c r="P1667" s="529">
        <f t="shared" si="915"/>
        <v>27.9196666666667</v>
      </c>
      <c r="Q1667" s="24">
        <f t="shared" si="916"/>
        <v>30</v>
      </c>
      <c r="R1667" s="530">
        <f t="shared" si="917"/>
        <v>0.0303030303030303</v>
      </c>
    </row>
    <row r="1668" spans="1:18">
      <c r="A1668" s="524"/>
      <c r="B1668" s="540" t="s">
        <v>101</v>
      </c>
      <c r="C1668" s="551">
        <v>0</v>
      </c>
      <c r="D1668" s="551">
        <v>0</v>
      </c>
      <c r="E1668" s="551">
        <v>0</v>
      </c>
      <c r="F1668" s="551">
        <v>0</v>
      </c>
      <c r="G1668" s="551">
        <v>0</v>
      </c>
      <c r="H1668" s="551">
        <v>0</v>
      </c>
      <c r="I1668" s="551">
        <v>0</v>
      </c>
      <c r="J1668" s="551">
        <v>0</v>
      </c>
      <c r="K1668" s="527">
        <f t="shared" si="910"/>
        <v>0</v>
      </c>
      <c r="L1668" s="528">
        <f t="shared" si="911"/>
        <v>0</v>
      </c>
      <c r="M1668" s="528">
        <f t="shared" si="912"/>
        <v>0</v>
      </c>
      <c r="N1668" s="528">
        <f t="shared" si="913"/>
        <v>0</v>
      </c>
      <c r="O1668" s="528">
        <f t="shared" si="914"/>
        <v>0</v>
      </c>
      <c r="P1668" s="529">
        <f t="shared" si="915"/>
        <v>0</v>
      </c>
      <c r="Q1668" s="24">
        <f t="shared" si="916"/>
        <v>0</v>
      </c>
      <c r="R1668" s="530">
        <f t="shared" si="917"/>
        <v>0</v>
      </c>
    </row>
    <row r="1669" spans="1:18">
      <c r="A1669" s="524"/>
      <c r="B1669" s="531" t="s">
        <v>96</v>
      </c>
      <c r="C1669" s="533">
        <f t="shared" ref="C1669:J1669" si="921">SUM(C1665:C1668)</f>
        <v>1755.8</v>
      </c>
      <c r="D1669" s="533">
        <f t="shared" si="921"/>
        <v>67332</v>
      </c>
      <c r="E1669" s="533">
        <f t="shared" si="921"/>
        <v>1731</v>
      </c>
      <c r="F1669" s="533">
        <f t="shared" si="921"/>
        <v>4</v>
      </c>
      <c r="G1669" s="533">
        <f t="shared" si="921"/>
        <v>23679</v>
      </c>
      <c r="H1669" s="533">
        <f t="shared" si="921"/>
        <v>51</v>
      </c>
      <c r="I1669" s="533">
        <f t="shared" si="921"/>
        <v>15</v>
      </c>
      <c r="J1669" s="533">
        <f t="shared" si="921"/>
        <v>8</v>
      </c>
      <c r="K1669" s="534">
        <f t="shared" si="910"/>
        <v>0.0257084298698984</v>
      </c>
      <c r="L1669" s="535">
        <f t="shared" si="911"/>
        <v>1.01432697862507</v>
      </c>
      <c r="M1669" s="535">
        <f t="shared" si="912"/>
        <v>26.0767539951286</v>
      </c>
      <c r="N1669" s="535">
        <f t="shared" si="913"/>
        <v>13.4861601549151</v>
      </c>
      <c r="O1669" s="535">
        <f t="shared" si="914"/>
        <v>0.00231080300404391</v>
      </c>
      <c r="P1669" s="536">
        <f t="shared" si="915"/>
        <v>26.6030303030303</v>
      </c>
      <c r="Q1669" s="531">
        <f t="shared" si="916"/>
        <v>66</v>
      </c>
      <c r="R1669" s="537">
        <f t="shared" si="917"/>
        <v>0.0381282495667244</v>
      </c>
    </row>
    <row r="1670" spans="1:18">
      <c r="A1670" s="524">
        <v>45784</v>
      </c>
      <c r="B1670" s="540" t="s">
        <v>98</v>
      </c>
      <c r="C1670" s="551">
        <v>459.06</v>
      </c>
      <c r="D1670" s="553">
        <v>20476</v>
      </c>
      <c r="E1670" s="551">
        <v>451</v>
      </c>
      <c r="F1670" s="551">
        <v>0</v>
      </c>
      <c r="G1670" s="551">
        <v>0</v>
      </c>
      <c r="H1670" s="551">
        <v>8</v>
      </c>
      <c r="I1670" s="551">
        <v>4</v>
      </c>
      <c r="J1670" s="551">
        <v>2</v>
      </c>
      <c r="K1670" s="527">
        <f t="shared" si="910"/>
        <v>0.0220257862863841</v>
      </c>
      <c r="L1670" s="528">
        <f t="shared" si="911"/>
        <v>1.01787139689579</v>
      </c>
      <c r="M1670" s="528">
        <f t="shared" si="912"/>
        <v>22.4194178550498</v>
      </c>
      <c r="N1670" s="528">
        <f t="shared" si="913"/>
        <v>0</v>
      </c>
      <c r="O1670" s="528">
        <f t="shared" si="914"/>
        <v>0</v>
      </c>
      <c r="P1670" s="529">
        <f t="shared" si="915"/>
        <v>38.255</v>
      </c>
      <c r="Q1670" s="24">
        <f t="shared" si="916"/>
        <v>12</v>
      </c>
      <c r="R1670" s="530">
        <f t="shared" si="917"/>
        <v>0.0266075388026608</v>
      </c>
    </row>
    <row r="1671" spans="1:18">
      <c r="A1671" s="524"/>
      <c r="B1671" s="540" t="s">
        <v>99</v>
      </c>
      <c r="C1671" s="551">
        <v>0</v>
      </c>
      <c r="D1671" s="551">
        <v>0</v>
      </c>
      <c r="E1671" s="551">
        <v>0</v>
      </c>
      <c r="F1671" s="551">
        <v>0</v>
      </c>
      <c r="G1671" s="551">
        <v>0</v>
      </c>
      <c r="H1671" s="551">
        <v>0</v>
      </c>
      <c r="I1671" s="551">
        <v>0</v>
      </c>
      <c r="J1671" s="551">
        <v>0</v>
      </c>
      <c r="K1671" s="527">
        <f t="shared" si="910"/>
        <v>0</v>
      </c>
      <c r="L1671" s="528">
        <f t="shared" si="911"/>
        <v>0</v>
      </c>
      <c r="M1671" s="528">
        <f t="shared" si="912"/>
        <v>0</v>
      </c>
      <c r="N1671" s="528">
        <f t="shared" si="913"/>
        <v>0</v>
      </c>
      <c r="O1671" s="528">
        <f t="shared" si="914"/>
        <v>0</v>
      </c>
      <c r="P1671" s="529">
        <f t="shared" si="915"/>
        <v>0</v>
      </c>
      <c r="Q1671" s="24">
        <f t="shared" si="916"/>
        <v>0</v>
      </c>
      <c r="R1671" s="530">
        <f t="shared" si="917"/>
        <v>0</v>
      </c>
    </row>
    <row r="1672" spans="1:18">
      <c r="A1672" s="524"/>
      <c r="B1672" s="540" t="s">
        <v>100</v>
      </c>
      <c r="C1672" s="552">
        <v>887.08</v>
      </c>
      <c r="D1672" s="553">
        <v>65792</v>
      </c>
      <c r="E1672" s="553">
        <v>1363</v>
      </c>
      <c r="F1672" s="551">
        <v>1</v>
      </c>
      <c r="G1672" s="551">
        <v>27708</v>
      </c>
      <c r="H1672" s="551">
        <v>35</v>
      </c>
      <c r="I1672" s="551">
        <v>7</v>
      </c>
      <c r="J1672" s="551">
        <v>3</v>
      </c>
      <c r="K1672" s="527">
        <f t="shared" si="910"/>
        <v>0.0207168044747082</v>
      </c>
      <c r="L1672" s="528">
        <f t="shared" si="911"/>
        <v>0.650829053558327</v>
      </c>
      <c r="M1672" s="528">
        <f t="shared" si="912"/>
        <v>13.4830982490272</v>
      </c>
      <c r="N1672" s="528">
        <f t="shared" si="913"/>
        <v>31.2350633539252</v>
      </c>
      <c r="O1672" s="528">
        <f t="shared" si="914"/>
        <v>0.000733675715333822</v>
      </c>
      <c r="P1672" s="529">
        <f t="shared" si="915"/>
        <v>21.1209523809524</v>
      </c>
      <c r="Q1672" s="24">
        <f t="shared" si="916"/>
        <v>42</v>
      </c>
      <c r="R1672" s="530">
        <f t="shared" si="917"/>
        <v>0.0308143800440205</v>
      </c>
    </row>
    <row r="1673" spans="1:18">
      <c r="A1673" s="524"/>
      <c r="B1673" s="540" t="s">
        <v>101</v>
      </c>
      <c r="C1673" s="551">
        <v>0</v>
      </c>
      <c r="D1673" s="551">
        <v>0</v>
      </c>
      <c r="E1673" s="551">
        <v>0</v>
      </c>
      <c r="F1673" s="551">
        <v>0</v>
      </c>
      <c r="G1673" s="551">
        <v>0</v>
      </c>
      <c r="H1673" s="551">
        <v>0</v>
      </c>
      <c r="I1673" s="551">
        <v>0</v>
      </c>
      <c r="J1673" s="551">
        <v>0</v>
      </c>
      <c r="K1673" s="527">
        <f t="shared" si="910"/>
        <v>0</v>
      </c>
      <c r="L1673" s="528">
        <f t="shared" si="911"/>
        <v>0</v>
      </c>
      <c r="M1673" s="528">
        <f t="shared" si="912"/>
        <v>0</v>
      </c>
      <c r="N1673" s="528">
        <f t="shared" si="913"/>
        <v>0</v>
      </c>
      <c r="O1673" s="528">
        <f t="shared" si="914"/>
        <v>0</v>
      </c>
      <c r="P1673" s="529">
        <f t="shared" si="915"/>
        <v>0</v>
      </c>
      <c r="Q1673" s="24">
        <f t="shared" si="916"/>
        <v>0</v>
      </c>
      <c r="R1673" s="530">
        <f t="shared" si="917"/>
        <v>0</v>
      </c>
    </row>
    <row r="1674" spans="1:18">
      <c r="A1674" s="524"/>
      <c r="B1674" s="531" t="s">
        <v>96</v>
      </c>
      <c r="C1674" s="533">
        <f t="shared" ref="C1674:J1674" si="922">SUM(C1670:C1673)</f>
        <v>1346.14</v>
      </c>
      <c r="D1674" s="533">
        <f t="shared" si="922"/>
        <v>86268</v>
      </c>
      <c r="E1674" s="533">
        <f t="shared" si="922"/>
        <v>1814</v>
      </c>
      <c r="F1674" s="533">
        <f t="shared" si="922"/>
        <v>1</v>
      </c>
      <c r="G1674" s="533">
        <f t="shared" si="922"/>
        <v>27708</v>
      </c>
      <c r="H1674" s="533">
        <f t="shared" si="922"/>
        <v>43</v>
      </c>
      <c r="I1674" s="533">
        <f t="shared" si="922"/>
        <v>11</v>
      </c>
      <c r="J1674" s="533">
        <f t="shared" si="922"/>
        <v>5</v>
      </c>
      <c r="K1674" s="534">
        <f t="shared" si="910"/>
        <v>0.02102749571104</v>
      </c>
      <c r="L1674" s="535">
        <f t="shared" si="911"/>
        <v>0.742083792723264</v>
      </c>
      <c r="M1674" s="535">
        <f t="shared" si="912"/>
        <v>15.6041637687207</v>
      </c>
      <c r="N1674" s="535">
        <f t="shared" si="913"/>
        <v>20.5832974282021</v>
      </c>
      <c r="O1674" s="535">
        <f t="shared" si="914"/>
        <v>0.000551267916207277</v>
      </c>
      <c r="P1674" s="536">
        <f t="shared" si="915"/>
        <v>24.9285185185185</v>
      </c>
      <c r="Q1674" s="531">
        <f t="shared" si="916"/>
        <v>54</v>
      </c>
      <c r="R1674" s="537">
        <f t="shared" si="917"/>
        <v>0.0297684674751929</v>
      </c>
    </row>
    <row r="1675" spans="1:18">
      <c r="A1675" s="524">
        <v>45785</v>
      </c>
      <c r="B1675" s="540" t="s">
        <v>98</v>
      </c>
      <c r="C1675" s="551">
        <v>441.68</v>
      </c>
      <c r="D1675" s="553">
        <v>12144</v>
      </c>
      <c r="E1675" s="551">
        <v>319</v>
      </c>
      <c r="F1675" s="551">
        <v>0</v>
      </c>
      <c r="G1675" s="551">
        <v>0</v>
      </c>
      <c r="H1675" s="551">
        <v>7</v>
      </c>
      <c r="I1675" s="551">
        <v>5</v>
      </c>
      <c r="J1675" s="551">
        <v>3</v>
      </c>
      <c r="K1675" s="527">
        <f t="shared" si="910"/>
        <v>0.026268115942029</v>
      </c>
      <c r="L1675" s="528">
        <f t="shared" si="911"/>
        <v>1.38457680250784</v>
      </c>
      <c r="M1675" s="528">
        <f t="shared" si="912"/>
        <v>36.3702239789196</v>
      </c>
      <c r="N1675" s="528">
        <f t="shared" si="913"/>
        <v>0</v>
      </c>
      <c r="O1675" s="528">
        <f t="shared" si="914"/>
        <v>0</v>
      </c>
      <c r="P1675" s="529">
        <f t="shared" si="915"/>
        <v>36.8066666666667</v>
      </c>
      <c r="Q1675" s="24">
        <f t="shared" si="916"/>
        <v>12</v>
      </c>
      <c r="R1675" s="530">
        <f t="shared" si="917"/>
        <v>0.0376175548589342</v>
      </c>
    </row>
    <row r="1676" spans="1:18">
      <c r="A1676" s="524"/>
      <c r="B1676" s="540" t="s">
        <v>99</v>
      </c>
      <c r="C1676" s="551">
        <v>0</v>
      </c>
      <c r="D1676" s="551">
        <v>0</v>
      </c>
      <c r="E1676" s="551">
        <v>0</v>
      </c>
      <c r="F1676" s="551">
        <v>0</v>
      </c>
      <c r="G1676" s="551">
        <v>0</v>
      </c>
      <c r="H1676" s="551">
        <v>0</v>
      </c>
      <c r="I1676" s="551">
        <v>0</v>
      </c>
      <c r="J1676" s="551">
        <v>0</v>
      </c>
      <c r="K1676" s="527">
        <f t="shared" si="910"/>
        <v>0</v>
      </c>
      <c r="L1676" s="528">
        <f t="shared" si="911"/>
        <v>0</v>
      </c>
      <c r="M1676" s="528">
        <f t="shared" si="912"/>
        <v>0</v>
      </c>
      <c r="N1676" s="528">
        <f t="shared" si="913"/>
        <v>0</v>
      </c>
      <c r="O1676" s="528">
        <f t="shared" si="914"/>
        <v>0</v>
      </c>
      <c r="P1676" s="529">
        <f t="shared" si="915"/>
        <v>0</v>
      </c>
      <c r="Q1676" s="24">
        <f t="shared" si="916"/>
        <v>0</v>
      </c>
      <c r="R1676" s="530">
        <f t="shared" si="917"/>
        <v>0</v>
      </c>
    </row>
    <row r="1677" spans="1:18">
      <c r="A1677" s="524"/>
      <c r="B1677" s="540" t="s">
        <v>100</v>
      </c>
      <c r="C1677" s="552">
        <v>887.58</v>
      </c>
      <c r="D1677" s="553">
        <v>83430</v>
      </c>
      <c r="E1677" s="553">
        <v>1476</v>
      </c>
      <c r="F1677" s="551">
        <v>2</v>
      </c>
      <c r="G1677" s="551">
        <v>17830</v>
      </c>
      <c r="H1677" s="551">
        <v>32</v>
      </c>
      <c r="I1677" s="551">
        <v>7</v>
      </c>
      <c r="J1677" s="551">
        <v>3</v>
      </c>
      <c r="K1677" s="527">
        <f t="shared" si="910"/>
        <v>0.0176914778856526</v>
      </c>
      <c r="L1677" s="528">
        <f t="shared" si="911"/>
        <v>0.601341463414634</v>
      </c>
      <c r="M1677" s="528">
        <f t="shared" si="912"/>
        <v>10.638619201726</v>
      </c>
      <c r="N1677" s="528">
        <f t="shared" si="913"/>
        <v>20.0883300660222</v>
      </c>
      <c r="O1677" s="528">
        <f t="shared" si="914"/>
        <v>0.0013550135501355</v>
      </c>
      <c r="P1677" s="529">
        <f t="shared" si="915"/>
        <v>22.7584615384615</v>
      </c>
      <c r="Q1677" s="24">
        <f t="shared" si="916"/>
        <v>39</v>
      </c>
      <c r="R1677" s="530">
        <f t="shared" si="917"/>
        <v>0.0264227642276423</v>
      </c>
    </row>
    <row r="1678" spans="1:18">
      <c r="A1678" s="524"/>
      <c r="B1678" s="540" t="s">
        <v>101</v>
      </c>
      <c r="C1678" s="551">
        <v>445.23</v>
      </c>
      <c r="D1678" s="551">
        <v>3875</v>
      </c>
      <c r="E1678" s="551">
        <v>145</v>
      </c>
      <c r="F1678" s="551">
        <v>1</v>
      </c>
      <c r="G1678" s="551">
        <v>5976</v>
      </c>
      <c r="H1678" s="551">
        <v>8</v>
      </c>
      <c r="I1678" s="551">
        <v>5</v>
      </c>
      <c r="J1678" s="551">
        <v>0</v>
      </c>
      <c r="K1678" s="527">
        <f t="shared" si="910"/>
        <v>0.0374193548387097</v>
      </c>
      <c r="L1678" s="528">
        <f t="shared" si="911"/>
        <v>3.07055172413793</v>
      </c>
      <c r="M1678" s="528">
        <f t="shared" si="912"/>
        <v>114.898064516129</v>
      </c>
      <c r="N1678" s="528">
        <f t="shared" si="913"/>
        <v>13.4222761269456</v>
      </c>
      <c r="O1678" s="528">
        <f t="shared" si="914"/>
        <v>0.00689655172413793</v>
      </c>
      <c r="P1678" s="529">
        <f t="shared" si="915"/>
        <v>34.2484615384615</v>
      </c>
      <c r="Q1678" s="24">
        <f t="shared" si="916"/>
        <v>13</v>
      </c>
      <c r="R1678" s="530">
        <f t="shared" si="917"/>
        <v>0.0896551724137931</v>
      </c>
    </row>
    <row r="1679" spans="1:18">
      <c r="A1679" s="524"/>
      <c r="B1679" s="531" t="s">
        <v>96</v>
      </c>
      <c r="C1679" s="533">
        <f t="shared" ref="C1679:J1679" si="923">SUM(C1675:C1678)</f>
        <v>1774.49</v>
      </c>
      <c r="D1679" s="533">
        <f t="shared" si="923"/>
        <v>99449</v>
      </c>
      <c r="E1679" s="533">
        <f t="shared" si="923"/>
        <v>1940</v>
      </c>
      <c r="F1679" s="533">
        <f t="shared" si="923"/>
        <v>3</v>
      </c>
      <c r="G1679" s="533">
        <f t="shared" si="923"/>
        <v>23806</v>
      </c>
      <c r="H1679" s="533">
        <f t="shared" si="923"/>
        <v>47</v>
      </c>
      <c r="I1679" s="533">
        <f t="shared" si="923"/>
        <v>17</v>
      </c>
      <c r="J1679" s="533">
        <f t="shared" si="923"/>
        <v>6</v>
      </c>
      <c r="K1679" s="534">
        <f t="shared" si="910"/>
        <v>0.0195074862492333</v>
      </c>
      <c r="L1679" s="535">
        <f t="shared" si="911"/>
        <v>0.914685567010309</v>
      </c>
      <c r="M1679" s="535">
        <f t="shared" si="912"/>
        <v>17.8432161208258</v>
      </c>
      <c r="N1679" s="535">
        <f t="shared" si="913"/>
        <v>13.4156856336187</v>
      </c>
      <c r="O1679" s="535">
        <f t="shared" si="914"/>
        <v>0.00154639175257732</v>
      </c>
      <c r="P1679" s="536">
        <f t="shared" si="915"/>
        <v>27.72640625</v>
      </c>
      <c r="Q1679" s="531">
        <f t="shared" si="916"/>
        <v>64</v>
      </c>
      <c r="R1679" s="537">
        <f t="shared" si="917"/>
        <v>0.0329896907216495</v>
      </c>
    </row>
    <row r="1680" spans="1:18">
      <c r="A1680" s="524">
        <v>45786</v>
      </c>
      <c r="B1680" s="540" t="s">
        <v>98</v>
      </c>
      <c r="C1680" s="551">
        <v>401.85</v>
      </c>
      <c r="D1680" s="553">
        <v>13330</v>
      </c>
      <c r="E1680" s="551">
        <v>306</v>
      </c>
      <c r="F1680" s="551">
        <v>0</v>
      </c>
      <c r="G1680" s="551">
        <v>0</v>
      </c>
      <c r="H1680" s="551">
        <v>7</v>
      </c>
      <c r="I1680" s="551">
        <v>2</v>
      </c>
      <c r="J1680" s="551">
        <v>1</v>
      </c>
      <c r="K1680" s="527">
        <f t="shared" si="910"/>
        <v>0.0229557389347337</v>
      </c>
      <c r="L1680" s="528">
        <f t="shared" si="911"/>
        <v>1.31323529411765</v>
      </c>
      <c r="M1680" s="528">
        <f t="shared" si="912"/>
        <v>30.1462865716429</v>
      </c>
      <c r="N1680" s="528">
        <f t="shared" si="913"/>
        <v>0</v>
      </c>
      <c r="O1680" s="528">
        <f t="shared" si="914"/>
        <v>0</v>
      </c>
      <c r="P1680" s="529">
        <f t="shared" si="915"/>
        <v>44.65</v>
      </c>
      <c r="Q1680" s="24">
        <f t="shared" si="916"/>
        <v>9</v>
      </c>
      <c r="R1680" s="530">
        <f t="shared" si="917"/>
        <v>0.0294117647058824</v>
      </c>
    </row>
    <row r="1681" spans="1:18">
      <c r="A1681" s="524"/>
      <c r="B1681" s="540" t="s">
        <v>99</v>
      </c>
      <c r="C1681" s="551">
        <v>335.49</v>
      </c>
      <c r="D1681" s="551">
        <v>3805</v>
      </c>
      <c r="E1681" s="551">
        <v>607</v>
      </c>
      <c r="F1681" s="551">
        <v>3</v>
      </c>
      <c r="G1681" s="551">
        <v>31992</v>
      </c>
      <c r="H1681" s="551">
        <v>5</v>
      </c>
      <c r="I1681" s="551">
        <v>1</v>
      </c>
      <c r="J1681" s="551">
        <v>1</v>
      </c>
      <c r="K1681" s="527">
        <f t="shared" si="910"/>
        <v>0.159526938239159</v>
      </c>
      <c r="L1681" s="528">
        <f t="shared" si="911"/>
        <v>0.552701812191104</v>
      </c>
      <c r="M1681" s="528">
        <f t="shared" si="912"/>
        <v>88.1708278580815</v>
      </c>
      <c r="N1681" s="528">
        <f t="shared" si="913"/>
        <v>95.3590270946973</v>
      </c>
      <c r="O1681" s="528">
        <f t="shared" si="914"/>
        <v>0.00494233937397035</v>
      </c>
      <c r="P1681" s="529">
        <f t="shared" si="915"/>
        <v>55.915</v>
      </c>
      <c r="Q1681" s="24">
        <f t="shared" si="916"/>
        <v>6</v>
      </c>
      <c r="R1681" s="530">
        <f t="shared" si="917"/>
        <v>0.00988467874794069</v>
      </c>
    </row>
    <row r="1682" spans="1:18">
      <c r="A1682" s="524"/>
      <c r="B1682" s="540" t="s">
        <v>100</v>
      </c>
      <c r="C1682" s="552">
        <v>871.45</v>
      </c>
      <c r="D1682" s="553">
        <v>70138</v>
      </c>
      <c r="E1682" s="553">
        <v>1523</v>
      </c>
      <c r="F1682" s="551">
        <v>0</v>
      </c>
      <c r="G1682" s="551">
        <v>0</v>
      </c>
      <c r="H1682" s="551">
        <v>13</v>
      </c>
      <c r="I1682" s="551">
        <v>2</v>
      </c>
      <c r="J1682" s="551">
        <v>1</v>
      </c>
      <c r="K1682" s="527">
        <f t="shared" si="910"/>
        <v>0.0217143345975078</v>
      </c>
      <c r="L1682" s="528">
        <f t="shared" si="911"/>
        <v>0.572193040052528</v>
      </c>
      <c r="M1682" s="528">
        <f t="shared" si="912"/>
        <v>12.4247911260658</v>
      </c>
      <c r="N1682" s="528">
        <f t="shared" si="913"/>
        <v>0</v>
      </c>
      <c r="O1682" s="528">
        <f t="shared" si="914"/>
        <v>0</v>
      </c>
      <c r="P1682" s="529">
        <f t="shared" si="915"/>
        <v>58.0966666666667</v>
      </c>
      <c r="Q1682" s="24">
        <f t="shared" si="916"/>
        <v>15</v>
      </c>
      <c r="R1682" s="530">
        <f t="shared" si="917"/>
        <v>0.00984898227183191</v>
      </c>
    </row>
    <row r="1683" spans="1:18">
      <c r="A1683" s="524"/>
      <c r="B1683" s="540" t="s">
        <v>101</v>
      </c>
      <c r="C1683" s="551">
        <v>500</v>
      </c>
      <c r="D1683" s="551">
        <v>10215</v>
      </c>
      <c r="E1683" s="551">
        <v>185</v>
      </c>
      <c r="F1683" s="551">
        <v>0</v>
      </c>
      <c r="G1683" s="551">
        <v>0</v>
      </c>
      <c r="H1683" s="551">
        <v>1</v>
      </c>
      <c r="I1683" s="551">
        <v>1</v>
      </c>
      <c r="J1683" s="551">
        <v>0</v>
      </c>
      <c r="K1683" s="527">
        <f t="shared" si="910"/>
        <v>0.0181106216348507</v>
      </c>
      <c r="L1683" s="528">
        <f t="shared" si="911"/>
        <v>2.7027027027027</v>
      </c>
      <c r="M1683" s="528">
        <f t="shared" si="912"/>
        <v>48.9476260401371</v>
      </c>
      <c r="N1683" s="528">
        <f t="shared" si="913"/>
        <v>0</v>
      </c>
      <c r="O1683" s="528">
        <f t="shared" si="914"/>
        <v>0</v>
      </c>
      <c r="P1683" s="529">
        <f t="shared" si="915"/>
        <v>250</v>
      </c>
      <c r="Q1683" s="24">
        <f t="shared" si="916"/>
        <v>2</v>
      </c>
      <c r="R1683" s="530">
        <f t="shared" si="917"/>
        <v>0.0108108108108108</v>
      </c>
    </row>
    <row r="1684" spans="1:18">
      <c r="A1684" s="524"/>
      <c r="B1684" s="531" t="s">
        <v>96</v>
      </c>
      <c r="C1684" s="533">
        <f t="shared" ref="C1684:J1684" si="924">SUM(C1680:C1683)</f>
        <v>2108.79</v>
      </c>
      <c r="D1684" s="533">
        <f t="shared" si="924"/>
        <v>97488</v>
      </c>
      <c r="E1684" s="533">
        <f t="shared" si="924"/>
        <v>2621</v>
      </c>
      <c r="F1684" s="533">
        <f t="shared" si="924"/>
        <v>3</v>
      </c>
      <c r="G1684" s="533">
        <f t="shared" si="924"/>
        <v>31992</v>
      </c>
      <c r="H1684" s="533">
        <f t="shared" si="924"/>
        <v>26</v>
      </c>
      <c r="I1684" s="533">
        <f t="shared" si="924"/>
        <v>6</v>
      </c>
      <c r="J1684" s="533">
        <f t="shared" si="924"/>
        <v>3</v>
      </c>
      <c r="K1684" s="534">
        <f t="shared" si="910"/>
        <v>0.0268853602494666</v>
      </c>
      <c r="L1684" s="535">
        <f t="shared" si="911"/>
        <v>0.804574589851202</v>
      </c>
      <c r="M1684" s="535">
        <f t="shared" si="912"/>
        <v>21.6312776957164</v>
      </c>
      <c r="N1684" s="535">
        <f t="shared" si="913"/>
        <v>15.1707851421905</v>
      </c>
      <c r="O1684" s="535">
        <f t="shared" si="914"/>
        <v>0.0011446012972148</v>
      </c>
      <c r="P1684" s="536">
        <f t="shared" si="915"/>
        <v>65.8996875</v>
      </c>
      <c r="Q1684" s="531">
        <f t="shared" si="916"/>
        <v>32</v>
      </c>
      <c r="R1684" s="537">
        <f t="shared" si="917"/>
        <v>0.0122090805036246</v>
      </c>
    </row>
    <row r="1685" spans="1:18">
      <c r="A1685" s="524">
        <v>45787</v>
      </c>
      <c r="B1685" s="540" t="s">
        <v>98</v>
      </c>
      <c r="C1685" s="551">
        <v>422.27</v>
      </c>
      <c r="D1685" s="553">
        <v>11917</v>
      </c>
      <c r="E1685" s="551">
        <v>306</v>
      </c>
      <c r="F1685" s="551">
        <v>2</v>
      </c>
      <c r="G1685" s="551">
        <v>592.04</v>
      </c>
      <c r="H1685" s="551">
        <v>13</v>
      </c>
      <c r="I1685" s="551">
        <v>3</v>
      </c>
      <c r="J1685" s="551">
        <v>1</v>
      </c>
      <c r="K1685" s="527">
        <f t="shared" si="910"/>
        <v>0.0256776034236805</v>
      </c>
      <c r="L1685" s="528">
        <f t="shared" si="911"/>
        <v>1.37996732026144</v>
      </c>
      <c r="M1685" s="528">
        <f t="shared" si="912"/>
        <v>35.4342535873122</v>
      </c>
      <c r="N1685" s="528">
        <f t="shared" si="913"/>
        <v>1.40204134795273</v>
      </c>
      <c r="O1685" s="528">
        <f t="shared" si="914"/>
        <v>0.0065359477124183</v>
      </c>
      <c r="P1685" s="529">
        <f t="shared" si="915"/>
        <v>26.391875</v>
      </c>
      <c r="Q1685" s="24">
        <f t="shared" si="916"/>
        <v>16</v>
      </c>
      <c r="R1685" s="530">
        <f t="shared" si="917"/>
        <v>0.0522875816993464</v>
      </c>
    </row>
    <row r="1686" spans="1:18">
      <c r="A1686" s="524"/>
      <c r="B1686" s="540" t="s">
        <v>99</v>
      </c>
      <c r="C1686" s="551">
        <v>0</v>
      </c>
      <c r="D1686" s="551">
        <v>0</v>
      </c>
      <c r="E1686" s="551">
        <v>0</v>
      </c>
      <c r="F1686" s="551">
        <v>0</v>
      </c>
      <c r="G1686" s="551">
        <v>0</v>
      </c>
      <c r="H1686" s="551">
        <v>0</v>
      </c>
      <c r="I1686" s="551">
        <v>0</v>
      </c>
      <c r="J1686" s="551">
        <v>0</v>
      </c>
      <c r="K1686" s="527">
        <f t="shared" si="910"/>
        <v>0</v>
      </c>
      <c r="L1686" s="528">
        <f t="shared" si="911"/>
        <v>0</v>
      </c>
      <c r="M1686" s="528">
        <f t="shared" si="912"/>
        <v>0</v>
      </c>
      <c r="N1686" s="528">
        <f t="shared" si="913"/>
        <v>0</v>
      </c>
      <c r="O1686" s="528">
        <f t="shared" si="914"/>
        <v>0</v>
      </c>
      <c r="P1686" s="529">
        <f t="shared" si="915"/>
        <v>0</v>
      </c>
      <c r="Q1686" s="24">
        <f t="shared" si="916"/>
        <v>0</v>
      </c>
      <c r="R1686" s="530">
        <f t="shared" si="917"/>
        <v>0</v>
      </c>
    </row>
    <row r="1687" spans="1:18">
      <c r="A1687" s="524"/>
      <c r="B1687" s="540" t="s">
        <v>100</v>
      </c>
      <c r="C1687" s="552">
        <v>883.36</v>
      </c>
      <c r="D1687" s="553">
        <v>75837</v>
      </c>
      <c r="E1687" s="553">
        <v>1335</v>
      </c>
      <c r="F1687" s="551">
        <v>2</v>
      </c>
      <c r="G1687" s="551">
        <v>15510</v>
      </c>
      <c r="H1687" s="551">
        <v>15</v>
      </c>
      <c r="I1687" s="551">
        <v>8</v>
      </c>
      <c r="J1687" s="551">
        <v>1</v>
      </c>
      <c r="K1687" s="527">
        <f t="shared" si="910"/>
        <v>0.0176035444440049</v>
      </c>
      <c r="L1687" s="528">
        <f t="shared" si="911"/>
        <v>0.661692883895131</v>
      </c>
      <c r="M1687" s="528">
        <f t="shared" si="912"/>
        <v>11.6481400899297</v>
      </c>
      <c r="N1687" s="528">
        <f t="shared" si="913"/>
        <v>17.5579605143996</v>
      </c>
      <c r="O1687" s="528">
        <f t="shared" si="914"/>
        <v>0.00149812734082397</v>
      </c>
      <c r="P1687" s="529">
        <f t="shared" si="915"/>
        <v>38.4069565217391</v>
      </c>
      <c r="Q1687" s="24">
        <f t="shared" si="916"/>
        <v>23</v>
      </c>
      <c r="R1687" s="530">
        <f t="shared" si="917"/>
        <v>0.0172284644194757</v>
      </c>
    </row>
    <row r="1688" spans="1:18">
      <c r="A1688" s="524"/>
      <c r="B1688" s="540" t="s">
        <v>101</v>
      </c>
      <c r="C1688" s="551">
        <v>330.73</v>
      </c>
      <c r="D1688" s="551">
        <v>8217</v>
      </c>
      <c r="E1688" s="551">
        <v>210</v>
      </c>
      <c r="F1688" s="551">
        <v>5</v>
      </c>
      <c r="G1688" s="551">
        <v>47645</v>
      </c>
      <c r="H1688" s="551">
        <v>12</v>
      </c>
      <c r="I1688" s="551">
        <v>5</v>
      </c>
      <c r="J1688" s="551">
        <v>0</v>
      </c>
      <c r="K1688" s="527">
        <f t="shared" si="910"/>
        <v>0.0255567725447244</v>
      </c>
      <c r="L1688" s="528">
        <f t="shared" si="911"/>
        <v>1.57490476190476</v>
      </c>
      <c r="M1688" s="528">
        <f t="shared" si="912"/>
        <v>40.2494827796033</v>
      </c>
      <c r="N1688" s="528">
        <f t="shared" si="913"/>
        <v>144.060109454842</v>
      </c>
      <c r="O1688" s="528">
        <f t="shared" si="914"/>
        <v>0.0238095238095238</v>
      </c>
      <c r="P1688" s="529">
        <f t="shared" si="915"/>
        <v>19.4547058823529</v>
      </c>
      <c r="Q1688" s="24">
        <f t="shared" si="916"/>
        <v>17</v>
      </c>
      <c r="R1688" s="530">
        <f t="shared" si="917"/>
        <v>0.080952380952381</v>
      </c>
    </row>
    <row r="1689" spans="1:18">
      <c r="A1689" s="524"/>
      <c r="B1689" s="531" t="s">
        <v>96</v>
      </c>
      <c r="C1689" s="533">
        <f t="shared" ref="C1689:J1689" si="925">SUM(C1685:C1688)</f>
        <v>1636.36</v>
      </c>
      <c r="D1689" s="533">
        <f t="shared" si="925"/>
        <v>95971</v>
      </c>
      <c r="E1689" s="533">
        <f t="shared" si="925"/>
        <v>1851</v>
      </c>
      <c r="F1689" s="533">
        <f t="shared" si="925"/>
        <v>9</v>
      </c>
      <c r="G1689" s="533">
        <f t="shared" si="925"/>
        <v>63747.04</v>
      </c>
      <c r="H1689" s="533">
        <f t="shared" si="925"/>
        <v>40</v>
      </c>
      <c r="I1689" s="533">
        <f t="shared" si="925"/>
        <v>16</v>
      </c>
      <c r="J1689" s="533">
        <f t="shared" si="925"/>
        <v>2</v>
      </c>
      <c r="K1689" s="534">
        <f t="shared" si="910"/>
        <v>0.0192870763043003</v>
      </c>
      <c r="L1689" s="535">
        <f t="shared" si="911"/>
        <v>0.884041058887088</v>
      </c>
      <c r="M1689" s="535">
        <f t="shared" si="912"/>
        <v>17.0505673588897</v>
      </c>
      <c r="N1689" s="535">
        <f t="shared" si="913"/>
        <v>38.9566110146911</v>
      </c>
      <c r="O1689" s="535">
        <f t="shared" si="914"/>
        <v>0.00486223662884927</v>
      </c>
      <c r="P1689" s="536">
        <f t="shared" si="915"/>
        <v>29.2207142857143</v>
      </c>
      <c r="Q1689" s="531">
        <f t="shared" si="916"/>
        <v>56</v>
      </c>
      <c r="R1689" s="537">
        <f t="shared" si="917"/>
        <v>0.0302539168017288</v>
      </c>
    </row>
    <row r="1690" spans="1:18">
      <c r="A1690" s="524">
        <v>45788</v>
      </c>
      <c r="B1690" s="540" t="s">
        <v>98</v>
      </c>
      <c r="C1690" s="551">
        <v>431.7</v>
      </c>
      <c r="D1690" s="553">
        <v>12218</v>
      </c>
      <c r="E1690" s="551">
        <v>328</v>
      </c>
      <c r="F1690" s="551">
        <v>3</v>
      </c>
      <c r="G1690" s="551">
        <v>26372</v>
      </c>
      <c r="H1690" s="551">
        <v>5</v>
      </c>
      <c r="I1690" s="551">
        <v>5</v>
      </c>
      <c r="J1690" s="551">
        <v>1</v>
      </c>
      <c r="K1690" s="527">
        <f t="shared" ref="K1690:K1694" si="926">IF(E1690=0,0,E1690/D1690)</f>
        <v>0.0268456375838926</v>
      </c>
      <c r="L1690" s="528">
        <f t="shared" ref="L1690:L1694" si="927">IF(C1690=0,0,C1690/E1690)</f>
        <v>1.31615853658537</v>
      </c>
      <c r="M1690" s="528">
        <f t="shared" ref="M1690:M1694" si="928">IF(D1690=0,0,C1690/D1690*1000)</f>
        <v>35.3331150761172</v>
      </c>
      <c r="N1690" s="528">
        <f t="shared" ref="N1690:N1694" si="929">IF(G1690=0,0,G1690/C1690)</f>
        <v>61.0887190178365</v>
      </c>
      <c r="O1690" s="528">
        <f t="shared" ref="O1690:O1694" si="930">IF(F1690=0,0,F1690/E1690)</f>
        <v>0.00914634146341463</v>
      </c>
      <c r="P1690" s="529">
        <f t="shared" ref="P1690:P1694" si="931">IF(H1690+I1690=0,0,C1690/(H1690+I1690))</f>
        <v>43.17</v>
      </c>
      <c r="Q1690" s="24">
        <f t="shared" ref="Q1690:Q1694" si="932">H1690+I1690</f>
        <v>10</v>
      </c>
      <c r="R1690" s="530">
        <f t="shared" ref="R1690:R1694" si="933">IF(Q1690=0,0,Q1690/E1690)</f>
        <v>0.0304878048780488</v>
      </c>
    </row>
    <row r="1691" spans="1:18">
      <c r="A1691" s="524"/>
      <c r="B1691" s="540" t="s">
        <v>99</v>
      </c>
      <c r="C1691" s="551">
        <v>0</v>
      </c>
      <c r="D1691" s="551">
        <v>0</v>
      </c>
      <c r="E1691" s="551">
        <v>0</v>
      </c>
      <c r="F1691" s="551">
        <v>0</v>
      </c>
      <c r="G1691" s="551">
        <v>0</v>
      </c>
      <c r="H1691" s="551">
        <v>0</v>
      </c>
      <c r="I1691" s="551">
        <v>0</v>
      </c>
      <c r="J1691" s="551">
        <v>0</v>
      </c>
      <c r="K1691" s="527">
        <f t="shared" si="926"/>
        <v>0</v>
      </c>
      <c r="L1691" s="528">
        <f t="shared" si="927"/>
        <v>0</v>
      </c>
      <c r="M1691" s="528">
        <f t="shared" si="928"/>
        <v>0</v>
      </c>
      <c r="N1691" s="528">
        <f t="shared" si="929"/>
        <v>0</v>
      </c>
      <c r="O1691" s="528">
        <f t="shared" si="930"/>
        <v>0</v>
      </c>
      <c r="P1691" s="529">
        <f t="shared" si="931"/>
        <v>0</v>
      </c>
      <c r="Q1691" s="24">
        <f t="shared" si="932"/>
        <v>0</v>
      </c>
      <c r="R1691" s="530">
        <f t="shared" si="933"/>
        <v>0</v>
      </c>
    </row>
    <row r="1692" spans="1:18">
      <c r="A1692" s="524"/>
      <c r="B1692" s="540" t="s">
        <v>100</v>
      </c>
      <c r="C1692" s="552">
        <v>1096.01</v>
      </c>
      <c r="D1692" s="553">
        <v>100961</v>
      </c>
      <c r="E1692" s="553">
        <v>1435</v>
      </c>
      <c r="F1692" s="551">
        <v>3</v>
      </c>
      <c r="G1692" s="551">
        <v>41068</v>
      </c>
      <c r="H1692" s="551">
        <v>37</v>
      </c>
      <c r="I1692" s="551">
        <v>11</v>
      </c>
      <c r="J1692" s="551">
        <v>2</v>
      </c>
      <c r="K1692" s="527">
        <f t="shared" si="926"/>
        <v>0.0142134091381821</v>
      </c>
      <c r="L1692" s="528">
        <f t="shared" si="927"/>
        <v>0.763770034843206</v>
      </c>
      <c r="M1692" s="528">
        <f t="shared" si="928"/>
        <v>10.8557759927101</v>
      </c>
      <c r="N1692" s="528">
        <f t="shared" si="929"/>
        <v>37.4704610359395</v>
      </c>
      <c r="O1692" s="528">
        <f t="shared" si="930"/>
        <v>0.00209059233449477</v>
      </c>
      <c r="P1692" s="529">
        <f t="shared" si="931"/>
        <v>22.8335416666667</v>
      </c>
      <c r="Q1692" s="24">
        <f t="shared" si="932"/>
        <v>48</v>
      </c>
      <c r="R1692" s="530">
        <f t="shared" si="933"/>
        <v>0.0334494773519164</v>
      </c>
    </row>
    <row r="1693" spans="1:18">
      <c r="A1693" s="524"/>
      <c r="B1693" s="540" t="s">
        <v>101</v>
      </c>
      <c r="C1693" s="551">
        <v>307.78</v>
      </c>
      <c r="D1693" s="551">
        <v>3157</v>
      </c>
      <c r="E1693" s="551">
        <v>142</v>
      </c>
      <c r="F1693" s="551">
        <v>6</v>
      </c>
      <c r="G1693" s="551">
        <v>55019</v>
      </c>
      <c r="H1693" s="551">
        <v>20</v>
      </c>
      <c r="I1693" s="551">
        <v>7</v>
      </c>
      <c r="J1693" s="551">
        <v>0</v>
      </c>
      <c r="K1693" s="527">
        <f t="shared" si="926"/>
        <v>0.0449794108330694</v>
      </c>
      <c r="L1693" s="528">
        <f t="shared" si="927"/>
        <v>2.16746478873239</v>
      </c>
      <c r="M1693" s="528">
        <f t="shared" si="928"/>
        <v>97.4912891986063</v>
      </c>
      <c r="N1693" s="528">
        <f t="shared" si="929"/>
        <v>178.760803171096</v>
      </c>
      <c r="O1693" s="528">
        <f t="shared" si="930"/>
        <v>0.0422535211267606</v>
      </c>
      <c r="P1693" s="529">
        <f t="shared" si="931"/>
        <v>11.3992592592593</v>
      </c>
      <c r="Q1693" s="24">
        <f t="shared" si="932"/>
        <v>27</v>
      </c>
      <c r="R1693" s="530">
        <f t="shared" si="933"/>
        <v>0.190140845070423</v>
      </c>
    </row>
    <row r="1694" spans="1:18">
      <c r="A1694" s="524"/>
      <c r="B1694" s="531" t="s">
        <v>96</v>
      </c>
      <c r="C1694" s="533">
        <f t="shared" ref="C1694:J1694" si="934">SUM(C1690:C1693)</f>
        <v>1835.49</v>
      </c>
      <c r="D1694" s="533">
        <f t="shared" si="934"/>
        <v>116336</v>
      </c>
      <c r="E1694" s="533">
        <f t="shared" si="934"/>
        <v>1905</v>
      </c>
      <c r="F1694" s="533">
        <f t="shared" si="934"/>
        <v>12</v>
      </c>
      <c r="G1694" s="533">
        <f t="shared" si="934"/>
        <v>122459</v>
      </c>
      <c r="H1694" s="533">
        <f t="shared" si="934"/>
        <v>62</v>
      </c>
      <c r="I1694" s="533">
        <f t="shared" si="934"/>
        <v>23</v>
      </c>
      <c r="J1694" s="533">
        <f t="shared" si="934"/>
        <v>3</v>
      </c>
      <c r="K1694" s="534">
        <f t="shared" si="926"/>
        <v>0.016374982808417</v>
      </c>
      <c r="L1694" s="535">
        <f t="shared" si="927"/>
        <v>0.963511811023622</v>
      </c>
      <c r="M1694" s="535">
        <f t="shared" si="928"/>
        <v>15.7774893412185</v>
      </c>
      <c r="N1694" s="535">
        <f t="shared" si="929"/>
        <v>66.7173343357904</v>
      </c>
      <c r="O1694" s="535">
        <f t="shared" si="930"/>
        <v>0.0062992125984252</v>
      </c>
      <c r="P1694" s="536">
        <f t="shared" si="931"/>
        <v>21.594</v>
      </c>
      <c r="Q1694" s="531">
        <f t="shared" si="932"/>
        <v>85</v>
      </c>
      <c r="R1694" s="537">
        <f t="shared" si="933"/>
        <v>0.0446194225721785</v>
      </c>
    </row>
    <row r="1695" spans="1:18">
      <c r="A1695" s="524">
        <v>45789</v>
      </c>
      <c r="B1695" s="540" t="s">
        <v>98</v>
      </c>
      <c r="C1695" s="551">
        <v>437.79</v>
      </c>
      <c r="D1695" s="553">
        <v>12943</v>
      </c>
      <c r="E1695" s="551">
        <v>312</v>
      </c>
      <c r="F1695" s="551">
        <v>0</v>
      </c>
      <c r="G1695" s="551">
        <v>0</v>
      </c>
      <c r="H1695" s="551">
        <v>1</v>
      </c>
      <c r="I1695" s="551">
        <v>4</v>
      </c>
      <c r="J1695" s="551">
        <v>2</v>
      </c>
      <c r="K1695" s="527">
        <f t="shared" ref="K1695:K1699" si="935">IF(E1695=0,0,E1695/D1695)</f>
        <v>0.0241056941976358</v>
      </c>
      <c r="L1695" s="528">
        <f t="shared" ref="L1695:L1699" si="936">IF(C1695=0,0,C1695/E1695)</f>
        <v>1.40317307692308</v>
      </c>
      <c r="M1695" s="528">
        <f t="shared" ref="M1695:M1699" si="937">IF(D1695=0,0,C1695/D1695*1000)</f>
        <v>33.8244610986634</v>
      </c>
      <c r="N1695" s="528">
        <f t="shared" ref="N1695:N1699" si="938">IF(G1695=0,0,G1695/C1695)</f>
        <v>0</v>
      </c>
      <c r="O1695" s="528">
        <f t="shared" ref="O1695:O1699" si="939">IF(F1695=0,0,F1695/E1695)</f>
        <v>0</v>
      </c>
      <c r="P1695" s="529">
        <f t="shared" ref="P1695:P1699" si="940">IF(H1695+I1695=0,0,C1695/(H1695+I1695))</f>
        <v>87.558</v>
      </c>
      <c r="Q1695" s="24">
        <f t="shared" ref="Q1695:Q1699" si="941">H1695+I1695</f>
        <v>5</v>
      </c>
      <c r="R1695" s="530">
        <f t="shared" ref="R1695:R1699" si="942">IF(Q1695=0,0,Q1695/E1695)</f>
        <v>0.016025641025641</v>
      </c>
    </row>
    <row r="1696" spans="1:18">
      <c r="A1696" s="524"/>
      <c r="B1696" s="540" t="s">
        <v>99</v>
      </c>
      <c r="C1696" s="551">
        <v>416.02</v>
      </c>
      <c r="D1696" s="551">
        <v>1238</v>
      </c>
      <c r="E1696" s="551">
        <v>408</v>
      </c>
      <c r="F1696" s="551">
        <v>2</v>
      </c>
      <c r="G1696" s="551">
        <v>22194</v>
      </c>
      <c r="H1696" s="551">
        <v>5</v>
      </c>
      <c r="I1696" s="551">
        <v>3</v>
      </c>
      <c r="J1696" s="551">
        <v>2</v>
      </c>
      <c r="K1696" s="527">
        <f t="shared" si="935"/>
        <v>0.329563812600969</v>
      </c>
      <c r="L1696" s="528">
        <f t="shared" si="936"/>
        <v>1.0196568627451</v>
      </c>
      <c r="M1696" s="528">
        <f t="shared" si="937"/>
        <v>336.042003231018</v>
      </c>
      <c r="N1696" s="528">
        <f t="shared" si="938"/>
        <v>53.3483967116966</v>
      </c>
      <c r="O1696" s="528">
        <f t="shared" si="939"/>
        <v>0.00490196078431373</v>
      </c>
      <c r="P1696" s="529">
        <f t="shared" si="940"/>
        <v>52.0025</v>
      </c>
      <c r="Q1696" s="24">
        <f t="shared" si="941"/>
        <v>8</v>
      </c>
      <c r="R1696" s="530">
        <f t="shared" si="942"/>
        <v>0.0196078431372549</v>
      </c>
    </row>
    <row r="1697" spans="1:18">
      <c r="A1697" s="524"/>
      <c r="B1697" s="540" t="s">
        <v>100</v>
      </c>
      <c r="C1697" s="552">
        <v>1229.28</v>
      </c>
      <c r="D1697" s="553">
        <v>72825</v>
      </c>
      <c r="E1697" s="553">
        <v>707</v>
      </c>
      <c r="F1697" s="551">
        <v>6</v>
      </c>
      <c r="G1697" s="551">
        <v>90467.99</v>
      </c>
      <c r="H1697" s="551">
        <v>42</v>
      </c>
      <c r="I1697" s="551">
        <v>9</v>
      </c>
      <c r="J1697" s="551">
        <v>9</v>
      </c>
      <c r="K1697" s="527">
        <f t="shared" si="935"/>
        <v>0.00970820460006866</v>
      </c>
      <c r="L1697" s="528">
        <f t="shared" si="936"/>
        <v>1.7387270155587</v>
      </c>
      <c r="M1697" s="528">
        <f t="shared" si="937"/>
        <v>16.8799176107106</v>
      </c>
      <c r="N1697" s="528">
        <f t="shared" si="938"/>
        <v>73.5942909670702</v>
      </c>
      <c r="O1697" s="528">
        <f t="shared" si="939"/>
        <v>0.00848656294200849</v>
      </c>
      <c r="P1697" s="529">
        <f t="shared" si="940"/>
        <v>24.1035294117647</v>
      </c>
      <c r="Q1697" s="24">
        <f t="shared" si="941"/>
        <v>51</v>
      </c>
      <c r="R1697" s="530">
        <f t="shared" si="942"/>
        <v>0.0721357850070721</v>
      </c>
    </row>
    <row r="1698" spans="1:18">
      <c r="A1698" s="524"/>
      <c r="B1698" s="540" t="s">
        <v>101</v>
      </c>
      <c r="C1698" s="551">
        <v>301.36</v>
      </c>
      <c r="D1698" s="551">
        <v>3904</v>
      </c>
      <c r="E1698" s="551">
        <v>164</v>
      </c>
      <c r="F1698" s="551">
        <v>4</v>
      </c>
      <c r="G1698" s="551">
        <v>42120</v>
      </c>
      <c r="H1698" s="551">
        <v>10</v>
      </c>
      <c r="I1698" s="551">
        <v>8</v>
      </c>
      <c r="J1698" s="551">
        <v>2</v>
      </c>
      <c r="K1698" s="527">
        <f t="shared" si="935"/>
        <v>0.0420081967213115</v>
      </c>
      <c r="L1698" s="528">
        <f t="shared" si="936"/>
        <v>1.83756097560976</v>
      </c>
      <c r="M1698" s="528">
        <f t="shared" si="937"/>
        <v>77.1926229508197</v>
      </c>
      <c r="N1698" s="528">
        <f t="shared" si="938"/>
        <v>139.766392354659</v>
      </c>
      <c r="O1698" s="528">
        <f t="shared" si="939"/>
        <v>0.024390243902439</v>
      </c>
      <c r="P1698" s="529">
        <f t="shared" si="940"/>
        <v>16.7422222222222</v>
      </c>
      <c r="Q1698" s="24">
        <f t="shared" si="941"/>
        <v>18</v>
      </c>
      <c r="R1698" s="530">
        <f t="shared" si="942"/>
        <v>0.109756097560976</v>
      </c>
    </row>
    <row r="1699" spans="1:18">
      <c r="A1699" s="524"/>
      <c r="B1699" s="531" t="s">
        <v>96</v>
      </c>
      <c r="C1699" s="533">
        <f t="shared" ref="C1699:J1699" si="943">SUM(C1695:C1698)</f>
        <v>2384.45</v>
      </c>
      <c r="D1699" s="533">
        <f t="shared" si="943"/>
        <v>90910</v>
      </c>
      <c r="E1699" s="533">
        <f t="shared" si="943"/>
        <v>1591</v>
      </c>
      <c r="F1699" s="533">
        <f t="shared" si="943"/>
        <v>12</v>
      </c>
      <c r="G1699" s="533">
        <f t="shared" si="943"/>
        <v>154781.99</v>
      </c>
      <c r="H1699" s="533">
        <f t="shared" si="943"/>
        <v>58</v>
      </c>
      <c r="I1699" s="533">
        <f t="shared" si="943"/>
        <v>24</v>
      </c>
      <c r="J1699" s="533">
        <f t="shared" si="943"/>
        <v>15</v>
      </c>
      <c r="K1699" s="534">
        <f t="shared" si="935"/>
        <v>0.0175008249917501</v>
      </c>
      <c r="L1699" s="535">
        <f t="shared" si="936"/>
        <v>1.49871150219987</v>
      </c>
      <c r="M1699" s="535">
        <f t="shared" si="937"/>
        <v>26.2286877131229</v>
      </c>
      <c r="N1699" s="535">
        <f t="shared" si="938"/>
        <v>64.9130784877016</v>
      </c>
      <c r="O1699" s="535">
        <f t="shared" si="939"/>
        <v>0.00754242614707731</v>
      </c>
      <c r="P1699" s="536">
        <f t="shared" si="940"/>
        <v>29.0786585365854</v>
      </c>
      <c r="Q1699" s="531">
        <f t="shared" si="941"/>
        <v>82</v>
      </c>
      <c r="R1699" s="537">
        <f t="shared" si="942"/>
        <v>0.0515399120050283</v>
      </c>
    </row>
    <row r="1700" spans="1:18">
      <c r="A1700" s="524">
        <v>45790</v>
      </c>
      <c r="B1700" s="540" t="s">
        <v>98</v>
      </c>
      <c r="C1700" s="551">
        <v>413.69</v>
      </c>
      <c r="D1700" s="553">
        <v>11493</v>
      </c>
      <c r="E1700" s="551">
        <v>300</v>
      </c>
      <c r="F1700" s="551">
        <v>0</v>
      </c>
      <c r="G1700" s="551">
        <v>0</v>
      </c>
      <c r="H1700" s="551">
        <v>10</v>
      </c>
      <c r="I1700" s="551">
        <v>5</v>
      </c>
      <c r="J1700" s="551">
        <v>2</v>
      </c>
      <c r="K1700" s="527">
        <f t="shared" ref="K1700:K1704" si="944">IF(E1700=0,0,E1700/D1700)</f>
        <v>0.0261028452101279</v>
      </c>
      <c r="L1700" s="528">
        <f t="shared" ref="L1700:L1704" si="945">IF(C1700=0,0,C1700/E1700)</f>
        <v>1.37896666666667</v>
      </c>
      <c r="M1700" s="528">
        <f t="shared" ref="M1700:M1704" si="946">IF(D1700=0,0,C1700/D1700*1000)</f>
        <v>35.994953449926</v>
      </c>
      <c r="N1700" s="528">
        <f t="shared" ref="N1700:N1704" si="947">IF(G1700=0,0,G1700/C1700)</f>
        <v>0</v>
      </c>
      <c r="O1700" s="528">
        <f t="shared" ref="O1700:O1704" si="948">IF(F1700=0,0,F1700/E1700)</f>
        <v>0</v>
      </c>
      <c r="P1700" s="529">
        <f t="shared" ref="P1700:P1704" si="949">IF(H1700+I1700=0,0,C1700/(H1700+I1700))</f>
        <v>27.5793333333333</v>
      </c>
      <c r="Q1700" s="24">
        <f t="shared" ref="Q1700:Q1704" si="950">H1700+I1700</f>
        <v>15</v>
      </c>
      <c r="R1700" s="530">
        <f t="shared" ref="R1700:R1704" si="951">IF(Q1700=0,0,Q1700/E1700)</f>
        <v>0.05</v>
      </c>
    </row>
    <row r="1701" spans="1:18">
      <c r="A1701" s="524"/>
      <c r="B1701" s="540" t="s">
        <v>99</v>
      </c>
      <c r="C1701" s="551">
        <v>0</v>
      </c>
      <c r="D1701" s="551">
        <v>0</v>
      </c>
      <c r="E1701" s="551">
        <v>0</v>
      </c>
      <c r="F1701" s="551">
        <v>0</v>
      </c>
      <c r="G1701" s="551">
        <v>0</v>
      </c>
      <c r="H1701" s="551">
        <v>0</v>
      </c>
      <c r="I1701" s="551">
        <v>0</v>
      </c>
      <c r="J1701" s="551">
        <v>0</v>
      </c>
      <c r="K1701" s="527">
        <f t="shared" si="944"/>
        <v>0</v>
      </c>
      <c r="L1701" s="528">
        <f t="shared" si="945"/>
        <v>0</v>
      </c>
      <c r="M1701" s="528">
        <f t="shared" si="946"/>
        <v>0</v>
      </c>
      <c r="N1701" s="528">
        <f t="shared" si="947"/>
        <v>0</v>
      </c>
      <c r="O1701" s="528">
        <f t="shared" si="948"/>
        <v>0</v>
      </c>
      <c r="P1701" s="529">
        <f t="shared" si="949"/>
        <v>0</v>
      </c>
      <c r="Q1701" s="24">
        <f t="shared" si="950"/>
        <v>0</v>
      </c>
      <c r="R1701" s="530">
        <f t="shared" si="951"/>
        <v>0</v>
      </c>
    </row>
    <row r="1702" spans="1:18">
      <c r="A1702" s="524"/>
      <c r="B1702" s="540" t="s">
        <v>100</v>
      </c>
      <c r="C1702" s="552">
        <v>912.7</v>
      </c>
      <c r="D1702" s="553">
        <v>51634</v>
      </c>
      <c r="E1702" s="553">
        <v>588</v>
      </c>
      <c r="F1702" s="551">
        <v>6</v>
      </c>
      <c r="G1702" s="551">
        <v>73093</v>
      </c>
      <c r="H1702" s="551">
        <v>30</v>
      </c>
      <c r="I1702" s="551">
        <v>14</v>
      </c>
      <c r="J1702" s="551">
        <v>0</v>
      </c>
      <c r="K1702" s="527">
        <f t="shared" si="944"/>
        <v>0.011387845218267</v>
      </c>
      <c r="L1702" s="528">
        <f t="shared" si="945"/>
        <v>1.55221088435374</v>
      </c>
      <c r="M1702" s="528">
        <f t="shared" si="946"/>
        <v>17.6763372971298</v>
      </c>
      <c r="N1702" s="528">
        <f t="shared" si="947"/>
        <v>80.0843650706694</v>
      </c>
      <c r="O1702" s="528">
        <f t="shared" si="948"/>
        <v>0.0102040816326531</v>
      </c>
      <c r="P1702" s="529">
        <f t="shared" si="949"/>
        <v>20.7431818181818</v>
      </c>
      <c r="Q1702" s="24">
        <f t="shared" si="950"/>
        <v>44</v>
      </c>
      <c r="R1702" s="530">
        <f t="shared" si="951"/>
        <v>0.0748299319727891</v>
      </c>
    </row>
    <row r="1703" spans="1:18">
      <c r="A1703" s="524"/>
      <c r="B1703" s="540" t="s">
        <v>101</v>
      </c>
      <c r="C1703" s="551">
        <v>1187.57</v>
      </c>
      <c r="D1703" s="551">
        <v>17713</v>
      </c>
      <c r="E1703" s="551">
        <v>374</v>
      </c>
      <c r="F1703" s="551">
        <v>15</v>
      </c>
      <c r="G1703" s="551">
        <v>138753</v>
      </c>
      <c r="H1703" s="551">
        <v>37</v>
      </c>
      <c r="I1703" s="551">
        <v>3</v>
      </c>
      <c r="J1703" s="551">
        <v>0</v>
      </c>
      <c r="K1703" s="527">
        <f t="shared" si="944"/>
        <v>0.0211144357251736</v>
      </c>
      <c r="L1703" s="528">
        <f t="shared" si="945"/>
        <v>3.17532085561497</v>
      </c>
      <c r="M1703" s="528">
        <f t="shared" si="946"/>
        <v>67.0451081126856</v>
      </c>
      <c r="N1703" s="528">
        <f t="shared" si="947"/>
        <v>116.837744301389</v>
      </c>
      <c r="O1703" s="528">
        <f t="shared" si="948"/>
        <v>0.0401069518716578</v>
      </c>
      <c r="P1703" s="529">
        <f t="shared" si="949"/>
        <v>29.68925</v>
      </c>
      <c r="Q1703" s="24">
        <f t="shared" si="950"/>
        <v>40</v>
      </c>
      <c r="R1703" s="530">
        <f t="shared" si="951"/>
        <v>0.106951871657754</v>
      </c>
    </row>
    <row r="1704" spans="1:18">
      <c r="A1704" s="524"/>
      <c r="B1704" s="531" t="s">
        <v>96</v>
      </c>
      <c r="C1704" s="533">
        <f t="shared" ref="C1704:J1704" si="952">SUM(C1700:C1703)</f>
        <v>2513.96</v>
      </c>
      <c r="D1704" s="533">
        <f t="shared" si="952"/>
        <v>80840</v>
      </c>
      <c r="E1704" s="533">
        <f t="shared" si="952"/>
        <v>1262</v>
      </c>
      <c r="F1704" s="533">
        <f t="shared" si="952"/>
        <v>21</v>
      </c>
      <c r="G1704" s="533">
        <f t="shared" si="952"/>
        <v>211846</v>
      </c>
      <c r="H1704" s="533">
        <f t="shared" si="952"/>
        <v>77</v>
      </c>
      <c r="I1704" s="533">
        <f t="shared" si="952"/>
        <v>22</v>
      </c>
      <c r="J1704" s="533">
        <f t="shared" si="952"/>
        <v>2</v>
      </c>
      <c r="K1704" s="534">
        <f t="shared" si="944"/>
        <v>0.0156110836219693</v>
      </c>
      <c r="L1704" s="535">
        <f t="shared" si="945"/>
        <v>1.99204437400951</v>
      </c>
      <c r="M1704" s="535">
        <f t="shared" si="946"/>
        <v>31.097971301336</v>
      </c>
      <c r="N1704" s="535">
        <f t="shared" si="947"/>
        <v>84.2678483348979</v>
      </c>
      <c r="O1704" s="535">
        <f t="shared" si="948"/>
        <v>0.0166402535657686</v>
      </c>
      <c r="P1704" s="536">
        <f t="shared" si="949"/>
        <v>25.3935353535354</v>
      </c>
      <c r="Q1704" s="531">
        <f t="shared" si="950"/>
        <v>99</v>
      </c>
      <c r="R1704" s="537">
        <f t="shared" si="951"/>
        <v>0.0784469096671949</v>
      </c>
    </row>
    <row r="1705" spans="1:18">
      <c r="A1705" s="524">
        <v>45791</v>
      </c>
      <c r="B1705" s="540" t="s">
        <v>98</v>
      </c>
      <c r="C1705" s="551">
        <v>423.99</v>
      </c>
      <c r="D1705" s="553">
        <v>9891</v>
      </c>
      <c r="E1705" s="551">
        <v>307</v>
      </c>
      <c r="F1705" s="551">
        <v>1</v>
      </c>
      <c r="G1705" s="551">
        <v>12292</v>
      </c>
      <c r="H1705" s="551">
        <v>11</v>
      </c>
      <c r="I1705" s="551">
        <v>4</v>
      </c>
      <c r="J1705" s="551">
        <v>4</v>
      </c>
      <c r="K1705" s="527">
        <f t="shared" ref="K1705:K1709" si="953">IF(E1705=0,0,E1705/D1705)</f>
        <v>0.0310383176625215</v>
      </c>
      <c r="L1705" s="528">
        <f t="shared" ref="L1705:L1709" si="954">IF(C1705=0,0,C1705/E1705)</f>
        <v>1.38107491856678</v>
      </c>
      <c r="M1705" s="528">
        <f t="shared" ref="M1705:M1709" si="955">IF(D1705=0,0,C1705/D1705*1000)</f>
        <v>42.8662420382166</v>
      </c>
      <c r="N1705" s="528">
        <f t="shared" ref="N1705:N1709" si="956">IF(G1705=0,0,G1705/C1705)</f>
        <v>28.9912497936272</v>
      </c>
      <c r="O1705" s="528">
        <f t="shared" ref="O1705:O1709" si="957">IF(F1705=0,0,F1705/E1705)</f>
        <v>0.00325732899022801</v>
      </c>
      <c r="P1705" s="529">
        <f t="shared" ref="P1705:P1709" si="958">IF(H1705+I1705=0,0,C1705/(H1705+I1705))</f>
        <v>28.266</v>
      </c>
      <c r="Q1705" s="24">
        <f t="shared" ref="Q1705:Q1709" si="959">H1705+I1705</f>
        <v>15</v>
      </c>
      <c r="R1705" s="530">
        <f t="shared" ref="R1705:R1709" si="960">IF(Q1705=0,0,Q1705/E1705)</f>
        <v>0.0488599348534202</v>
      </c>
    </row>
    <row r="1706" spans="1:18">
      <c r="A1706" s="524"/>
      <c r="B1706" s="540" t="s">
        <v>99</v>
      </c>
      <c r="C1706" s="551">
        <v>415.63</v>
      </c>
      <c r="D1706" s="551">
        <v>1910</v>
      </c>
      <c r="E1706" s="551">
        <v>289</v>
      </c>
      <c r="F1706" s="551">
        <v>3</v>
      </c>
      <c r="G1706" s="551">
        <v>37491</v>
      </c>
      <c r="H1706" s="551">
        <v>5</v>
      </c>
      <c r="I1706" s="551">
        <v>0</v>
      </c>
      <c r="J1706" s="551">
        <v>3</v>
      </c>
      <c r="K1706" s="527">
        <f t="shared" si="953"/>
        <v>0.15130890052356</v>
      </c>
      <c r="L1706" s="528">
        <f t="shared" si="954"/>
        <v>1.4381660899654</v>
      </c>
      <c r="M1706" s="528">
        <f t="shared" si="955"/>
        <v>217.607329842932</v>
      </c>
      <c r="N1706" s="528">
        <f t="shared" si="956"/>
        <v>90.2028246276736</v>
      </c>
      <c r="O1706" s="528">
        <f t="shared" si="957"/>
        <v>0.0103806228373702</v>
      </c>
      <c r="P1706" s="529">
        <f t="shared" si="958"/>
        <v>83.126</v>
      </c>
      <c r="Q1706" s="24">
        <f t="shared" si="959"/>
        <v>5</v>
      </c>
      <c r="R1706" s="530">
        <f t="shared" si="960"/>
        <v>0.0173010380622837</v>
      </c>
    </row>
    <row r="1707" spans="1:18">
      <c r="A1707" s="524"/>
      <c r="B1707" s="540" t="s">
        <v>100</v>
      </c>
      <c r="C1707" s="552">
        <v>894.57</v>
      </c>
      <c r="D1707" s="553">
        <v>37098</v>
      </c>
      <c r="E1707" s="553">
        <v>588</v>
      </c>
      <c r="F1707" s="551">
        <v>3</v>
      </c>
      <c r="G1707" s="551">
        <v>30594</v>
      </c>
      <c r="H1707" s="551">
        <v>36</v>
      </c>
      <c r="I1707" s="551">
        <v>8</v>
      </c>
      <c r="J1707" s="551">
        <v>1</v>
      </c>
      <c r="K1707" s="527">
        <f t="shared" si="953"/>
        <v>0.0158499110464176</v>
      </c>
      <c r="L1707" s="528">
        <f t="shared" si="954"/>
        <v>1.52137755102041</v>
      </c>
      <c r="M1707" s="528">
        <f t="shared" si="955"/>
        <v>24.1136988516901</v>
      </c>
      <c r="N1707" s="528">
        <f t="shared" si="956"/>
        <v>34.1996713504812</v>
      </c>
      <c r="O1707" s="528">
        <f t="shared" si="957"/>
        <v>0.00510204081632653</v>
      </c>
      <c r="P1707" s="529">
        <f t="shared" si="958"/>
        <v>20.3311363636364</v>
      </c>
      <c r="Q1707" s="24">
        <f t="shared" si="959"/>
        <v>44</v>
      </c>
      <c r="R1707" s="530">
        <f t="shared" si="960"/>
        <v>0.0748299319727891</v>
      </c>
    </row>
    <row r="1708" spans="1:18">
      <c r="A1708" s="524"/>
      <c r="B1708" s="540" t="s">
        <v>101</v>
      </c>
      <c r="C1708" s="551">
        <v>2480.25</v>
      </c>
      <c r="D1708" s="551">
        <v>47737</v>
      </c>
      <c r="E1708" s="551">
        <v>874</v>
      </c>
      <c r="F1708" s="551">
        <v>19</v>
      </c>
      <c r="G1708" s="551">
        <v>188216</v>
      </c>
      <c r="H1708" s="551">
        <v>42</v>
      </c>
      <c r="I1708" s="551">
        <v>17</v>
      </c>
      <c r="J1708" s="551">
        <v>4</v>
      </c>
      <c r="K1708" s="527">
        <f t="shared" si="953"/>
        <v>0.0183086494752498</v>
      </c>
      <c r="L1708" s="528">
        <f t="shared" si="954"/>
        <v>2.83781464530892</v>
      </c>
      <c r="M1708" s="528">
        <f t="shared" si="955"/>
        <v>51.9565536166915</v>
      </c>
      <c r="N1708" s="528">
        <f t="shared" si="956"/>
        <v>75.8858985989316</v>
      </c>
      <c r="O1708" s="528">
        <f t="shared" si="957"/>
        <v>0.0217391304347826</v>
      </c>
      <c r="P1708" s="529">
        <f t="shared" si="958"/>
        <v>42.0381355932203</v>
      </c>
      <c r="Q1708" s="24">
        <f t="shared" si="959"/>
        <v>59</v>
      </c>
      <c r="R1708" s="530">
        <f t="shared" si="960"/>
        <v>0.0675057208237986</v>
      </c>
    </row>
    <row r="1709" spans="1:18">
      <c r="A1709" s="524"/>
      <c r="B1709" s="531" t="s">
        <v>96</v>
      </c>
      <c r="C1709" s="533">
        <f t="shared" ref="C1709:J1709" si="961">SUM(C1705:C1708)</f>
        <v>4214.44</v>
      </c>
      <c r="D1709" s="533">
        <f t="shared" si="961"/>
        <v>96636</v>
      </c>
      <c r="E1709" s="533">
        <f t="shared" si="961"/>
        <v>2058</v>
      </c>
      <c r="F1709" s="533">
        <f t="shared" si="961"/>
        <v>26</v>
      </c>
      <c r="G1709" s="533">
        <f t="shared" si="961"/>
        <v>268593</v>
      </c>
      <c r="H1709" s="533">
        <f t="shared" si="961"/>
        <v>94</v>
      </c>
      <c r="I1709" s="533">
        <f t="shared" si="961"/>
        <v>29</v>
      </c>
      <c r="J1709" s="533">
        <f t="shared" si="961"/>
        <v>12</v>
      </c>
      <c r="K1709" s="534">
        <f t="shared" si="953"/>
        <v>0.0212964112753011</v>
      </c>
      <c r="L1709" s="535">
        <f t="shared" si="954"/>
        <v>2.04783284742468</v>
      </c>
      <c r="M1709" s="535">
        <f t="shared" si="955"/>
        <v>43.6114905418271</v>
      </c>
      <c r="N1709" s="535">
        <f t="shared" si="956"/>
        <v>63.7315989787492</v>
      </c>
      <c r="O1709" s="535">
        <f t="shared" si="957"/>
        <v>0.0126336248785228</v>
      </c>
      <c r="P1709" s="536">
        <f t="shared" si="958"/>
        <v>34.2637398373984</v>
      </c>
      <c r="Q1709" s="531">
        <f t="shared" si="959"/>
        <v>123</v>
      </c>
      <c r="R1709" s="537">
        <f t="shared" si="960"/>
        <v>0.0597667638483965</v>
      </c>
    </row>
    <row r="1710" spans="1:18">
      <c r="A1710" s="524">
        <v>45792</v>
      </c>
      <c r="B1710" s="540" t="s">
        <v>98</v>
      </c>
      <c r="C1710" s="551">
        <v>411.62</v>
      </c>
      <c r="D1710" s="553">
        <v>11248</v>
      </c>
      <c r="E1710" s="551">
        <v>331</v>
      </c>
      <c r="F1710" s="551">
        <v>5</v>
      </c>
      <c r="G1710" s="551">
        <v>54164</v>
      </c>
      <c r="H1710" s="551">
        <v>11</v>
      </c>
      <c r="I1710" s="551">
        <v>2</v>
      </c>
      <c r="J1710" s="551">
        <v>2</v>
      </c>
      <c r="K1710" s="527">
        <f t="shared" ref="K1710:K1714" si="962">IF(E1710=0,0,E1710/D1710)</f>
        <v>0.029427453769559</v>
      </c>
      <c r="L1710" s="528">
        <f t="shared" ref="L1710:L1714" si="963">IF(C1710=0,0,C1710/E1710)</f>
        <v>1.24356495468278</v>
      </c>
      <c r="M1710" s="528">
        <f t="shared" ref="M1710:M1714" si="964">IF(D1710=0,0,C1710/D1710*1000)</f>
        <v>36.5949502133713</v>
      </c>
      <c r="N1710" s="528">
        <f t="shared" ref="N1710:N1714" si="965">IF(G1710=0,0,G1710/C1710)</f>
        <v>131.587386424372</v>
      </c>
      <c r="O1710" s="528">
        <f t="shared" ref="O1710:O1714" si="966">IF(F1710=0,0,F1710/E1710)</f>
        <v>0.0151057401812689</v>
      </c>
      <c r="P1710" s="529">
        <f t="shared" ref="P1710:P1714" si="967">IF(H1710+I1710=0,0,C1710/(H1710+I1710))</f>
        <v>31.6630769230769</v>
      </c>
      <c r="Q1710" s="24">
        <f t="shared" ref="Q1710:Q1714" si="968">H1710+I1710</f>
        <v>13</v>
      </c>
      <c r="R1710" s="530">
        <f t="shared" ref="R1710:R1714" si="969">IF(Q1710=0,0,Q1710/E1710)</f>
        <v>0.0392749244712991</v>
      </c>
    </row>
    <row r="1711" spans="1:18">
      <c r="A1711" s="524"/>
      <c r="B1711" s="540" t="s">
        <v>99</v>
      </c>
      <c r="C1711" s="551">
        <v>252.39</v>
      </c>
      <c r="D1711" s="551">
        <v>1137</v>
      </c>
      <c r="E1711" s="551">
        <v>95</v>
      </c>
      <c r="F1711" s="551">
        <v>4</v>
      </c>
      <c r="G1711" s="551">
        <v>43988</v>
      </c>
      <c r="H1711" s="551">
        <v>2</v>
      </c>
      <c r="I1711" s="551">
        <v>0</v>
      </c>
      <c r="J1711" s="551">
        <v>2</v>
      </c>
      <c r="K1711" s="527">
        <f t="shared" si="962"/>
        <v>0.0835532102022867</v>
      </c>
      <c r="L1711" s="528">
        <f t="shared" si="963"/>
        <v>2.65673684210526</v>
      </c>
      <c r="M1711" s="528">
        <f t="shared" si="964"/>
        <v>221.97889182058</v>
      </c>
      <c r="N1711" s="528">
        <f t="shared" si="965"/>
        <v>174.285827489203</v>
      </c>
      <c r="O1711" s="528">
        <f t="shared" si="966"/>
        <v>0.0421052631578947</v>
      </c>
      <c r="P1711" s="529">
        <f t="shared" si="967"/>
        <v>126.195</v>
      </c>
      <c r="Q1711" s="24">
        <f t="shared" si="968"/>
        <v>2</v>
      </c>
      <c r="R1711" s="530">
        <f t="shared" si="969"/>
        <v>0.0210526315789474</v>
      </c>
    </row>
    <row r="1712" spans="1:18">
      <c r="A1712" s="524"/>
      <c r="B1712" s="540" t="s">
        <v>100</v>
      </c>
      <c r="C1712" s="552">
        <v>1097.17</v>
      </c>
      <c r="D1712" s="553">
        <v>33506</v>
      </c>
      <c r="E1712" s="553">
        <v>542</v>
      </c>
      <c r="F1712" s="551">
        <v>3</v>
      </c>
      <c r="G1712" s="551">
        <v>31366</v>
      </c>
      <c r="H1712" s="551">
        <v>37</v>
      </c>
      <c r="I1712" s="551">
        <v>10</v>
      </c>
      <c r="J1712" s="551">
        <v>3</v>
      </c>
      <c r="K1712" s="527">
        <f t="shared" si="962"/>
        <v>0.0161762072464633</v>
      </c>
      <c r="L1712" s="528">
        <f t="shared" si="963"/>
        <v>2.02429889298893</v>
      </c>
      <c r="M1712" s="528">
        <f t="shared" si="964"/>
        <v>32.7454784217752</v>
      </c>
      <c r="N1712" s="528">
        <f t="shared" si="965"/>
        <v>28.588094825779</v>
      </c>
      <c r="O1712" s="528">
        <f t="shared" si="966"/>
        <v>0.00553505535055351</v>
      </c>
      <c r="P1712" s="529">
        <f t="shared" si="967"/>
        <v>23.3440425531915</v>
      </c>
      <c r="Q1712" s="24">
        <f t="shared" si="968"/>
        <v>47</v>
      </c>
      <c r="R1712" s="530">
        <f t="shared" si="969"/>
        <v>0.0867158671586716</v>
      </c>
    </row>
    <row r="1713" spans="1:18">
      <c r="A1713" s="524"/>
      <c r="B1713" s="540" t="s">
        <v>101</v>
      </c>
      <c r="C1713" s="551">
        <v>5383.14</v>
      </c>
      <c r="D1713" s="551">
        <v>1526</v>
      </c>
      <c r="E1713" s="551">
        <v>1526</v>
      </c>
      <c r="F1713" s="551">
        <v>11</v>
      </c>
      <c r="G1713" s="551">
        <v>110126</v>
      </c>
      <c r="H1713" s="551">
        <v>55</v>
      </c>
      <c r="I1713" s="551">
        <v>8</v>
      </c>
      <c r="J1713" s="551">
        <v>5</v>
      </c>
      <c r="K1713" s="527">
        <f t="shared" si="962"/>
        <v>1</v>
      </c>
      <c r="L1713" s="528">
        <f t="shared" si="963"/>
        <v>3.52761467889908</v>
      </c>
      <c r="M1713" s="528">
        <f t="shared" si="964"/>
        <v>3527.61467889908</v>
      </c>
      <c r="N1713" s="528">
        <f t="shared" si="965"/>
        <v>20.4575768046159</v>
      </c>
      <c r="O1713" s="528">
        <f t="shared" si="966"/>
        <v>0.0072083879423329</v>
      </c>
      <c r="P1713" s="529">
        <f t="shared" si="967"/>
        <v>85.4466666666667</v>
      </c>
      <c r="Q1713" s="24">
        <f t="shared" si="968"/>
        <v>63</v>
      </c>
      <c r="R1713" s="530">
        <f t="shared" si="969"/>
        <v>0.0412844036697248</v>
      </c>
    </row>
    <row r="1714" spans="1:18">
      <c r="A1714" s="524"/>
      <c r="B1714" s="531" t="s">
        <v>96</v>
      </c>
      <c r="C1714" s="533">
        <f t="shared" ref="C1714:J1714" si="970">SUM(C1710:C1713)</f>
        <v>7144.32</v>
      </c>
      <c r="D1714" s="533">
        <f t="shared" si="970"/>
        <v>47417</v>
      </c>
      <c r="E1714" s="533">
        <f t="shared" si="970"/>
        <v>2494</v>
      </c>
      <c r="F1714" s="533">
        <f t="shared" si="970"/>
        <v>23</v>
      </c>
      <c r="G1714" s="533">
        <f t="shared" si="970"/>
        <v>239644</v>
      </c>
      <c r="H1714" s="533">
        <f t="shared" si="970"/>
        <v>105</v>
      </c>
      <c r="I1714" s="533">
        <f t="shared" si="970"/>
        <v>20</v>
      </c>
      <c r="J1714" s="533">
        <f t="shared" si="970"/>
        <v>12</v>
      </c>
      <c r="K1714" s="534">
        <f t="shared" si="962"/>
        <v>0.052597169791425</v>
      </c>
      <c r="L1714" s="535">
        <f t="shared" si="963"/>
        <v>2.86460304731355</v>
      </c>
      <c r="M1714" s="535">
        <f t="shared" si="964"/>
        <v>150.670012864584</v>
      </c>
      <c r="N1714" s="535">
        <f t="shared" si="965"/>
        <v>33.5432903341396</v>
      </c>
      <c r="O1714" s="535">
        <f t="shared" si="966"/>
        <v>0.00922213311948677</v>
      </c>
      <c r="P1714" s="536">
        <f t="shared" si="967"/>
        <v>57.15456</v>
      </c>
      <c r="Q1714" s="531">
        <f t="shared" si="968"/>
        <v>125</v>
      </c>
      <c r="R1714" s="537">
        <f t="shared" si="969"/>
        <v>0.0501202886928629</v>
      </c>
    </row>
    <row r="1715" spans="1:18">
      <c r="A1715" s="524">
        <v>45793</v>
      </c>
      <c r="B1715" s="540" t="s">
        <v>98</v>
      </c>
      <c r="C1715" s="551">
        <v>418.6</v>
      </c>
      <c r="D1715" s="553">
        <v>10067</v>
      </c>
      <c r="E1715" s="551">
        <v>303</v>
      </c>
      <c r="F1715" s="551">
        <v>0</v>
      </c>
      <c r="G1715" s="551">
        <v>0</v>
      </c>
      <c r="H1715" s="551">
        <v>14</v>
      </c>
      <c r="I1715" s="551">
        <v>7</v>
      </c>
      <c r="J1715" s="551">
        <v>1</v>
      </c>
      <c r="K1715" s="527">
        <f t="shared" ref="K1715:K1719" si="971">IF(E1715=0,0,E1715/D1715)</f>
        <v>0.0300983411145326</v>
      </c>
      <c r="L1715" s="528">
        <f t="shared" ref="L1715:L1719" si="972">IF(C1715=0,0,C1715/E1715)</f>
        <v>1.38151815181518</v>
      </c>
      <c r="M1715" s="528">
        <f t="shared" ref="M1715:M1719" si="973">IF(D1715=0,0,C1715/D1715*1000)</f>
        <v>41.581404589252</v>
      </c>
      <c r="N1715" s="528">
        <f t="shared" ref="N1715:N1719" si="974">IF(G1715=0,0,G1715/C1715)</f>
        <v>0</v>
      </c>
      <c r="O1715" s="528">
        <f t="shared" ref="O1715:O1719" si="975">IF(F1715=0,0,F1715/E1715)</f>
        <v>0</v>
      </c>
      <c r="P1715" s="529">
        <f t="shared" ref="P1715:P1719" si="976">IF(H1715+I1715=0,0,C1715/(H1715+I1715))</f>
        <v>19.9333333333333</v>
      </c>
      <c r="Q1715" s="24">
        <f t="shared" ref="Q1715:Q1719" si="977">H1715+I1715</f>
        <v>21</v>
      </c>
      <c r="R1715" s="530">
        <f t="shared" ref="R1715:R1719" si="978">IF(Q1715=0,0,Q1715/E1715)</f>
        <v>0.0693069306930693</v>
      </c>
    </row>
    <row r="1716" spans="1:18">
      <c r="A1716" s="524"/>
      <c r="B1716" s="540" t="s">
        <v>99</v>
      </c>
      <c r="C1716" s="551">
        <v>0</v>
      </c>
      <c r="D1716" s="551">
        <v>0</v>
      </c>
      <c r="E1716" s="551">
        <v>0</v>
      </c>
      <c r="F1716" s="551">
        <v>0</v>
      </c>
      <c r="G1716" s="551">
        <v>0</v>
      </c>
      <c r="H1716" s="551">
        <v>0</v>
      </c>
      <c r="I1716" s="551">
        <v>0</v>
      </c>
      <c r="J1716" s="551">
        <v>0</v>
      </c>
      <c r="K1716" s="527">
        <f t="shared" si="971"/>
        <v>0</v>
      </c>
      <c r="L1716" s="528">
        <f t="shared" si="972"/>
        <v>0</v>
      </c>
      <c r="M1716" s="528">
        <f t="shared" si="973"/>
        <v>0</v>
      </c>
      <c r="N1716" s="528">
        <f t="shared" si="974"/>
        <v>0</v>
      </c>
      <c r="O1716" s="528">
        <f t="shared" si="975"/>
        <v>0</v>
      </c>
      <c r="P1716" s="529">
        <f t="shared" si="976"/>
        <v>0</v>
      </c>
      <c r="Q1716" s="24">
        <f t="shared" si="977"/>
        <v>0</v>
      </c>
      <c r="R1716" s="530">
        <f t="shared" si="978"/>
        <v>0</v>
      </c>
    </row>
    <row r="1717" spans="1:18">
      <c r="A1717" s="524"/>
      <c r="B1717" s="540" t="s">
        <v>100</v>
      </c>
      <c r="C1717" s="552">
        <v>1096.02</v>
      </c>
      <c r="D1717" s="553">
        <v>29577</v>
      </c>
      <c r="E1717" s="553">
        <v>418</v>
      </c>
      <c r="F1717" s="551">
        <v>2</v>
      </c>
      <c r="G1717" s="551">
        <v>21150</v>
      </c>
      <c r="H1717" s="551">
        <v>21</v>
      </c>
      <c r="I1717" s="551">
        <v>9</v>
      </c>
      <c r="J1717" s="551">
        <v>0</v>
      </c>
      <c r="K1717" s="527">
        <f t="shared" si="971"/>
        <v>0.0141326030361429</v>
      </c>
      <c r="L1717" s="528">
        <f t="shared" si="972"/>
        <v>2.62205741626794</v>
      </c>
      <c r="M1717" s="528">
        <f t="shared" si="973"/>
        <v>37.0564966020895</v>
      </c>
      <c r="N1717" s="528">
        <f t="shared" si="974"/>
        <v>19.2970931187387</v>
      </c>
      <c r="O1717" s="528">
        <f t="shared" si="975"/>
        <v>0.00478468899521531</v>
      </c>
      <c r="P1717" s="529">
        <f t="shared" si="976"/>
        <v>36.534</v>
      </c>
      <c r="Q1717" s="24">
        <f t="shared" si="977"/>
        <v>30</v>
      </c>
      <c r="R1717" s="530">
        <f t="shared" si="978"/>
        <v>0.0717703349282297</v>
      </c>
    </row>
    <row r="1718" spans="1:18">
      <c r="A1718" s="524"/>
      <c r="B1718" s="540" t="s">
        <v>101</v>
      </c>
      <c r="C1718" s="551">
        <v>3440.4</v>
      </c>
      <c r="D1718" s="551">
        <v>71218</v>
      </c>
      <c r="E1718" s="551">
        <v>1061</v>
      </c>
      <c r="F1718" s="551">
        <v>19</v>
      </c>
      <c r="G1718" s="551">
        <v>200832</v>
      </c>
      <c r="H1718" s="551">
        <v>43</v>
      </c>
      <c r="I1718" s="551">
        <v>8</v>
      </c>
      <c r="J1718" s="551">
        <v>2</v>
      </c>
      <c r="K1718" s="527">
        <f t="shared" si="971"/>
        <v>0.0148979190654048</v>
      </c>
      <c r="L1718" s="528">
        <f t="shared" si="972"/>
        <v>3.2426013195099</v>
      </c>
      <c r="M1718" s="528">
        <f t="shared" si="973"/>
        <v>48.3080120194333</v>
      </c>
      <c r="N1718" s="528">
        <f t="shared" si="974"/>
        <v>58.374607603767</v>
      </c>
      <c r="O1718" s="528">
        <f t="shared" si="975"/>
        <v>0.0179076343072573</v>
      </c>
      <c r="P1718" s="529">
        <f t="shared" si="976"/>
        <v>67.4588235294118</v>
      </c>
      <c r="Q1718" s="24">
        <f t="shared" si="977"/>
        <v>51</v>
      </c>
      <c r="R1718" s="530">
        <f t="shared" si="978"/>
        <v>0.0480678605089538</v>
      </c>
    </row>
    <row r="1719" spans="1:18">
      <c r="A1719" s="524"/>
      <c r="B1719" s="531" t="s">
        <v>96</v>
      </c>
      <c r="C1719" s="533">
        <f t="shared" ref="C1719:J1719" si="979">SUM(C1715:C1718)</f>
        <v>4955.02</v>
      </c>
      <c r="D1719" s="533">
        <f t="shared" si="979"/>
        <v>110862</v>
      </c>
      <c r="E1719" s="533">
        <f t="shared" si="979"/>
        <v>1782</v>
      </c>
      <c r="F1719" s="533">
        <f t="shared" si="979"/>
        <v>21</v>
      </c>
      <c r="G1719" s="533">
        <f t="shared" si="979"/>
        <v>221982</v>
      </c>
      <c r="H1719" s="533">
        <f t="shared" si="979"/>
        <v>78</v>
      </c>
      <c r="I1719" s="533">
        <f t="shared" si="979"/>
        <v>24</v>
      </c>
      <c r="J1719" s="533">
        <f t="shared" si="979"/>
        <v>3</v>
      </c>
      <c r="K1719" s="534">
        <f t="shared" si="971"/>
        <v>0.0160740379931807</v>
      </c>
      <c r="L1719" s="535">
        <f t="shared" si="972"/>
        <v>2.7805948372615</v>
      </c>
      <c r="M1719" s="535">
        <f t="shared" si="973"/>
        <v>44.6953870577835</v>
      </c>
      <c r="N1719" s="535">
        <f t="shared" si="974"/>
        <v>44.7994155422178</v>
      </c>
      <c r="O1719" s="535">
        <f t="shared" si="975"/>
        <v>0.0117845117845118</v>
      </c>
      <c r="P1719" s="536">
        <f t="shared" si="976"/>
        <v>48.5786274509804</v>
      </c>
      <c r="Q1719" s="531">
        <f t="shared" si="977"/>
        <v>102</v>
      </c>
      <c r="R1719" s="537">
        <f t="shared" si="978"/>
        <v>0.0572390572390572</v>
      </c>
    </row>
    <row r="1720" spans="1:18">
      <c r="A1720" s="524">
        <v>45794</v>
      </c>
      <c r="B1720" s="540" t="s">
        <v>98</v>
      </c>
      <c r="C1720" s="551">
        <v>661.96</v>
      </c>
      <c r="D1720" s="553">
        <v>18451</v>
      </c>
      <c r="E1720" s="551">
        <v>444</v>
      </c>
      <c r="F1720" s="551">
        <v>1</v>
      </c>
      <c r="G1720" s="551">
        <v>13824</v>
      </c>
      <c r="H1720" s="551">
        <v>14</v>
      </c>
      <c r="I1720" s="551">
        <v>21</v>
      </c>
      <c r="J1720" s="551">
        <v>3</v>
      </c>
      <c r="K1720" s="527">
        <f t="shared" ref="K1720:K1724" si="980">IF(E1720=0,0,E1720/D1720)</f>
        <v>0.0240637363828519</v>
      </c>
      <c r="L1720" s="528">
        <f t="shared" ref="L1720:L1724" si="981">IF(C1720=0,0,C1720/E1720)</f>
        <v>1.4909009009009</v>
      </c>
      <c r="M1720" s="528">
        <f t="shared" ref="M1720:M1724" si="982">IF(D1720=0,0,C1720/D1720*1000)</f>
        <v>35.8766462522357</v>
      </c>
      <c r="N1720" s="528">
        <f t="shared" ref="N1720:N1724" si="983">IF(G1720=0,0,G1720/C1720)</f>
        <v>20.8834370656837</v>
      </c>
      <c r="O1720" s="528">
        <f t="shared" ref="O1720:O1724" si="984">IF(F1720=0,0,F1720/E1720)</f>
        <v>0.00225225225225225</v>
      </c>
      <c r="P1720" s="529">
        <f t="shared" ref="P1720:P1724" si="985">IF(H1720+I1720=0,0,C1720/(H1720+I1720))</f>
        <v>18.9131428571429</v>
      </c>
      <c r="Q1720" s="24">
        <f t="shared" ref="Q1720:Q1724" si="986">H1720+I1720</f>
        <v>35</v>
      </c>
      <c r="R1720" s="530">
        <f t="shared" ref="R1720:R1724" si="987">IF(Q1720=0,0,Q1720/E1720)</f>
        <v>0.0788288288288288</v>
      </c>
    </row>
    <row r="1721" spans="1:18">
      <c r="A1721" s="524"/>
      <c r="B1721" s="540" t="s">
        <v>99</v>
      </c>
      <c r="C1721" s="551">
        <v>0</v>
      </c>
      <c r="D1721" s="551">
        <v>0</v>
      </c>
      <c r="E1721" s="551">
        <v>0</v>
      </c>
      <c r="F1721" s="551">
        <v>0</v>
      </c>
      <c r="G1721" s="551">
        <v>0</v>
      </c>
      <c r="H1721" s="551">
        <v>0</v>
      </c>
      <c r="I1721" s="551">
        <v>0</v>
      </c>
      <c r="J1721" s="551">
        <v>0</v>
      </c>
      <c r="K1721" s="527">
        <f t="shared" si="980"/>
        <v>0</v>
      </c>
      <c r="L1721" s="528">
        <f t="shared" si="981"/>
        <v>0</v>
      </c>
      <c r="M1721" s="528">
        <f t="shared" si="982"/>
        <v>0</v>
      </c>
      <c r="N1721" s="528">
        <f t="shared" si="983"/>
        <v>0</v>
      </c>
      <c r="O1721" s="528">
        <f t="shared" si="984"/>
        <v>0</v>
      </c>
      <c r="P1721" s="529">
        <f t="shared" si="985"/>
        <v>0</v>
      </c>
      <c r="Q1721" s="24">
        <f t="shared" si="986"/>
        <v>0</v>
      </c>
      <c r="R1721" s="530">
        <f t="shared" si="987"/>
        <v>0</v>
      </c>
    </row>
    <row r="1722" spans="1:18">
      <c r="A1722" s="524"/>
      <c r="B1722" s="540" t="s">
        <v>100</v>
      </c>
      <c r="C1722" s="552">
        <v>889.25</v>
      </c>
      <c r="D1722" s="553">
        <v>29397</v>
      </c>
      <c r="E1722" s="553">
        <v>458</v>
      </c>
      <c r="F1722" s="551">
        <v>2</v>
      </c>
      <c r="G1722" s="551">
        <v>21794</v>
      </c>
      <c r="H1722" s="551">
        <v>21</v>
      </c>
      <c r="I1722" s="551">
        <v>9</v>
      </c>
      <c r="J1722" s="551">
        <v>0</v>
      </c>
      <c r="K1722" s="527">
        <f t="shared" si="980"/>
        <v>0.0155798210701772</v>
      </c>
      <c r="L1722" s="528">
        <f t="shared" si="981"/>
        <v>1.94159388646288</v>
      </c>
      <c r="M1722" s="528">
        <f t="shared" si="982"/>
        <v>30.2496853420417</v>
      </c>
      <c r="N1722" s="528">
        <f t="shared" si="983"/>
        <v>24.5082935057633</v>
      </c>
      <c r="O1722" s="528">
        <f t="shared" si="984"/>
        <v>0.00436681222707424</v>
      </c>
      <c r="P1722" s="529">
        <f t="shared" si="985"/>
        <v>29.6416666666667</v>
      </c>
      <c r="Q1722" s="24">
        <f t="shared" si="986"/>
        <v>30</v>
      </c>
      <c r="R1722" s="530">
        <f t="shared" si="987"/>
        <v>0.0655021834061135</v>
      </c>
    </row>
    <row r="1723" spans="1:18">
      <c r="A1723" s="524"/>
      <c r="B1723" s="540" t="s">
        <v>101</v>
      </c>
      <c r="C1723" s="551">
        <v>2071.52</v>
      </c>
      <c r="D1723" s="551">
        <v>66875</v>
      </c>
      <c r="E1723" s="551">
        <v>1194</v>
      </c>
      <c r="F1723" s="551">
        <v>7</v>
      </c>
      <c r="G1723" s="551">
        <v>93856</v>
      </c>
      <c r="H1723" s="551">
        <v>62</v>
      </c>
      <c r="I1723" s="551">
        <v>5</v>
      </c>
      <c r="J1723" s="551">
        <v>2</v>
      </c>
      <c r="K1723" s="527">
        <f t="shared" si="980"/>
        <v>0.0178542056074766</v>
      </c>
      <c r="L1723" s="528">
        <f t="shared" si="981"/>
        <v>1.73494137353434</v>
      </c>
      <c r="M1723" s="528">
        <f t="shared" si="982"/>
        <v>30.976</v>
      </c>
      <c r="N1723" s="528">
        <f t="shared" si="983"/>
        <v>45.3077933111918</v>
      </c>
      <c r="O1723" s="528">
        <f t="shared" si="984"/>
        <v>0.00586264656616415</v>
      </c>
      <c r="P1723" s="529">
        <f t="shared" si="985"/>
        <v>30.9182089552239</v>
      </c>
      <c r="Q1723" s="24">
        <f t="shared" si="986"/>
        <v>67</v>
      </c>
      <c r="R1723" s="530">
        <f t="shared" si="987"/>
        <v>0.0561139028475712</v>
      </c>
    </row>
    <row r="1724" spans="1:18">
      <c r="A1724" s="524"/>
      <c r="B1724" s="531" t="s">
        <v>96</v>
      </c>
      <c r="C1724" s="533">
        <f t="shared" ref="C1724:J1724" si="988">SUM(C1720:C1723)</f>
        <v>3622.73</v>
      </c>
      <c r="D1724" s="533">
        <f t="shared" si="988"/>
        <v>114723</v>
      </c>
      <c r="E1724" s="533">
        <f t="shared" si="988"/>
        <v>2096</v>
      </c>
      <c r="F1724" s="533">
        <f t="shared" si="988"/>
        <v>10</v>
      </c>
      <c r="G1724" s="533">
        <f t="shared" si="988"/>
        <v>129474</v>
      </c>
      <c r="H1724" s="533">
        <f t="shared" si="988"/>
        <v>97</v>
      </c>
      <c r="I1724" s="533">
        <f t="shared" si="988"/>
        <v>35</v>
      </c>
      <c r="J1724" s="533">
        <f t="shared" si="988"/>
        <v>5</v>
      </c>
      <c r="K1724" s="534">
        <f t="shared" si="980"/>
        <v>0.0182700940526311</v>
      </c>
      <c r="L1724" s="535">
        <f t="shared" si="981"/>
        <v>1.72840171755725</v>
      </c>
      <c r="M1724" s="535">
        <f t="shared" si="982"/>
        <v>31.5780619405002</v>
      </c>
      <c r="N1724" s="535">
        <f t="shared" si="983"/>
        <v>35.7393457420233</v>
      </c>
      <c r="O1724" s="535">
        <f t="shared" si="984"/>
        <v>0.00477099236641221</v>
      </c>
      <c r="P1724" s="536">
        <f t="shared" si="985"/>
        <v>27.4449242424242</v>
      </c>
      <c r="Q1724" s="531">
        <f t="shared" si="986"/>
        <v>132</v>
      </c>
      <c r="R1724" s="537">
        <f t="shared" si="987"/>
        <v>0.0629770992366412</v>
      </c>
    </row>
    <row r="1725" spans="1:18">
      <c r="A1725" s="524">
        <v>45795</v>
      </c>
      <c r="B1725" s="540" t="s">
        <v>98</v>
      </c>
      <c r="C1725" s="551">
        <v>699.45</v>
      </c>
      <c r="D1725" s="553">
        <v>15693</v>
      </c>
      <c r="E1725" s="551">
        <v>337</v>
      </c>
      <c r="F1725" s="551">
        <v>2</v>
      </c>
      <c r="G1725" s="551">
        <v>19668</v>
      </c>
      <c r="H1725" s="551">
        <v>14</v>
      </c>
      <c r="I1725" s="551">
        <v>10</v>
      </c>
      <c r="J1725" s="551">
        <v>2</v>
      </c>
      <c r="K1725" s="527">
        <f t="shared" ref="K1725:K1729" si="989">IF(E1725=0,0,E1725/D1725)</f>
        <v>0.0214745427897789</v>
      </c>
      <c r="L1725" s="528">
        <f t="shared" ref="L1725:L1729" si="990">IF(C1725=0,0,C1725/E1725)</f>
        <v>2.07551928783383</v>
      </c>
      <c r="M1725" s="528">
        <f t="shared" ref="M1725:M1729" si="991">IF(D1725=0,0,C1725/D1725*1000)</f>
        <v>44.5708277575989</v>
      </c>
      <c r="N1725" s="528">
        <f t="shared" ref="N1725:N1729" si="992">IF(G1725=0,0,G1725/C1725)</f>
        <v>28.1192365429981</v>
      </c>
      <c r="O1725" s="528">
        <f t="shared" ref="O1725:O1729" si="993">IF(F1725=0,0,F1725/E1725)</f>
        <v>0.00593471810089021</v>
      </c>
      <c r="P1725" s="529">
        <f t="shared" ref="P1725:P1729" si="994">IF(H1725+I1725=0,0,C1725/(H1725+I1725))</f>
        <v>29.14375</v>
      </c>
      <c r="Q1725" s="24">
        <f t="shared" ref="Q1725:Q1729" si="995">H1725+I1725</f>
        <v>24</v>
      </c>
      <c r="R1725" s="530">
        <f t="shared" ref="R1725:R1729" si="996">IF(Q1725=0,0,Q1725/E1725)</f>
        <v>0.0712166172106825</v>
      </c>
    </row>
    <row r="1726" spans="1:18">
      <c r="A1726" s="524"/>
      <c r="B1726" s="540" t="s">
        <v>99</v>
      </c>
      <c r="C1726" s="551">
        <v>0</v>
      </c>
      <c r="D1726" s="551">
        <v>0</v>
      </c>
      <c r="E1726" s="551">
        <v>0</v>
      </c>
      <c r="F1726" s="551">
        <v>0</v>
      </c>
      <c r="G1726" s="551">
        <v>0</v>
      </c>
      <c r="H1726" s="551">
        <v>0</v>
      </c>
      <c r="I1726" s="551">
        <v>0</v>
      </c>
      <c r="J1726" s="551">
        <v>0</v>
      </c>
      <c r="K1726" s="527">
        <f t="shared" si="989"/>
        <v>0</v>
      </c>
      <c r="L1726" s="528">
        <f t="shared" si="990"/>
        <v>0</v>
      </c>
      <c r="M1726" s="528">
        <f t="shared" si="991"/>
        <v>0</v>
      </c>
      <c r="N1726" s="528">
        <f t="shared" si="992"/>
        <v>0</v>
      </c>
      <c r="O1726" s="528">
        <f t="shared" si="993"/>
        <v>0</v>
      </c>
      <c r="P1726" s="529">
        <f t="shared" si="994"/>
        <v>0</v>
      </c>
      <c r="Q1726" s="24">
        <f t="shared" si="995"/>
        <v>0</v>
      </c>
      <c r="R1726" s="530">
        <f t="shared" si="996"/>
        <v>0</v>
      </c>
    </row>
    <row r="1727" spans="1:18">
      <c r="A1727" s="524"/>
      <c r="B1727" s="540" t="s">
        <v>100</v>
      </c>
      <c r="C1727" s="552">
        <v>867.68</v>
      </c>
      <c r="D1727" s="553">
        <v>37556</v>
      </c>
      <c r="E1727" s="553">
        <v>510</v>
      </c>
      <c r="F1727" s="551">
        <v>2</v>
      </c>
      <c r="G1727" s="551">
        <v>15343</v>
      </c>
      <c r="H1727" s="551">
        <v>22</v>
      </c>
      <c r="I1727" s="551">
        <v>4</v>
      </c>
      <c r="J1727" s="551">
        <v>2</v>
      </c>
      <c r="K1727" s="527">
        <f t="shared" si="989"/>
        <v>0.0135797209500479</v>
      </c>
      <c r="L1727" s="528">
        <f t="shared" si="990"/>
        <v>1.70133333333333</v>
      </c>
      <c r="M1727" s="528">
        <f t="shared" si="991"/>
        <v>23.1036319096815</v>
      </c>
      <c r="N1727" s="528">
        <f t="shared" si="992"/>
        <v>17.6827862806565</v>
      </c>
      <c r="O1727" s="528">
        <f t="shared" si="993"/>
        <v>0.00392156862745098</v>
      </c>
      <c r="P1727" s="529">
        <f t="shared" si="994"/>
        <v>33.3723076923077</v>
      </c>
      <c r="Q1727" s="24">
        <f t="shared" si="995"/>
        <v>26</v>
      </c>
      <c r="R1727" s="530">
        <f t="shared" si="996"/>
        <v>0.0509803921568627</v>
      </c>
    </row>
    <row r="1728" spans="1:18">
      <c r="A1728" s="524"/>
      <c r="B1728" s="540" t="s">
        <v>101</v>
      </c>
      <c r="C1728" s="551">
        <v>2215.3</v>
      </c>
      <c r="D1728" s="551">
        <v>103704</v>
      </c>
      <c r="E1728" s="551">
        <v>1887</v>
      </c>
      <c r="F1728" s="551">
        <v>10</v>
      </c>
      <c r="G1728" s="551">
        <v>113764</v>
      </c>
      <c r="H1728" s="551">
        <v>83</v>
      </c>
      <c r="I1728" s="551">
        <v>13</v>
      </c>
      <c r="J1728" s="551">
        <v>3</v>
      </c>
      <c r="K1728" s="527">
        <f t="shared" si="989"/>
        <v>0.0181960194399445</v>
      </c>
      <c r="L1728" s="528">
        <f t="shared" si="990"/>
        <v>1.17397986221516</v>
      </c>
      <c r="M1728" s="528">
        <f t="shared" si="991"/>
        <v>21.3617603949703</v>
      </c>
      <c r="N1728" s="528">
        <f t="shared" si="992"/>
        <v>51.3537669841556</v>
      </c>
      <c r="O1728" s="528">
        <f t="shared" si="993"/>
        <v>0.00529941706412295</v>
      </c>
      <c r="P1728" s="529">
        <f t="shared" si="994"/>
        <v>23.0760416666667</v>
      </c>
      <c r="Q1728" s="24">
        <f t="shared" si="995"/>
        <v>96</v>
      </c>
      <c r="R1728" s="530">
        <f t="shared" si="996"/>
        <v>0.0508744038155803</v>
      </c>
    </row>
    <row r="1729" spans="1:18">
      <c r="A1729" s="524"/>
      <c r="B1729" s="531" t="s">
        <v>96</v>
      </c>
      <c r="C1729" s="533">
        <f t="shared" ref="C1729:J1729" si="997">SUM(C1725:C1728)</f>
        <v>3782.43</v>
      </c>
      <c r="D1729" s="533">
        <f t="shared" si="997"/>
        <v>156953</v>
      </c>
      <c r="E1729" s="533">
        <f t="shared" si="997"/>
        <v>2734</v>
      </c>
      <c r="F1729" s="533">
        <f t="shared" si="997"/>
        <v>14</v>
      </c>
      <c r="G1729" s="533">
        <f t="shared" si="997"/>
        <v>148775</v>
      </c>
      <c r="H1729" s="533">
        <f t="shared" si="997"/>
        <v>119</v>
      </c>
      <c r="I1729" s="533">
        <f t="shared" si="997"/>
        <v>27</v>
      </c>
      <c r="J1729" s="533">
        <f t="shared" si="997"/>
        <v>7</v>
      </c>
      <c r="K1729" s="534">
        <f t="shared" si="989"/>
        <v>0.0174192274120278</v>
      </c>
      <c r="L1729" s="535">
        <f t="shared" si="990"/>
        <v>1.38347841989759</v>
      </c>
      <c r="M1729" s="535">
        <f t="shared" si="991"/>
        <v>24.0991252158289</v>
      </c>
      <c r="N1729" s="535">
        <f t="shared" si="992"/>
        <v>39.333179992756</v>
      </c>
      <c r="O1729" s="535">
        <f t="shared" si="993"/>
        <v>0.00512070226773958</v>
      </c>
      <c r="P1729" s="536">
        <f t="shared" si="994"/>
        <v>25.9070547945206</v>
      </c>
      <c r="Q1729" s="531">
        <f t="shared" si="995"/>
        <v>146</v>
      </c>
      <c r="R1729" s="537">
        <f t="shared" si="996"/>
        <v>0.0534016093635699</v>
      </c>
    </row>
    <row r="1730" spans="1:18">
      <c r="A1730" s="524">
        <v>45796</v>
      </c>
      <c r="B1730" s="540" t="s">
        <v>98</v>
      </c>
      <c r="C1730" s="551">
        <v>662.59</v>
      </c>
      <c r="D1730" s="553">
        <v>13788</v>
      </c>
      <c r="E1730" s="551">
        <v>313</v>
      </c>
      <c r="F1730" s="551">
        <v>0</v>
      </c>
      <c r="G1730" s="551">
        <v>0</v>
      </c>
      <c r="H1730" s="551">
        <v>10</v>
      </c>
      <c r="I1730" s="551">
        <v>4</v>
      </c>
      <c r="J1730" s="551">
        <v>2</v>
      </c>
      <c r="K1730" s="527">
        <f t="shared" ref="K1730:K1734" si="998">IF(E1730=0,0,E1730/D1730)</f>
        <v>0.0227008993327531</v>
      </c>
      <c r="L1730" s="528">
        <f t="shared" ref="L1730:L1734" si="999">IF(C1730=0,0,C1730/E1730)</f>
        <v>2.11690095846645</v>
      </c>
      <c r="M1730" s="528">
        <f t="shared" ref="M1730:M1734" si="1000">IF(D1730=0,0,C1730/D1730*1000)</f>
        <v>48.0555555555556</v>
      </c>
      <c r="N1730" s="528">
        <f t="shared" ref="N1730:N1734" si="1001">IF(G1730=0,0,G1730/C1730)</f>
        <v>0</v>
      </c>
      <c r="O1730" s="528">
        <f t="shared" ref="O1730:O1734" si="1002">IF(F1730=0,0,F1730/E1730)</f>
        <v>0</v>
      </c>
      <c r="P1730" s="529">
        <f t="shared" ref="P1730:P1734" si="1003">IF(H1730+I1730=0,0,C1730/(H1730+I1730))</f>
        <v>47.3278571428571</v>
      </c>
      <c r="Q1730" s="24">
        <f t="shared" ref="Q1730:Q1734" si="1004">H1730+I1730</f>
        <v>14</v>
      </c>
      <c r="R1730" s="530">
        <f t="shared" ref="R1730:R1734" si="1005">IF(Q1730=0,0,Q1730/E1730)</f>
        <v>0.0447284345047923</v>
      </c>
    </row>
    <row r="1731" spans="1:18">
      <c r="A1731" s="524"/>
      <c r="B1731" s="540" t="s">
        <v>99</v>
      </c>
      <c r="C1731" s="551">
        <v>351.84</v>
      </c>
      <c r="D1731" s="551">
        <v>1635</v>
      </c>
      <c r="E1731" s="551">
        <v>222</v>
      </c>
      <c r="F1731" s="551">
        <v>0</v>
      </c>
      <c r="G1731" s="551">
        <v>0</v>
      </c>
      <c r="H1731" s="551">
        <v>7</v>
      </c>
      <c r="I1731" s="551">
        <v>1</v>
      </c>
      <c r="J1731" s="551">
        <v>0</v>
      </c>
      <c r="K1731" s="527">
        <f t="shared" si="998"/>
        <v>0.135779816513761</v>
      </c>
      <c r="L1731" s="528">
        <f t="shared" si="999"/>
        <v>1.58486486486486</v>
      </c>
      <c r="M1731" s="528">
        <f t="shared" si="1000"/>
        <v>215.192660550459</v>
      </c>
      <c r="N1731" s="528">
        <f t="shared" si="1001"/>
        <v>0</v>
      </c>
      <c r="O1731" s="528">
        <f t="shared" si="1002"/>
        <v>0</v>
      </c>
      <c r="P1731" s="529">
        <f t="shared" si="1003"/>
        <v>43.98</v>
      </c>
      <c r="Q1731" s="24">
        <f t="shared" si="1004"/>
        <v>8</v>
      </c>
      <c r="R1731" s="530">
        <f t="shared" si="1005"/>
        <v>0.036036036036036</v>
      </c>
    </row>
    <row r="1732" spans="1:18">
      <c r="A1732" s="524"/>
      <c r="B1732" s="540" t="s">
        <v>100</v>
      </c>
      <c r="C1732" s="552">
        <v>878.63</v>
      </c>
      <c r="D1732" s="553">
        <v>38721</v>
      </c>
      <c r="E1732" s="553">
        <v>491</v>
      </c>
      <c r="F1732" s="551">
        <v>0</v>
      </c>
      <c r="G1732" s="551">
        <v>0</v>
      </c>
      <c r="H1732" s="551">
        <v>26</v>
      </c>
      <c r="I1732" s="551">
        <v>15</v>
      </c>
      <c r="J1732" s="551">
        <v>4</v>
      </c>
      <c r="K1732" s="527">
        <f t="shared" si="998"/>
        <v>0.0126804576328091</v>
      </c>
      <c r="L1732" s="528">
        <f t="shared" si="999"/>
        <v>1.78947046843177</v>
      </c>
      <c r="M1732" s="528">
        <f t="shared" si="1000"/>
        <v>22.6913044601121</v>
      </c>
      <c r="N1732" s="528">
        <f t="shared" si="1001"/>
        <v>0</v>
      </c>
      <c r="O1732" s="528">
        <f t="shared" si="1002"/>
        <v>0</v>
      </c>
      <c r="P1732" s="529">
        <f t="shared" si="1003"/>
        <v>21.43</v>
      </c>
      <c r="Q1732" s="24">
        <f t="shared" si="1004"/>
        <v>41</v>
      </c>
      <c r="R1732" s="530">
        <f t="shared" si="1005"/>
        <v>0.0835030549898167</v>
      </c>
    </row>
    <row r="1733" spans="1:18">
      <c r="A1733" s="524"/>
      <c r="B1733" s="540" t="s">
        <v>101</v>
      </c>
      <c r="C1733" s="551">
        <v>2471.31</v>
      </c>
      <c r="D1733" s="551">
        <v>149673</v>
      </c>
      <c r="E1733" s="551">
        <v>2282</v>
      </c>
      <c r="F1733" s="551">
        <v>13</v>
      </c>
      <c r="G1733" s="551">
        <v>174151</v>
      </c>
      <c r="H1733" s="551">
        <v>100</v>
      </c>
      <c r="I1733" s="551">
        <v>9</v>
      </c>
      <c r="J1733" s="551">
        <v>9</v>
      </c>
      <c r="K1733" s="527">
        <f t="shared" si="998"/>
        <v>0.0152465708578033</v>
      </c>
      <c r="L1733" s="528">
        <f t="shared" si="999"/>
        <v>1.08295793163891</v>
      </c>
      <c r="M1733" s="528">
        <f t="shared" si="1000"/>
        <v>16.5113948407528</v>
      </c>
      <c r="N1733" s="528">
        <f t="shared" si="1001"/>
        <v>70.4691034309739</v>
      </c>
      <c r="O1733" s="528">
        <f t="shared" si="1002"/>
        <v>0.00569675723049956</v>
      </c>
      <c r="P1733" s="529">
        <f t="shared" si="1003"/>
        <v>22.6725688073394</v>
      </c>
      <c r="Q1733" s="24">
        <f t="shared" si="1004"/>
        <v>109</v>
      </c>
      <c r="R1733" s="530">
        <f t="shared" si="1005"/>
        <v>0.0477651183172656</v>
      </c>
    </row>
    <row r="1734" spans="1:18">
      <c r="A1734" s="524"/>
      <c r="B1734" s="531" t="s">
        <v>96</v>
      </c>
      <c r="C1734" s="533">
        <f t="shared" ref="C1734:J1734" si="1006">SUM(C1730:C1733)</f>
        <v>4364.37</v>
      </c>
      <c r="D1734" s="533">
        <f t="shared" si="1006"/>
        <v>203817</v>
      </c>
      <c r="E1734" s="533">
        <f t="shared" si="1006"/>
        <v>3308</v>
      </c>
      <c r="F1734" s="533">
        <f t="shared" si="1006"/>
        <v>13</v>
      </c>
      <c r="G1734" s="533">
        <f t="shared" si="1006"/>
        <v>174151</v>
      </c>
      <c r="H1734" s="533">
        <f t="shared" si="1006"/>
        <v>143</v>
      </c>
      <c r="I1734" s="533">
        <f t="shared" si="1006"/>
        <v>29</v>
      </c>
      <c r="J1734" s="533">
        <f t="shared" si="1006"/>
        <v>15</v>
      </c>
      <c r="K1734" s="534">
        <f t="shared" si="998"/>
        <v>0.0162302457596766</v>
      </c>
      <c r="L1734" s="535">
        <f t="shared" si="999"/>
        <v>1.31933796856106</v>
      </c>
      <c r="M1734" s="535">
        <f t="shared" si="1000"/>
        <v>21.4131794698185</v>
      </c>
      <c r="N1734" s="535">
        <f t="shared" si="1001"/>
        <v>39.902895492362</v>
      </c>
      <c r="O1734" s="535">
        <f t="shared" si="1002"/>
        <v>0.00392986698911729</v>
      </c>
      <c r="P1734" s="536">
        <f t="shared" si="1003"/>
        <v>25.3742441860465</v>
      </c>
      <c r="Q1734" s="531">
        <f t="shared" si="1004"/>
        <v>172</v>
      </c>
      <c r="R1734" s="537">
        <f t="shared" si="1005"/>
        <v>0.0519951632406288</v>
      </c>
    </row>
    <row r="1735" spans="1:18">
      <c r="A1735" s="524">
        <v>45797</v>
      </c>
      <c r="B1735" s="540" t="s">
        <v>98</v>
      </c>
      <c r="C1735" s="551">
        <v>591.58</v>
      </c>
      <c r="D1735" s="553">
        <v>18877</v>
      </c>
      <c r="E1735" s="551">
        <v>341</v>
      </c>
      <c r="F1735" s="551">
        <v>0</v>
      </c>
      <c r="G1735" s="551">
        <v>0</v>
      </c>
      <c r="H1735" s="551">
        <v>19</v>
      </c>
      <c r="I1735" s="551">
        <v>7</v>
      </c>
      <c r="J1735" s="551">
        <v>3</v>
      </c>
      <c r="K1735" s="527">
        <f t="shared" ref="K1735:K1739" si="1007">IF(E1735=0,0,E1735/D1735)</f>
        <v>0.0180643110663771</v>
      </c>
      <c r="L1735" s="528">
        <f t="shared" ref="L1735:L1739" si="1008">IF(C1735=0,0,C1735/E1735)</f>
        <v>1.73483870967742</v>
      </c>
      <c r="M1735" s="528">
        <f t="shared" ref="M1735:M1739" si="1009">IF(D1735=0,0,C1735/D1735*1000)</f>
        <v>31.3386661016051</v>
      </c>
      <c r="N1735" s="528">
        <f t="shared" ref="N1735:N1739" si="1010">IF(G1735=0,0,G1735/C1735)</f>
        <v>0</v>
      </c>
      <c r="O1735" s="528">
        <f t="shared" ref="O1735:O1739" si="1011">IF(F1735=0,0,F1735/E1735)</f>
        <v>0</v>
      </c>
      <c r="P1735" s="529">
        <f t="shared" ref="P1735:P1739" si="1012">IF(H1735+I1735=0,0,C1735/(H1735+I1735))</f>
        <v>22.7530769230769</v>
      </c>
      <c r="Q1735" s="24">
        <f t="shared" ref="Q1735:Q1739" si="1013">H1735+I1735</f>
        <v>26</v>
      </c>
      <c r="R1735" s="530">
        <f t="shared" ref="R1735:R1739" si="1014">IF(Q1735=0,0,Q1735/E1735)</f>
        <v>0.0762463343108504</v>
      </c>
    </row>
    <row r="1736" spans="1:18">
      <c r="A1736" s="524"/>
      <c r="B1736" s="540" t="s">
        <v>99</v>
      </c>
      <c r="C1736" s="551">
        <v>336.34</v>
      </c>
      <c r="D1736" s="551">
        <v>1008</v>
      </c>
      <c r="E1736" s="551">
        <v>206</v>
      </c>
      <c r="F1736" s="551">
        <v>5</v>
      </c>
      <c r="G1736" s="551">
        <v>56949</v>
      </c>
      <c r="H1736" s="551">
        <v>4</v>
      </c>
      <c r="I1736" s="551">
        <v>2</v>
      </c>
      <c r="J1736" s="551">
        <v>2</v>
      </c>
      <c r="K1736" s="527">
        <f t="shared" si="1007"/>
        <v>0.204365079365079</v>
      </c>
      <c r="L1736" s="528">
        <f t="shared" si="1008"/>
        <v>1.63271844660194</v>
      </c>
      <c r="M1736" s="528">
        <f t="shared" si="1009"/>
        <v>333.670634920635</v>
      </c>
      <c r="N1736" s="528">
        <f t="shared" si="1010"/>
        <v>169.319735981447</v>
      </c>
      <c r="O1736" s="528">
        <f t="shared" si="1011"/>
        <v>0.0242718446601942</v>
      </c>
      <c r="P1736" s="529">
        <f t="shared" si="1012"/>
        <v>56.0566666666667</v>
      </c>
      <c r="Q1736" s="24">
        <f t="shared" si="1013"/>
        <v>6</v>
      </c>
      <c r="R1736" s="530">
        <f t="shared" si="1014"/>
        <v>0.029126213592233</v>
      </c>
    </row>
    <row r="1737" spans="1:18">
      <c r="A1737" s="524"/>
      <c r="B1737" s="540" t="s">
        <v>100</v>
      </c>
      <c r="C1737" s="552">
        <v>765.75</v>
      </c>
      <c r="D1737" s="553">
        <v>52964</v>
      </c>
      <c r="E1737" s="553">
        <v>505</v>
      </c>
      <c r="F1737" s="551">
        <v>0</v>
      </c>
      <c r="G1737" s="551">
        <v>0</v>
      </c>
      <c r="H1737" s="551">
        <v>17</v>
      </c>
      <c r="I1737" s="551">
        <v>8</v>
      </c>
      <c r="J1737" s="551">
        <v>1</v>
      </c>
      <c r="K1737" s="527">
        <f t="shared" si="1007"/>
        <v>0.00953477834000453</v>
      </c>
      <c r="L1737" s="528">
        <f t="shared" si="1008"/>
        <v>1.51633663366337</v>
      </c>
      <c r="M1737" s="528">
        <f t="shared" si="1009"/>
        <v>14.4579336908089</v>
      </c>
      <c r="N1737" s="528">
        <f t="shared" si="1010"/>
        <v>0</v>
      </c>
      <c r="O1737" s="528">
        <f t="shared" si="1011"/>
        <v>0</v>
      </c>
      <c r="P1737" s="529">
        <f t="shared" si="1012"/>
        <v>30.63</v>
      </c>
      <c r="Q1737" s="24">
        <f t="shared" si="1013"/>
        <v>25</v>
      </c>
      <c r="R1737" s="530">
        <f t="shared" si="1014"/>
        <v>0.0495049504950495</v>
      </c>
    </row>
    <row r="1738" spans="1:18">
      <c r="A1738" s="524"/>
      <c r="B1738" s="540" t="s">
        <v>101</v>
      </c>
      <c r="C1738" s="551">
        <v>2123.96</v>
      </c>
      <c r="D1738" s="551">
        <v>79095</v>
      </c>
      <c r="E1738" s="551">
        <v>1636</v>
      </c>
      <c r="F1738" s="551">
        <v>17</v>
      </c>
      <c r="G1738" s="551">
        <v>173419</v>
      </c>
      <c r="H1738" s="551">
        <v>75</v>
      </c>
      <c r="I1738" s="551">
        <v>11</v>
      </c>
      <c r="J1738" s="551">
        <v>6</v>
      </c>
      <c r="K1738" s="527">
        <f t="shared" si="1007"/>
        <v>0.0206839876098363</v>
      </c>
      <c r="L1738" s="528">
        <f t="shared" si="1008"/>
        <v>1.29826405867971</v>
      </c>
      <c r="M1738" s="528">
        <f t="shared" si="1009"/>
        <v>26.8532777040268</v>
      </c>
      <c r="N1738" s="528">
        <f t="shared" si="1010"/>
        <v>81.6489011092488</v>
      </c>
      <c r="O1738" s="528">
        <f t="shared" si="1011"/>
        <v>0.0103911980440098</v>
      </c>
      <c r="P1738" s="529">
        <f t="shared" si="1012"/>
        <v>24.6972093023256</v>
      </c>
      <c r="Q1738" s="24">
        <f t="shared" si="1013"/>
        <v>86</v>
      </c>
      <c r="R1738" s="530">
        <f t="shared" si="1014"/>
        <v>0.0525672371638142</v>
      </c>
    </row>
    <row r="1739" spans="1:18">
      <c r="A1739" s="524"/>
      <c r="B1739" s="531" t="s">
        <v>96</v>
      </c>
      <c r="C1739" s="533">
        <f t="shared" ref="C1739:J1739" si="1015">SUM(C1735:C1738)</f>
        <v>3817.63</v>
      </c>
      <c r="D1739" s="533">
        <f t="shared" si="1015"/>
        <v>151944</v>
      </c>
      <c r="E1739" s="533">
        <f t="shared" si="1015"/>
        <v>2688</v>
      </c>
      <c r="F1739" s="533">
        <f t="shared" si="1015"/>
        <v>22</v>
      </c>
      <c r="G1739" s="533">
        <f t="shared" si="1015"/>
        <v>230368</v>
      </c>
      <c r="H1739" s="533">
        <f t="shared" si="1015"/>
        <v>115</v>
      </c>
      <c r="I1739" s="533">
        <f t="shared" si="1015"/>
        <v>28</v>
      </c>
      <c r="J1739" s="533">
        <f t="shared" si="1015"/>
        <v>12</v>
      </c>
      <c r="K1739" s="534">
        <f t="shared" si="1007"/>
        <v>0.0176907281630074</v>
      </c>
      <c r="L1739" s="535">
        <f t="shared" si="1008"/>
        <v>1.42024925595238</v>
      </c>
      <c r="M1739" s="535">
        <f t="shared" si="1009"/>
        <v>25.1252435107671</v>
      </c>
      <c r="N1739" s="535">
        <f t="shared" si="1010"/>
        <v>60.3431972192172</v>
      </c>
      <c r="O1739" s="535">
        <f t="shared" si="1011"/>
        <v>0.00818452380952381</v>
      </c>
      <c r="P1739" s="536">
        <f t="shared" si="1012"/>
        <v>26.6967132867133</v>
      </c>
      <c r="Q1739" s="531">
        <f t="shared" si="1013"/>
        <v>143</v>
      </c>
      <c r="R1739" s="537">
        <f t="shared" si="1014"/>
        <v>0.0531994047619048</v>
      </c>
    </row>
    <row r="1740" spans="1:18">
      <c r="A1740" s="524">
        <v>45798</v>
      </c>
      <c r="B1740" s="540" t="s">
        <v>98</v>
      </c>
      <c r="C1740" s="551">
        <v>500</v>
      </c>
      <c r="D1740" s="553">
        <v>12076</v>
      </c>
      <c r="E1740" s="551">
        <v>304</v>
      </c>
      <c r="F1740" s="551">
        <v>0</v>
      </c>
      <c r="G1740" s="551">
        <v>0</v>
      </c>
      <c r="H1740" s="551">
        <v>16</v>
      </c>
      <c r="I1740" s="551">
        <v>1</v>
      </c>
      <c r="J1740" s="551">
        <v>2</v>
      </c>
      <c r="K1740" s="527">
        <f t="shared" ref="K1740:K1744" si="1016">IF(E1740=0,0,E1740/D1740)</f>
        <v>0.0251738986419344</v>
      </c>
      <c r="L1740" s="528">
        <f t="shared" ref="L1740:L1744" si="1017">IF(C1740=0,0,C1740/E1740)</f>
        <v>1.64473684210526</v>
      </c>
      <c r="M1740" s="528">
        <f t="shared" ref="M1740:M1744" si="1018">IF(D1740=0,0,C1740/D1740*1000)</f>
        <v>41.4044385558132</v>
      </c>
      <c r="N1740" s="528">
        <f t="shared" ref="N1740:N1744" si="1019">IF(G1740=0,0,G1740/C1740)</f>
        <v>0</v>
      </c>
      <c r="O1740" s="528">
        <f t="shared" ref="O1740:O1744" si="1020">IF(F1740=0,0,F1740/E1740)</f>
        <v>0</v>
      </c>
      <c r="P1740" s="529">
        <f t="shared" ref="P1740:P1744" si="1021">IF(H1740+I1740=0,0,C1740/(H1740+I1740))</f>
        <v>29.4117647058824</v>
      </c>
      <c r="Q1740" s="24">
        <f t="shared" ref="Q1740:Q1744" si="1022">H1740+I1740</f>
        <v>17</v>
      </c>
      <c r="R1740" s="530">
        <f t="shared" ref="R1740:R1744" si="1023">IF(Q1740=0,0,Q1740/E1740)</f>
        <v>0.0559210526315789</v>
      </c>
    </row>
    <row r="1741" spans="1:18">
      <c r="A1741" s="524"/>
      <c r="B1741" s="540" t="s">
        <v>99</v>
      </c>
      <c r="C1741" s="551">
        <v>346.24</v>
      </c>
      <c r="D1741" s="551">
        <v>1840</v>
      </c>
      <c r="E1741" s="551">
        <v>197</v>
      </c>
      <c r="F1741" s="551">
        <v>0</v>
      </c>
      <c r="G1741" s="551">
        <v>0</v>
      </c>
      <c r="H1741" s="551">
        <v>9</v>
      </c>
      <c r="I1741" s="551">
        <v>3</v>
      </c>
      <c r="J1741" s="551">
        <v>2</v>
      </c>
      <c r="K1741" s="527">
        <f t="shared" si="1016"/>
        <v>0.107065217391304</v>
      </c>
      <c r="L1741" s="528">
        <f t="shared" si="1017"/>
        <v>1.75756345177665</v>
      </c>
      <c r="M1741" s="528">
        <f t="shared" si="1018"/>
        <v>188.173913043478</v>
      </c>
      <c r="N1741" s="528">
        <f t="shared" si="1019"/>
        <v>0</v>
      </c>
      <c r="O1741" s="528">
        <f t="shared" si="1020"/>
        <v>0</v>
      </c>
      <c r="P1741" s="529">
        <f t="shared" si="1021"/>
        <v>28.8533333333333</v>
      </c>
      <c r="Q1741" s="24">
        <f t="shared" si="1022"/>
        <v>12</v>
      </c>
      <c r="R1741" s="530">
        <f t="shared" si="1023"/>
        <v>0.0609137055837563</v>
      </c>
    </row>
    <row r="1742" spans="1:18">
      <c r="A1742" s="524"/>
      <c r="B1742" s="540" t="s">
        <v>100</v>
      </c>
      <c r="C1742" s="552">
        <v>816.96</v>
      </c>
      <c r="D1742" s="553">
        <v>36802</v>
      </c>
      <c r="E1742" s="553">
        <v>483</v>
      </c>
      <c r="F1742" s="551">
        <v>2</v>
      </c>
      <c r="G1742" s="551">
        <v>28806</v>
      </c>
      <c r="H1742" s="551">
        <v>18</v>
      </c>
      <c r="I1742" s="551">
        <v>13</v>
      </c>
      <c r="J1742" s="551">
        <v>3</v>
      </c>
      <c r="K1742" s="527">
        <f t="shared" si="1016"/>
        <v>0.0131242867235476</v>
      </c>
      <c r="L1742" s="528">
        <f t="shared" si="1017"/>
        <v>1.69142857142857</v>
      </c>
      <c r="M1742" s="528">
        <f t="shared" si="1018"/>
        <v>22.1987935438291</v>
      </c>
      <c r="N1742" s="528">
        <f t="shared" si="1019"/>
        <v>35.2599882491187</v>
      </c>
      <c r="O1742" s="528">
        <f t="shared" si="1020"/>
        <v>0.0041407867494824</v>
      </c>
      <c r="P1742" s="529">
        <f t="shared" si="1021"/>
        <v>26.3535483870968</v>
      </c>
      <c r="Q1742" s="24">
        <f t="shared" si="1022"/>
        <v>31</v>
      </c>
      <c r="R1742" s="530">
        <f t="shared" si="1023"/>
        <v>0.0641821946169772</v>
      </c>
    </row>
    <row r="1743" spans="1:18">
      <c r="A1743" s="524"/>
      <c r="B1743" s="540" t="s">
        <v>101</v>
      </c>
      <c r="C1743" s="551">
        <v>1997.68</v>
      </c>
      <c r="D1743" s="551">
        <v>25175</v>
      </c>
      <c r="E1743" s="551">
        <v>1048</v>
      </c>
      <c r="F1743" s="551">
        <v>10</v>
      </c>
      <c r="G1743" s="551">
        <v>109755</v>
      </c>
      <c r="H1743" s="551">
        <v>72</v>
      </c>
      <c r="I1743" s="551">
        <v>11</v>
      </c>
      <c r="J1743" s="551">
        <v>4</v>
      </c>
      <c r="K1743" s="527">
        <f t="shared" si="1016"/>
        <v>0.0416285998013903</v>
      </c>
      <c r="L1743" s="528">
        <f t="shared" si="1017"/>
        <v>1.90618320610687</v>
      </c>
      <c r="M1743" s="528">
        <f t="shared" si="1018"/>
        <v>79.3517378351539</v>
      </c>
      <c r="N1743" s="528">
        <f t="shared" si="1019"/>
        <v>54.9412318289215</v>
      </c>
      <c r="O1743" s="528">
        <f t="shared" si="1020"/>
        <v>0.00954198473282443</v>
      </c>
      <c r="P1743" s="529">
        <f t="shared" si="1021"/>
        <v>24.0684337349398</v>
      </c>
      <c r="Q1743" s="24">
        <f t="shared" si="1022"/>
        <v>83</v>
      </c>
      <c r="R1743" s="530">
        <f t="shared" si="1023"/>
        <v>0.0791984732824427</v>
      </c>
    </row>
    <row r="1744" spans="1:18">
      <c r="A1744" s="524"/>
      <c r="B1744" s="531" t="s">
        <v>96</v>
      </c>
      <c r="C1744" s="533">
        <f t="shared" ref="C1744:J1744" si="1024">SUM(C1740:C1743)</f>
        <v>3660.88</v>
      </c>
      <c r="D1744" s="533">
        <f t="shared" si="1024"/>
        <v>75893</v>
      </c>
      <c r="E1744" s="533">
        <f t="shared" si="1024"/>
        <v>2032</v>
      </c>
      <c r="F1744" s="533">
        <f t="shared" si="1024"/>
        <v>12</v>
      </c>
      <c r="G1744" s="533">
        <f t="shared" si="1024"/>
        <v>138561</v>
      </c>
      <c r="H1744" s="533">
        <f t="shared" si="1024"/>
        <v>115</v>
      </c>
      <c r="I1744" s="533">
        <f t="shared" si="1024"/>
        <v>28</v>
      </c>
      <c r="J1744" s="533">
        <f t="shared" si="1024"/>
        <v>11</v>
      </c>
      <c r="K1744" s="534">
        <f t="shared" si="1016"/>
        <v>0.0267745378361641</v>
      </c>
      <c r="L1744" s="535">
        <f t="shared" si="1017"/>
        <v>1.80161417322835</v>
      </c>
      <c r="M1744" s="535">
        <f t="shared" si="1018"/>
        <v>48.2373868472718</v>
      </c>
      <c r="N1744" s="535">
        <f t="shared" si="1019"/>
        <v>37.8490963921243</v>
      </c>
      <c r="O1744" s="535">
        <f t="shared" si="1020"/>
        <v>0.00590551181102362</v>
      </c>
      <c r="P1744" s="536">
        <f t="shared" si="1021"/>
        <v>25.6005594405594</v>
      </c>
      <c r="Q1744" s="531">
        <f t="shared" si="1022"/>
        <v>143</v>
      </c>
      <c r="R1744" s="537">
        <f t="shared" si="1023"/>
        <v>0.0703740157480315</v>
      </c>
    </row>
    <row r="1745" spans="1:18">
      <c r="A1745" s="524">
        <v>45799</v>
      </c>
      <c r="B1745" s="540" t="s">
        <v>98</v>
      </c>
      <c r="C1745" s="551">
        <v>499.84</v>
      </c>
      <c r="D1745" s="553">
        <v>12920</v>
      </c>
      <c r="E1745" s="551">
        <v>323</v>
      </c>
      <c r="F1745" s="551">
        <v>1</v>
      </c>
      <c r="G1745" s="551">
        <v>11097</v>
      </c>
      <c r="H1745" s="551">
        <v>8</v>
      </c>
      <c r="I1745" s="551">
        <v>1</v>
      </c>
      <c r="J1745" s="551">
        <v>0</v>
      </c>
      <c r="K1745" s="527">
        <f t="shared" ref="K1745:K1754" si="1025">IF(E1745=0,0,E1745/D1745)</f>
        <v>0.025</v>
      </c>
      <c r="L1745" s="528">
        <f t="shared" ref="L1745:L1754" si="1026">IF(C1745=0,0,C1745/E1745)</f>
        <v>1.54749226006192</v>
      </c>
      <c r="M1745" s="528">
        <f t="shared" ref="M1745:M1754" si="1027">IF(D1745=0,0,C1745/D1745*1000)</f>
        <v>38.687306501548</v>
      </c>
      <c r="N1745" s="528">
        <f t="shared" ref="N1745:N1754" si="1028">IF(G1745=0,0,G1745/C1745)</f>
        <v>22.2011043533931</v>
      </c>
      <c r="O1745" s="528">
        <f t="shared" ref="O1745:O1754" si="1029">IF(F1745=0,0,F1745/E1745)</f>
        <v>0.00309597523219814</v>
      </c>
      <c r="P1745" s="529">
        <f t="shared" ref="P1745:P1754" si="1030">IF(H1745+I1745=0,0,C1745/(H1745+I1745))</f>
        <v>55.5377777777778</v>
      </c>
      <c r="Q1745" s="24">
        <f t="shared" ref="Q1745:Q1754" si="1031">H1745+I1745</f>
        <v>9</v>
      </c>
      <c r="R1745" s="530">
        <f t="shared" ref="R1745:R1754" si="1032">IF(Q1745=0,0,Q1745/E1745)</f>
        <v>0.0278637770897833</v>
      </c>
    </row>
    <row r="1746" spans="1:18">
      <c r="A1746" s="524"/>
      <c r="B1746" s="540" t="s">
        <v>99</v>
      </c>
      <c r="C1746" s="551">
        <v>369.15</v>
      </c>
      <c r="D1746" s="551">
        <v>2074</v>
      </c>
      <c r="E1746" s="551">
        <v>528</v>
      </c>
      <c r="F1746" s="551">
        <v>2</v>
      </c>
      <c r="G1746" s="551">
        <v>35024</v>
      </c>
      <c r="H1746" s="551">
        <v>7</v>
      </c>
      <c r="I1746" s="551">
        <v>0</v>
      </c>
      <c r="J1746" s="551">
        <v>2</v>
      </c>
      <c r="K1746" s="527">
        <f t="shared" si="1025"/>
        <v>0.254580520732883</v>
      </c>
      <c r="L1746" s="528">
        <f t="shared" si="1026"/>
        <v>0.699147727272727</v>
      </c>
      <c r="M1746" s="528">
        <f t="shared" si="1027"/>
        <v>177.989392478303</v>
      </c>
      <c r="N1746" s="528">
        <f t="shared" si="1028"/>
        <v>94.8774211025328</v>
      </c>
      <c r="O1746" s="528">
        <f t="shared" si="1029"/>
        <v>0.00378787878787879</v>
      </c>
      <c r="P1746" s="529">
        <f t="shared" si="1030"/>
        <v>52.7357142857143</v>
      </c>
      <c r="Q1746" s="24">
        <f t="shared" si="1031"/>
        <v>7</v>
      </c>
      <c r="R1746" s="530">
        <f t="shared" si="1032"/>
        <v>0.0132575757575758</v>
      </c>
    </row>
    <row r="1747" spans="1:18">
      <c r="A1747" s="524"/>
      <c r="B1747" s="540" t="s">
        <v>100</v>
      </c>
      <c r="C1747" s="552">
        <v>1110.2</v>
      </c>
      <c r="D1747" s="553">
        <v>50067</v>
      </c>
      <c r="E1747" s="553">
        <v>595</v>
      </c>
      <c r="F1747" s="551">
        <v>1</v>
      </c>
      <c r="G1747" s="551">
        <v>19608</v>
      </c>
      <c r="H1747" s="551">
        <v>24</v>
      </c>
      <c r="I1747" s="551">
        <v>12</v>
      </c>
      <c r="J1747" s="551">
        <v>1</v>
      </c>
      <c r="K1747" s="527">
        <f t="shared" si="1025"/>
        <v>0.0118840753390457</v>
      </c>
      <c r="L1747" s="528">
        <f t="shared" si="1026"/>
        <v>1.86588235294118</v>
      </c>
      <c r="M1747" s="528">
        <f t="shared" si="1027"/>
        <v>22.1742864561488</v>
      </c>
      <c r="N1747" s="528">
        <f t="shared" si="1028"/>
        <v>17.6616825797154</v>
      </c>
      <c r="O1747" s="528">
        <f t="shared" si="1029"/>
        <v>0.00168067226890756</v>
      </c>
      <c r="P1747" s="529">
        <f t="shared" si="1030"/>
        <v>30.8388888888889</v>
      </c>
      <c r="Q1747" s="24">
        <f t="shared" si="1031"/>
        <v>36</v>
      </c>
      <c r="R1747" s="530">
        <f t="shared" si="1032"/>
        <v>0.0605042016806723</v>
      </c>
    </row>
    <row r="1748" spans="1:18">
      <c r="A1748" s="524"/>
      <c r="B1748" s="540" t="s">
        <v>101</v>
      </c>
      <c r="C1748" s="551">
        <v>1365.49</v>
      </c>
      <c r="D1748" s="551">
        <v>6995</v>
      </c>
      <c r="E1748" s="551">
        <v>575</v>
      </c>
      <c r="F1748" s="551">
        <v>4</v>
      </c>
      <c r="G1748" s="551">
        <v>40182</v>
      </c>
      <c r="H1748" s="551">
        <v>48</v>
      </c>
      <c r="I1748" s="551">
        <v>10</v>
      </c>
      <c r="J1748" s="551">
        <v>3</v>
      </c>
      <c r="K1748" s="527">
        <f t="shared" si="1025"/>
        <v>0.0822015725518227</v>
      </c>
      <c r="L1748" s="528">
        <f t="shared" si="1026"/>
        <v>2.3747652173913</v>
      </c>
      <c r="M1748" s="528">
        <f t="shared" si="1027"/>
        <v>195.209435310936</v>
      </c>
      <c r="N1748" s="528">
        <f t="shared" si="1028"/>
        <v>29.4267991709936</v>
      </c>
      <c r="O1748" s="528">
        <f t="shared" si="1029"/>
        <v>0.00695652173913044</v>
      </c>
      <c r="P1748" s="529">
        <f t="shared" si="1030"/>
        <v>23.5429310344828</v>
      </c>
      <c r="Q1748" s="24">
        <f t="shared" si="1031"/>
        <v>58</v>
      </c>
      <c r="R1748" s="530">
        <f t="shared" si="1032"/>
        <v>0.100869565217391</v>
      </c>
    </row>
    <row r="1749" spans="1:18">
      <c r="A1749" s="524"/>
      <c r="B1749" s="531" t="s">
        <v>96</v>
      </c>
      <c r="C1749" s="533">
        <f t="shared" ref="C1749:J1749" si="1033">SUM(C1745:C1748)</f>
        <v>3344.68</v>
      </c>
      <c r="D1749" s="533">
        <f t="shared" si="1033"/>
        <v>72056</v>
      </c>
      <c r="E1749" s="533">
        <f t="shared" si="1033"/>
        <v>2021</v>
      </c>
      <c r="F1749" s="533">
        <f t="shared" si="1033"/>
        <v>8</v>
      </c>
      <c r="G1749" s="533">
        <f t="shared" si="1033"/>
        <v>105911</v>
      </c>
      <c r="H1749" s="533">
        <f t="shared" si="1033"/>
        <v>87</v>
      </c>
      <c r="I1749" s="533">
        <f t="shared" si="1033"/>
        <v>23</v>
      </c>
      <c r="J1749" s="533">
        <f t="shared" si="1033"/>
        <v>6</v>
      </c>
      <c r="K1749" s="534">
        <f t="shared" si="1025"/>
        <v>0.0280476296214056</v>
      </c>
      <c r="L1749" s="535">
        <f t="shared" si="1026"/>
        <v>1.65496288965859</v>
      </c>
      <c r="M1749" s="535">
        <f t="shared" si="1027"/>
        <v>46.4177861663151</v>
      </c>
      <c r="N1749" s="535">
        <f t="shared" si="1028"/>
        <v>31.6655106019111</v>
      </c>
      <c r="O1749" s="535">
        <f t="shared" si="1029"/>
        <v>0.00395843641761504</v>
      </c>
      <c r="P1749" s="536">
        <f t="shared" si="1030"/>
        <v>30.4061818181818</v>
      </c>
      <c r="Q1749" s="531">
        <f t="shared" si="1031"/>
        <v>110</v>
      </c>
      <c r="R1749" s="537">
        <f t="shared" si="1032"/>
        <v>0.0544285007422068</v>
      </c>
    </row>
    <row r="1750" spans="1:18">
      <c r="A1750" s="524">
        <v>45800</v>
      </c>
      <c r="B1750" s="540" t="s">
        <v>98</v>
      </c>
      <c r="C1750" s="551">
        <v>500</v>
      </c>
      <c r="D1750" s="553">
        <v>12509</v>
      </c>
      <c r="E1750" s="551">
        <v>286</v>
      </c>
      <c r="F1750" s="551">
        <v>1</v>
      </c>
      <c r="G1750" s="551">
        <v>11097</v>
      </c>
      <c r="H1750" s="551">
        <v>12</v>
      </c>
      <c r="I1750" s="551">
        <v>1</v>
      </c>
      <c r="J1750" s="551">
        <v>0</v>
      </c>
      <c r="K1750" s="527">
        <f t="shared" si="1025"/>
        <v>0.0228635382524582</v>
      </c>
      <c r="L1750" s="528">
        <f t="shared" si="1026"/>
        <v>1.74825174825175</v>
      </c>
      <c r="M1750" s="528">
        <f t="shared" si="1027"/>
        <v>39.9712207210808</v>
      </c>
      <c r="N1750" s="528">
        <f t="shared" si="1028"/>
        <v>22.194</v>
      </c>
      <c r="O1750" s="528">
        <f t="shared" si="1029"/>
        <v>0.0034965034965035</v>
      </c>
      <c r="P1750" s="529">
        <f t="shared" si="1030"/>
        <v>38.4615384615385</v>
      </c>
      <c r="Q1750" s="24">
        <f t="shared" si="1031"/>
        <v>13</v>
      </c>
      <c r="R1750" s="530">
        <f t="shared" si="1032"/>
        <v>0.0454545454545455</v>
      </c>
    </row>
    <row r="1751" spans="1:18">
      <c r="A1751" s="524"/>
      <c r="B1751" s="540" t="s">
        <v>99</v>
      </c>
      <c r="C1751" s="551">
        <v>349.2</v>
      </c>
      <c r="D1751" s="551">
        <v>1511</v>
      </c>
      <c r="E1751" s="551">
        <v>220</v>
      </c>
      <c r="F1751" s="551">
        <v>1</v>
      </c>
      <c r="G1751" s="551">
        <v>18441</v>
      </c>
      <c r="H1751" s="551">
        <v>6</v>
      </c>
      <c r="I1751" s="551">
        <v>0</v>
      </c>
      <c r="J1751" s="551">
        <v>1</v>
      </c>
      <c r="K1751" s="527">
        <f t="shared" si="1025"/>
        <v>0.14559894109861</v>
      </c>
      <c r="L1751" s="528">
        <f t="shared" si="1026"/>
        <v>1.58727272727273</v>
      </c>
      <c r="M1751" s="528">
        <f t="shared" si="1027"/>
        <v>231.105228325612</v>
      </c>
      <c r="N1751" s="528">
        <f t="shared" si="1028"/>
        <v>52.8092783505155</v>
      </c>
      <c r="O1751" s="528">
        <f t="shared" si="1029"/>
        <v>0.00454545454545455</v>
      </c>
      <c r="P1751" s="529">
        <f t="shared" si="1030"/>
        <v>58.2</v>
      </c>
      <c r="Q1751" s="24">
        <f t="shared" si="1031"/>
        <v>6</v>
      </c>
      <c r="R1751" s="530">
        <f t="shared" si="1032"/>
        <v>0.0272727272727273</v>
      </c>
    </row>
    <row r="1752" spans="1:18">
      <c r="A1752" s="524"/>
      <c r="B1752" s="540" t="s">
        <v>100</v>
      </c>
      <c r="C1752" s="552">
        <v>1098.53</v>
      </c>
      <c r="D1752" s="553">
        <v>44762</v>
      </c>
      <c r="E1752" s="553">
        <v>582</v>
      </c>
      <c r="F1752" s="551">
        <v>0</v>
      </c>
      <c r="G1752" s="551">
        <v>0</v>
      </c>
      <c r="H1752" s="551">
        <v>27</v>
      </c>
      <c r="I1752" s="551">
        <v>10</v>
      </c>
      <c r="J1752" s="551">
        <v>6</v>
      </c>
      <c r="K1752" s="527">
        <f t="shared" si="1025"/>
        <v>0.0130020999955319</v>
      </c>
      <c r="L1752" s="528">
        <f t="shared" si="1026"/>
        <v>1.88750859106529</v>
      </c>
      <c r="M1752" s="528">
        <f t="shared" si="1027"/>
        <v>24.5415754434565</v>
      </c>
      <c r="N1752" s="528">
        <f t="shared" si="1028"/>
        <v>0</v>
      </c>
      <c r="O1752" s="528">
        <f t="shared" si="1029"/>
        <v>0</v>
      </c>
      <c r="P1752" s="529">
        <f t="shared" si="1030"/>
        <v>29.69</v>
      </c>
      <c r="Q1752" s="24">
        <f t="shared" si="1031"/>
        <v>37</v>
      </c>
      <c r="R1752" s="530">
        <f t="shared" si="1032"/>
        <v>0.063573883161512</v>
      </c>
    </row>
    <row r="1753" spans="1:18">
      <c r="A1753" s="524"/>
      <c r="B1753" s="540" t="s">
        <v>101</v>
      </c>
      <c r="C1753" s="551">
        <v>740.15</v>
      </c>
      <c r="D1753" s="551">
        <v>5252</v>
      </c>
      <c r="E1753" s="551">
        <v>354</v>
      </c>
      <c r="F1753" s="551">
        <v>5</v>
      </c>
      <c r="G1753" s="551">
        <v>55063</v>
      </c>
      <c r="H1753" s="551">
        <v>20</v>
      </c>
      <c r="I1753" s="551">
        <v>1</v>
      </c>
      <c r="J1753" s="551">
        <v>2</v>
      </c>
      <c r="K1753" s="527">
        <f t="shared" si="1025"/>
        <v>0.0674028941355674</v>
      </c>
      <c r="L1753" s="528">
        <f t="shared" si="1026"/>
        <v>2.09081920903955</v>
      </c>
      <c r="M1753" s="528">
        <f t="shared" si="1027"/>
        <v>140.927265803503</v>
      </c>
      <c r="N1753" s="528">
        <f t="shared" si="1028"/>
        <v>74.3943795176653</v>
      </c>
      <c r="O1753" s="528">
        <f t="shared" si="1029"/>
        <v>0.0141242937853107</v>
      </c>
      <c r="P1753" s="529">
        <f t="shared" si="1030"/>
        <v>35.2452380952381</v>
      </c>
      <c r="Q1753" s="24">
        <f t="shared" si="1031"/>
        <v>21</v>
      </c>
      <c r="R1753" s="530">
        <f t="shared" si="1032"/>
        <v>0.0593220338983051</v>
      </c>
    </row>
    <row r="1754" spans="1:18">
      <c r="A1754" s="524"/>
      <c r="B1754" s="531" t="s">
        <v>96</v>
      </c>
      <c r="C1754" s="533">
        <f t="shared" ref="C1754:J1754" si="1034">SUM(C1750:C1753)</f>
        <v>2687.88</v>
      </c>
      <c r="D1754" s="533">
        <f t="shared" si="1034"/>
        <v>64034</v>
      </c>
      <c r="E1754" s="533">
        <f t="shared" si="1034"/>
        <v>1442</v>
      </c>
      <c r="F1754" s="533">
        <f t="shared" si="1034"/>
        <v>7</v>
      </c>
      <c r="G1754" s="533">
        <f t="shared" si="1034"/>
        <v>84601</v>
      </c>
      <c r="H1754" s="533">
        <f t="shared" si="1034"/>
        <v>65</v>
      </c>
      <c r="I1754" s="533">
        <f t="shared" si="1034"/>
        <v>12</v>
      </c>
      <c r="J1754" s="533">
        <f t="shared" si="1034"/>
        <v>9</v>
      </c>
      <c r="K1754" s="534">
        <f t="shared" si="1025"/>
        <v>0.0225192866289784</v>
      </c>
      <c r="L1754" s="535">
        <f t="shared" si="1026"/>
        <v>1.86399445214979</v>
      </c>
      <c r="M1754" s="535">
        <f t="shared" si="1027"/>
        <v>41.9758253427866</v>
      </c>
      <c r="N1754" s="535">
        <f t="shared" si="1028"/>
        <v>31.4749914430704</v>
      </c>
      <c r="O1754" s="535">
        <f t="shared" si="1029"/>
        <v>0.00485436893203883</v>
      </c>
      <c r="P1754" s="536">
        <f t="shared" si="1030"/>
        <v>34.9075324675325</v>
      </c>
      <c r="Q1754" s="531">
        <f t="shared" si="1031"/>
        <v>77</v>
      </c>
      <c r="R1754" s="537">
        <f t="shared" si="1032"/>
        <v>0.0533980582524272</v>
      </c>
    </row>
    <row r="1755" spans="1:18">
      <c r="A1755" s="524">
        <v>45801</v>
      </c>
      <c r="B1755" s="540" t="s">
        <v>98</v>
      </c>
      <c r="C1755" s="551">
        <v>499.94</v>
      </c>
      <c r="D1755" s="553">
        <v>12290</v>
      </c>
      <c r="E1755" s="551">
        <v>337</v>
      </c>
      <c r="F1755" s="551">
        <v>1</v>
      </c>
      <c r="G1755" s="551">
        <v>7503</v>
      </c>
      <c r="H1755" s="551">
        <v>13</v>
      </c>
      <c r="I1755" s="551">
        <v>7</v>
      </c>
      <c r="J1755" s="551">
        <v>3</v>
      </c>
      <c r="K1755" s="527">
        <f t="shared" ref="K1755:K1759" si="1035">IF(E1755=0,0,E1755/D1755)</f>
        <v>0.0274206672091131</v>
      </c>
      <c r="L1755" s="528">
        <f t="shared" ref="L1755:L1759" si="1036">IF(C1755=0,0,C1755/E1755)</f>
        <v>1.48350148367953</v>
      </c>
      <c r="M1755" s="528">
        <f t="shared" ref="M1755:M1759" si="1037">IF(D1755=0,0,C1755/D1755*1000)</f>
        <v>40.6786004882018</v>
      </c>
      <c r="N1755" s="528">
        <f t="shared" ref="N1755:N1759" si="1038">IF(G1755=0,0,G1755/C1755)</f>
        <v>15.0078009361123</v>
      </c>
      <c r="O1755" s="528">
        <f t="shared" ref="O1755:O1759" si="1039">IF(F1755=0,0,F1755/E1755)</f>
        <v>0.0029673590504451</v>
      </c>
      <c r="P1755" s="529">
        <f t="shared" ref="P1755:P1759" si="1040">IF(H1755+I1755=0,0,C1755/(H1755+I1755))</f>
        <v>24.997</v>
      </c>
      <c r="Q1755" s="24">
        <f t="shared" ref="Q1755:Q1759" si="1041">H1755+I1755</f>
        <v>20</v>
      </c>
      <c r="R1755" s="530">
        <f t="shared" ref="R1755:R1759" si="1042">IF(Q1755=0,0,Q1755/E1755)</f>
        <v>0.0593471810089021</v>
      </c>
    </row>
    <row r="1756" spans="1:18">
      <c r="A1756" s="524"/>
      <c r="B1756" s="540" t="s">
        <v>99</v>
      </c>
      <c r="C1756" s="551">
        <v>0</v>
      </c>
      <c r="D1756" s="551">
        <v>0</v>
      </c>
      <c r="E1756" s="551">
        <v>0</v>
      </c>
      <c r="F1756" s="551">
        <v>0</v>
      </c>
      <c r="G1756" s="551">
        <v>0</v>
      </c>
      <c r="H1756" s="551">
        <v>0</v>
      </c>
      <c r="I1756" s="551">
        <v>0</v>
      </c>
      <c r="J1756" s="551">
        <v>0</v>
      </c>
      <c r="K1756" s="527">
        <f t="shared" si="1035"/>
        <v>0</v>
      </c>
      <c r="L1756" s="528">
        <f t="shared" si="1036"/>
        <v>0</v>
      </c>
      <c r="M1756" s="528">
        <f t="shared" si="1037"/>
        <v>0</v>
      </c>
      <c r="N1756" s="528">
        <f t="shared" si="1038"/>
        <v>0</v>
      </c>
      <c r="O1756" s="528">
        <f t="shared" si="1039"/>
        <v>0</v>
      </c>
      <c r="P1756" s="529">
        <f t="shared" si="1040"/>
        <v>0</v>
      </c>
      <c r="Q1756" s="24">
        <f t="shared" si="1041"/>
        <v>0</v>
      </c>
      <c r="R1756" s="530">
        <f t="shared" si="1042"/>
        <v>0</v>
      </c>
    </row>
    <row r="1757" spans="1:18">
      <c r="A1757" s="524"/>
      <c r="B1757" s="540" t="s">
        <v>100</v>
      </c>
      <c r="C1757" s="552">
        <v>1113.48</v>
      </c>
      <c r="D1757" s="553">
        <v>36299</v>
      </c>
      <c r="E1757" s="553">
        <v>496</v>
      </c>
      <c r="F1757" s="551">
        <v>5</v>
      </c>
      <c r="G1757" s="551">
        <v>59771</v>
      </c>
      <c r="H1757" s="551">
        <v>20</v>
      </c>
      <c r="I1757" s="551">
        <v>12</v>
      </c>
      <c r="J1757" s="551">
        <v>1</v>
      </c>
      <c r="K1757" s="527">
        <f t="shared" si="1035"/>
        <v>0.0136642882724042</v>
      </c>
      <c r="L1757" s="528">
        <f t="shared" si="1036"/>
        <v>2.24491935483871</v>
      </c>
      <c r="M1757" s="528">
        <f t="shared" si="1037"/>
        <v>30.6752252128158</v>
      </c>
      <c r="N1757" s="528">
        <f t="shared" si="1038"/>
        <v>53.6794554010849</v>
      </c>
      <c r="O1757" s="528">
        <f t="shared" si="1039"/>
        <v>0.0100806451612903</v>
      </c>
      <c r="P1757" s="529">
        <f t="shared" si="1040"/>
        <v>34.79625</v>
      </c>
      <c r="Q1757" s="24">
        <f t="shared" si="1041"/>
        <v>32</v>
      </c>
      <c r="R1757" s="530">
        <f t="shared" si="1042"/>
        <v>0.0645161290322581</v>
      </c>
    </row>
    <row r="1758" spans="1:18">
      <c r="A1758" s="524"/>
      <c r="B1758" s="540" t="s">
        <v>101</v>
      </c>
      <c r="C1758" s="551">
        <v>0</v>
      </c>
      <c r="D1758" s="551">
        <v>0</v>
      </c>
      <c r="E1758" s="551">
        <v>0</v>
      </c>
      <c r="F1758" s="551">
        <v>0</v>
      </c>
      <c r="G1758" s="551">
        <v>0</v>
      </c>
      <c r="H1758" s="551">
        <v>0</v>
      </c>
      <c r="I1758" s="551">
        <v>0</v>
      </c>
      <c r="J1758" s="551">
        <v>0</v>
      </c>
      <c r="K1758" s="527">
        <f t="shared" si="1035"/>
        <v>0</v>
      </c>
      <c r="L1758" s="528">
        <f t="shared" si="1036"/>
        <v>0</v>
      </c>
      <c r="M1758" s="528">
        <f t="shared" si="1037"/>
        <v>0</v>
      </c>
      <c r="N1758" s="528">
        <f t="shared" si="1038"/>
        <v>0</v>
      </c>
      <c r="O1758" s="528">
        <f t="shared" si="1039"/>
        <v>0</v>
      </c>
      <c r="P1758" s="529">
        <f t="shared" si="1040"/>
        <v>0</v>
      </c>
      <c r="Q1758" s="24">
        <f t="shared" si="1041"/>
        <v>0</v>
      </c>
      <c r="R1758" s="530">
        <f t="shared" si="1042"/>
        <v>0</v>
      </c>
    </row>
    <row r="1759" spans="1:18">
      <c r="A1759" s="524"/>
      <c r="B1759" s="531" t="s">
        <v>96</v>
      </c>
      <c r="C1759" s="533">
        <f t="shared" ref="C1759:J1759" si="1043">SUM(C1755:C1758)</f>
        <v>1613.42</v>
      </c>
      <c r="D1759" s="533">
        <f t="shared" si="1043"/>
        <v>48589</v>
      </c>
      <c r="E1759" s="533">
        <f t="shared" si="1043"/>
        <v>833</v>
      </c>
      <c r="F1759" s="533">
        <f t="shared" si="1043"/>
        <v>6</v>
      </c>
      <c r="G1759" s="533">
        <f t="shared" si="1043"/>
        <v>67274</v>
      </c>
      <c r="H1759" s="533">
        <f t="shared" si="1043"/>
        <v>33</v>
      </c>
      <c r="I1759" s="533">
        <f t="shared" si="1043"/>
        <v>19</v>
      </c>
      <c r="J1759" s="533">
        <f t="shared" si="1043"/>
        <v>4</v>
      </c>
      <c r="K1759" s="534">
        <f t="shared" si="1035"/>
        <v>0.0171437979789664</v>
      </c>
      <c r="L1759" s="535">
        <f t="shared" si="1036"/>
        <v>1.9368787515006</v>
      </c>
      <c r="M1759" s="535">
        <f t="shared" si="1037"/>
        <v>33.205458025479</v>
      </c>
      <c r="N1759" s="535">
        <f t="shared" si="1038"/>
        <v>41.6965204348527</v>
      </c>
      <c r="O1759" s="535">
        <f t="shared" si="1039"/>
        <v>0.00720288115246098</v>
      </c>
      <c r="P1759" s="536">
        <f t="shared" si="1040"/>
        <v>31.0273076923077</v>
      </c>
      <c r="Q1759" s="531">
        <f t="shared" si="1041"/>
        <v>52</v>
      </c>
      <c r="R1759" s="537">
        <f t="shared" si="1042"/>
        <v>0.0624249699879952</v>
      </c>
    </row>
    <row r="1760" spans="1:18">
      <c r="A1760" s="524">
        <v>45802</v>
      </c>
      <c r="B1760" s="540" t="s">
        <v>98</v>
      </c>
      <c r="C1760" s="551">
        <v>500</v>
      </c>
      <c r="D1760" s="553">
        <v>12428</v>
      </c>
      <c r="E1760" s="551">
        <v>332</v>
      </c>
      <c r="F1760" s="551">
        <v>1</v>
      </c>
      <c r="G1760" s="551">
        <v>10198</v>
      </c>
      <c r="H1760" s="551">
        <v>22</v>
      </c>
      <c r="I1760" s="551">
        <v>5</v>
      </c>
      <c r="J1760" s="551">
        <v>2</v>
      </c>
      <c r="K1760" s="527">
        <f t="shared" ref="K1760:K1764" si="1044">IF(E1760=0,0,E1760/D1760)</f>
        <v>0.0267138719021564</v>
      </c>
      <c r="L1760" s="528">
        <f t="shared" ref="L1760:L1764" si="1045">IF(C1760=0,0,C1760/E1760)</f>
        <v>1.50602409638554</v>
      </c>
      <c r="M1760" s="528">
        <f t="shared" ref="M1760:M1764" si="1046">IF(D1760=0,0,C1760/D1760*1000)</f>
        <v>40.2317347924043</v>
      </c>
      <c r="N1760" s="528">
        <f t="shared" ref="N1760:N1764" si="1047">IF(G1760=0,0,G1760/C1760)</f>
        <v>20.396</v>
      </c>
      <c r="O1760" s="528">
        <f t="shared" ref="O1760:O1764" si="1048">IF(F1760=0,0,F1760/E1760)</f>
        <v>0.00301204819277108</v>
      </c>
      <c r="P1760" s="529">
        <f t="shared" ref="P1760:P1764" si="1049">IF(H1760+I1760=0,0,C1760/(H1760+I1760))</f>
        <v>18.5185185185185</v>
      </c>
      <c r="Q1760" s="24">
        <f t="shared" ref="Q1760:Q1764" si="1050">H1760+I1760</f>
        <v>27</v>
      </c>
      <c r="R1760" s="530">
        <f t="shared" ref="R1760:R1764" si="1051">IF(Q1760=0,0,Q1760/E1760)</f>
        <v>0.0813253012048193</v>
      </c>
    </row>
    <row r="1761" spans="1:18">
      <c r="A1761" s="524"/>
      <c r="B1761" s="540" t="s">
        <v>99</v>
      </c>
      <c r="C1761" s="551">
        <v>0</v>
      </c>
      <c r="D1761" s="551">
        <v>0</v>
      </c>
      <c r="E1761" s="551">
        <v>0</v>
      </c>
      <c r="F1761" s="551">
        <v>0</v>
      </c>
      <c r="G1761" s="551">
        <v>0</v>
      </c>
      <c r="H1761" s="551">
        <v>0</v>
      </c>
      <c r="I1761" s="551">
        <v>0</v>
      </c>
      <c r="J1761" s="551">
        <v>0</v>
      </c>
      <c r="K1761" s="527">
        <f t="shared" si="1044"/>
        <v>0</v>
      </c>
      <c r="L1761" s="528">
        <f t="shared" si="1045"/>
        <v>0</v>
      </c>
      <c r="M1761" s="528">
        <f t="shared" si="1046"/>
        <v>0</v>
      </c>
      <c r="N1761" s="528">
        <f t="shared" si="1047"/>
        <v>0</v>
      </c>
      <c r="O1761" s="528">
        <f t="shared" si="1048"/>
        <v>0</v>
      </c>
      <c r="P1761" s="529">
        <f t="shared" si="1049"/>
        <v>0</v>
      </c>
      <c r="Q1761" s="24">
        <f t="shared" si="1050"/>
        <v>0</v>
      </c>
      <c r="R1761" s="530">
        <f t="shared" si="1051"/>
        <v>0</v>
      </c>
    </row>
    <row r="1762" spans="1:18">
      <c r="A1762" s="524"/>
      <c r="B1762" s="540" t="s">
        <v>100</v>
      </c>
      <c r="C1762" s="552">
        <v>1104.95</v>
      </c>
      <c r="D1762" s="553">
        <v>32497</v>
      </c>
      <c r="E1762" s="553">
        <v>565</v>
      </c>
      <c r="F1762" s="551">
        <v>2</v>
      </c>
      <c r="G1762" s="551">
        <v>26893</v>
      </c>
      <c r="H1762" s="551">
        <v>31</v>
      </c>
      <c r="I1762" s="551">
        <v>8</v>
      </c>
      <c r="J1762" s="551">
        <v>8</v>
      </c>
      <c r="K1762" s="527">
        <f t="shared" si="1044"/>
        <v>0.0173862202664861</v>
      </c>
      <c r="L1762" s="528">
        <f t="shared" si="1045"/>
        <v>1.95566371681416</v>
      </c>
      <c r="M1762" s="528">
        <f t="shared" si="1046"/>
        <v>34.0016001477059</v>
      </c>
      <c r="N1762" s="528">
        <f t="shared" si="1047"/>
        <v>24.3386578578216</v>
      </c>
      <c r="O1762" s="528">
        <f t="shared" si="1048"/>
        <v>0.00353982300884956</v>
      </c>
      <c r="P1762" s="529">
        <f t="shared" si="1049"/>
        <v>28.3320512820513</v>
      </c>
      <c r="Q1762" s="24">
        <f t="shared" si="1050"/>
        <v>39</v>
      </c>
      <c r="R1762" s="530">
        <f t="shared" si="1051"/>
        <v>0.0690265486725664</v>
      </c>
    </row>
    <row r="1763" spans="1:18">
      <c r="A1763" s="524"/>
      <c r="B1763" s="540" t="s">
        <v>101</v>
      </c>
      <c r="C1763" s="551">
        <v>0</v>
      </c>
      <c r="D1763" s="551">
        <v>0</v>
      </c>
      <c r="E1763" s="551">
        <v>0</v>
      </c>
      <c r="F1763" s="551">
        <v>0</v>
      </c>
      <c r="G1763" s="551">
        <v>0</v>
      </c>
      <c r="H1763" s="551">
        <v>0</v>
      </c>
      <c r="I1763" s="551">
        <v>0</v>
      </c>
      <c r="J1763" s="551">
        <v>0</v>
      </c>
      <c r="K1763" s="527">
        <f t="shared" si="1044"/>
        <v>0</v>
      </c>
      <c r="L1763" s="528">
        <f t="shared" si="1045"/>
        <v>0</v>
      </c>
      <c r="M1763" s="528">
        <f t="shared" si="1046"/>
        <v>0</v>
      </c>
      <c r="N1763" s="528">
        <f t="shared" si="1047"/>
        <v>0</v>
      </c>
      <c r="O1763" s="528">
        <f t="shared" si="1048"/>
        <v>0</v>
      </c>
      <c r="P1763" s="529">
        <f t="shared" si="1049"/>
        <v>0</v>
      </c>
      <c r="Q1763" s="24">
        <f t="shared" si="1050"/>
        <v>0</v>
      </c>
      <c r="R1763" s="530">
        <f t="shared" si="1051"/>
        <v>0</v>
      </c>
    </row>
    <row r="1764" spans="1:18">
      <c r="A1764" s="524"/>
      <c r="B1764" s="531" t="s">
        <v>96</v>
      </c>
      <c r="C1764" s="533">
        <f t="shared" ref="C1764:J1764" si="1052">SUM(C1760:C1763)</f>
        <v>1604.95</v>
      </c>
      <c r="D1764" s="533">
        <f t="shared" si="1052"/>
        <v>44925</v>
      </c>
      <c r="E1764" s="533">
        <f t="shared" si="1052"/>
        <v>897</v>
      </c>
      <c r="F1764" s="533">
        <f t="shared" si="1052"/>
        <v>3</v>
      </c>
      <c r="G1764" s="533">
        <f t="shared" si="1052"/>
        <v>37091</v>
      </c>
      <c r="H1764" s="533">
        <f t="shared" si="1052"/>
        <v>53</v>
      </c>
      <c r="I1764" s="533">
        <f t="shared" si="1052"/>
        <v>13</v>
      </c>
      <c r="J1764" s="533">
        <f t="shared" si="1052"/>
        <v>10</v>
      </c>
      <c r="K1764" s="534">
        <f t="shared" si="1044"/>
        <v>0.0199666110183639</v>
      </c>
      <c r="L1764" s="535">
        <f t="shared" si="1045"/>
        <v>1.78924191750279</v>
      </c>
      <c r="M1764" s="535">
        <f t="shared" si="1046"/>
        <v>35.7250973845298</v>
      </c>
      <c r="N1764" s="535">
        <f t="shared" si="1047"/>
        <v>23.1103772703199</v>
      </c>
      <c r="O1764" s="535">
        <f t="shared" si="1048"/>
        <v>0.00334448160535117</v>
      </c>
      <c r="P1764" s="536">
        <f t="shared" si="1049"/>
        <v>24.3174242424242</v>
      </c>
      <c r="Q1764" s="531">
        <f t="shared" si="1050"/>
        <v>66</v>
      </c>
      <c r="R1764" s="537">
        <f t="shared" si="1051"/>
        <v>0.0735785953177258</v>
      </c>
    </row>
    <row r="1765" spans="1:18">
      <c r="A1765" s="524">
        <v>45803</v>
      </c>
      <c r="B1765" s="540" t="s">
        <v>98</v>
      </c>
      <c r="C1765" s="551">
        <v>500</v>
      </c>
      <c r="D1765" s="553">
        <v>12214</v>
      </c>
      <c r="E1765" s="551">
        <v>330</v>
      </c>
      <c r="F1765" s="551">
        <v>0</v>
      </c>
      <c r="G1765" s="551">
        <v>0</v>
      </c>
      <c r="H1765" s="551">
        <v>12</v>
      </c>
      <c r="I1765" s="551">
        <v>2</v>
      </c>
      <c r="J1765" s="551">
        <v>0</v>
      </c>
      <c r="K1765" s="527">
        <f t="shared" ref="K1765:K1828" si="1053">IF(E1765=0,0,E1765/D1765)</f>
        <v>0.0270181758637629</v>
      </c>
      <c r="L1765" s="528">
        <f t="shared" ref="L1765:L1828" si="1054">IF(C1765=0,0,C1765/E1765)</f>
        <v>1.51515151515152</v>
      </c>
      <c r="M1765" s="528">
        <f t="shared" ref="M1765:M1828" si="1055">IF(D1765=0,0,C1765/D1765*1000)</f>
        <v>40.9366300966105</v>
      </c>
      <c r="N1765" s="528">
        <f t="shared" ref="N1765:N1828" si="1056">IF(G1765=0,0,G1765/C1765)</f>
        <v>0</v>
      </c>
      <c r="O1765" s="528">
        <f t="shared" ref="O1765:O1828" si="1057">IF(F1765=0,0,F1765/E1765)</f>
        <v>0</v>
      </c>
      <c r="P1765" s="529">
        <f t="shared" ref="P1765:P1828" si="1058">IF(H1765+I1765=0,0,C1765/(H1765+I1765))</f>
        <v>35.7142857142857</v>
      </c>
      <c r="Q1765" s="24">
        <f t="shared" ref="Q1765:Q1828" si="1059">H1765+I1765</f>
        <v>14</v>
      </c>
      <c r="R1765" s="530">
        <f t="shared" ref="R1765:R1828" si="1060">IF(Q1765=0,0,Q1765/E1765)</f>
        <v>0.0424242424242424</v>
      </c>
    </row>
    <row r="1766" spans="1:18">
      <c r="A1766" s="524"/>
      <c r="B1766" s="540" t="s">
        <v>99</v>
      </c>
      <c r="C1766" s="551">
        <v>600</v>
      </c>
      <c r="D1766" s="555" t="s">
        <v>102</v>
      </c>
      <c r="E1766" s="551">
        <v>935</v>
      </c>
      <c r="F1766" s="551">
        <v>0</v>
      </c>
      <c r="G1766" s="551">
        <v>0</v>
      </c>
      <c r="H1766" s="555" t="s">
        <v>102</v>
      </c>
      <c r="I1766" s="555" t="s">
        <v>102</v>
      </c>
      <c r="J1766" s="555" t="s">
        <v>102</v>
      </c>
      <c r="K1766" s="527" t="e">
        <f t="shared" si="1053"/>
        <v>#VALUE!</v>
      </c>
      <c r="L1766" s="528">
        <f t="shared" si="1054"/>
        <v>0.641711229946524</v>
      </c>
      <c r="M1766" s="528" t="e">
        <f t="shared" si="1055"/>
        <v>#VALUE!</v>
      </c>
      <c r="N1766" s="528">
        <f t="shared" si="1056"/>
        <v>0</v>
      </c>
      <c r="O1766" s="528">
        <f t="shared" si="1057"/>
        <v>0</v>
      </c>
      <c r="P1766" s="529" t="e">
        <f t="shared" si="1058"/>
        <v>#VALUE!</v>
      </c>
      <c r="Q1766" s="24" t="e">
        <f t="shared" si="1059"/>
        <v>#VALUE!</v>
      </c>
      <c r="R1766" s="530" t="e">
        <f t="shared" si="1060"/>
        <v>#VALUE!</v>
      </c>
    </row>
    <row r="1767" spans="1:18">
      <c r="A1767" s="524"/>
      <c r="B1767" s="540" t="s">
        <v>100</v>
      </c>
      <c r="C1767" s="552">
        <v>1099.24</v>
      </c>
      <c r="D1767" s="553">
        <v>29711</v>
      </c>
      <c r="E1767" s="553">
        <v>531</v>
      </c>
      <c r="F1767" s="551">
        <v>2</v>
      </c>
      <c r="G1767" s="551">
        <v>28858</v>
      </c>
      <c r="H1767" s="551">
        <v>23</v>
      </c>
      <c r="I1767" s="551">
        <v>7</v>
      </c>
      <c r="J1767" s="551">
        <v>2</v>
      </c>
      <c r="K1767" s="527">
        <f t="shared" si="1053"/>
        <v>0.0178721685571001</v>
      </c>
      <c r="L1767" s="528">
        <f t="shared" si="1054"/>
        <v>2.070131826742</v>
      </c>
      <c r="M1767" s="528">
        <f t="shared" si="1055"/>
        <v>36.9977449429504</v>
      </c>
      <c r="N1767" s="528">
        <f t="shared" si="1056"/>
        <v>26.2526836723554</v>
      </c>
      <c r="O1767" s="528">
        <f t="shared" si="1057"/>
        <v>0.00376647834274953</v>
      </c>
      <c r="P1767" s="529">
        <f t="shared" si="1058"/>
        <v>36.6413333333333</v>
      </c>
      <c r="Q1767" s="24">
        <f t="shared" si="1059"/>
        <v>30</v>
      </c>
      <c r="R1767" s="530">
        <f t="shared" si="1060"/>
        <v>0.0564971751412429</v>
      </c>
    </row>
    <row r="1768" spans="1:18">
      <c r="A1768" s="524"/>
      <c r="B1768" s="540" t="s">
        <v>101</v>
      </c>
      <c r="C1768" s="551">
        <v>1801.17</v>
      </c>
      <c r="D1768" s="551">
        <v>5312</v>
      </c>
      <c r="E1768" s="551">
        <v>522</v>
      </c>
      <c r="F1768" s="551">
        <v>8</v>
      </c>
      <c r="G1768" s="551">
        <v>96333</v>
      </c>
      <c r="H1768" s="551">
        <v>36</v>
      </c>
      <c r="I1768" s="551">
        <v>6</v>
      </c>
      <c r="J1768" s="551">
        <v>6</v>
      </c>
      <c r="K1768" s="527">
        <f t="shared" si="1053"/>
        <v>0.0982680722891566</v>
      </c>
      <c r="L1768" s="528">
        <f t="shared" si="1054"/>
        <v>3.45051724137931</v>
      </c>
      <c r="M1768" s="528">
        <f t="shared" si="1055"/>
        <v>339.075677710843</v>
      </c>
      <c r="N1768" s="528">
        <f t="shared" si="1056"/>
        <v>53.4835690134746</v>
      </c>
      <c r="O1768" s="528">
        <f t="shared" si="1057"/>
        <v>0.0153256704980843</v>
      </c>
      <c r="P1768" s="529">
        <f t="shared" si="1058"/>
        <v>42.885</v>
      </c>
      <c r="Q1768" s="24">
        <f t="shared" si="1059"/>
        <v>42</v>
      </c>
      <c r="R1768" s="530">
        <f t="shared" si="1060"/>
        <v>0.0804597701149425</v>
      </c>
    </row>
    <row r="1769" spans="1:18">
      <c r="A1769" s="524"/>
      <c r="B1769" s="531" t="s">
        <v>96</v>
      </c>
      <c r="C1769" s="533">
        <f t="shared" ref="C1769:J1769" si="1061">SUM(C1765:C1768)</f>
        <v>4000.41</v>
      </c>
      <c r="D1769" s="533">
        <f t="shared" si="1061"/>
        <v>47237</v>
      </c>
      <c r="E1769" s="533">
        <f t="shared" si="1061"/>
        <v>2318</v>
      </c>
      <c r="F1769" s="533">
        <f t="shared" si="1061"/>
        <v>10</v>
      </c>
      <c r="G1769" s="533">
        <f t="shared" si="1061"/>
        <v>125191</v>
      </c>
      <c r="H1769" s="533">
        <f t="shared" si="1061"/>
        <v>71</v>
      </c>
      <c r="I1769" s="533">
        <f t="shared" si="1061"/>
        <v>15</v>
      </c>
      <c r="J1769" s="533">
        <f t="shared" si="1061"/>
        <v>8</v>
      </c>
      <c r="K1769" s="534">
        <f t="shared" si="1053"/>
        <v>0.0490717022672905</v>
      </c>
      <c r="L1769" s="535">
        <f t="shared" si="1054"/>
        <v>1.72580241587576</v>
      </c>
      <c r="M1769" s="535">
        <f t="shared" si="1055"/>
        <v>84.6880623240257</v>
      </c>
      <c r="N1769" s="535">
        <f t="shared" si="1056"/>
        <v>31.2945423094133</v>
      </c>
      <c r="O1769" s="535">
        <f t="shared" si="1057"/>
        <v>0.00431406384814495</v>
      </c>
      <c r="P1769" s="536">
        <f t="shared" si="1058"/>
        <v>46.5163953488372</v>
      </c>
      <c r="Q1769" s="531">
        <f t="shared" si="1059"/>
        <v>86</v>
      </c>
      <c r="R1769" s="537">
        <f t="shared" si="1060"/>
        <v>0.0371009490940466</v>
      </c>
    </row>
    <row r="1770" spans="1:18">
      <c r="A1770" s="524">
        <v>45804</v>
      </c>
      <c r="B1770" s="540" t="s">
        <v>98</v>
      </c>
      <c r="C1770" s="551">
        <v>500</v>
      </c>
      <c r="D1770" s="553">
        <v>11753</v>
      </c>
      <c r="E1770" s="551">
        <v>318</v>
      </c>
      <c r="F1770" s="551">
        <v>0</v>
      </c>
      <c r="G1770" s="551">
        <v>0</v>
      </c>
      <c r="H1770" s="551">
        <v>10</v>
      </c>
      <c r="I1770" s="551">
        <v>2</v>
      </c>
      <c r="J1770" s="551">
        <v>3</v>
      </c>
      <c r="K1770" s="527">
        <f t="shared" si="1053"/>
        <v>0.0270569216370288</v>
      </c>
      <c r="L1770" s="528">
        <f t="shared" si="1054"/>
        <v>1.57232704402516</v>
      </c>
      <c r="M1770" s="528">
        <f t="shared" si="1055"/>
        <v>42.5423296179699</v>
      </c>
      <c r="N1770" s="528">
        <f t="shared" si="1056"/>
        <v>0</v>
      </c>
      <c r="O1770" s="528">
        <f t="shared" si="1057"/>
        <v>0</v>
      </c>
      <c r="P1770" s="529">
        <f t="shared" si="1058"/>
        <v>41.6666666666667</v>
      </c>
      <c r="Q1770" s="24">
        <f t="shared" si="1059"/>
        <v>12</v>
      </c>
      <c r="R1770" s="530">
        <f t="shared" si="1060"/>
        <v>0.0377358490566038</v>
      </c>
    </row>
    <row r="1771" spans="1:18">
      <c r="A1771" s="524"/>
      <c r="B1771" s="540" t="s">
        <v>99</v>
      </c>
      <c r="C1771" s="551">
        <v>384.37</v>
      </c>
      <c r="D1771" s="555">
        <v>2401</v>
      </c>
      <c r="E1771" s="551">
        <v>227</v>
      </c>
      <c r="F1771" s="551">
        <v>1</v>
      </c>
      <c r="G1771" s="551">
        <v>5976</v>
      </c>
      <c r="H1771" s="555">
        <v>6</v>
      </c>
      <c r="I1771" s="555">
        <v>1</v>
      </c>
      <c r="J1771" s="555">
        <v>2</v>
      </c>
      <c r="K1771" s="527">
        <f t="shared" si="1053"/>
        <v>0.0945439400249896</v>
      </c>
      <c r="L1771" s="528">
        <f t="shared" si="1054"/>
        <v>1.69325991189427</v>
      </c>
      <c r="M1771" s="528">
        <f t="shared" si="1055"/>
        <v>160.087463556851</v>
      </c>
      <c r="N1771" s="528">
        <f t="shared" si="1056"/>
        <v>15.5475193173245</v>
      </c>
      <c r="O1771" s="528">
        <f t="shared" si="1057"/>
        <v>0.00440528634361234</v>
      </c>
      <c r="P1771" s="529">
        <f t="shared" si="1058"/>
        <v>54.91</v>
      </c>
      <c r="Q1771" s="24">
        <f t="shared" si="1059"/>
        <v>7</v>
      </c>
      <c r="R1771" s="530">
        <f t="shared" si="1060"/>
        <v>0.0308370044052863</v>
      </c>
    </row>
    <row r="1772" spans="1:18">
      <c r="A1772" s="524"/>
      <c r="B1772" s="540" t="s">
        <v>100</v>
      </c>
      <c r="C1772" s="552">
        <v>1105.82</v>
      </c>
      <c r="D1772" s="553">
        <v>30687</v>
      </c>
      <c r="E1772" s="553">
        <v>512</v>
      </c>
      <c r="F1772" s="551">
        <v>2</v>
      </c>
      <c r="G1772" s="551">
        <v>21794</v>
      </c>
      <c r="H1772" s="551">
        <v>29</v>
      </c>
      <c r="I1772" s="551">
        <v>11</v>
      </c>
      <c r="J1772" s="551">
        <v>1</v>
      </c>
      <c r="K1772" s="527">
        <f t="shared" si="1053"/>
        <v>0.0166845895656141</v>
      </c>
      <c r="L1772" s="528">
        <f t="shared" si="1054"/>
        <v>2.1598046875</v>
      </c>
      <c r="M1772" s="528">
        <f t="shared" si="1055"/>
        <v>36.0354547528269</v>
      </c>
      <c r="N1772" s="528">
        <f t="shared" si="1056"/>
        <v>19.7084516467418</v>
      </c>
      <c r="O1772" s="528">
        <f t="shared" si="1057"/>
        <v>0.00390625</v>
      </c>
      <c r="P1772" s="529">
        <f t="shared" si="1058"/>
        <v>27.6455</v>
      </c>
      <c r="Q1772" s="24">
        <f t="shared" si="1059"/>
        <v>40</v>
      </c>
      <c r="R1772" s="530">
        <f t="shared" si="1060"/>
        <v>0.078125</v>
      </c>
    </row>
    <row r="1773" spans="1:18">
      <c r="A1773" s="524"/>
      <c r="B1773" s="540" t="s">
        <v>101</v>
      </c>
      <c r="C1773" s="551">
        <v>1499.99</v>
      </c>
      <c r="D1773" s="551">
        <v>9873</v>
      </c>
      <c r="E1773" s="551">
        <v>761</v>
      </c>
      <c r="F1773" s="551">
        <v>3</v>
      </c>
      <c r="G1773" s="551">
        <v>32891</v>
      </c>
      <c r="H1773" s="551">
        <v>46</v>
      </c>
      <c r="I1773" s="551">
        <v>13</v>
      </c>
      <c r="J1773" s="551">
        <v>5</v>
      </c>
      <c r="K1773" s="527">
        <f t="shared" si="1053"/>
        <v>0.0770789020561126</v>
      </c>
      <c r="L1773" s="528">
        <f t="shared" si="1054"/>
        <v>1.97107752956636</v>
      </c>
      <c r="M1773" s="528">
        <f t="shared" si="1055"/>
        <v>151.92849184645</v>
      </c>
      <c r="N1773" s="528">
        <f t="shared" si="1056"/>
        <v>21.9274795165301</v>
      </c>
      <c r="O1773" s="528">
        <f t="shared" si="1057"/>
        <v>0.00394218134034166</v>
      </c>
      <c r="P1773" s="529">
        <f t="shared" si="1058"/>
        <v>25.4235593220339</v>
      </c>
      <c r="Q1773" s="24">
        <f t="shared" si="1059"/>
        <v>59</v>
      </c>
      <c r="R1773" s="530">
        <f t="shared" si="1060"/>
        <v>0.0775295663600526</v>
      </c>
    </row>
    <row r="1774" spans="1:18">
      <c r="A1774" s="524"/>
      <c r="B1774" s="531" t="s">
        <v>96</v>
      </c>
      <c r="C1774" s="533">
        <f t="shared" ref="C1774:J1774" si="1062">SUM(C1770:C1773)</f>
        <v>3490.18</v>
      </c>
      <c r="D1774" s="533">
        <f t="shared" si="1062"/>
        <v>54714</v>
      </c>
      <c r="E1774" s="533">
        <f t="shared" si="1062"/>
        <v>1818</v>
      </c>
      <c r="F1774" s="533">
        <f t="shared" si="1062"/>
        <v>6</v>
      </c>
      <c r="G1774" s="533">
        <f t="shared" si="1062"/>
        <v>60661</v>
      </c>
      <c r="H1774" s="533">
        <f t="shared" si="1062"/>
        <v>91</v>
      </c>
      <c r="I1774" s="533">
        <f t="shared" si="1062"/>
        <v>27</v>
      </c>
      <c r="J1774" s="533">
        <f t="shared" si="1062"/>
        <v>11</v>
      </c>
      <c r="K1774" s="534">
        <f t="shared" si="1053"/>
        <v>0.0332273275578463</v>
      </c>
      <c r="L1774" s="535">
        <f t="shared" si="1054"/>
        <v>1.91979097909791</v>
      </c>
      <c r="M1774" s="535">
        <f t="shared" si="1055"/>
        <v>63.7895237050846</v>
      </c>
      <c r="N1774" s="535">
        <f t="shared" si="1056"/>
        <v>17.3804789437794</v>
      </c>
      <c r="O1774" s="535">
        <f t="shared" si="1057"/>
        <v>0.0033003300330033</v>
      </c>
      <c r="P1774" s="536">
        <f t="shared" si="1058"/>
        <v>29.5777966101695</v>
      </c>
      <c r="Q1774" s="531">
        <f t="shared" si="1059"/>
        <v>118</v>
      </c>
      <c r="R1774" s="537">
        <f t="shared" si="1060"/>
        <v>0.0649064906490649</v>
      </c>
    </row>
    <row r="1775" spans="1:18">
      <c r="A1775" s="524">
        <v>45805</v>
      </c>
      <c r="B1775" s="540" t="s">
        <v>98</v>
      </c>
      <c r="C1775" s="551">
        <v>498.8</v>
      </c>
      <c r="D1775" s="553">
        <v>14817</v>
      </c>
      <c r="E1775" s="551">
        <v>377</v>
      </c>
      <c r="F1775" s="551">
        <v>1</v>
      </c>
      <c r="G1775" s="551">
        <v>7684</v>
      </c>
      <c r="H1775" s="551">
        <v>9</v>
      </c>
      <c r="I1775" s="551">
        <v>4</v>
      </c>
      <c r="J1775" s="551">
        <v>5</v>
      </c>
      <c r="K1775" s="527">
        <f t="shared" si="1053"/>
        <v>0.0254437470473105</v>
      </c>
      <c r="L1775" s="528">
        <f t="shared" si="1054"/>
        <v>1.32307692307692</v>
      </c>
      <c r="M1775" s="528">
        <f t="shared" si="1055"/>
        <v>33.6640345549032</v>
      </c>
      <c r="N1775" s="528">
        <f t="shared" si="1056"/>
        <v>15.4049719326383</v>
      </c>
      <c r="O1775" s="528">
        <f t="shared" si="1057"/>
        <v>0.0026525198938992</v>
      </c>
      <c r="P1775" s="529">
        <f t="shared" si="1058"/>
        <v>38.3692307692308</v>
      </c>
      <c r="Q1775" s="24">
        <f t="shared" si="1059"/>
        <v>13</v>
      </c>
      <c r="R1775" s="530">
        <f t="shared" si="1060"/>
        <v>0.0344827586206897</v>
      </c>
    </row>
    <row r="1776" spans="1:18">
      <c r="A1776" s="524"/>
      <c r="B1776" s="540" t="s">
        <v>99</v>
      </c>
      <c r="C1776" s="551">
        <v>350.54</v>
      </c>
      <c r="D1776" s="555">
        <v>2544</v>
      </c>
      <c r="E1776" s="551">
        <v>296</v>
      </c>
      <c r="F1776" s="551">
        <v>0</v>
      </c>
      <c r="G1776" s="551">
        <v>0</v>
      </c>
      <c r="H1776" s="555">
        <v>1</v>
      </c>
      <c r="I1776" s="555">
        <v>0</v>
      </c>
      <c r="J1776" s="555">
        <v>2</v>
      </c>
      <c r="K1776" s="527">
        <f t="shared" si="1053"/>
        <v>0.116352201257862</v>
      </c>
      <c r="L1776" s="528">
        <f t="shared" si="1054"/>
        <v>1.18425675675676</v>
      </c>
      <c r="M1776" s="528">
        <f t="shared" si="1055"/>
        <v>137.790880503145</v>
      </c>
      <c r="N1776" s="528">
        <f t="shared" si="1056"/>
        <v>0</v>
      </c>
      <c r="O1776" s="528">
        <f t="shared" si="1057"/>
        <v>0</v>
      </c>
      <c r="P1776" s="529">
        <f t="shared" si="1058"/>
        <v>350.54</v>
      </c>
      <c r="Q1776" s="24">
        <f t="shared" si="1059"/>
        <v>1</v>
      </c>
      <c r="R1776" s="530">
        <f t="shared" si="1060"/>
        <v>0.00337837837837838</v>
      </c>
    </row>
    <row r="1777" spans="1:18">
      <c r="A1777" s="524"/>
      <c r="B1777" s="540" t="s">
        <v>100</v>
      </c>
      <c r="C1777" s="552">
        <v>1122.68</v>
      </c>
      <c r="D1777" s="553">
        <v>36114</v>
      </c>
      <c r="E1777" s="553">
        <v>455</v>
      </c>
      <c r="F1777" s="551">
        <v>1</v>
      </c>
      <c r="G1777" s="551">
        <v>5976</v>
      </c>
      <c r="H1777" s="551">
        <v>13</v>
      </c>
      <c r="I1777" s="551">
        <v>7</v>
      </c>
      <c r="J1777" s="551">
        <v>4</v>
      </c>
      <c r="K1777" s="527">
        <f t="shared" si="1053"/>
        <v>0.0125989920806335</v>
      </c>
      <c r="L1777" s="528">
        <f t="shared" si="1054"/>
        <v>2.46742857142857</v>
      </c>
      <c r="M1777" s="528">
        <f t="shared" si="1055"/>
        <v>31.0871130309575</v>
      </c>
      <c r="N1777" s="528">
        <f t="shared" si="1056"/>
        <v>5.32297716179143</v>
      </c>
      <c r="O1777" s="528">
        <f t="shared" si="1057"/>
        <v>0.0021978021978022</v>
      </c>
      <c r="P1777" s="529">
        <f t="shared" si="1058"/>
        <v>56.134</v>
      </c>
      <c r="Q1777" s="24">
        <f t="shared" si="1059"/>
        <v>20</v>
      </c>
      <c r="R1777" s="530">
        <f t="shared" si="1060"/>
        <v>0.043956043956044</v>
      </c>
    </row>
    <row r="1778" spans="1:18">
      <c r="A1778" s="524"/>
      <c r="B1778" s="540" t="s">
        <v>101</v>
      </c>
      <c r="C1778" s="551">
        <v>905.48</v>
      </c>
      <c r="D1778" s="551">
        <v>8987</v>
      </c>
      <c r="E1778" s="551">
        <v>560</v>
      </c>
      <c r="F1778" s="551">
        <v>5</v>
      </c>
      <c r="G1778" s="551">
        <v>54186</v>
      </c>
      <c r="H1778" s="551">
        <v>28</v>
      </c>
      <c r="I1778" s="551">
        <v>3</v>
      </c>
      <c r="J1778" s="551">
        <v>4</v>
      </c>
      <c r="K1778" s="527">
        <f t="shared" si="1053"/>
        <v>0.0623122287748971</v>
      </c>
      <c r="L1778" s="528">
        <f t="shared" si="1054"/>
        <v>1.61692857142857</v>
      </c>
      <c r="M1778" s="528">
        <f t="shared" si="1055"/>
        <v>100.754423055525</v>
      </c>
      <c r="N1778" s="528">
        <f t="shared" si="1056"/>
        <v>59.84229359014</v>
      </c>
      <c r="O1778" s="528">
        <f t="shared" si="1057"/>
        <v>0.00892857142857143</v>
      </c>
      <c r="P1778" s="529">
        <f t="shared" si="1058"/>
        <v>29.2090322580645</v>
      </c>
      <c r="Q1778" s="24">
        <f t="shared" si="1059"/>
        <v>31</v>
      </c>
      <c r="R1778" s="530">
        <f t="shared" si="1060"/>
        <v>0.0553571428571429</v>
      </c>
    </row>
    <row r="1779" spans="1:18">
      <c r="A1779" s="524"/>
      <c r="B1779" s="531" t="s">
        <v>96</v>
      </c>
      <c r="C1779" s="533">
        <f t="shared" ref="C1779:J1779" si="1063">SUM(C1775:C1778)</f>
        <v>2877.5</v>
      </c>
      <c r="D1779" s="533">
        <f t="shared" si="1063"/>
        <v>62462</v>
      </c>
      <c r="E1779" s="533">
        <f t="shared" si="1063"/>
        <v>1688</v>
      </c>
      <c r="F1779" s="533">
        <f t="shared" si="1063"/>
        <v>7</v>
      </c>
      <c r="G1779" s="533">
        <f t="shared" si="1063"/>
        <v>67846</v>
      </c>
      <c r="H1779" s="533">
        <f t="shared" si="1063"/>
        <v>51</v>
      </c>
      <c r="I1779" s="533">
        <f t="shared" si="1063"/>
        <v>14</v>
      </c>
      <c r="J1779" s="533">
        <f t="shared" si="1063"/>
        <v>15</v>
      </c>
      <c r="K1779" s="534">
        <f t="shared" si="1053"/>
        <v>0.0270244308539592</v>
      </c>
      <c r="L1779" s="535">
        <f t="shared" si="1054"/>
        <v>1.70468009478673</v>
      </c>
      <c r="M1779" s="535">
        <f t="shared" si="1055"/>
        <v>46.0680093496846</v>
      </c>
      <c r="N1779" s="535">
        <f t="shared" si="1056"/>
        <v>23.5781059947871</v>
      </c>
      <c r="O1779" s="535">
        <f t="shared" si="1057"/>
        <v>0.00414691943127962</v>
      </c>
      <c r="P1779" s="536">
        <f t="shared" si="1058"/>
        <v>44.2692307692308</v>
      </c>
      <c r="Q1779" s="531">
        <f t="shared" si="1059"/>
        <v>65</v>
      </c>
      <c r="R1779" s="537">
        <f t="shared" si="1060"/>
        <v>0.0385071090047393</v>
      </c>
    </row>
    <row r="1780" spans="1:18">
      <c r="A1780" s="524">
        <v>45806</v>
      </c>
      <c r="B1780" s="540" t="s">
        <v>98</v>
      </c>
      <c r="C1780" s="551">
        <v>499.8</v>
      </c>
      <c r="D1780" s="553">
        <v>14421</v>
      </c>
      <c r="E1780" s="551">
        <v>317</v>
      </c>
      <c r="F1780" s="551">
        <v>0</v>
      </c>
      <c r="G1780" s="551">
        <v>0</v>
      </c>
      <c r="H1780" s="551">
        <v>22</v>
      </c>
      <c r="I1780" s="551">
        <v>4</v>
      </c>
      <c r="J1780" s="551">
        <v>0</v>
      </c>
      <c r="K1780" s="527">
        <f t="shared" si="1053"/>
        <v>0.0219818320504819</v>
      </c>
      <c r="L1780" s="528">
        <f t="shared" si="1054"/>
        <v>1.57665615141956</v>
      </c>
      <c r="M1780" s="528">
        <f t="shared" si="1055"/>
        <v>34.657790721864</v>
      </c>
      <c r="N1780" s="528">
        <f t="shared" si="1056"/>
        <v>0</v>
      </c>
      <c r="O1780" s="528">
        <f t="shared" si="1057"/>
        <v>0</v>
      </c>
      <c r="P1780" s="529">
        <f t="shared" si="1058"/>
        <v>19.2230769230769</v>
      </c>
      <c r="Q1780" s="24">
        <f t="shared" si="1059"/>
        <v>26</v>
      </c>
      <c r="R1780" s="530">
        <f t="shared" si="1060"/>
        <v>0.082018927444795</v>
      </c>
    </row>
    <row r="1781" spans="1:18">
      <c r="A1781" s="524"/>
      <c r="B1781" s="540" t="s">
        <v>99</v>
      </c>
      <c r="C1781" s="551">
        <v>425.08</v>
      </c>
      <c r="D1781" s="555">
        <v>1610</v>
      </c>
      <c r="E1781" s="551">
        <v>265</v>
      </c>
      <c r="F1781" s="551">
        <v>0</v>
      </c>
      <c r="G1781" s="551">
        <v>0</v>
      </c>
      <c r="H1781" s="555">
        <v>1</v>
      </c>
      <c r="I1781" s="555">
        <v>0</v>
      </c>
      <c r="J1781" s="555">
        <v>1</v>
      </c>
      <c r="K1781" s="527">
        <f t="shared" si="1053"/>
        <v>0.164596273291925</v>
      </c>
      <c r="L1781" s="528">
        <f t="shared" si="1054"/>
        <v>1.60407547169811</v>
      </c>
      <c r="M1781" s="528">
        <f t="shared" si="1055"/>
        <v>264.024844720497</v>
      </c>
      <c r="N1781" s="528">
        <f t="shared" si="1056"/>
        <v>0</v>
      </c>
      <c r="O1781" s="528">
        <f t="shared" si="1057"/>
        <v>0</v>
      </c>
      <c r="P1781" s="529">
        <f t="shared" si="1058"/>
        <v>425.08</v>
      </c>
      <c r="Q1781" s="24">
        <f t="shared" si="1059"/>
        <v>1</v>
      </c>
      <c r="R1781" s="530">
        <f t="shared" si="1060"/>
        <v>0.00377358490566038</v>
      </c>
    </row>
    <row r="1782" spans="1:18">
      <c r="A1782" s="524"/>
      <c r="B1782" s="540" t="s">
        <v>100</v>
      </c>
      <c r="C1782" s="552">
        <v>1112.86</v>
      </c>
      <c r="D1782" s="553">
        <v>47713</v>
      </c>
      <c r="E1782" s="553">
        <v>497</v>
      </c>
      <c r="F1782" s="551">
        <v>2</v>
      </c>
      <c r="G1782" s="551">
        <v>25640</v>
      </c>
      <c r="H1782" s="551">
        <v>36</v>
      </c>
      <c r="I1782" s="551">
        <v>5</v>
      </c>
      <c r="J1782" s="551">
        <v>1</v>
      </c>
      <c r="K1782" s="527">
        <f t="shared" si="1053"/>
        <v>0.0104164483474106</v>
      </c>
      <c r="L1782" s="528">
        <f t="shared" si="1054"/>
        <v>2.23915492957746</v>
      </c>
      <c r="M1782" s="528">
        <f t="shared" si="1055"/>
        <v>23.3240416657934</v>
      </c>
      <c r="N1782" s="528">
        <f t="shared" si="1056"/>
        <v>23.0397354563916</v>
      </c>
      <c r="O1782" s="528">
        <f t="shared" si="1057"/>
        <v>0.00402414486921529</v>
      </c>
      <c r="P1782" s="529">
        <f t="shared" si="1058"/>
        <v>27.1429268292683</v>
      </c>
      <c r="Q1782" s="24">
        <f t="shared" si="1059"/>
        <v>41</v>
      </c>
      <c r="R1782" s="530">
        <f t="shared" si="1060"/>
        <v>0.0824949698189135</v>
      </c>
    </row>
    <row r="1783" spans="1:18">
      <c r="A1783" s="524"/>
      <c r="B1783" s="540" t="s">
        <v>101</v>
      </c>
      <c r="C1783" s="551">
        <v>2064.82</v>
      </c>
      <c r="D1783" s="551">
        <v>17222</v>
      </c>
      <c r="E1783" s="551">
        <v>661</v>
      </c>
      <c r="F1783" s="551">
        <v>8</v>
      </c>
      <c r="G1783" s="551">
        <v>87518</v>
      </c>
      <c r="H1783" s="551">
        <v>55</v>
      </c>
      <c r="I1783" s="551">
        <v>1</v>
      </c>
      <c r="J1783" s="551">
        <v>4</v>
      </c>
      <c r="K1783" s="527">
        <f t="shared" si="1053"/>
        <v>0.0383811404018116</v>
      </c>
      <c r="L1783" s="528">
        <f t="shared" si="1054"/>
        <v>3.12378214826021</v>
      </c>
      <c r="M1783" s="528">
        <f t="shared" si="1055"/>
        <v>119.894321217048</v>
      </c>
      <c r="N1783" s="528">
        <f t="shared" si="1056"/>
        <v>42.3852926647359</v>
      </c>
      <c r="O1783" s="528">
        <f t="shared" si="1057"/>
        <v>0.0121028744326778</v>
      </c>
      <c r="P1783" s="529">
        <f t="shared" si="1058"/>
        <v>36.8717857142857</v>
      </c>
      <c r="Q1783" s="24">
        <f t="shared" si="1059"/>
        <v>56</v>
      </c>
      <c r="R1783" s="530">
        <f t="shared" si="1060"/>
        <v>0.0847201210287443</v>
      </c>
    </row>
    <row r="1784" spans="1:18">
      <c r="A1784" s="524"/>
      <c r="B1784" s="531" t="s">
        <v>96</v>
      </c>
      <c r="C1784" s="533">
        <f t="shared" ref="C1784:J1784" si="1064">SUM(C1780:C1783)</f>
        <v>4102.56</v>
      </c>
      <c r="D1784" s="533">
        <f t="shared" si="1064"/>
        <v>80966</v>
      </c>
      <c r="E1784" s="533">
        <f t="shared" si="1064"/>
        <v>1740</v>
      </c>
      <c r="F1784" s="533">
        <f t="shared" si="1064"/>
        <v>10</v>
      </c>
      <c r="G1784" s="533">
        <f t="shared" si="1064"/>
        <v>113158</v>
      </c>
      <c r="H1784" s="533">
        <f t="shared" si="1064"/>
        <v>114</v>
      </c>
      <c r="I1784" s="533">
        <f t="shared" si="1064"/>
        <v>10</v>
      </c>
      <c r="J1784" s="533">
        <f t="shared" si="1064"/>
        <v>6</v>
      </c>
      <c r="K1784" s="534">
        <f t="shared" si="1053"/>
        <v>0.0214905021861028</v>
      </c>
      <c r="L1784" s="535">
        <f t="shared" si="1054"/>
        <v>2.35779310344828</v>
      </c>
      <c r="M1784" s="535">
        <f t="shared" si="1055"/>
        <v>50.6701578440333</v>
      </c>
      <c r="N1784" s="535">
        <f t="shared" si="1056"/>
        <v>27.5822900822901</v>
      </c>
      <c r="O1784" s="535">
        <f t="shared" si="1057"/>
        <v>0.00574712643678161</v>
      </c>
      <c r="P1784" s="536">
        <f t="shared" si="1058"/>
        <v>33.0851612903226</v>
      </c>
      <c r="Q1784" s="531">
        <f t="shared" si="1059"/>
        <v>124</v>
      </c>
      <c r="R1784" s="537">
        <f t="shared" si="1060"/>
        <v>0.071264367816092</v>
      </c>
    </row>
    <row r="1785" spans="1:18">
      <c r="A1785" s="524">
        <v>45807</v>
      </c>
      <c r="B1785" s="540" t="s">
        <v>98</v>
      </c>
      <c r="C1785" s="551">
        <v>499.33</v>
      </c>
      <c r="D1785" s="553">
        <v>12063</v>
      </c>
      <c r="E1785" s="551">
        <v>315</v>
      </c>
      <c r="F1785" s="551">
        <v>0</v>
      </c>
      <c r="G1785" s="551">
        <v>0</v>
      </c>
      <c r="H1785" s="551">
        <v>21</v>
      </c>
      <c r="I1785" s="551">
        <v>4</v>
      </c>
      <c r="J1785" s="551">
        <v>1</v>
      </c>
      <c r="K1785" s="527">
        <f t="shared" si="1053"/>
        <v>0.0261129072370057</v>
      </c>
      <c r="L1785" s="528">
        <f t="shared" si="1054"/>
        <v>1.5851746031746</v>
      </c>
      <c r="M1785" s="528">
        <f t="shared" si="1055"/>
        <v>41.3935173671558</v>
      </c>
      <c r="N1785" s="528">
        <f t="shared" si="1056"/>
        <v>0</v>
      </c>
      <c r="O1785" s="528">
        <f t="shared" si="1057"/>
        <v>0</v>
      </c>
      <c r="P1785" s="529">
        <f t="shared" si="1058"/>
        <v>19.9732</v>
      </c>
      <c r="Q1785" s="24">
        <f t="shared" si="1059"/>
        <v>25</v>
      </c>
      <c r="R1785" s="530">
        <f t="shared" si="1060"/>
        <v>0.0793650793650794</v>
      </c>
    </row>
    <row r="1786" spans="1:18">
      <c r="A1786" s="524"/>
      <c r="B1786" s="540" t="s">
        <v>99</v>
      </c>
      <c r="C1786" s="551">
        <v>649.63</v>
      </c>
      <c r="D1786" s="555">
        <v>4867</v>
      </c>
      <c r="E1786" s="551">
        <v>455</v>
      </c>
      <c r="F1786" s="551">
        <v>0</v>
      </c>
      <c r="G1786" s="551">
        <v>0</v>
      </c>
      <c r="H1786" s="555">
        <v>12</v>
      </c>
      <c r="I1786" s="555">
        <v>0</v>
      </c>
      <c r="J1786" s="555">
        <v>1</v>
      </c>
      <c r="K1786" s="527">
        <f t="shared" si="1053"/>
        <v>0.0934867474830491</v>
      </c>
      <c r="L1786" s="528">
        <f t="shared" si="1054"/>
        <v>1.42775824175824</v>
      </c>
      <c r="M1786" s="528">
        <f t="shared" si="1055"/>
        <v>133.476474214095</v>
      </c>
      <c r="N1786" s="528">
        <f t="shared" si="1056"/>
        <v>0</v>
      </c>
      <c r="O1786" s="528">
        <f t="shared" si="1057"/>
        <v>0</v>
      </c>
      <c r="P1786" s="529">
        <f t="shared" si="1058"/>
        <v>54.1358333333333</v>
      </c>
      <c r="Q1786" s="24">
        <f t="shared" si="1059"/>
        <v>12</v>
      </c>
      <c r="R1786" s="530">
        <f t="shared" si="1060"/>
        <v>0.0263736263736264</v>
      </c>
    </row>
    <row r="1787" spans="1:18">
      <c r="A1787" s="524"/>
      <c r="B1787" s="540" t="s">
        <v>100</v>
      </c>
      <c r="C1787" s="552">
        <v>842.79</v>
      </c>
      <c r="D1787" s="553">
        <v>28812</v>
      </c>
      <c r="E1787" s="553">
        <v>405</v>
      </c>
      <c r="F1787" s="551">
        <v>0</v>
      </c>
      <c r="G1787" s="551">
        <v>0</v>
      </c>
      <c r="H1787" s="551">
        <v>11</v>
      </c>
      <c r="I1787" s="551">
        <v>8</v>
      </c>
      <c r="J1787" s="551">
        <v>1</v>
      </c>
      <c r="K1787" s="527">
        <f t="shared" si="1053"/>
        <v>0.0140566430653894</v>
      </c>
      <c r="L1787" s="528">
        <f t="shared" si="1054"/>
        <v>2.08096296296296</v>
      </c>
      <c r="M1787" s="528">
        <f t="shared" si="1055"/>
        <v>29.2513536026656</v>
      </c>
      <c r="N1787" s="528">
        <f t="shared" si="1056"/>
        <v>0</v>
      </c>
      <c r="O1787" s="528">
        <f t="shared" si="1057"/>
        <v>0</v>
      </c>
      <c r="P1787" s="529">
        <f t="shared" si="1058"/>
        <v>44.3573684210526</v>
      </c>
      <c r="Q1787" s="24">
        <f t="shared" si="1059"/>
        <v>19</v>
      </c>
      <c r="R1787" s="530">
        <f t="shared" si="1060"/>
        <v>0.0469135802469136</v>
      </c>
    </row>
    <row r="1788" spans="1:18">
      <c r="A1788" s="524"/>
      <c r="B1788" s="540" t="s">
        <v>101</v>
      </c>
      <c r="C1788" s="551">
        <v>4988.45</v>
      </c>
      <c r="D1788" s="551">
        <v>272650</v>
      </c>
      <c r="E1788" s="551">
        <v>2673</v>
      </c>
      <c r="F1788" s="551">
        <v>9</v>
      </c>
      <c r="G1788" s="551">
        <v>98427</v>
      </c>
      <c r="H1788" s="551">
        <v>53</v>
      </c>
      <c r="I1788" s="551">
        <v>9</v>
      </c>
      <c r="J1788" s="551">
        <v>2</v>
      </c>
      <c r="K1788" s="527">
        <f t="shared" si="1053"/>
        <v>0.00980377773702549</v>
      </c>
      <c r="L1788" s="528">
        <f t="shared" si="1054"/>
        <v>1.86623643845866</v>
      </c>
      <c r="M1788" s="528">
        <f t="shared" si="1055"/>
        <v>18.2961672473868</v>
      </c>
      <c r="N1788" s="528">
        <f t="shared" si="1056"/>
        <v>19.7309785604747</v>
      </c>
      <c r="O1788" s="528">
        <f t="shared" si="1057"/>
        <v>0.00336700336700337</v>
      </c>
      <c r="P1788" s="529">
        <f t="shared" si="1058"/>
        <v>80.4588709677419</v>
      </c>
      <c r="Q1788" s="24">
        <f t="shared" si="1059"/>
        <v>62</v>
      </c>
      <c r="R1788" s="530">
        <f t="shared" si="1060"/>
        <v>0.023194912083801</v>
      </c>
    </row>
    <row r="1789" spans="1:18">
      <c r="A1789" s="524"/>
      <c r="B1789" s="531" t="s">
        <v>96</v>
      </c>
      <c r="C1789" s="533">
        <f t="shared" ref="C1789:J1789" si="1065">SUM(C1785:C1788)</f>
        <v>6980.2</v>
      </c>
      <c r="D1789" s="533">
        <f t="shared" si="1065"/>
        <v>318392</v>
      </c>
      <c r="E1789" s="533">
        <f t="shared" si="1065"/>
        <v>3848</v>
      </c>
      <c r="F1789" s="533">
        <f t="shared" si="1065"/>
        <v>9</v>
      </c>
      <c r="G1789" s="533">
        <f t="shared" si="1065"/>
        <v>98427</v>
      </c>
      <c r="H1789" s="533">
        <f t="shared" si="1065"/>
        <v>97</v>
      </c>
      <c r="I1789" s="533">
        <f t="shared" si="1065"/>
        <v>21</v>
      </c>
      <c r="J1789" s="533">
        <f t="shared" si="1065"/>
        <v>5</v>
      </c>
      <c r="K1789" s="534">
        <f t="shared" si="1053"/>
        <v>0.0120857307972562</v>
      </c>
      <c r="L1789" s="535">
        <f t="shared" si="1054"/>
        <v>1.81398128898129</v>
      </c>
      <c r="M1789" s="535">
        <f t="shared" si="1055"/>
        <v>21.9232895298877</v>
      </c>
      <c r="N1789" s="535">
        <f t="shared" si="1056"/>
        <v>14.100885361451</v>
      </c>
      <c r="O1789" s="535">
        <f t="shared" si="1057"/>
        <v>0.00233887733887734</v>
      </c>
      <c r="P1789" s="536">
        <f t="shared" si="1058"/>
        <v>59.1542372881356</v>
      </c>
      <c r="Q1789" s="531">
        <f t="shared" si="1059"/>
        <v>118</v>
      </c>
      <c r="R1789" s="537">
        <f t="shared" si="1060"/>
        <v>0.0306652806652807</v>
      </c>
    </row>
    <row r="1790" spans="1:18">
      <c r="A1790" s="524">
        <v>45808</v>
      </c>
      <c r="B1790" s="540" t="s">
        <v>98</v>
      </c>
      <c r="C1790" s="551">
        <v>499.66</v>
      </c>
      <c r="D1790" s="553">
        <v>13774</v>
      </c>
      <c r="E1790" s="551">
        <v>359</v>
      </c>
      <c r="F1790" s="551">
        <v>0</v>
      </c>
      <c r="G1790" s="551">
        <v>0</v>
      </c>
      <c r="H1790" s="551">
        <v>11</v>
      </c>
      <c r="I1790" s="551">
        <v>2</v>
      </c>
      <c r="J1790" s="551">
        <v>0</v>
      </c>
      <c r="K1790" s="527">
        <f t="shared" si="1053"/>
        <v>0.0260635980833454</v>
      </c>
      <c r="L1790" s="528">
        <f t="shared" si="1054"/>
        <v>1.39181058495822</v>
      </c>
      <c r="M1790" s="528">
        <f t="shared" si="1055"/>
        <v>36.2755916944969</v>
      </c>
      <c r="N1790" s="528">
        <f t="shared" si="1056"/>
        <v>0</v>
      </c>
      <c r="O1790" s="528">
        <f t="shared" si="1057"/>
        <v>0</v>
      </c>
      <c r="P1790" s="529">
        <f t="shared" si="1058"/>
        <v>38.4353846153846</v>
      </c>
      <c r="Q1790" s="24">
        <f t="shared" si="1059"/>
        <v>13</v>
      </c>
      <c r="R1790" s="530">
        <f t="shared" si="1060"/>
        <v>0.0362116991643454</v>
      </c>
    </row>
    <row r="1791" spans="1:18">
      <c r="A1791" s="524"/>
      <c r="B1791" s="540" t="s">
        <v>99</v>
      </c>
      <c r="C1791" s="551">
        <v>0</v>
      </c>
      <c r="D1791" s="555">
        <v>0</v>
      </c>
      <c r="E1791" s="551">
        <v>0</v>
      </c>
      <c r="F1791" s="551">
        <v>0</v>
      </c>
      <c r="G1791" s="551">
        <v>0</v>
      </c>
      <c r="H1791" s="555">
        <v>0</v>
      </c>
      <c r="I1791" s="555">
        <v>0</v>
      </c>
      <c r="J1791" s="555">
        <v>0</v>
      </c>
      <c r="K1791" s="527">
        <f t="shared" si="1053"/>
        <v>0</v>
      </c>
      <c r="L1791" s="528">
        <f t="shared" si="1054"/>
        <v>0</v>
      </c>
      <c r="M1791" s="528">
        <f t="shared" si="1055"/>
        <v>0</v>
      </c>
      <c r="N1791" s="528">
        <f t="shared" si="1056"/>
        <v>0</v>
      </c>
      <c r="O1791" s="528">
        <f t="shared" si="1057"/>
        <v>0</v>
      </c>
      <c r="P1791" s="529">
        <f t="shared" si="1058"/>
        <v>0</v>
      </c>
      <c r="Q1791" s="24">
        <f t="shared" si="1059"/>
        <v>0</v>
      </c>
      <c r="R1791" s="530">
        <f t="shared" si="1060"/>
        <v>0</v>
      </c>
    </row>
    <row r="1792" spans="1:18">
      <c r="A1792" s="524"/>
      <c r="B1792" s="540" t="s">
        <v>100</v>
      </c>
      <c r="C1792" s="552">
        <v>653.89</v>
      </c>
      <c r="D1792" s="553">
        <v>27129</v>
      </c>
      <c r="E1792" s="553">
        <v>425</v>
      </c>
      <c r="F1792" s="551">
        <v>0</v>
      </c>
      <c r="G1792" s="551">
        <v>0</v>
      </c>
      <c r="H1792" s="551">
        <v>27</v>
      </c>
      <c r="I1792" s="551">
        <v>8</v>
      </c>
      <c r="J1792" s="551">
        <v>3</v>
      </c>
      <c r="K1792" s="527">
        <f t="shared" si="1053"/>
        <v>0.0156658925872682</v>
      </c>
      <c r="L1792" s="528">
        <f t="shared" si="1054"/>
        <v>1.53856470588235</v>
      </c>
      <c r="M1792" s="528">
        <f t="shared" si="1055"/>
        <v>24.1029894209149</v>
      </c>
      <c r="N1792" s="528">
        <f t="shared" si="1056"/>
        <v>0</v>
      </c>
      <c r="O1792" s="528">
        <f t="shared" si="1057"/>
        <v>0</v>
      </c>
      <c r="P1792" s="529">
        <f t="shared" si="1058"/>
        <v>18.6825714285714</v>
      </c>
      <c r="Q1792" s="24">
        <f t="shared" si="1059"/>
        <v>35</v>
      </c>
      <c r="R1792" s="530">
        <f t="shared" si="1060"/>
        <v>0.0823529411764706</v>
      </c>
    </row>
    <row r="1793" spans="1:18">
      <c r="A1793" s="524"/>
      <c r="B1793" s="540" t="s">
        <v>101</v>
      </c>
      <c r="C1793" s="551">
        <v>1190.2</v>
      </c>
      <c r="D1793" s="551">
        <v>30792</v>
      </c>
      <c r="E1793" s="551">
        <v>590</v>
      </c>
      <c r="F1793" s="551">
        <v>4</v>
      </c>
      <c r="G1793" s="551">
        <v>45646</v>
      </c>
      <c r="H1793" s="551">
        <v>23</v>
      </c>
      <c r="I1793" s="551">
        <v>5</v>
      </c>
      <c r="J1793" s="551">
        <v>3</v>
      </c>
      <c r="K1793" s="527">
        <f t="shared" si="1053"/>
        <v>0.0191608209924656</v>
      </c>
      <c r="L1793" s="528">
        <f t="shared" si="1054"/>
        <v>2.01728813559322</v>
      </c>
      <c r="M1793" s="528">
        <f t="shared" si="1055"/>
        <v>38.6528968563263</v>
      </c>
      <c r="N1793" s="528">
        <f t="shared" si="1056"/>
        <v>38.3515375567132</v>
      </c>
      <c r="O1793" s="528">
        <f t="shared" si="1057"/>
        <v>0.00677966101694915</v>
      </c>
      <c r="P1793" s="529">
        <f t="shared" si="1058"/>
        <v>42.5071428571429</v>
      </c>
      <c r="Q1793" s="24">
        <f t="shared" si="1059"/>
        <v>28</v>
      </c>
      <c r="R1793" s="530">
        <f t="shared" si="1060"/>
        <v>0.0474576271186441</v>
      </c>
    </row>
    <row r="1794" spans="1:18">
      <c r="A1794" s="524"/>
      <c r="B1794" s="531" t="s">
        <v>96</v>
      </c>
      <c r="C1794" s="533">
        <f t="shared" ref="C1794:J1794" si="1066">SUM(C1790:C1793)</f>
        <v>2343.75</v>
      </c>
      <c r="D1794" s="533">
        <f t="shared" si="1066"/>
        <v>71695</v>
      </c>
      <c r="E1794" s="533">
        <f t="shared" si="1066"/>
        <v>1374</v>
      </c>
      <c r="F1794" s="533">
        <f t="shared" si="1066"/>
        <v>4</v>
      </c>
      <c r="G1794" s="533">
        <f t="shared" si="1066"/>
        <v>45646</v>
      </c>
      <c r="H1794" s="533">
        <f t="shared" si="1066"/>
        <v>61</v>
      </c>
      <c r="I1794" s="533">
        <f t="shared" si="1066"/>
        <v>15</v>
      </c>
      <c r="J1794" s="533">
        <f t="shared" si="1066"/>
        <v>6</v>
      </c>
      <c r="K1794" s="534">
        <f t="shared" si="1053"/>
        <v>0.0191645163539996</v>
      </c>
      <c r="L1794" s="535">
        <f t="shared" si="1054"/>
        <v>1.70578602620087</v>
      </c>
      <c r="M1794" s="535">
        <f t="shared" si="1055"/>
        <v>32.6905641955506</v>
      </c>
      <c r="N1794" s="535">
        <f t="shared" si="1056"/>
        <v>19.4756266666667</v>
      </c>
      <c r="O1794" s="535">
        <f t="shared" si="1057"/>
        <v>0.00291120815138282</v>
      </c>
      <c r="P1794" s="536">
        <f t="shared" si="1058"/>
        <v>30.8388157894737</v>
      </c>
      <c r="Q1794" s="531">
        <f t="shared" si="1059"/>
        <v>76</v>
      </c>
      <c r="R1794" s="537">
        <f t="shared" si="1060"/>
        <v>0.0553129548762737</v>
      </c>
    </row>
    <row r="1795" spans="1:18">
      <c r="A1795" s="524">
        <v>45809</v>
      </c>
      <c r="B1795" s="540" t="s">
        <v>98</v>
      </c>
      <c r="C1795" s="551">
        <v>499.08</v>
      </c>
      <c r="D1795" s="553">
        <v>15326</v>
      </c>
      <c r="E1795" s="551">
        <v>383</v>
      </c>
      <c r="F1795" s="551">
        <v>1</v>
      </c>
      <c r="G1795" s="551">
        <v>5976</v>
      </c>
      <c r="H1795" s="551">
        <v>17</v>
      </c>
      <c r="I1795" s="551">
        <v>2</v>
      </c>
      <c r="J1795" s="551">
        <v>1</v>
      </c>
      <c r="K1795" s="527">
        <f t="shared" si="1053"/>
        <v>0.0249902127104267</v>
      </c>
      <c r="L1795" s="528">
        <f t="shared" si="1054"/>
        <v>1.30308093994778</v>
      </c>
      <c r="M1795" s="528">
        <f t="shared" si="1055"/>
        <v>32.5642698681978</v>
      </c>
      <c r="N1795" s="528">
        <f t="shared" si="1056"/>
        <v>11.9740322192835</v>
      </c>
      <c r="O1795" s="528">
        <f t="shared" si="1057"/>
        <v>0.00261096605744125</v>
      </c>
      <c r="P1795" s="529">
        <f t="shared" si="1058"/>
        <v>26.2673684210526</v>
      </c>
      <c r="Q1795" s="24">
        <f t="shared" si="1059"/>
        <v>19</v>
      </c>
      <c r="R1795" s="530">
        <f t="shared" si="1060"/>
        <v>0.0496083550913838</v>
      </c>
    </row>
    <row r="1796" spans="1:18">
      <c r="A1796" s="524"/>
      <c r="B1796" s="540" t="s">
        <v>99</v>
      </c>
      <c r="C1796" s="551">
        <v>0</v>
      </c>
      <c r="D1796" s="555">
        <v>0</v>
      </c>
      <c r="E1796" s="551">
        <v>0</v>
      </c>
      <c r="F1796" s="551">
        <v>0</v>
      </c>
      <c r="G1796" s="551">
        <v>0</v>
      </c>
      <c r="H1796" s="555">
        <v>0</v>
      </c>
      <c r="I1796" s="555">
        <v>0</v>
      </c>
      <c r="J1796" s="555">
        <v>0</v>
      </c>
      <c r="K1796" s="527">
        <f t="shared" si="1053"/>
        <v>0</v>
      </c>
      <c r="L1796" s="528">
        <f t="shared" si="1054"/>
        <v>0</v>
      </c>
      <c r="M1796" s="528">
        <f t="shared" si="1055"/>
        <v>0</v>
      </c>
      <c r="N1796" s="528">
        <f t="shared" si="1056"/>
        <v>0</v>
      </c>
      <c r="O1796" s="528">
        <f t="shared" si="1057"/>
        <v>0</v>
      </c>
      <c r="P1796" s="529">
        <f t="shared" si="1058"/>
        <v>0</v>
      </c>
      <c r="Q1796" s="24">
        <f t="shared" si="1059"/>
        <v>0</v>
      </c>
      <c r="R1796" s="530">
        <f t="shared" si="1060"/>
        <v>0</v>
      </c>
    </row>
    <row r="1797" spans="1:18">
      <c r="A1797" s="524"/>
      <c r="B1797" s="540" t="s">
        <v>100</v>
      </c>
      <c r="C1797" s="552">
        <v>867.24</v>
      </c>
      <c r="D1797" s="553">
        <v>22793</v>
      </c>
      <c r="E1797" s="553">
        <v>436</v>
      </c>
      <c r="F1797" s="551">
        <v>1</v>
      </c>
      <c r="G1797" s="551">
        <v>11097</v>
      </c>
      <c r="H1797" s="551">
        <v>14</v>
      </c>
      <c r="I1797" s="551">
        <v>9</v>
      </c>
      <c r="J1797" s="551">
        <v>2</v>
      </c>
      <c r="K1797" s="527">
        <f t="shared" si="1053"/>
        <v>0.0191286798578511</v>
      </c>
      <c r="L1797" s="528">
        <f t="shared" si="1054"/>
        <v>1.98908256880734</v>
      </c>
      <c r="M1797" s="528">
        <f t="shared" si="1055"/>
        <v>38.0485236695477</v>
      </c>
      <c r="N1797" s="528">
        <f t="shared" si="1056"/>
        <v>12.7957658779577</v>
      </c>
      <c r="O1797" s="528">
        <f t="shared" si="1057"/>
        <v>0.00229357798165138</v>
      </c>
      <c r="P1797" s="529">
        <f t="shared" si="1058"/>
        <v>37.7060869565217</v>
      </c>
      <c r="Q1797" s="24">
        <f t="shared" si="1059"/>
        <v>23</v>
      </c>
      <c r="R1797" s="530">
        <f t="shared" si="1060"/>
        <v>0.0527522935779817</v>
      </c>
    </row>
    <row r="1798" spans="1:18">
      <c r="A1798" s="524"/>
      <c r="B1798" s="540" t="s">
        <v>101</v>
      </c>
      <c r="C1798" s="551">
        <v>1676.54</v>
      </c>
      <c r="D1798" s="551">
        <v>36400</v>
      </c>
      <c r="E1798" s="551">
        <v>976</v>
      </c>
      <c r="F1798" s="551">
        <v>12</v>
      </c>
      <c r="G1798" s="551">
        <v>129297</v>
      </c>
      <c r="H1798" s="551">
        <v>33</v>
      </c>
      <c r="I1798" s="551">
        <v>3</v>
      </c>
      <c r="J1798" s="551">
        <v>3</v>
      </c>
      <c r="K1798" s="527">
        <f t="shared" si="1053"/>
        <v>0.0268131868131868</v>
      </c>
      <c r="L1798" s="528">
        <f t="shared" si="1054"/>
        <v>1.71776639344262</v>
      </c>
      <c r="M1798" s="528">
        <f t="shared" si="1055"/>
        <v>46.0587912087912</v>
      </c>
      <c r="N1798" s="528">
        <f t="shared" si="1056"/>
        <v>77.1213332219929</v>
      </c>
      <c r="O1798" s="528">
        <f t="shared" si="1057"/>
        <v>0.0122950819672131</v>
      </c>
      <c r="P1798" s="529">
        <f t="shared" si="1058"/>
        <v>46.5705555555556</v>
      </c>
      <c r="Q1798" s="24">
        <f t="shared" si="1059"/>
        <v>36</v>
      </c>
      <c r="R1798" s="530">
        <f t="shared" si="1060"/>
        <v>0.0368852459016393</v>
      </c>
    </row>
    <row r="1799" spans="1:18">
      <c r="A1799" s="524"/>
      <c r="B1799" s="531" t="s">
        <v>96</v>
      </c>
      <c r="C1799" s="533">
        <f t="shared" ref="C1799:J1799" si="1067">SUM(C1795:C1798)</f>
        <v>3042.86</v>
      </c>
      <c r="D1799" s="533">
        <f t="shared" si="1067"/>
        <v>74519</v>
      </c>
      <c r="E1799" s="533">
        <f t="shared" si="1067"/>
        <v>1795</v>
      </c>
      <c r="F1799" s="533">
        <f t="shared" si="1067"/>
        <v>14</v>
      </c>
      <c r="G1799" s="533">
        <f t="shared" si="1067"/>
        <v>146370</v>
      </c>
      <c r="H1799" s="533">
        <f t="shared" si="1067"/>
        <v>64</v>
      </c>
      <c r="I1799" s="533">
        <f t="shared" si="1067"/>
        <v>14</v>
      </c>
      <c r="J1799" s="533">
        <f t="shared" si="1067"/>
        <v>6</v>
      </c>
      <c r="K1799" s="534">
        <f t="shared" si="1053"/>
        <v>0.0240878165300125</v>
      </c>
      <c r="L1799" s="535">
        <f t="shared" si="1054"/>
        <v>1.69518662952646</v>
      </c>
      <c r="M1799" s="535">
        <f t="shared" si="1055"/>
        <v>40.8333445161637</v>
      </c>
      <c r="N1799" s="535">
        <f t="shared" si="1056"/>
        <v>48.1027717344866</v>
      </c>
      <c r="O1799" s="535">
        <f t="shared" si="1057"/>
        <v>0.00779944289693593</v>
      </c>
      <c r="P1799" s="536">
        <f t="shared" si="1058"/>
        <v>39.0110256410256</v>
      </c>
      <c r="Q1799" s="531">
        <f t="shared" si="1059"/>
        <v>78</v>
      </c>
      <c r="R1799" s="537">
        <f t="shared" si="1060"/>
        <v>0.0434540389972145</v>
      </c>
    </row>
    <row r="1800" spans="1:18">
      <c r="A1800" s="524">
        <v>45810</v>
      </c>
      <c r="B1800" s="540" t="s">
        <v>98</v>
      </c>
      <c r="C1800" s="551">
        <v>190.08</v>
      </c>
      <c r="D1800" s="553">
        <v>3098</v>
      </c>
      <c r="E1800" s="551">
        <v>92</v>
      </c>
      <c r="F1800" s="551">
        <v>0</v>
      </c>
      <c r="G1800" s="551">
        <v>0</v>
      </c>
      <c r="H1800" s="551">
        <v>7</v>
      </c>
      <c r="I1800" s="551">
        <v>2</v>
      </c>
      <c r="J1800" s="551">
        <v>0</v>
      </c>
      <c r="K1800" s="527">
        <f t="shared" si="1053"/>
        <v>0.0296965784377017</v>
      </c>
      <c r="L1800" s="528">
        <f t="shared" si="1054"/>
        <v>2.06608695652174</v>
      </c>
      <c r="M1800" s="528">
        <f t="shared" si="1055"/>
        <v>61.3557133634603</v>
      </c>
      <c r="N1800" s="528">
        <f t="shared" si="1056"/>
        <v>0</v>
      </c>
      <c r="O1800" s="528">
        <f t="shared" si="1057"/>
        <v>0</v>
      </c>
      <c r="P1800" s="529">
        <f t="shared" si="1058"/>
        <v>21.12</v>
      </c>
      <c r="Q1800" s="24">
        <f t="shared" si="1059"/>
        <v>9</v>
      </c>
      <c r="R1800" s="530">
        <f t="shared" si="1060"/>
        <v>0.0978260869565217</v>
      </c>
    </row>
    <row r="1801" spans="1:18">
      <c r="A1801" s="524"/>
      <c r="B1801" s="540" t="s">
        <v>99</v>
      </c>
      <c r="C1801" s="551">
        <v>0</v>
      </c>
      <c r="D1801" s="555">
        <v>0</v>
      </c>
      <c r="E1801" s="551">
        <v>0</v>
      </c>
      <c r="F1801" s="551">
        <v>0</v>
      </c>
      <c r="G1801" s="551">
        <v>0</v>
      </c>
      <c r="H1801" s="555">
        <v>0</v>
      </c>
      <c r="I1801" s="555">
        <v>0</v>
      </c>
      <c r="J1801" s="555">
        <v>0</v>
      </c>
      <c r="K1801" s="527">
        <f t="shared" si="1053"/>
        <v>0</v>
      </c>
      <c r="L1801" s="528">
        <f t="shared" si="1054"/>
        <v>0</v>
      </c>
      <c r="M1801" s="528">
        <f t="shared" si="1055"/>
        <v>0</v>
      </c>
      <c r="N1801" s="528">
        <f t="shared" si="1056"/>
        <v>0</v>
      </c>
      <c r="O1801" s="528">
        <f t="shared" si="1057"/>
        <v>0</v>
      </c>
      <c r="P1801" s="529">
        <f t="shared" si="1058"/>
        <v>0</v>
      </c>
      <c r="Q1801" s="24">
        <f t="shared" si="1059"/>
        <v>0</v>
      </c>
      <c r="R1801" s="530">
        <f t="shared" si="1060"/>
        <v>0</v>
      </c>
    </row>
    <row r="1802" spans="1:18">
      <c r="A1802" s="524"/>
      <c r="B1802" s="540" t="s">
        <v>100</v>
      </c>
      <c r="C1802" s="552">
        <v>290.55</v>
      </c>
      <c r="D1802" s="553">
        <v>7039</v>
      </c>
      <c r="E1802" s="553">
        <v>131</v>
      </c>
      <c r="F1802" s="551">
        <v>0</v>
      </c>
      <c r="G1802" s="551">
        <v>0</v>
      </c>
      <c r="H1802" s="551">
        <v>14</v>
      </c>
      <c r="I1802" s="551">
        <v>2</v>
      </c>
      <c r="J1802" s="551">
        <v>1</v>
      </c>
      <c r="K1802" s="527">
        <f t="shared" si="1053"/>
        <v>0.0186105980963205</v>
      </c>
      <c r="L1802" s="528">
        <f t="shared" si="1054"/>
        <v>2.21793893129771</v>
      </c>
      <c r="M1802" s="528">
        <f t="shared" si="1055"/>
        <v>41.2771700525643</v>
      </c>
      <c r="N1802" s="528">
        <f t="shared" si="1056"/>
        <v>0</v>
      </c>
      <c r="O1802" s="528">
        <f t="shared" si="1057"/>
        <v>0</v>
      </c>
      <c r="P1802" s="529">
        <f t="shared" si="1058"/>
        <v>18.159375</v>
      </c>
      <c r="Q1802" s="24">
        <f t="shared" si="1059"/>
        <v>16</v>
      </c>
      <c r="R1802" s="530">
        <f t="shared" si="1060"/>
        <v>0.122137404580153</v>
      </c>
    </row>
    <row r="1803" spans="1:18">
      <c r="A1803" s="524"/>
      <c r="B1803" s="540" t="s">
        <v>101</v>
      </c>
      <c r="C1803" s="551">
        <v>381.51</v>
      </c>
      <c r="D1803" s="551">
        <v>11979</v>
      </c>
      <c r="E1803" s="551">
        <v>227</v>
      </c>
      <c r="F1803" s="551">
        <v>0</v>
      </c>
      <c r="G1803" s="551">
        <v>0</v>
      </c>
      <c r="H1803" s="551">
        <v>7</v>
      </c>
      <c r="I1803" s="551">
        <v>2</v>
      </c>
      <c r="J1803" s="551">
        <v>0</v>
      </c>
      <c r="K1803" s="527">
        <f t="shared" si="1053"/>
        <v>0.0189498288671842</v>
      </c>
      <c r="L1803" s="528">
        <f t="shared" si="1054"/>
        <v>1.68066079295154</v>
      </c>
      <c r="M1803" s="528">
        <f t="shared" si="1055"/>
        <v>31.8482344102179</v>
      </c>
      <c r="N1803" s="528">
        <f t="shared" si="1056"/>
        <v>0</v>
      </c>
      <c r="O1803" s="528">
        <f t="shared" si="1057"/>
        <v>0</v>
      </c>
      <c r="P1803" s="529">
        <f t="shared" si="1058"/>
        <v>42.39</v>
      </c>
      <c r="Q1803" s="24">
        <f t="shared" si="1059"/>
        <v>9</v>
      </c>
      <c r="R1803" s="530">
        <f t="shared" si="1060"/>
        <v>0.039647577092511</v>
      </c>
    </row>
    <row r="1804" spans="1:18">
      <c r="A1804" s="524"/>
      <c r="B1804" s="531" t="s">
        <v>96</v>
      </c>
      <c r="C1804" s="533">
        <f t="shared" ref="C1804:J1804" si="1068">SUM(C1800:C1803)</f>
        <v>862.14</v>
      </c>
      <c r="D1804" s="533">
        <f t="shared" si="1068"/>
        <v>22116</v>
      </c>
      <c r="E1804" s="533">
        <f t="shared" si="1068"/>
        <v>450</v>
      </c>
      <c r="F1804" s="533">
        <f t="shared" si="1068"/>
        <v>0</v>
      </c>
      <c r="G1804" s="533">
        <f t="shared" si="1068"/>
        <v>0</v>
      </c>
      <c r="H1804" s="533">
        <f t="shared" si="1068"/>
        <v>28</v>
      </c>
      <c r="I1804" s="533">
        <f t="shared" si="1068"/>
        <v>6</v>
      </c>
      <c r="J1804" s="533">
        <f t="shared" si="1068"/>
        <v>1</v>
      </c>
      <c r="K1804" s="534">
        <f t="shared" si="1053"/>
        <v>0.0203472599023332</v>
      </c>
      <c r="L1804" s="535">
        <f t="shared" si="1054"/>
        <v>1.91586666666667</v>
      </c>
      <c r="M1804" s="535">
        <f t="shared" si="1055"/>
        <v>38.9826370048833</v>
      </c>
      <c r="N1804" s="535">
        <f t="shared" si="1056"/>
        <v>0</v>
      </c>
      <c r="O1804" s="535">
        <f t="shared" si="1057"/>
        <v>0</v>
      </c>
      <c r="P1804" s="536">
        <f t="shared" si="1058"/>
        <v>25.3570588235294</v>
      </c>
      <c r="Q1804" s="531">
        <f t="shared" si="1059"/>
        <v>34</v>
      </c>
      <c r="R1804" s="537">
        <f t="shared" si="1060"/>
        <v>0.0755555555555556</v>
      </c>
    </row>
    <row r="1805" spans="1:18">
      <c r="A1805" s="524">
        <v>45811</v>
      </c>
      <c r="B1805" s="540" t="s">
        <v>98</v>
      </c>
      <c r="C1805" s="551">
        <v>499.87</v>
      </c>
      <c r="D1805" s="553">
        <v>11019</v>
      </c>
      <c r="E1805" s="551">
        <v>306</v>
      </c>
      <c r="F1805" s="551">
        <v>2</v>
      </c>
      <c r="G1805" s="551">
        <v>19510</v>
      </c>
      <c r="H1805" s="551">
        <v>14</v>
      </c>
      <c r="I1805" s="551">
        <v>2</v>
      </c>
      <c r="J1805" s="551">
        <v>0</v>
      </c>
      <c r="K1805" s="527">
        <f t="shared" si="1053"/>
        <v>0.0277702150830384</v>
      </c>
      <c r="L1805" s="528">
        <f t="shared" si="1054"/>
        <v>1.63356209150327</v>
      </c>
      <c r="M1805" s="528">
        <f t="shared" si="1055"/>
        <v>45.3643706325438</v>
      </c>
      <c r="N1805" s="528">
        <f t="shared" si="1056"/>
        <v>39.030147838438</v>
      </c>
      <c r="O1805" s="528">
        <f t="shared" si="1057"/>
        <v>0.0065359477124183</v>
      </c>
      <c r="P1805" s="529">
        <f t="shared" si="1058"/>
        <v>31.241875</v>
      </c>
      <c r="Q1805" s="24">
        <f t="shared" si="1059"/>
        <v>16</v>
      </c>
      <c r="R1805" s="530">
        <f t="shared" si="1060"/>
        <v>0.0522875816993464</v>
      </c>
    </row>
    <row r="1806" spans="1:18">
      <c r="A1806" s="524"/>
      <c r="B1806" s="540" t="s">
        <v>99</v>
      </c>
      <c r="C1806" s="551">
        <v>600</v>
      </c>
      <c r="D1806" s="555">
        <v>5518</v>
      </c>
      <c r="E1806" s="551">
        <v>916</v>
      </c>
      <c r="F1806" s="551">
        <v>0</v>
      </c>
      <c r="G1806" s="551">
        <v>0</v>
      </c>
      <c r="H1806" s="555">
        <v>8</v>
      </c>
      <c r="I1806" s="555">
        <v>0</v>
      </c>
      <c r="J1806" s="555">
        <v>5</v>
      </c>
      <c r="K1806" s="527">
        <f t="shared" si="1053"/>
        <v>0.166002174700979</v>
      </c>
      <c r="L1806" s="528">
        <f t="shared" si="1054"/>
        <v>0.655021834061135</v>
      </c>
      <c r="M1806" s="528">
        <f t="shared" si="1055"/>
        <v>108.735048930772</v>
      </c>
      <c r="N1806" s="528">
        <f t="shared" si="1056"/>
        <v>0</v>
      </c>
      <c r="O1806" s="528">
        <f t="shared" si="1057"/>
        <v>0</v>
      </c>
      <c r="P1806" s="529">
        <f t="shared" si="1058"/>
        <v>75</v>
      </c>
      <c r="Q1806" s="24">
        <f t="shared" si="1059"/>
        <v>8</v>
      </c>
      <c r="R1806" s="530">
        <f t="shared" si="1060"/>
        <v>0.00873362445414847</v>
      </c>
    </row>
    <row r="1807" spans="1:18">
      <c r="A1807" s="524"/>
      <c r="B1807" s="540" t="s">
        <v>100</v>
      </c>
      <c r="C1807" s="552">
        <v>888.79</v>
      </c>
      <c r="D1807" s="553">
        <v>36910</v>
      </c>
      <c r="E1807" s="553">
        <v>573</v>
      </c>
      <c r="F1807" s="551">
        <v>0</v>
      </c>
      <c r="G1807" s="551">
        <v>0</v>
      </c>
      <c r="H1807" s="551">
        <v>14</v>
      </c>
      <c r="I1807" s="551">
        <v>9</v>
      </c>
      <c r="J1807" s="551">
        <v>0</v>
      </c>
      <c r="K1807" s="527">
        <f t="shared" si="1053"/>
        <v>0.0155242481712273</v>
      </c>
      <c r="L1807" s="528">
        <f t="shared" si="1054"/>
        <v>1.55111692844677</v>
      </c>
      <c r="M1807" s="528">
        <f t="shared" si="1055"/>
        <v>24.0799241397995</v>
      </c>
      <c r="N1807" s="528">
        <f t="shared" si="1056"/>
        <v>0</v>
      </c>
      <c r="O1807" s="528">
        <f t="shared" si="1057"/>
        <v>0</v>
      </c>
      <c r="P1807" s="529">
        <f t="shared" si="1058"/>
        <v>38.6430434782609</v>
      </c>
      <c r="Q1807" s="24">
        <f t="shared" si="1059"/>
        <v>23</v>
      </c>
      <c r="R1807" s="530">
        <f t="shared" si="1060"/>
        <v>0.0401396160558464</v>
      </c>
    </row>
    <row r="1808" spans="1:18">
      <c r="A1808" s="524"/>
      <c r="B1808" s="540" t="s">
        <v>101</v>
      </c>
      <c r="C1808" s="552">
        <v>1329.96</v>
      </c>
      <c r="D1808" s="551">
        <v>39888</v>
      </c>
      <c r="E1808" s="551">
        <v>1000</v>
      </c>
      <c r="F1808" s="551">
        <v>12</v>
      </c>
      <c r="G1808" s="551">
        <v>150684</v>
      </c>
      <c r="H1808" s="551">
        <v>41</v>
      </c>
      <c r="I1808" s="551">
        <v>5</v>
      </c>
      <c r="J1808" s="551">
        <v>1</v>
      </c>
      <c r="K1808" s="527">
        <f t="shared" si="1053"/>
        <v>0.025070196550341</v>
      </c>
      <c r="L1808" s="528">
        <f t="shared" si="1054"/>
        <v>1.32996</v>
      </c>
      <c r="M1808" s="528">
        <f t="shared" si="1055"/>
        <v>33.3423586040915</v>
      </c>
      <c r="N1808" s="528">
        <f t="shared" si="1056"/>
        <v>113.299648109718</v>
      </c>
      <c r="O1808" s="528">
        <f t="shared" si="1057"/>
        <v>0.012</v>
      </c>
      <c r="P1808" s="529">
        <f t="shared" si="1058"/>
        <v>28.9121739130435</v>
      </c>
      <c r="Q1808" s="24">
        <f t="shared" si="1059"/>
        <v>46</v>
      </c>
      <c r="R1808" s="530">
        <f t="shared" si="1060"/>
        <v>0.046</v>
      </c>
    </row>
    <row r="1809" spans="1:18">
      <c r="A1809" s="524"/>
      <c r="B1809" s="531" t="s">
        <v>96</v>
      </c>
      <c r="C1809" s="533">
        <f t="shared" ref="C1809:J1809" si="1069">SUM(C1805:C1808)</f>
        <v>3318.62</v>
      </c>
      <c r="D1809" s="533">
        <f t="shared" si="1069"/>
        <v>93335</v>
      </c>
      <c r="E1809" s="533">
        <f t="shared" si="1069"/>
        <v>2795</v>
      </c>
      <c r="F1809" s="533">
        <f t="shared" si="1069"/>
        <v>14</v>
      </c>
      <c r="G1809" s="533">
        <f t="shared" si="1069"/>
        <v>170194</v>
      </c>
      <c r="H1809" s="533">
        <f t="shared" si="1069"/>
        <v>77</v>
      </c>
      <c r="I1809" s="533">
        <f t="shared" si="1069"/>
        <v>16</v>
      </c>
      <c r="J1809" s="533">
        <f t="shared" si="1069"/>
        <v>6</v>
      </c>
      <c r="K1809" s="534">
        <f t="shared" si="1053"/>
        <v>0.0299458938233246</v>
      </c>
      <c r="L1809" s="535">
        <f t="shared" si="1054"/>
        <v>1.18734168157424</v>
      </c>
      <c r="M1809" s="535">
        <f t="shared" si="1055"/>
        <v>35.5560079284298</v>
      </c>
      <c r="N1809" s="535">
        <f t="shared" si="1056"/>
        <v>51.2845700923878</v>
      </c>
      <c r="O1809" s="535">
        <f t="shared" si="1057"/>
        <v>0.00500894454382826</v>
      </c>
      <c r="P1809" s="536">
        <f t="shared" si="1058"/>
        <v>35.6840860215054</v>
      </c>
      <c r="Q1809" s="531">
        <f t="shared" si="1059"/>
        <v>93</v>
      </c>
      <c r="R1809" s="537">
        <f t="shared" si="1060"/>
        <v>0.0332737030411449</v>
      </c>
    </row>
    <row r="1810" spans="1:18">
      <c r="A1810" s="524">
        <v>45812</v>
      </c>
      <c r="B1810" s="540" t="s">
        <v>98</v>
      </c>
      <c r="C1810" s="551">
        <v>499.62</v>
      </c>
      <c r="D1810" s="553">
        <v>13229</v>
      </c>
      <c r="E1810" s="551">
        <v>357</v>
      </c>
      <c r="F1810" s="551">
        <v>4</v>
      </c>
      <c r="G1810" s="551">
        <v>23904</v>
      </c>
      <c r="H1810" s="551">
        <v>20</v>
      </c>
      <c r="I1810" s="551">
        <v>6</v>
      </c>
      <c r="J1810" s="551">
        <v>0</v>
      </c>
      <c r="K1810" s="527">
        <f t="shared" si="1053"/>
        <v>0.0269861667548568</v>
      </c>
      <c r="L1810" s="528">
        <f t="shared" si="1054"/>
        <v>1.39949579831933</v>
      </c>
      <c r="M1810" s="528">
        <f t="shared" si="1055"/>
        <v>37.7670269861668</v>
      </c>
      <c r="N1810" s="528">
        <f t="shared" si="1056"/>
        <v>47.8443617149033</v>
      </c>
      <c r="O1810" s="528">
        <f t="shared" si="1057"/>
        <v>0.0112044817927171</v>
      </c>
      <c r="P1810" s="529">
        <f t="shared" si="1058"/>
        <v>19.2161538461538</v>
      </c>
      <c r="Q1810" s="24">
        <f t="shared" si="1059"/>
        <v>26</v>
      </c>
      <c r="R1810" s="530">
        <f t="shared" si="1060"/>
        <v>0.0728291316526611</v>
      </c>
    </row>
    <row r="1811" spans="1:18">
      <c r="A1811" s="524"/>
      <c r="B1811" s="540" t="s">
        <v>99</v>
      </c>
      <c r="C1811" s="551">
        <v>591.13</v>
      </c>
      <c r="D1811" s="555">
        <v>4858</v>
      </c>
      <c r="E1811" s="551">
        <v>877</v>
      </c>
      <c r="F1811" s="551">
        <v>0</v>
      </c>
      <c r="G1811" s="551">
        <v>0</v>
      </c>
      <c r="H1811" s="555">
        <v>13</v>
      </c>
      <c r="I1811" s="555">
        <v>3</v>
      </c>
      <c r="J1811" s="555">
        <v>1</v>
      </c>
      <c r="K1811" s="527">
        <f t="shared" si="1053"/>
        <v>0.180526965829559</v>
      </c>
      <c r="L1811" s="528">
        <f t="shared" si="1054"/>
        <v>0.674036488027366</v>
      </c>
      <c r="M1811" s="528">
        <f t="shared" si="1055"/>
        <v>121.681762041993</v>
      </c>
      <c r="N1811" s="528">
        <f t="shared" si="1056"/>
        <v>0</v>
      </c>
      <c r="O1811" s="528">
        <f t="shared" si="1057"/>
        <v>0</v>
      </c>
      <c r="P1811" s="529">
        <f t="shared" si="1058"/>
        <v>36.945625</v>
      </c>
      <c r="Q1811" s="24">
        <f t="shared" si="1059"/>
        <v>16</v>
      </c>
      <c r="R1811" s="530">
        <f t="shared" si="1060"/>
        <v>0.0182440136830103</v>
      </c>
    </row>
    <row r="1812" spans="1:18">
      <c r="A1812" s="524"/>
      <c r="B1812" s="540" t="s">
        <v>100</v>
      </c>
      <c r="C1812" s="552">
        <v>868.63</v>
      </c>
      <c r="D1812" s="553">
        <v>42221</v>
      </c>
      <c r="E1812" s="553">
        <v>643</v>
      </c>
      <c r="F1812" s="551">
        <v>2</v>
      </c>
      <c r="G1812" s="551">
        <v>30068</v>
      </c>
      <c r="H1812" s="551">
        <v>23</v>
      </c>
      <c r="I1812" s="551">
        <v>14</v>
      </c>
      <c r="J1812" s="551">
        <v>0</v>
      </c>
      <c r="K1812" s="527">
        <f t="shared" si="1053"/>
        <v>0.0152293882191327</v>
      </c>
      <c r="L1812" s="528">
        <f t="shared" si="1054"/>
        <v>1.35090202177294</v>
      </c>
      <c r="M1812" s="528">
        <f t="shared" si="1055"/>
        <v>20.5734113355913</v>
      </c>
      <c r="N1812" s="528">
        <f t="shared" si="1056"/>
        <v>34.6154288937753</v>
      </c>
      <c r="O1812" s="528">
        <f t="shared" si="1057"/>
        <v>0.0031104199066874</v>
      </c>
      <c r="P1812" s="529">
        <f t="shared" si="1058"/>
        <v>23.4764864864865</v>
      </c>
      <c r="Q1812" s="24">
        <f t="shared" si="1059"/>
        <v>37</v>
      </c>
      <c r="R1812" s="530">
        <f t="shared" si="1060"/>
        <v>0.057542768273717</v>
      </c>
    </row>
    <row r="1813" spans="1:18">
      <c r="A1813" s="524"/>
      <c r="B1813" s="540" t="s">
        <v>101</v>
      </c>
      <c r="C1813" s="552">
        <v>1123.29</v>
      </c>
      <c r="D1813" s="551">
        <v>46671</v>
      </c>
      <c r="E1813" s="551">
        <v>1186</v>
      </c>
      <c r="F1813" s="551">
        <v>10</v>
      </c>
      <c r="G1813" s="551">
        <v>101425</v>
      </c>
      <c r="H1813" s="551">
        <v>72</v>
      </c>
      <c r="I1813" s="551">
        <v>15</v>
      </c>
      <c r="J1813" s="551">
        <v>1</v>
      </c>
      <c r="K1813" s="527">
        <f t="shared" si="1053"/>
        <v>0.0254119260354396</v>
      </c>
      <c r="L1813" s="528">
        <f t="shared" si="1054"/>
        <v>0.94712478920742</v>
      </c>
      <c r="M1813" s="528">
        <f t="shared" si="1055"/>
        <v>24.0682650896702</v>
      </c>
      <c r="N1813" s="528">
        <f t="shared" si="1056"/>
        <v>90.2928006124865</v>
      </c>
      <c r="O1813" s="528">
        <f t="shared" si="1057"/>
        <v>0.00843170320404722</v>
      </c>
      <c r="P1813" s="529">
        <f t="shared" si="1058"/>
        <v>12.9113793103448</v>
      </c>
      <c r="Q1813" s="24">
        <f t="shared" si="1059"/>
        <v>87</v>
      </c>
      <c r="R1813" s="530">
        <f t="shared" si="1060"/>
        <v>0.0733558178752108</v>
      </c>
    </row>
    <row r="1814" spans="1:18">
      <c r="A1814" s="524"/>
      <c r="B1814" s="531" t="s">
        <v>96</v>
      </c>
      <c r="C1814" s="533">
        <f t="shared" ref="C1814:J1814" si="1070">SUM(C1810:C1813)</f>
        <v>3082.67</v>
      </c>
      <c r="D1814" s="533">
        <f t="shared" si="1070"/>
        <v>106979</v>
      </c>
      <c r="E1814" s="533">
        <f t="shared" si="1070"/>
        <v>3063</v>
      </c>
      <c r="F1814" s="533">
        <f t="shared" si="1070"/>
        <v>16</v>
      </c>
      <c r="G1814" s="533">
        <f t="shared" si="1070"/>
        <v>155397</v>
      </c>
      <c r="H1814" s="533">
        <f t="shared" si="1070"/>
        <v>128</v>
      </c>
      <c r="I1814" s="533">
        <f t="shared" si="1070"/>
        <v>38</v>
      </c>
      <c r="J1814" s="533">
        <f t="shared" si="1070"/>
        <v>2</v>
      </c>
      <c r="K1814" s="534">
        <f t="shared" si="1053"/>
        <v>0.0286317875470887</v>
      </c>
      <c r="L1814" s="535">
        <f t="shared" si="1054"/>
        <v>1.0064218086843</v>
      </c>
      <c r="M1814" s="535">
        <f t="shared" si="1055"/>
        <v>28.8156554090055</v>
      </c>
      <c r="N1814" s="535">
        <f t="shared" si="1056"/>
        <v>50.4098719616436</v>
      </c>
      <c r="O1814" s="535">
        <f t="shared" si="1057"/>
        <v>0.00522363695723147</v>
      </c>
      <c r="P1814" s="536">
        <f t="shared" si="1058"/>
        <v>18.5703012048193</v>
      </c>
      <c r="Q1814" s="531">
        <f t="shared" si="1059"/>
        <v>166</v>
      </c>
      <c r="R1814" s="537">
        <f t="shared" si="1060"/>
        <v>0.0541952334312765</v>
      </c>
    </row>
    <row r="1815" spans="1:18">
      <c r="A1815" s="524">
        <v>45813</v>
      </c>
      <c r="B1815" s="540" t="s">
        <v>98</v>
      </c>
      <c r="C1815" s="551">
        <v>499.29</v>
      </c>
      <c r="D1815" s="553">
        <v>12545</v>
      </c>
      <c r="E1815" s="551">
        <v>344</v>
      </c>
      <c r="F1815" s="551">
        <v>2</v>
      </c>
      <c r="G1815" s="551">
        <v>12402.98</v>
      </c>
      <c r="H1815" s="551">
        <v>11</v>
      </c>
      <c r="I1815" s="551">
        <v>1</v>
      </c>
      <c r="J1815" s="551">
        <v>1</v>
      </c>
      <c r="K1815" s="527">
        <f t="shared" si="1053"/>
        <v>0.0274212833798326</v>
      </c>
      <c r="L1815" s="528">
        <f t="shared" si="1054"/>
        <v>1.45142441860465</v>
      </c>
      <c r="M1815" s="528">
        <f t="shared" si="1055"/>
        <v>39.7999202869669</v>
      </c>
      <c r="N1815" s="528">
        <f t="shared" si="1056"/>
        <v>24.8412345530654</v>
      </c>
      <c r="O1815" s="528">
        <f t="shared" si="1057"/>
        <v>0.00581395348837209</v>
      </c>
      <c r="P1815" s="529">
        <f t="shared" si="1058"/>
        <v>41.6075</v>
      </c>
      <c r="Q1815" s="24">
        <f t="shared" si="1059"/>
        <v>12</v>
      </c>
      <c r="R1815" s="530">
        <f t="shared" si="1060"/>
        <v>0.0348837209302326</v>
      </c>
    </row>
    <row r="1816" spans="1:18">
      <c r="A1816" s="524"/>
      <c r="B1816" s="540" t="s">
        <v>99</v>
      </c>
      <c r="C1816" s="551">
        <v>598.01</v>
      </c>
      <c r="D1816" s="555">
        <v>6639</v>
      </c>
      <c r="E1816" s="551">
        <v>821</v>
      </c>
      <c r="F1816" s="551">
        <v>0</v>
      </c>
      <c r="G1816" s="551">
        <v>0</v>
      </c>
      <c r="H1816" s="555">
        <v>13</v>
      </c>
      <c r="I1816" s="555">
        <v>0</v>
      </c>
      <c r="J1816" s="555">
        <v>4</v>
      </c>
      <c r="K1816" s="527">
        <f t="shared" si="1053"/>
        <v>0.123663202289501</v>
      </c>
      <c r="L1816" s="528">
        <f t="shared" si="1054"/>
        <v>0.728392204628502</v>
      </c>
      <c r="M1816" s="528">
        <f t="shared" si="1055"/>
        <v>90.0753125470703</v>
      </c>
      <c r="N1816" s="528">
        <f t="shared" si="1056"/>
        <v>0</v>
      </c>
      <c r="O1816" s="528">
        <f t="shared" si="1057"/>
        <v>0</v>
      </c>
      <c r="P1816" s="529">
        <f t="shared" si="1058"/>
        <v>46.0007692307692</v>
      </c>
      <c r="Q1816" s="24">
        <f t="shared" si="1059"/>
        <v>13</v>
      </c>
      <c r="R1816" s="530">
        <f t="shared" si="1060"/>
        <v>0.0158343483556638</v>
      </c>
    </row>
    <row r="1817" spans="1:18">
      <c r="A1817" s="524"/>
      <c r="B1817" s="540" t="s">
        <v>100</v>
      </c>
      <c r="C1817" s="552">
        <v>867.16</v>
      </c>
      <c r="D1817" s="553">
        <v>28553</v>
      </c>
      <c r="E1817" s="553">
        <v>516</v>
      </c>
      <c r="F1817" s="551">
        <v>2</v>
      </c>
      <c r="G1817" s="551">
        <v>11952</v>
      </c>
      <c r="H1817" s="551">
        <v>22</v>
      </c>
      <c r="I1817" s="551">
        <v>9</v>
      </c>
      <c r="J1817" s="551">
        <v>3</v>
      </c>
      <c r="K1817" s="527">
        <f t="shared" si="1053"/>
        <v>0.0180716562182608</v>
      </c>
      <c r="L1817" s="528">
        <f t="shared" si="1054"/>
        <v>1.68054263565891</v>
      </c>
      <c r="M1817" s="528">
        <f t="shared" si="1055"/>
        <v>30.3701887717578</v>
      </c>
      <c r="N1817" s="528">
        <f t="shared" si="1056"/>
        <v>13.7829235665852</v>
      </c>
      <c r="O1817" s="528">
        <f t="shared" si="1057"/>
        <v>0.00387596899224806</v>
      </c>
      <c r="P1817" s="529">
        <f t="shared" si="1058"/>
        <v>27.9729032258065</v>
      </c>
      <c r="Q1817" s="24">
        <f t="shared" si="1059"/>
        <v>31</v>
      </c>
      <c r="R1817" s="530">
        <f t="shared" si="1060"/>
        <v>0.060077519379845</v>
      </c>
    </row>
    <row r="1818" spans="1:18">
      <c r="A1818" s="524"/>
      <c r="B1818" s="540" t="s">
        <v>101</v>
      </c>
      <c r="C1818" s="552">
        <v>229.03</v>
      </c>
      <c r="D1818" s="551">
        <v>10220</v>
      </c>
      <c r="E1818" s="551">
        <v>255</v>
      </c>
      <c r="F1818" s="551">
        <v>3</v>
      </c>
      <c r="G1818" s="551">
        <v>26372</v>
      </c>
      <c r="H1818" s="551">
        <v>15</v>
      </c>
      <c r="I1818" s="551">
        <v>5</v>
      </c>
      <c r="J1818" s="551">
        <v>1</v>
      </c>
      <c r="K1818" s="527">
        <f t="shared" si="1053"/>
        <v>0.0249510763209393</v>
      </c>
      <c r="L1818" s="528">
        <f t="shared" si="1054"/>
        <v>0.898156862745098</v>
      </c>
      <c r="M1818" s="528">
        <f t="shared" si="1055"/>
        <v>22.4099804305284</v>
      </c>
      <c r="N1818" s="528">
        <f t="shared" si="1056"/>
        <v>115.146487359735</v>
      </c>
      <c r="O1818" s="528">
        <f t="shared" si="1057"/>
        <v>0.0117647058823529</v>
      </c>
      <c r="P1818" s="529">
        <f t="shared" si="1058"/>
        <v>11.4515</v>
      </c>
      <c r="Q1818" s="24">
        <f t="shared" si="1059"/>
        <v>20</v>
      </c>
      <c r="R1818" s="530">
        <f t="shared" si="1060"/>
        <v>0.0784313725490196</v>
      </c>
    </row>
    <row r="1819" spans="1:18">
      <c r="A1819" s="524"/>
      <c r="B1819" s="531" t="s">
        <v>96</v>
      </c>
      <c r="C1819" s="533">
        <f t="shared" ref="C1819:J1819" si="1071">SUM(C1815:C1818)</f>
        <v>2193.49</v>
      </c>
      <c r="D1819" s="533">
        <f t="shared" si="1071"/>
        <v>57957</v>
      </c>
      <c r="E1819" s="533">
        <f t="shared" si="1071"/>
        <v>1936</v>
      </c>
      <c r="F1819" s="533">
        <f t="shared" si="1071"/>
        <v>7</v>
      </c>
      <c r="G1819" s="533">
        <f t="shared" si="1071"/>
        <v>50726.98</v>
      </c>
      <c r="H1819" s="533">
        <f t="shared" si="1071"/>
        <v>61</v>
      </c>
      <c r="I1819" s="533">
        <f t="shared" si="1071"/>
        <v>15</v>
      </c>
      <c r="J1819" s="533">
        <f t="shared" si="1071"/>
        <v>9</v>
      </c>
      <c r="K1819" s="534">
        <f t="shared" si="1053"/>
        <v>0.0334040754352365</v>
      </c>
      <c r="L1819" s="535">
        <f t="shared" si="1054"/>
        <v>1.13300103305785</v>
      </c>
      <c r="M1819" s="535">
        <f t="shared" si="1055"/>
        <v>37.8468519764653</v>
      </c>
      <c r="N1819" s="535">
        <f t="shared" si="1056"/>
        <v>23.1261505637135</v>
      </c>
      <c r="O1819" s="535">
        <f t="shared" si="1057"/>
        <v>0.00361570247933884</v>
      </c>
      <c r="P1819" s="536">
        <f t="shared" si="1058"/>
        <v>28.8617105263158</v>
      </c>
      <c r="Q1819" s="531">
        <f t="shared" si="1059"/>
        <v>76</v>
      </c>
      <c r="R1819" s="537">
        <f t="shared" si="1060"/>
        <v>0.0392561983471074</v>
      </c>
    </row>
    <row r="1820" spans="1:18">
      <c r="A1820" s="524">
        <v>45814</v>
      </c>
      <c r="B1820" s="540" t="s">
        <v>98</v>
      </c>
      <c r="C1820" s="551">
        <v>500</v>
      </c>
      <c r="D1820" s="553">
        <v>12798</v>
      </c>
      <c r="E1820" s="551">
        <v>322</v>
      </c>
      <c r="F1820" s="551">
        <v>4</v>
      </c>
      <c r="G1820" s="551">
        <v>39766</v>
      </c>
      <c r="H1820" s="551">
        <v>10</v>
      </c>
      <c r="I1820" s="551">
        <v>3</v>
      </c>
      <c r="J1820" s="551">
        <v>1</v>
      </c>
      <c r="K1820" s="527">
        <f t="shared" si="1053"/>
        <v>0.0251601812783247</v>
      </c>
      <c r="L1820" s="528">
        <f t="shared" si="1054"/>
        <v>1.5527950310559</v>
      </c>
      <c r="M1820" s="528">
        <f t="shared" si="1055"/>
        <v>39.0686044694483</v>
      </c>
      <c r="N1820" s="528">
        <f t="shared" si="1056"/>
        <v>79.532</v>
      </c>
      <c r="O1820" s="528">
        <f t="shared" si="1057"/>
        <v>0.0124223602484472</v>
      </c>
      <c r="P1820" s="529">
        <f t="shared" si="1058"/>
        <v>38.4615384615385</v>
      </c>
      <c r="Q1820" s="24">
        <f t="shared" si="1059"/>
        <v>13</v>
      </c>
      <c r="R1820" s="530">
        <f t="shared" si="1060"/>
        <v>0.0403726708074534</v>
      </c>
    </row>
    <row r="1821" spans="1:18">
      <c r="A1821" s="524"/>
      <c r="B1821" s="540" t="s">
        <v>99</v>
      </c>
      <c r="C1821" s="551">
        <v>594.36</v>
      </c>
      <c r="D1821" s="555">
        <v>3636</v>
      </c>
      <c r="E1821" s="551">
        <v>692</v>
      </c>
      <c r="F1821" s="551">
        <v>1</v>
      </c>
      <c r="G1821" s="551">
        <v>5976</v>
      </c>
      <c r="H1821" s="555">
        <v>10</v>
      </c>
      <c r="I1821" s="555">
        <v>1</v>
      </c>
      <c r="J1821" s="555">
        <v>1</v>
      </c>
      <c r="K1821" s="527">
        <f t="shared" si="1053"/>
        <v>0.19031903190319</v>
      </c>
      <c r="L1821" s="528">
        <f t="shared" si="1054"/>
        <v>0.858901734104046</v>
      </c>
      <c r="M1821" s="528">
        <f t="shared" si="1055"/>
        <v>163.465346534653</v>
      </c>
      <c r="N1821" s="528">
        <f t="shared" si="1056"/>
        <v>10.0545124167171</v>
      </c>
      <c r="O1821" s="528">
        <f t="shared" si="1057"/>
        <v>0.00144508670520231</v>
      </c>
      <c r="P1821" s="529">
        <f t="shared" si="1058"/>
        <v>54.0327272727273</v>
      </c>
      <c r="Q1821" s="24">
        <f t="shared" si="1059"/>
        <v>11</v>
      </c>
      <c r="R1821" s="530">
        <f t="shared" si="1060"/>
        <v>0.0158959537572254</v>
      </c>
    </row>
    <row r="1822" spans="1:18">
      <c r="A1822" s="524"/>
      <c r="B1822" s="540" t="s">
        <v>100</v>
      </c>
      <c r="C1822" s="552">
        <v>886.2</v>
      </c>
      <c r="D1822" s="553">
        <v>34234</v>
      </c>
      <c r="E1822" s="553">
        <v>582</v>
      </c>
      <c r="F1822" s="551">
        <v>6</v>
      </c>
      <c r="G1822" s="551">
        <v>92189</v>
      </c>
      <c r="H1822" s="551">
        <v>30</v>
      </c>
      <c r="I1822" s="551">
        <v>13</v>
      </c>
      <c r="J1822" s="551">
        <v>4</v>
      </c>
      <c r="K1822" s="527">
        <f t="shared" si="1053"/>
        <v>0.0170006426359759</v>
      </c>
      <c r="L1822" s="528">
        <f t="shared" si="1054"/>
        <v>1.52268041237113</v>
      </c>
      <c r="M1822" s="528">
        <f t="shared" si="1055"/>
        <v>25.8865455395221</v>
      </c>
      <c r="N1822" s="528">
        <f t="shared" si="1056"/>
        <v>104.027307605507</v>
      </c>
      <c r="O1822" s="528">
        <f t="shared" si="1057"/>
        <v>0.0103092783505155</v>
      </c>
      <c r="P1822" s="529">
        <f t="shared" si="1058"/>
        <v>20.6093023255814</v>
      </c>
      <c r="Q1822" s="24">
        <f t="shared" si="1059"/>
        <v>43</v>
      </c>
      <c r="R1822" s="530">
        <f t="shared" si="1060"/>
        <v>0.0738831615120275</v>
      </c>
    </row>
    <row r="1823" spans="1:18">
      <c r="A1823" s="524"/>
      <c r="B1823" s="540" t="s">
        <v>101</v>
      </c>
      <c r="C1823" s="552">
        <v>494.87</v>
      </c>
      <c r="D1823" s="553">
        <v>5248</v>
      </c>
      <c r="E1823" s="551">
        <v>330</v>
      </c>
      <c r="F1823" s="551">
        <v>5</v>
      </c>
      <c r="G1823" s="551">
        <v>64993</v>
      </c>
      <c r="H1823" s="551">
        <v>28</v>
      </c>
      <c r="I1823" s="551">
        <v>2</v>
      </c>
      <c r="J1823" s="551">
        <v>2</v>
      </c>
      <c r="K1823" s="527">
        <f t="shared" si="1053"/>
        <v>0.0628810975609756</v>
      </c>
      <c r="L1823" s="528">
        <f t="shared" si="1054"/>
        <v>1.49960606060606</v>
      </c>
      <c r="M1823" s="528">
        <f t="shared" si="1055"/>
        <v>94.296875</v>
      </c>
      <c r="N1823" s="528">
        <f t="shared" si="1056"/>
        <v>131.333481520399</v>
      </c>
      <c r="O1823" s="528">
        <f t="shared" si="1057"/>
        <v>0.0151515151515152</v>
      </c>
      <c r="P1823" s="529">
        <f t="shared" si="1058"/>
        <v>16.4956666666667</v>
      </c>
      <c r="Q1823" s="24">
        <f t="shared" si="1059"/>
        <v>30</v>
      </c>
      <c r="R1823" s="530">
        <f t="shared" si="1060"/>
        <v>0.0909090909090909</v>
      </c>
    </row>
    <row r="1824" spans="1:18">
      <c r="A1824" s="524"/>
      <c r="B1824" s="531" t="s">
        <v>96</v>
      </c>
      <c r="C1824" s="533">
        <f t="shared" ref="C1824:J1824" si="1072">SUM(C1820:C1823)</f>
        <v>2475.43</v>
      </c>
      <c r="D1824" s="533">
        <f t="shared" si="1072"/>
        <v>55916</v>
      </c>
      <c r="E1824" s="533">
        <f t="shared" si="1072"/>
        <v>1926</v>
      </c>
      <c r="F1824" s="533">
        <f t="shared" si="1072"/>
        <v>16</v>
      </c>
      <c r="G1824" s="533">
        <f t="shared" si="1072"/>
        <v>202924</v>
      </c>
      <c r="H1824" s="533">
        <f t="shared" si="1072"/>
        <v>78</v>
      </c>
      <c r="I1824" s="533">
        <f t="shared" si="1072"/>
        <v>19</v>
      </c>
      <c r="J1824" s="533">
        <f t="shared" si="1072"/>
        <v>8</v>
      </c>
      <c r="K1824" s="534">
        <f t="shared" si="1053"/>
        <v>0.0344445239287503</v>
      </c>
      <c r="L1824" s="535">
        <f t="shared" si="1054"/>
        <v>1.28526998961578</v>
      </c>
      <c r="M1824" s="535">
        <f t="shared" si="1055"/>
        <v>44.2705129122255</v>
      </c>
      <c r="N1824" s="535">
        <f t="shared" si="1056"/>
        <v>81.9752527843647</v>
      </c>
      <c r="O1824" s="535">
        <f t="shared" si="1057"/>
        <v>0.0083073727933541</v>
      </c>
      <c r="P1824" s="536">
        <f t="shared" si="1058"/>
        <v>25.5198969072165</v>
      </c>
      <c r="Q1824" s="531">
        <f t="shared" si="1059"/>
        <v>97</v>
      </c>
      <c r="R1824" s="537">
        <f t="shared" si="1060"/>
        <v>0.0503634475597092</v>
      </c>
    </row>
    <row r="1825" spans="1:18">
      <c r="A1825" s="524">
        <v>45815</v>
      </c>
      <c r="B1825" s="540" t="s">
        <v>98</v>
      </c>
      <c r="C1825" s="551">
        <v>499.38</v>
      </c>
      <c r="D1825" s="553">
        <v>12338</v>
      </c>
      <c r="E1825" s="551">
        <v>342</v>
      </c>
      <c r="F1825" s="551">
        <v>1</v>
      </c>
      <c r="G1825" s="551">
        <v>4047</v>
      </c>
      <c r="H1825" s="551">
        <v>15</v>
      </c>
      <c r="I1825" s="551">
        <v>4</v>
      </c>
      <c r="J1825" s="551">
        <v>2</v>
      </c>
      <c r="K1825" s="527">
        <f t="shared" si="1053"/>
        <v>0.027719241368131</v>
      </c>
      <c r="L1825" s="528">
        <f t="shared" si="1054"/>
        <v>1.46017543859649</v>
      </c>
      <c r="M1825" s="528">
        <f t="shared" si="1055"/>
        <v>40.4749554222727</v>
      </c>
      <c r="N1825" s="528">
        <f t="shared" si="1056"/>
        <v>8.10404902078577</v>
      </c>
      <c r="O1825" s="528">
        <f t="shared" si="1057"/>
        <v>0.00292397660818713</v>
      </c>
      <c r="P1825" s="529">
        <f t="shared" si="1058"/>
        <v>26.2831578947368</v>
      </c>
      <c r="Q1825" s="24">
        <f t="shared" si="1059"/>
        <v>19</v>
      </c>
      <c r="R1825" s="530">
        <f t="shared" si="1060"/>
        <v>0.0555555555555556</v>
      </c>
    </row>
    <row r="1826" spans="1:18">
      <c r="A1826" s="524"/>
      <c r="B1826" s="540" t="s">
        <v>99</v>
      </c>
      <c r="C1826" s="551">
        <v>0</v>
      </c>
      <c r="D1826" s="555">
        <v>0</v>
      </c>
      <c r="E1826" s="551">
        <v>0</v>
      </c>
      <c r="F1826" s="551">
        <v>0</v>
      </c>
      <c r="G1826" s="551">
        <v>0</v>
      </c>
      <c r="H1826" s="555">
        <v>0</v>
      </c>
      <c r="I1826" s="555">
        <v>0</v>
      </c>
      <c r="J1826" s="555">
        <v>0</v>
      </c>
      <c r="K1826" s="527">
        <f t="shared" si="1053"/>
        <v>0</v>
      </c>
      <c r="L1826" s="528">
        <f t="shared" si="1054"/>
        <v>0</v>
      </c>
      <c r="M1826" s="528">
        <f t="shared" si="1055"/>
        <v>0</v>
      </c>
      <c r="N1826" s="528">
        <f t="shared" si="1056"/>
        <v>0</v>
      </c>
      <c r="O1826" s="528">
        <f t="shared" si="1057"/>
        <v>0</v>
      </c>
      <c r="P1826" s="529">
        <f t="shared" si="1058"/>
        <v>0</v>
      </c>
      <c r="Q1826" s="24">
        <f t="shared" si="1059"/>
        <v>0</v>
      </c>
      <c r="R1826" s="530">
        <f t="shared" si="1060"/>
        <v>0</v>
      </c>
    </row>
    <row r="1827" spans="1:18">
      <c r="A1827" s="524"/>
      <c r="B1827" s="540" t="s">
        <v>100</v>
      </c>
      <c r="C1827" s="552">
        <v>767.65</v>
      </c>
      <c r="D1827" s="553">
        <v>30510</v>
      </c>
      <c r="E1827" s="553">
        <v>550</v>
      </c>
      <c r="F1827" s="551">
        <v>4</v>
      </c>
      <c r="G1827" s="551">
        <v>28126</v>
      </c>
      <c r="H1827" s="551">
        <v>23</v>
      </c>
      <c r="I1827" s="551">
        <v>10</v>
      </c>
      <c r="J1827" s="551">
        <v>2</v>
      </c>
      <c r="K1827" s="527">
        <f t="shared" si="1053"/>
        <v>0.0180268764339561</v>
      </c>
      <c r="L1827" s="528">
        <f t="shared" si="1054"/>
        <v>1.39572727272727</v>
      </c>
      <c r="M1827" s="528">
        <f t="shared" si="1055"/>
        <v>25.1606030809571</v>
      </c>
      <c r="N1827" s="528">
        <f t="shared" si="1056"/>
        <v>36.6390933368071</v>
      </c>
      <c r="O1827" s="528">
        <f t="shared" si="1057"/>
        <v>0.00727272727272727</v>
      </c>
      <c r="P1827" s="529">
        <f t="shared" si="1058"/>
        <v>23.2621212121212</v>
      </c>
      <c r="Q1827" s="24">
        <f t="shared" si="1059"/>
        <v>33</v>
      </c>
      <c r="R1827" s="530">
        <f t="shared" si="1060"/>
        <v>0.06</v>
      </c>
    </row>
    <row r="1828" spans="1:18">
      <c r="A1828" s="524"/>
      <c r="B1828" s="540" t="s">
        <v>101</v>
      </c>
      <c r="C1828" s="552">
        <v>1858.69</v>
      </c>
      <c r="D1828" s="553">
        <v>37188</v>
      </c>
      <c r="E1828" s="551">
        <v>1127</v>
      </c>
      <c r="F1828" s="551">
        <v>5</v>
      </c>
      <c r="G1828" s="551">
        <v>42296.8</v>
      </c>
      <c r="H1828" s="551">
        <v>69</v>
      </c>
      <c r="I1828" s="551">
        <v>5</v>
      </c>
      <c r="J1828" s="551">
        <v>6</v>
      </c>
      <c r="K1828" s="527">
        <f t="shared" si="1053"/>
        <v>0.0303054748843713</v>
      </c>
      <c r="L1828" s="528">
        <f t="shared" si="1054"/>
        <v>1.64923691215617</v>
      </c>
      <c r="M1828" s="528">
        <f t="shared" si="1055"/>
        <v>49.9809078197268</v>
      </c>
      <c r="N1828" s="528">
        <f t="shared" si="1056"/>
        <v>22.7562422996842</v>
      </c>
      <c r="O1828" s="528">
        <f t="shared" si="1057"/>
        <v>0.00443655723158829</v>
      </c>
      <c r="P1828" s="529">
        <f t="shared" si="1058"/>
        <v>25.1174324324324</v>
      </c>
      <c r="Q1828" s="24">
        <f t="shared" si="1059"/>
        <v>74</v>
      </c>
      <c r="R1828" s="530">
        <f t="shared" si="1060"/>
        <v>0.0656610470275066</v>
      </c>
    </row>
    <row r="1829" spans="1:18">
      <c r="A1829" s="524"/>
      <c r="B1829" s="531" t="s">
        <v>96</v>
      </c>
      <c r="C1829" s="533">
        <f t="shared" ref="C1829:J1829" si="1073">SUM(C1825:C1828)</f>
        <v>3125.72</v>
      </c>
      <c r="D1829" s="533">
        <f t="shared" si="1073"/>
        <v>80036</v>
      </c>
      <c r="E1829" s="533">
        <f t="shared" si="1073"/>
        <v>2019</v>
      </c>
      <c r="F1829" s="533">
        <f t="shared" si="1073"/>
        <v>10</v>
      </c>
      <c r="G1829" s="533">
        <f t="shared" si="1073"/>
        <v>74469.8</v>
      </c>
      <c r="H1829" s="533">
        <f t="shared" si="1073"/>
        <v>107</v>
      </c>
      <c r="I1829" s="533">
        <f t="shared" si="1073"/>
        <v>19</v>
      </c>
      <c r="J1829" s="533">
        <f t="shared" si="1073"/>
        <v>10</v>
      </c>
      <c r="K1829" s="534">
        <f t="shared" ref="K1829:K1892" si="1074">IF(E1829=0,0,E1829/D1829)</f>
        <v>0.025226148233295</v>
      </c>
      <c r="L1829" s="535">
        <f t="shared" ref="L1829:L1892" si="1075">IF(C1829=0,0,C1829/E1829)</f>
        <v>1.54815255076771</v>
      </c>
      <c r="M1829" s="535">
        <f t="shared" ref="M1829:M1892" si="1076">IF(D1829=0,0,C1829/D1829*1000)</f>
        <v>39.05392573342</v>
      </c>
      <c r="N1829" s="535">
        <f t="shared" ref="N1829:N1892" si="1077">IF(G1829=0,0,G1829/C1829)</f>
        <v>23.8248467553076</v>
      </c>
      <c r="O1829" s="535">
        <f t="shared" ref="O1829:O1892" si="1078">IF(F1829=0,0,F1829/E1829)</f>
        <v>0.00495294700346706</v>
      </c>
      <c r="P1829" s="536">
        <f t="shared" ref="P1829:P1892" si="1079">IF(H1829+I1829=0,0,C1829/(H1829+I1829))</f>
        <v>24.8073015873016</v>
      </c>
      <c r="Q1829" s="531">
        <f t="shared" ref="Q1829:Q1892" si="1080">H1829+I1829</f>
        <v>126</v>
      </c>
      <c r="R1829" s="537">
        <f t="shared" ref="R1829:R1892" si="1081">IF(Q1829=0,0,Q1829/E1829)</f>
        <v>0.062407132243685</v>
      </c>
    </row>
    <row r="1830" spans="1:18">
      <c r="A1830" s="524">
        <v>45816</v>
      </c>
      <c r="B1830" s="540" t="s">
        <v>98</v>
      </c>
      <c r="C1830" s="551">
        <v>498.92</v>
      </c>
      <c r="D1830" s="553">
        <v>13790</v>
      </c>
      <c r="E1830" s="551">
        <v>384</v>
      </c>
      <c r="F1830" s="551">
        <v>1</v>
      </c>
      <c r="G1830" s="551">
        <v>11596</v>
      </c>
      <c r="H1830" s="551">
        <v>10</v>
      </c>
      <c r="I1830" s="551">
        <v>2</v>
      </c>
      <c r="J1830" s="551">
        <v>2</v>
      </c>
      <c r="K1830" s="527">
        <f t="shared" si="1074"/>
        <v>0.0278462654097172</v>
      </c>
      <c r="L1830" s="528">
        <f t="shared" si="1075"/>
        <v>1.29927083333333</v>
      </c>
      <c r="M1830" s="528">
        <f t="shared" si="1076"/>
        <v>36.1798404641044</v>
      </c>
      <c r="N1830" s="528">
        <f t="shared" si="1077"/>
        <v>23.2422031588231</v>
      </c>
      <c r="O1830" s="528">
        <f t="shared" si="1078"/>
        <v>0.00260416666666667</v>
      </c>
      <c r="P1830" s="529">
        <f t="shared" si="1079"/>
        <v>41.5766666666667</v>
      </c>
      <c r="Q1830" s="24">
        <f t="shared" si="1080"/>
        <v>12</v>
      </c>
      <c r="R1830" s="530">
        <f t="shared" si="1081"/>
        <v>0.03125</v>
      </c>
    </row>
    <row r="1831" spans="1:18">
      <c r="A1831" s="524"/>
      <c r="B1831" s="540" t="s">
        <v>99</v>
      </c>
      <c r="C1831" s="551">
        <v>0</v>
      </c>
      <c r="D1831" s="555">
        <v>0</v>
      </c>
      <c r="E1831" s="551">
        <v>0</v>
      </c>
      <c r="F1831" s="551">
        <v>0</v>
      </c>
      <c r="G1831" s="551">
        <v>0</v>
      </c>
      <c r="H1831" s="555">
        <v>0</v>
      </c>
      <c r="I1831" s="555">
        <v>0</v>
      </c>
      <c r="J1831" s="555">
        <v>0</v>
      </c>
      <c r="K1831" s="527">
        <f t="shared" si="1074"/>
        <v>0</v>
      </c>
      <c r="L1831" s="528">
        <f t="shared" si="1075"/>
        <v>0</v>
      </c>
      <c r="M1831" s="528">
        <f t="shared" si="1076"/>
        <v>0</v>
      </c>
      <c r="N1831" s="528">
        <f t="shared" si="1077"/>
        <v>0</v>
      </c>
      <c r="O1831" s="528">
        <f t="shared" si="1078"/>
        <v>0</v>
      </c>
      <c r="P1831" s="529">
        <f t="shared" si="1079"/>
        <v>0</v>
      </c>
      <c r="Q1831" s="24">
        <f t="shared" si="1080"/>
        <v>0</v>
      </c>
      <c r="R1831" s="530">
        <f t="shared" si="1081"/>
        <v>0</v>
      </c>
    </row>
    <row r="1832" spans="1:18">
      <c r="A1832" s="524"/>
      <c r="B1832" s="540" t="s">
        <v>100</v>
      </c>
      <c r="C1832" s="552">
        <v>870.98</v>
      </c>
      <c r="D1832" s="553">
        <v>34036</v>
      </c>
      <c r="E1832" s="553">
        <v>601</v>
      </c>
      <c r="F1832" s="551">
        <v>2</v>
      </c>
      <c r="G1832" s="551">
        <v>30374</v>
      </c>
      <c r="H1832" s="551">
        <v>26</v>
      </c>
      <c r="I1832" s="551">
        <v>11</v>
      </c>
      <c r="J1832" s="551">
        <v>1</v>
      </c>
      <c r="K1832" s="527">
        <f t="shared" si="1074"/>
        <v>0.0176577741215184</v>
      </c>
      <c r="L1832" s="528">
        <f t="shared" si="1075"/>
        <v>1.44921797004992</v>
      </c>
      <c r="M1832" s="528">
        <f t="shared" si="1076"/>
        <v>25.5899635679868</v>
      </c>
      <c r="N1832" s="528">
        <f t="shared" si="1077"/>
        <v>34.8733610415853</v>
      </c>
      <c r="O1832" s="528">
        <f t="shared" si="1078"/>
        <v>0.00332778702163062</v>
      </c>
      <c r="P1832" s="529">
        <f t="shared" si="1079"/>
        <v>23.54</v>
      </c>
      <c r="Q1832" s="24">
        <f t="shared" si="1080"/>
        <v>37</v>
      </c>
      <c r="R1832" s="530">
        <f t="shared" si="1081"/>
        <v>0.0615640599001664</v>
      </c>
    </row>
    <row r="1833" spans="1:18">
      <c r="A1833" s="524"/>
      <c r="B1833" s="540" t="s">
        <v>101</v>
      </c>
      <c r="C1833" s="552">
        <v>1387.47</v>
      </c>
      <c r="D1833" s="553">
        <v>108228</v>
      </c>
      <c r="E1833" s="551">
        <v>1440</v>
      </c>
      <c r="F1833" s="551">
        <v>9</v>
      </c>
      <c r="G1833" s="551">
        <v>100382</v>
      </c>
      <c r="H1833" s="551">
        <v>59</v>
      </c>
      <c r="I1833" s="551">
        <v>9</v>
      </c>
      <c r="J1833" s="551">
        <v>7</v>
      </c>
      <c r="K1833" s="527">
        <f t="shared" si="1074"/>
        <v>0.0133052444838674</v>
      </c>
      <c r="L1833" s="528">
        <f t="shared" si="1075"/>
        <v>0.963520833333333</v>
      </c>
      <c r="M1833" s="528">
        <f t="shared" si="1076"/>
        <v>12.8198802527996</v>
      </c>
      <c r="N1833" s="528">
        <f t="shared" si="1077"/>
        <v>72.3489516890455</v>
      </c>
      <c r="O1833" s="528">
        <f t="shared" si="1078"/>
        <v>0.00625</v>
      </c>
      <c r="P1833" s="529">
        <f t="shared" si="1079"/>
        <v>20.4039705882353</v>
      </c>
      <c r="Q1833" s="24">
        <f t="shared" si="1080"/>
        <v>68</v>
      </c>
      <c r="R1833" s="530">
        <f t="shared" si="1081"/>
        <v>0.0472222222222222</v>
      </c>
    </row>
    <row r="1834" spans="1:18">
      <c r="A1834" s="524"/>
      <c r="B1834" s="531" t="s">
        <v>96</v>
      </c>
      <c r="C1834" s="533">
        <f t="shared" ref="C1834:J1834" si="1082">SUM(C1830:C1833)</f>
        <v>2757.37</v>
      </c>
      <c r="D1834" s="533">
        <f t="shared" si="1082"/>
        <v>156054</v>
      </c>
      <c r="E1834" s="533">
        <f t="shared" si="1082"/>
        <v>2425</v>
      </c>
      <c r="F1834" s="533">
        <f t="shared" si="1082"/>
        <v>12</v>
      </c>
      <c r="G1834" s="533">
        <f t="shared" si="1082"/>
        <v>142352</v>
      </c>
      <c r="H1834" s="533">
        <f t="shared" si="1082"/>
        <v>95</v>
      </c>
      <c r="I1834" s="533">
        <f t="shared" si="1082"/>
        <v>22</v>
      </c>
      <c r="J1834" s="533">
        <f t="shared" si="1082"/>
        <v>10</v>
      </c>
      <c r="K1834" s="534">
        <f t="shared" si="1074"/>
        <v>0.0155394927396927</v>
      </c>
      <c r="L1834" s="535">
        <f t="shared" si="1075"/>
        <v>1.13705979381443</v>
      </c>
      <c r="M1834" s="535">
        <f t="shared" si="1076"/>
        <v>17.6693324105758</v>
      </c>
      <c r="N1834" s="535">
        <f t="shared" si="1077"/>
        <v>51.6260059404432</v>
      </c>
      <c r="O1834" s="535">
        <f t="shared" si="1078"/>
        <v>0.00494845360824742</v>
      </c>
      <c r="P1834" s="536">
        <f t="shared" si="1079"/>
        <v>23.567264957265</v>
      </c>
      <c r="Q1834" s="531">
        <f t="shared" si="1080"/>
        <v>117</v>
      </c>
      <c r="R1834" s="537">
        <f t="shared" si="1081"/>
        <v>0.0482474226804124</v>
      </c>
    </row>
    <row r="1835" spans="1:18">
      <c r="A1835" s="524">
        <v>45817</v>
      </c>
      <c r="B1835" s="540" t="s">
        <v>98</v>
      </c>
      <c r="C1835" s="551">
        <v>500</v>
      </c>
      <c r="D1835" s="553">
        <v>15194</v>
      </c>
      <c r="E1835" s="551">
        <v>384</v>
      </c>
      <c r="F1835" s="551">
        <v>1</v>
      </c>
      <c r="G1835" s="551">
        <v>11596</v>
      </c>
      <c r="H1835" s="551">
        <v>6</v>
      </c>
      <c r="I1835" s="551">
        <v>1</v>
      </c>
      <c r="J1835" s="551">
        <v>2</v>
      </c>
      <c r="K1835" s="527">
        <f t="shared" si="1074"/>
        <v>0.0252731341318942</v>
      </c>
      <c r="L1835" s="528">
        <f t="shared" si="1075"/>
        <v>1.30208333333333</v>
      </c>
      <c r="M1835" s="528">
        <f t="shared" si="1076"/>
        <v>32.9077267342372</v>
      </c>
      <c r="N1835" s="528">
        <f t="shared" si="1077"/>
        <v>23.192</v>
      </c>
      <c r="O1835" s="528">
        <f t="shared" si="1078"/>
        <v>0.00260416666666667</v>
      </c>
      <c r="P1835" s="529">
        <f t="shared" si="1079"/>
        <v>71.4285714285714</v>
      </c>
      <c r="Q1835" s="24">
        <f t="shared" si="1080"/>
        <v>7</v>
      </c>
      <c r="R1835" s="530">
        <f t="shared" si="1081"/>
        <v>0.0182291666666667</v>
      </c>
    </row>
    <row r="1836" spans="1:18">
      <c r="A1836" s="524"/>
      <c r="B1836" s="540" t="s">
        <v>99</v>
      </c>
      <c r="C1836" s="551">
        <v>414.67</v>
      </c>
      <c r="D1836" s="555">
        <v>2239</v>
      </c>
      <c r="E1836" s="551">
        <v>414</v>
      </c>
      <c r="F1836" s="551">
        <v>0</v>
      </c>
      <c r="G1836" s="551">
        <v>0</v>
      </c>
      <c r="H1836" s="555">
        <v>10</v>
      </c>
      <c r="I1836" s="555">
        <v>0</v>
      </c>
      <c r="J1836" s="555">
        <v>0</v>
      </c>
      <c r="K1836" s="527">
        <f t="shared" si="1074"/>
        <v>0.184903974988834</v>
      </c>
      <c r="L1836" s="528">
        <f t="shared" si="1075"/>
        <v>1.00161835748792</v>
      </c>
      <c r="M1836" s="528">
        <f t="shared" si="1076"/>
        <v>185.203215721304</v>
      </c>
      <c r="N1836" s="528">
        <f t="shared" si="1077"/>
        <v>0</v>
      </c>
      <c r="O1836" s="528">
        <f t="shared" si="1078"/>
        <v>0</v>
      </c>
      <c r="P1836" s="529">
        <f t="shared" si="1079"/>
        <v>41.467</v>
      </c>
      <c r="Q1836" s="24">
        <f t="shared" si="1080"/>
        <v>10</v>
      </c>
      <c r="R1836" s="530">
        <f t="shared" si="1081"/>
        <v>0.0241545893719807</v>
      </c>
    </row>
    <row r="1837" spans="1:18">
      <c r="A1837" s="524"/>
      <c r="B1837" s="540" t="s">
        <v>100</v>
      </c>
      <c r="C1837" s="552">
        <v>870.19</v>
      </c>
      <c r="D1837" s="553">
        <v>35137</v>
      </c>
      <c r="E1837" s="553">
        <v>608</v>
      </c>
      <c r="F1837" s="551">
        <v>1</v>
      </c>
      <c r="G1837" s="551">
        <v>11097</v>
      </c>
      <c r="H1837" s="551">
        <v>20</v>
      </c>
      <c r="I1837" s="551">
        <v>10</v>
      </c>
      <c r="J1837" s="551">
        <v>0</v>
      </c>
      <c r="K1837" s="527">
        <f t="shared" si="1074"/>
        <v>0.017303696957623</v>
      </c>
      <c r="L1837" s="528">
        <f t="shared" si="1075"/>
        <v>1.43123355263158</v>
      </c>
      <c r="M1837" s="528">
        <f t="shared" si="1076"/>
        <v>24.765631670319</v>
      </c>
      <c r="N1837" s="528">
        <f t="shared" si="1077"/>
        <v>12.7523874096462</v>
      </c>
      <c r="O1837" s="528">
        <f t="shared" si="1078"/>
        <v>0.00164473684210526</v>
      </c>
      <c r="P1837" s="529">
        <f t="shared" si="1079"/>
        <v>29.0063333333333</v>
      </c>
      <c r="Q1837" s="24">
        <f t="shared" si="1080"/>
        <v>30</v>
      </c>
      <c r="R1837" s="530">
        <f t="shared" si="1081"/>
        <v>0.0493421052631579</v>
      </c>
    </row>
    <row r="1838" spans="1:18">
      <c r="A1838" s="524"/>
      <c r="B1838" s="540" t="s">
        <v>101</v>
      </c>
      <c r="C1838" s="552">
        <v>1501.7</v>
      </c>
      <c r="D1838" s="553">
        <v>4498</v>
      </c>
      <c r="E1838" s="551">
        <v>1080</v>
      </c>
      <c r="F1838" s="551">
        <v>11</v>
      </c>
      <c r="G1838" s="551">
        <v>119924</v>
      </c>
      <c r="H1838" s="551">
        <v>48</v>
      </c>
      <c r="I1838" s="551">
        <v>9</v>
      </c>
      <c r="J1838" s="551">
        <v>4</v>
      </c>
      <c r="K1838" s="527">
        <f t="shared" si="1074"/>
        <v>0.240106714095153</v>
      </c>
      <c r="L1838" s="528">
        <f t="shared" si="1075"/>
        <v>1.39046296296296</v>
      </c>
      <c r="M1838" s="528">
        <f t="shared" si="1076"/>
        <v>333.859493108048</v>
      </c>
      <c r="N1838" s="528">
        <f t="shared" si="1077"/>
        <v>79.8588266631151</v>
      </c>
      <c r="O1838" s="528">
        <f t="shared" si="1078"/>
        <v>0.0101851851851852</v>
      </c>
      <c r="P1838" s="529">
        <f t="shared" si="1079"/>
        <v>26.3456140350877</v>
      </c>
      <c r="Q1838" s="24">
        <f t="shared" si="1080"/>
        <v>57</v>
      </c>
      <c r="R1838" s="530">
        <f t="shared" si="1081"/>
        <v>0.0527777777777778</v>
      </c>
    </row>
    <row r="1839" spans="1:18">
      <c r="A1839" s="524"/>
      <c r="B1839" s="531" t="s">
        <v>96</v>
      </c>
      <c r="C1839" s="533">
        <f t="shared" ref="C1839:J1839" si="1083">SUM(C1835:C1838)</f>
        <v>3286.56</v>
      </c>
      <c r="D1839" s="533">
        <f t="shared" si="1083"/>
        <v>57068</v>
      </c>
      <c r="E1839" s="533">
        <f t="shared" si="1083"/>
        <v>2486</v>
      </c>
      <c r="F1839" s="533">
        <f t="shared" si="1083"/>
        <v>13</v>
      </c>
      <c r="G1839" s="533">
        <f t="shared" si="1083"/>
        <v>142617</v>
      </c>
      <c r="H1839" s="533">
        <f t="shared" si="1083"/>
        <v>84</v>
      </c>
      <c r="I1839" s="533">
        <f t="shared" si="1083"/>
        <v>20</v>
      </c>
      <c r="J1839" s="533">
        <f t="shared" si="1083"/>
        <v>6</v>
      </c>
      <c r="K1839" s="534">
        <f t="shared" si="1074"/>
        <v>0.043562066306862</v>
      </c>
      <c r="L1839" s="535">
        <f t="shared" si="1075"/>
        <v>1.3220273531778</v>
      </c>
      <c r="M1839" s="535">
        <f t="shared" si="1076"/>
        <v>57.5902432186164</v>
      </c>
      <c r="N1839" s="535">
        <f t="shared" si="1077"/>
        <v>43.3940046735797</v>
      </c>
      <c r="O1839" s="535">
        <f t="shared" si="1078"/>
        <v>0.00522928399034594</v>
      </c>
      <c r="P1839" s="536">
        <f t="shared" si="1079"/>
        <v>31.6015384615385</v>
      </c>
      <c r="Q1839" s="531">
        <f t="shared" si="1080"/>
        <v>104</v>
      </c>
      <c r="R1839" s="537">
        <f t="shared" si="1081"/>
        <v>0.0418342719227675</v>
      </c>
    </row>
    <row r="1840" spans="1:18">
      <c r="A1840" s="524">
        <v>45818</v>
      </c>
      <c r="B1840" s="540" t="s">
        <v>98</v>
      </c>
      <c r="C1840" s="551">
        <v>500</v>
      </c>
      <c r="D1840" s="553">
        <v>13555</v>
      </c>
      <c r="E1840" s="551">
        <v>347</v>
      </c>
      <c r="F1840" s="551">
        <v>0</v>
      </c>
      <c r="G1840" s="551">
        <v>0</v>
      </c>
      <c r="H1840" s="551">
        <v>6</v>
      </c>
      <c r="I1840" s="551">
        <v>2</v>
      </c>
      <c r="J1840" s="551">
        <v>1</v>
      </c>
      <c r="K1840" s="527">
        <f t="shared" si="1074"/>
        <v>0.0255994098118775</v>
      </c>
      <c r="L1840" s="528">
        <f t="shared" si="1075"/>
        <v>1.44092219020173</v>
      </c>
      <c r="M1840" s="528">
        <f t="shared" si="1076"/>
        <v>36.8867576540022</v>
      </c>
      <c r="N1840" s="528">
        <f t="shared" si="1077"/>
        <v>0</v>
      </c>
      <c r="O1840" s="528">
        <f t="shared" si="1078"/>
        <v>0</v>
      </c>
      <c r="P1840" s="529">
        <f t="shared" si="1079"/>
        <v>62.5</v>
      </c>
      <c r="Q1840" s="24">
        <f t="shared" si="1080"/>
        <v>8</v>
      </c>
      <c r="R1840" s="530">
        <f t="shared" si="1081"/>
        <v>0.0230547550432277</v>
      </c>
    </row>
    <row r="1841" spans="1:18">
      <c r="A1841" s="524"/>
      <c r="B1841" s="540" t="s">
        <v>99</v>
      </c>
      <c r="C1841" s="551">
        <v>338.19</v>
      </c>
      <c r="D1841" s="555">
        <v>3017</v>
      </c>
      <c r="E1841" s="551">
        <v>309</v>
      </c>
      <c r="F1841" s="551">
        <v>1</v>
      </c>
      <c r="G1841" s="551">
        <v>11596</v>
      </c>
      <c r="H1841" s="555">
        <v>10</v>
      </c>
      <c r="I1841" s="555">
        <v>0</v>
      </c>
      <c r="J1841" s="555">
        <v>2</v>
      </c>
      <c r="K1841" s="527">
        <f t="shared" si="1074"/>
        <v>0.1024196221412</v>
      </c>
      <c r="L1841" s="528">
        <f t="shared" si="1075"/>
        <v>1.09446601941748</v>
      </c>
      <c r="M1841" s="528">
        <f t="shared" si="1076"/>
        <v>112.094796155121</v>
      </c>
      <c r="N1841" s="528">
        <f t="shared" si="1077"/>
        <v>34.2884177533339</v>
      </c>
      <c r="O1841" s="528">
        <f t="shared" si="1078"/>
        <v>0.00323624595469256</v>
      </c>
      <c r="P1841" s="529">
        <f t="shared" si="1079"/>
        <v>33.819</v>
      </c>
      <c r="Q1841" s="24">
        <f t="shared" si="1080"/>
        <v>10</v>
      </c>
      <c r="R1841" s="530">
        <f t="shared" si="1081"/>
        <v>0.0323624595469256</v>
      </c>
    </row>
    <row r="1842" spans="1:18">
      <c r="A1842" s="524"/>
      <c r="B1842" s="540" t="s">
        <v>100</v>
      </c>
      <c r="C1842" s="552">
        <v>1148.26</v>
      </c>
      <c r="D1842" s="553">
        <v>34562</v>
      </c>
      <c r="E1842" s="553">
        <v>712</v>
      </c>
      <c r="F1842" s="551">
        <v>4</v>
      </c>
      <c r="G1842" s="551">
        <v>50143</v>
      </c>
      <c r="H1842" s="551">
        <v>28</v>
      </c>
      <c r="I1842" s="551">
        <v>12</v>
      </c>
      <c r="J1842" s="551">
        <v>1</v>
      </c>
      <c r="K1842" s="527">
        <f t="shared" si="1074"/>
        <v>0.0206006596840461</v>
      </c>
      <c r="L1842" s="528">
        <f t="shared" si="1075"/>
        <v>1.61272471910112</v>
      </c>
      <c r="M1842" s="528">
        <f t="shared" si="1076"/>
        <v>33.223193102251</v>
      </c>
      <c r="N1842" s="528">
        <f t="shared" si="1077"/>
        <v>43.6686813091112</v>
      </c>
      <c r="O1842" s="528">
        <f t="shared" si="1078"/>
        <v>0.00561797752808989</v>
      </c>
      <c r="P1842" s="529">
        <f t="shared" si="1079"/>
        <v>28.7065</v>
      </c>
      <c r="Q1842" s="24">
        <f t="shared" si="1080"/>
        <v>40</v>
      </c>
      <c r="R1842" s="530">
        <f t="shared" si="1081"/>
        <v>0.0561797752808989</v>
      </c>
    </row>
    <row r="1843" spans="1:18">
      <c r="A1843" s="524"/>
      <c r="B1843" s="540" t="s">
        <v>101</v>
      </c>
      <c r="C1843" s="552">
        <v>994.75</v>
      </c>
      <c r="D1843" s="553">
        <v>59108</v>
      </c>
      <c r="E1843" s="551">
        <v>876</v>
      </c>
      <c r="F1843" s="551">
        <v>8</v>
      </c>
      <c r="G1843" s="551">
        <v>84967</v>
      </c>
      <c r="H1843" s="551">
        <v>27</v>
      </c>
      <c r="I1843" s="551">
        <v>11</v>
      </c>
      <c r="J1843" s="551">
        <v>3</v>
      </c>
      <c r="K1843" s="527">
        <f t="shared" si="1074"/>
        <v>0.0148203288894904</v>
      </c>
      <c r="L1843" s="528">
        <f t="shared" si="1075"/>
        <v>1.13555936073059</v>
      </c>
      <c r="M1843" s="528">
        <f t="shared" si="1076"/>
        <v>16.8293631995669</v>
      </c>
      <c r="N1843" s="528">
        <f t="shared" si="1077"/>
        <v>85.4154310128173</v>
      </c>
      <c r="O1843" s="528">
        <f t="shared" si="1078"/>
        <v>0.0091324200913242</v>
      </c>
      <c r="P1843" s="529">
        <f t="shared" si="1079"/>
        <v>26.1776315789474</v>
      </c>
      <c r="Q1843" s="24">
        <f t="shared" si="1080"/>
        <v>38</v>
      </c>
      <c r="R1843" s="530">
        <f t="shared" si="1081"/>
        <v>0.04337899543379</v>
      </c>
    </row>
    <row r="1844" spans="1:18">
      <c r="A1844" s="524"/>
      <c r="B1844" s="531" t="s">
        <v>96</v>
      </c>
      <c r="C1844" s="533">
        <f t="shared" ref="C1844:J1844" si="1084">SUM(C1840:C1843)</f>
        <v>2981.2</v>
      </c>
      <c r="D1844" s="533">
        <f t="shared" si="1084"/>
        <v>110242</v>
      </c>
      <c r="E1844" s="533">
        <f t="shared" si="1084"/>
        <v>2244</v>
      </c>
      <c r="F1844" s="533">
        <f t="shared" si="1084"/>
        <v>13</v>
      </c>
      <c r="G1844" s="533">
        <f t="shared" si="1084"/>
        <v>146706</v>
      </c>
      <c r="H1844" s="533">
        <f t="shared" si="1084"/>
        <v>71</v>
      </c>
      <c r="I1844" s="533">
        <f t="shared" si="1084"/>
        <v>25</v>
      </c>
      <c r="J1844" s="533">
        <f t="shared" si="1084"/>
        <v>7</v>
      </c>
      <c r="K1844" s="534">
        <f t="shared" si="1074"/>
        <v>0.0203552185192576</v>
      </c>
      <c r="L1844" s="535">
        <f t="shared" si="1075"/>
        <v>1.32852049910873</v>
      </c>
      <c r="M1844" s="535">
        <f t="shared" si="1076"/>
        <v>27.0423250666715</v>
      </c>
      <c r="N1844" s="535">
        <f t="shared" si="1077"/>
        <v>49.2103850798336</v>
      </c>
      <c r="O1844" s="535">
        <f t="shared" si="1078"/>
        <v>0.00579322638146168</v>
      </c>
      <c r="P1844" s="536">
        <f t="shared" si="1079"/>
        <v>31.0541666666667</v>
      </c>
      <c r="Q1844" s="531">
        <f t="shared" si="1080"/>
        <v>96</v>
      </c>
      <c r="R1844" s="537">
        <f t="shared" si="1081"/>
        <v>0.0427807486631016</v>
      </c>
    </row>
    <row r="1845" spans="1:18">
      <c r="A1845" s="524">
        <v>45819</v>
      </c>
      <c r="B1845" s="540" t="s">
        <v>98</v>
      </c>
      <c r="C1845" s="551">
        <v>500</v>
      </c>
      <c r="D1845" s="553">
        <v>11547</v>
      </c>
      <c r="E1845" s="551">
        <v>328</v>
      </c>
      <c r="F1845" s="551">
        <v>0</v>
      </c>
      <c r="G1845" s="551">
        <v>0</v>
      </c>
      <c r="H1845" s="551">
        <v>19</v>
      </c>
      <c r="I1845" s="551">
        <v>3</v>
      </c>
      <c r="J1845" s="551">
        <v>2</v>
      </c>
      <c r="K1845" s="527">
        <f t="shared" si="1074"/>
        <v>0.0284056464882654</v>
      </c>
      <c r="L1845" s="528">
        <f t="shared" si="1075"/>
        <v>1.52439024390244</v>
      </c>
      <c r="M1845" s="528">
        <f t="shared" si="1076"/>
        <v>43.3012903784533</v>
      </c>
      <c r="N1845" s="528">
        <f t="shared" si="1077"/>
        <v>0</v>
      </c>
      <c r="O1845" s="528">
        <f t="shared" si="1078"/>
        <v>0</v>
      </c>
      <c r="P1845" s="529">
        <f t="shared" si="1079"/>
        <v>22.7272727272727</v>
      </c>
      <c r="Q1845" s="24">
        <f t="shared" si="1080"/>
        <v>22</v>
      </c>
      <c r="R1845" s="530">
        <f t="shared" si="1081"/>
        <v>0.0670731707317073</v>
      </c>
    </row>
    <row r="1846" spans="1:18">
      <c r="A1846" s="524"/>
      <c r="B1846" s="540" t="s">
        <v>99</v>
      </c>
      <c r="C1846" s="551">
        <v>403.99</v>
      </c>
      <c r="D1846" s="555">
        <v>1981</v>
      </c>
      <c r="E1846" s="551">
        <v>277</v>
      </c>
      <c r="F1846" s="551">
        <v>2</v>
      </c>
      <c r="G1846" s="551">
        <v>22179</v>
      </c>
      <c r="H1846" s="555">
        <v>5</v>
      </c>
      <c r="I1846" s="555">
        <v>0</v>
      </c>
      <c r="J1846" s="555">
        <v>2</v>
      </c>
      <c r="K1846" s="527">
        <f t="shared" si="1074"/>
        <v>0.139828369510348</v>
      </c>
      <c r="L1846" s="528">
        <f t="shared" si="1075"/>
        <v>1.4584476534296</v>
      </c>
      <c r="M1846" s="528">
        <f t="shared" si="1076"/>
        <v>203.932357395255</v>
      </c>
      <c r="N1846" s="528">
        <f t="shared" si="1077"/>
        <v>54.8998737592515</v>
      </c>
      <c r="O1846" s="528">
        <f t="shared" si="1078"/>
        <v>0.0072202166064982</v>
      </c>
      <c r="P1846" s="529">
        <f t="shared" si="1079"/>
        <v>80.798</v>
      </c>
      <c r="Q1846" s="24">
        <f t="shared" si="1080"/>
        <v>5</v>
      </c>
      <c r="R1846" s="530">
        <f t="shared" si="1081"/>
        <v>0.0180505415162455</v>
      </c>
    </row>
    <row r="1847" spans="1:18">
      <c r="A1847" s="524"/>
      <c r="B1847" s="540" t="s">
        <v>100</v>
      </c>
      <c r="C1847" s="552">
        <v>1178.26</v>
      </c>
      <c r="D1847" s="553">
        <v>58723</v>
      </c>
      <c r="E1847" s="553">
        <v>721</v>
      </c>
      <c r="F1847" s="551">
        <v>0</v>
      </c>
      <c r="G1847" s="551">
        <v>0</v>
      </c>
      <c r="H1847" s="551">
        <v>28</v>
      </c>
      <c r="I1847" s="551">
        <v>15</v>
      </c>
      <c r="J1847" s="551">
        <v>0</v>
      </c>
      <c r="K1847" s="527">
        <f t="shared" si="1074"/>
        <v>0.0122779830730719</v>
      </c>
      <c r="L1847" s="528">
        <f t="shared" si="1075"/>
        <v>1.63420249653259</v>
      </c>
      <c r="M1847" s="528">
        <f t="shared" si="1076"/>
        <v>20.064710590399</v>
      </c>
      <c r="N1847" s="528">
        <f t="shared" si="1077"/>
        <v>0</v>
      </c>
      <c r="O1847" s="528">
        <f t="shared" si="1078"/>
        <v>0</v>
      </c>
      <c r="P1847" s="529">
        <f t="shared" si="1079"/>
        <v>27.4013953488372</v>
      </c>
      <c r="Q1847" s="24">
        <f t="shared" si="1080"/>
        <v>43</v>
      </c>
      <c r="R1847" s="530">
        <f t="shared" si="1081"/>
        <v>0.0596393897364771</v>
      </c>
    </row>
    <row r="1848" spans="1:18">
      <c r="A1848" s="524"/>
      <c r="B1848" s="540" t="s">
        <v>101</v>
      </c>
      <c r="C1848" s="552">
        <v>2634.2</v>
      </c>
      <c r="D1848" s="553">
        <v>91191</v>
      </c>
      <c r="E1848" s="551">
        <v>2142</v>
      </c>
      <c r="F1848" s="551">
        <v>15</v>
      </c>
      <c r="G1848" s="551">
        <v>137032</v>
      </c>
      <c r="H1848" s="551">
        <v>66</v>
      </c>
      <c r="I1848" s="551">
        <v>13</v>
      </c>
      <c r="J1848" s="551">
        <v>5</v>
      </c>
      <c r="K1848" s="527">
        <f t="shared" si="1074"/>
        <v>0.023489160114485</v>
      </c>
      <c r="L1848" s="528">
        <f t="shared" si="1075"/>
        <v>1.22978524743231</v>
      </c>
      <c r="M1848" s="528">
        <f t="shared" si="1076"/>
        <v>28.886622583369</v>
      </c>
      <c r="N1848" s="528">
        <f t="shared" si="1077"/>
        <v>52.0203477336573</v>
      </c>
      <c r="O1848" s="528">
        <f t="shared" si="1078"/>
        <v>0.00700280112044818</v>
      </c>
      <c r="P1848" s="529">
        <f t="shared" si="1079"/>
        <v>33.3443037974683</v>
      </c>
      <c r="Q1848" s="24">
        <f t="shared" si="1080"/>
        <v>79</v>
      </c>
      <c r="R1848" s="530">
        <f t="shared" si="1081"/>
        <v>0.0368814192343604</v>
      </c>
    </row>
    <row r="1849" spans="1:18">
      <c r="A1849" s="524"/>
      <c r="B1849" s="531" t="s">
        <v>96</v>
      </c>
      <c r="C1849" s="533">
        <f t="shared" ref="C1849:J1849" si="1085">SUM(C1845:C1848)</f>
        <v>4716.45</v>
      </c>
      <c r="D1849" s="533">
        <f t="shared" si="1085"/>
        <v>163442</v>
      </c>
      <c r="E1849" s="533">
        <f t="shared" si="1085"/>
        <v>3468</v>
      </c>
      <c r="F1849" s="533">
        <f t="shared" si="1085"/>
        <v>17</v>
      </c>
      <c r="G1849" s="533">
        <f t="shared" si="1085"/>
        <v>159211</v>
      </c>
      <c r="H1849" s="533">
        <f t="shared" si="1085"/>
        <v>118</v>
      </c>
      <c r="I1849" s="533">
        <f t="shared" si="1085"/>
        <v>31</v>
      </c>
      <c r="J1849" s="533">
        <f t="shared" si="1085"/>
        <v>9</v>
      </c>
      <c r="K1849" s="534">
        <f t="shared" si="1074"/>
        <v>0.0212185362391552</v>
      </c>
      <c r="L1849" s="535">
        <f t="shared" si="1075"/>
        <v>1.35999134948097</v>
      </c>
      <c r="M1849" s="535">
        <f t="shared" si="1076"/>
        <v>28.8570257338995</v>
      </c>
      <c r="N1849" s="535">
        <f t="shared" si="1077"/>
        <v>33.7565329856142</v>
      </c>
      <c r="O1849" s="535">
        <f t="shared" si="1078"/>
        <v>0.00490196078431373</v>
      </c>
      <c r="P1849" s="536">
        <f t="shared" si="1079"/>
        <v>31.6540268456376</v>
      </c>
      <c r="Q1849" s="531">
        <f t="shared" si="1080"/>
        <v>149</v>
      </c>
      <c r="R1849" s="537">
        <f t="shared" si="1081"/>
        <v>0.0429642445213379</v>
      </c>
    </row>
    <row r="1850" spans="1:18">
      <c r="A1850" s="524">
        <v>45820</v>
      </c>
      <c r="B1850" s="540" t="s">
        <v>98</v>
      </c>
      <c r="C1850" s="551">
        <v>499.79</v>
      </c>
      <c r="D1850" s="553">
        <v>13848</v>
      </c>
      <c r="E1850" s="551">
        <v>358</v>
      </c>
      <c r="F1850" s="551">
        <v>1</v>
      </c>
      <c r="G1850" s="551">
        <v>9434</v>
      </c>
      <c r="H1850" s="551">
        <v>15</v>
      </c>
      <c r="I1850" s="551">
        <v>4</v>
      </c>
      <c r="J1850" s="551">
        <v>1</v>
      </c>
      <c r="K1850" s="527">
        <f t="shared" si="1074"/>
        <v>0.0258521086077412</v>
      </c>
      <c r="L1850" s="528">
        <f t="shared" si="1075"/>
        <v>1.39606145251397</v>
      </c>
      <c r="M1850" s="528">
        <f t="shared" si="1076"/>
        <v>36.091132293472</v>
      </c>
      <c r="N1850" s="528">
        <f t="shared" si="1077"/>
        <v>18.8759278897137</v>
      </c>
      <c r="O1850" s="528">
        <f t="shared" si="1078"/>
        <v>0.00279329608938547</v>
      </c>
      <c r="P1850" s="529">
        <f t="shared" si="1079"/>
        <v>26.3047368421053</v>
      </c>
      <c r="Q1850" s="24">
        <f t="shared" si="1080"/>
        <v>19</v>
      </c>
      <c r="R1850" s="530">
        <f t="shared" si="1081"/>
        <v>0.053072625698324</v>
      </c>
    </row>
    <row r="1851" spans="1:18">
      <c r="A1851" s="524"/>
      <c r="B1851" s="540" t="s">
        <v>99</v>
      </c>
      <c r="C1851" s="551">
        <v>353.86</v>
      </c>
      <c r="D1851" s="555">
        <v>1980</v>
      </c>
      <c r="E1851" s="551">
        <v>291</v>
      </c>
      <c r="F1851" s="551">
        <v>3</v>
      </c>
      <c r="G1851" s="551">
        <v>32385</v>
      </c>
      <c r="H1851" s="555">
        <v>3</v>
      </c>
      <c r="I1851" s="555">
        <v>4</v>
      </c>
      <c r="J1851" s="555">
        <v>3</v>
      </c>
      <c r="K1851" s="527">
        <f t="shared" si="1074"/>
        <v>0.146969696969697</v>
      </c>
      <c r="L1851" s="528">
        <f t="shared" si="1075"/>
        <v>1.21601374570447</v>
      </c>
      <c r="M1851" s="528">
        <f t="shared" si="1076"/>
        <v>178.717171717172</v>
      </c>
      <c r="N1851" s="528">
        <f t="shared" si="1077"/>
        <v>91.5192448991126</v>
      </c>
      <c r="O1851" s="528">
        <f t="shared" si="1078"/>
        <v>0.0103092783505155</v>
      </c>
      <c r="P1851" s="529">
        <f t="shared" si="1079"/>
        <v>50.5514285714286</v>
      </c>
      <c r="Q1851" s="24">
        <f t="shared" si="1080"/>
        <v>7</v>
      </c>
      <c r="R1851" s="530">
        <f t="shared" si="1081"/>
        <v>0.0240549828178694</v>
      </c>
    </row>
    <row r="1852" spans="1:18">
      <c r="A1852" s="524"/>
      <c r="B1852" s="540" t="s">
        <v>100</v>
      </c>
      <c r="C1852" s="552">
        <v>1175.82</v>
      </c>
      <c r="D1852" s="553">
        <v>40060</v>
      </c>
      <c r="E1852" s="553">
        <v>666</v>
      </c>
      <c r="F1852" s="551">
        <v>3</v>
      </c>
      <c r="G1852" s="551">
        <v>34204</v>
      </c>
      <c r="H1852" s="551">
        <v>25</v>
      </c>
      <c r="I1852" s="551">
        <v>13</v>
      </c>
      <c r="J1852" s="551">
        <v>2</v>
      </c>
      <c r="K1852" s="527">
        <f t="shared" si="1074"/>
        <v>0.0166250624063904</v>
      </c>
      <c r="L1852" s="528">
        <f t="shared" si="1075"/>
        <v>1.7654954954955</v>
      </c>
      <c r="M1852" s="528">
        <f t="shared" si="1076"/>
        <v>29.3514727908138</v>
      </c>
      <c r="N1852" s="528">
        <f t="shared" si="1077"/>
        <v>29.0894864860268</v>
      </c>
      <c r="O1852" s="528">
        <f t="shared" si="1078"/>
        <v>0.0045045045045045</v>
      </c>
      <c r="P1852" s="529">
        <f t="shared" si="1079"/>
        <v>30.9426315789474</v>
      </c>
      <c r="Q1852" s="24">
        <f t="shared" si="1080"/>
        <v>38</v>
      </c>
      <c r="R1852" s="530">
        <f t="shared" si="1081"/>
        <v>0.0570570570570571</v>
      </c>
    </row>
    <row r="1853" spans="1:18">
      <c r="A1853" s="524"/>
      <c r="B1853" s="540" t="s">
        <v>101</v>
      </c>
      <c r="C1853" s="552">
        <v>1036.19</v>
      </c>
      <c r="D1853" s="553">
        <v>55508</v>
      </c>
      <c r="E1853" s="551">
        <v>1306</v>
      </c>
      <c r="F1853" s="551">
        <v>7</v>
      </c>
      <c r="G1853" s="551">
        <v>65738</v>
      </c>
      <c r="H1853" s="551">
        <v>57</v>
      </c>
      <c r="I1853" s="551">
        <v>9</v>
      </c>
      <c r="J1853" s="551">
        <v>3</v>
      </c>
      <c r="K1853" s="527">
        <f t="shared" si="1074"/>
        <v>0.0235281400879153</v>
      </c>
      <c r="L1853" s="528">
        <f t="shared" si="1075"/>
        <v>0.793407350689127</v>
      </c>
      <c r="M1853" s="528">
        <f t="shared" si="1076"/>
        <v>18.6673992937955</v>
      </c>
      <c r="N1853" s="528">
        <f t="shared" si="1077"/>
        <v>63.4420328318166</v>
      </c>
      <c r="O1853" s="528">
        <f t="shared" si="1078"/>
        <v>0.00535987748851455</v>
      </c>
      <c r="P1853" s="529">
        <f t="shared" si="1079"/>
        <v>15.6998484848485</v>
      </c>
      <c r="Q1853" s="24">
        <f t="shared" si="1080"/>
        <v>66</v>
      </c>
      <c r="R1853" s="530">
        <f t="shared" si="1081"/>
        <v>0.0505359877488515</v>
      </c>
    </row>
    <row r="1854" spans="1:18">
      <c r="A1854" s="524"/>
      <c r="B1854" s="531" t="s">
        <v>96</v>
      </c>
      <c r="C1854" s="533">
        <f t="shared" ref="C1854:J1854" si="1086">SUM(C1850:C1853)</f>
        <v>3065.66</v>
      </c>
      <c r="D1854" s="533">
        <f t="shared" si="1086"/>
        <v>111396</v>
      </c>
      <c r="E1854" s="533">
        <f t="shared" si="1086"/>
        <v>2621</v>
      </c>
      <c r="F1854" s="533">
        <f t="shared" si="1086"/>
        <v>14</v>
      </c>
      <c r="G1854" s="533">
        <f t="shared" si="1086"/>
        <v>141761</v>
      </c>
      <c r="H1854" s="533">
        <f t="shared" si="1086"/>
        <v>100</v>
      </c>
      <c r="I1854" s="533">
        <f t="shared" si="1086"/>
        <v>30</v>
      </c>
      <c r="J1854" s="533">
        <f t="shared" si="1086"/>
        <v>9</v>
      </c>
      <c r="K1854" s="534">
        <f t="shared" si="1074"/>
        <v>0.0235286724837517</v>
      </c>
      <c r="L1854" s="535">
        <f t="shared" si="1075"/>
        <v>1.16965280427318</v>
      </c>
      <c r="M1854" s="535">
        <f t="shared" si="1076"/>
        <v>27.5203777514453</v>
      </c>
      <c r="N1854" s="535">
        <f t="shared" si="1077"/>
        <v>46.2415923487928</v>
      </c>
      <c r="O1854" s="535">
        <f t="shared" si="1078"/>
        <v>0.00534147272033575</v>
      </c>
      <c r="P1854" s="536">
        <f t="shared" si="1079"/>
        <v>23.582</v>
      </c>
      <c r="Q1854" s="531">
        <f t="shared" si="1080"/>
        <v>130</v>
      </c>
      <c r="R1854" s="537">
        <f t="shared" si="1081"/>
        <v>0.0495993895459748</v>
      </c>
    </row>
    <row r="1855" spans="1:18">
      <c r="A1855" s="524">
        <v>45821</v>
      </c>
      <c r="B1855" s="540" t="s">
        <v>98</v>
      </c>
      <c r="C1855" s="551">
        <v>500</v>
      </c>
      <c r="D1855" s="553">
        <v>11889</v>
      </c>
      <c r="E1855" s="551">
        <v>341</v>
      </c>
      <c r="F1855" s="551">
        <v>0</v>
      </c>
      <c r="G1855" s="551">
        <v>0</v>
      </c>
      <c r="H1855" s="551">
        <v>9</v>
      </c>
      <c r="I1855" s="551">
        <v>1</v>
      </c>
      <c r="J1855" s="551">
        <v>1</v>
      </c>
      <c r="K1855" s="527">
        <f t="shared" si="1074"/>
        <v>0.0286819749348137</v>
      </c>
      <c r="L1855" s="528">
        <f t="shared" si="1075"/>
        <v>1.46627565982405</v>
      </c>
      <c r="M1855" s="528">
        <f t="shared" si="1076"/>
        <v>42.0556817226007</v>
      </c>
      <c r="N1855" s="528">
        <f t="shared" si="1077"/>
        <v>0</v>
      </c>
      <c r="O1855" s="528">
        <f t="shared" si="1078"/>
        <v>0</v>
      </c>
      <c r="P1855" s="529">
        <f t="shared" si="1079"/>
        <v>50</v>
      </c>
      <c r="Q1855" s="24">
        <f t="shared" si="1080"/>
        <v>10</v>
      </c>
      <c r="R1855" s="530">
        <f t="shared" si="1081"/>
        <v>0.0293255131964809</v>
      </c>
    </row>
    <row r="1856" spans="1:18">
      <c r="A1856" s="524"/>
      <c r="B1856" s="540" t="s">
        <v>99</v>
      </c>
      <c r="C1856" s="551">
        <v>338.85</v>
      </c>
      <c r="D1856" s="555">
        <v>2121</v>
      </c>
      <c r="E1856" s="551">
        <v>259</v>
      </c>
      <c r="F1856" s="551">
        <v>4</v>
      </c>
      <c r="G1856" s="551">
        <v>38709</v>
      </c>
      <c r="H1856" s="555">
        <v>9</v>
      </c>
      <c r="I1856" s="555">
        <v>1</v>
      </c>
      <c r="J1856" s="555">
        <v>2</v>
      </c>
      <c r="K1856" s="527">
        <f t="shared" si="1074"/>
        <v>0.122112211221122</v>
      </c>
      <c r="L1856" s="528">
        <f t="shared" si="1075"/>
        <v>1.30830115830116</v>
      </c>
      <c r="M1856" s="528">
        <f t="shared" si="1076"/>
        <v>159.75954738331</v>
      </c>
      <c r="N1856" s="528">
        <f t="shared" si="1077"/>
        <v>114.236387782205</v>
      </c>
      <c r="O1856" s="528">
        <f t="shared" si="1078"/>
        <v>0.0154440154440154</v>
      </c>
      <c r="P1856" s="529">
        <f t="shared" si="1079"/>
        <v>33.885</v>
      </c>
      <c r="Q1856" s="24">
        <f t="shared" si="1080"/>
        <v>10</v>
      </c>
      <c r="R1856" s="530">
        <f t="shared" si="1081"/>
        <v>0.0386100386100386</v>
      </c>
    </row>
    <row r="1857" spans="1:18">
      <c r="A1857" s="524"/>
      <c r="B1857" s="540" t="s">
        <v>100</v>
      </c>
      <c r="C1857" s="552">
        <v>1162.58</v>
      </c>
      <c r="D1857" s="553">
        <v>52905</v>
      </c>
      <c r="E1857" s="553">
        <v>776</v>
      </c>
      <c r="F1857" s="551">
        <v>3</v>
      </c>
      <c r="G1857" s="551">
        <v>45370</v>
      </c>
      <c r="H1857" s="551">
        <v>16</v>
      </c>
      <c r="I1857" s="551">
        <v>17</v>
      </c>
      <c r="J1857" s="551">
        <v>3</v>
      </c>
      <c r="K1857" s="527">
        <f t="shared" si="1074"/>
        <v>0.014667800774974</v>
      </c>
      <c r="L1857" s="528">
        <f t="shared" si="1075"/>
        <v>1.49817010309278</v>
      </c>
      <c r="M1857" s="528">
        <f t="shared" si="1076"/>
        <v>21.9748605991872</v>
      </c>
      <c r="N1857" s="528">
        <f t="shared" si="1077"/>
        <v>39.0252713791739</v>
      </c>
      <c r="O1857" s="528">
        <f t="shared" si="1078"/>
        <v>0.0038659793814433</v>
      </c>
      <c r="P1857" s="529">
        <f t="shared" si="1079"/>
        <v>35.229696969697</v>
      </c>
      <c r="Q1857" s="24">
        <f t="shared" si="1080"/>
        <v>33</v>
      </c>
      <c r="R1857" s="530">
        <f t="shared" si="1081"/>
        <v>0.0425257731958763</v>
      </c>
    </row>
    <row r="1858" spans="1:18">
      <c r="A1858" s="524"/>
      <c r="B1858" s="540" t="s">
        <v>101</v>
      </c>
      <c r="C1858" s="552">
        <v>58.49</v>
      </c>
      <c r="D1858" s="553">
        <v>15758</v>
      </c>
      <c r="E1858" s="551">
        <v>239</v>
      </c>
      <c r="F1858" s="551">
        <v>4</v>
      </c>
      <c r="G1858" s="551">
        <v>51318</v>
      </c>
      <c r="H1858" s="551">
        <v>10</v>
      </c>
      <c r="I1858" s="551">
        <v>7</v>
      </c>
      <c r="J1858" s="551">
        <v>1</v>
      </c>
      <c r="K1858" s="527">
        <f t="shared" si="1074"/>
        <v>0.0151668993527097</v>
      </c>
      <c r="L1858" s="528">
        <f t="shared" si="1075"/>
        <v>0.244728033472803</v>
      </c>
      <c r="M1858" s="528">
        <f t="shared" si="1076"/>
        <v>3.71176545246859</v>
      </c>
      <c r="N1858" s="528">
        <f t="shared" si="1077"/>
        <v>877.380748845957</v>
      </c>
      <c r="O1858" s="528">
        <f t="shared" si="1078"/>
        <v>0.0167364016736402</v>
      </c>
      <c r="P1858" s="529">
        <f t="shared" si="1079"/>
        <v>3.44058823529412</v>
      </c>
      <c r="Q1858" s="24">
        <f t="shared" si="1080"/>
        <v>17</v>
      </c>
      <c r="R1858" s="530">
        <f t="shared" si="1081"/>
        <v>0.0711297071129707</v>
      </c>
    </row>
    <row r="1859" spans="1:18">
      <c r="A1859" s="524"/>
      <c r="B1859" s="531" t="s">
        <v>96</v>
      </c>
      <c r="C1859" s="533">
        <f t="shared" ref="C1859:J1859" si="1087">SUM(C1855:C1858)</f>
        <v>2059.92</v>
      </c>
      <c r="D1859" s="533">
        <f t="shared" si="1087"/>
        <v>82673</v>
      </c>
      <c r="E1859" s="533">
        <f t="shared" si="1087"/>
        <v>1615</v>
      </c>
      <c r="F1859" s="533">
        <f t="shared" si="1087"/>
        <v>11</v>
      </c>
      <c r="G1859" s="533">
        <f t="shared" si="1087"/>
        <v>135397</v>
      </c>
      <c r="H1859" s="533">
        <f t="shared" si="1087"/>
        <v>44</v>
      </c>
      <c r="I1859" s="533">
        <f t="shared" si="1087"/>
        <v>26</v>
      </c>
      <c r="J1859" s="533">
        <f t="shared" si="1087"/>
        <v>7</v>
      </c>
      <c r="K1859" s="534">
        <f t="shared" si="1074"/>
        <v>0.019534793705321</v>
      </c>
      <c r="L1859" s="535">
        <f t="shared" si="1075"/>
        <v>1.27549226006192</v>
      </c>
      <c r="M1859" s="535">
        <f t="shared" si="1076"/>
        <v>24.9164781730432</v>
      </c>
      <c r="N1859" s="535">
        <f t="shared" si="1077"/>
        <v>65.7292516214222</v>
      </c>
      <c r="O1859" s="535">
        <f t="shared" si="1078"/>
        <v>0.00681114551083591</v>
      </c>
      <c r="P1859" s="536">
        <f t="shared" si="1079"/>
        <v>29.4274285714286</v>
      </c>
      <c r="Q1859" s="531">
        <f t="shared" si="1080"/>
        <v>70</v>
      </c>
      <c r="R1859" s="537">
        <f t="shared" si="1081"/>
        <v>0.043343653250774</v>
      </c>
    </row>
    <row r="1860" spans="1:18">
      <c r="A1860" s="524">
        <v>45822</v>
      </c>
      <c r="B1860" s="540" t="s">
        <v>98</v>
      </c>
      <c r="C1860" s="551">
        <v>497.96</v>
      </c>
      <c r="D1860" s="553">
        <v>14686</v>
      </c>
      <c r="E1860" s="551">
        <v>370</v>
      </c>
      <c r="F1860" s="551">
        <v>2</v>
      </c>
      <c r="G1860" s="551">
        <v>27769</v>
      </c>
      <c r="H1860" s="551">
        <v>12</v>
      </c>
      <c r="I1860" s="551">
        <v>1</v>
      </c>
      <c r="J1860" s="551">
        <v>1</v>
      </c>
      <c r="K1860" s="527">
        <f t="shared" si="1074"/>
        <v>0.0251940623723274</v>
      </c>
      <c r="L1860" s="528">
        <f t="shared" si="1075"/>
        <v>1.34583783783784</v>
      </c>
      <c r="M1860" s="528">
        <f t="shared" si="1076"/>
        <v>33.9071224295247</v>
      </c>
      <c r="N1860" s="528">
        <f t="shared" si="1077"/>
        <v>55.7655233352076</v>
      </c>
      <c r="O1860" s="528">
        <f t="shared" si="1078"/>
        <v>0.00540540540540541</v>
      </c>
      <c r="P1860" s="529">
        <f t="shared" si="1079"/>
        <v>38.3046153846154</v>
      </c>
      <c r="Q1860" s="24">
        <f t="shared" si="1080"/>
        <v>13</v>
      </c>
      <c r="R1860" s="530">
        <f t="shared" si="1081"/>
        <v>0.0351351351351351</v>
      </c>
    </row>
    <row r="1861" spans="1:18">
      <c r="A1861" s="524"/>
      <c r="B1861" s="540" t="s">
        <v>99</v>
      </c>
      <c r="C1861" s="551">
        <v>0</v>
      </c>
      <c r="D1861" s="555">
        <v>0</v>
      </c>
      <c r="E1861" s="551">
        <v>0</v>
      </c>
      <c r="F1861" s="551">
        <v>0</v>
      </c>
      <c r="G1861" s="551">
        <v>0</v>
      </c>
      <c r="H1861" s="555">
        <v>0</v>
      </c>
      <c r="I1861" s="555">
        <v>0</v>
      </c>
      <c r="J1861" s="555">
        <v>0</v>
      </c>
      <c r="K1861" s="527">
        <f t="shared" si="1074"/>
        <v>0</v>
      </c>
      <c r="L1861" s="528">
        <f t="shared" si="1075"/>
        <v>0</v>
      </c>
      <c r="M1861" s="528">
        <f t="shared" si="1076"/>
        <v>0</v>
      </c>
      <c r="N1861" s="528">
        <f t="shared" si="1077"/>
        <v>0</v>
      </c>
      <c r="O1861" s="528">
        <f t="shared" si="1078"/>
        <v>0</v>
      </c>
      <c r="P1861" s="529">
        <f t="shared" si="1079"/>
        <v>0</v>
      </c>
      <c r="Q1861" s="24">
        <f t="shared" si="1080"/>
        <v>0</v>
      </c>
      <c r="R1861" s="530">
        <f t="shared" si="1081"/>
        <v>0</v>
      </c>
    </row>
    <row r="1862" spans="1:18">
      <c r="A1862" s="524"/>
      <c r="B1862" s="540" t="s">
        <v>100</v>
      </c>
      <c r="C1862" s="552">
        <v>1184.8</v>
      </c>
      <c r="D1862" s="553">
        <v>44318</v>
      </c>
      <c r="E1862" s="553">
        <v>684</v>
      </c>
      <c r="F1862" s="551">
        <v>0</v>
      </c>
      <c r="G1862" s="551">
        <v>0</v>
      </c>
      <c r="H1862" s="551">
        <v>34</v>
      </c>
      <c r="I1862" s="551">
        <v>19</v>
      </c>
      <c r="J1862" s="551">
        <v>3</v>
      </c>
      <c r="K1862" s="527">
        <f t="shared" si="1074"/>
        <v>0.0154339094724491</v>
      </c>
      <c r="L1862" s="528">
        <f t="shared" si="1075"/>
        <v>1.73216374269006</v>
      </c>
      <c r="M1862" s="528">
        <f t="shared" si="1076"/>
        <v>26.734058396137</v>
      </c>
      <c r="N1862" s="528">
        <f t="shared" si="1077"/>
        <v>0</v>
      </c>
      <c r="O1862" s="528">
        <f t="shared" si="1078"/>
        <v>0</v>
      </c>
      <c r="P1862" s="529">
        <f t="shared" si="1079"/>
        <v>22.3547169811321</v>
      </c>
      <c r="Q1862" s="24">
        <f t="shared" si="1080"/>
        <v>53</v>
      </c>
      <c r="R1862" s="530">
        <f t="shared" si="1081"/>
        <v>0.0774853801169591</v>
      </c>
    </row>
    <row r="1863" spans="1:18">
      <c r="A1863" s="524"/>
      <c r="B1863" s="540" t="s">
        <v>101</v>
      </c>
      <c r="C1863" s="552">
        <v>0</v>
      </c>
      <c r="D1863" s="553">
        <v>0</v>
      </c>
      <c r="E1863" s="551">
        <v>0</v>
      </c>
      <c r="F1863" s="551">
        <v>0</v>
      </c>
      <c r="G1863" s="551">
        <v>0</v>
      </c>
      <c r="H1863" s="551">
        <v>0</v>
      </c>
      <c r="I1863" s="551">
        <v>0</v>
      </c>
      <c r="J1863" s="551">
        <v>0</v>
      </c>
      <c r="K1863" s="527">
        <f t="shared" si="1074"/>
        <v>0</v>
      </c>
      <c r="L1863" s="528">
        <f t="shared" si="1075"/>
        <v>0</v>
      </c>
      <c r="M1863" s="528">
        <f t="shared" si="1076"/>
        <v>0</v>
      </c>
      <c r="N1863" s="528">
        <f t="shared" si="1077"/>
        <v>0</v>
      </c>
      <c r="O1863" s="528">
        <f t="shared" si="1078"/>
        <v>0</v>
      </c>
      <c r="P1863" s="529">
        <f t="shared" si="1079"/>
        <v>0</v>
      </c>
      <c r="Q1863" s="24">
        <f t="shared" si="1080"/>
        <v>0</v>
      </c>
      <c r="R1863" s="530">
        <f t="shared" si="1081"/>
        <v>0</v>
      </c>
    </row>
    <row r="1864" spans="1:18">
      <c r="A1864" s="524"/>
      <c r="B1864" s="531" t="s">
        <v>96</v>
      </c>
      <c r="C1864" s="533">
        <f t="shared" ref="C1864:J1864" si="1088">SUM(C1860:C1863)</f>
        <v>1682.76</v>
      </c>
      <c r="D1864" s="533">
        <f t="shared" si="1088"/>
        <v>59004</v>
      </c>
      <c r="E1864" s="533">
        <f t="shared" si="1088"/>
        <v>1054</v>
      </c>
      <c r="F1864" s="533">
        <f t="shared" si="1088"/>
        <v>2</v>
      </c>
      <c r="G1864" s="533">
        <f t="shared" si="1088"/>
        <v>27769</v>
      </c>
      <c r="H1864" s="533">
        <f t="shared" si="1088"/>
        <v>46</v>
      </c>
      <c r="I1864" s="533">
        <f t="shared" si="1088"/>
        <v>20</v>
      </c>
      <c r="J1864" s="533">
        <f t="shared" si="1088"/>
        <v>4</v>
      </c>
      <c r="K1864" s="534">
        <f t="shared" si="1074"/>
        <v>0.0178631957155447</v>
      </c>
      <c r="L1864" s="535">
        <f t="shared" si="1075"/>
        <v>1.59654648956357</v>
      </c>
      <c r="M1864" s="535">
        <f t="shared" si="1076"/>
        <v>28.5194224120399</v>
      </c>
      <c r="N1864" s="535">
        <f t="shared" si="1077"/>
        <v>16.5020561458556</v>
      </c>
      <c r="O1864" s="535">
        <f t="shared" si="1078"/>
        <v>0.00189753320683112</v>
      </c>
      <c r="P1864" s="536">
        <f t="shared" si="1079"/>
        <v>25.4963636363636</v>
      </c>
      <c r="Q1864" s="531">
        <f t="shared" si="1080"/>
        <v>66</v>
      </c>
      <c r="R1864" s="537">
        <f t="shared" si="1081"/>
        <v>0.0626185958254269</v>
      </c>
    </row>
    <row r="1865" spans="1:18">
      <c r="A1865" s="524">
        <v>45823</v>
      </c>
      <c r="B1865" s="540" t="s">
        <v>98</v>
      </c>
      <c r="C1865" s="551">
        <v>497.79</v>
      </c>
      <c r="D1865" s="553">
        <v>17543</v>
      </c>
      <c r="E1865" s="551">
        <v>401</v>
      </c>
      <c r="F1865" s="551">
        <v>0</v>
      </c>
      <c r="G1865" s="551">
        <v>0</v>
      </c>
      <c r="H1865" s="551">
        <v>18</v>
      </c>
      <c r="I1865" s="551">
        <v>1</v>
      </c>
      <c r="J1865" s="551">
        <v>1</v>
      </c>
      <c r="K1865" s="527">
        <f t="shared" si="1074"/>
        <v>0.0228581200478823</v>
      </c>
      <c r="L1865" s="528">
        <f t="shared" si="1075"/>
        <v>1.24137157107232</v>
      </c>
      <c r="M1865" s="528">
        <f t="shared" si="1076"/>
        <v>28.3754203955994</v>
      </c>
      <c r="N1865" s="528">
        <f t="shared" si="1077"/>
        <v>0</v>
      </c>
      <c r="O1865" s="528">
        <f t="shared" si="1078"/>
        <v>0</v>
      </c>
      <c r="P1865" s="529">
        <f t="shared" si="1079"/>
        <v>26.1994736842105</v>
      </c>
      <c r="Q1865" s="24">
        <f t="shared" si="1080"/>
        <v>19</v>
      </c>
      <c r="R1865" s="530">
        <f t="shared" si="1081"/>
        <v>0.0473815461346633</v>
      </c>
    </row>
    <row r="1866" spans="1:18">
      <c r="A1866" s="524"/>
      <c r="B1866" s="540" t="s">
        <v>99</v>
      </c>
      <c r="C1866" s="551">
        <v>0</v>
      </c>
      <c r="D1866" s="555">
        <v>0</v>
      </c>
      <c r="E1866" s="551">
        <v>0</v>
      </c>
      <c r="F1866" s="551">
        <v>0</v>
      </c>
      <c r="G1866" s="551">
        <v>0</v>
      </c>
      <c r="H1866" s="555">
        <v>0</v>
      </c>
      <c r="I1866" s="555">
        <v>0</v>
      </c>
      <c r="J1866" s="555">
        <v>0</v>
      </c>
      <c r="K1866" s="527">
        <f t="shared" si="1074"/>
        <v>0</v>
      </c>
      <c r="L1866" s="528">
        <f t="shared" si="1075"/>
        <v>0</v>
      </c>
      <c r="M1866" s="528">
        <f t="shared" si="1076"/>
        <v>0</v>
      </c>
      <c r="N1866" s="528">
        <f t="shared" si="1077"/>
        <v>0</v>
      </c>
      <c r="O1866" s="528">
        <f t="shared" si="1078"/>
        <v>0</v>
      </c>
      <c r="P1866" s="529">
        <f t="shared" si="1079"/>
        <v>0</v>
      </c>
      <c r="Q1866" s="24">
        <f t="shared" si="1080"/>
        <v>0</v>
      </c>
      <c r="R1866" s="530">
        <f t="shared" si="1081"/>
        <v>0</v>
      </c>
    </row>
    <row r="1867" spans="1:18">
      <c r="A1867" s="524"/>
      <c r="B1867" s="540" t="s">
        <v>100</v>
      </c>
      <c r="C1867" s="552">
        <v>1179.55</v>
      </c>
      <c r="D1867" s="553">
        <v>26496</v>
      </c>
      <c r="E1867" s="553">
        <v>582</v>
      </c>
      <c r="F1867" s="551">
        <v>3</v>
      </c>
      <c r="G1867" s="551">
        <v>69182</v>
      </c>
      <c r="H1867" s="551">
        <v>34</v>
      </c>
      <c r="I1867" s="551">
        <v>16</v>
      </c>
      <c r="J1867" s="551">
        <v>3</v>
      </c>
      <c r="K1867" s="527">
        <f t="shared" si="1074"/>
        <v>0.0219655797101449</v>
      </c>
      <c r="L1867" s="528">
        <f t="shared" si="1075"/>
        <v>2.02671821305842</v>
      </c>
      <c r="M1867" s="528">
        <f t="shared" si="1076"/>
        <v>44.5180404589372</v>
      </c>
      <c r="N1867" s="528">
        <f t="shared" si="1077"/>
        <v>58.6511805349498</v>
      </c>
      <c r="O1867" s="528">
        <f t="shared" si="1078"/>
        <v>0.00515463917525773</v>
      </c>
      <c r="P1867" s="529">
        <f t="shared" si="1079"/>
        <v>23.591</v>
      </c>
      <c r="Q1867" s="24">
        <f t="shared" si="1080"/>
        <v>50</v>
      </c>
      <c r="R1867" s="530">
        <f t="shared" si="1081"/>
        <v>0.0859106529209622</v>
      </c>
    </row>
    <row r="1868" spans="1:18">
      <c r="A1868" s="524"/>
      <c r="B1868" s="540" t="s">
        <v>101</v>
      </c>
      <c r="C1868" s="552">
        <v>0</v>
      </c>
      <c r="D1868" s="553">
        <v>0</v>
      </c>
      <c r="E1868" s="551">
        <v>0</v>
      </c>
      <c r="F1868" s="551">
        <v>0</v>
      </c>
      <c r="G1868" s="551">
        <v>0</v>
      </c>
      <c r="H1868" s="551">
        <v>0</v>
      </c>
      <c r="I1868" s="551">
        <v>0</v>
      </c>
      <c r="J1868" s="551">
        <v>0</v>
      </c>
      <c r="K1868" s="527">
        <f t="shared" si="1074"/>
        <v>0</v>
      </c>
      <c r="L1868" s="528">
        <f t="shared" si="1075"/>
        <v>0</v>
      </c>
      <c r="M1868" s="528">
        <f t="shared" si="1076"/>
        <v>0</v>
      </c>
      <c r="N1868" s="528">
        <f t="shared" si="1077"/>
        <v>0</v>
      </c>
      <c r="O1868" s="528">
        <f t="shared" si="1078"/>
        <v>0</v>
      </c>
      <c r="P1868" s="529">
        <f t="shared" si="1079"/>
        <v>0</v>
      </c>
      <c r="Q1868" s="24">
        <f t="shared" si="1080"/>
        <v>0</v>
      </c>
      <c r="R1868" s="530">
        <f t="shared" si="1081"/>
        <v>0</v>
      </c>
    </row>
    <row r="1869" spans="1:18">
      <c r="A1869" s="524"/>
      <c r="B1869" s="531" t="s">
        <v>96</v>
      </c>
      <c r="C1869" s="533">
        <f t="shared" ref="C1869:J1869" si="1089">SUM(C1865:C1868)</f>
        <v>1677.34</v>
      </c>
      <c r="D1869" s="533">
        <f t="shared" si="1089"/>
        <v>44039</v>
      </c>
      <c r="E1869" s="533">
        <f t="shared" si="1089"/>
        <v>983</v>
      </c>
      <c r="F1869" s="533">
        <f t="shared" si="1089"/>
        <v>3</v>
      </c>
      <c r="G1869" s="533">
        <f t="shared" si="1089"/>
        <v>69182</v>
      </c>
      <c r="H1869" s="533">
        <f t="shared" si="1089"/>
        <v>52</v>
      </c>
      <c r="I1869" s="533">
        <f t="shared" si="1089"/>
        <v>17</v>
      </c>
      <c r="J1869" s="533">
        <f t="shared" si="1089"/>
        <v>4</v>
      </c>
      <c r="K1869" s="534">
        <f t="shared" si="1074"/>
        <v>0.0223211244578669</v>
      </c>
      <c r="L1869" s="535">
        <f t="shared" si="1075"/>
        <v>1.7063479145473</v>
      </c>
      <c r="M1869" s="535">
        <f t="shared" si="1076"/>
        <v>38.087604169032</v>
      </c>
      <c r="N1869" s="535">
        <f t="shared" si="1077"/>
        <v>41.245066593535</v>
      </c>
      <c r="O1869" s="535">
        <f t="shared" si="1078"/>
        <v>0.00305188199389624</v>
      </c>
      <c r="P1869" s="536">
        <f t="shared" si="1079"/>
        <v>24.3092753623188</v>
      </c>
      <c r="Q1869" s="531">
        <f t="shared" si="1080"/>
        <v>69</v>
      </c>
      <c r="R1869" s="537">
        <f t="shared" si="1081"/>
        <v>0.0701932858596134</v>
      </c>
    </row>
    <row r="1870" spans="1:18">
      <c r="A1870" s="524">
        <v>45824</v>
      </c>
      <c r="B1870" s="540" t="s">
        <v>98</v>
      </c>
      <c r="C1870" s="551">
        <v>500</v>
      </c>
      <c r="D1870" s="553">
        <v>15024</v>
      </c>
      <c r="E1870" s="551">
        <v>377</v>
      </c>
      <c r="F1870" s="551">
        <v>1</v>
      </c>
      <c r="G1870" s="551">
        <v>11097</v>
      </c>
      <c r="H1870" s="551">
        <v>9</v>
      </c>
      <c r="I1870" s="551">
        <v>5</v>
      </c>
      <c r="J1870" s="551">
        <v>2</v>
      </c>
      <c r="K1870" s="527">
        <f t="shared" si="1074"/>
        <v>0.0250931842385517</v>
      </c>
      <c r="L1870" s="528">
        <f t="shared" si="1075"/>
        <v>1.3262599469496</v>
      </c>
      <c r="M1870" s="528">
        <f t="shared" si="1076"/>
        <v>33.2800851970181</v>
      </c>
      <c r="N1870" s="528">
        <f t="shared" si="1077"/>
        <v>22.194</v>
      </c>
      <c r="O1870" s="528">
        <f t="shared" si="1078"/>
        <v>0.0026525198938992</v>
      </c>
      <c r="P1870" s="529">
        <f t="shared" si="1079"/>
        <v>35.7142857142857</v>
      </c>
      <c r="Q1870" s="24">
        <f t="shared" si="1080"/>
        <v>14</v>
      </c>
      <c r="R1870" s="530">
        <f t="shared" si="1081"/>
        <v>0.0371352785145889</v>
      </c>
    </row>
    <row r="1871" spans="1:18">
      <c r="A1871" s="524"/>
      <c r="B1871" s="540" t="s">
        <v>99</v>
      </c>
      <c r="C1871" s="551">
        <v>605.69</v>
      </c>
      <c r="D1871" s="555">
        <v>1652</v>
      </c>
      <c r="E1871" s="551">
        <v>503</v>
      </c>
      <c r="F1871" s="551">
        <v>3</v>
      </c>
      <c r="G1871" s="551">
        <v>42589</v>
      </c>
      <c r="H1871" s="555">
        <v>8</v>
      </c>
      <c r="I1871" s="555">
        <v>0</v>
      </c>
      <c r="J1871" s="555">
        <v>2</v>
      </c>
      <c r="K1871" s="527">
        <f t="shared" si="1074"/>
        <v>0.304479418886199</v>
      </c>
      <c r="L1871" s="528">
        <f t="shared" si="1075"/>
        <v>1.20415506958251</v>
      </c>
      <c r="M1871" s="528">
        <f t="shared" si="1076"/>
        <v>366.640435835351</v>
      </c>
      <c r="N1871" s="528">
        <f t="shared" si="1077"/>
        <v>70.3148475292641</v>
      </c>
      <c r="O1871" s="528">
        <f t="shared" si="1078"/>
        <v>0.00596421471172962</v>
      </c>
      <c r="P1871" s="529">
        <f t="shared" si="1079"/>
        <v>75.71125</v>
      </c>
      <c r="Q1871" s="24">
        <f t="shared" si="1080"/>
        <v>8</v>
      </c>
      <c r="R1871" s="530">
        <f t="shared" si="1081"/>
        <v>0.0159045725646123</v>
      </c>
    </row>
    <row r="1872" spans="1:18">
      <c r="A1872" s="524"/>
      <c r="B1872" s="540" t="s">
        <v>100</v>
      </c>
      <c r="C1872" s="552">
        <v>1191.58</v>
      </c>
      <c r="D1872" s="553">
        <v>44201</v>
      </c>
      <c r="E1872" s="553">
        <v>714</v>
      </c>
      <c r="F1872" s="551">
        <v>2</v>
      </c>
      <c r="G1872" s="551">
        <v>48345</v>
      </c>
      <c r="H1872" s="551">
        <v>16</v>
      </c>
      <c r="I1872" s="551">
        <v>18</v>
      </c>
      <c r="J1872" s="551">
        <v>2</v>
      </c>
      <c r="K1872" s="527">
        <f t="shared" si="1074"/>
        <v>0.0161534806904821</v>
      </c>
      <c r="L1872" s="528">
        <f t="shared" si="1075"/>
        <v>1.66887955182073</v>
      </c>
      <c r="M1872" s="528">
        <f t="shared" si="1076"/>
        <v>26.9582136150766</v>
      </c>
      <c r="N1872" s="528">
        <f t="shared" si="1077"/>
        <v>40.5721814733379</v>
      </c>
      <c r="O1872" s="528">
        <f t="shared" si="1078"/>
        <v>0.00280112044817927</v>
      </c>
      <c r="P1872" s="529">
        <f t="shared" si="1079"/>
        <v>35.0464705882353</v>
      </c>
      <c r="Q1872" s="24">
        <f t="shared" si="1080"/>
        <v>34</v>
      </c>
      <c r="R1872" s="530">
        <f t="shared" si="1081"/>
        <v>0.0476190476190476</v>
      </c>
    </row>
    <row r="1873" spans="1:18">
      <c r="A1873" s="524"/>
      <c r="B1873" s="540" t="s">
        <v>101</v>
      </c>
      <c r="C1873" s="552">
        <v>0</v>
      </c>
      <c r="D1873" s="553">
        <v>0</v>
      </c>
      <c r="E1873" s="551">
        <v>0</v>
      </c>
      <c r="F1873" s="551">
        <v>0</v>
      </c>
      <c r="G1873" s="551">
        <v>0</v>
      </c>
      <c r="H1873" s="551">
        <v>0</v>
      </c>
      <c r="I1873" s="551">
        <v>0</v>
      </c>
      <c r="J1873" s="551">
        <v>0</v>
      </c>
      <c r="K1873" s="527">
        <f t="shared" si="1074"/>
        <v>0</v>
      </c>
      <c r="L1873" s="528">
        <f t="shared" si="1075"/>
        <v>0</v>
      </c>
      <c r="M1873" s="528">
        <f t="shared" si="1076"/>
        <v>0</v>
      </c>
      <c r="N1873" s="528">
        <f t="shared" si="1077"/>
        <v>0</v>
      </c>
      <c r="O1873" s="528">
        <f t="shared" si="1078"/>
        <v>0</v>
      </c>
      <c r="P1873" s="529">
        <f t="shared" si="1079"/>
        <v>0</v>
      </c>
      <c r="Q1873" s="24">
        <f t="shared" si="1080"/>
        <v>0</v>
      </c>
      <c r="R1873" s="530">
        <f t="shared" si="1081"/>
        <v>0</v>
      </c>
    </row>
    <row r="1874" spans="1:18">
      <c r="A1874" s="524"/>
      <c r="B1874" s="531" t="s">
        <v>96</v>
      </c>
      <c r="C1874" s="533">
        <f t="shared" ref="C1874:J1874" si="1090">SUM(C1870:C1873)</f>
        <v>2297.27</v>
      </c>
      <c r="D1874" s="533">
        <f t="shared" si="1090"/>
        <v>60877</v>
      </c>
      <c r="E1874" s="533">
        <f t="shared" si="1090"/>
        <v>1594</v>
      </c>
      <c r="F1874" s="533">
        <f t="shared" si="1090"/>
        <v>6</v>
      </c>
      <c r="G1874" s="533">
        <f t="shared" si="1090"/>
        <v>102031</v>
      </c>
      <c r="H1874" s="533">
        <f t="shared" si="1090"/>
        <v>33</v>
      </c>
      <c r="I1874" s="533">
        <f t="shared" si="1090"/>
        <v>23</v>
      </c>
      <c r="J1874" s="533">
        <f t="shared" si="1090"/>
        <v>6</v>
      </c>
      <c r="K1874" s="534">
        <f t="shared" si="1074"/>
        <v>0.0261839446753289</v>
      </c>
      <c r="L1874" s="535">
        <f t="shared" si="1075"/>
        <v>1.4411982434128</v>
      </c>
      <c r="M1874" s="535">
        <f t="shared" si="1076"/>
        <v>37.736255071702</v>
      </c>
      <c r="N1874" s="535">
        <f t="shared" si="1077"/>
        <v>44.4140218607303</v>
      </c>
      <c r="O1874" s="535">
        <f t="shared" si="1078"/>
        <v>0.00376411543287327</v>
      </c>
      <c r="P1874" s="536">
        <f t="shared" si="1079"/>
        <v>41.0226785714286</v>
      </c>
      <c r="Q1874" s="531">
        <f t="shared" si="1080"/>
        <v>56</v>
      </c>
      <c r="R1874" s="537">
        <f t="shared" si="1081"/>
        <v>0.0351317440401506</v>
      </c>
    </row>
    <row r="1875" spans="1:18">
      <c r="A1875" s="524">
        <v>45825</v>
      </c>
      <c r="B1875" s="540" t="s">
        <v>98</v>
      </c>
      <c r="C1875" s="551">
        <v>499.41</v>
      </c>
      <c r="D1875" s="553">
        <v>12596</v>
      </c>
      <c r="E1875" s="551">
        <v>353</v>
      </c>
      <c r="F1875" s="551">
        <v>2</v>
      </c>
      <c r="G1875" s="551">
        <v>37940</v>
      </c>
      <c r="H1875" s="551">
        <v>12</v>
      </c>
      <c r="I1875" s="551">
        <v>6</v>
      </c>
      <c r="J1875" s="551">
        <v>1</v>
      </c>
      <c r="K1875" s="527">
        <f t="shared" si="1074"/>
        <v>0.0280247697681804</v>
      </c>
      <c r="L1875" s="528">
        <f t="shared" si="1075"/>
        <v>1.41475920679887</v>
      </c>
      <c r="M1875" s="528">
        <f t="shared" si="1076"/>
        <v>39.6483010479517</v>
      </c>
      <c r="N1875" s="528">
        <f t="shared" si="1077"/>
        <v>75.9696441801325</v>
      </c>
      <c r="O1875" s="528">
        <f t="shared" si="1078"/>
        <v>0.0056657223796034</v>
      </c>
      <c r="P1875" s="529">
        <f t="shared" si="1079"/>
        <v>27.745</v>
      </c>
      <c r="Q1875" s="24">
        <f t="shared" si="1080"/>
        <v>18</v>
      </c>
      <c r="R1875" s="530">
        <f t="shared" si="1081"/>
        <v>0.0509915014164306</v>
      </c>
    </row>
    <row r="1876" spans="1:18">
      <c r="A1876" s="524"/>
      <c r="B1876" s="540" t="s">
        <v>99</v>
      </c>
      <c r="C1876" s="551">
        <v>589.73</v>
      </c>
      <c r="D1876" s="555">
        <v>2416</v>
      </c>
      <c r="E1876" s="551">
        <v>386</v>
      </c>
      <c r="F1876" s="551">
        <v>2</v>
      </c>
      <c r="G1876" s="551">
        <v>17073</v>
      </c>
      <c r="H1876" s="555">
        <v>14</v>
      </c>
      <c r="I1876" s="555">
        <v>0</v>
      </c>
      <c r="J1876" s="555">
        <v>2</v>
      </c>
      <c r="K1876" s="527">
        <f t="shared" si="1074"/>
        <v>0.15976821192053</v>
      </c>
      <c r="L1876" s="528">
        <f t="shared" si="1075"/>
        <v>1.52779792746114</v>
      </c>
      <c r="M1876" s="528">
        <f t="shared" si="1076"/>
        <v>244.093543046358</v>
      </c>
      <c r="N1876" s="528">
        <f t="shared" si="1077"/>
        <v>28.9505366862802</v>
      </c>
      <c r="O1876" s="528">
        <f t="shared" si="1078"/>
        <v>0.00518134715025907</v>
      </c>
      <c r="P1876" s="529">
        <f t="shared" si="1079"/>
        <v>42.1235714285714</v>
      </c>
      <c r="Q1876" s="24">
        <f t="shared" si="1080"/>
        <v>14</v>
      </c>
      <c r="R1876" s="530">
        <f t="shared" si="1081"/>
        <v>0.0362694300518135</v>
      </c>
    </row>
    <row r="1877" spans="1:18">
      <c r="A1877" s="524"/>
      <c r="B1877" s="540" t="s">
        <v>100</v>
      </c>
      <c r="C1877" s="552">
        <v>1692.21</v>
      </c>
      <c r="D1877" s="553">
        <v>39659</v>
      </c>
      <c r="E1877" s="553">
        <v>740</v>
      </c>
      <c r="F1877" s="551">
        <v>10</v>
      </c>
      <c r="G1877" s="551">
        <v>102612</v>
      </c>
      <c r="H1877" s="551">
        <v>30</v>
      </c>
      <c r="I1877" s="551">
        <v>13</v>
      </c>
      <c r="J1877" s="551">
        <v>5</v>
      </c>
      <c r="K1877" s="527">
        <f t="shared" si="1074"/>
        <v>0.0186590685594695</v>
      </c>
      <c r="L1877" s="528">
        <f t="shared" si="1075"/>
        <v>2.28677027027027</v>
      </c>
      <c r="M1877" s="528">
        <f t="shared" si="1076"/>
        <v>42.6690032527295</v>
      </c>
      <c r="N1877" s="528">
        <f t="shared" si="1077"/>
        <v>60.6378640948818</v>
      </c>
      <c r="O1877" s="528">
        <f t="shared" si="1078"/>
        <v>0.0135135135135135</v>
      </c>
      <c r="P1877" s="529">
        <f t="shared" si="1079"/>
        <v>39.3537209302326</v>
      </c>
      <c r="Q1877" s="24">
        <f t="shared" si="1080"/>
        <v>43</v>
      </c>
      <c r="R1877" s="530">
        <f t="shared" si="1081"/>
        <v>0.0581081081081081</v>
      </c>
    </row>
    <row r="1878" spans="1:18">
      <c r="A1878" s="524"/>
      <c r="B1878" s="540" t="s">
        <v>101</v>
      </c>
      <c r="C1878" s="552">
        <v>0</v>
      </c>
      <c r="D1878" s="553">
        <v>0</v>
      </c>
      <c r="E1878" s="551">
        <v>0</v>
      </c>
      <c r="F1878" s="551">
        <v>0</v>
      </c>
      <c r="G1878" s="551">
        <v>0</v>
      </c>
      <c r="H1878" s="551">
        <v>0</v>
      </c>
      <c r="I1878" s="551">
        <v>0</v>
      </c>
      <c r="J1878" s="551">
        <v>0</v>
      </c>
      <c r="K1878" s="527">
        <f t="shared" si="1074"/>
        <v>0</v>
      </c>
      <c r="L1878" s="528">
        <f t="shared" si="1075"/>
        <v>0</v>
      </c>
      <c r="M1878" s="528">
        <f t="shared" si="1076"/>
        <v>0</v>
      </c>
      <c r="N1878" s="528">
        <f t="shared" si="1077"/>
        <v>0</v>
      </c>
      <c r="O1878" s="528">
        <f t="shared" si="1078"/>
        <v>0</v>
      </c>
      <c r="P1878" s="529">
        <f t="shared" si="1079"/>
        <v>0</v>
      </c>
      <c r="Q1878" s="24">
        <f t="shared" si="1080"/>
        <v>0</v>
      </c>
      <c r="R1878" s="530">
        <f t="shared" si="1081"/>
        <v>0</v>
      </c>
    </row>
    <row r="1879" spans="1:18">
      <c r="A1879" s="524"/>
      <c r="B1879" s="531" t="s">
        <v>96</v>
      </c>
      <c r="C1879" s="533">
        <f t="shared" ref="C1879:J1879" si="1091">SUM(C1875:C1878)</f>
        <v>2781.35</v>
      </c>
      <c r="D1879" s="533">
        <f t="shared" si="1091"/>
        <v>54671</v>
      </c>
      <c r="E1879" s="533">
        <f t="shared" si="1091"/>
        <v>1479</v>
      </c>
      <c r="F1879" s="533">
        <f t="shared" si="1091"/>
        <v>14</v>
      </c>
      <c r="G1879" s="533">
        <f t="shared" si="1091"/>
        <v>157625</v>
      </c>
      <c r="H1879" s="533">
        <f t="shared" si="1091"/>
        <v>56</v>
      </c>
      <c r="I1879" s="533">
        <f t="shared" si="1091"/>
        <v>19</v>
      </c>
      <c r="J1879" s="533">
        <f t="shared" si="1091"/>
        <v>8</v>
      </c>
      <c r="K1879" s="534">
        <f t="shared" si="1074"/>
        <v>0.0270527336247736</v>
      </c>
      <c r="L1879" s="535">
        <f t="shared" si="1075"/>
        <v>1.88056118999324</v>
      </c>
      <c r="M1879" s="535">
        <f t="shared" si="1076"/>
        <v>50.8743209379744</v>
      </c>
      <c r="N1879" s="535">
        <f t="shared" si="1077"/>
        <v>56.6721196541248</v>
      </c>
      <c r="O1879" s="535">
        <f t="shared" si="1078"/>
        <v>0.0094658553076403</v>
      </c>
      <c r="P1879" s="536">
        <f t="shared" si="1079"/>
        <v>37.0846666666667</v>
      </c>
      <c r="Q1879" s="531">
        <f t="shared" si="1080"/>
        <v>75</v>
      </c>
      <c r="R1879" s="537">
        <f t="shared" si="1081"/>
        <v>0.050709939148073</v>
      </c>
    </row>
    <row r="1880" spans="1:18">
      <c r="A1880" s="524">
        <v>45826</v>
      </c>
      <c r="B1880" s="540" t="s">
        <v>98</v>
      </c>
      <c r="C1880" s="551">
        <v>500</v>
      </c>
      <c r="D1880" s="553">
        <v>12914</v>
      </c>
      <c r="E1880" s="551">
        <v>352</v>
      </c>
      <c r="F1880" s="551">
        <v>5</v>
      </c>
      <c r="G1880" s="551">
        <v>63989</v>
      </c>
      <c r="H1880" s="551">
        <v>24</v>
      </c>
      <c r="I1880" s="551">
        <v>3</v>
      </c>
      <c r="J1880" s="551">
        <v>0</v>
      </c>
      <c r="K1880" s="527">
        <f t="shared" si="1074"/>
        <v>0.0272572402044293</v>
      </c>
      <c r="L1880" s="528">
        <f t="shared" si="1075"/>
        <v>1.42045454545455</v>
      </c>
      <c r="M1880" s="528">
        <f t="shared" si="1076"/>
        <v>38.717670744928</v>
      </c>
      <c r="N1880" s="528">
        <f t="shared" si="1077"/>
        <v>127.978</v>
      </c>
      <c r="O1880" s="528">
        <f t="shared" si="1078"/>
        <v>0.0142045454545455</v>
      </c>
      <c r="P1880" s="529">
        <f t="shared" si="1079"/>
        <v>18.5185185185185</v>
      </c>
      <c r="Q1880" s="24">
        <f t="shared" si="1080"/>
        <v>27</v>
      </c>
      <c r="R1880" s="530">
        <f t="shared" si="1081"/>
        <v>0.0767045454545455</v>
      </c>
    </row>
    <row r="1881" spans="1:18">
      <c r="A1881" s="524"/>
      <c r="B1881" s="540" t="s">
        <v>99</v>
      </c>
      <c r="C1881" s="551">
        <v>895.72</v>
      </c>
      <c r="D1881" s="555">
        <v>4748</v>
      </c>
      <c r="E1881" s="551">
        <v>583</v>
      </c>
      <c r="F1881" s="551">
        <v>2</v>
      </c>
      <c r="G1881" s="551">
        <v>17572</v>
      </c>
      <c r="H1881" s="555">
        <v>12</v>
      </c>
      <c r="I1881" s="555">
        <v>0</v>
      </c>
      <c r="J1881" s="555">
        <v>5</v>
      </c>
      <c r="K1881" s="527">
        <f t="shared" si="1074"/>
        <v>0.122788542544229</v>
      </c>
      <c r="L1881" s="528">
        <f t="shared" si="1075"/>
        <v>1.53639794168096</v>
      </c>
      <c r="M1881" s="528">
        <f t="shared" si="1076"/>
        <v>188.652064026959</v>
      </c>
      <c r="N1881" s="528">
        <f t="shared" si="1077"/>
        <v>19.617737685884</v>
      </c>
      <c r="O1881" s="528">
        <f t="shared" si="1078"/>
        <v>0.00343053173241852</v>
      </c>
      <c r="P1881" s="529">
        <f t="shared" si="1079"/>
        <v>74.6433333333333</v>
      </c>
      <c r="Q1881" s="24">
        <f t="shared" si="1080"/>
        <v>12</v>
      </c>
      <c r="R1881" s="530">
        <f t="shared" si="1081"/>
        <v>0.0205831903945112</v>
      </c>
    </row>
    <row r="1882" spans="1:18">
      <c r="A1882" s="524"/>
      <c r="B1882" s="540" t="s">
        <v>100</v>
      </c>
      <c r="C1882" s="552">
        <v>1770.76</v>
      </c>
      <c r="D1882" s="553">
        <v>37856</v>
      </c>
      <c r="E1882" s="553">
        <v>646</v>
      </c>
      <c r="F1882" s="551">
        <v>4</v>
      </c>
      <c r="G1882" s="551">
        <v>50259</v>
      </c>
      <c r="H1882" s="551">
        <v>44</v>
      </c>
      <c r="I1882" s="551">
        <v>15</v>
      </c>
      <c r="J1882" s="551">
        <v>4</v>
      </c>
      <c r="K1882" s="527">
        <f t="shared" si="1074"/>
        <v>0.0170646661031276</v>
      </c>
      <c r="L1882" s="528">
        <f t="shared" si="1075"/>
        <v>2.74111455108359</v>
      </c>
      <c r="M1882" s="528">
        <f t="shared" si="1076"/>
        <v>46.7762045646661</v>
      </c>
      <c r="N1882" s="528">
        <f t="shared" si="1077"/>
        <v>28.3827283200434</v>
      </c>
      <c r="O1882" s="528">
        <f t="shared" si="1078"/>
        <v>0.00619195046439629</v>
      </c>
      <c r="P1882" s="529">
        <f t="shared" si="1079"/>
        <v>30.0128813559322</v>
      </c>
      <c r="Q1882" s="24">
        <f t="shared" si="1080"/>
        <v>59</v>
      </c>
      <c r="R1882" s="530">
        <f t="shared" si="1081"/>
        <v>0.0913312693498452</v>
      </c>
    </row>
    <row r="1883" spans="1:18">
      <c r="A1883" s="524"/>
      <c r="B1883" s="540" t="s">
        <v>101</v>
      </c>
      <c r="C1883" s="552">
        <v>618.74</v>
      </c>
      <c r="D1883" s="553">
        <v>1923</v>
      </c>
      <c r="E1883" s="551">
        <v>261</v>
      </c>
      <c r="F1883" s="551">
        <v>6</v>
      </c>
      <c r="G1883" s="551">
        <v>57837</v>
      </c>
      <c r="H1883" s="551">
        <v>18</v>
      </c>
      <c r="I1883" s="551">
        <v>0</v>
      </c>
      <c r="J1883" s="551">
        <v>3</v>
      </c>
      <c r="K1883" s="527">
        <f t="shared" si="1074"/>
        <v>0.135725429017161</v>
      </c>
      <c r="L1883" s="528">
        <f t="shared" si="1075"/>
        <v>2.37065134099617</v>
      </c>
      <c r="M1883" s="528">
        <f t="shared" si="1076"/>
        <v>321.757670306812</v>
      </c>
      <c r="N1883" s="528">
        <f t="shared" si="1077"/>
        <v>93.4754501082846</v>
      </c>
      <c r="O1883" s="528">
        <f t="shared" si="1078"/>
        <v>0.0229885057471264</v>
      </c>
      <c r="P1883" s="529">
        <f t="shared" si="1079"/>
        <v>34.3744444444444</v>
      </c>
      <c r="Q1883" s="24">
        <f t="shared" si="1080"/>
        <v>18</v>
      </c>
      <c r="R1883" s="530">
        <f t="shared" si="1081"/>
        <v>0.0689655172413793</v>
      </c>
    </row>
    <row r="1884" spans="1:18">
      <c r="A1884" s="524"/>
      <c r="B1884" s="531" t="s">
        <v>96</v>
      </c>
      <c r="C1884" s="533">
        <f t="shared" ref="C1884:J1884" si="1092">SUM(C1880:C1883)</f>
        <v>3785.22</v>
      </c>
      <c r="D1884" s="533">
        <f t="shared" si="1092"/>
        <v>57441</v>
      </c>
      <c r="E1884" s="533">
        <f t="shared" si="1092"/>
        <v>1842</v>
      </c>
      <c r="F1884" s="533">
        <f t="shared" si="1092"/>
        <v>17</v>
      </c>
      <c r="G1884" s="533">
        <f t="shared" si="1092"/>
        <v>189657</v>
      </c>
      <c r="H1884" s="533">
        <f t="shared" si="1092"/>
        <v>98</v>
      </c>
      <c r="I1884" s="533">
        <f t="shared" si="1092"/>
        <v>18</v>
      </c>
      <c r="J1884" s="533">
        <f t="shared" si="1092"/>
        <v>12</v>
      </c>
      <c r="K1884" s="534">
        <f t="shared" si="1074"/>
        <v>0.032067686843892</v>
      </c>
      <c r="L1884" s="535">
        <f t="shared" si="1075"/>
        <v>2.05495114006515</v>
      </c>
      <c r="M1884" s="535">
        <f t="shared" si="1076"/>
        <v>65.897529639108</v>
      </c>
      <c r="N1884" s="535">
        <f t="shared" si="1077"/>
        <v>50.1046174330686</v>
      </c>
      <c r="O1884" s="535">
        <f t="shared" si="1078"/>
        <v>0.00922909880564604</v>
      </c>
      <c r="P1884" s="536">
        <f t="shared" si="1079"/>
        <v>32.6312068965517</v>
      </c>
      <c r="Q1884" s="531">
        <f t="shared" si="1080"/>
        <v>116</v>
      </c>
      <c r="R1884" s="537">
        <f t="shared" si="1081"/>
        <v>0.0629750271444083</v>
      </c>
    </row>
    <row r="1885" spans="1:18">
      <c r="A1885" s="524">
        <v>45827</v>
      </c>
      <c r="B1885" s="540" t="s">
        <v>98</v>
      </c>
      <c r="C1885" s="551">
        <v>500</v>
      </c>
      <c r="D1885" s="553">
        <v>15515</v>
      </c>
      <c r="E1885" s="551">
        <v>368</v>
      </c>
      <c r="F1885" s="551">
        <v>0</v>
      </c>
      <c r="G1885" s="551">
        <v>0</v>
      </c>
      <c r="H1885" s="551">
        <v>18</v>
      </c>
      <c r="I1885" s="551">
        <v>2</v>
      </c>
      <c r="J1885" s="551">
        <v>2</v>
      </c>
      <c r="K1885" s="527">
        <f t="shared" si="1074"/>
        <v>0.02371898163068</v>
      </c>
      <c r="L1885" s="528">
        <f t="shared" si="1075"/>
        <v>1.35869565217391</v>
      </c>
      <c r="M1885" s="528">
        <f t="shared" si="1076"/>
        <v>32.2268772155978</v>
      </c>
      <c r="N1885" s="528">
        <f t="shared" si="1077"/>
        <v>0</v>
      </c>
      <c r="O1885" s="528">
        <f t="shared" si="1078"/>
        <v>0</v>
      </c>
      <c r="P1885" s="529">
        <f t="shared" si="1079"/>
        <v>25</v>
      </c>
      <c r="Q1885" s="24">
        <f t="shared" si="1080"/>
        <v>20</v>
      </c>
      <c r="R1885" s="530">
        <f t="shared" si="1081"/>
        <v>0.0543478260869565</v>
      </c>
    </row>
    <row r="1886" spans="1:18">
      <c r="A1886" s="524"/>
      <c r="B1886" s="540" t="s">
        <v>99</v>
      </c>
      <c r="C1886" s="551">
        <v>533.75</v>
      </c>
      <c r="D1886" s="555">
        <v>2293</v>
      </c>
      <c r="E1886" s="551">
        <v>364</v>
      </c>
      <c r="F1886" s="551">
        <v>4</v>
      </c>
      <c r="G1886" s="551">
        <v>74964</v>
      </c>
      <c r="H1886" s="555">
        <v>5</v>
      </c>
      <c r="I1886" s="555">
        <v>0</v>
      </c>
      <c r="J1886" s="555">
        <v>0</v>
      </c>
      <c r="K1886" s="527">
        <f t="shared" si="1074"/>
        <v>0.158744003488879</v>
      </c>
      <c r="L1886" s="528">
        <f t="shared" si="1075"/>
        <v>1.46634615384615</v>
      </c>
      <c r="M1886" s="528">
        <f t="shared" si="1076"/>
        <v>232.773658962058</v>
      </c>
      <c r="N1886" s="528">
        <f t="shared" si="1077"/>
        <v>140.447775175644</v>
      </c>
      <c r="O1886" s="528">
        <f t="shared" si="1078"/>
        <v>0.010989010989011</v>
      </c>
      <c r="P1886" s="529">
        <f t="shared" si="1079"/>
        <v>106.75</v>
      </c>
      <c r="Q1886" s="24">
        <f t="shared" si="1080"/>
        <v>5</v>
      </c>
      <c r="R1886" s="530">
        <f t="shared" si="1081"/>
        <v>0.0137362637362637</v>
      </c>
    </row>
    <row r="1887" spans="1:18">
      <c r="A1887" s="524"/>
      <c r="B1887" s="540" t="s">
        <v>100</v>
      </c>
      <c r="C1887" s="552">
        <v>1654.97</v>
      </c>
      <c r="D1887" s="553">
        <v>45314</v>
      </c>
      <c r="E1887" s="553">
        <v>698</v>
      </c>
      <c r="F1887" s="551">
        <v>1</v>
      </c>
      <c r="G1887" s="551">
        <v>11596</v>
      </c>
      <c r="H1887" s="551">
        <v>24</v>
      </c>
      <c r="I1887" s="551">
        <v>25</v>
      </c>
      <c r="J1887" s="551">
        <v>3</v>
      </c>
      <c r="K1887" s="527">
        <f t="shared" si="1074"/>
        <v>0.0154036280178311</v>
      </c>
      <c r="L1887" s="528">
        <f t="shared" si="1075"/>
        <v>2.37101719197708</v>
      </c>
      <c r="M1887" s="528">
        <f t="shared" si="1076"/>
        <v>36.5222668490974</v>
      </c>
      <c r="N1887" s="528">
        <f t="shared" si="1077"/>
        <v>7.00677353668042</v>
      </c>
      <c r="O1887" s="528">
        <f t="shared" si="1078"/>
        <v>0.00143266475644699</v>
      </c>
      <c r="P1887" s="529">
        <f t="shared" si="1079"/>
        <v>33.7748979591837</v>
      </c>
      <c r="Q1887" s="24">
        <f t="shared" si="1080"/>
        <v>49</v>
      </c>
      <c r="R1887" s="530">
        <f t="shared" si="1081"/>
        <v>0.0702005730659026</v>
      </c>
    </row>
    <row r="1888" spans="1:18">
      <c r="A1888" s="524"/>
      <c r="B1888" s="540" t="s">
        <v>101</v>
      </c>
      <c r="C1888" s="552">
        <v>2884.07</v>
      </c>
      <c r="D1888" s="553">
        <v>29748</v>
      </c>
      <c r="E1888" s="551">
        <v>998</v>
      </c>
      <c r="F1888" s="551">
        <v>18</v>
      </c>
      <c r="G1888" s="551">
        <v>197190</v>
      </c>
      <c r="H1888" s="551">
        <v>77</v>
      </c>
      <c r="I1888" s="551">
        <v>12</v>
      </c>
      <c r="J1888" s="551">
        <v>13</v>
      </c>
      <c r="K1888" s="527">
        <f t="shared" si="1074"/>
        <v>0.0335484738469813</v>
      </c>
      <c r="L1888" s="528">
        <f t="shared" si="1075"/>
        <v>2.8898496993988</v>
      </c>
      <c r="M1888" s="528">
        <f t="shared" si="1076"/>
        <v>96.9500470619874</v>
      </c>
      <c r="N1888" s="528">
        <f t="shared" si="1077"/>
        <v>68.372126890124</v>
      </c>
      <c r="O1888" s="528">
        <f t="shared" si="1078"/>
        <v>0.0180360721442886</v>
      </c>
      <c r="P1888" s="529">
        <f t="shared" si="1079"/>
        <v>32.4052808988764</v>
      </c>
      <c r="Q1888" s="24">
        <f t="shared" si="1080"/>
        <v>89</v>
      </c>
      <c r="R1888" s="530">
        <f t="shared" si="1081"/>
        <v>0.0891783567134269</v>
      </c>
    </row>
    <row r="1889" spans="1:18">
      <c r="A1889" s="524"/>
      <c r="B1889" s="531" t="s">
        <v>96</v>
      </c>
      <c r="C1889" s="533">
        <f t="shared" ref="C1889:J1889" si="1093">SUM(C1885:C1888)</f>
        <v>5572.79</v>
      </c>
      <c r="D1889" s="533">
        <f t="shared" si="1093"/>
        <v>92870</v>
      </c>
      <c r="E1889" s="533">
        <f t="shared" si="1093"/>
        <v>2428</v>
      </c>
      <c r="F1889" s="533">
        <f t="shared" si="1093"/>
        <v>23</v>
      </c>
      <c r="G1889" s="533">
        <f t="shared" si="1093"/>
        <v>283750</v>
      </c>
      <c r="H1889" s="533">
        <f t="shared" si="1093"/>
        <v>124</v>
      </c>
      <c r="I1889" s="533">
        <f t="shared" si="1093"/>
        <v>39</v>
      </c>
      <c r="J1889" s="533">
        <f t="shared" si="1093"/>
        <v>18</v>
      </c>
      <c r="K1889" s="534">
        <f t="shared" si="1074"/>
        <v>0.0261440723592118</v>
      </c>
      <c r="L1889" s="535">
        <f t="shared" si="1075"/>
        <v>2.29521828665568</v>
      </c>
      <c r="M1889" s="535">
        <f t="shared" si="1076"/>
        <v>60.0063529665123</v>
      </c>
      <c r="N1889" s="535">
        <f t="shared" si="1077"/>
        <v>50.9170451425587</v>
      </c>
      <c r="O1889" s="535">
        <f t="shared" si="1078"/>
        <v>0.00947281713344316</v>
      </c>
      <c r="P1889" s="536">
        <f t="shared" si="1079"/>
        <v>34.1888957055215</v>
      </c>
      <c r="Q1889" s="531">
        <f t="shared" si="1080"/>
        <v>163</v>
      </c>
      <c r="R1889" s="537">
        <f t="shared" si="1081"/>
        <v>0.0671334431630972</v>
      </c>
    </row>
    <row r="1890" spans="1:18">
      <c r="A1890" s="524">
        <v>45828</v>
      </c>
      <c r="B1890" s="540" t="s">
        <v>98</v>
      </c>
      <c r="C1890" s="551">
        <v>500</v>
      </c>
      <c r="D1890" s="553">
        <v>10711</v>
      </c>
      <c r="E1890" s="551">
        <v>306</v>
      </c>
      <c r="F1890" s="551">
        <v>0</v>
      </c>
      <c r="G1890" s="551">
        <v>0</v>
      </c>
      <c r="H1890" s="551">
        <v>17</v>
      </c>
      <c r="I1890" s="551">
        <v>2</v>
      </c>
      <c r="J1890" s="551">
        <v>3</v>
      </c>
      <c r="K1890" s="527">
        <f t="shared" si="1074"/>
        <v>0.0285687610867333</v>
      </c>
      <c r="L1890" s="528">
        <f t="shared" si="1075"/>
        <v>1.63398692810458</v>
      </c>
      <c r="M1890" s="528">
        <f t="shared" si="1076"/>
        <v>46.6809821678648</v>
      </c>
      <c r="N1890" s="528">
        <f t="shared" si="1077"/>
        <v>0</v>
      </c>
      <c r="O1890" s="528">
        <f t="shared" si="1078"/>
        <v>0</v>
      </c>
      <c r="P1890" s="529">
        <f t="shared" si="1079"/>
        <v>26.3157894736842</v>
      </c>
      <c r="Q1890" s="24">
        <f t="shared" si="1080"/>
        <v>19</v>
      </c>
      <c r="R1890" s="530">
        <f t="shared" si="1081"/>
        <v>0.0620915032679739</v>
      </c>
    </row>
    <row r="1891" spans="1:18">
      <c r="A1891" s="524"/>
      <c r="B1891" s="540" t="s">
        <v>99</v>
      </c>
      <c r="C1891" s="551">
        <v>583</v>
      </c>
      <c r="D1891" s="555">
        <v>4563</v>
      </c>
      <c r="E1891" s="551">
        <v>407</v>
      </c>
      <c r="F1891" s="551">
        <v>1</v>
      </c>
      <c r="G1891" s="551">
        <v>11734</v>
      </c>
      <c r="H1891" s="555">
        <v>6</v>
      </c>
      <c r="I1891" s="555">
        <v>2</v>
      </c>
      <c r="J1891" s="555">
        <v>1</v>
      </c>
      <c r="K1891" s="527">
        <f t="shared" si="1074"/>
        <v>0.08919570458032</v>
      </c>
      <c r="L1891" s="528">
        <f t="shared" si="1075"/>
        <v>1.43243243243243</v>
      </c>
      <c r="M1891" s="528">
        <f t="shared" si="1076"/>
        <v>127.766820074512</v>
      </c>
      <c r="N1891" s="528">
        <f t="shared" si="1077"/>
        <v>20.1269296740995</v>
      </c>
      <c r="O1891" s="528">
        <f t="shared" si="1078"/>
        <v>0.00245700245700246</v>
      </c>
      <c r="P1891" s="529">
        <f t="shared" si="1079"/>
        <v>72.875</v>
      </c>
      <c r="Q1891" s="24">
        <f t="shared" si="1080"/>
        <v>8</v>
      </c>
      <c r="R1891" s="530">
        <f t="shared" si="1081"/>
        <v>0.0196560196560197</v>
      </c>
    </row>
    <row r="1892" spans="1:18">
      <c r="A1892" s="524"/>
      <c r="B1892" s="540" t="s">
        <v>100</v>
      </c>
      <c r="C1892" s="552">
        <v>2541.73</v>
      </c>
      <c r="D1892" s="553">
        <v>40893</v>
      </c>
      <c r="E1892" s="553">
        <v>744</v>
      </c>
      <c r="F1892" s="551">
        <v>4</v>
      </c>
      <c r="G1892" s="551">
        <v>38166</v>
      </c>
      <c r="H1892" s="551">
        <v>40</v>
      </c>
      <c r="I1892" s="551">
        <v>34</v>
      </c>
      <c r="J1892" s="551">
        <v>1</v>
      </c>
      <c r="K1892" s="527">
        <f t="shared" si="1074"/>
        <v>0.0181938229036754</v>
      </c>
      <c r="L1892" s="528">
        <f t="shared" si="1075"/>
        <v>3.41630376344086</v>
      </c>
      <c r="M1892" s="528">
        <f t="shared" si="1076"/>
        <v>62.1556256572029</v>
      </c>
      <c r="N1892" s="528">
        <f t="shared" si="1077"/>
        <v>15.0157569844161</v>
      </c>
      <c r="O1892" s="528">
        <f t="shared" si="1078"/>
        <v>0.00537634408602151</v>
      </c>
      <c r="P1892" s="529">
        <f t="shared" si="1079"/>
        <v>34.3477027027027</v>
      </c>
      <c r="Q1892" s="24">
        <f t="shared" si="1080"/>
        <v>74</v>
      </c>
      <c r="R1892" s="530">
        <f t="shared" si="1081"/>
        <v>0.0994623655913978</v>
      </c>
    </row>
    <row r="1893" spans="1:18">
      <c r="A1893" s="524"/>
      <c r="B1893" s="540" t="s">
        <v>101</v>
      </c>
      <c r="C1893" s="552">
        <v>5144.84</v>
      </c>
      <c r="D1893" s="553">
        <v>55757</v>
      </c>
      <c r="E1893" s="551">
        <v>1415</v>
      </c>
      <c r="F1893" s="551">
        <v>9</v>
      </c>
      <c r="G1893" s="551">
        <v>89019</v>
      </c>
      <c r="H1893" s="551">
        <v>55</v>
      </c>
      <c r="I1893" s="551">
        <v>8</v>
      </c>
      <c r="J1893" s="551">
        <v>3</v>
      </c>
      <c r="K1893" s="527">
        <f t="shared" ref="K1893:K1956" si="1094">IF(E1893=0,0,E1893/D1893)</f>
        <v>0.0253779794465269</v>
      </c>
      <c r="L1893" s="528">
        <f t="shared" ref="L1893:L1956" si="1095">IF(C1893=0,0,C1893/E1893)</f>
        <v>3.63592932862191</v>
      </c>
      <c r="M1893" s="528">
        <f t="shared" ref="M1893:M1956" si="1096">IF(D1893=0,0,C1893/D1893*1000)</f>
        <v>92.2725397707911</v>
      </c>
      <c r="N1893" s="528">
        <f t="shared" ref="N1893:N1956" si="1097">IF(G1893=0,0,G1893/C1893)</f>
        <v>17.3025788945818</v>
      </c>
      <c r="O1893" s="528">
        <f t="shared" ref="O1893:O1956" si="1098">IF(F1893=0,0,F1893/E1893)</f>
        <v>0.00636042402826855</v>
      </c>
      <c r="P1893" s="529">
        <f t="shared" ref="P1893:P1956" si="1099">IF(H1893+I1893=0,0,C1893/(H1893+I1893))</f>
        <v>81.664126984127</v>
      </c>
      <c r="Q1893" s="24">
        <f t="shared" ref="Q1893:Q1956" si="1100">H1893+I1893</f>
        <v>63</v>
      </c>
      <c r="R1893" s="530">
        <f t="shared" ref="R1893:R1956" si="1101">IF(Q1893=0,0,Q1893/E1893)</f>
        <v>0.0445229681978799</v>
      </c>
    </row>
    <row r="1894" spans="1:18">
      <c r="A1894" s="524"/>
      <c r="B1894" s="531" t="s">
        <v>96</v>
      </c>
      <c r="C1894" s="533">
        <f t="shared" ref="C1894:J1894" si="1102">SUM(C1890:C1893)</f>
        <v>8769.57</v>
      </c>
      <c r="D1894" s="533">
        <f t="shared" si="1102"/>
        <v>111924</v>
      </c>
      <c r="E1894" s="533">
        <f t="shared" si="1102"/>
        <v>2872</v>
      </c>
      <c r="F1894" s="533">
        <f t="shared" si="1102"/>
        <v>14</v>
      </c>
      <c r="G1894" s="533">
        <f t="shared" si="1102"/>
        <v>138919</v>
      </c>
      <c r="H1894" s="533">
        <f t="shared" si="1102"/>
        <v>118</v>
      </c>
      <c r="I1894" s="533">
        <f t="shared" si="1102"/>
        <v>46</v>
      </c>
      <c r="J1894" s="533">
        <f t="shared" si="1102"/>
        <v>8</v>
      </c>
      <c r="K1894" s="534">
        <f t="shared" si="1094"/>
        <v>0.025660269468568</v>
      </c>
      <c r="L1894" s="535">
        <f t="shared" si="1095"/>
        <v>3.05347144846797</v>
      </c>
      <c r="M1894" s="535">
        <f t="shared" si="1096"/>
        <v>78.3529001822665</v>
      </c>
      <c r="N1894" s="535">
        <f t="shared" si="1097"/>
        <v>15.8410275532324</v>
      </c>
      <c r="O1894" s="535">
        <f t="shared" si="1098"/>
        <v>0.00487465181058496</v>
      </c>
      <c r="P1894" s="536">
        <f t="shared" si="1099"/>
        <v>53.472987804878</v>
      </c>
      <c r="Q1894" s="531">
        <f t="shared" si="1100"/>
        <v>164</v>
      </c>
      <c r="R1894" s="537">
        <f t="shared" si="1101"/>
        <v>0.0571030640668524</v>
      </c>
    </row>
    <row r="1895" spans="1:18">
      <c r="A1895" s="524">
        <v>45829</v>
      </c>
      <c r="B1895" s="540" t="s">
        <v>98</v>
      </c>
      <c r="C1895" s="551">
        <v>500</v>
      </c>
      <c r="D1895" s="553">
        <v>14796</v>
      </c>
      <c r="E1895" s="551">
        <v>381</v>
      </c>
      <c r="F1895" s="551">
        <v>1</v>
      </c>
      <c r="G1895" s="551">
        <v>6374</v>
      </c>
      <c r="H1895" s="551">
        <v>33</v>
      </c>
      <c r="I1895" s="551">
        <v>6</v>
      </c>
      <c r="J1895" s="551">
        <v>2</v>
      </c>
      <c r="K1895" s="527">
        <f t="shared" si="1094"/>
        <v>0.025750202757502</v>
      </c>
      <c r="L1895" s="528">
        <f t="shared" si="1095"/>
        <v>1.31233595800525</v>
      </c>
      <c r="M1895" s="528">
        <f t="shared" si="1096"/>
        <v>33.7929170045958</v>
      </c>
      <c r="N1895" s="528">
        <f t="shared" si="1097"/>
        <v>12.748</v>
      </c>
      <c r="O1895" s="528">
        <f t="shared" si="1098"/>
        <v>0.0026246719160105</v>
      </c>
      <c r="P1895" s="529">
        <f t="shared" si="1099"/>
        <v>12.8205128205128</v>
      </c>
      <c r="Q1895" s="24">
        <f t="shared" si="1100"/>
        <v>39</v>
      </c>
      <c r="R1895" s="530">
        <f t="shared" si="1101"/>
        <v>0.102362204724409</v>
      </c>
    </row>
    <row r="1896" spans="1:18">
      <c r="A1896" s="524"/>
      <c r="B1896" s="540" t="s">
        <v>99</v>
      </c>
      <c r="C1896" s="551">
        <v>0</v>
      </c>
      <c r="D1896" s="555">
        <v>0</v>
      </c>
      <c r="E1896" s="551">
        <v>0</v>
      </c>
      <c r="F1896" s="551">
        <v>0</v>
      </c>
      <c r="G1896" s="551">
        <v>0</v>
      </c>
      <c r="H1896" s="555">
        <v>0</v>
      </c>
      <c r="I1896" s="555">
        <v>0</v>
      </c>
      <c r="J1896" s="555">
        <v>0</v>
      </c>
      <c r="K1896" s="527">
        <f t="shared" si="1094"/>
        <v>0</v>
      </c>
      <c r="L1896" s="528">
        <f t="shared" si="1095"/>
        <v>0</v>
      </c>
      <c r="M1896" s="528">
        <f t="shared" si="1096"/>
        <v>0</v>
      </c>
      <c r="N1896" s="528">
        <f t="shared" si="1097"/>
        <v>0</v>
      </c>
      <c r="O1896" s="528">
        <f t="shared" si="1098"/>
        <v>0</v>
      </c>
      <c r="P1896" s="529">
        <f t="shared" si="1099"/>
        <v>0</v>
      </c>
      <c r="Q1896" s="24">
        <f t="shared" si="1100"/>
        <v>0</v>
      </c>
      <c r="R1896" s="530">
        <f t="shared" si="1101"/>
        <v>0</v>
      </c>
    </row>
    <row r="1897" spans="1:18">
      <c r="A1897" s="524"/>
      <c r="B1897" s="540" t="s">
        <v>100</v>
      </c>
      <c r="C1897" s="552">
        <v>499.36</v>
      </c>
      <c r="D1897" s="553">
        <v>10933</v>
      </c>
      <c r="E1897" s="553">
        <v>296</v>
      </c>
      <c r="F1897" s="551">
        <v>3</v>
      </c>
      <c r="G1897" s="551">
        <v>36785</v>
      </c>
      <c r="H1897" s="551">
        <v>14</v>
      </c>
      <c r="I1897" s="551">
        <v>1</v>
      </c>
      <c r="J1897" s="551">
        <v>0</v>
      </c>
      <c r="K1897" s="527">
        <f t="shared" si="1094"/>
        <v>0.0270739961584195</v>
      </c>
      <c r="L1897" s="528">
        <f t="shared" si="1095"/>
        <v>1.68702702702703</v>
      </c>
      <c r="M1897" s="528">
        <f t="shared" si="1096"/>
        <v>45.6745632488795</v>
      </c>
      <c r="N1897" s="528">
        <f t="shared" si="1097"/>
        <v>73.6642902915732</v>
      </c>
      <c r="O1897" s="528">
        <f t="shared" si="1098"/>
        <v>0.0101351351351351</v>
      </c>
      <c r="P1897" s="529">
        <f t="shared" si="1099"/>
        <v>33.2906666666667</v>
      </c>
      <c r="Q1897" s="24">
        <f t="shared" si="1100"/>
        <v>15</v>
      </c>
      <c r="R1897" s="530">
        <f t="shared" si="1101"/>
        <v>0.0506756756756757</v>
      </c>
    </row>
    <row r="1898" spans="1:18">
      <c r="A1898" s="524"/>
      <c r="B1898" s="540" t="s">
        <v>101</v>
      </c>
      <c r="C1898" s="552">
        <v>177.75</v>
      </c>
      <c r="D1898" s="553">
        <v>2701</v>
      </c>
      <c r="E1898" s="551">
        <v>44</v>
      </c>
      <c r="F1898" s="551">
        <v>0</v>
      </c>
      <c r="G1898" s="551">
        <v>0</v>
      </c>
      <c r="H1898" s="551">
        <v>1</v>
      </c>
      <c r="I1898" s="551">
        <v>0</v>
      </c>
      <c r="J1898" s="551">
        <v>0</v>
      </c>
      <c r="K1898" s="527">
        <f t="shared" si="1094"/>
        <v>0.0162902628656053</v>
      </c>
      <c r="L1898" s="528">
        <f t="shared" si="1095"/>
        <v>4.03977272727273</v>
      </c>
      <c r="M1898" s="528">
        <f t="shared" si="1096"/>
        <v>65.8089596445761</v>
      </c>
      <c r="N1898" s="528">
        <f t="shared" si="1097"/>
        <v>0</v>
      </c>
      <c r="O1898" s="528">
        <f t="shared" si="1098"/>
        <v>0</v>
      </c>
      <c r="P1898" s="529">
        <f t="shared" si="1099"/>
        <v>177.75</v>
      </c>
      <c r="Q1898" s="24">
        <f t="shared" si="1100"/>
        <v>1</v>
      </c>
      <c r="R1898" s="530">
        <f t="shared" si="1101"/>
        <v>0.0227272727272727</v>
      </c>
    </row>
    <row r="1899" spans="1:18">
      <c r="A1899" s="524"/>
      <c r="B1899" s="531" t="s">
        <v>96</v>
      </c>
      <c r="C1899" s="533">
        <f t="shared" ref="C1899:J1899" si="1103">SUM(C1895:C1898)</f>
        <v>1177.11</v>
      </c>
      <c r="D1899" s="533">
        <f t="shared" si="1103"/>
        <v>28430</v>
      </c>
      <c r="E1899" s="533">
        <f t="shared" si="1103"/>
        <v>721</v>
      </c>
      <c r="F1899" s="533">
        <f t="shared" si="1103"/>
        <v>4</v>
      </c>
      <c r="G1899" s="533">
        <f t="shared" si="1103"/>
        <v>43159</v>
      </c>
      <c r="H1899" s="533">
        <f t="shared" si="1103"/>
        <v>48</v>
      </c>
      <c r="I1899" s="533">
        <f t="shared" si="1103"/>
        <v>7</v>
      </c>
      <c r="J1899" s="533">
        <f t="shared" si="1103"/>
        <v>2</v>
      </c>
      <c r="K1899" s="534">
        <f t="shared" si="1094"/>
        <v>0.0253605346465002</v>
      </c>
      <c r="L1899" s="535">
        <f t="shared" si="1095"/>
        <v>1.63260748959778</v>
      </c>
      <c r="M1899" s="535">
        <f t="shared" si="1096"/>
        <v>41.4037988040802</v>
      </c>
      <c r="N1899" s="535">
        <f t="shared" si="1097"/>
        <v>36.6652224515976</v>
      </c>
      <c r="O1899" s="535">
        <f t="shared" si="1098"/>
        <v>0.00554785020804438</v>
      </c>
      <c r="P1899" s="536">
        <f t="shared" si="1099"/>
        <v>21.402</v>
      </c>
      <c r="Q1899" s="531">
        <f t="shared" si="1100"/>
        <v>55</v>
      </c>
      <c r="R1899" s="537">
        <f t="shared" si="1101"/>
        <v>0.0762829403606103</v>
      </c>
    </row>
    <row r="1900" spans="1:18">
      <c r="A1900" s="524">
        <v>45830</v>
      </c>
      <c r="B1900" s="540" t="s">
        <v>98</v>
      </c>
      <c r="C1900" s="551">
        <v>500</v>
      </c>
      <c r="D1900" s="553">
        <v>14938</v>
      </c>
      <c r="E1900" s="551">
        <v>399</v>
      </c>
      <c r="F1900" s="551">
        <v>3</v>
      </c>
      <c r="G1900" s="551">
        <v>22824</v>
      </c>
      <c r="H1900" s="551">
        <v>14</v>
      </c>
      <c r="I1900" s="551">
        <v>5</v>
      </c>
      <c r="J1900" s="551">
        <v>2</v>
      </c>
      <c r="K1900" s="527">
        <f t="shared" si="1094"/>
        <v>0.0267104029990628</v>
      </c>
      <c r="L1900" s="528">
        <f t="shared" si="1095"/>
        <v>1.2531328320802</v>
      </c>
      <c r="M1900" s="528">
        <f t="shared" si="1096"/>
        <v>33.471682956219</v>
      </c>
      <c r="N1900" s="528">
        <f t="shared" si="1097"/>
        <v>45.648</v>
      </c>
      <c r="O1900" s="528">
        <f t="shared" si="1098"/>
        <v>0.0075187969924812</v>
      </c>
      <c r="P1900" s="529">
        <f t="shared" si="1099"/>
        <v>26.3157894736842</v>
      </c>
      <c r="Q1900" s="24">
        <f t="shared" si="1100"/>
        <v>19</v>
      </c>
      <c r="R1900" s="530">
        <f t="shared" si="1101"/>
        <v>0.0476190476190476</v>
      </c>
    </row>
    <row r="1901" spans="1:18">
      <c r="A1901" s="524"/>
      <c r="B1901" s="540" t="s">
        <v>99</v>
      </c>
      <c r="C1901" s="551">
        <v>0</v>
      </c>
      <c r="D1901" s="555">
        <v>0</v>
      </c>
      <c r="E1901" s="551">
        <v>0</v>
      </c>
      <c r="F1901" s="551">
        <v>0</v>
      </c>
      <c r="G1901" s="551">
        <v>0</v>
      </c>
      <c r="H1901" s="555">
        <v>0</v>
      </c>
      <c r="I1901" s="555">
        <v>0</v>
      </c>
      <c r="J1901" s="555">
        <v>0</v>
      </c>
      <c r="K1901" s="527">
        <f t="shared" si="1094"/>
        <v>0</v>
      </c>
      <c r="L1901" s="528">
        <f t="shared" si="1095"/>
        <v>0</v>
      </c>
      <c r="M1901" s="528">
        <f t="shared" si="1096"/>
        <v>0</v>
      </c>
      <c r="N1901" s="528">
        <f t="shared" si="1097"/>
        <v>0</v>
      </c>
      <c r="O1901" s="528">
        <f t="shared" si="1098"/>
        <v>0</v>
      </c>
      <c r="P1901" s="529">
        <f t="shared" si="1099"/>
        <v>0</v>
      </c>
      <c r="Q1901" s="24">
        <f t="shared" si="1100"/>
        <v>0</v>
      </c>
      <c r="R1901" s="530">
        <f t="shared" si="1101"/>
        <v>0</v>
      </c>
    </row>
    <row r="1902" spans="1:18">
      <c r="A1902" s="524"/>
      <c r="B1902" s="540" t="s">
        <v>100</v>
      </c>
      <c r="C1902" s="552">
        <v>500</v>
      </c>
      <c r="D1902" s="553">
        <v>13088</v>
      </c>
      <c r="E1902" s="553">
        <v>301</v>
      </c>
      <c r="F1902" s="551">
        <v>0</v>
      </c>
      <c r="G1902" s="551">
        <v>0</v>
      </c>
      <c r="H1902" s="551">
        <v>15</v>
      </c>
      <c r="I1902" s="551">
        <v>1</v>
      </c>
      <c r="J1902" s="551">
        <v>2</v>
      </c>
      <c r="K1902" s="527">
        <f t="shared" si="1094"/>
        <v>0.0229981662591687</v>
      </c>
      <c r="L1902" s="528">
        <f t="shared" si="1095"/>
        <v>1.66112956810631</v>
      </c>
      <c r="M1902" s="528">
        <f t="shared" si="1096"/>
        <v>38.2029339853301</v>
      </c>
      <c r="N1902" s="528">
        <f t="shared" si="1097"/>
        <v>0</v>
      </c>
      <c r="O1902" s="528">
        <f t="shared" si="1098"/>
        <v>0</v>
      </c>
      <c r="P1902" s="529">
        <f t="shared" si="1099"/>
        <v>31.25</v>
      </c>
      <c r="Q1902" s="24">
        <f t="shared" si="1100"/>
        <v>16</v>
      </c>
      <c r="R1902" s="530">
        <f t="shared" si="1101"/>
        <v>0.053156146179402</v>
      </c>
    </row>
    <row r="1903" spans="1:18">
      <c r="A1903" s="524"/>
      <c r="B1903" s="540" t="s">
        <v>101</v>
      </c>
      <c r="C1903" s="552">
        <v>0</v>
      </c>
      <c r="D1903" s="553">
        <v>0</v>
      </c>
      <c r="E1903" s="551">
        <v>0</v>
      </c>
      <c r="F1903" s="551">
        <v>0</v>
      </c>
      <c r="G1903" s="551">
        <v>0</v>
      </c>
      <c r="H1903" s="551">
        <v>0</v>
      </c>
      <c r="I1903" s="551">
        <v>0</v>
      </c>
      <c r="J1903" s="551">
        <v>0</v>
      </c>
      <c r="K1903" s="527">
        <f t="shared" si="1094"/>
        <v>0</v>
      </c>
      <c r="L1903" s="528">
        <f t="shared" si="1095"/>
        <v>0</v>
      </c>
      <c r="M1903" s="528">
        <f t="shared" si="1096"/>
        <v>0</v>
      </c>
      <c r="N1903" s="528">
        <f t="shared" si="1097"/>
        <v>0</v>
      </c>
      <c r="O1903" s="528">
        <f t="shared" si="1098"/>
        <v>0</v>
      </c>
      <c r="P1903" s="529">
        <f t="shared" si="1099"/>
        <v>0</v>
      </c>
      <c r="Q1903" s="24">
        <f t="shared" si="1100"/>
        <v>0</v>
      </c>
      <c r="R1903" s="530">
        <f t="shared" si="1101"/>
        <v>0</v>
      </c>
    </row>
    <row r="1904" spans="1:18">
      <c r="A1904" s="524"/>
      <c r="B1904" s="531" t="s">
        <v>96</v>
      </c>
      <c r="C1904" s="533">
        <f t="shared" ref="C1904:J1904" si="1104">SUM(C1900:C1903)</f>
        <v>1000</v>
      </c>
      <c r="D1904" s="533">
        <f t="shared" si="1104"/>
        <v>28026</v>
      </c>
      <c r="E1904" s="533">
        <f t="shared" si="1104"/>
        <v>700</v>
      </c>
      <c r="F1904" s="533">
        <f t="shared" si="1104"/>
        <v>3</v>
      </c>
      <c r="G1904" s="533">
        <f t="shared" si="1104"/>
        <v>22824</v>
      </c>
      <c r="H1904" s="533">
        <f t="shared" si="1104"/>
        <v>29</v>
      </c>
      <c r="I1904" s="533">
        <f t="shared" si="1104"/>
        <v>6</v>
      </c>
      <c r="J1904" s="533">
        <f t="shared" si="1104"/>
        <v>4</v>
      </c>
      <c r="K1904" s="534">
        <f t="shared" si="1094"/>
        <v>0.0249768072504103</v>
      </c>
      <c r="L1904" s="535">
        <f t="shared" si="1095"/>
        <v>1.42857142857143</v>
      </c>
      <c r="M1904" s="535">
        <f t="shared" si="1096"/>
        <v>35.6811532148719</v>
      </c>
      <c r="N1904" s="535">
        <f t="shared" si="1097"/>
        <v>22.824</v>
      </c>
      <c r="O1904" s="535">
        <f t="shared" si="1098"/>
        <v>0.00428571428571429</v>
      </c>
      <c r="P1904" s="536">
        <f t="shared" si="1099"/>
        <v>28.5714285714286</v>
      </c>
      <c r="Q1904" s="531">
        <f t="shared" si="1100"/>
        <v>35</v>
      </c>
      <c r="R1904" s="537">
        <f t="shared" si="1101"/>
        <v>0.05</v>
      </c>
    </row>
    <row r="1905" spans="1:18">
      <c r="A1905" s="524">
        <v>45831</v>
      </c>
      <c r="B1905" s="540" t="s">
        <v>98</v>
      </c>
      <c r="C1905" s="551">
        <v>499.61</v>
      </c>
      <c r="D1905" s="553">
        <v>16903</v>
      </c>
      <c r="E1905" s="551">
        <v>431</v>
      </c>
      <c r="F1905" s="551">
        <v>0</v>
      </c>
      <c r="G1905" s="551">
        <v>0</v>
      </c>
      <c r="H1905" s="551">
        <v>23</v>
      </c>
      <c r="I1905" s="551">
        <v>2</v>
      </c>
      <c r="J1905" s="551">
        <v>1</v>
      </c>
      <c r="K1905" s="527">
        <f t="shared" si="1094"/>
        <v>0.0254984322309649</v>
      </c>
      <c r="L1905" s="528">
        <f t="shared" si="1095"/>
        <v>1.1591879350348</v>
      </c>
      <c r="M1905" s="528">
        <f t="shared" si="1096"/>
        <v>29.5574750044371</v>
      </c>
      <c r="N1905" s="528">
        <f t="shared" si="1097"/>
        <v>0</v>
      </c>
      <c r="O1905" s="528">
        <f t="shared" si="1098"/>
        <v>0</v>
      </c>
      <c r="P1905" s="529">
        <f t="shared" si="1099"/>
        <v>19.9844</v>
      </c>
      <c r="Q1905" s="24">
        <f t="shared" si="1100"/>
        <v>25</v>
      </c>
      <c r="R1905" s="530">
        <f t="shared" si="1101"/>
        <v>0.0580046403712297</v>
      </c>
    </row>
    <row r="1906" spans="1:18">
      <c r="A1906" s="524"/>
      <c r="B1906" s="540" t="s">
        <v>99</v>
      </c>
      <c r="C1906" s="551">
        <v>0</v>
      </c>
      <c r="D1906" s="555">
        <v>0</v>
      </c>
      <c r="E1906" s="551">
        <v>0</v>
      </c>
      <c r="F1906" s="551">
        <v>0</v>
      </c>
      <c r="G1906" s="551">
        <v>0</v>
      </c>
      <c r="H1906" s="555">
        <v>0</v>
      </c>
      <c r="I1906" s="555">
        <v>0</v>
      </c>
      <c r="J1906" s="555">
        <v>0</v>
      </c>
      <c r="K1906" s="527">
        <f t="shared" si="1094"/>
        <v>0</v>
      </c>
      <c r="L1906" s="528">
        <f t="shared" si="1095"/>
        <v>0</v>
      </c>
      <c r="M1906" s="528">
        <f t="shared" si="1096"/>
        <v>0</v>
      </c>
      <c r="N1906" s="528">
        <f t="shared" si="1097"/>
        <v>0</v>
      </c>
      <c r="O1906" s="528">
        <f t="shared" si="1098"/>
        <v>0</v>
      </c>
      <c r="P1906" s="529">
        <f t="shared" si="1099"/>
        <v>0</v>
      </c>
      <c r="Q1906" s="24">
        <f t="shared" si="1100"/>
        <v>0</v>
      </c>
      <c r="R1906" s="530">
        <f t="shared" si="1101"/>
        <v>0</v>
      </c>
    </row>
    <row r="1907" spans="1:18">
      <c r="A1907" s="524"/>
      <c r="B1907" s="540" t="s">
        <v>100</v>
      </c>
      <c r="C1907" s="552">
        <v>500</v>
      </c>
      <c r="D1907" s="553">
        <v>12359</v>
      </c>
      <c r="E1907" s="553">
        <v>336</v>
      </c>
      <c r="F1907" s="551">
        <v>0</v>
      </c>
      <c r="G1907" s="551">
        <v>0</v>
      </c>
      <c r="H1907" s="551">
        <v>17</v>
      </c>
      <c r="I1907" s="551">
        <v>3</v>
      </c>
      <c r="J1907" s="551">
        <v>0</v>
      </c>
      <c r="K1907" s="527">
        <f t="shared" si="1094"/>
        <v>0.0271866655878307</v>
      </c>
      <c r="L1907" s="528">
        <f t="shared" si="1095"/>
        <v>1.48809523809524</v>
      </c>
      <c r="M1907" s="528">
        <f t="shared" si="1096"/>
        <v>40.4563476009386</v>
      </c>
      <c r="N1907" s="528">
        <f t="shared" si="1097"/>
        <v>0</v>
      </c>
      <c r="O1907" s="528">
        <f t="shared" si="1098"/>
        <v>0</v>
      </c>
      <c r="P1907" s="529">
        <f t="shared" si="1099"/>
        <v>25</v>
      </c>
      <c r="Q1907" s="24">
        <f t="shared" si="1100"/>
        <v>20</v>
      </c>
      <c r="R1907" s="530">
        <f t="shared" si="1101"/>
        <v>0.0595238095238095</v>
      </c>
    </row>
    <row r="1908" spans="1:18">
      <c r="A1908" s="524"/>
      <c r="B1908" s="540" t="s">
        <v>101</v>
      </c>
      <c r="C1908" s="552">
        <v>0</v>
      </c>
      <c r="D1908" s="553">
        <v>0</v>
      </c>
      <c r="E1908" s="551">
        <v>0</v>
      </c>
      <c r="F1908" s="551">
        <v>0</v>
      </c>
      <c r="G1908" s="551">
        <v>0</v>
      </c>
      <c r="H1908" s="551">
        <v>0</v>
      </c>
      <c r="I1908" s="551">
        <v>0</v>
      </c>
      <c r="J1908" s="551">
        <v>0</v>
      </c>
      <c r="K1908" s="527">
        <f t="shared" si="1094"/>
        <v>0</v>
      </c>
      <c r="L1908" s="528">
        <f t="shared" si="1095"/>
        <v>0</v>
      </c>
      <c r="M1908" s="528">
        <f t="shared" si="1096"/>
        <v>0</v>
      </c>
      <c r="N1908" s="528">
        <f t="shared" si="1097"/>
        <v>0</v>
      </c>
      <c r="O1908" s="528">
        <f t="shared" si="1098"/>
        <v>0</v>
      </c>
      <c r="P1908" s="529">
        <f t="shared" si="1099"/>
        <v>0</v>
      </c>
      <c r="Q1908" s="24">
        <f t="shared" si="1100"/>
        <v>0</v>
      </c>
      <c r="R1908" s="530">
        <f t="shared" si="1101"/>
        <v>0</v>
      </c>
    </row>
    <row r="1909" spans="1:18">
      <c r="A1909" s="524"/>
      <c r="B1909" s="531" t="s">
        <v>96</v>
      </c>
      <c r="C1909" s="533">
        <f t="shared" ref="C1909:J1909" si="1105">SUM(C1905:C1908)</f>
        <v>999.61</v>
      </c>
      <c r="D1909" s="533">
        <f t="shared" si="1105"/>
        <v>29262</v>
      </c>
      <c r="E1909" s="533">
        <f t="shared" si="1105"/>
        <v>767</v>
      </c>
      <c r="F1909" s="533">
        <f t="shared" si="1105"/>
        <v>0</v>
      </c>
      <c r="G1909" s="533">
        <f t="shared" si="1105"/>
        <v>0</v>
      </c>
      <c r="H1909" s="533">
        <f t="shared" si="1105"/>
        <v>40</v>
      </c>
      <c r="I1909" s="533">
        <f t="shared" si="1105"/>
        <v>5</v>
      </c>
      <c r="J1909" s="533">
        <f t="shared" si="1105"/>
        <v>1</v>
      </c>
      <c r="K1909" s="534">
        <f t="shared" si="1094"/>
        <v>0.0262114687991251</v>
      </c>
      <c r="L1909" s="535">
        <f t="shared" si="1095"/>
        <v>1.30327249022164</v>
      </c>
      <c r="M1909" s="535">
        <f t="shared" si="1096"/>
        <v>34.1606862142027</v>
      </c>
      <c r="N1909" s="535">
        <f t="shared" si="1097"/>
        <v>0</v>
      </c>
      <c r="O1909" s="535">
        <f t="shared" si="1098"/>
        <v>0</v>
      </c>
      <c r="P1909" s="536">
        <f t="shared" si="1099"/>
        <v>22.2135555555556</v>
      </c>
      <c r="Q1909" s="531">
        <f t="shared" si="1100"/>
        <v>45</v>
      </c>
      <c r="R1909" s="537">
        <f t="shared" si="1101"/>
        <v>0.0586701434159061</v>
      </c>
    </row>
    <row r="1910" spans="1:18">
      <c r="A1910" s="524">
        <v>45832</v>
      </c>
      <c r="B1910" s="540" t="s">
        <v>98</v>
      </c>
      <c r="C1910" s="551">
        <v>499.62</v>
      </c>
      <c r="D1910" s="553">
        <v>19404</v>
      </c>
      <c r="E1910" s="551">
        <v>496</v>
      </c>
      <c r="F1910" s="551">
        <v>1</v>
      </c>
      <c r="G1910" s="551">
        <v>3894</v>
      </c>
      <c r="H1910" s="551">
        <v>15</v>
      </c>
      <c r="I1910" s="551">
        <v>3</v>
      </c>
      <c r="J1910" s="551">
        <v>2</v>
      </c>
      <c r="K1910" s="527">
        <f t="shared" si="1094"/>
        <v>0.0255617398474541</v>
      </c>
      <c r="L1910" s="528">
        <f t="shared" si="1095"/>
        <v>1.00729838709677</v>
      </c>
      <c r="M1910" s="528">
        <f t="shared" si="1096"/>
        <v>25.7482993197279</v>
      </c>
      <c r="N1910" s="528">
        <f t="shared" si="1097"/>
        <v>7.79392338177015</v>
      </c>
      <c r="O1910" s="528">
        <f t="shared" si="1098"/>
        <v>0.00201612903225806</v>
      </c>
      <c r="P1910" s="529">
        <f t="shared" si="1099"/>
        <v>27.7566666666667</v>
      </c>
      <c r="Q1910" s="24">
        <f t="shared" si="1100"/>
        <v>18</v>
      </c>
      <c r="R1910" s="530">
        <f t="shared" si="1101"/>
        <v>0.0362903225806452</v>
      </c>
    </row>
    <row r="1911" spans="1:18">
      <c r="A1911" s="524"/>
      <c r="B1911" s="540" t="s">
        <v>99</v>
      </c>
      <c r="C1911" s="551">
        <v>0</v>
      </c>
      <c r="D1911" s="555">
        <v>0</v>
      </c>
      <c r="E1911" s="551">
        <v>0</v>
      </c>
      <c r="F1911" s="551">
        <v>0</v>
      </c>
      <c r="G1911" s="551">
        <v>0</v>
      </c>
      <c r="H1911" s="555">
        <v>0</v>
      </c>
      <c r="I1911" s="555">
        <v>0</v>
      </c>
      <c r="J1911" s="555">
        <v>0</v>
      </c>
      <c r="K1911" s="527">
        <f t="shared" si="1094"/>
        <v>0</v>
      </c>
      <c r="L1911" s="528">
        <f t="shared" si="1095"/>
        <v>0</v>
      </c>
      <c r="M1911" s="528">
        <f t="shared" si="1096"/>
        <v>0</v>
      </c>
      <c r="N1911" s="528">
        <f t="shared" si="1097"/>
        <v>0</v>
      </c>
      <c r="O1911" s="528">
        <f t="shared" si="1098"/>
        <v>0</v>
      </c>
      <c r="P1911" s="529">
        <f t="shared" si="1099"/>
        <v>0</v>
      </c>
      <c r="Q1911" s="24">
        <f t="shared" si="1100"/>
        <v>0</v>
      </c>
      <c r="R1911" s="530">
        <f t="shared" si="1101"/>
        <v>0</v>
      </c>
    </row>
    <row r="1912" spans="1:18">
      <c r="A1912" s="524"/>
      <c r="B1912" s="540" t="s">
        <v>100</v>
      </c>
      <c r="C1912" s="552">
        <v>500</v>
      </c>
      <c r="D1912" s="553">
        <v>13428</v>
      </c>
      <c r="E1912" s="553">
        <v>322</v>
      </c>
      <c r="F1912" s="551">
        <v>0</v>
      </c>
      <c r="G1912" s="551">
        <v>0</v>
      </c>
      <c r="H1912" s="551">
        <v>11</v>
      </c>
      <c r="I1912" s="551">
        <v>1</v>
      </c>
      <c r="J1912" s="551">
        <v>2</v>
      </c>
      <c r="K1912" s="527">
        <f t="shared" si="1094"/>
        <v>0.0239797438188859</v>
      </c>
      <c r="L1912" s="528">
        <f t="shared" si="1095"/>
        <v>1.5527950310559</v>
      </c>
      <c r="M1912" s="528">
        <f t="shared" si="1096"/>
        <v>37.2356270479595</v>
      </c>
      <c r="N1912" s="528">
        <f t="shared" si="1097"/>
        <v>0</v>
      </c>
      <c r="O1912" s="528">
        <f t="shared" si="1098"/>
        <v>0</v>
      </c>
      <c r="P1912" s="529">
        <f t="shared" si="1099"/>
        <v>41.6666666666667</v>
      </c>
      <c r="Q1912" s="24">
        <f t="shared" si="1100"/>
        <v>12</v>
      </c>
      <c r="R1912" s="530">
        <f t="shared" si="1101"/>
        <v>0.0372670807453416</v>
      </c>
    </row>
    <row r="1913" spans="1:18">
      <c r="A1913" s="524"/>
      <c r="B1913" s="540" t="s">
        <v>101</v>
      </c>
      <c r="C1913" s="552">
        <v>0</v>
      </c>
      <c r="D1913" s="553">
        <v>0</v>
      </c>
      <c r="E1913" s="551">
        <v>0</v>
      </c>
      <c r="F1913" s="551">
        <v>0</v>
      </c>
      <c r="G1913" s="551">
        <v>0</v>
      </c>
      <c r="H1913" s="551">
        <v>0</v>
      </c>
      <c r="I1913" s="551">
        <v>0</v>
      </c>
      <c r="J1913" s="551">
        <v>0</v>
      </c>
      <c r="K1913" s="527">
        <f t="shared" si="1094"/>
        <v>0</v>
      </c>
      <c r="L1913" s="528">
        <f t="shared" si="1095"/>
        <v>0</v>
      </c>
      <c r="M1913" s="528">
        <f t="shared" si="1096"/>
        <v>0</v>
      </c>
      <c r="N1913" s="528">
        <f t="shared" si="1097"/>
        <v>0</v>
      </c>
      <c r="O1913" s="528">
        <f t="shared" si="1098"/>
        <v>0</v>
      </c>
      <c r="P1913" s="529">
        <f t="shared" si="1099"/>
        <v>0</v>
      </c>
      <c r="Q1913" s="24">
        <f t="shared" si="1100"/>
        <v>0</v>
      </c>
      <c r="R1913" s="530">
        <f t="shared" si="1101"/>
        <v>0</v>
      </c>
    </row>
    <row r="1914" spans="1:18">
      <c r="A1914" s="524"/>
      <c r="B1914" s="531" t="s">
        <v>96</v>
      </c>
      <c r="C1914" s="533">
        <f t="shared" ref="C1914:J1914" si="1106">SUM(C1910:C1913)</f>
        <v>999.62</v>
      </c>
      <c r="D1914" s="533">
        <f t="shared" si="1106"/>
        <v>32832</v>
      </c>
      <c r="E1914" s="533">
        <f t="shared" si="1106"/>
        <v>818</v>
      </c>
      <c r="F1914" s="533">
        <f t="shared" si="1106"/>
        <v>1</v>
      </c>
      <c r="G1914" s="533">
        <f t="shared" si="1106"/>
        <v>3894</v>
      </c>
      <c r="H1914" s="533">
        <f t="shared" si="1106"/>
        <v>26</v>
      </c>
      <c r="I1914" s="533">
        <f t="shared" si="1106"/>
        <v>4</v>
      </c>
      <c r="J1914" s="533">
        <f t="shared" si="1106"/>
        <v>4</v>
      </c>
      <c r="K1914" s="534">
        <f t="shared" si="1094"/>
        <v>0.0249147173489279</v>
      </c>
      <c r="L1914" s="535">
        <f t="shared" si="1095"/>
        <v>1.2220293398533</v>
      </c>
      <c r="M1914" s="535">
        <f t="shared" si="1096"/>
        <v>30.4465155945419</v>
      </c>
      <c r="N1914" s="535">
        <f t="shared" si="1097"/>
        <v>3.89548028250735</v>
      </c>
      <c r="O1914" s="535">
        <f t="shared" si="1098"/>
        <v>0.00122249388753056</v>
      </c>
      <c r="P1914" s="536">
        <f t="shared" si="1099"/>
        <v>33.3206666666667</v>
      </c>
      <c r="Q1914" s="531">
        <f t="shared" si="1100"/>
        <v>30</v>
      </c>
      <c r="R1914" s="537">
        <f t="shared" si="1101"/>
        <v>0.0366748166259169</v>
      </c>
    </row>
    <row r="1915" spans="1:18">
      <c r="A1915" s="524">
        <v>45833</v>
      </c>
      <c r="B1915" s="540" t="s">
        <v>98</v>
      </c>
      <c r="C1915" s="551">
        <v>596.69</v>
      </c>
      <c r="D1915" s="553">
        <v>16343</v>
      </c>
      <c r="E1915" s="551">
        <v>463</v>
      </c>
      <c r="F1915" s="551">
        <v>1</v>
      </c>
      <c r="G1915" s="551">
        <v>11174</v>
      </c>
      <c r="H1915" s="551">
        <v>31</v>
      </c>
      <c r="I1915" s="551">
        <v>2</v>
      </c>
      <c r="J1915" s="551">
        <v>2</v>
      </c>
      <c r="K1915" s="527">
        <f t="shared" si="1094"/>
        <v>0.0283301719390565</v>
      </c>
      <c r="L1915" s="528">
        <f t="shared" si="1095"/>
        <v>1.28874730021598</v>
      </c>
      <c r="M1915" s="528">
        <f t="shared" si="1096"/>
        <v>36.5104326011136</v>
      </c>
      <c r="N1915" s="528">
        <f t="shared" si="1097"/>
        <v>18.7266419748948</v>
      </c>
      <c r="O1915" s="528">
        <f t="shared" si="1098"/>
        <v>0.00215982721382289</v>
      </c>
      <c r="P1915" s="529">
        <f t="shared" si="1099"/>
        <v>18.0815151515152</v>
      </c>
      <c r="Q1915" s="24">
        <f t="shared" si="1100"/>
        <v>33</v>
      </c>
      <c r="R1915" s="530">
        <f t="shared" si="1101"/>
        <v>0.0712742980561555</v>
      </c>
    </row>
    <row r="1916" spans="1:18">
      <c r="A1916" s="524"/>
      <c r="B1916" s="540" t="s">
        <v>99</v>
      </c>
      <c r="C1916" s="551">
        <v>0</v>
      </c>
      <c r="D1916" s="555">
        <v>0</v>
      </c>
      <c r="E1916" s="551">
        <v>0</v>
      </c>
      <c r="F1916" s="551">
        <v>0</v>
      </c>
      <c r="G1916" s="551">
        <v>0</v>
      </c>
      <c r="H1916" s="555">
        <v>0</v>
      </c>
      <c r="I1916" s="555">
        <v>0</v>
      </c>
      <c r="J1916" s="555">
        <v>0</v>
      </c>
      <c r="K1916" s="527">
        <f t="shared" si="1094"/>
        <v>0</v>
      </c>
      <c r="L1916" s="528">
        <f t="shared" si="1095"/>
        <v>0</v>
      </c>
      <c r="M1916" s="528">
        <f t="shared" si="1096"/>
        <v>0</v>
      </c>
      <c r="N1916" s="528">
        <f t="shared" si="1097"/>
        <v>0</v>
      </c>
      <c r="O1916" s="528">
        <f t="shared" si="1098"/>
        <v>0</v>
      </c>
      <c r="P1916" s="529">
        <f t="shared" si="1099"/>
        <v>0</v>
      </c>
      <c r="Q1916" s="24">
        <f t="shared" si="1100"/>
        <v>0</v>
      </c>
      <c r="R1916" s="530">
        <f t="shared" si="1101"/>
        <v>0</v>
      </c>
    </row>
    <row r="1917" spans="1:18">
      <c r="A1917" s="524"/>
      <c r="B1917" s="540" t="s">
        <v>100</v>
      </c>
      <c r="C1917" s="552">
        <v>500</v>
      </c>
      <c r="D1917" s="553">
        <v>15773</v>
      </c>
      <c r="E1917" s="553">
        <v>323</v>
      </c>
      <c r="F1917" s="551">
        <v>5</v>
      </c>
      <c r="G1917" s="551">
        <v>58764</v>
      </c>
      <c r="H1917" s="551">
        <v>9</v>
      </c>
      <c r="I1917" s="551">
        <v>1</v>
      </c>
      <c r="J1917" s="551">
        <v>0</v>
      </c>
      <c r="K1917" s="527">
        <f t="shared" si="1094"/>
        <v>0.0204780320801369</v>
      </c>
      <c r="L1917" s="528">
        <f t="shared" si="1095"/>
        <v>1.54798761609907</v>
      </c>
      <c r="M1917" s="528">
        <f t="shared" si="1096"/>
        <v>31.6997400621315</v>
      </c>
      <c r="N1917" s="528">
        <f t="shared" si="1097"/>
        <v>117.528</v>
      </c>
      <c r="O1917" s="528">
        <f t="shared" si="1098"/>
        <v>0.0154798761609907</v>
      </c>
      <c r="P1917" s="529">
        <f t="shared" si="1099"/>
        <v>50</v>
      </c>
      <c r="Q1917" s="24">
        <f t="shared" si="1100"/>
        <v>10</v>
      </c>
      <c r="R1917" s="530">
        <f t="shared" si="1101"/>
        <v>0.0309597523219814</v>
      </c>
    </row>
    <row r="1918" spans="1:18">
      <c r="A1918" s="524"/>
      <c r="B1918" s="540" t="s">
        <v>101</v>
      </c>
      <c r="C1918" s="552">
        <v>0</v>
      </c>
      <c r="D1918" s="553">
        <v>0</v>
      </c>
      <c r="E1918" s="551">
        <v>0</v>
      </c>
      <c r="F1918" s="551">
        <v>0</v>
      </c>
      <c r="G1918" s="551">
        <v>0</v>
      </c>
      <c r="H1918" s="551">
        <v>0</v>
      </c>
      <c r="I1918" s="551">
        <v>0</v>
      </c>
      <c r="J1918" s="551">
        <v>0</v>
      </c>
      <c r="K1918" s="527">
        <f t="shared" si="1094"/>
        <v>0</v>
      </c>
      <c r="L1918" s="528">
        <f t="shared" si="1095"/>
        <v>0</v>
      </c>
      <c r="M1918" s="528">
        <f t="shared" si="1096"/>
        <v>0</v>
      </c>
      <c r="N1918" s="528">
        <f t="shared" si="1097"/>
        <v>0</v>
      </c>
      <c r="O1918" s="528">
        <f t="shared" si="1098"/>
        <v>0</v>
      </c>
      <c r="P1918" s="529">
        <f t="shared" si="1099"/>
        <v>0</v>
      </c>
      <c r="Q1918" s="24">
        <f t="shared" si="1100"/>
        <v>0</v>
      </c>
      <c r="R1918" s="530">
        <f t="shared" si="1101"/>
        <v>0</v>
      </c>
    </row>
    <row r="1919" spans="1:18">
      <c r="A1919" s="524"/>
      <c r="B1919" s="531" t="s">
        <v>96</v>
      </c>
      <c r="C1919" s="533">
        <f t="shared" ref="C1919:J1919" si="1107">SUM(C1915:C1918)</f>
        <v>1096.69</v>
      </c>
      <c r="D1919" s="533">
        <f t="shared" si="1107"/>
        <v>32116</v>
      </c>
      <c r="E1919" s="533">
        <f t="shared" si="1107"/>
        <v>786</v>
      </c>
      <c r="F1919" s="533">
        <f t="shared" si="1107"/>
        <v>6</v>
      </c>
      <c r="G1919" s="533">
        <f t="shared" si="1107"/>
        <v>69938</v>
      </c>
      <c r="H1919" s="533">
        <f t="shared" si="1107"/>
        <v>40</v>
      </c>
      <c r="I1919" s="533">
        <f t="shared" si="1107"/>
        <v>3</v>
      </c>
      <c r="J1919" s="533">
        <f t="shared" si="1107"/>
        <v>2</v>
      </c>
      <c r="K1919" s="534">
        <f t="shared" si="1094"/>
        <v>0.0244737825382987</v>
      </c>
      <c r="L1919" s="535">
        <f t="shared" si="1095"/>
        <v>1.39527989821883</v>
      </c>
      <c r="M1919" s="535">
        <f t="shared" si="1096"/>
        <v>34.1477768090671</v>
      </c>
      <c r="N1919" s="535">
        <f t="shared" si="1097"/>
        <v>63.7718954307963</v>
      </c>
      <c r="O1919" s="535">
        <f t="shared" si="1098"/>
        <v>0.00763358778625954</v>
      </c>
      <c r="P1919" s="536">
        <f t="shared" si="1099"/>
        <v>25.5044186046512</v>
      </c>
      <c r="Q1919" s="531">
        <f t="shared" si="1100"/>
        <v>43</v>
      </c>
      <c r="R1919" s="537">
        <f t="shared" si="1101"/>
        <v>0.0547073791348601</v>
      </c>
    </row>
    <row r="1920" spans="1:18">
      <c r="A1920" s="524">
        <v>45834</v>
      </c>
      <c r="B1920" s="540" t="s">
        <v>98</v>
      </c>
      <c r="C1920" s="551">
        <v>599.8</v>
      </c>
      <c r="D1920" s="553">
        <v>23518</v>
      </c>
      <c r="E1920" s="551">
        <v>546</v>
      </c>
      <c r="F1920" s="551">
        <v>0</v>
      </c>
      <c r="G1920" s="551">
        <v>0</v>
      </c>
      <c r="H1920" s="551">
        <v>17</v>
      </c>
      <c r="I1920" s="551">
        <v>1</v>
      </c>
      <c r="J1920" s="551">
        <v>3</v>
      </c>
      <c r="K1920" s="527">
        <f t="shared" si="1094"/>
        <v>0.0232162598860447</v>
      </c>
      <c r="L1920" s="528">
        <f t="shared" si="1095"/>
        <v>1.0985347985348</v>
      </c>
      <c r="M1920" s="528">
        <f t="shared" si="1096"/>
        <v>25.5038693766477</v>
      </c>
      <c r="N1920" s="528">
        <f t="shared" si="1097"/>
        <v>0</v>
      </c>
      <c r="O1920" s="528">
        <f t="shared" si="1098"/>
        <v>0</v>
      </c>
      <c r="P1920" s="529">
        <f t="shared" si="1099"/>
        <v>33.3222222222222</v>
      </c>
      <c r="Q1920" s="24">
        <f t="shared" si="1100"/>
        <v>18</v>
      </c>
      <c r="R1920" s="530">
        <f t="shared" si="1101"/>
        <v>0.032967032967033</v>
      </c>
    </row>
    <row r="1921" spans="1:18">
      <c r="A1921" s="524"/>
      <c r="B1921" s="540" t="s">
        <v>99</v>
      </c>
      <c r="C1921" s="551">
        <v>0</v>
      </c>
      <c r="D1921" s="555">
        <v>0</v>
      </c>
      <c r="E1921" s="551">
        <v>0</v>
      </c>
      <c r="F1921" s="551">
        <v>0</v>
      </c>
      <c r="G1921" s="551">
        <v>0</v>
      </c>
      <c r="H1921" s="555">
        <v>0</v>
      </c>
      <c r="I1921" s="555">
        <v>0</v>
      </c>
      <c r="J1921" s="555">
        <v>0</v>
      </c>
      <c r="K1921" s="527">
        <f t="shared" si="1094"/>
        <v>0</v>
      </c>
      <c r="L1921" s="528">
        <f t="shared" si="1095"/>
        <v>0</v>
      </c>
      <c r="M1921" s="528">
        <f t="shared" si="1096"/>
        <v>0</v>
      </c>
      <c r="N1921" s="528">
        <f t="shared" si="1097"/>
        <v>0</v>
      </c>
      <c r="O1921" s="528">
        <f t="shared" si="1098"/>
        <v>0</v>
      </c>
      <c r="P1921" s="529">
        <f t="shared" si="1099"/>
        <v>0</v>
      </c>
      <c r="Q1921" s="24">
        <f t="shared" si="1100"/>
        <v>0</v>
      </c>
      <c r="R1921" s="530">
        <f t="shared" si="1101"/>
        <v>0</v>
      </c>
    </row>
    <row r="1922" spans="1:18">
      <c r="A1922" s="524"/>
      <c r="B1922" s="540" t="s">
        <v>100</v>
      </c>
      <c r="C1922" s="552">
        <v>1033.09</v>
      </c>
      <c r="D1922" s="553">
        <v>34063</v>
      </c>
      <c r="E1922" s="553">
        <v>638</v>
      </c>
      <c r="F1922" s="551">
        <v>1</v>
      </c>
      <c r="G1922" s="551">
        <v>20172</v>
      </c>
      <c r="H1922" s="551">
        <v>26</v>
      </c>
      <c r="I1922" s="551">
        <v>3</v>
      </c>
      <c r="J1922" s="551">
        <v>5</v>
      </c>
      <c r="K1922" s="527">
        <f t="shared" si="1094"/>
        <v>0.0187300002935737</v>
      </c>
      <c r="L1922" s="528">
        <f t="shared" si="1095"/>
        <v>1.61926332288401</v>
      </c>
      <c r="M1922" s="528">
        <f t="shared" si="1096"/>
        <v>30.3288025129906</v>
      </c>
      <c r="N1922" s="528">
        <f t="shared" si="1097"/>
        <v>19.5258883543544</v>
      </c>
      <c r="O1922" s="528">
        <f t="shared" si="1098"/>
        <v>0.00156739811912226</v>
      </c>
      <c r="P1922" s="529">
        <f t="shared" si="1099"/>
        <v>35.6237931034483</v>
      </c>
      <c r="Q1922" s="24">
        <f t="shared" si="1100"/>
        <v>29</v>
      </c>
      <c r="R1922" s="530">
        <f t="shared" si="1101"/>
        <v>0.0454545454545455</v>
      </c>
    </row>
    <row r="1923" spans="1:18">
      <c r="A1923" s="524"/>
      <c r="B1923" s="540" t="s">
        <v>101</v>
      </c>
      <c r="C1923" s="552">
        <v>0</v>
      </c>
      <c r="D1923" s="553">
        <v>0</v>
      </c>
      <c r="E1923" s="551">
        <v>0</v>
      </c>
      <c r="F1923" s="551">
        <v>0</v>
      </c>
      <c r="G1923" s="551">
        <v>0</v>
      </c>
      <c r="H1923" s="551">
        <v>0</v>
      </c>
      <c r="I1923" s="551">
        <v>0</v>
      </c>
      <c r="J1923" s="551">
        <v>0</v>
      </c>
      <c r="K1923" s="527">
        <f t="shared" si="1094"/>
        <v>0</v>
      </c>
      <c r="L1923" s="528">
        <f t="shared" si="1095"/>
        <v>0</v>
      </c>
      <c r="M1923" s="528">
        <f t="shared" si="1096"/>
        <v>0</v>
      </c>
      <c r="N1923" s="528">
        <f t="shared" si="1097"/>
        <v>0</v>
      </c>
      <c r="O1923" s="528">
        <f t="shared" si="1098"/>
        <v>0</v>
      </c>
      <c r="P1923" s="529">
        <f t="shared" si="1099"/>
        <v>0</v>
      </c>
      <c r="Q1923" s="24">
        <f t="shared" si="1100"/>
        <v>0</v>
      </c>
      <c r="R1923" s="530">
        <f t="shared" si="1101"/>
        <v>0</v>
      </c>
    </row>
    <row r="1924" spans="1:18">
      <c r="A1924" s="524"/>
      <c r="B1924" s="531" t="s">
        <v>96</v>
      </c>
      <c r="C1924" s="533">
        <f t="shared" ref="C1924:J1924" si="1108">SUM(C1920:C1923)</f>
        <v>1632.89</v>
      </c>
      <c r="D1924" s="533">
        <f t="shared" si="1108"/>
        <v>57581</v>
      </c>
      <c r="E1924" s="533">
        <f t="shared" si="1108"/>
        <v>1184</v>
      </c>
      <c r="F1924" s="533">
        <f t="shared" si="1108"/>
        <v>1</v>
      </c>
      <c r="G1924" s="533">
        <f t="shared" si="1108"/>
        <v>20172</v>
      </c>
      <c r="H1924" s="533">
        <f t="shared" si="1108"/>
        <v>43</v>
      </c>
      <c r="I1924" s="533">
        <f t="shared" si="1108"/>
        <v>4</v>
      </c>
      <c r="J1924" s="533">
        <f t="shared" si="1108"/>
        <v>8</v>
      </c>
      <c r="K1924" s="534">
        <f t="shared" si="1094"/>
        <v>0.0205623382713048</v>
      </c>
      <c r="L1924" s="535">
        <f t="shared" si="1095"/>
        <v>1.37913006756757</v>
      </c>
      <c r="M1924" s="535">
        <f t="shared" si="1096"/>
        <v>28.3581389694517</v>
      </c>
      <c r="N1924" s="535">
        <f t="shared" si="1097"/>
        <v>12.3535571900128</v>
      </c>
      <c r="O1924" s="535">
        <f t="shared" si="1098"/>
        <v>0.000844594594594595</v>
      </c>
      <c r="P1924" s="536">
        <f t="shared" si="1099"/>
        <v>34.7423404255319</v>
      </c>
      <c r="Q1924" s="531">
        <f t="shared" si="1100"/>
        <v>47</v>
      </c>
      <c r="R1924" s="537">
        <f t="shared" si="1101"/>
        <v>0.0396959459459459</v>
      </c>
    </row>
    <row r="1925" spans="1:18">
      <c r="A1925" s="524">
        <v>45835</v>
      </c>
      <c r="B1925" s="540" t="s">
        <v>98</v>
      </c>
      <c r="C1925" s="551">
        <v>599.29</v>
      </c>
      <c r="D1925" s="553">
        <v>17777</v>
      </c>
      <c r="E1925" s="551">
        <v>504</v>
      </c>
      <c r="F1925" s="551">
        <v>0</v>
      </c>
      <c r="G1925" s="551">
        <v>0</v>
      </c>
      <c r="H1925" s="551">
        <v>19</v>
      </c>
      <c r="I1925" s="551">
        <v>3</v>
      </c>
      <c r="J1925" s="551">
        <v>2</v>
      </c>
      <c r="K1925" s="527">
        <f t="shared" si="1094"/>
        <v>0.028351240366766</v>
      </c>
      <c r="L1925" s="528">
        <f t="shared" si="1095"/>
        <v>1.18906746031746</v>
      </c>
      <c r="M1925" s="528">
        <f t="shared" si="1096"/>
        <v>33.7115373797604</v>
      </c>
      <c r="N1925" s="528">
        <f t="shared" si="1097"/>
        <v>0</v>
      </c>
      <c r="O1925" s="528">
        <f t="shared" si="1098"/>
        <v>0</v>
      </c>
      <c r="P1925" s="529">
        <f t="shared" si="1099"/>
        <v>27.2404545454545</v>
      </c>
      <c r="Q1925" s="24">
        <f t="shared" si="1100"/>
        <v>22</v>
      </c>
      <c r="R1925" s="530">
        <f t="shared" si="1101"/>
        <v>0.0436507936507936</v>
      </c>
    </row>
    <row r="1926" spans="1:18">
      <c r="A1926" s="524"/>
      <c r="B1926" s="540" t="s">
        <v>99</v>
      </c>
      <c r="C1926" s="551">
        <v>0</v>
      </c>
      <c r="D1926" s="555">
        <v>0</v>
      </c>
      <c r="E1926" s="551">
        <v>0</v>
      </c>
      <c r="F1926" s="551">
        <v>0</v>
      </c>
      <c r="G1926" s="551">
        <v>0</v>
      </c>
      <c r="H1926" s="555">
        <v>0</v>
      </c>
      <c r="I1926" s="555">
        <v>0</v>
      </c>
      <c r="J1926" s="555">
        <v>0</v>
      </c>
      <c r="K1926" s="527">
        <f t="shared" si="1094"/>
        <v>0</v>
      </c>
      <c r="L1926" s="528">
        <f t="shared" si="1095"/>
        <v>0</v>
      </c>
      <c r="M1926" s="528">
        <f t="shared" si="1096"/>
        <v>0</v>
      </c>
      <c r="N1926" s="528">
        <f t="shared" si="1097"/>
        <v>0</v>
      </c>
      <c r="O1926" s="528">
        <f t="shared" si="1098"/>
        <v>0</v>
      </c>
      <c r="P1926" s="529">
        <f t="shared" si="1099"/>
        <v>0</v>
      </c>
      <c r="Q1926" s="24">
        <f t="shared" si="1100"/>
        <v>0</v>
      </c>
      <c r="R1926" s="530">
        <f t="shared" si="1101"/>
        <v>0</v>
      </c>
    </row>
    <row r="1927" spans="1:18">
      <c r="A1927" s="524"/>
      <c r="B1927" s="540" t="s">
        <v>100</v>
      </c>
      <c r="C1927" s="552">
        <v>1488.45</v>
      </c>
      <c r="D1927" s="553">
        <v>63608</v>
      </c>
      <c r="E1927" s="553">
        <v>1123</v>
      </c>
      <c r="F1927" s="551">
        <v>0</v>
      </c>
      <c r="G1927" s="551">
        <v>0</v>
      </c>
      <c r="H1927" s="551">
        <v>53</v>
      </c>
      <c r="I1927" s="551">
        <v>29</v>
      </c>
      <c r="J1927" s="551">
        <v>2</v>
      </c>
      <c r="K1927" s="527">
        <f t="shared" si="1094"/>
        <v>0.0176550119481826</v>
      </c>
      <c r="L1927" s="528">
        <f t="shared" si="1095"/>
        <v>1.32542297417631</v>
      </c>
      <c r="M1927" s="528">
        <f t="shared" si="1096"/>
        <v>23.4003584454786</v>
      </c>
      <c r="N1927" s="528">
        <f t="shared" si="1097"/>
        <v>0</v>
      </c>
      <c r="O1927" s="528">
        <f t="shared" si="1098"/>
        <v>0</v>
      </c>
      <c r="P1927" s="529">
        <f t="shared" si="1099"/>
        <v>18.1518292682927</v>
      </c>
      <c r="Q1927" s="24">
        <f t="shared" si="1100"/>
        <v>82</v>
      </c>
      <c r="R1927" s="530">
        <f t="shared" si="1101"/>
        <v>0.0730186999109528</v>
      </c>
    </row>
    <row r="1928" spans="1:18">
      <c r="A1928" s="524"/>
      <c r="B1928" s="540" t="s">
        <v>101</v>
      </c>
      <c r="C1928" s="552">
        <v>0</v>
      </c>
      <c r="D1928" s="553">
        <v>0</v>
      </c>
      <c r="E1928" s="551">
        <v>0</v>
      </c>
      <c r="F1928" s="551">
        <v>0</v>
      </c>
      <c r="G1928" s="551">
        <v>0</v>
      </c>
      <c r="H1928" s="551">
        <v>0</v>
      </c>
      <c r="I1928" s="551">
        <v>0</v>
      </c>
      <c r="J1928" s="551">
        <v>0</v>
      </c>
      <c r="K1928" s="527">
        <f t="shared" si="1094"/>
        <v>0</v>
      </c>
      <c r="L1928" s="528">
        <f t="shared" si="1095"/>
        <v>0</v>
      </c>
      <c r="M1928" s="528">
        <f t="shared" si="1096"/>
        <v>0</v>
      </c>
      <c r="N1928" s="528">
        <f t="shared" si="1097"/>
        <v>0</v>
      </c>
      <c r="O1928" s="528">
        <f t="shared" si="1098"/>
        <v>0</v>
      </c>
      <c r="P1928" s="529">
        <f t="shared" si="1099"/>
        <v>0</v>
      </c>
      <c r="Q1928" s="24">
        <f t="shared" si="1100"/>
        <v>0</v>
      </c>
      <c r="R1928" s="530">
        <f t="shared" si="1101"/>
        <v>0</v>
      </c>
    </row>
    <row r="1929" spans="1:18">
      <c r="A1929" s="524"/>
      <c r="B1929" s="531" t="s">
        <v>96</v>
      </c>
      <c r="C1929" s="533">
        <f t="shared" ref="C1929:J1929" si="1109">SUM(C1925:C1928)</f>
        <v>2087.74</v>
      </c>
      <c r="D1929" s="533">
        <f t="shared" si="1109"/>
        <v>81385</v>
      </c>
      <c r="E1929" s="533">
        <f t="shared" si="1109"/>
        <v>1627</v>
      </c>
      <c r="F1929" s="533">
        <f t="shared" si="1109"/>
        <v>0</v>
      </c>
      <c r="G1929" s="533">
        <f t="shared" si="1109"/>
        <v>0</v>
      </c>
      <c r="H1929" s="533">
        <f t="shared" si="1109"/>
        <v>72</v>
      </c>
      <c r="I1929" s="533">
        <f t="shared" si="1109"/>
        <v>32</v>
      </c>
      <c r="J1929" s="533">
        <f t="shared" si="1109"/>
        <v>4</v>
      </c>
      <c r="K1929" s="534">
        <f t="shared" si="1094"/>
        <v>0.0199913989064324</v>
      </c>
      <c r="L1929" s="535">
        <f t="shared" si="1095"/>
        <v>1.28318377381684</v>
      </c>
      <c r="M1929" s="535">
        <f t="shared" si="1096"/>
        <v>25.6526386926338</v>
      </c>
      <c r="N1929" s="535">
        <f t="shared" si="1097"/>
        <v>0</v>
      </c>
      <c r="O1929" s="535">
        <f t="shared" si="1098"/>
        <v>0</v>
      </c>
      <c r="P1929" s="536">
        <f t="shared" si="1099"/>
        <v>20.0744230769231</v>
      </c>
      <c r="Q1929" s="531">
        <f t="shared" si="1100"/>
        <v>104</v>
      </c>
      <c r="R1929" s="537">
        <f t="shared" si="1101"/>
        <v>0.0639213275968039</v>
      </c>
    </row>
    <row r="1930" spans="1:18">
      <c r="A1930" s="524">
        <v>45836</v>
      </c>
      <c r="B1930" s="540" t="s">
        <v>98</v>
      </c>
      <c r="C1930" s="551">
        <v>1186.59</v>
      </c>
      <c r="D1930" s="553">
        <v>23528</v>
      </c>
      <c r="E1930" s="551">
        <v>884</v>
      </c>
      <c r="F1930" s="551">
        <v>2</v>
      </c>
      <c r="G1930" s="551">
        <v>33708</v>
      </c>
      <c r="H1930" s="551">
        <v>36</v>
      </c>
      <c r="I1930" s="551">
        <v>5</v>
      </c>
      <c r="J1930" s="551">
        <v>5</v>
      </c>
      <c r="K1930" s="527">
        <f t="shared" si="1094"/>
        <v>0.0375722543352601</v>
      </c>
      <c r="L1930" s="528">
        <f t="shared" si="1095"/>
        <v>1.3422963800905</v>
      </c>
      <c r="M1930" s="528">
        <f t="shared" si="1096"/>
        <v>50.4331009860592</v>
      </c>
      <c r="N1930" s="528">
        <f t="shared" si="1097"/>
        <v>28.4074532905216</v>
      </c>
      <c r="O1930" s="528">
        <f t="shared" si="1098"/>
        <v>0.00226244343891403</v>
      </c>
      <c r="P1930" s="529">
        <f t="shared" si="1099"/>
        <v>28.9412195121951</v>
      </c>
      <c r="Q1930" s="24">
        <f t="shared" si="1100"/>
        <v>41</v>
      </c>
      <c r="R1930" s="530">
        <f t="shared" si="1101"/>
        <v>0.0463800904977376</v>
      </c>
    </row>
    <row r="1931" spans="1:18">
      <c r="A1931" s="524"/>
      <c r="B1931" s="540" t="s">
        <v>99</v>
      </c>
      <c r="C1931" s="551">
        <v>0</v>
      </c>
      <c r="D1931" s="555">
        <v>0</v>
      </c>
      <c r="E1931" s="551">
        <v>0</v>
      </c>
      <c r="F1931" s="551">
        <v>0</v>
      </c>
      <c r="G1931" s="551">
        <v>0</v>
      </c>
      <c r="H1931" s="555">
        <v>0</v>
      </c>
      <c r="I1931" s="555">
        <v>0</v>
      </c>
      <c r="J1931" s="555">
        <v>0</v>
      </c>
      <c r="K1931" s="527">
        <f t="shared" si="1094"/>
        <v>0</v>
      </c>
      <c r="L1931" s="528">
        <f t="shared" si="1095"/>
        <v>0</v>
      </c>
      <c r="M1931" s="528">
        <f t="shared" si="1096"/>
        <v>0</v>
      </c>
      <c r="N1931" s="528">
        <f t="shared" si="1097"/>
        <v>0</v>
      </c>
      <c r="O1931" s="528">
        <f t="shared" si="1098"/>
        <v>0</v>
      </c>
      <c r="P1931" s="529">
        <f t="shared" si="1099"/>
        <v>0</v>
      </c>
      <c r="Q1931" s="24">
        <f t="shared" si="1100"/>
        <v>0</v>
      </c>
      <c r="R1931" s="530">
        <f t="shared" si="1101"/>
        <v>0</v>
      </c>
    </row>
    <row r="1932" spans="1:18">
      <c r="A1932" s="524"/>
      <c r="B1932" s="540" t="s">
        <v>100</v>
      </c>
      <c r="C1932" s="552">
        <v>2244.58</v>
      </c>
      <c r="D1932" s="553">
        <v>105878</v>
      </c>
      <c r="E1932" s="553">
        <v>1848</v>
      </c>
      <c r="F1932" s="551">
        <v>1</v>
      </c>
      <c r="G1932" s="551">
        <v>13534</v>
      </c>
      <c r="H1932" s="551">
        <v>50</v>
      </c>
      <c r="I1932" s="551">
        <v>30</v>
      </c>
      <c r="J1932" s="551">
        <v>3</v>
      </c>
      <c r="K1932" s="527">
        <f t="shared" si="1094"/>
        <v>0.0174540508887588</v>
      </c>
      <c r="L1932" s="528">
        <f t="shared" si="1095"/>
        <v>1.21459956709957</v>
      </c>
      <c r="M1932" s="528">
        <f t="shared" si="1096"/>
        <v>21.1996826536202</v>
      </c>
      <c r="N1932" s="528">
        <f t="shared" si="1097"/>
        <v>6.02963583387538</v>
      </c>
      <c r="O1932" s="528">
        <f t="shared" si="1098"/>
        <v>0.000541125541125541</v>
      </c>
      <c r="P1932" s="529">
        <f t="shared" si="1099"/>
        <v>28.05725</v>
      </c>
      <c r="Q1932" s="24">
        <f t="shared" si="1100"/>
        <v>80</v>
      </c>
      <c r="R1932" s="530">
        <f t="shared" si="1101"/>
        <v>0.0432900432900433</v>
      </c>
    </row>
    <row r="1933" spans="1:18">
      <c r="A1933" s="524"/>
      <c r="B1933" s="540" t="s">
        <v>101</v>
      </c>
      <c r="C1933" s="552">
        <v>0</v>
      </c>
      <c r="D1933" s="553">
        <v>0</v>
      </c>
      <c r="E1933" s="551">
        <v>0</v>
      </c>
      <c r="F1933" s="551">
        <v>0</v>
      </c>
      <c r="G1933" s="551">
        <v>0</v>
      </c>
      <c r="H1933" s="551">
        <v>0</v>
      </c>
      <c r="I1933" s="551">
        <v>0</v>
      </c>
      <c r="J1933" s="551">
        <v>0</v>
      </c>
      <c r="K1933" s="527">
        <f t="shared" si="1094"/>
        <v>0</v>
      </c>
      <c r="L1933" s="528">
        <f t="shared" si="1095"/>
        <v>0</v>
      </c>
      <c r="M1933" s="528">
        <f t="shared" si="1096"/>
        <v>0</v>
      </c>
      <c r="N1933" s="528">
        <f t="shared" si="1097"/>
        <v>0</v>
      </c>
      <c r="O1933" s="528">
        <f t="shared" si="1098"/>
        <v>0</v>
      </c>
      <c r="P1933" s="529">
        <f t="shared" si="1099"/>
        <v>0</v>
      </c>
      <c r="Q1933" s="24">
        <f t="shared" si="1100"/>
        <v>0</v>
      </c>
      <c r="R1933" s="530">
        <f t="shared" si="1101"/>
        <v>0</v>
      </c>
    </row>
    <row r="1934" spans="1:18">
      <c r="A1934" s="524"/>
      <c r="B1934" s="531" t="s">
        <v>96</v>
      </c>
      <c r="C1934" s="533">
        <f t="shared" ref="C1934:J1934" si="1110">SUM(C1930:C1933)</f>
        <v>3431.17</v>
      </c>
      <c r="D1934" s="533">
        <f t="shared" si="1110"/>
        <v>129406</v>
      </c>
      <c r="E1934" s="533">
        <f t="shared" si="1110"/>
        <v>2732</v>
      </c>
      <c r="F1934" s="533">
        <f t="shared" si="1110"/>
        <v>3</v>
      </c>
      <c r="G1934" s="533">
        <f t="shared" si="1110"/>
        <v>47242</v>
      </c>
      <c r="H1934" s="533">
        <f t="shared" si="1110"/>
        <v>86</v>
      </c>
      <c r="I1934" s="533">
        <f t="shared" si="1110"/>
        <v>35</v>
      </c>
      <c r="J1934" s="533">
        <f t="shared" si="1110"/>
        <v>8</v>
      </c>
      <c r="K1934" s="534">
        <f t="shared" si="1094"/>
        <v>0.0211118495278426</v>
      </c>
      <c r="L1934" s="535">
        <f t="shared" si="1095"/>
        <v>1.25591874084919</v>
      </c>
      <c r="M1934" s="535">
        <f t="shared" si="1096"/>
        <v>26.5147674760058</v>
      </c>
      <c r="N1934" s="535">
        <f t="shared" si="1097"/>
        <v>13.7684813052108</v>
      </c>
      <c r="O1934" s="535">
        <f t="shared" si="1098"/>
        <v>0.00109809663250366</v>
      </c>
      <c r="P1934" s="536">
        <f t="shared" si="1099"/>
        <v>28.3567768595041</v>
      </c>
      <c r="Q1934" s="531">
        <f t="shared" si="1100"/>
        <v>121</v>
      </c>
      <c r="R1934" s="537">
        <f t="shared" si="1101"/>
        <v>0.044289897510981</v>
      </c>
    </row>
    <row r="1935" spans="1:18">
      <c r="A1935" s="524">
        <v>45837</v>
      </c>
      <c r="B1935" s="540" t="s">
        <v>98</v>
      </c>
      <c r="C1935" s="551">
        <v>1199.27</v>
      </c>
      <c r="D1935" s="553">
        <v>32876</v>
      </c>
      <c r="E1935" s="551">
        <v>1012</v>
      </c>
      <c r="F1935" s="551">
        <v>10</v>
      </c>
      <c r="G1935" s="551">
        <v>275936.99</v>
      </c>
      <c r="H1935" s="551">
        <v>29</v>
      </c>
      <c r="I1935" s="551">
        <v>3</v>
      </c>
      <c r="J1935" s="551">
        <v>5</v>
      </c>
      <c r="K1935" s="527">
        <f t="shared" si="1094"/>
        <v>0.0307823336172284</v>
      </c>
      <c r="L1935" s="528">
        <f t="shared" si="1095"/>
        <v>1.18504940711462</v>
      </c>
      <c r="M1935" s="528">
        <f t="shared" si="1096"/>
        <v>36.4785862027011</v>
      </c>
      <c r="N1935" s="528">
        <f t="shared" si="1097"/>
        <v>230.087461539103</v>
      </c>
      <c r="O1935" s="528">
        <f t="shared" si="1098"/>
        <v>0.00988142292490119</v>
      </c>
      <c r="P1935" s="529">
        <f t="shared" si="1099"/>
        <v>37.4771875</v>
      </c>
      <c r="Q1935" s="24">
        <f t="shared" si="1100"/>
        <v>32</v>
      </c>
      <c r="R1935" s="530">
        <f t="shared" si="1101"/>
        <v>0.0316205533596838</v>
      </c>
    </row>
    <row r="1936" spans="1:18">
      <c r="A1936" s="524"/>
      <c r="B1936" s="540" t="s">
        <v>99</v>
      </c>
      <c r="C1936" s="551">
        <v>0</v>
      </c>
      <c r="D1936" s="555">
        <v>0</v>
      </c>
      <c r="E1936" s="551">
        <v>0</v>
      </c>
      <c r="F1936" s="551">
        <v>0</v>
      </c>
      <c r="G1936" s="551">
        <v>0</v>
      </c>
      <c r="H1936" s="555">
        <v>0</v>
      </c>
      <c r="I1936" s="555">
        <v>0</v>
      </c>
      <c r="J1936" s="555">
        <v>0</v>
      </c>
      <c r="K1936" s="527">
        <f t="shared" si="1094"/>
        <v>0</v>
      </c>
      <c r="L1936" s="528">
        <f t="shared" si="1095"/>
        <v>0</v>
      </c>
      <c r="M1936" s="528">
        <f t="shared" si="1096"/>
        <v>0</v>
      </c>
      <c r="N1936" s="528">
        <f t="shared" si="1097"/>
        <v>0</v>
      </c>
      <c r="O1936" s="528">
        <f t="shared" si="1098"/>
        <v>0</v>
      </c>
      <c r="P1936" s="529">
        <f t="shared" si="1099"/>
        <v>0</v>
      </c>
      <c r="Q1936" s="24">
        <f t="shared" si="1100"/>
        <v>0</v>
      </c>
      <c r="R1936" s="530">
        <f t="shared" si="1101"/>
        <v>0</v>
      </c>
    </row>
    <row r="1937" spans="1:18">
      <c r="A1937" s="524"/>
      <c r="B1937" s="540" t="s">
        <v>100</v>
      </c>
      <c r="C1937" s="552">
        <v>2206.27</v>
      </c>
      <c r="D1937" s="553">
        <v>109080</v>
      </c>
      <c r="E1937" s="553">
        <v>2099</v>
      </c>
      <c r="F1937" s="551">
        <v>0</v>
      </c>
      <c r="G1937" s="551">
        <v>0</v>
      </c>
      <c r="H1937" s="551">
        <v>76</v>
      </c>
      <c r="I1937" s="551">
        <v>52</v>
      </c>
      <c r="J1937" s="551">
        <v>9</v>
      </c>
      <c r="K1937" s="527">
        <f t="shared" si="1094"/>
        <v>0.0192427576090942</v>
      </c>
      <c r="L1937" s="528">
        <f t="shared" si="1095"/>
        <v>1.05110528823249</v>
      </c>
      <c r="M1937" s="528">
        <f t="shared" si="1096"/>
        <v>20.226164283095</v>
      </c>
      <c r="N1937" s="528">
        <f t="shared" si="1097"/>
        <v>0</v>
      </c>
      <c r="O1937" s="528">
        <f t="shared" si="1098"/>
        <v>0</v>
      </c>
      <c r="P1937" s="529">
        <f t="shared" si="1099"/>
        <v>17.236484375</v>
      </c>
      <c r="Q1937" s="24">
        <f t="shared" si="1100"/>
        <v>128</v>
      </c>
      <c r="R1937" s="530">
        <f t="shared" si="1101"/>
        <v>0.0609814197236779</v>
      </c>
    </row>
    <row r="1938" spans="1:18">
      <c r="A1938" s="524"/>
      <c r="B1938" s="540" t="s">
        <v>101</v>
      </c>
      <c r="C1938" s="552">
        <v>0</v>
      </c>
      <c r="D1938" s="553">
        <v>0</v>
      </c>
      <c r="E1938" s="551">
        <v>0</v>
      </c>
      <c r="F1938" s="551">
        <v>0</v>
      </c>
      <c r="G1938" s="551">
        <v>0</v>
      </c>
      <c r="H1938" s="551">
        <v>0</v>
      </c>
      <c r="I1938" s="551">
        <v>0</v>
      </c>
      <c r="J1938" s="551">
        <v>0</v>
      </c>
      <c r="K1938" s="527">
        <f t="shared" si="1094"/>
        <v>0</v>
      </c>
      <c r="L1938" s="528">
        <f t="shared" si="1095"/>
        <v>0</v>
      </c>
      <c r="M1938" s="528">
        <f t="shared" si="1096"/>
        <v>0</v>
      </c>
      <c r="N1938" s="528">
        <f t="shared" si="1097"/>
        <v>0</v>
      </c>
      <c r="O1938" s="528">
        <f t="shared" si="1098"/>
        <v>0</v>
      </c>
      <c r="P1938" s="529">
        <f t="shared" si="1099"/>
        <v>0</v>
      </c>
      <c r="Q1938" s="24">
        <f t="shared" si="1100"/>
        <v>0</v>
      </c>
      <c r="R1938" s="530">
        <f t="shared" si="1101"/>
        <v>0</v>
      </c>
    </row>
    <row r="1939" spans="1:18">
      <c r="A1939" s="524"/>
      <c r="B1939" s="531" t="s">
        <v>96</v>
      </c>
      <c r="C1939" s="533">
        <f t="shared" ref="C1939:J1939" si="1111">SUM(C1935:C1938)</f>
        <v>3405.54</v>
      </c>
      <c r="D1939" s="533">
        <f t="shared" si="1111"/>
        <v>141956</v>
      </c>
      <c r="E1939" s="533">
        <f t="shared" si="1111"/>
        <v>3111</v>
      </c>
      <c r="F1939" s="533">
        <f t="shared" si="1111"/>
        <v>10</v>
      </c>
      <c r="G1939" s="533">
        <f t="shared" si="1111"/>
        <v>275936.99</v>
      </c>
      <c r="H1939" s="533">
        <f t="shared" si="1111"/>
        <v>105</v>
      </c>
      <c r="I1939" s="533">
        <f t="shared" si="1111"/>
        <v>55</v>
      </c>
      <c r="J1939" s="533">
        <f t="shared" si="1111"/>
        <v>14</v>
      </c>
      <c r="K1939" s="534">
        <f t="shared" si="1094"/>
        <v>0.0219152413423878</v>
      </c>
      <c r="L1939" s="535">
        <f t="shared" si="1095"/>
        <v>1.09467695274831</v>
      </c>
      <c r="M1939" s="535">
        <f t="shared" si="1096"/>
        <v>23.9901096114289</v>
      </c>
      <c r="N1939" s="535">
        <f t="shared" si="1097"/>
        <v>81.0259136583332</v>
      </c>
      <c r="O1939" s="535">
        <f t="shared" si="1098"/>
        <v>0.00321440051430408</v>
      </c>
      <c r="P1939" s="536">
        <f t="shared" si="1099"/>
        <v>21.284625</v>
      </c>
      <c r="Q1939" s="531">
        <f t="shared" si="1100"/>
        <v>160</v>
      </c>
      <c r="R1939" s="537">
        <f t="shared" si="1101"/>
        <v>0.0514304082288653</v>
      </c>
    </row>
    <row r="1940" spans="1:18">
      <c r="A1940" s="524">
        <v>45838</v>
      </c>
      <c r="B1940" s="540" t="s">
        <v>98</v>
      </c>
      <c r="C1940" s="551">
        <v>1200</v>
      </c>
      <c r="D1940" s="553">
        <v>26479</v>
      </c>
      <c r="E1940" s="551">
        <v>898</v>
      </c>
      <c r="F1940" s="551">
        <v>0</v>
      </c>
      <c r="G1940" s="551">
        <v>0</v>
      </c>
      <c r="H1940" s="551">
        <v>34</v>
      </c>
      <c r="I1940" s="551">
        <v>5</v>
      </c>
      <c r="J1940" s="551">
        <v>0</v>
      </c>
      <c r="K1940" s="527">
        <f t="shared" si="1094"/>
        <v>0.0339136674345708</v>
      </c>
      <c r="L1940" s="528">
        <f t="shared" si="1095"/>
        <v>1.33630289532294</v>
      </c>
      <c r="M1940" s="528">
        <f t="shared" si="1096"/>
        <v>45.3189319838363</v>
      </c>
      <c r="N1940" s="528">
        <f t="shared" si="1097"/>
        <v>0</v>
      </c>
      <c r="O1940" s="528">
        <f t="shared" si="1098"/>
        <v>0</v>
      </c>
      <c r="P1940" s="529">
        <f t="shared" si="1099"/>
        <v>30.7692307692308</v>
      </c>
      <c r="Q1940" s="24">
        <f t="shared" si="1100"/>
        <v>39</v>
      </c>
      <c r="R1940" s="530">
        <f t="shared" si="1101"/>
        <v>0.0434298440979955</v>
      </c>
    </row>
    <row r="1941" spans="1:18">
      <c r="A1941" s="524"/>
      <c r="B1941" s="540" t="s">
        <v>99</v>
      </c>
      <c r="C1941" s="551">
        <v>0</v>
      </c>
      <c r="D1941" s="555">
        <v>0</v>
      </c>
      <c r="E1941" s="551">
        <v>0</v>
      </c>
      <c r="F1941" s="551">
        <v>0</v>
      </c>
      <c r="G1941" s="551">
        <v>0</v>
      </c>
      <c r="H1941" s="555">
        <v>0</v>
      </c>
      <c r="I1941" s="555">
        <v>0</v>
      </c>
      <c r="J1941" s="555">
        <v>0</v>
      </c>
      <c r="K1941" s="527">
        <f t="shared" si="1094"/>
        <v>0</v>
      </c>
      <c r="L1941" s="528">
        <f t="shared" si="1095"/>
        <v>0</v>
      </c>
      <c r="M1941" s="528">
        <f t="shared" si="1096"/>
        <v>0</v>
      </c>
      <c r="N1941" s="528">
        <f t="shared" si="1097"/>
        <v>0</v>
      </c>
      <c r="O1941" s="528">
        <f t="shared" si="1098"/>
        <v>0</v>
      </c>
      <c r="P1941" s="529">
        <f t="shared" si="1099"/>
        <v>0</v>
      </c>
      <c r="Q1941" s="24">
        <f t="shared" si="1100"/>
        <v>0</v>
      </c>
      <c r="R1941" s="530">
        <f t="shared" si="1101"/>
        <v>0</v>
      </c>
    </row>
    <row r="1942" spans="1:18">
      <c r="A1942" s="524"/>
      <c r="B1942" s="540" t="s">
        <v>100</v>
      </c>
      <c r="C1942" s="552">
        <v>1468.16</v>
      </c>
      <c r="D1942" s="553">
        <v>62224</v>
      </c>
      <c r="E1942" s="553">
        <v>1142</v>
      </c>
      <c r="F1942" s="551">
        <v>0</v>
      </c>
      <c r="G1942" s="551">
        <v>0</v>
      </c>
      <c r="H1942" s="551">
        <v>60</v>
      </c>
      <c r="I1942" s="551">
        <v>8</v>
      </c>
      <c r="J1942" s="551">
        <v>1</v>
      </c>
      <c r="K1942" s="527">
        <f t="shared" si="1094"/>
        <v>0.0183530470557984</v>
      </c>
      <c r="L1942" s="528">
        <f t="shared" si="1095"/>
        <v>1.28560420315236</v>
      </c>
      <c r="M1942" s="528">
        <f t="shared" si="1096"/>
        <v>23.5947544355876</v>
      </c>
      <c r="N1942" s="528">
        <f t="shared" si="1097"/>
        <v>0</v>
      </c>
      <c r="O1942" s="528">
        <f t="shared" si="1098"/>
        <v>0</v>
      </c>
      <c r="P1942" s="529">
        <f t="shared" si="1099"/>
        <v>21.5905882352941</v>
      </c>
      <c r="Q1942" s="24">
        <f t="shared" si="1100"/>
        <v>68</v>
      </c>
      <c r="R1942" s="530">
        <f t="shared" si="1101"/>
        <v>0.0595446584938704</v>
      </c>
    </row>
    <row r="1943" spans="1:18">
      <c r="A1943" s="524"/>
      <c r="B1943" s="540" t="s">
        <v>101</v>
      </c>
      <c r="C1943" s="552">
        <v>0</v>
      </c>
      <c r="D1943" s="553">
        <v>0</v>
      </c>
      <c r="E1943" s="551">
        <v>0</v>
      </c>
      <c r="F1943" s="551">
        <v>0</v>
      </c>
      <c r="G1943" s="551">
        <v>0</v>
      </c>
      <c r="H1943" s="551">
        <v>0</v>
      </c>
      <c r="I1943" s="551">
        <v>0</v>
      </c>
      <c r="J1943" s="551">
        <v>0</v>
      </c>
      <c r="K1943" s="527">
        <f t="shared" si="1094"/>
        <v>0</v>
      </c>
      <c r="L1943" s="528">
        <f t="shared" si="1095"/>
        <v>0</v>
      </c>
      <c r="M1943" s="528">
        <f t="shared" si="1096"/>
        <v>0</v>
      </c>
      <c r="N1943" s="528">
        <f t="shared" si="1097"/>
        <v>0</v>
      </c>
      <c r="O1943" s="528">
        <f t="shared" si="1098"/>
        <v>0</v>
      </c>
      <c r="P1943" s="529">
        <f t="shared" si="1099"/>
        <v>0</v>
      </c>
      <c r="Q1943" s="24">
        <f t="shared" si="1100"/>
        <v>0</v>
      </c>
      <c r="R1943" s="530">
        <f t="shared" si="1101"/>
        <v>0</v>
      </c>
    </row>
    <row r="1944" spans="1:18">
      <c r="A1944" s="524"/>
      <c r="B1944" s="531" t="s">
        <v>96</v>
      </c>
      <c r="C1944" s="533">
        <f t="shared" ref="C1944:J1944" si="1112">SUM(C1940:C1943)</f>
        <v>2668.16</v>
      </c>
      <c r="D1944" s="533">
        <f t="shared" si="1112"/>
        <v>88703</v>
      </c>
      <c r="E1944" s="533">
        <f t="shared" si="1112"/>
        <v>2040</v>
      </c>
      <c r="F1944" s="533">
        <f t="shared" si="1112"/>
        <v>0</v>
      </c>
      <c r="G1944" s="533">
        <f t="shared" si="1112"/>
        <v>0</v>
      </c>
      <c r="H1944" s="533">
        <f t="shared" si="1112"/>
        <v>94</v>
      </c>
      <c r="I1944" s="533">
        <f t="shared" si="1112"/>
        <v>13</v>
      </c>
      <c r="J1944" s="533">
        <f t="shared" si="1112"/>
        <v>1</v>
      </c>
      <c r="K1944" s="534">
        <f t="shared" si="1094"/>
        <v>0.0229980947656787</v>
      </c>
      <c r="L1944" s="535">
        <f t="shared" si="1095"/>
        <v>1.30792156862745</v>
      </c>
      <c r="M1944" s="535">
        <f t="shared" si="1096"/>
        <v>30.0797041813693</v>
      </c>
      <c r="N1944" s="535">
        <f t="shared" si="1097"/>
        <v>0</v>
      </c>
      <c r="O1944" s="535">
        <f t="shared" si="1098"/>
        <v>0</v>
      </c>
      <c r="P1944" s="536">
        <f t="shared" si="1099"/>
        <v>24.9360747663551</v>
      </c>
      <c r="Q1944" s="531">
        <f t="shared" si="1100"/>
        <v>107</v>
      </c>
      <c r="R1944" s="537">
        <f t="shared" si="1101"/>
        <v>0.0524509803921569</v>
      </c>
    </row>
    <row r="1945" spans="1:18">
      <c r="A1945" s="524">
        <v>45839</v>
      </c>
      <c r="B1945" s="540" t="s">
        <v>98</v>
      </c>
      <c r="C1945" s="551">
        <v>1195.19</v>
      </c>
      <c r="D1945" s="553">
        <v>36724</v>
      </c>
      <c r="E1945" s="551">
        <v>960</v>
      </c>
      <c r="F1945" s="551">
        <v>2</v>
      </c>
      <c r="G1945" s="551">
        <v>29314</v>
      </c>
      <c r="H1945" s="551">
        <v>27</v>
      </c>
      <c r="I1945" s="551">
        <v>4</v>
      </c>
      <c r="J1945" s="551">
        <v>5</v>
      </c>
      <c r="K1945" s="527">
        <f t="shared" si="1094"/>
        <v>0.026140943252369</v>
      </c>
      <c r="L1945" s="528">
        <f t="shared" si="1095"/>
        <v>1.24498958333333</v>
      </c>
      <c r="M1945" s="528">
        <f t="shared" si="1096"/>
        <v>32.5452020477072</v>
      </c>
      <c r="N1945" s="528">
        <f t="shared" si="1097"/>
        <v>24.5266442992328</v>
      </c>
      <c r="O1945" s="528">
        <f t="shared" si="1098"/>
        <v>0.00208333333333333</v>
      </c>
      <c r="P1945" s="529">
        <f t="shared" si="1099"/>
        <v>38.5545161290323</v>
      </c>
      <c r="Q1945" s="24">
        <f t="shared" si="1100"/>
        <v>31</v>
      </c>
      <c r="R1945" s="530">
        <f t="shared" si="1101"/>
        <v>0.0322916666666667</v>
      </c>
    </row>
    <row r="1946" spans="1:18">
      <c r="A1946" s="524"/>
      <c r="B1946" s="540" t="s">
        <v>99</v>
      </c>
      <c r="C1946" s="551">
        <v>0</v>
      </c>
      <c r="D1946" s="555">
        <v>0</v>
      </c>
      <c r="E1946" s="551">
        <v>0</v>
      </c>
      <c r="F1946" s="551">
        <v>0</v>
      </c>
      <c r="G1946" s="551">
        <v>0</v>
      </c>
      <c r="H1946" s="555">
        <v>0</v>
      </c>
      <c r="I1946" s="555">
        <v>0</v>
      </c>
      <c r="J1946" s="555">
        <v>0</v>
      </c>
      <c r="K1946" s="527">
        <f t="shared" si="1094"/>
        <v>0</v>
      </c>
      <c r="L1946" s="528">
        <f t="shared" si="1095"/>
        <v>0</v>
      </c>
      <c r="M1946" s="528">
        <f t="shared" si="1096"/>
        <v>0</v>
      </c>
      <c r="N1946" s="528">
        <f t="shared" si="1097"/>
        <v>0</v>
      </c>
      <c r="O1946" s="528">
        <f t="shared" si="1098"/>
        <v>0</v>
      </c>
      <c r="P1946" s="529">
        <f t="shared" si="1099"/>
        <v>0</v>
      </c>
      <c r="Q1946" s="24">
        <f t="shared" si="1100"/>
        <v>0</v>
      </c>
      <c r="R1946" s="530">
        <f t="shared" si="1101"/>
        <v>0</v>
      </c>
    </row>
    <row r="1947" spans="1:18">
      <c r="A1947" s="524"/>
      <c r="B1947" s="540" t="s">
        <v>100</v>
      </c>
      <c r="C1947" s="552">
        <v>1090.09</v>
      </c>
      <c r="D1947" s="553">
        <v>73620</v>
      </c>
      <c r="E1947" s="553">
        <v>1122</v>
      </c>
      <c r="F1947" s="551">
        <v>0</v>
      </c>
      <c r="G1947" s="551">
        <v>0</v>
      </c>
      <c r="H1947" s="551">
        <v>38</v>
      </c>
      <c r="I1947" s="551">
        <v>9</v>
      </c>
      <c r="J1947" s="551">
        <v>3</v>
      </c>
      <c r="K1947" s="527">
        <f t="shared" si="1094"/>
        <v>0.015240423797881</v>
      </c>
      <c r="L1947" s="528">
        <f t="shared" si="1095"/>
        <v>0.971559714795009</v>
      </c>
      <c r="M1947" s="528">
        <f t="shared" si="1096"/>
        <v>14.8069817984243</v>
      </c>
      <c r="N1947" s="528">
        <f t="shared" si="1097"/>
        <v>0</v>
      </c>
      <c r="O1947" s="528">
        <f t="shared" si="1098"/>
        <v>0</v>
      </c>
      <c r="P1947" s="529">
        <f t="shared" si="1099"/>
        <v>23.1934042553191</v>
      </c>
      <c r="Q1947" s="24">
        <f t="shared" si="1100"/>
        <v>47</v>
      </c>
      <c r="R1947" s="530">
        <f t="shared" si="1101"/>
        <v>0.0418894830659537</v>
      </c>
    </row>
    <row r="1948" spans="1:18">
      <c r="A1948" s="524"/>
      <c r="B1948" s="540" t="s">
        <v>101</v>
      </c>
      <c r="C1948" s="552">
        <v>0</v>
      </c>
      <c r="D1948" s="553">
        <v>0</v>
      </c>
      <c r="E1948" s="551">
        <v>0</v>
      </c>
      <c r="F1948" s="551">
        <v>0</v>
      </c>
      <c r="G1948" s="551">
        <v>0</v>
      </c>
      <c r="H1948" s="551">
        <v>0</v>
      </c>
      <c r="I1948" s="551">
        <v>0</v>
      </c>
      <c r="J1948" s="551">
        <v>0</v>
      </c>
      <c r="K1948" s="527">
        <f t="shared" si="1094"/>
        <v>0</v>
      </c>
      <c r="L1948" s="528">
        <f t="shared" si="1095"/>
        <v>0</v>
      </c>
      <c r="M1948" s="528">
        <f t="shared" si="1096"/>
        <v>0</v>
      </c>
      <c r="N1948" s="528">
        <f t="shared" si="1097"/>
        <v>0</v>
      </c>
      <c r="O1948" s="528">
        <f t="shared" si="1098"/>
        <v>0</v>
      </c>
      <c r="P1948" s="529">
        <f t="shared" si="1099"/>
        <v>0</v>
      </c>
      <c r="Q1948" s="24">
        <f t="shared" si="1100"/>
        <v>0</v>
      </c>
      <c r="R1948" s="530">
        <f t="shared" si="1101"/>
        <v>0</v>
      </c>
    </row>
    <row r="1949" spans="1:18">
      <c r="A1949" s="524"/>
      <c r="B1949" s="531" t="s">
        <v>96</v>
      </c>
      <c r="C1949" s="533">
        <f t="shared" ref="C1949:J1949" si="1113">SUM(C1945:C1948)</f>
        <v>2285.28</v>
      </c>
      <c r="D1949" s="533">
        <f t="shared" si="1113"/>
        <v>110344</v>
      </c>
      <c r="E1949" s="533">
        <f t="shared" si="1113"/>
        <v>2082</v>
      </c>
      <c r="F1949" s="533">
        <f t="shared" si="1113"/>
        <v>2</v>
      </c>
      <c r="G1949" s="533">
        <f t="shared" si="1113"/>
        <v>29314</v>
      </c>
      <c r="H1949" s="533">
        <f t="shared" si="1113"/>
        <v>65</v>
      </c>
      <c r="I1949" s="533">
        <f t="shared" si="1113"/>
        <v>13</v>
      </c>
      <c r="J1949" s="533">
        <f t="shared" si="1113"/>
        <v>8</v>
      </c>
      <c r="K1949" s="534">
        <f t="shared" si="1094"/>
        <v>0.0188682665119988</v>
      </c>
      <c r="L1949" s="535">
        <f t="shared" si="1095"/>
        <v>1.09763688760807</v>
      </c>
      <c r="M1949" s="535">
        <f t="shared" si="1096"/>
        <v>20.71050532879</v>
      </c>
      <c r="N1949" s="535">
        <f t="shared" si="1097"/>
        <v>12.827312189316</v>
      </c>
      <c r="O1949" s="535">
        <f t="shared" si="1098"/>
        <v>0.000960614793467819</v>
      </c>
      <c r="P1949" s="536">
        <f t="shared" si="1099"/>
        <v>29.2984615384615</v>
      </c>
      <c r="Q1949" s="531">
        <f t="shared" si="1100"/>
        <v>78</v>
      </c>
      <c r="R1949" s="537">
        <f t="shared" si="1101"/>
        <v>0.037463976945245</v>
      </c>
    </row>
    <row r="1950" spans="1:18">
      <c r="A1950" s="524">
        <v>45840</v>
      </c>
      <c r="B1950" s="540" t="s">
        <v>98</v>
      </c>
      <c r="C1950" s="551">
        <v>800</v>
      </c>
      <c r="D1950" s="553">
        <v>26048</v>
      </c>
      <c r="E1950" s="551">
        <v>710</v>
      </c>
      <c r="F1950" s="551">
        <v>1</v>
      </c>
      <c r="G1950" s="551">
        <v>18366</v>
      </c>
      <c r="H1950" s="551">
        <v>16</v>
      </c>
      <c r="I1950" s="551">
        <v>6</v>
      </c>
      <c r="J1950" s="551">
        <v>2</v>
      </c>
      <c r="K1950" s="527">
        <f t="shared" si="1094"/>
        <v>0.027257371007371</v>
      </c>
      <c r="L1950" s="528">
        <f t="shared" si="1095"/>
        <v>1.12676056338028</v>
      </c>
      <c r="M1950" s="528">
        <f t="shared" si="1096"/>
        <v>30.7125307125307</v>
      </c>
      <c r="N1950" s="528">
        <f t="shared" si="1097"/>
        <v>22.9575</v>
      </c>
      <c r="O1950" s="528">
        <f t="shared" si="1098"/>
        <v>0.00140845070422535</v>
      </c>
      <c r="P1950" s="529">
        <f t="shared" si="1099"/>
        <v>36.3636363636364</v>
      </c>
      <c r="Q1950" s="24">
        <f t="shared" si="1100"/>
        <v>22</v>
      </c>
      <c r="R1950" s="530">
        <f t="shared" si="1101"/>
        <v>0.0309859154929577</v>
      </c>
    </row>
    <row r="1951" spans="1:18">
      <c r="A1951" s="524"/>
      <c r="B1951" s="540" t="s">
        <v>99</v>
      </c>
      <c r="C1951" s="551">
        <v>0</v>
      </c>
      <c r="D1951" s="555">
        <v>0</v>
      </c>
      <c r="E1951" s="551">
        <v>0</v>
      </c>
      <c r="F1951" s="551">
        <v>0</v>
      </c>
      <c r="G1951" s="551">
        <v>0</v>
      </c>
      <c r="H1951" s="555">
        <v>0</v>
      </c>
      <c r="I1951" s="555">
        <v>0</v>
      </c>
      <c r="J1951" s="555">
        <v>0</v>
      </c>
      <c r="K1951" s="527">
        <f t="shared" si="1094"/>
        <v>0</v>
      </c>
      <c r="L1951" s="528">
        <f t="shared" si="1095"/>
        <v>0</v>
      </c>
      <c r="M1951" s="528">
        <f t="shared" si="1096"/>
        <v>0</v>
      </c>
      <c r="N1951" s="528">
        <f t="shared" si="1097"/>
        <v>0</v>
      </c>
      <c r="O1951" s="528">
        <f t="shared" si="1098"/>
        <v>0</v>
      </c>
      <c r="P1951" s="529">
        <f t="shared" si="1099"/>
        <v>0</v>
      </c>
      <c r="Q1951" s="24">
        <f t="shared" si="1100"/>
        <v>0</v>
      </c>
      <c r="R1951" s="530">
        <f t="shared" si="1101"/>
        <v>0</v>
      </c>
    </row>
    <row r="1952" spans="1:18">
      <c r="A1952" s="524"/>
      <c r="B1952" s="540" t="s">
        <v>100</v>
      </c>
      <c r="C1952" s="552">
        <v>793.32</v>
      </c>
      <c r="D1952" s="553">
        <v>46772</v>
      </c>
      <c r="E1952" s="553">
        <v>785</v>
      </c>
      <c r="F1952" s="551">
        <v>2</v>
      </c>
      <c r="G1952" s="551">
        <v>35534</v>
      </c>
      <c r="H1952" s="551">
        <v>33</v>
      </c>
      <c r="I1952" s="551">
        <v>10</v>
      </c>
      <c r="J1952" s="551">
        <v>3</v>
      </c>
      <c r="K1952" s="527">
        <f t="shared" si="1094"/>
        <v>0.0167835457111092</v>
      </c>
      <c r="L1952" s="528">
        <f t="shared" si="1095"/>
        <v>1.01059872611465</v>
      </c>
      <c r="M1952" s="528">
        <f t="shared" si="1096"/>
        <v>16.961429915334</v>
      </c>
      <c r="N1952" s="528">
        <f t="shared" si="1097"/>
        <v>44.7915091009933</v>
      </c>
      <c r="O1952" s="528">
        <f t="shared" si="1098"/>
        <v>0.00254777070063694</v>
      </c>
      <c r="P1952" s="529">
        <f t="shared" si="1099"/>
        <v>18.4493023255814</v>
      </c>
      <c r="Q1952" s="24">
        <f t="shared" si="1100"/>
        <v>43</v>
      </c>
      <c r="R1952" s="530">
        <f t="shared" si="1101"/>
        <v>0.0547770700636943</v>
      </c>
    </row>
    <row r="1953" spans="1:18">
      <c r="A1953" s="524"/>
      <c r="B1953" s="540" t="s">
        <v>101</v>
      </c>
      <c r="C1953" s="552">
        <v>0</v>
      </c>
      <c r="D1953" s="553">
        <v>0</v>
      </c>
      <c r="E1953" s="551">
        <v>0</v>
      </c>
      <c r="F1953" s="551">
        <v>0</v>
      </c>
      <c r="G1953" s="551">
        <v>0</v>
      </c>
      <c r="H1953" s="551">
        <v>0</v>
      </c>
      <c r="I1953" s="551">
        <v>0</v>
      </c>
      <c r="J1953" s="551">
        <v>0</v>
      </c>
      <c r="K1953" s="527">
        <f t="shared" si="1094"/>
        <v>0</v>
      </c>
      <c r="L1953" s="528">
        <f t="shared" si="1095"/>
        <v>0</v>
      </c>
      <c r="M1953" s="528">
        <f t="shared" si="1096"/>
        <v>0</v>
      </c>
      <c r="N1953" s="528">
        <f t="shared" si="1097"/>
        <v>0</v>
      </c>
      <c r="O1953" s="528">
        <f t="shared" si="1098"/>
        <v>0</v>
      </c>
      <c r="P1953" s="529">
        <f t="shared" si="1099"/>
        <v>0</v>
      </c>
      <c r="Q1953" s="24">
        <f t="shared" si="1100"/>
        <v>0</v>
      </c>
      <c r="R1953" s="530">
        <f t="shared" si="1101"/>
        <v>0</v>
      </c>
    </row>
    <row r="1954" spans="1:18">
      <c r="A1954" s="524"/>
      <c r="B1954" s="531" t="s">
        <v>96</v>
      </c>
      <c r="C1954" s="533">
        <f t="shared" ref="C1954:J1954" si="1114">SUM(C1950:C1953)</f>
        <v>1593.32</v>
      </c>
      <c r="D1954" s="533">
        <f t="shared" si="1114"/>
        <v>72820</v>
      </c>
      <c r="E1954" s="533">
        <f t="shared" si="1114"/>
        <v>1495</v>
      </c>
      <c r="F1954" s="533">
        <f t="shared" si="1114"/>
        <v>3</v>
      </c>
      <c r="G1954" s="533">
        <f t="shared" si="1114"/>
        <v>53900</v>
      </c>
      <c r="H1954" s="533">
        <f t="shared" si="1114"/>
        <v>49</v>
      </c>
      <c r="I1954" s="533">
        <f t="shared" si="1114"/>
        <v>16</v>
      </c>
      <c r="J1954" s="533">
        <f t="shared" si="1114"/>
        <v>5</v>
      </c>
      <c r="K1954" s="534">
        <f t="shared" si="1094"/>
        <v>0.0205300741554518</v>
      </c>
      <c r="L1954" s="535">
        <f t="shared" si="1095"/>
        <v>1.06576588628763</v>
      </c>
      <c r="M1954" s="535">
        <f t="shared" si="1096"/>
        <v>21.8802526778358</v>
      </c>
      <c r="N1954" s="535">
        <f t="shared" si="1097"/>
        <v>33.8287349684935</v>
      </c>
      <c r="O1954" s="535">
        <f t="shared" si="1098"/>
        <v>0.0020066889632107</v>
      </c>
      <c r="P1954" s="536">
        <f t="shared" si="1099"/>
        <v>24.5126153846154</v>
      </c>
      <c r="Q1954" s="531">
        <f t="shared" si="1100"/>
        <v>65</v>
      </c>
      <c r="R1954" s="537">
        <f t="shared" si="1101"/>
        <v>0.0434782608695652</v>
      </c>
    </row>
    <row r="1955" spans="1:18">
      <c r="A1955" s="524">
        <v>45841</v>
      </c>
      <c r="B1955" s="540" t="s">
        <v>98</v>
      </c>
      <c r="C1955" s="551">
        <v>799.28</v>
      </c>
      <c r="D1955" s="553">
        <v>37303</v>
      </c>
      <c r="E1955" s="551">
        <v>802</v>
      </c>
      <c r="F1955" s="551">
        <v>0</v>
      </c>
      <c r="G1955" s="551">
        <v>0</v>
      </c>
      <c r="H1955" s="551">
        <v>29</v>
      </c>
      <c r="I1955" s="551">
        <v>5</v>
      </c>
      <c r="J1955" s="551">
        <v>5</v>
      </c>
      <c r="K1955" s="527">
        <f t="shared" si="1094"/>
        <v>0.0214996112913171</v>
      </c>
      <c r="L1955" s="528">
        <f t="shared" si="1095"/>
        <v>0.996608478802993</v>
      </c>
      <c r="M1955" s="528">
        <f t="shared" si="1096"/>
        <v>21.4266949038951</v>
      </c>
      <c r="N1955" s="528">
        <f t="shared" si="1097"/>
        <v>0</v>
      </c>
      <c r="O1955" s="528">
        <f t="shared" si="1098"/>
        <v>0</v>
      </c>
      <c r="P1955" s="529">
        <f t="shared" si="1099"/>
        <v>23.5082352941176</v>
      </c>
      <c r="Q1955" s="24">
        <f t="shared" si="1100"/>
        <v>34</v>
      </c>
      <c r="R1955" s="530">
        <f t="shared" si="1101"/>
        <v>0.0423940149625935</v>
      </c>
    </row>
    <row r="1956" spans="1:18">
      <c r="A1956" s="524"/>
      <c r="B1956" s="540" t="s">
        <v>99</v>
      </c>
      <c r="C1956" s="551">
        <v>0</v>
      </c>
      <c r="D1956" s="555">
        <v>0</v>
      </c>
      <c r="E1956" s="551">
        <v>0</v>
      </c>
      <c r="F1956" s="551">
        <v>0</v>
      </c>
      <c r="G1956" s="551">
        <v>0</v>
      </c>
      <c r="H1956" s="555">
        <v>0</v>
      </c>
      <c r="I1956" s="555">
        <v>0</v>
      </c>
      <c r="J1956" s="555">
        <v>0</v>
      </c>
      <c r="K1956" s="527">
        <f t="shared" si="1094"/>
        <v>0</v>
      </c>
      <c r="L1956" s="528">
        <f t="shared" si="1095"/>
        <v>0</v>
      </c>
      <c r="M1956" s="528">
        <f t="shared" si="1096"/>
        <v>0</v>
      </c>
      <c r="N1956" s="528">
        <f t="shared" si="1097"/>
        <v>0</v>
      </c>
      <c r="O1956" s="528">
        <f t="shared" si="1098"/>
        <v>0</v>
      </c>
      <c r="P1956" s="529">
        <f t="shared" si="1099"/>
        <v>0</v>
      </c>
      <c r="Q1956" s="24">
        <f t="shared" si="1100"/>
        <v>0</v>
      </c>
      <c r="R1956" s="530">
        <f t="shared" si="1101"/>
        <v>0</v>
      </c>
    </row>
    <row r="1957" spans="1:18">
      <c r="A1957" s="524"/>
      <c r="B1957" s="540" t="s">
        <v>100</v>
      </c>
      <c r="C1957" s="552">
        <v>722.2</v>
      </c>
      <c r="D1957" s="553">
        <v>61813</v>
      </c>
      <c r="E1957" s="553">
        <v>933</v>
      </c>
      <c r="F1957" s="551">
        <v>2</v>
      </c>
      <c r="G1957" s="551">
        <v>42188</v>
      </c>
      <c r="H1957" s="551">
        <v>13</v>
      </c>
      <c r="I1957" s="551">
        <v>15</v>
      </c>
      <c r="J1957" s="551">
        <v>3</v>
      </c>
      <c r="K1957" s="527">
        <f t="shared" ref="K1957:K1969" si="1115">IF(E1957=0,0,E1957/D1957)</f>
        <v>0.0150939122838238</v>
      </c>
      <c r="L1957" s="528">
        <f t="shared" ref="L1957:L1969" si="1116">IF(C1957=0,0,C1957/E1957)</f>
        <v>0.77406216505895</v>
      </c>
      <c r="M1957" s="528">
        <f t="shared" ref="M1957:M1969" si="1117">IF(D1957=0,0,C1957/D1957*1000)</f>
        <v>11.6836264216265</v>
      </c>
      <c r="N1957" s="528">
        <f t="shared" ref="N1957:N1969" si="1118">IF(G1957=0,0,G1957/C1957)</f>
        <v>58.4159512600388</v>
      </c>
      <c r="O1957" s="528">
        <f t="shared" ref="O1957:O1969" si="1119">IF(F1957=0,0,F1957/E1957)</f>
        <v>0.00214362272240086</v>
      </c>
      <c r="P1957" s="529">
        <f t="shared" ref="P1957:P1969" si="1120">IF(H1957+I1957=0,0,C1957/(H1957+I1957))</f>
        <v>25.7928571428571</v>
      </c>
      <c r="Q1957" s="24">
        <f t="shared" ref="Q1957:Q1969" si="1121">H1957+I1957</f>
        <v>28</v>
      </c>
      <c r="R1957" s="530">
        <f t="shared" ref="R1957:R1969" si="1122">IF(Q1957=0,0,Q1957/E1957)</f>
        <v>0.030010718113612</v>
      </c>
    </row>
    <row r="1958" spans="1:18">
      <c r="A1958" s="524"/>
      <c r="B1958" s="540" t="s">
        <v>101</v>
      </c>
      <c r="C1958" s="552">
        <v>0</v>
      </c>
      <c r="D1958" s="553">
        <v>0</v>
      </c>
      <c r="E1958" s="551">
        <v>0</v>
      </c>
      <c r="F1958" s="551">
        <v>0</v>
      </c>
      <c r="G1958" s="551">
        <v>0</v>
      </c>
      <c r="H1958" s="551">
        <v>0</v>
      </c>
      <c r="I1958" s="551">
        <v>0</v>
      </c>
      <c r="J1958" s="551">
        <v>0</v>
      </c>
      <c r="K1958" s="527">
        <f t="shared" si="1115"/>
        <v>0</v>
      </c>
      <c r="L1958" s="528">
        <f t="shared" si="1116"/>
        <v>0</v>
      </c>
      <c r="M1958" s="528">
        <f t="shared" si="1117"/>
        <v>0</v>
      </c>
      <c r="N1958" s="528">
        <f t="shared" si="1118"/>
        <v>0</v>
      </c>
      <c r="O1958" s="528">
        <f t="shared" si="1119"/>
        <v>0</v>
      </c>
      <c r="P1958" s="529">
        <f t="shared" si="1120"/>
        <v>0</v>
      </c>
      <c r="Q1958" s="24">
        <f t="shared" si="1121"/>
        <v>0</v>
      </c>
      <c r="R1958" s="530">
        <f t="shared" si="1122"/>
        <v>0</v>
      </c>
    </row>
    <row r="1959" spans="1:18">
      <c r="A1959" s="524"/>
      <c r="B1959" s="531" t="s">
        <v>96</v>
      </c>
      <c r="C1959" s="533">
        <f t="shared" ref="C1959:J1959" si="1123">SUM(C1955:C1958)</f>
        <v>1521.48</v>
      </c>
      <c r="D1959" s="533">
        <f t="shared" si="1123"/>
        <v>99116</v>
      </c>
      <c r="E1959" s="533">
        <f t="shared" si="1123"/>
        <v>1735</v>
      </c>
      <c r="F1959" s="533">
        <f t="shared" si="1123"/>
        <v>2</v>
      </c>
      <c r="G1959" s="533">
        <f t="shared" si="1123"/>
        <v>42188</v>
      </c>
      <c r="H1959" s="533">
        <f t="shared" si="1123"/>
        <v>42</v>
      </c>
      <c r="I1959" s="533">
        <f t="shared" si="1123"/>
        <v>20</v>
      </c>
      <c r="J1959" s="533">
        <f t="shared" si="1123"/>
        <v>8</v>
      </c>
      <c r="K1959" s="534">
        <f t="shared" si="1115"/>
        <v>0.0175047419185601</v>
      </c>
      <c r="L1959" s="535">
        <f t="shared" si="1116"/>
        <v>0.876933717579251</v>
      </c>
      <c r="M1959" s="535">
        <f t="shared" si="1117"/>
        <v>15.3504984059082</v>
      </c>
      <c r="N1959" s="535">
        <f t="shared" si="1118"/>
        <v>27.7282645844835</v>
      </c>
      <c r="O1959" s="535">
        <f t="shared" si="1119"/>
        <v>0.00115273775216138</v>
      </c>
      <c r="P1959" s="536">
        <f t="shared" si="1120"/>
        <v>24.54</v>
      </c>
      <c r="Q1959" s="531">
        <f t="shared" si="1121"/>
        <v>62</v>
      </c>
      <c r="R1959" s="537">
        <f t="shared" si="1122"/>
        <v>0.0357348703170029</v>
      </c>
    </row>
    <row r="1960" spans="1:18">
      <c r="A1960" s="524">
        <v>45842</v>
      </c>
      <c r="B1960" s="540" t="s">
        <v>98</v>
      </c>
      <c r="C1960" s="551">
        <v>796.83</v>
      </c>
      <c r="D1960" s="553">
        <v>29086</v>
      </c>
      <c r="E1960" s="551">
        <v>733</v>
      </c>
      <c r="F1960" s="551">
        <v>1</v>
      </c>
      <c r="G1960" s="551">
        <v>4684</v>
      </c>
      <c r="H1960" s="551">
        <v>16</v>
      </c>
      <c r="I1960" s="551">
        <v>5</v>
      </c>
      <c r="J1960" s="551">
        <v>1</v>
      </c>
      <c r="K1960" s="527">
        <f t="shared" si="1115"/>
        <v>0.0252011276902977</v>
      </c>
      <c r="L1960" s="528">
        <f t="shared" si="1116"/>
        <v>1.08708049113233</v>
      </c>
      <c r="M1960" s="528">
        <f t="shared" si="1117"/>
        <v>27.3956542666575</v>
      </c>
      <c r="N1960" s="528">
        <f t="shared" si="1118"/>
        <v>5.87829273496229</v>
      </c>
      <c r="O1960" s="528">
        <f t="shared" si="1119"/>
        <v>0.00136425648021828</v>
      </c>
      <c r="P1960" s="529">
        <f t="shared" si="1120"/>
        <v>37.9442857142857</v>
      </c>
      <c r="Q1960" s="24">
        <f t="shared" si="1121"/>
        <v>21</v>
      </c>
      <c r="R1960" s="530">
        <f t="shared" si="1122"/>
        <v>0.0286493860845839</v>
      </c>
    </row>
    <row r="1961" spans="1:18">
      <c r="A1961" s="524"/>
      <c r="B1961" s="540" t="s">
        <v>99</v>
      </c>
      <c r="C1961" s="551">
        <v>594.15</v>
      </c>
      <c r="D1961" s="555">
        <v>5016</v>
      </c>
      <c r="E1961" s="551">
        <v>535</v>
      </c>
      <c r="F1961" s="551">
        <v>0</v>
      </c>
      <c r="G1961" s="551">
        <v>0</v>
      </c>
      <c r="H1961" s="555">
        <v>5</v>
      </c>
      <c r="I1961" s="555">
        <v>0</v>
      </c>
      <c r="J1961" s="555">
        <v>1</v>
      </c>
      <c r="K1961" s="527">
        <f t="shared" si="1115"/>
        <v>0.106658692185008</v>
      </c>
      <c r="L1961" s="528">
        <f t="shared" si="1116"/>
        <v>1.11056074766355</v>
      </c>
      <c r="M1961" s="528">
        <f t="shared" si="1117"/>
        <v>118.450956937799</v>
      </c>
      <c r="N1961" s="528">
        <f t="shared" si="1118"/>
        <v>0</v>
      </c>
      <c r="O1961" s="528">
        <f t="shared" si="1119"/>
        <v>0</v>
      </c>
      <c r="P1961" s="529">
        <f t="shared" si="1120"/>
        <v>118.83</v>
      </c>
      <c r="Q1961" s="24">
        <f t="shared" si="1121"/>
        <v>5</v>
      </c>
      <c r="R1961" s="530">
        <f t="shared" si="1122"/>
        <v>0.00934579439252336</v>
      </c>
    </row>
    <row r="1962" spans="1:18">
      <c r="A1962" s="524"/>
      <c r="B1962" s="540" t="s">
        <v>100</v>
      </c>
      <c r="C1962" s="552">
        <v>668.04</v>
      </c>
      <c r="D1962" s="553">
        <v>47277</v>
      </c>
      <c r="E1962" s="553">
        <v>730</v>
      </c>
      <c r="F1962" s="551">
        <v>1</v>
      </c>
      <c r="G1962" s="551">
        <v>5184</v>
      </c>
      <c r="H1962" s="551">
        <v>32</v>
      </c>
      <c r="I1962" s="551">
        <v>10</v>
      </c>
      <c r="J1962" s="551">
        <v>2</v>
      </c>
      <c r="K1962" s="527">
        <f t="shared" si="1115"/>
        <v>0.0154409120714089</v>
      </c>
      <c r="L1962" s="528">
        <f t="shared" si="1116"/>
        <v>0.915123287671233</v>
      </c>
      <c r="M1962" s="528">
        <f t="shared" si="1117"/>
        <v>14.1303382194302</v>
      </c>
      <c r="N1962" s="528">
        <f t="shared" si="1118"/>
        <v>7.76001437039698</v>
      </c>
      <c r="O1962" s="528">
        <f t="shared" si="1119"/>
        <v>0.00136986301369863</v>
      </c>
      <c r="P1962" s="529">
        <f t="shared" si="1120"/>
        <v>15.9057142857143</v>
      </c>
      <c r="Q1962" s="24">
        <f t="shared" si="1121"/>
        <v>42</v>
      </c>
      <c r="R1962" s="530">
        <f t="shared" si="1122"/>
        <v>0.0575342465753425</v>
      </c>
    </row>
    <row r="1963" spans="1:18">
      <c r="A1963" s="524"/>
      <c r="B1963" s="540" t="s">
        <v>101</v>
      </c>
      <c r="C1963" s="552">
        <v>0</v>
      </c>
      <c r="D1963" s="553">
        <v>0</v>
      </c>
      <c r="E1963" s="551">
        <v>0</v>
      </c>
      <c r="F1963" s="551">
        <v>0</v>
      </c>
      <c r="G1963" s="551">
        <v>0</v>
      </c>
      <c r="H1963" s="551">
        <v>0</v>
      </c>
      <c r="I1963" s="551">
        <v>0</v>
      </c>
      <c r="J1963" s="551">
        <v>0</v>
      </c>
      <c r="K1963" s="527">
        <f t="shared" si="1115"/>
        <v>0</v>
      </c>
      <c r="L1963" s="528">
        <f t="shared" si="1116"/>
        <v>0</v>
      </c>
      <c r="M1963" s="528">
        <f t="shared" si="1117"/>
        <v>0</v>
      </c>
      <c r="N1963" s="528">
        <f t="shared" si="1118"/>
        <v>0</v>
      </c>
      <c r="O1963" s="528">
        <f t="shared" si="1119"/>
        <v>0</v>
      </c>
      <c r="P1963" s="529">
        <f t="shared" si="1120"/>
        <v>0</v>
      </c>
      <c r="Q1963" s="24">
        <f t="shared" si="1121"/>
        <v>0</v>
      </c>
      <c r="R1963" s="530">
        <f t="shared" si="1122"/>
        <v>0</v>
      </c>
    </row>
    <row r="1964" spans="1:18">
      <c r="A1964" s="524"/>
      <c r="B1964" s="531" t="s">
        <v>96</v>
      </c>
      <c r="C1964" s="533">
        <f t="shared" ref="C1964:J1964" si="1124">SUM(C1960:C1963)</f>
        <v>2059.02</v>
      </c>
      <c r="D1964" s="533">
        <f t="shared" si="1124"/>
        <v>81379</v>
      </c>
      <c r="E1964" s="533">
        <f t="shared" si="1124"/>
        <v>1998</v>
      </c>
      <c r="F1964" s="533">
        <f t="shared" si="1124"/>
        <v>2</v>
      </c>
      <c r="G1964" s="533">
        <f t="shared" si="1124"/>
        <v>9868</v>
      </c>
      <c r="H1964" s="533">
        <f t="shared" si="1124"/>
        <v>53</v>
      </c>
      <c r="I1964" s="533">
        <f t="shared" si="1124"/>
        <v>15</v>
      </c>
      <c r="J1964" s="533">
        <f t="shared" si="1124"/>
        <v>4</v>
      </c>
      <c r="K1964" s="534">
        <f t="shared" si="1115"/>
        <v>0.0245517885449563</v>
      </c>
      <c r="L1964" s="535">
        <f t="shared" si="1116"/>
        <v>1.03054054054054</v>
      </c>
      <c r="M1964" s="535">
        <f t="shared" si="1117"/>
        <v>25.3016134383563</v>
      </c>
      <c r="N1964" s="535">
        <f t="shared" si="1118"/>
        <v>4.79257122320327</v>
      </c>
      <c r="O1964" s="535">
        <f t="shared" si="1119"/>
        <v>0.001001001001001</v>
      </c>
      <c r="P1964" s="536">
        <f t="shared" si="1120"/>
        <v>30.2797058823529</v>
      </c>
      <c r="Q1964" s="531">
        <f t="shared" si="1121"/>
        <v>68</v>
      </c>
      <c r="R1964" s="537">
        <f t="shared" si="1122"/>
        <v>0.034034034034034</v>
      </c>
    </row>
    <row r="1965" spans="1:18">
      <c r="A1965" s="524">
        <v>45843</v>
      </c>
      <c r="B1965" s="540" t="s">
        <v>98</v>
      </c>
      <c r="C1965" s="551">
        <v>799.56</v>
      </c>
      <c r="D1965" s="553">
        <v>30663</v>
      </c>
      <c r="E1965" s="551">
        <v>683</v>
      </c>
      <c r="F1965" s="551">
        <v>2</v>
      </c>
      <c r="G1965" s="551">
        <v>37165</v>
      </c>
      <c r="H1965" s="551">
        <v>16</v>
      </c>
      <c r="I1965" s="551">
        <v>5</v>
      </c>
      <c r="J1965" s="551">
        <v>1</v>
      </c>
      <c r="K1965" s="527">
        <f t="shared" si="1115"/>
        <v>0.0222744023741969</v>
      </c>
      <c r="L1965" s="528">
        <f t="shared" si="1116"/>
        <v>1.1706588579795</v>
      </c>
      <c r="M1965" s="528">
        <f t="shared" si="1117"/>
        <v>26.0757264455533</v>
      </c>
      <c r="N1965" s="528">
        <f t="shared" si="1118"/>
        <v>46.481814998249</v>
      </c>
      <c r="O1965" s="528">
        <f t="shared" si="1119"/>
        <v>0.00292825768667643</v>
      </c>
      <c r="P1965" s="529">
        <f t="shared" si="1120"/>
        <v>38.0742857142857</v>
      </c>
      <c r="Q1965" s="24">
        <f t="shared" si="1121"/>
        <v>21</v>
      </c>
      <c r="R1965" s="530">
        <f t="shared" si="1122"/>
        <v>0.0307467057101025</v>
      </c>
    </row>
    <row r="1966" spans="1:18">
      <c r="A1966" s="524"/>
      <c r="B1966" s="540" t="s">
        <v>99</v>
      </c>
      <c r="C1966" s="551">
        <v>0</v>
      </c>
      <c r="D1966" s="555">
        <v>0</v>
      </c>
      <c r="E1966" s="551">
        <v>0</v>
      </c>
      <c r="F1966" s="551">
        <v>0</v>
      </c>
      <c r="G1966" s="551">
        <v>0</v>
      </c>
      <c r="H1966" s="555">
        <v>0</v>
      </c>
      <c r="I1966" s="555">
        <v>0</v>
      </c>
      <c r="J1966" s="555">
        <v>0</v>
      </c>
      <c r="K1966" s="527">
        <f t="shared" si="1115"/>
        <v>0</v>
      </c>
      <c r="L1966" s="528">
        <f t="shared" si="1116"/>
        <v>0</v>
      </c>
      <c r="M1966" s="528">
        <f t="shared" si="1117"/>
        <v>0</v>
      </c>
      <c r="N1966" s="528">
        <f t="shared" si="1118"/>
        <v>0</v>
      </c>
      <c r="O1966" s="528">
        <f t="shared" si="1119"/>
        <v>0</v>
      </c>
      <c r="P1966" s="529">
        <f t="shared" si="1120"/>
        <v>0</v>
      </c>
      <c r="Q1966" s="24">
        <f t="shared" si="1121"/>
        <v>0</v>
      </c>
      <c r="R1966" s="530">
        <f t="shared" si="1122"/>
        <v>0</v>
      </c>
    </row>
    <row r="1967" spans="1:18">
      <c r="A1967" s="524"/>
      <c r="B1967" s="540" t="s">
        <v>100</v>
      </c>
      <c r="C1967" s="552">
        <v>755.14</v>
      </c>
      <c r="D1967" s="553">
        <v>71785</v>
      </c>
      <c r="E1967" s="553">
        <v>1238</v>
      </c>
      <c r="F1967" s="551">
        <v>5</v>
      </c>
      <c r="G1967" s="551">
        <v>77711</v>
      </c>
      <c r="H1967" s="551">
        <v>21</v>
      </c>
      <c r="I1967" s="551">
        <v>4</v>
      </c>
      <c r="J1967" s="551">
        <v>1</v>
      </c>
      <c r="K1967" s="527">
        <f t="shared" si="1115"/>
        <v>0.017245942745699</v>
      </c>
      <c r="L1967" s="528">
        <f t="shared" si="1116"/>
        <v>0.609967689822294</v>
      </c>
      <c r="M1967" s="528">
        <f t="shared" si="1117"/>
        <v>10.5194678554015</v>
      </c>
      <c r="N1967" s="528">
        <f t="shared" si="1118"/>
        <v>102.909394284504</v>
      </c>
      <c r="O1967" s="528">
        <f t="shared" si="1119"/>
        <v>0.00403877221324717</v>
      </c>
      <c r="P1967" s="529">
        <f t="shared" si="1120"/>
        <v>30.2056</v>
      </c>
      <c r="Q1967" s="24">
        <f t="shared" si="1121"/>
        <v>25</v>
      </c>
      <c r="R1967" s="530">
        <f t="shared" si="1122"/>
        <v>0.0201938610662359</v>
      </c>
    </row>
    <row r="1968" spans="1:18">
      <c r="A1968" s="524"/>
      <c r="B1968" s="540" t="s">
        <v>101</v>
      </c>
      <c r="C1968" s="552">
        <v>0</v>
      </c>
      <c r="D1968" s="553">
        <v>0</v>
      </c>
      <c r="E1968" s="551">
        <v>0</v>
      </c>
      <c r="F1968" s="551">
        <v>0</v>
      </c>
      <c r="G1968" s="551">
        <v>0</v>
      </c>
      <c r="H1968" s="551">
        <v>0</v>
      </c>
      <c r="I1968" s="551">
        <v>0</v>
      </c>
      <c r="J1968" s="551">
        <v>0</v>
      </c>
      <c r="K1968" s="527">
        <f t="shared" si="1115"/>
        <v>0</v>
      </c>
      <c r="L1968" s="528">
        <f t="shared" si="1116"/>
        <v>0</v>
      </c>
      <c r="M1968" s="528">
        <f t="shared" si="1117"/>
        <v>0</v>
      </c>
      <c r="N1968" s="528">
        <f t="shared" si="1118"/>
        <v>0</v>
      </c>
      <c r="O1968" s="528">
        <f t="shared" si="1119"/>
        <v>0</v>
      </c>
      <c r="P1968" s="529">
        <f t="shared" si="1120"/>
        <v>0</v>
      </c>
      <c r="Q1968" s="24">
        <f t="shared" si="1121"/>
        <v>0</v>
      </c>
      <c r="R1968" s="530">
        <f t="shared" si="1122"/>
        <v>0</v>
      </c>
    </row>
    <row r="1969" spans="1:18">
      <c r="A1969" s="524"/>
      <c r="B1969" s="531" t="s">
        <v>96</v>
      </c>
      <c r="C1969" s="533">
        <f t="shared" ref="C1969:J1969" si="1125">SUM(C1965:C1968)</f>
        <v>1554.7</v>
      </c>
      <c r="D1969" s="533">
        <f t="shared" si="1125"/>
        <v>102448</v>
      </c>
      <c r="E1969" s="533">
        <f t="shared" si="1125"/>
        <v>1921</v>
      </c>
      <c r="F1969" s="533">
        <f t="shared" si="1125"/>
        <v>7</v>
      </c>
      <c r="G1969" s="533">
        <f t="shared" si="1125"/>
        <v>114876</v>
      </c>
      <c r="H1969" s="533">
        <f t="shared" si="1125"/>
        <v>37</v>
      </c>
      <c r="I1969" s="533">
        <f t="shared" si="1125"/>
        <v>9</v>
      </c>
      <c r="J1969" s="533">
        <f t="shared" si="1125"/>
        <v>2</v>
      </c>
      <c r="K1969" s="534">
        <f t="shared" si="1115"/>
        <v>0.0187509761049508</v>
      </c>
      <c r="L1969" s="535">
        <f t="shared" si="1116"/>
        <v>0.809318063508589</v>
      </c>
      <c r="M1969" s="535">
        <f t="shared" si="1117"/>
        <v>15.1755036701546</v>
      </c>
      <c r="N1969" s="535">
        <f t="shared" si="1118"/>
        <v>73.8894963658584</v>
      </c>
      <c r="O1969" s="535">
        <f t="shared" si="1119"/>
        <v>0.00364393545028631</v>
      </c>
      <c r="P1969" s="536">
        <f t="shared" si="1120"/>
        <v>33.7978260869565</v>
      </c>
      <c r="Q1969" s="531">
        <f t="shared" si="1121"/>
        <v>46</v>
      </c>
      <c r="R1969" s="537">
        <f t="shared" si="1122"/>
        <v>0.0239458615304529</v>
      </c>
    </row>
    <row r="1970" spans="1:18">
      <c r="A1970" s="524">
        <v>45844</v>
      </c>
      <c r="B1970" s="540" t="s">
        <v>98</v>
      </c>
      <c r="C1970" s="551">
        <v>797.13</v>
      </c>
      <c r="D1970" s="553">
        <v>29280</v>
      </c>
      <c r="E1970" s="551">
        <v>623</v>
      </c>
      <c r="F1970" s="551">
        <v>0</v>
      </c>
      <c r="G1970" s="551">
        <v>0</v>
      </c>
      <c r="H1970" s="551">
        <v>19</v>
      </c>
      <c r="I1970" s="551">
        <v>4</v>
      </c>
      <c r="J1970" s="551">
        <v>3</v>
      </c>
      <c r="K1970" s="527">
        <f t="shared" ref="K1970:K2004" si="1126">IF(E1970=0,0,E1970/D1970)</f>
        <v>0.0212773224043716</v>
      </c>
      <c r="L1970" s="528">
        <f t="shared" ref="L1970:L2004" si="1127">IF(C1970=0,0,C1970/E1970)</f>
        <v>1.27950240770465</v>
      </c>
      <c r="M1970" s="528">
        <f t="shared" ref="M1970:M2004" si="1128">IF(D1970=0,0,C1970/D1970*1000)</f>
        <v>27.2243852459016</v>
      </c>
      <c r="N1970" s="528">
        <f t="shared" ref="N1970:N2004" si="1129">IF(G1970=0,0,G1970/C1970)</f>
        <v>0</v>
      </c>
      <c r="O1970" s="528">
        <f t="shared" ref="O1970:O2004" si="1130">IF(F1970=0,0,F1970/E1970)</f>
        <v>0</v>
      </c>
      <c r="P1970" s="529">
        <f t="shared" ref="P1970:P2004" si="1131">IF(H1970+I1970=0,0,C1970/(H1970+I1970))</f>
        <v>34.6578260869565</v>
      </c>
      <c r="Q1970" s="24">
        <f t="shared" ref="Q1970:Q2004" si="1132">H1970+I1970</f>
        <v>23</v>
      </c>
      <c r="R1970" s="530">
        <f t="shared" ref="R1970:R2004" si="1133">IF(Q1970=0,0,Q1970/E1970)</f>
        <v>0.0369181380417336</v>
      </c>
    </row>
    <row r="1971" spans="1:18">
      <c r="A1971" s="524"/>
      <c r="B1971" s="540" t="s">
        <v>99</v>
      </c>
      <c r="C1971" s="551">
        <v>0</v>
      </c>
      <c r="D1971" s="555">
        <v>0</v>
      </c>
      <c r="E1971" s="551">
        <v>0</v>
      </c>
      <c r="F1971" s="551">
        <v>0</v>
      </c>
      <c r="G1971" s="551">
        <v>0</v>
      </c>
      <c r="H1971" s="555">
        <v>0</v>
      </c>
      <c r="I1971" s="555">
        <v>0</v>
      </c>
      <c r="J1971" s="555">
        <v>0</v>
      </c>
      <c r="K1971" s="527">
        <f t="shared" si="1126"/>
        <v>0</v>
      </c>
      <c r="L1971" s="528">
        <f t="shared" si="1127"/>
        <v>0</v>
      </c>
      <c r="M1971" s="528">
        <f t="shared" si="1128"/>
        <v>0</v>
      </c>
      <c r="N1971" s="528">
        <f t="shared" si="1129"/>
        <v>0</v>
      </c>
      <c r="O1971" s="528">
        <f t="shared" si="1130"/>
        <v>0</v>
      </c>
      <c r="P1971" s="529">
        <f t="shared" si="1131"/>
        <v>0</v>
      </c>
      <c r="Q1971" s="24">
        <f t="shared" si="1132"/>
        <v>0</v>
      </c>
      <c r="R1971" s="530">
        <f t="shared" si="1133"/>
        <v>0</v>
      </c>
    </row>
    <row r="1972" spans="1:18">
      <c r="A1972" s="524"/>
      <c r="B1972" s="540" t="s">
        <v>100</v>
      </c>
      <c r="C1972" s="552">
        <v>798.38</v>
      </c>
      <c r="D1972" s="553">
        <v>84425</v>
      </c>
      <c r="E1972" s="553">
        <v>1157</v>
      </c>
      <c r="F1972" s="551">
        <v>4</v>
      </c>
      <c r="G1972" s="551">
        <v>45753</v>
      </c>
      <c r="H1972" s="551">
        <v>21</v>
      </c>
      <c r="I1972" s="551">
        <v>11</v>
      </c>
      <c r="J1972" s="551">
        <v>2</v>
      </c>
      <c r="K1972" s="527">
        <f t="shared" si="1126"/>
        <v>0.0137044714243411</v>
      </c>
      <c r="L1972" s="528">
        <f t="shared" si="1127"/>
        <v>0.690043215211754</v>
      </c>
      <c r="M1972" s="528">
        <f t="shared" si="1128"/>
        <v>9.45667752442997</v>
      </c>
      <c r="N1972" s="528">
        <f t="shared" si="1129"/>
        <v>57.3072972769859</v>
      </c>
      <c r="O1972" s="528">
        <f t="shared" si="1130"/>
        <v>0.00345721694036301</v>
      </c>
      <c r="P1972" s="529">
        <f t="shared" si="1131"/>
        <v>24.949375</v>
      </c>
      <c r="Q1972" s="24">
        <f t="shared" si="1132"/>
        <v>32</v>
      </c>
      <c r="R1972" s="530">
        <f t="shared" si="1133"/>
        <v>0.0276577355229041</v>
      </c>
    </row>
    <row r="1973" spans="1:18">
      <c r="A1973" s="524"/>
      <c r="B1973" s="540" t="s">
        <v>101</v>
      </c>
      <c r="C1973" s="552">
        <v>0</v>
      </c>
      <c r="D1973" s="553">
        <v>0</v>
      </c>
      <c r="E1973" s="551">
        <v>0</v>
      </c>
      <c r="F1973" s="551">
        <v>0</v>
      </c>
      <c r="G1973" s="551">
        <v>0</v>
      </c>
      <c r="H1973" s="551">
        <v>0</v>
      </c>
      <c r="I1973" s="551">
        <v>0</v>
      </c>
      <c r="J1973" s="551">
        <v>0</v>
      </c>
      <c r="K1973" s="527">
        <f t="shared" si="1126"/>
        <v>0</v>
      </c>
      <c r="L1973" s="528">
        <f t="shared" si="1127"/>
        <v>0</v>
      </c>
      <c r="M1973" s="528">
        <f t="shared" si="1128"/>
        <v>0</v>
      </c>
      <c r="N1973" s="528">
        <f t="shared" si="1129"/>
        <v>0</v>
      </c>
      <c r="O1973" s="528">
        <f t="shared" si="1130"/>
        <v>0</v>
      </c>
      <c r="P1973" s="529">
        <f t="shared" si="1131"/>
        <v>0</v>
      </c>
      <c r="Q1973" s="24">
        <f t="shared" si="1132"/>
        <v>0</v>
      </c>
      <c r="R1973" s="530">
        <f t="shared" si="1133"/>
        <v>0</v>
      </c>
    </row>
    <row r="1974" spans="1:18">
      <c r="A1974" s="524"/>
      <c r="B1974" s="531" t="s">
        <v>96</v>
      </c>
      <c r="C1974" s="533">
        <f t="shared" ref="C1974:J1974" si="1134">SUM(C1970:C1973)</f>
        <v>1595.51</v>
      </c>
      <c r="D1974" s="533">
        <f t="shared" si="1134"/>
        <v>113705</v>
      </c>
      <c r="E1974" s="533">
        <f t="shared" si="1134"/>
        <v>1780</v>
      </c>
      <c r="F1974" s="533">
        <f t="shared" si="1134"/>
        <v>4</v>
      </c>
      <c r="G1974" s="533">
        <f t="shared" si="1134"/>
        <v>45753</v>
      </c>
      <c r="H1974" s="533">
        <f t="shared" si="1134"/>
        <v>40</v>
      </c>
      <c r="I1974" s="533">
        <f t="shared" si="1134"/>
        <v>15</v>
      </c>
      <c r="J1974" s="533">
        <f t="shared" si="1134"/>
        <v>5</v>
      </c>
      <c r="K1974" s="534">
        <f t="shared" si="1126"/>
        <v>0.0156545446550284</v>
      </c>
      <c r="L1974" s="535">
        <f t="shared" si="1127"/>
        <v>0.89635393258427</v>
      </c>
      <c r="M1974" s="535">
        <f t="shared" si="1128"/>
        <v>14.0320126643507</v>
      </c>
      <c r="N1974" s="535">
        <f t="shared" si="1129"/>
        <v>28.6760972980426</v>
      </c>
      <c r="O1974" s="535">
        <f t="shared" si="1130"/>
        <v>0.00224719101123596</v>
      </c>
      <c r="P1974" s="536">
        <f t="shared" si="1131"/>
        <v>29.0092727272727</v>
      </c>
      <c r="Q1974" s="531">
        <f t="shared" si="1132"/>
        <v>55</v>
      </c>
      <c r="R1974" s="537">
        <f t="shared" si="1133"/>
        <v>0.0308988764044944</v>
      </c>
    </row>
    <row r="1975" spans="1:18">
      <c r="A1975" s="524">
        <v>45845</v>
      </c>
      <c r="B1975" s="540" t="s">
        <v>98</v>
      </c>
      <c r="C1975" s="551">
        <v>797.63</v>
      </c>
      <c r="D1975" s="553">
        <v>28440</v>
      </c>
      <c r="E1975" s="551">
        <v>645</v>
      </c>
      <c r="F1975" s="551">
        <v>1</v>
      </c>
      <c r="G1975" s="551">
        <v>23748</v>
      </c>
      <c r="H1975" s="551">
        <v>20</v>
      </c>
      <c r="I1975" s="551">
        <v>3</v>
      </c>
      <c r="J1975" s="551">
        <v>3</v>
      </c>
      <c r="K1975" s="527">
        <f t="shared" si="1126"/>
        <v>0.0226793248945148</v>
      </c>
      <c r="L1975" s="528">
        <f t="shared" si="1127"/>
        <v>1.23663565891473</v>
      </c>
      <c r="M1975" s="528">
        <f t="shared" si="1128"/>
        <v>28.0460618846695</v>
      </c>
      <c r="N1975" s="528">
        <f t="shared" si="1129"/>
        <v>29.7732031142259</v>
      </c>
      <c r="O1975" s="528">
        <f t="shared" si="1130"/>
        <v>0.00155038759689922</v>
      </c>
      <c r="P1975" s="529">
        <f t="shared" si="1131"/>
        <v>34.6795652173913</v>
      </c>
      <c r="Q1975" s="24">
        <f t="shared" si="1132"/>
        <v>23</v>
      </c>
      <c r="R1975" s="530">
        <f t="shared" si="1133"/>
        <v>0.0356589147286822</v>
      </c>
    </row>
    <row r="1976" spans="1:18">
      <c r="A1976" s="524"/>
      <c r="B1976" s="540" t="s">
        <v>99</v>
      </c>
      <c r="C1976" s="551">
        <v>465.55</v>
      </c>
      <c r="D1976" s="555">
        <v>3770</v>
      </c>
      <c r="E1976" s="551">
        <v>409</v>
      </c>
      <c r="F1976" s="551">
        <v>0</v>
      </c>
      <c r="G1976" s="551">
        <v>0</v>
      </c>
      <c r="H1976" s="555">
        <v>4</v>
      </c>
      <c r="I1976" s="555">
        <v>0</v>
      </c>
      <c r="J1976" s="555">
        <v>0</v>
      </c>
      <c r="K1976" s="527">
        <f t="shared" si="1126"/>
        <v>0.108488063660477</v>
      </c>
      <c r="L1976" s="528">
        <f t="shared" si="1127"/>
        <v>1.13826405867971</v>
      </c>
      <c r="M1976" s="528">
        <f t="shared" si="1128"/>
        <v>123.488063660477</v>
      </c>
      <c r="N1976" s="528">
        <f t="shared" si="1129"/>
        <v>0</v>
      </c>
      <c r="O1976" s="528">
        <f t="shared" si="1130"/>
        <v>0</v>
      </c>
      <c r="P1976" s="529">
        <f t="shared" si="1131"/>
        <v>116.3875</v>
      </c>
      <c r="Q1976" s="24">
        <f t="shared" si="1132"/>
        <v>4</v>
      </c>
      <c r="R1976" s="530">
        <f t="shared" si="1133"/>
        <v>0.0097799511002445</v>
      </c>
    </row>
    <row r="1977" spans="1:18">
      <c r="A1977" s="524"/>
      <c r="B1977" s="540" t="s">
        <v>100</v>
      </c>
      <c r="C1977" s="552">
        <v>799.73</v>
      </c>
      <c r="D1977" s="553">
        <v>45634</v>
      </c>
      <c r="E1977" s="553">
        <v>851</v>
      </c>
      <c r="F1977" s="551">
        <v>1</v>
      </c>
      <c r="G1977" s="551">
        <v>2720</v>
      </c>
      <c r="H1977" s="551">
        <v>21</v>
      </c>
      <c r="I1977" s="551">
        <v>12</v>
      </c>
      <c r="J1977" s="551">
        <v>3</v>
      </c>
      <c r="K1977" s="527">
        <f t="shared" si="1126"/>
        <v>0.0186483762107201</v>
      </c>
      <c r="L1977" s="528">
        <f t="shared" si="1127"/>
        <v>0.939753231492362</v>
      </c>
      <c r="M1977" s="528">
        <f t="shared" si="1128"/>
        <v>17.5248718061095</v>
      </c>
      <c r="N1977" s="528">
        <f t="shared" si="1129"/>
        <v>3.401147887412</v>
      </c>
      <c r="O1977" s="528">
        <f t="shared" si="1130"/>
        <v>0.00117508813160987</v>
      </c>
      <c r="P1977" s="529">
        <f t="shared" si="1131"/>
        <v>24.2342424242424</v>
      </c>
      <c r="Q1977" s="24">
        <f t="shared" si="1132"/>
        <v>33</v>
      </c>
      <c r="R1977" s="530">
        <f t="shared" si="1133"/>
        <v>0.0387779083431257</v>
      </c>
    </row>
    <row r="1978" spans="1:18">
      <c r="A1978" s="524"/>
      <c r="B1978" s="540" t="s">
        <v>101</v>
      </c>
      <c r="C1978" s="552">
        <v>0</v>
      </c>
      <c r="D1978" s="553">
        <v>0</v>
      </c>
      <c r="E1978" s="551">
        <v>0</v>
      </c>
      <c r="F1978" s="551">
        <v>0</v>
      </c>
      <c r="G1978" s="551">
        <v>0</v>
      </c>
      <c r="H1978" s="551">
        <v>0</v>
      </c>
      <c r="I1978" s="551">
        <v>0</v>
      </c>
      <c r="J1978" s="551">
        <v>0</v>
      </c>
      <c r="K1978" s="527">
        <f t="shared" si="1126"/>
        <v>0</v>
      </c>
      <c r="L1978" s="528">
        <f t="shared" si="1127"/>
        <v>0</v>
      </c>
      <c r="M1978" s="528">
        <f t="shared" si="1128"/>
        <v>0</v>
      </c>
      <c r="N1978" s="528">
        <f t="shared" si="1129"/>
        <v>0</v>
      </c>
      <c r="O1978" s="528">
        <f t="shared" si="1130"/>
        <v>0</v>
      </c>
      <c r="P1978" s="529">
        <f t="shared" si="1131"/>
        <v>0</v>
      </c>
      <c r="Q1978" s="24">
        <f t="shared" si="1132"/>
        <v>0</v>
      </c>
      <c r="R1978" s="530">
        <f t="shared" si="1133"/>
        <v>0</v>
      </c>
    </row>
    <row r="1979" spans="1:18">
      <c r="A1979" s="524"/>
      <c r="B1979" s="531" t="s">
        <v>96</v>
      </c>
      <c r="C1979" s="533">
        <f t="shared" ref="C1979:J1979" si="1135">SUM(C1975:C1978)</f>
        <v>2062.91</v>
      </c>
      <c r="D1979" s="533">
        <f t="shared" si="1135"/>
        <v>77844</v>
      </c>
      <c r="E1979" s="533">
        <f t="shared" si="1135"/>
        <v>1905</v>
      </c>
      <c r="F1979" s="533">
        <f t="shared" si="1135"/>
        <v>2</v>
      </c>
      <c r="G1979" s="533">
        <f t="shared" si="1135"/>
        <v>26468</v>
      </c>
      <c r="H1979" s="533">
        <f t="shared" si="1135"/>
        <v>45</v>
      </c>
      <c r="I1979" s="533">
        <f t="shared" si="1135"/>
        <v>15</v>
      </c>
      <c r="J1979" s="533">
        <f t="shared" si="1135"/>
        <v>6</v>
      </c>
      <c r="K1979" s="534">
        <f t="shared" si="1126"/>
        <v>0.0244720209650069</v>
      </c>
      <c r="L1979" s="535">
        <f t="shared" si="1127"/>
        <v>1.08289238845144</v>
      </c>
      <c r="M1979" s="535">
        <f t="shared" si="1128"/>
        <v>26.5005652330302</v>
      </c>
      <c r="N1979" s="535">
        <f t="shared" si="1129"/>
        <v>12.8304191651599</v>
      </c>
      <c r="O1979" s="535">
        <f t="shared" si="1130"/>
        <v>0.0010498687664042</v>
      </c>
      <c r="P1979" s="536">
        <f t="shared" si="1131"/>
        <v>34.3818333333333</v>
      </c>
      <c r="Q1979" s="531">
        <f t="shared" si="1132"/>
        <v>60</v>
      </c>
      <c r="R1979" s="537">
        <f t="shared" si="1133"/>
        <v>0.031496062992126</v>
      </c>
    </row>
    <row r="1980" spans="1:18">
      <c r="A1980" s="524">
        <v>45846</v>
      </c>
      <c r="B1980" s="540" t="s">
        <v>98</v>
      </c>
      <c r="C1980" s="551">
        <v>799.2</v>
      </c>
      <c r="D1980" s="553">
        <v>22936</v>
      </c>
      <c r="E1980" s="551">
        <v>560</v>
      </c>
      <c r="F1980" s="551">
        <v>0</v>
      </c>
      <c r="G1980" s="551">
        <v>0</v>
      </c>
      <c r="H1980" s="551">
        <v>19</v>
      </c>
      <c r="I1980" s="551">
        <v>2</v>
      </c>
      <c r="J1980" s="551">
        <v>5</v>
      </c>
      <c r="K1980" s="527">
        <f t="shared" si="1126"/>
        <v>0.0244157656086502</v>
      </c>
      <c r="L1980" s="528">
        <f t="shared" si="1127"/>
        <v>1.42714285714286</v>
      </c>
      <c r="M1980" s="528">
        <f t="shared" si="1128"/>
        <v>34.8447854900593</v>
      </c>
      <c r="N1980" s="528">
        <f t="shared" si="1129"/>
        <v>0</v>
      </c>
      <c r="O1980" s="528">
        <f t="shared" si="1130"/>
        <v>0</v>
      </c>
      <c r="P1980" s="529">
        <f t="shared" si="1131"/>
        <v>38.0571428571429</v>
      </c>
      <c r="Q1980" s="24">
        <f t="shared" si="1132"/>
        <v>21</v>
      </c>
      <c r="R1980" s="530">
        <f t="shared" si="1133"/>
        <v>0.0375</v>
      </c>
    </row>
    <row r="1981" spans="1:18">
      <c r="A1981" s="524"/>
      <c r="B1981" s="540" t="s">
        <v>99</v>
      </c>
      <c r="C1981" s="551">
        <v>258.68</v>
      </c>
      <c r="D1981" s="555">
        <v>2068</v>
      </c>
      <c r="E1981" s="551">
        <v>94</v>
      </c>
      <c r="F1981" s="551">
        <v>1</v>
      </c>
      <c r="G1981" s="551">
        <v>19740</v>
      </c>
      <c r="H1981" s="555">
        <v>12</v>
      </c>
      <c r="I1981" s="555">
        <v>0</v>
      </c>
      <c r="J1981" s="555">
        <v>0</v>
      </c>
      <c r="K1981" s="527">
        <f t="shared" si="1126"/>
        <v>0.0454545454545455</v>
      </c>
      <c r="L1981" s="528">
        <f t="shared" si="1127"/>
        <v>2.75191489361702</v>
      </c>
      <c r="M1981" s="528">
        <f t="shared" si="1128"/>
        <v>125.087040618956</v>
      </c>
      <c r="N1981" s="528">
        <f t="shared" si="1129"/>
        <v>76.3104994587908</v>
      </c>
      <c r="O1981" s="528">
        <f t="shared" si="1130"/>
        <v>0.0106382978723404</v>
      </c>
      <c r="P1981" s="529">
        <f t="shared" si="1131"/>
        <v>21.5566666666667</v>
      </c>
      <c r="Q1981" s="24">
        <f t="shared" si="1132"/>
        <v>12</v>
      </c>
      <c r="R1981" s="530">
        <f t="shared" si="1133"/>
        <v>0.127659574468085</v>
      </c>
    </row>
    <row r="1982" spans="1:18">
      <c r="A1982" s="524"/>
      <c r="B1982" s="540" t="s">
        <v>100</v>
      </c>
      <c r="C1982" s="552">
        <v>796.19</v>
      </c>
      <c r="D1982" s="553">
        <v>63877</v>
      </c>
      <c r="E1982" s="553">
        <v>906</v>
      </c>
      <c r="F1982" s="551">
        <v>1</v>
      </c>
      <c r="G1982" s="551">
        <v>10272</v>
      </c>
      <c r="H1982" s="551">
        <v>25</v>
      </c>
      <c r="I1982" s="551">
        <v>6</v>
      </c>
      <c r="J1982" s="551">
        <v>3</v>
      </c>
      <c r="K1982" s="527">
        <f t="shared" si="1126"/>
        <v>0.0141835089312272</v>
      </c>
      <c r="L1982" s="528">
        <f t="shared" si="1127"/>
        <v>0.878796909492274</v>
      </c>
      <c r="M1982" s="528">
        <f t="shared" si="1128"/>
        <v>12.4644238145185</v>
      </c>
      <c r="N1982" s="528">
        <f t="shared" si="1129"/>
        <v>12.9014431228727</v>
      </c>
      <c r="O1982" s="528">
        <f t="shared" si="1130"/>
        <v>0.0011037527593819</v>
      </c>
      <c r="P1982" s="529">
        <f t="shared" si="1131"/>
        <v>25.6835483870968</v>
      </c>
      <c r="Q1982" s="24">
        <f t="shared" si="1132"/>
        <v>31</v>
      </c>
      <c r="R1982" s="530">
        <f t="shared" si="1133"/>
        <v>0.0342163355408389</v>
      </c>
    </row>
    <row r="1983" spans="1:18">
      <c r="A1983" s="524"/>
      <c r="B1983" s="540" t="s">
        <v>101</v>
      </c>
      <c r="C1983" s="552">
        <v>0</v>
      </c>
      <c r="D1983" s="553">
        <v>0</v>
      </c>
      <c r="E1983" s="551">
        <v>0</v>
      </c>
      <c r="F1983" s="551">
        <v>0</v>
      </c>
      <c r="G1983" s="551">
        <v>0</v>
      </c>
      <c r="H1983" s="551">
        <v>0</v>
      </c>
      <c r="I1983" s="551">
        <v>0</v>
      </c>
      <c r="J1983" s="551">
        <v>0</v>
      </c>
      <c r="K1983" s="527">
        <f t="shared" si="1126"/>
        <v>0</v>
      </c>
      <c r="L1983" s="528">
        <f t="shared" si="1127"/>
        <v>0</v>
      </c>
      <c r="M1983" s="528">
        <f t="shared" si="1128"/>
        <v>0</v>
      </c>
      <c r="N1983" s="528">
        <f t="shared" si="1129"/>
        <v>0</v>
      </c>
      <c r="O1983" s="528">
        <f t="shared" si="1130"/>
        <v>0</v>
      </c>
      <c r="P1983" s="529">
        <f t="shared" si="1131"/>
        <v>0</v>
      </c>
      <c r="Q1983" s="24">
        <f t="shared" si="1132"/>
        <v>0</v>
      </c>
      <c r="R1983" s="530">
        <f t="shared" si="1133"/>
        <v>0</v>
      </c>
    </row>
    <row r="1984" spans="1:18">
      <c r="A1984" s="524"/>
      <c r="B1984" s="531" t="s">
        <v>96</v>
      </c>
      <c r="C1984" s="533">
        <f t="shared" ref="C1984:J1984" si="1136">SUM(C1980:C1983)</f>
        <v>1854.07</v>
      </c>
      <c r="D1984" s="533">
        <f t="shared" si="1136"/>
        <v>88881</v>
      </c>
      <c r="E1984" s="533">
        <f t="shared" si="1136"/>
        <v>1560</v>
      </c>
      <c r="F1984" s="533">
        <f t="shared" si="1136"/>
        <v>2</v>
      </c>
      <c r="G1984" s="533">
        <f t="shared" si="1136"/>
        <v>30012</v>
      </c>
      <c r="H1984" s="533">
        <f t="shared" si="1136"/>
        <v>56</v>
      </c>
      <c r="I1984" s="533">
        <f t="shared" si="1136"/>
        <v>8</v>
      </c>
      <c r="J1984" s="533">
        <f t="shared" si="1136"/>
        <v>8</v>
      </c>
      <c r="K1984" s="534">
        <f t="shared" si="1126"/>
        <v>0.0175515577007459</v>
      </c>
      <c r="L1984" s="535">
        <f t="shared" si="1127"/>
        <v>1.18850641025641</v>
      </c>
      <c r="M1984" s="535">
        <f t="shared" si="1128"/>
        <v>20.8601388373218</v>
      </c>
      <c r="N1984" s="535">
        <f t="shared" si="1129"/>
        <v>16.1870911022777</v>
      </c>
      <c r="O1984" s="535">
        <f t="shared" si="1130"/>
        <v>0.00128205128205128</v>
      </c>
      <c r="P1984" s="536">
        <f t="shared" si="1131"/>
        <v>28.96984375</v>
      </c>
      <c r="Q1984" s="531">
        <f t="shared" si="1132"/>
        <v>64</v>
      </c>
      <c r="R1984" s="537">
        <f t="shared" si="1133"/>
        <v>0.041025641025641</v>
      </c>
    </row>
    <row r="1985" spans="1:18">
      <c r="A1985" s="524">
        <v>45847</v>
      </c>
      <c r="B1985" s="540" t="s">
        <v>98</v>
      </c>
      <c r="C1985" s="551">
        <v>798.56</v>
      </c>
      <c r="D1985" s="553">
        <v>29630</v>
      </c>
      <c r="E1985" s="551">
        <v>632</v>
      </c>
      <c r="F1985" s="551">
        <v>0</v>
      </c>
      <c r="G1985" s="551">
        <v>0</v>
      </c>
      <c r="H1985" s="551">
        <v>24</v>
      </c>
      <c r="I1985" s="551">
        <v>5</v>
      </c>
      <c r="J1985" s="551">
        <v>1</v>
      </c>
      <c r="K1985" s="527">
        <f t="shared" si="1126"/>
        <v>0.0213297333783328</v>
      </c>
      <c r="L1985" s="528">
        <f t="shared" si="1127"/>
        <v>1.26354430379747</v>
      </c>
      <c r="M1985" s="528">
        <f t="shared" si="1128"/>
        <v>26.9510631117111</v>
      </c>
      <c r="N1985" s="528">
        <f t="shared" si="1129"/>
        <v>0</v>
      </c>
      <c r="O1985" s="528">
        <f t="shared" si="1130"/>
        <v>0</v>
      </c>
      <c r="P1985" s="529">
        <f t="shared" si="1131"/>
        <v>27.5365517241379</v>
      </c>
      <c r="Q1985" s="24">
        <f t="shared" si="1132"/>
        <v>29</v>
      </c>
      <c r="R1985" s="530">
        <f t="shared" si="1133"/>
        <v>0.0458860759493671</v>
      </c>
    </row>
    <row r="1986" spans="1:18">
      <c r="A1986" s="524"/>
      <c r="B1986" s="540" t="s">
        <v>99</v>
      </c>
      <c r="C1986" s="551">
        <v>625.42</v>
      </c>
      <c r="D1986" s="555">
        <v>2621</v>
      </c>
      <c r="E1986" s="551">
        <v>337</v>
      </c>
      <c r="F1986" s="551">
        <v>0</v>
      </c>
      <c r="G1986" s="551">
        <v>0</v>
      </c>
      <c r="H1986" s="555">
        <v>3</v>
      </c>
      <c r="I1986" s="555">
        <v>0</v>
      </c>
      <c r="J1986" s="555">
        <v>1</v>
      </c>
      <c r="K1986" s="527">
        <f t="shared" si="1126"/>
        <v>0.128576879053796</v>
      </c>
      <c r="L1986" s="528">
        <f t="shared" si="1127"/>
        <v>1.85584569732938</v>
      </c>
      <c r="M1986" s="528">
        <f t="shared" si="1128"/>
        <v>238.618847768027</v>
      </c>
      <c r="N1986" s="528">
        <f t="shared" si="1129"/>
        <v>0</v>
      </c>
      <c r="O1986" s="528">
        <f t="shared" si="1130"/>
        <v>0</v>
      </c>
      <c r="P1986" s="529">
        <f t="shared" si="1131"/>
        <v>208.473333333333</v>
      </c>
      <c r="Q1986" s="24">
        <f t="shared" si="1132"/>
        <v>3</v>
      </c>
      <c r="R1986" s="530">
        <f t="shared" si="1133"/>
        <v>0.00890207715133531</v>
      </c>
    </row>
    <row r="1987" spans="1:18">
      <c r="A1987" s="524"/>
      <c r="B1987" s="540" t="s">
        <v>100</v>
      </c>
      <c r="C1987" s="552">
        <v>788.53</v>
      </c>
      <c r="D1987" s="553">
        <v>63871</v>
      </c>
      <c r="E1987" s="553">
        <v>959</v>
      </c>
      <c r="F1987" s="551">
        <v>0</v>
      </c>
      <c r="G1987" s="551">
        <v>0</v>
      </c>
      <c r="H1987" s="551">
        <v>30</v>
      </c>
      <c r="I1987" s="551">
        <v>5</v>
      </c>
      <c r="J1987" s="551">
        <v>2</v>
      </c>
      <c r="K1987" s="527">
        <f t="shared" si="1126"/>
        <v>0.0150146388814955</v>
      </c>
      <c r="L1987" s="528">
        <f t="shared" si="1127"/>
        <v>0.822241918665276</v>
      </c>
      <c r="M1987" s="528">
        <f t="shared" si="1128"/>
        <v>12.3456654819871</v>
      </c>
      <c r="N1987" s="528">
        <f t="shared" si="1129"/>
        <v>0</v>
      </c>
      <c r="O1987" s="528">
        <f t="shared" si="1130"/>
        <v>0</v>
      </c>
      <c r="P1987" s="529">
        <f t="shared" si="1131"/>
        <v>22.5294285714286</v>
      </c>
      <c r="Q1987" s="24">
        <f t="shared" si="1132"/>
        <v>35</v>
      </c>
      <c r="R1987" s="530">
        <f t="shared" si="1133"/>
        <v>0.0364963503649635</v>
      </c>
    </row>
    <row r="1988" spans="1:18">
      <c r="A1988" s="524"/>
      <c r="B1988" s="540" t="s">
        <v>101</v>
      </c>
      <c r="C1988" s="552">
        <v>0</v>
      </c>
      <c r="D1988" s="553">
        <v>0</v>
      </c>
      <c r="E1988" s="551">
        <v>0</v>
      </c>
      <c r="F1988" s="551">
        <v>0</v>
      </c>
      <c r="G1988" s="551">
        <v>0</v>
      </c>
      <c r="H1988" s="551">
        <v>0</v>
      </c>
      <c r="I1988" s="551">
        <v>0</v>
      </c>
      <c r="J1988" s="551">
        <v>0</v>
      </c>
      <c r="K1988" s="527">
        <f t="shared" si="1126"/>
        <v>0</v>
      </c>
      <c r="L1988" s="528">
        <f t="shared" si="1127"/>
        <v>0</v>
      </c>
      <c r="M1988" s="528">
        <f t="shared" si="1128"/>
        <v>0</v>
      </c>
      <c r="N1988" s="528">
        <f t="shared" si="1129"/>
        <v>0</v>
      </c>
      <c r="O1988" s="528">
        <f t="shared" si="1130"/>
        <v>0</v>
      </c>
      <c r="P1988" s="529">
        <f t="shared" si="1131"/>
        <v>0</v>
      </c>
      <c r="Q1988" s="24">
        <f t="shared" si="1132"/>
        <v>0</v>
      </c>
      <c r="R1988" s="530">
        <f t="shared" si="1133"/>
        <v>0</v>
      </c>
    </row>
    <row r="1989" spans="1:18">
      <c r="A1989" s="524"/>
      <c r="B1989" s="531" t="s">
        <v>96</v>
      </c>
      <c r="C1989" s="533">
        <f t="shared" ref="C1989:J1989" si="1137">SUM(C1985:C1988)</f>
        <v>2212.51</v>
      </c>
      <c r="D1989" s="533">
        <f t="shared" si="1137"/>
        <v>96122</v>
      </c>
      <c r="E1989" s="533">
        <f t="shared" si="1137"/>
        <v>1928</v>
      </c>
      <c r="F1989" s="533">
        <f t="shared" si="1137"/>
        <v>0</v>
      </c>
      <c r="G1989" s="533">
        <f t="shared" si="1137"/>
        <v>0</v>
      </c>
      <c r="H1989" s="533">
        <f t="shared" si="1137"/>
        <v>57</v>
      </c>
      <c r="I1989" s="533">
        <f t="shared" si="1137"/>
        <v>10</v>
      </c>
      <c r="J1989" s="533">
        <f t="shared" si="1137"/>
        <v>4</v>
      </c>
      <c r="K1989" s="534">
        <f t="shared" si="1126"/>
        <v>0.0200578431576538</v>
      </c>
      <c r="L1989" s="535">
        <f t="shared" si="1127"/>
        <v>1.14756742738589</v>
      </c>
      <c r="M1989" s="535">
        <f t="shared" si="1128"/>
        <v>23.0177274713385</v>
      </c>
      <c r="N1989" s="535">
        <f t="shared" si="1129"/>
        <v>0</v>
      </c>
      <c r="O1989" s="535">
        <f t="shared" si="1130"/>
        <v>0</v>
      </c>
      <c r="P1989" s="536">
        <f t="shared" si="1131"/>
        <v>33.0225373134328</v>
      </c>
      <c r="Q1989" s="531">
        <f t="shared" si="1132"/>
        <v>67</v>
      </c>
      <c r="R1989" s="537">
        <f t="shared" si="1133"/>
        <v>0.0347510373443983</v>
      </c>
    </row>
    <row r="1990" spans="1:18">
      <c r="A1990" s="524">
        <v>45848</v>
      </c>
      <c r="B1990" s="540" t="s">
        <v>98</v>
      </c>
      <c r="C1990" s="551">
        <v>800</v>
      </c>
      <c r="D1990" s="553">
        <v>32785</v>
      </c>
      <c r="E1990" s="551">
        <v>633</v>
      </c>
      <c r="F1990" s="551">
        <v>0</v>
      </c>
      <c r="G1990" s="551">
        <v>0</v>
      </c>
      <c r="H1990" s="551">
        <v>18</v>
      </c>
      <c r="I1990" s="551">
        <v>6</v>
      </c>
      <c r="J1990" s="551">
        <v>4</v>
      </c>
      <c r="K1990" s="527">
        <f t="shared" si="1126"/>
        <v>0.0193076101875858</v>
      </c>
      <c r="L1990" s="528">
        <f t="shared" si="1127"/>
        <v>1.26382306477093</v>
      </c>
      <c r="M1990" s="528">
        <f t="shared" si="1128"/>
        <v>24.4014030806771</v>
      </c>
      <c r="N1990" s="528">
        <f t="shared" si="1129"/>
        <v>0</v>
      </c>
      <c r="O1990" s="528">
        <f t="shared" si="1130"/>
        <v>0</v>
      </c>
      <c r="P1990" s="529">
        <f t="shared" si="1131"/>
        <v>33.3333333333333</v>
      </c>
      <c r="Q1990" s="24">
        <f t="shared" si="1132"/>
        <v>24</v>
      </c>
      <c r="R1990" s="530">
        <f t="shared" si="1133"/>
        <v>0.037914691943128</v>
      </c>
    </row>
    <row r="1991" spans="1:18">
      <c r="A1991" s="524"/>
      <c r="B1991" s="540" t="s">
        <v>99</v>
      </c>
      <c r="C1991" s="551">
        <v>367.76</v>
      </c>
      <c r="D1991" s="555">
        <v>1551</v>
      </c>
      <c r="E1991" s="551">
        <v>234</v>
      </c>
      <c r="F1991" s="551">
        <v>0</v>
      </c>
      <c r="G1991" s="551">
        <v>0</v>
      </c>
      <c r="H1991" s="555">
        <v>6</v>
      </c>
      <c r="I1991" s="555">
        <v>0</v>
      </c>
      <c r="J1991" s="555">
        <v>0</v>
      </c>
      <c r="K1991" s="527">
        <f t="shared" si="1126"/>
        <v>0.150870406189555</v>
      </c>
      <c r="L1991" s="528">
        <f t="shared" si="1127"/>
        <v>1.57162393162393</v>
      </c>
      <c r="M1991" s="528">
        <f t="shared" si="1128"/>
        <v>237.111540941328</v>
      </c>
      <c r="N1991" s="528">
        <f t="shared" si="1129"/>
        <v>0</v>
      </c>
      <c r="O1991" s="528">
        <f t="shared" si="1130"/>
        <v>0</v>
      </c>
      <c r="P1991" s="529">
        <f t="shared" si="1131"/>
        <v>61.2933333333333</v>
      </c>
      <c r="Q1991" s="24">
        <f t="shared" si="1132"/>
        <v>6</v>
      </c>
      <c r="R1991" s="530">
        <f t="shared" si="1133"/>
        <v>0.0256410256410256</v>
      </c>
    </row>
    <row r="1992" spans="1:18">
      <c r="A1992" s="524"/>
      <c r="B1992" s="540" t="s">
        <v>100</v>
      </c>
      <c r="C1992" s="552">
        <v>798.87</v>
      </c>
      <c r="D1992" s="553">
        <v>56515</v>
      </c>
      <c r="E1992" s="553">
        <v>777</v>
      </c>
      <c r="F1992" s="551">
        <v>0</v>
      </c>
      <c r="G1992" s="551">
        <v>0</v>
      </c>
      <c r="H1992" s="551">
        <v>22</v>
      </c>
      <c r="I1992" s="551">
        <v>11</v>
      </c>
      <c r="J1992" s="551">
        <v>0</v>
      </c>
      <c r="K1992" s="527">
        <f t="shared" si="1126"/>
        <v>0.0137485623285853</v>
      </c>
      <c r="L1992" s="528">
        <f t="shared" si="1127"/>
        <v>1.02814671814672</v>
      </c>
      <c r="M1992" s="528">
        <f t="shared" si="1128"/>
        <v>14.1355392373706</v>
      </c>
      <c r="N1992" s="528">
        <f t="shared" si="1129"/>
        <v>0</v>
      </c>
      <c r="O1992" s="528">
        <f t="shared" si="1130"/>
        <v>0</v>
      </c>
      <c r="P1992" s="529">
        <f t="shared" si="1131"/>
        <v>24.2081818181818</v>
      </c>
      <c r="Q1992" s="24">
        <f t="shared" si="1132"/>
        <v>33</v>
      </c>
      <c r="R1992" s="530">
        <f t="shared" si="1133"/>
        <v>0.0424710424710425</v>
      </c>
    </row>
    <row r="1993" spans="1:18">
      <c r="A1993" s="524"/>
      <c r="B1993" s="540" t="s">
        <v>101</v>
      </c>
      <c r="C1993" s="552">
        <v>0</v>
      </c>
      <c r="D1993" s="553">
        <v>0</v>
      </c>
      <c r="E1993" s="551">
        <v>0</v>
      </c>
      <c r="F1993" s="551">
        <v>0</v>
      </c>
      <c r="G1993" s="551">
        <v>0</v>
      </c>
      <c r="H1993" s="551">
        <v>0</v>
      </c>
      <c r="I1993" s="551">
        <v>0</v>
      </c>
      <c r="J1993" s="551">
        <v>0</v>
      </c>
      <c r="K1993" s="527">
        <f t="shared" si="1126"/>
        <v>0</v>
      </c>
      <c r="L1993" s="528">
        <f t="shared" si="1127"/>
        <v>0</v>
      </c>
      <c r="M1993" s="528">
        <f t="shared" si="1128"/>
        <v>0</v>
      </c>
      <c r="N1993" s="528">
        <f t="shared" si="1129"/>
        <v>0</v>
      </c>
      <c r="O1993" s="528">
        <f t="shared" si="1130"/>
        <v>0</v>
      </c>
      <c r="P1993" s="529">
        <f t="shared" si="1131"/>
        <v>0</v>
      </c>
      <c r="Q1993" s="24">
        <f t="shared" si="1132"/>
        <v>0</v>
      </c>
      <c r="R1993" s="530">
        <f t="shared" si="1133"/>
        <v>0</v>
      </c>
    </row>
    <row r="1994" spans="1:18">
      <c r="A1994" s="524"/>
      <c r="B1994" s="531" t="s">
        <v>96</v>
      </c>
      <c r="C1994" s="533">
        <f t="shared" ref="C1994:J1994" si="1138">SUM(C1990:C1993)</f>
        <v>1966.63</v>
      </c>
      <c r="D1994" s="533">
        <f t="shared" si="1138"/>
        <v>90851</v>
      </c>
      <c r="E1994" s="533">
        <f t="shared" si="1138"/>
        <v>1644</v>
      </c>
      <c r="F1994" s="533">
        <f t="shared" si="1138"/>
        <v>0</v>
      </c>
      <c r="G1994" s="533">
        <f t="shared" si="1138"/>
        <v>0</v>
      </c>
      <c r="H1994" s="533">
        <f t="shared" si="1138"/>
        <v>46</v>
      </c>
      <c r="I1994" s="533">
        <f t="shared" si="1138"/>
        <v>17</v>
      </c>
      <c r="J1994" s="533">
        <f t="shared" si="1138"/>
        <v>4</v>
      </c>
      <c r="K1994" s="534">
        <f t="shared" si="1126"/>
        <v>0.0180955630647984</v>
      </c>
      <c r="L1994" s="535">
        <f t="shared" si="1127"/>
        <v>1.19624695863747</v>
      </c>
      <c r="M1994" s="535">
        <f t="shared" si="1128"/>
        <v>21.6467622810976</v>
      </c>
      <c r="N1994" s="535">
        <f t="shared" si="1129"/>
        <v>0</v>
      </c>
      <c r="O1994" s="535">
        <f t="shared" si="1130"/>
        <v>0</v>
      </c>
      <c r="P1994" s="536">
        <f t="shared" si="1131"/>
        <v>31.2163492063492</v>
      </c>
      <c r="Q1994" s="531">
        <f t="shared" si="1132"/>
        <v>63</v>
      </c>
      <c r="R1994" s="537">
        <f t="shared" si="1133"/>
        <v>0.0383211678832117</v>
      </c>
    </row>
    <row r="1995" spans="1:18">
      <c r="A1995" s="524">
        <v>45849</v>
      </c>
      <c r="B1995" s="540" t="s">
        <v>98</v>
      </c>
      <c r="C1995" s="551">
        <v>797.77</v>
      </c>
      <c r="D1995" s="553">
        <v>18224</v>
      </c>
      <c r="E1995" s="551">
        <v>643</v>
      </c>
      <c r="F1995" s="551">
        <v>2</v>
      </c>
      <c r="G1995" s="551">
        <v>36573</v>
      </c>
      <c r="H1995" s="551">
        <v>16</v>
      </c>
      <c r="I1995" s="551">
        <v>6</v>
      </c>
      <c r="J1995" s="551">
        <v>1</v>
      </c>
      <c r="K1995" s="527">
        <f t="shared" si="1126"/>
        <v>0.0352831431079895</v>
      </c>
      <c r="L1995" s="528">
        <f t="shared" si="1127"/>
        <v>1.240699844479</v>
      </c>
      <c r="M1995" s="528">
        <f t="shared" si="1128"/>
        <v>43.775790166813</v>
      </c>
      <c r="N1995" s="528">
        <f t="shared" si="1129"/>
        <v>45.844040262231</v>
      </c>
      <c r="O1995" s="528">
        <f t="shared" si="1130"/>
        <v>0.0031104199066874</v>
      </c>
      <c r="P1995" s="529">
        <f t="shared" si="1131"/>
        <v>36.2622727272727</v>
      </c>
      <c r="Q1995" s="24">
        <f t="shared" si="1132"/>
        <v>22</v>
      </c>
      <c r="R1995" s="530">
        <f t="shared" si="1133"/>
        <v>0.0342146189735614</v>
      </c>
    </row>
    <row r="1996" spans="1:18">
      <c r="A1996" s="524"/>
      <c r="B1996" s="540" t="s">
        <v>99</v>
      </c>
      <c r="C1996" s="551">
        <v>354.44</v>
      </c>
      <c r="D1996" s="555">
        <v>4417</v>
      </c>
      <c r="E1996" s="551">
        <v>295</v>
      </c>
      <c r="F1996" s="551">
        <v>1</v>
      </c>
      <c r="G1996" s="551">
        <v>11274</v>
      </c>
      <c r="H1996" s="555">
        <v>3</v>
      </c>
      <c r="I1996" s="555">
        <v>1</v>
      </c>
      <c r="J1996" s="555">
        <v>4</v>
      </c>
      <c r="K1996" s="527">
        <f t="shared" si="1126"/>
        <v>0.066787412270772</v>
      </c>
      <c r="L1996" s="528">
        <f t="shared" si="1127"/>
        <v>1.20149152542373</v>
      </c>
      <c r="M1996" s="528">
        <f t="shared" si="1128"/>
        <v>80.2445098483133</v>
      </c>
      <c r="N1996" s="528">
        <f t="shared" si="1129"/>
        <v>31.8079223563932</v>
      </c>
      <c r="O1996" s="528">
        <f t="shared" si="1130"/>
        <v>0.00338983050847458</v>
      </c>
      <c r="P1996" s="529">
        <f t="shared" si="1131"/>
        <v>88.61</v>
      </c>
      <c r="Q1996" s="24">
        <f t="shared" si="1132"/>
        <v>4</v>
      </c>
      <c r="R1996" s="530">
        <f t="shared" si="1133"/>
        <v>0.0135593220338983</v>
      </c>
    </row>
    <row r="1997" spans="1:18">
      <c r="A1997" s="524"/>
      <c r="B1997" s="540" t="s">
        <v>100</v>
      </c>
      <c r="C1997" s="552">
        <v>788.11</v>
      </c>
      <c r="D1997" s="553">
        <v>65493</v>
      </c>
      <c r="E1997" s="553">
        <v>830</v>
      </c>
      <c r="F1997" s="551">
        <v>0</v>
      </c>
      <c r="G1997" s="551">
        <v>0</v>
      </c>
      <c r="H1997" s="551">
        <v>10</v>
      </c>
      <c r="I1997" s="551">
        <v>8</v>
      </c>
      <c r="J1997" s="551">
        <v>4</v>
      </c>
      <c r="K1997" s="527">
        <f t="shared" si="1126"/>
        <v>0.0126731101033698</v>
      </c>
      <c r="L1997" s="528">
        <f t="shared" si="1127"/>
        <v>0.949530120481928</v>
      </c>
      <c r="M1997" s="528">
        <f t="shared" si="1128"/>
        <v>12.0334997633335</v>
      </c>
      <c r="N1997" s="528">
        <f t="shared" si="1129"/>
        <v>0</v>
      </c>
      <c r="O1997" s="528">
        <f t="shared" si="1130"/>
        <v>0</v>
      </c>
      <c r="P1997" s="529">
        <f t="shared" si="1131"/>
        <v>43.7838888888889</v>
      </c>
      <c r="Q1997" s="24">
        <f t="shared" si="1132"/>
        <v>18</v>
      </c>
      <c r="R1997" s="530">
        <f t="shared" si="1133"/>
        <v>0.0216867469879518</v>
      </c>
    </row>
    <row r="1998" spans="1:18">
      <c r="A1998" s="524"/>
      <c r="B1998" s="540" t="s">
        <v>101</v>
      </c>
      <c r="C1998" s="552">
        <v>0</v>
      </c>
      <c r="D1998" s="553">
        <v>0</v>
      </c>
      <c r="E1998" s="551">
        <v>0</v>
      </c>
      <c r="F1998" s="551">
        <v>0</v>
      </c>
      <c r="G1998" s="551">
        <v>0</v>
      </c>
      <c r="H1998" s="551">
        <v>0</v>
      </c>
      <c r="I1998" s="551">
        <v>0</v>
      </c>
      <c r="J1998" s="551">
        <v>0</v>
      </c>
      <c r="K1998" s="527">
        <f t="shared" si="1126"/>
        <v>0</v>
      </c>
      <c r="L1998" s="528">
        <f t="shared" si="1127"/>
        <v>0</v>
      </c>
      <c r="M1998" s="528">
        <f t="shared" si="1128"/>
        <v>0</v>
      </c>
      <c r="N1998" s="528">
        <f t="shared" si="1129"/>
        <v>0</v>
      </c>
      <c r="O1998" s="528">
        <f t="shared" si="1130"/>
        <v>0</v>
      </c>
      <c r="P1998" s="529">
        <f t="shared" si="1131"/>
        <v>0</v>
      </c>
      <c r="Q1998" s="24">
        <f t="shared" si="1132"/>
        <v>0</v>
      </c>
      <c r="R1998" s="530">
        <f t="shared" si="1133"/>
        <v>0</v>
      </c>
    </row>
    <row r="1999" spans="1:18">
      <c r="A1999" s="524"/>
      <c r="B1999" s="531" t="s">
        <v>96</v>
      </c>
      <c r="C1999" s="533">
        <f t="shared" ref="C1999:J1999" si="1139">SUM(C1995:C1998)</f>
        <v>1940.32</v>
      </c>
      <c r="D1999" s="533">
        <f t="shared" si="1139"/>
        <v>88134</v>
      </c>
      <c r="E1999" s="533">
        <f t="shared" si="1139"/>
        <v>1768</v>
      </c>
      <c r="F1999" s="533">
        <f t="shared" si="1139"/>
        <v>3</v>
      </c>
      <c r="G1999" s="533">
        <f t="shared" si="1139"/>
        <v>47847</v>
      </c>
      <c r="H1999" s="533">
        <f t="shared" si="1139"/>
        <v>29</v>
      </c>
      <c r="I1999" s="533">
        <f t="shared" si="1139"/>
        <v>15</v>
      </c>
      <c r="J1999" s="533">
        <f t="shared" si="1139"/>
        <v>9</v>
      </c>
      <c r="K1999" s="534">
        <f t="shared" si="1126"/>
        <v>0.0200603626296322</v>
      </c>
      <c r="L1999" s="535">
        <f t="shared" si="1127"/>
        <v>1.09746606334842</v>
      </c>
      <c r="M1999" s="535">
        <f t="shared" si="1128"/>
        <v>22.0155672044841</v>
      </c>
      <c r="N1999" s="535">
        <f t="shared" si="1129"/>
        <v>24.6593345427558</v>
      </c>
      <c r="O1999" s="535">
        <f t="shared" si="1130"/>
        <v>0.00169683257918552</v>
      </c>
      <c r="P1999" s="536">
        <f t="shared" si="1131"/>
        <v>44.0981818181818</v>
      </c>
      <c r="Q1999" s="531">
        <f t="shared" si="1132"/>
        <v>44</v>
      </c>
      <c r="R1999" s="537">
        <f t="shared" si="1133"/>
        <v>0.0248868778280543</v>
      </c>
    </row>
    <row r="2000" spans="1:18">
      <c r="A2000" s="524">
        <v>45850</v>
      </c>
      <c r="B2000" s="540" t="s">
        <v>98</v>
      </c>
      <c r="C2000" s="551">
        <v>800</v>
      </c>
      <c r="D2000" s="553">
        <v>24083</v>
      </c>
      <c r="E2000" s="551">
        <v>606</v>
      </c>
      <c r="F2000" s="551">
        <v>0</v>
      </c>
      <c r="G2000" s="551">
        <v>0</v>
      </c>
      <c r="H2000" s="551">
        <v>16</v>
      </c>
      <c r="I2000" s="551">
        <v>5</v>
      </c>
      <c r="J2000" s="551">
        <v>2</v>
      </c>
      <c r="K2000" s="527">
        <f t="shared" si="1126"/>
        <v>0.0251629780342981</v>
      </c>
      <c r="L2000" s="528">
        <f t="shared" si="1127"/>
        <v>1.32013201320132</v>
      </c>
      <c r="M2000" s="528">
        <f t="shared" si="1128"/>
        <v>33.2184528505585</v>
      </c>
      <c r="N2000" s="528">
        <f t="shared" si="1129"/>
        <v>0</v>
      </c>
      <c r="O2000" s="528">
        <f t="shared" si="1130"/>
        <v>0</v>
      </c>
      <c r="P2000" s="529">
        <f t="shared" si="1131"/>
        <v>38.0952380952381</v>
      </c>
      <c r="Q2000" s="24">
        <f t="shared" si="1132"/>
        <v>21</v>
      </c>
      <c r="R2000" s="530">
        <f t="shared" si="1133"/>
        <v>0.0346534653465347</v>
      </c>
    </row>
    <row r="2001" spans="1:18">
      <c r="A2001" s="524"/>
      <c r="B2001" s="540" t="s">
        <v>99</v>
      </c>
      <c r="C2001" s="551">
        <v>0</v>
      </c>
      <c r="D2001" s="555">
        <v>0</v>
      </c>
      <c r="E2001" s="551">
        <v>0</v>
      </c>
      <c r="F2001" s="551">
        <v>0</v>
      </c>
      <c r="G2001" s="551">
        <v>0</v>
      </c>
      <c r="H2001" s="555">
        <v>0</v>
      </c>
      <c r="I2001" s="555">
        <v>0</v>
      </c>
      <c r="J2001" s="555">
        <v>0</v>
      </c>
      <c r="K2001" s="527">
        <f t="shared" si="1126"/>
        <v>0</v>
      </c>
      <c r="L2001" s="528">
        <f t="shared" si="1127"/>
        <v>0</v>
      </c>
      <c r="M2001" s="528">
        <f t="shared" si="1128"/>
        <v>0</v>
      </c>
      <c r="N2001" s="528">
        <f t="shared" si="1129"/>
        <v>0</v>
      </c>
      <c r="O2001" s="528">
        <f t="shared" si="1130"/>
        <v>0</v>
      </c>
      <c r="P2001" s="529">
        <f t="shared" si="1131"/>
        <v>0</v>
      </c>
      <c r="Q2001" s="24">
        <f t="shared" si="1132"/>
        <v>0</v>
      </c>
      <c r="R2001" s="530">
        <f t="shared" si="1133"/>
        <v>0</v>
      </c>
    </row>
    <row r="2002" spans="1:18">
      <c r="A2002" s="524"/>
      <c r="B2002" s="540" t="s">
        <v>100</v>
      </c>
      <c r="C2002" s="552">
        <v>796.96</v>
      </c>
      <c r="D2002" s="553">
        <v>61009</v>
      </c>
      <c r="E2002" s="553">
        <v>858</v>
      </c>
      <c r="F2002" s="551">
        <v>3</v>
      </c>
      <c r="G2002" s="551">
        <v>40522</v>
      </c>
      <c r="H2002" s="551">
        <v>43</v>
      </c>
      <c r="I2002" s="551">
        <v>9</v>
      </c>
      <c r="J2002" s="551">
        <v>3</v>
      </c>
      <c r="K2002" s="527">
        <f t="shared" si="1126"/>
        <v>0.0140634988280418</v>
      </c>
      <c r="L2002" s="528">
        <f t="shared" si="1127"/>
        <v>0.928857808857809</v>
      </c>
      <c r="M2002" s="528">
        <f t="shared" si="1128"/>
        <v>13.0629907062892</v>
      </c>
      <c r="N2002" s="528">
        <f t="shared" si="1129"/>
        <v>50.845713712106</v>
      </c>
      <c r="O2002" s="528">
        <f t="shared" si="1130"/>
        <v>0.0034965034965035</v>
      </c>
      <c r="P2002" s="529">
        <f t="shared" si="1131"/>
        <v>15.3261538461538</v>
      </c>
      <c r="Q2002" s="24">
        <f t="shared" si="1132"/>
        <v>52</v>
      </c>
      <c r="R2002" s="530">
        <f t="shared" si="1133"/>
        <v>0.0606060606060606</v>
      </c>
    </row>
    <row r="2003" spans="1:18">
      <c r="A2003" s="524"/>
      <c r="B2003" s="540" t="s">
        <v>101</v>
      </c>
      <c r="C2003" s="552">
        <v>0</v>
      </c>
      <c r="D2003" s="553">
        <v>0</v>
      </c>
      <c r="E2003" s="551">
        <v>0</v>
      </c>
      <c r="F2003" s="551">
        <v>0</v>
      </c>
      <c r="G2003" s="551">
        <v>0</v>
      </c>
      <c r="H2003" s="551">
        <v>0</v>
      </c>
      <c r="I2003" s="551">
        <v>0</v>
      </c>
      <c r="J2003" s="551">
        <v>0</v>
      </c>
      <c r="K2003" s="527">
        <f t="shared" si="1126"/>
        <v>0</v>
      </c>
      <c r="L2003" s="528">
        <f t="shared" si="1127"/>
        <v>0</v>
      </c>
      <c r="M2003" s="528">
        <f t="shared" si="1128"/>
        <v>0</v>
      </c>
      <c r="N2003" s="528">
        <f t="shared" si="1129"/>
        <v>0</v>
      </c>
      <c r="O2003" s="528">
        <f t="shared" si="1130"/>
        <v>0</v>
      </c>
      <c r="P2003" s="529">
        <f t="shared" si="1131"/>
        <v>0</v>
      </c>
      <c r="Q2003" s="24">
        <f t="shared" si="1132"/>
        <v>0</v>
      </c>
      <c r="R2003" s="530">
        <f t="shared" si="1133"/>
        <v>0</v>
      </c>
    </row>
    <row r="2004" spans="1:18">
      <c r="A2004" s="524"/>
      <c r="B2004" s="531" t="s">
        <v>96</v>
      </c>
      <c r="C2004" s="533">
        <f t="shared" ref="C2004:J2004" si="1140">SUM(C2000:C2003)</f>
        <v>1596.96</v>
      </c>
      <c r="D2004" s="533">
        <f t="shared" si="1140"/>
        <v>85092</v>
      </c>
      <c r="E2004" s="533">
        <f t="shared" si="1140"/>
        <v>1464</v>
      </c>
      <c r="F2004" s="533">
        <f t="shared" si="1140"/>
        <v>3</v>
      </c>
      <c r="G2004" s="533">
        <f t="shared" si="1140"/>
        <v>40522</v>
      </c>
      <c r="H2004" s="533">
        <f t="shared" si="1140"/>
        <v>59</v>
      </c>
      <c r="I2004" s="533">
        <f t="shared" si="1140"/>
        <v>14</v>
      </c>
      <c r="J2004" s="533">
        <f t="shared" si="1140"/>
        <v>5</v>
      </c>
      <c r="K2004" s="534">
        <f t="shared" si="1126"/>
        <v>0.0172049076293894</v>
      </c>
      <c r="L2004" s="535">
        <f t="shared" si="1127"/>
        <v>1.09081967213115</v>
      </c>
      <c r="M2004" s="535">
        <f t="shared" si="1128"/>
        <v>18.7674516993372</v>
      </c>
      <c r="N2004" s="535">
        <f t="shared" si="1129"/>
        <v>25.3744614768059</v>
      </c>
      <c r="O2004" s="535">
        <f t="shared" si="1130"/>
        <v>0.00204918032786885</v>
      </c>
      <c r="P2004" s="536">
        <f t="shared" si="1131"/>
        <v>21.8761643835616</v>
      </c>
      <c r="Q2004" s="531">
        <f t="shared" si="1132"/>
        <v>73</v>
      </c>
      <c r="R2004" s="537">
        <f t="shared" si="1133"/>
        <v>0.0498633879781421</v>
      </c>
    </row>
    <row r="2005" spans="1:18">
      <c r="A2005" s="524">
        <v>45851</v>
      </c>
      <c r="B2005" s="540" t="s">
        <v>98</v>
      </c>
      <c r="C2005" s="551">
        <v>800</v>
      </c>
      <c r="D2005" s="553">
        <v>23478</v>
      </c>
      <c r="E2005" s="551">
        <v>610</v>
      </c>
      <c r="F2005" s="551">
        <v>1</v>
      </c>
      <c r="G2005" s="551">
        <v>12214</v>
      </c>
      <c r="H2005" s="551">
        <v>12</v>
      </c>
      <c r="I2005" s="551">
        <v>4</v>
      </c>
      <c r="J2005" s="551">
        <v>1</v>
      </c>
      <c r="K2005" s="527">
        <f t="shared" ref="K2005:K2014" si="1141">IF(E2005=0,0,E2005/D2005)</f>
        <v>0.0259817701678167</v>
      </c>
      <c r="L2005" s="528">
        <f t="shared" ref="L2005:L2014" si="1142">IF(C2005=0,0,C2005/E2005)</f>
        <v>1.31147540983607</v>
      </c>
      <c r="M2005" s="528">
        <f t="shared" ref="M2005:M2014" si="1143">IF(D2005=0,0,C2005/D2005*1000)</f>
        <v>34.0744526791038</v>
      </c>
      <c r="N2005" s="528">
        <f t="shared" ref="N2005:N2014" si="1144">IF(G2005=0,0,G2005/C2005)</f>
        <v>15.2675</v>
      </c>
      <c r="O2005" s="528">
        <f t="shared" ref="O2005:O2014" si="1145">IF(F2005=0,0,F2005/E2005)</f>
        <v>0.00163934426229508</v>
      </c>
      <c r="P2005" s="529">
        <f t="shared" ref="P2005:P2014" si="1146">IF(H2005+I2005=0,0,C2005/(H2005+I2005))</f>
        <v>50</v>
      </c>
      <c r="Q2005" s="24">
        <f t="shared" ref="Q2005:Q2014" si="1147">H2005+I2005</f>
        <v>16</v>
      </c>
      <c r="R2005" s="530">
        <f t="shared" ref="R2005:R2014" si="1148">IF(Q2005=0,0,Q2005/E2005)</f>
        <v>0.0262295081967213</v>
      </c>
    </row>
    <row r="2006" spans="1:18">
      <c r="A2006" s="524"/>
      <c r="B2006" s="540" t="s">
        <v>99</v>
      </c>
      <c r="C2006" s="551">
        <v>0</v>
      </c>
      <c r="D2006" s="555">
        <v>0</v>
      </c>
      <c r="E2006" s="551">
        <v>0</v>
      </c>
      <c r="F2006" s="551">
        <v>0</v>
      </c>
      <c r="G2006" s="551">
        <v>0</v>
      </c>
      <c r="H2006" s="555">
        <v>0</v>
      </c>
      <c r="I2006" s="555">
        <v>0</v>
      </c>
      <c r="J2006" s="555">
        <v>0</v>
      </c>
      <c r="K2006" s="527">
        <f t="shared" si="1141"/>
        <v>0</v>
      </c>
      <c r="L2006" s="528">
        <f t="shared" si="1142"/>
        <v>0</v>
      </c>
      <c r="M2006" s="528">
        <f t="shared" si="1143"/>
        <v>0</v>
      </c>
      <c r="N2006" s="528">
        <f t="shared" si="1144"/>
        <v>0</v>
      </c>
      <c r="O2006" s="528">
        <f t="shared" si="1145"/>
        <v>0</v>
      </c>
      <c r="P2006" s="529">
        <f t="shared" si="1146"/>
        <v>0</v>
      </c>
      <c r="Q2006" s="24">
        <f t="shared" si="1147"/>
        <v>0</v>
      </c>
      <c r="R2006" s="530">
        <f t="shared" si="1148"/>
        <v>0</v>
      </c>
    </row>
    <row r="2007" spans="1:18">
      <c r="A2007" s="524"/>
      <c r="B2007" s="540" t="s">
        <v>100</v>
      </c>
      <c r="C2007" s="552">
        <v>780.48</v>
      </c>
      <c r="D2007" s="553">
        <v>72041</v>
      </c>
      <c r="E2007" s="553">
        <v>883</v>
      </c>
      <c r="F2007" s="551">
        <v>6</v>
      </c>
      <c r="G2007" s="551">
        <v>128904</v>
      </c>
      <c r="H2007" s="551">
        <v>19</v>
      </c>
      <c r="I2007" s="551">
        <v>11</v>
      </c>
      <c r="J2007" s="551">
        <v>4</v>
      </c>
      <c r="K2007" s="527">
        <f t="shared" si="1141"/>
        <v>0.0122569092600047</v>
      </c>
      <c r="L2007" s="528">
        <f t="shared" si="1142"/>
        <v>0.883895809739524</v>
      </c>
      <c r="M2007" s="528">
        <f t="shared" si="1143"/>
        <v>10.8338307352757</v>
      </c>
      <c r="N2007" s="528">
        <f t="shared" si="1144"/>
        <v>165.159901599016</v>
      </c>
      <c r="O2007" s="528">
        <f t="shared" si="1145"/>
        <v>0.00679501698754247</v>
      </c>
      <c r="P2007" s="529">
        <f t="shared" si="1146"/>
        <v>26.016</v>
      </c>
      <c r="Q2007" s="24">
        <f t="shared" si="1147"/>
        <v>30</v>
      </c>
      <c r="R2007" s="530">
        <f t="shared" si="1148"/>
        <v>0.0339750849377123</v>
      </c>
    </row>
    <row r="2008" spans="1:18">
      <c r="A2008" s="524"/>
      <c r="B2008" s="540" t="s">
        <v>101</v>
      </c>
      <c r="C2008" s="552">
        <v>0</v>
      </c>
      <c r="D2008" s="553">
        <v>0</v>
      </c>
      <c r="E2008" s="551">
        <v>0</v>
      </c>
      <c r="F2008" s="551">
        <v>0</v>
      </c>
      <c r="G2008" s="551">
        <v>0</v>
      </c>
      <c r="H2008" s="551">
        <v>0</v>
      </c>
      <c r="I2008" s="551">
        <v>0</v>
      </c>
      <c r="J2008" s="551">
        <v>0</v>
      </c>
      <c r="K2008" s="527">
        <f t="shared" si="1141"/>
        <v>0</v>
      </c>
      <c r="L2008" s="528">
        <f t="shared" si="1142"/>
        <v>0</v>
      </c>
      <c r="M2008" s="528">
        <f t="shared" si="1143"/>
        <v>0</v>
      </c>
      <c r="N2008" s="528">
        <f t="shared" si="1144"/>
        <v>0</v>
      </c>
      <c r="O2008" s="528">
        <f t="shared" si="1145"/>
        <v>0</v>
      </c>
      <c r="P2008" s="529">
        <f t="shared" si="1146"/>
        <v>0</v>
      </c>
      <c r="Q2008" s="24">
        <f t="shared" si="1147"/>
        <v>0</v>
      </c>
      <c r="R2008" s="530">
        <f t="shared" si="1148"/>
        <v>0</v>
      </c>
    </row>
    <row r="2009" spans="1:18">
      <c r="A2009" s="524"/>
      <c r="B2009" s="531" t="s">
        <v>96</v>
      </c>
      <c r="C2009" s="533">
        <f t="shared" ref="C2009:J2009" si="1149">SUM(C2005:C2008)</f>
        <v>1580.48</v>
      </c>
      <c r="D2009" s="533">
        <f t="shared" si="1149"/>
        <v>95519</v>
      </c>
      <c r="E2009" s="533">
        <f t="shared" si="1149"/>
        <v>1493</v>
      </c>
      <c r="F2009" s="533">
        <f t="shared" si="1149"/>
        <v>7</v>
      </c>
      <c r="G2009" s="533">
        <f t="shared" si="1149"/>
        <v>141118</v>
      </c>
      <c r="H2009" s="533">
        <f t="shared" si="1149"/>
        <v>31</v>
      </c>
      <c r="I2009" s="533">
        <f t="shared" si="1149"/>
        <v>15</v>
      </c>
      <c r="J2009" s="533">
        <f t="shared" si="1149"/>
        <v>5</v>
      </c>
      <c r="K2009" s="534">
        <f t="shared" si="1141"/>
        <v>0.0156303981406841</v>
      </c>
      <c r="L2009" s="535">
        <f t="shared" si="1142"/>
        <v>1.05859343603483</v>
      </c>
      <c r="M2009" s="535">
        <f t="shared" si="1143"/>
        <v>16.5462368743391</v>
      </c>
      <c r="N2009" s="535">
        <f t="shared" si="1144"/>
        <v>89.2880643855031</v>
      </c>
      <c r="O2009" s="535">
        <f t="shared" si="1145"/>
        <v>0.00468854655056932</v>
      </c>
      <c r="P2009" s="536">
        <f t="shared" si="1146"/>
        <v>34.3582608695652</v>
      </c>
      <c r="Q2009" s="531">
        <f t="shared" si="1147"/>
        <v>46</v>
      </c>
      <c r="R2009" s="537">
        <f t="shared" si="1148"/>
        <v>0.0308104487608841</v>
      </c>
    </row>
    <row r="2010" spans="1:18">
      <c r="A2010" s="524">
        <v>45852</v>
      </c>
      <c r="B2010" s="540" t="s">
        <v>98</v>
      </c>
      <c r="C2010" s="551">
        <v>800</v>
      </c>
      <c r="D2010" s="553">
        <v>23737</v>
      </c>
      <c r="E2010" s="551">
        <v>632</v>
      </c>
      <c r="F2010" s="551">
        <v>1</v>
      </c>
      <c r="G2010" s="551">
        <v>5644</v>
      </c>
      <c r="H2010" s="551">
        <v>29</v>
      </c>
      <c r="I2010" s="551">
        <v>5</v>
      </c>
      <c r="J2010" s="551">
        <v>5</v>
      </c>
      <c r="K2010" s="527">
        <f t="shared" si="1141"/>
        <v>0.0266251000547668</v>
      </c>
      <c r="L2010" s="528">
        <f t="shared" si="1142"/>
        <v>1.26582278481013</v>
      </c>
      <c r="M2010" s="528">
        <f t="shared" si="1143"/>
        <v>33.7026582971732</v>
      </c>
      <c r="N2010" s="528">
        <f t="shared" si="1144"/>
        <v>7.055</v>
      </c>
      <c r="O2010" s="528">
        <f t="shared" si="1145"/>
        <v>0.00158227848101266</v>
      </c>
      <c r="P2010" s="529">
        <f t="shared" si="1146"/>
        <v>23.5294117647059</v>
      </c>
      <c r="Q2010" s="24">
        <f t="shared" si="1147"/>
        <v>34</v>
      </c>
      <c r="R2010" s="530">
        <f t="shared" si="1148"/>
        <v>0.0537974683544304</v>
      </c>
    </row>
    <row r="2011" spans="1:18">
      <c r="A2011" s="524"/>
      <c r="B2011" s="540" t="s">
        <v>99</v>
      </c>
      <c r="C2011" s="551">
        <v>344.88</v>
      </c>
      <c r="D2011" s="555">
        <v>2049</v>
      </c>
      <c r="E2011" s="551">
        <v>251</v>
      </c>
      <c r="F2011" s="551">
        <v>0</v>
      </c>
      <c r="G2011" s="551">
        <v>0</v>
      </c>
      <c r="H2011" s="555">
        <v>15</v>
      </c>
      <c r="I2011" s="555">
        <v>1</v>
      </c>
      <c r="J2011" s="555">
        <v>1</v>
      </c>
      <c r="K2011" s="527">
        <f t="shared" si="1141"/>
        <v>0.122498779892631</v>
      </c>
      <c r="L2011" s="528">
        <f t="shared" si="1142"/>
        <v>1.37402390438247</v>
      </c>
      <c r="M2011" s="528">
        <f t="shared" si="1143"/>
        <v>168.316251830161</v>
      </c>
      <c r="N2011" s="528">
        <f t="shared" si="1144"/>
        <v>0</v>
      </c>
      <c r="O2011" s="528">
        <f t="shared" si="1145"/>
        <v>0</v>
      </c>
      <c r="P2011" s="529">
        <f t="shared" si="1146"/>
        <v>21.555</v>
      </c>
      <c r="Q2011" s="24">
        <f t="shared" si="1147"/>
        <v>16</v>
      </c>
      <c r="R2011" s="530">
        <f t="shared" si="1148"/>
        <v>0.0637450199203187</v>
      </c>
    </row>
    <row r="2012" spans="1:18">
      <c r="A2012" s="524"/>
      <c r="B2012" s="540" t="s">
        <v>100</v>
      </c>
      <c r="C2012" s="552">
        <v>791.22</v>
      </c>
      <c r="D2012" s="553">
        <v>55994</v>
      </c>
      <c r="E2012" s="553">
        <v>874</v>
      </c>
      <c r="F2012" s="551">
        <v>0</v>
      </c>
      <c r="G2012" s="551">
        <v>0</v>
      </c>
      <c r="H2012" s="551">
        <v>19</v>
      </c>
      <c r="I2012" s="551">
        <v>9</v>
      </c>
      <c r="J2012" s="551">
        <v>2</v>
      </c>
      <c r="K2012" s="527">
        <f t="shared" si="1141"/>
        <v>0.0156088152302032</v>
      </c>
      <c r="L2012" s="528">
        <f t="shared" si="1142"/>
        <v>0.905286041189931</v>
      </c>
      <c r="M2012" s="528">
        <f t="shared" si="1143"/>
        <v>14.1304425474158</v>
      </c>
      <c r="N2012" s="528">
        <f t="shared" si="1144"/>
        <v>0</v>
      </c>
      <c r="O2012" s="528">
        <f t="shared" si="1145"/>
        <v>0</v>
      </c>
      <c r="P2012" s="529">
        <f t="shared" si="1146"/>
        <v>28.2578571428571</v>
      </c>
      <c r="Q2012" s="24">
        <f t="shared" si="1147"/>
        <v>28</v>
      </c>
      <c r="R2012" s="530">
        <f t="shared" si="1148"/>
        <v>0.0320366132723112</v>
      </c>
    </row>
    <row r="2013" spans="1:18">
      <c r="A2013" s="524"/>
      <c r="B2013" s="540" t="s">
        <v>101</v>
      </c>
      <c r="C2013" s="552">
        <v>0</v>
      </c>
      <c r="D2013" s="553">
        <v>0</v>
      </c>
      <c r="E2013" s="551">
        <v>0</v>
      </c>
      <c r="F2013" s="551">
        <v>0</v>
      </c>
      <c r="G2013" s="551">
        <v>0</v>
      </c>
      <c r="H2013" s="551">
        <v>0</v>
      </c>
      <c r="I2013" s="551">
        <v>0</v>
      </c>
      <c r="J2013" s="551">
        <v>0</v>
      </c>
      <c r="K2013" s="527">
        <f t="shared" si="1141"/>
        <v>0</v>
      </c>
      <c r="L2013" s="528">
        <f t="shared" si="1142"/>
        <v>0</v>
      </c>
      <c r="M2013" s="528">
        <f t="shared" si="1143"/>
        <v>0</v>
      </c>
      <c r="N2013" s="528">
        <f t="shared" si="1144"/>
        <v>0</v>
      </c>
      <c r="O2013" s="528">
        <f t="shared" si="1145"/>
        <v>0</v>
      </c>
      <c r="P2013" s="529">
        <f t="shared" si="1146"/>
        <v>0</v>
      </c>
      <c r="Q2013" s="24">
        <f t="shared" si="1147"/>
        <v>0</v>
      </c>
      <c r="R2013" s="530">
        <f t="shared" si="1148"/>
        <v>0</v>
      </c>
    </row>
    <row r="2014" spans="1:18">
      <c r="A2014" s="524"/>
      <c r="B2014" s="531" t="s">
        <v>96</v>
      </c>
      <c r="C2014" s="533">
        <f t="shared" ref="C2014:J2014" si="1150">SUM(C2010:C2013)</f>
        <v>1936.1</v>
      </c>
      <c r="D2014" s="533">
        <f t="shared" si="1150"/>
        <v>81780</v>
      </c>
      <c r="E2014" s="533">
        <f t="shared" si="1150"/>
        <v>1757</v>
      </c>
      <c r="F2014" s="533">
        <f t="shared" si="1150"/>
        <v>1</v>
      </c>
      <c r="G2014" s="533">
        <f t="shared" si="1150"/>
        <v>5644</v>
      </c>
      <c r="H2014" s="533">
        <f t="shared" si="1150"/>
        <v>63</v>
      </c>
      <c r="I2014" s="533">
        <f t="shared" si="1150"/>
        <v>15</v>
      </c>
      <c r="J2014" s="533">
        <f t="shared" si="1150"/>
        <v>8</v>
      </c>
      <c r="K2014" s="534">
        <f t="shared" si="1141"/>
        <v>0.0214844705306921</v>
      </c>
      <c r="L2014" s="535">
        <f t="shared" si="1142"/>
        <v>1.10193511667615</v>
      </c>
      <c r="M2014" s="535">
        <f t="shared" si="1143"/>
        <v>23.6744925409636</v>
      </c>
      <c r="N2014" s="535">
        <f t="shared" si="1144"/>
        <v>2.91513868085326</v>
      </c>
      <c r="O2014" s="535">
        <f t="shared" si="1145"/>
        <v>0.000569151963574274</v>
      </c>
      <c r="P2014" s="536">
        <f t="shared" si="1146"/>
        <v>24.8217948717949</v>
      </c>
      <c r="Q2014" s="531">
        <f t="shared" si="1147"/>
        <v>78</v>
      </c>
      <c r="R2014" s="537">
        <f t="shared" si="1148"/>
        <v>0.0443938531587934</v>
      </c>
    </row>
    <row r="2015" spans="1:18">
      <c r="A2015" s="524">
        <v>45853</v>
      </c>
      <c r="B2015" s="540" t="s">
        <v>98</v>
      </c>
      <c r="C2015" s="551">
        <v>792.33</v>
      </c>
      <c r="D2015" s="553">
        <v>24399</v>
      </c>
      <c r="E2015" s="551">
        <v>670</v>
      </c>
      <c r="F2015" s="551">
        <v>0</v>
      </c>
      <c r="G2015" s="551">
        <v>0</v>
      </c>
      <c r="H2015" s="551">
        <v>18</v>
      </c>
      <c r="I2015" s="551">
        <v>4</v>
      </c>
      <c r="J2015" s="551">
        <v>2</v>
      </c>
      <c r="K2015" s="527">
        <f t="shared" ref="K2015:K2019" si="1151">IF(E2015=0,0,E2015/D2015)</f>
        <v>0.0274601418090905</v>
      </c>
      <c r="L2015" s="528">
        <f t="shared" ref="L2015:L2019" si="1152">IF(C2015=0,0,C2015/E2015)</f>
        <v>1.18258208955224</v>
      </c>
      <c r="M2015" s="528">
        <f t="shared" ref="M2015:M2019" si="1153">IF(D2015=0,0,C2015/D2015*1000)</f>
        <v>32.4738718799951</v>
      </c>
      <c r="N2015" s="528">
        <f t="shared" ref="N2015:N2019" si="1154">IF(G2015=0,0,G2015/C2015)</f>
        <v>0</v>
      </c>
      <c r="O2015" s="528">
        <f t="shared" ref="O2015:O2019" si="1155">IF(F2015=0,0,F2015/E2015)</f>
        <v>0</v>
      </c>
      <c r="P2015" s="529">
        <f t="shared" ref="P2015:P2019" si="1156">IF(H2015+I2015=0,0,C2015/(H2015+I2015))</f>
        <v>36.015</v>
      </c>
      <c r="Q2015" s="24">
        <f t="shared" ref="Q2015:Q2019" si="1157">H2015+I2015</f>
        <v>22</v>
      </c>
      <c r="R2015" s="530">
        <f t="shared" ref="R2015:R2019" si="1158">IF(Q2015=0,0,Q2015/E2015)</f>
        <v>0.0328358208955224</v>
      </c>
    </row>
    <row r="2016" spans="1:18">
      <c r="A2016" s="524"/>
      <c r="B2016" s="540" t="s">
        <v>99</v>
      </c>
      <c r="C2016" s="551">
        <v>4.21</v>
      </c>
      <c r="D2016" s="555">
        <v>1</v>
      </c>
      <c r="E2016" s="551">
        <v>1</v>
      </c>
      <c r="F2016" s="551">
        <v>0</v>
      </c>
      <c r="G2016" s="551">
        <v>0</v>
      </c>
      <c r="H2016" s="555">
        <v>0</v>
      </c>
      <c r="I2016" s="555">
        <v>0</v>
      </c>
      <c r="J2016" s="555">
        <v>0</v>
      </c>
      <c r="K2016" s="527">
        <f t="shared" si="1151"/>
        <v>1</v>
      </c>
      <c r="L2016" s="528">
        <f t="shared" si="1152"/>
        <v>4.21</v>
      </c>
      <c r="M2016" s="528">
        <f t="shared" si="1153"/>
        <v>4210</v>
      </c>
      <c r="N2016" s="528">
        <f t="shared" si="1154"/>
        <v>0</v>
      </c>
      <c r="O2016" s="528">
        <f t="shared" si="1155"/>
        <v>0</v>
      </c>
      <c r="P2016" s="529">
        <f t="shared" si="1156"/>
        <v>0</v>
      </c>
      <c r="Q2016" s="24">
        <f t="shared" si="1157"/>
        <v>0</v>
      </c>
      <c r="R2016" s="530">
        <f t="shared" si="1158"/>
        <v>0</v>
      </c>
    </row>
    <row r="2017" spans="1:18">
      <c r="A2017" s="524"/>
      <c r="B2017" s="540" t="s">
        <v>100</v>
      </c>
      <c r="C2017" s="552">
        <v>794.55</v>
      </c>
      <c r="D2017" s="553">
        <v>67036</v>
      </c>
      <c r="E2017" s="553">
        <v>938</v>
      </c>
      <c r="F2017" s="551">
        <v>0</v>
      </c>
      <c r="G2017" s="551">
        <v>0</v>
      </c>
      <c r="H2017" s="551">
        <v>30</v>
      </c>
      <c r="I2017" s="551">
        <v>13</v>
      </c>
      <c r="J2017" s="551">
        <v>0</v>
      </c>
      <c r="K2017" s="527">
        <f t="shared" si="1151"/>
        <v>0.0139924816516499</v>
      </c>
      <c r="L2017" s="528">
        <f t="shared" si="1152"/>
        <v>0.847068230277185</v>
      </c>
      <c r="M2017" s="528">
        <f t="shared" si="1153"/>
        <v>11.852586669849</v>
      </c>
      <c r="N2017" s="528">
        <f t="shared" si="1154"/>
        <v>0</v>
      </c>
      <c r="O2017" s="528">
        <f t="shared" si="1155"/>
        <v>0</v>
      </c>
      <c r="P2017" s="529">
        <f t="shared" si="1156"/>
        <v>18.4779069767442</v>
      </c>
      <c r="Q2017" s="24">
        <f t="shared" si="1157"/>
        <v>43</v>
      </c>
      <c r="R2017" s="530">
        <f t="shared" si="1158"/>
        <v>0.0458422174840085</v>
      </c>
    </row>
    <row r="2018" spans="1:18">
      <c r="A2018" s="524"/>
      <c r="B2018" s="540" t="s">
        <v>101</v>
      </c>
      <c r="C2018" s="552">
        <v>0</v>
      </c>
      <c r="D2018" s="553">
        <v>0</v>
      </c>
      <c r="E2018" s="551">
        <v>0</v>
      </c>
      <c r="F2018" s="551">
        <v>0</v>
      </c>
      <c r="G2018" s="551">
        <v>0</v>
      </c>
      <c r="H2018" s="551">
        <v>0</v>
      </c>
      <c r="I2018" s="551">
        <v>0</v>
      </c>
      <c r="J2018" s="551">
        <v>0</v>
      </c>
      <c r="K2018" s="527">
        <f t="shared" si="1151"/>
        <v>0</v>
      </c>
      <c r="L2018" s="528">
        <f t="shared" si="1152"/>
        <v>0</v>
      </c>
      <c r="M2018" s="528">
        <f t="shared" si="1153"/>
        <v>0</v>
      </c>
      <c r="N2018" s="528">
        <f t="shared" si="1154"/>
        <v>0</v>
      </c>
      <c r="O2018" s="528">
        <f t="shared" si="1155"/>
        <v>0</v>
      </c>
      <c r="P2018" s="529">
        <f t="shared" si="1156"/>
        <v>0</v>
      </c>
      <c r="Q2018" s="24">
        <f t="shared" si="1157"/>
        <v>0</v>
      </c>
      <c r="R2018" s="530">
        <f t="shared" si="1158"/>
        <v>0</v>
      </c>
    </row>
    <row r="2019" spans="1:18">
      <c r="A2019" s="524"/>
      <c r="B2019" s="531" t="s">
        <v>96</v>
      </c>
      <c r="C2019" s="533">
        <f t="shared" ref="C2019:J2019" si="1159">SUM(C2015:C2018)</f>
        <v>1591.09</v>
      </c>
      <c r="D2019" s="533">
        <f t="shared" si="1159"/>
        <v>91436</v>
      </c>
      <c r="E2019" s="533">
        <f t="shared" si="1159"/>
        <v>1609</v>
      </c>
      <c r="F2019" s="533">
        <f t="shared" si="1159"/>
        <v>0</v>
      </c>
      <c r="G2019" s="533">
        <f t="shared" si="1159"/>
        <v>0</v>
      </c>
      <c r="H2019" s="533">
        <f t="shared" si="1159"/>
        <v>48</v>
      </c>
      <c r="I2019" s="533">
        <f t="shared" si="1159"/>
        <v>17</v>
      </c>
      <c r="J2019" s="533">
        <f t="shared" si="1159"/>
        <v>2</v>
      </c>
      <c r="K2019" s="534">
        <f t="shared" si="1151"/>
        <v>0.0175970077431209</v>
      </c>
      <c r="L2019" s="535">
        <f t="shared" si="1152"/>
        <v>0.988868862647607</v>
      </c>
      <c r="M2019" s="535">
        <f t="shared" si="1153"/>
        <v>17.4011330329411</v>
      </c>
      <c r="N2019" s="535">
        <f t="shared" si="1154"/>
        <v>0</v>
      </c>
      <c r="O2019" s="535">
        <f t="shared" si="1155"/>
        <v>0</v>
      </c>
      <c r="P2019" s="536">
        <f t="shared" si="1156"/>
        <v>24.4783076923077</v>
      </c>
      <c r="Q2019" s="531">
        <f t="shared" si="1157"/>
        <v>65</v>
      </c>
      <c r="R2019" s="537">
        <f t="shared" si="1158"/>
        <v>0.0403977625854568</v>
      </c>
    </row>
    <row r="2020" spans="1:18">
      <c r="A2020" s="524">
        <v>45854</v>
      </c>
      <c r="B2020" s="540" t="s">
        <v>98</v>
      </c>
      <c r="C2020" s="551">
        <v>800</v>
      </c>
      <c r="D2020" s="553">
        <v>16340</v>
      </c>
      <c r="E2020" s="551">
        <v>610</v>
      </c>
      <c r="F2020" s="551">
        <v>0</v>
      </c>
      <c r="G2020" s="551">
        <v>0</v>
      </c>
      <c r="H2020" s="551">
        <v>17</v>
      </c>
      <c r="I2020" s="551">
        <v>6</v>
      </c>
      <c r="J2020" s="551">
        <v>2</v>
      </c>
      <c r="K2020" s="527">
        <f t="shared" ref="K2020:K2024" si="1160">IF(E2020=0,0,E2020/D2020)</f>
        <v>0.0373317013463892</v>
      </c>
      <c r="L2020" s="528">
        <f t="shared" ref="L2020:L2024" si="1161">IF(C2020=0,0,C2020/E2020)</f>
        <v>1.31147540983607</v>
      </c>
      <c r="M2020" s="528">
        <f t="shared" ref="M2020:M2024" si="1162">IF(D2020=0,0,C2020/D2020*1000)</f>
        <v>48.9596083231334</v>
      </c>
      <c r="N2020" s="528">
        <f t="shared" ref="N2020:N2024" si="1163">IF(G2020=0,0,G2020/C2020)</f>
        <v>0</v>
      </c>
      <c r="O2020" s="528">
        <f t="shared" ref="O2020:O2024" si="1164">IF(F2020=0,0,F2020/E2020)</f>
        <v>0</v>
      </c>
      <c r="P2020" s="529">
        <f t="shared" ref="P2020:P2024" si="1165">IF(H2020+I2020=0,0,C2020/(H2020+I2020))</f>
        <v>34.7826086956522</v>
      </c>
      <c r="Q2020" s="24">
        <f t="shared" ref="Q2020:Q2024" si="1166">H2020+I2020</f>
        <v>23</v>
      </c>
      <c r="R2020" s="530">
        <f t="shared" ref="R2020:R2024" si="1167">IF(Q2020=0,0,Q2020/E2020)</f>
        <v>0.0377049180327869</v>
      </c>
    </row>
    <row r="2021" spans="1:18">
      <c r="A2021" s="524"/>
      <c r="B2021" s="540" t="s">
        <v>99</v>
      </c>
      <c r="C2021" s="551">
        <v>393.31</v>
      </c>
      <c r="D2021" s="555">
        <v>3977</v>
      </c>
      <c r="E2021" s="551">
        <v>366</v>
      </c>
      <c r="F2021" s="551">
        <v>0</v>
      </c>
      <c r="G2021" s="551">
        <v>0</v>
      </c>
      <c r="H2021" s="555">
        <v>9</v>
      </c>
      <c r="I2021" s="555">
        <v>0</v>
      </c>
      <c r="J2021" s="555">
        <v>1</v>
      </c>
      <c r="K2021" s="527">
        <f t="shared" si="1160"/>
        <v>0.0920291677143576</v>
      </c>
      <c r="L2021" s="528">
        <f t="shared" si="1161"/>
        <v>1.0746174863388</v>
      </c>
      <c r="M2021" s="528">
        <f t="shared" si="1162"/>
        <v>98.8961528790546</v>
      </c>
      <c r="N2021" s="528">
        <f t="shared" si="1163"/>
        <v>0</v>
      </c>
      <c r="O2021" s="528">
        <f t="shared" si="1164"/>
        <v>0</v>
      </c>
      <c r="P2021" s="529">
        <f t="shared" si="1165"/>
        <v>43.7011111111111</v>
      </c>
      <c r="Q2021" s="24">
        <f t="shared" si="1166"/>
        <v>9</v>
      </c>
      <c r="R2021" s="530">
        <f t="shared" si="1167"/>
        <v>0.0245901639344262</v>
      </c>
    </row>
    <row r="2022" spans="1:18">
      <c r="A2022" s="524"/>
      <c r="B2022" s="540" t="s">
        <v>100</v>
      </c>
      <c r="C2022" s="552">
        <v>798.55</v>
      </c>
      <c r="D2022" s="553">
        <v>45501</v>
      </c>
      <c r="E2022" s="553">
        <v>703</v>
      </c>
      <c r="F2022" s="551">
        <v>1</v>
      </c>
      <c r="G2022" s="551">
        <v>4164</v>
      </c>
      <c r="H2022" s="551">
        <v>36</v>
      </c>
      <c r="I2022" s="551">
        <v>12</v>
      </c>
      <c r="J2022" s="551">
        <v>1</v>
      </c>
      <c r="K2022" s="527">
        <f t="shared" si="1160"/>
        <v>0.015450209885497</v>
      </c>
      <c r="L2022" s="528">
        <f t="shared" si="1161"/>
        <v>1.13591749644381</v>
      </c>
      <c r="M2022" s="528">
        <f t="shared" si="1162"/>
        <v>17.5501637326652</v>
      </c>
      <c r="N2022" s="528">
        <f t="shared" si="1163"/>
        <v>5.21445119278693</v>
      </c>
      <c r="O2022" s="528">
        <f t="shared" si="1164"/>
        <v>0.00142247510668563</v>
      </c>
      <c r="P2022" s="529">
        <f t="shared" si="1165"/>
        <v>16.6364583333333</v>
      </c>
      <c r="Q2022" s="24">
        <f t="shared" si="1166"/>
        <v>48</v>
      </c>
      <c r="R2022" s="530">
        <f t="shared" si="1167"/>
        <v>0.0682788051209104</v>
      </c>
    </row>
    <row r="2023" spans="1:18">
      <c r="A2023" s="524"/>
      <c r="B2023" s="540" t="s">
        <v>101</v>
      </c>
      <c r="C2023" s="552">
        <v>0</v>
      </c>
      <c r="D2023" s="553">
        <v>0</v>
      </c>
      <c r="E2023" s="551">
        <v>0</v>
      </c>
      <c r="F2023" s="551">
        <v>0</v>
      </c>
      <c r="G2023" s="551">
        <v>0</v>
      </c>
      <c r="H2023" s="551">
        <v>0</v>
      </c>
      <c r="I2023" s="551">
        <v>0</v>
      </c>
      <c r="J2023" s="551">
        <v>0</v>
      </c>
      <c r="K2023" s="527">
        <f t="shared" si="1160"/>
        <v>0</v>
      </c>
      <c r="L2023" s="528">
        <f t="shared" si="1161"/>
        <v>0</v>
      </c>
      <c r="M2023" s="528">
        <f t="shared" si="1162"/>
        <v>0</v>
      </c>
      <c r="N2023" s="528">
        <f t="shared" si="1163"/>
        <v>0</v>
      </c>
      <c r="O2023" s="528">
        <f t="shared" si="1164"/>
        <v>0</v>
      </c>
      <c r="P2023" s="529">
        <f t="shared" si="1165"/>
        <v>0</v>
      </c>
      <c r="Q2023" s="24">
        <f t="shared" si="1166"/>
        <v>0</v>
      </c>
      <c r="R2023" s="530">
        <f t="shared" si="1167"/>
        <v>0</v>
      </c>
    </row>
    <row r="2024" spans="1:18">
      <c r="A2024" s="524"/>
      <c r="B2024" s="531" t="s">
        <v>96</v>
      </c>
      <c r="C2024" s="533">
        <f t="shared" ref="C2024:J2024" si="1168">SUM(C2020:C2023)</f>
        <v>1991.86</v>
      </c>
      <c r="D2024" s="533">
        <f t="shared" si="1168"/>
        <v>65818</v>
      </c>
      <c r="E2024" s="533">
        <f t="shared" si="1168"/>
        <v>1679</v>
      </c>
      <c r="F2024" s="533">
        <f t="shared" si="1168"/>
        <v>1</v>
      </c>
      <c r="G2024" s="533">
        <f t="shared" si="1168"/>
        <v>4164</v>
      </c>
      <c r="H2024" s="533">
        <f t="shared" si="1168"/>
        <v>62</v>
      </c>
      <c r="I2024" s="533">
        <f t="shared" si="1168"/>
        <v>18</v>
      </c>
      <c r="J2024" s="533">
        <f t="shared" si="1168"/>
        <v>4</v>
      </c>
      <c r="K2024" s="534">
        <f t="shared" si="1160"/>
        <v>0.0255097389771795</v>
      </c>
      <c r="L2024" s="535">
        <f t="shared" si="1161"/>
        <v>1.18633710541989</v>
      </c>
      <c r="M2024" s="535">
        <f t="shared" si="1162"/>
        <v>30.2631498982041</v>
      </c>
      <c r="N2024" s="535">
        <f t="shared" si="1163"/>
        <v>2.09050836906208</v>
      </c>
      <c r="O2024" s="535">
        <f t="shared" si="1164"/>
        <v>0.000595592614651578</v>
      </c>
      <c r="P2024" s="536">
        <f t="shared" si="1165"/>
        <v>24.89825</v>
      </c>
      <c r="Q2024" s="531">
        <f t="shared" si="1166"/>
        <v>80</v>
      </c>
      <c r="R2024" s="537">
        <f t="shared" si="1167"/>
        <v>0.0476474091721263</v>
      </c>
    </row>
    <row r="2025" spans="1:18">
      <c r="A2025" s="524">
        <v>45855</v>
      </c>
      <c r="B2025" s="540" t="s">
        <v>98</v>
      </c>
      <c r="C2025" s="551">
        <v>799.93</v>
      </c>
      <c r="D2025" s="553">
        <v>16559</v>
      </c>
      <c r="E2025" s="551">
        <v>568</v>
      </c>
      <c r="F2025" s="551">
        <v>3</v>
      </c>
      <c r="G2025" s="551">
        <v>43955</v>
      </c>
      <c r="H2025" s="551">
        <v>21</v>
      </c>
      <c r="I2025" s="551">
        <v>4</v>
      </c>
      <c r="J2025" s="551">
        <v>2</v>
      </c>
      <c r="K2025" s="527">
        <f t="shared" ref="K2025:K2029" si="1169">IF(E2025=0,0,E2025/D2025)</f>
        <v>0.0343015882601606</v>
      </c>
      <c r="L2025" s="528">
        <f t="shared" ref="L2025:L2029" si="1170">IF(C2025=0,0,C2025/E2025)</f>
        <v>1.40832746478873</v>
      </c>
      <c r="M2025" s="528">
        <f t="shared" ref="M2025:M2029" si="1171">IF(D2025=0,0,C2025/D2025*1000)</f>
        <v>48.307868832659</v>
      </c>
      <c r="N2025" s="528">
        <f t="shared" ref="N2025:N2029" si="1172">IF(G2025=0,0,G2025/C2025)</f>
        <v>54.9485579988249</v>
      </c>
      <c r="O2025" s="528">
        <f t="shared" ref="O2025:O2029" si="1173">IF(F2025=0,0,F2025/E2025)</f>
        <v>0.00528169014084507</v>
      </c>
      <c r="P2025" s="529">
        <f t="shared" ref="P2025:P2029" si="1174">IF(H2025+I2025=0,0,C2025/(H2025+I2025))</f>
        <v>31.9972</v>
      </c>
      <c r="Q2025" s="24">
        <f t="shared" ref="Q2025:Q2029" si="1175">H2025+I2025</f>
        <v>25</v>
      </c>
      <c r="R2025" s="530">
        <f t="shared" ref="R2025:R2029" si="1176">IF(Q2025=0,0,Q2025/E2025)</f>
        <v>0.0440140845070423</v>
      </c>
    </row>
    <row r="2026" spans="1:18">
      <c r="A2026" s="524"/>
      <c r="B2026" s="540" t="s">
        <v>99</v>
      </c>
      <c r="C2026" s="551">
        <v>308.73</v>
      </c>
      <c r="D2026" s="555">
        <v>3388</v>
      </c>
      <c r="E2026" s="551">
        <v>257</v>
      </c>
      <c r="F2026" s="551">
        <v>2</v>
      </c>
      <c r="G2026" s="551">
        <v>17995</v>
      </c>
      <c r="H2026" s="555">
        <v>21</v>
      </c>
      <c r="I2026" s="555">
        <v>0</v>
      </c>
      <c r="J2026" s="555">
        <v>1</v>
      </c>
      <c r="K2026" s="527">
        <f t="shared" si="1169"/>
        <v>0.0758559622195986</v>
      </c>
      <c r="L2026" s="528">
        <f t="shared" si="1170"/>
        <v>1.20128404669261</v>
      </c>
      <c r="M2026" s="528">
        <f t="shared" si="1171"/>
        <v>91.1245572609209</v>
      </c>
      <c r="N2026" s="528">
        <f t="shared" si="1172"/>
        <v>58.287176497263</v>
      </c>
      <c r="O2026" s="528">
        <f t="shared" si="1173"/>
        <v>0.00778210116731518</v>
      </c>
      <c r="P2026" s="529">
        <f t="shared" si="1174"/>
        <v>14.7014285714286</v>
      </c>
      <c r="Q2026" s="24">
        <f t="shared" si="1175"/>
        <v>21</v>
      </c>
      <c r="R2026" s="530">
        <f t="shared" si="1176"/>
        <v>0.0817120622568093</v>
      </c>
    </row>
    <row r="2027" spans="1:18">
      <c r="A2027" s="524"/>
      <c r="B2027" s="540" t="s">
        <v>100</v>
      </c>
      <c r="C2027" s="552">
        <v>791.39</v>
      </c>
      <c r="D2027" s="553">
        <v>30838</v>
      </c>
      <c r="E2027" s="553">
        <v>657</v>
      </c>
      <c r="F2027" s="551">
        <v>0</v>
      </c>
      <c r="G2027" s="551">
        <v>0</v>
      </c>
      <c r="H2027" s="551">
        <v>41</v>
      </c>
      <c r="I2027" s="551">
        <v>9</v>
      </c>
      <c r="J2027" s="551">
        <v>3</v>
      </c>
      <c r="K2027" s="527">
        <f t="shared" si="1169"/>
        <v>0.0213048835851871</v>
      </c>
      <c r="L2027" s="528">
        <f t="shared" si="1170"/>
        <v>1.20455098934551</v>
      </c>
      <c r="M2027" s="528">
        <f t="shared" si="1171"/>
        <v>25.662818600428</v>
      </c>
      <c r="N2027" s="528">
        <f t="shared" si="1172"/>
        <v>0</v>
      </c>
      <c r="O2027" s="528">
        <f t="shared" si="1173"/>
        <v>0</v>
      </c>
      <c r="P2027" s="529">
        <f t="shared" si="1174"/>
        <v>15.8278</v>
      </c>
      <c r="Q2027" s="24">
        <f t="shared" si="1175"/>
        <v>50</v>
      </c>
      <c r="R2027" s="530">
        <f t="shared" si="1176"/>
        <v>0.076103500761035</v>
      </c>
    </row>
    <row r="2028" spans="1:18">
      <c r="A2028" s="524"/>
      <c r="B2028" s="540" t="s">
        <v>101</v>
      </c>
      <c r="C2028" s="552">
        <v>0</v>
      </c>
      <c r="D2028" s="553">
        <v>0</v>
      </c>
      <c r="E2028" s="551">
        <v>0</v>
      </c>
      <c r="F2028" s="551">
        <v>0</v>
      </c>
      <c r="G2028" s="551">
        <v>0</v>
      </c>
      <c r="H2028" s="551">
        <v>0</v>
      </c>
      <c r="I2028" s="551">
        <v>0</v>
      </c>
      <c r="J2028" s="551">
        <v>0</v>
      </c>
      <c r="K2028" s="527">
        <f t="shared" si="1169"/>
        <v>0</v>
      </c>
      <c r="L2028" s="528">
        <f t="shared" si="1170"/>
        <v>0</v>
      </c>
      <c r="M2028" s="528">
        <f t="shared" si="1171"/>
        <v>0</v>
      </c>
      <c r="N2028" s="528">
        <f t="shared" si="1172"/>
        <v>0</v>
      </c>
      <c r="O2028" s="528">
        <f t="shared" si="1173"/>
        <v>0</v>
      </c>
      <c r="P2028" s="529">
        <f t="shared" si="1174"/>
        <v>0</v>
      </c>
      <c r="Q2028" s="24">
        <f t="shared" si="1175"/>
        <v>0</v>
      </c>
      <c r="R2028" s="530">
        <f t="shared" si="1176"/>
        <v>0</v>
      </c>
    </row>
    <row r="2029" spans="1:18">
      <c r="A2029" s="524"/>
      <c r="B2029" s="531" t="s">
        <v>96</v>
      </c>
      <c r="C2029" s="533">
        <f t="shared" ref="C2029:J2029" si="1177">SUM(C2025:C2028)</f>
        <v>1900.05</v>
      </c>
      <c r="D2029" s="533">
        <f t="shared" si="1177"/>
        <v>50785</v>
      </c>
      <c r="E2029" s="533">
        <f t="shared" si="1177"/>
        <v>1482</v>
      </c>
      <c r="F2029" s="533">
        <f t="shared" si="1177"/>
        <v>5</v>
      </c>
      <c r="G2029" s="533">
        <f t="shared" si="1177"/>
        <v>61950</v>
      </c>
      <c r="H2029" s="533">
        <f t="shared" si="1177"/>
        <v>83</v>
      </c>
      <c r="I2029" s="533">
        <f t="shared" si="1177"/>
        <v>13</v>
      </c>
      <c r="J2029" s="533">
        <f t="shared" si="1177"/>
        <v>6</v>
      </c>
      <c r="K2029" s="534">
        <f t="shared" si="1169"/>
        <v>0.0291818450329822</v>
      </c>
      <c r="L2029" s="535">
        <f t="shared" si="1170"/>
        <v>1.28208502024291</v>
      </c>
      <c r="M2029" s="535">
        <f t="shared" si="1171"/>
        <v>37.4136063798366</v>
      </c>
      <c r="N2029" s="535">
        <f t="shared" si="1172"/>
        <v>32.604405147233</v>
      </c>
      <c r="O2029" s="535">
        <f t="shared" si="1173"/>
        <v>0.00337381916329285</v>
      </c>
      <c r="P2029" s="536">
        <f t="shared" si="1174"/>
        <v>19.7921875</v>
      </c>
      <c r="Q2029" s="531">
        <f t="shared" si="1175"/>
        <v>96</v>
      </c>
      <c r="R2029" s="537">
        <f t="shared" si="1176"/>
        <v>0.0647773279352227</v>
      </c>
    </row>
    <row r="2030" spans="1:18">
      <c r="A2030" s="524">
        <v>45856</v>
      </c>
      <c r="B2030" s="540" t="s">
        <v>98</v>
      </c>
      <c r="C2030" s="551">
        <v>797.74</v>
      </c>
      <c r="D2030" s="553">
        <v>19803</v>
      </c>
      <c r="E2030" s="551">
        <v>575</v>
      </c>
      <c r="F2030" s="551">
        <v>0</v>
      </c>
      <c r="G2030" s="551">
        <v>0</v>
      </c>
      <c r="H2030" s="551">
        <v>18</v>
      </c>
      <c r="I2030" s="551">
        <v>4</v>
      </c>
      <c r="J2030" s="551">
        <v>2</v>
      </c>
      <c r="K2030" s="527">
        <f t="shared" ref="K2030:K2034" si="1178">IF(E2030=0,0,E2030/D2030)</f>
        <v>0.0290360046457607</v>
      </c>
      <c r="L2030" s="528">
        <f t="shared" ref="L2030:L2034" si="1179">IF(C2030=0,0,C2030/E2030)</f>
        <v>1.38737391304348</v>
      </c>
      <c r="M2030" s="528">
        <f t="shared" ref="M2030:M2034" si="1180">IF(D2030=0,0,C2030/D2030*1000)</f>
        <v>40.2837953845377</v>
      </c>
      <c r="N2030" s="528">
        <f t="shared" ref="N2030:N2034" si="1181">IF(G2030=0,0,G2030/C2030)</f>
        <v>0</v>
      </c>
      <c r="O2030" s="528">
        <f t="shared" ref="O2030:O2034" si="1182">IF(F2030=0,0,F2030/E2030)</f>
        <v>0</v>
      </c>
      <c r="P2030" s="529">
        <f t="shared" ref="P2030:P2034" si="1183">IF(H2030+I2030=0,0,C2030/(H2030+I2030))</f>
        <v>36.2609090909091</v>
      </c>
      <c r="Q2030" s="24">
        <f t="shared" ref="Q2030:Q2034" si="1184">H2030+I2030</f>
        <v>22</v>
      </c>
      <c r="R2030" s="530">
        <f t="shared" ref="R2030:R2034" si="1185">IF(Q2030=0,0,Q2030/E2030)</f>
        <v>0.0382608695652174</v>
      </c>
    </row>
    <row r="2031" spans="1:18">
      <c r="A2031" s="524"/>
      <c r="B2031" s="540" t="s">
        <v>99</v>
      </c>
      <c r="C2031" s="551">
        <v>697.63</v>
      </c>
      <c r="D2031" s="555">
        <v>5768</v>
      </c>
      <c r="E2031" s="551">
        <v>342</v>
      </c>
      <c r="F2031" s="551">
        <v>1</v>
      </c>
      <c r="G2031" s="551">
        <v>19714</v>
      </c>
      <c r="H2031" s="555">
        <v>7</v>
      </c>
      <c r="I2031" s="555">
        <v>1</v>
      </c>
      <c r="J2031" s="555">
        <v>1</v>
      </c>
      <c r="K2031" s="527">
        <f t="shared" si="1178"/>
        <v>0.0592926490984743</v>
      </c>
      <c r="L2031" s="528">
        <f t="shared" si="1179"/>
        <v>2.03985380116959</v>
      </c>
      <c r="M2031" s="528">
        <f t="shared" si="1180"/>
        <v>120.948335644938</v>
      </c>
      <c r="N2031" s="528">
        <f t="shared" si="1181"/>
        <v>28.2585324598999</v>
      </c>
      <c r="O2031" s="528">
        <f t="shared" si="1182"/>
        <v>0.00292397660818713</v>
      </c>
      <c r="P2031" s="529">
        <f t="shared" si="1183"/>
        <v>87.20375</v>
      </c>
      <c r="Q2031" s="24">
        <f t="shared" si="1184"/>
        <v>8</v>
      </c>
      <c r="R2031" s="530">
        <f t="shared" si="1185"/>
        <v>0.0233918128654971</v>
      </c>
    </row>
    <row r="2032" spans="1:18">
      <c r="A2032" s="524"/>
      <c r="B2032" s="540" t="s">
        <v>100</v>
      </c>
      <c r="C2032" s="552">
        <v>797.7</v>
      </c>
      <c r="D2032" s="553">
        <v>33402</v>
      </c>
      <c r="E2032" s="553">
        <v>661</v>
      </c>
      <c r="F2032" s="551">
        <v>0</v>
      </c>
      <c r="G2032" s="551">
        <v>0</v>
      </c>
      <c r="H2032" s="551">
        <v>26</v>
      </c>
      <c r="I2032" s="551">
        <v>9</v>
      </c>
      <c r="J2032" s="551">
        <v>3</v>
      </c>
      <c r="K2032" s="527">
        <f t="shared" si="1178"/>
        <v>0.0197892341775942</v>
      </c>
      <c r="L2032" s="528">
        <f t="shared" si="1179"/>
        <v>1.20680786686838</v>
      </c>
      <c r="M2032" s="528">
        <f t="shared" si="1180"/>
        <v>23.8818034848213</v>
      </c>
      <c r="N2032" s="528">
        <f t="shared" si="1181"/>
        <v>0</v>
      </c>
      <c r="O2032" s="528">
        <f t="shared" si="1182"/>
        <v>0</v>
      </c>
      <c r="P2032" s="529">
        <f t="shared" si="1183"/>
        <v>22.7914285714286</v>
      </c>
      <c r="Q2032" s="24">
        <f t="shared" si="1184"/>
        <v>35</v>
      </c>
      <c r="R2032" s="530">
        <f t="shared" si="1185"/>
        <v>0.0529500756429652</v>
      </c>
    </row>
    <row r="2033" spans="1:18">
      <c r="A2033" s="524"/>
      <c r="B2033" s="540" t="s">
        <v>101</v>
      </c>
      <c r="C2033" s="552">
        <v>0</v>
      </c>
      <c r="D2033" s="553">
        <v>0</v>
      </c>
      <c r="E2033" s="551">
        <v>0</v>
      </c>
      <c r="F2033" s="551">
        <v>0</v>
      </c>
      <c r="G2033" s="551">
        <v>0</v>
      </c>
      <c r="H2033" s="551">
        <v>0</v>
      </c>
      <c r="I2033" s="551">
        <v>0</v>
      </c>
      <c r="J2033" s="551">
        <v>0</v>
      </c>
      <c r="K2033" s="527">
        <f t="shared" si="1178"/>
        <v>0</v>
      </c>
      <c r="L2033" s="528">
        <f t="shared" si="1179"/>
        <v>0</v>
      </c>
      <c r="M2033" s="528">
        <f t="shared" si="1180"/>
        <v>0</v>
      </c>
      <c r="N2033" s="528">
        <f t="shared" si="1181"/>
        <v>0</v>
      </c>
      <c r="O2033" s="528">
        <f t="shared" si="1182"/>
        <v>0</v>
      </c>
      <c r="P2033" s="529">
        <f t="shared" si="1183"/>
        <v>0</v>
      </c>
      <c r="Q2033" s="24">
        <f t="shared" si="1184"/>
        <v>0</v>
      </c>
      <c r="R2033" s="530">
        <f t="shared" si="1185"/>
        <v>0</v>
      </c>
    </row>
    <row r="2034" spans="1:18">
      <c r="A2034" s="524"/>
      <c r="B2034" s="531" t="s">
        <v>96</v>
      </c>
      <c r="C2034" s="533">
        <f t="shared" ref="C2034:J2034" si="1186">SUM(C2030:C2033)</f>
        <v>2293.07</v>
      </c>
      <c r="D2034" s="533">
        <f t="shared" si="1186"/>
        <v>58973</v>
      </c>
      <c r="E2034" s="533">
        <f t="shared" si="1186"/>
        <v>1578</v>
      </c>
      <c r="F2034" s="533">
        <f t="shared" si="1186"/>
        <v>1</v>
      </c>
      <c r="G2034" s="533">
        <f t="shared" si="1186"/>
        <v>19714</v>
      </c>
      <c r="H2034" s="533">
        <f t="shared" si="1186"/>
        <v>51</v>
      </c>
      <c r="I2034" s="533">
        <f t="shared" si="1186"/>
        <v>14</v>
      </c>
      <c r="J2034" s="533">
        <f t="shared" si="1186"/>
        <v>6</v>
      </c>
      <c r="K2034" s="534">
        <f t="shared" si="1178"/>
        <v>0.0267580079019212</v>
      </c>
      <c r="L2034" s="535">
        <f t="shared" si="1179"/>
        <v>1.45314955640051</v>
      </c>
      <c r="M2034" s="535">
        <f t="shared" si="1180"/>
        <v>38.8833873128381</v>
      </c>
      <c r="N2034" s="535">
        <f t="shared" si="1181"/>
        <v>8.59720810965213</v>
      </c>
      <c r="O2034" s="535">
        <f t="shared" si="1182"/>
        <v>0.000633713561470215</v>
      </c>
      <c r="P2034" s="536">
        <f t="shared" si="1183"/>
        <v>35.278</v>
      </c>
      <c r="Q2034" s="531">
        <f t="shared" si="1184"/>
        <v>65</v>
      </c>
      <c r="R2034" s="537">
        <f t="shared" si="1185"/>
        <v>0.041191381495564</v>
      </c>
    </row>
    <row r="2035" spans="1:18">
      <c r="A2035" s="524">
        <v>45857</v>
      </c>
      <c r="B2035" s="540" t="s">
        <v>98</v>
      </c>
      <c r="C2035" s="551">
        <v>798.15</v>
      </c>
      <c r="D2035" s="553">
        <v>18064</v>
      </c>
      <c r="E2035" s="551">
        <v>525</v>
      </c>
      <c r="F2035" s="551">
        <v>0</v>
      </c>
      <c r="G2035" s="551">
        <v>0</v>
      </c>
      <c r="H2035" s="551">
        <v>18</v>
      </c>
      <c r="I2035" s="551">
        <v>5</v>
      </c>
      <c r="J2035" s="551">
        <v>3</v>
      </c>
      <c r="K2035" s="527">
        <f t="shared" ref="K2035:K2039" si="1187">IF(E2035=0,0,E2035/D2035)</f>
        <v>0.029063330380868</v>
      </c>
      <c r="L2035" s="528">
        <f t="shared" ref="L2035:L2039" si="1188">IF(C2035=0,0,C2035/E2035)</f>
        <v>1.52028571428571</v>
      </c>
      <c r="M2035" s="528">
        <f t="shared" ref="M2035:M2039" si="1189">IF(D2035=0,0,C2035/D2035*1000)</f>
        <v>44.1845659875996</v>
      </c>
      <c r="N2035" s="528">
        <f t="shared" ref="N2035:N2039" si="1190">IF(G2035=0,0,G2035/C2035)</f>
        <v>0</v>
      </c>
      <c r="O2035" s="528">
        <f t="shared" ref="O2035:O2039" si="1191">IF(F2035=0,0,F2035/E2035)</f>
        <v>0</v>
      </c>
      <c r="P2035" s="529">
        <f t="shared" ref="P2035:P2039" si="1192">IF(H2035+I2035=0,0,C2035/(H2035+I2035))</f>
        <v>34.7021739130435</v>
      </c>
      <c r="Q2035" s="24">
        <f t="shared" ref="Q2035:Q2039" si="1193">H2035+I2035</f>
        <v>23</v>
      </c>
      <c r="R2035" s="530">
        <f t="shared" ref="R2035:R2039" si="1194">IF(Q2035=0,0,Q2035/E2035)</f>
        <v>0.0438095238095238</v>
      </c>
    </row>
    <row r="2036" spans="1:18">
      <c r="A2036" s="524"/>
      <c r="B2036" s="540" t="s">
        <v>99</v>
      </c>
      <c r="C2036" s="551">
        <v>0</v>
      </c>
      <c r="D2036" s="555">
        <v>2</v>
      </c>
      <c r="E2036" s="551">
        <v>0</v>
      </c>
      <c r="F2036" s="551">
        <v>0</v>
      </c>
      <c r="G2036" s="551">
        <v>0</v>
      </c>
      <c r="H2036" s="555">
        <v>0</v>
      </c>
      <c r="I2036" s="555">
        <v>0</v>
      </c>
      <c r="J2036" s="555">
        <v>0</v>
      </c>
      <c r="K2036" s="527">
        <f t="shared" si="1187"/>
        <v>0</v>
      </c>
      <c r="L2036" s="528">
        <f t="shared" si="1188"/>
        <v>0</v>
      </c>
      <c r="M2036" s="528">
        <f t="shared" si="1189"/>
        <v>0</v>
      </c>
      <c r="N2036" s="528">
        <f t="shared" si="1190"/>
        <v>0</v>
      </c>
      <c r="O2036" s="528">
        <f t="shared" si="1191"/>
        <v>0</v>
      </c>
      <c r="P2036" s="529">
        <f t="shared" si="1192"/>
        <v>0</v>
      </c>
      <c r="Q2036" s="24">
        <f t="shared" si="1193"/>
        <v>0</v>
      </c>
      <c r="R2036" s="530">
        <f t="shared" si="1194"/>
        <v>0</v>
      </c>
    </row>
    <row r="2037" spans="1:18">
      <c r="A2037" s="524"/>
      <c r="B2037" s="540" t="s">
        <v>100</v>
      </c>
      <c r="C2037" s="552">
        <v>799.39</v>
      </c>
      <c r="D2037" s="553">
        <v>46464</v>
      </c>
      <c r="E2037" s="553">
        <v>745</v>
      </c>
      <c r="F2037" s="551">
        <v>4</v>
      </c>
      <c r="G2037" s="551">
        <v>61512</v>
      </c>
      <c r="H2037" s="551">
        <v>36</v>
      </c>
      <c r="I2037" s="551">
        <v>10</v>
      </c>
      <c r="J2037" s="551">
        <v>4</v>
      </c>
      <c r="K2037" s="527">
        <f t="shared" si="1187"/>
        <v>0.0160339187327824</v>
      </c>
      <c r="L2037" s="528">
        <f t="shared" si="1188"/>
        <v>1.0730067114094</v>
      </c>
      <c r="M2037" s="528">
        <f t="shared" si="1189"/>
        <v>17.2045024104683</v>
      </c>
      <c r="N2037" s="528">
        <f t="shared" si="1190"/>
        <v>76.9486733634396</v>
      </c>
      <c r="O2037" s="528">
        <f t="shared" si="1191"/>
        <v>0.00536912751677852</v>
      </c>
      <c r="P2037" s="529">
        <f t="shared" si="1192"/>
        <v>17.3780434782609</v>
      </c>
      <c r="Q2037" s="24">
        <f t="shared" si="1193"/>
        <v>46</v>
      </c>
      <c r="R2037" s="530">
        <f t="shared" si="1194"/>
        <v>0.061744966442953</v>
      </c>
    </row>
    <row r="2038" spans="1:18">
      <c r="A2038" s="524"/>
      <c r="B2038" s="540" t="s">
        <v>101</v>
      </c>
      <c r="C2038" s="552">
        <v>0</v>
      </c>
      <c r="D2038" s="553">
        <v>0</v>
      </c>
      <c r="E2038" s="551">
        <v>0</v>
      </c>
      <c r="F2038" s="551">
        <v>0</v>
      </c>
      <c r="G2038" s="551">
        <v>0</v>
      </c>
      <c r="H2038" s="551">
        <v>0</v>
      </c>
      <c r="I2038" s="551">
        <v>0</v>
      </c>
      <c r="J2038" s="551">
        <v>0</v>
      </c>
      <c r="K2038" s="527">
        <f t="shared" si="1187"/>
        <v>0</v>
      </c>
      <c r="L2038" s="528">
        <f t="shared" si="1188"/>
        <v>0</v>
      </c>
      <c r="M2038" s="528">
        <f t="shared" si="1189"/>
        <v>0</v>
      </c>
      <c r="N2038" s="528">
        <f t="shared" si="1190"/>
        <v>0</v>
      </c>
      <c r="O2038" s="528">
        <f t="shared" si="1191"/>
        <v>0</v>
      </c>
      <c r="P2038" s="529">
        <f t="shared" si="1192"/>
        <v>0</v>
      </c>
      <c r="Q2038" s="24">
        <f t="shared" si="1193"/>
        <v>0</v>
      </c>
      <c r="R2038" s="530">
        <f t="shared" si="1194"/>
        <v>0</v>
      </c>
    </row>
    <row r="2039" spans="1:18">
      <c r="A2039" s="524"/>
      <c r="B2039" s="531" t="s">
        <v>96</v>
      </c>
      <c r="C2039" s="533">
        <f t="shared" ref="C2039:J2039" si="1195">SUM(C2035:C2038)</f>
        <v>1597.54</v>
      </c>
      <c r="D2039" s="533">
        <f t="shared" si="1195"/>
        <v>64530</v>
      </c>
      <c r="E2039" s="533">
        <f t="shared" si="1195"/>
        <v>1270</v>
      </c>
      <c r="F2039" s="533">
        <f t="shared" si="1195"/>
        <v>4</v>
      </c>
      <c r="G2039" s="533">
        <f t="shared" si="1195"/>
        <v>61512</v>
      </c>
      <c r="H2039" s="533">
        <f t="shared" si="1195"/>
        <v>54</v>
      </c>
      <c r="I2039" s="533">
        <f t="shared" si="1195"/>
        <v>15</v>
      </c>
      <c r="J2039" s="533">
        <f t="shared" si="1195"/>
        <v>7</v>
      </c>
      <c r="K2039" s="534">
        <f t="shared" si="1187"/>
        <v>0.0196807686347435</v>
      </c>
      <c r="L2039" s="535">
        <f t="shared" si="1188"/>
        <v>1.25790551181102</v>
      </c>
      <c r="M2039" s="535">
        <f t="shared" si="1189"/>
        <v>24.7565473423214</v>
      </c>
      <c r="N2039" s="535">
        <f t="shared" si="1190"/>
        <v>38.5042002078195</v>
      </c>
      <c r="O2039" s="535">
        <f t="shared" si="1191"/>
        <v>0.0031496062992126</v>
      </c>
      <c r="P2039" s="536">
        <f t="shared" si="1192"/>
        <v>23.1527536231884</v>
      </c>
      <c r="Q2039" s="531">
        <f t="shared" si="1193"/>
        <v>69</v>
      </c>
      <c r="R2039" s="537">
        <f t="shared" si="1194"/>
        <v>0.0543307086614173</v>
      </c>
    </row>
    <row r="2040" spans="1:18">
      <c r="A2040" s="524">
        <v>45858</v>
      </c>
      <c r="B2040" s="540" t="s">
        <v>98</v>
      </c>
      <c r="C2040" s="551">
        <v>800</v>
      </c>
      <c r="D2040" s="553">
        <v>15524</v>
      </c>
      <c r="E2040" s="551">
        <v>573</v>
      </c>
      <c r="F2040" s="551">
        <v>0</v>
      </c>
      <c r="G2040" s="551">
        <v>0</v>
      </c>
      <c r="H2040" s="551">
        <v>22</v>
      </c>
      <c r="I2040" s="551">
        <v>3</v>
      </c>
      <c r="J2040" s="551">
        <v>2</v>
      </c>
      <c r="K2040" s="527">
        <f t="shared" ref="K2040:K2044" si="1196">IF(E2040=0,0,E2040/D2040)</f>
        <v>0.0369105900541098</v>
      </c>
      <c r="L2040" s="528">
        <f t="shared" ref="L2040:L2044" si="1197">IF(C2040=0,0,C2040/E2040)</f>
        <v>1.39616055846422</v>
      </c>
      <c r="M2040" s="528">
        <f t="shared" ref="M2040:M2044" si="1198">IF(D2040=0,0,C2040/D2040*1000)</f>
        <v>51.5331100231899</v>
      </c>
      <c r="N2040" s="528">
        <f t="shared" ref="N2040:N2044" si="1199">IF(G2040=0,0,G2040/C2040)</f>
        <v>0</v>
      </c>
      <c r="O2040" s="528">
        <f t="shared" ref="O2040:O2044" si="1200">IF(F2040=0,0,F2040/E2040)</f>
        <v>0</v>
      </c>
      <c r="P2040" s="529">
        <f t="shared" ref="P2040:P2044" si="1201">IF(H2040+I2040=0,0,C2040/(H2040+I2040))</f>
        <v>32</v>
      </c>
      <c r="Q2040" s="24">
        <f t="shared" ref="Q2040:Q2044" si="1202">H2040+I2040</f>
        <v>25</v>
      </c>
      <c r="R2040" s="530">
        <f t="shared" ref="R2040:R2044" si="1203">IF(Q2040=0,0,Q2040/E2040)</f>
        <v>0.043630017452007</v>
      </c>
    </row>
    <row r="2041" spans="1:18">
      <c r="A2041" s="524"/>
      <c r="B2041" s="540" t="s">
        <v>99</v>
      </c>
      <c r="C2041" s="551">
        <v>0</v>
      </c>
      <c r="D2041" s="555">
        <v>0</v>
      </c>
      <c r="E2041" s="551">
        <v>0</v>
      </c>
      <c r="F2041" s="551">
        <v>0</v>
      </c>
      <c r="G2041" s="551">
        <v>0</v>
      </c>
      <c r="H2041" s="555">
        <v>0</v>
      </c>
      <c r="I2041" s="555">
        <v>0</v>
      </c>
      <c r="J2041" s="555">
        <v>0</v>
      </c>
      <c r="K2041" s="527">
        <f t="shared" si="1196"/>
        <v>0</v>
      </c>
      <c r="L2041" s="528">
        <f t="shared" si="1197"/>
        <v>0</v>
      </c>
      <c r="M2041" s="528">
        <f t="shared" si="1198"/>
        <v>0</v>
      </c>
      <c r="N2041" s="528">
        <f t="shared" si="1199"/>
        <v>0</v>
      </c>
      <c r="O2041" s="528">
        <f t="shared" si="1200"/>
        <v>0</v>
      </c>
      <c r="P2041" s="529">
        <f t="shared" si="1201"/>
        <v>0</v>
      </c>
      <c r="Q2041" s="24">
        <f t="shared" si="1202"/>
        <v>0</v>
      </c>
      <c r="R2041" s="530">
        <f t="shared" si="1203"/>
        <v>0</v>
      </c>
    </row>
    <row r="2042" spans="1:18">
      <c r="A2042" s="524"/>
      <c r="B2042" s="540" t="s">
        <v>100</v>
      </c>
      <c r="C2042" s="552">
        <v>798.35</v>
      </c>
      <c r="D2042" s="553">
        <v>55065</v>
      </c>
      <c r="E2042" s="553">
        <v>799</v>
      </c>
      <c r="F2042" s="551">
        <v>0</v>
      </c>
      <c r="G2042" s="551">
        <v>0</v>
      </c>
      <c r="H2042" s="551">
        <v>30</v>
      </c>
      <c r="I2042" s="551">
        <v>7</v>
      </c>
      <c r="J2042" s="551">
        <v>3</v>
      </c>
      <c r="K2042" s="527">
        <f t="shared" si="1196"/>
        <v>0.0145101243984382</v>
      </c>
      <c r="L2042" s="528">
        <f t="shared" si="1197"/>
        <v>0.99918648310388</v>
      </c>
      <c r="M2042" s="528">
        <f t="shared" si="1198"/>
        <v>14.4983201670753</v>
      </c>
      <c r="N2042" s="528">
        <f t="shared" si="1199"/>
        <v>0</v>
      </c>
      <c r="O2042" s="528">
        <f t="shared" si="1200"/>
        <v>0</v>
      </c>
      <c r="P2042" s="529">
        <f t="shared" si="1201"/>
        <v>21.577027027027</v>
      </c>
      <c r="Q2042" s="24">
        <f t="shared" si="1202"/>
        <v>37</v>
      </c>
      <c r="R2042" s="530">
        <f t="shared" si="1203"/>
        <v>0.0463078848560701</v>
      </c>
    </row>
    <row r="2043" spans="1:18">
      <c r="A2043" s="524"/>
      <c r="B2043" s="540" t="s">
        <v>101</v>
      </c>
      <c r="C2043" s="552">
        <v>0</v>
      </c>
      <c r="D2043" s="553">
        <v>0</v>
      </c>
      <c r="E2043" s="551">
        <v>0</v>
      </c>
      <c r="F2043" s="551">
        <v>0</v>
      </c>
      <c r="G2043" s="551">
        <v>0</v>
      </c>
      <c r="H2043" s="551">
        <v>0</v>
      </c>
      <c r="I2043" s="551">
        <v>0</v>
      </c>
      <c r="J2043" s="551">
        <v>0</v>
      </c>
      <c r="K2043" s="527">
        <f t="shared" si="1196"/>
        <v>0</v>
      </c>
      <c r="L2043" s="528">
        <f t="shared" si="1197"/>
        <v>0</v>
      </c>
      <c r="M2043" s="528">
        <f t="shared" si="1198"/>
        <v>0</v>
      </c>
      <c r="N2043" s="528">
        <f t="shared" si="1199"/>
        <v>0</v>
      </c>
      <c r="O2043" s="528">
        <f t="shared" si="1200"/>
        <v>0</v>
      </c>
      <c r="P2043" s="529">
        <f t="shared" si="1201"/>
        <v>0</v>
      </c>
      <c r="Q2043" s="24">
        <f t="shared" si="1202"/>
        <v>0</v>
      </c>
      <c r="R2043" s="530">
        <f t="shared" si="1203"/>
        <v>0</v>
      </c>
    </row>
    <row r="2044" spans="1:18">
      <c r="A2044" s="524"/>
      <c r="B2044" s="531" t="s">
        <v>96</v>
      </c>
      <c r="C2044" s="533">
        <f t="shared" ref="C2044:J2044" si="1204">SUM(C2040:C2043)</f>
        <v>1598.35</v>
      </c>
      <c r="D2044" s="533">
        <f t="shared" si="1204"/>
        <v>70589</v>
      </c>
      <c r="E2044" s="533">
        <f t="shared" si="1204"/>
        <v>1372</v>
      </c>
      <c r="F2044" s="533">
        <f t="shared" si="1204"/>
        <v>0</v>
      </c>
      <c r="G2044" s="533">
        <f t="shared" si="1204"/>
        <v>0</v>
      </c>
      <c r="H2044" s="533">
        <f t="shared" si="1204"/>
        <v>52</v>
      </c>
      <c r="I2044" s="533">
        <f t="shared" si="1204"/>
        <v>10</v>
      </c>
      <c r="J2044" s="533">
        <f t="shared" si="1204"/>
        <v>5</v>
      </c>
      <c r="K2044" s="534">
        <f t="shared" si="1196"/>
        <v>0.0194364561050589</v>
      </c>
      <c r="L2044" s="535">
        <f t="shared" si="1197"/>
        <v>1.16497813411079</v>
      </c>
      <c r="M2044" s="535">
        <f t="shared" si="1198"/>
        <v>22.6430463669977</v>
      </c>
      <c r="N2044" s="535">
        <f t="shared" si="1199"/>
        <v>0</v>
      </c>
      <c r="O2044" s="535">
        <f t="shared" si="1200"/>
        <v>0</v>
      </c>
      <c r="P2044" s="536">
        <f t="shared" si="1201"/>
        <v>25.7798387096774</v>
      </c>
      <c r="Q2044" s="531">
        <f t="shared" si="1202"/>
        <v>62</v>
      </c>
      <c r="R2044" s="537">
        <f t="shared" si="1203"/>
        <v>0.0451895043731778</v>
      </c>
    </row>
    <row r="2045" spans="1:18">
      <c r="A2045" s="524">
        <v>45859</v>
      </c>
      <c r="B2045" s="540" t="s">
        <v>98</v>
      </c>
      <c r="C2045" s="551">
        <v>800</v>
      </c>
      <c r="D2045" s="553">
        <v>17208</v>
      </c>
      <c r="E2045" s="551">
        <v>602</v>
      </c>
      <c r="F2045" s="551">
        <v>1</v>
      </c>
      <c r="G2045" s="551">
        <v>22294</v>
      </c>
      <c r="H2045" s="551">
        <v>20</v>
      </c>
      <c r="I2045" s="551">
        <v>4</v>
      </c>
      <c r="J2045" s="551">
        <v>2</v>
      </c>
      <c r="K2045" s="527">
        <f t="shared" ref="K2045:K2049" si="1205">IF(E2045=0,0,E2045/D2045)</f>
        <v>0.0349837284983728</v>
      </c>
      <c r="L2045" s="528">
        <f t="shared" ref="L2045:L2049" si="1206">IF(C2045=0,0,C2045/E2045)</f>
        <v>1.32890365448505</v>
      </c>
      <c r="M2045" s="528">
        <f t="shared" ref="M2045:M2049" si="1207">IF(D2045=0,0,C2045/D2045*1000)</f>
        <v>46.4900046490005</v>
      </c>
      <c r="N2045" s="528">
        <f t="shared" ref="N2045:N2049" si="1208">IF(G2045=0,0,G2045/C2045)</f>
        <v>27.8675</v>
      </c>
      <c r="O2045" s="528">
        <f t="shared" ref="O2045:O2049" si="1209">IF(F2045=0,0,F2045/E2045)</f>
        <v>0.00166112956810631</v>
      </c>
      <c r="P2045" s="529">
        <f t="shared" ref="P2045:P2049" si="1210">IF(H2045+I2045=0,0,C2045/(H2045+I2045))</f>
        <v>33.3333333333333</v>
      </c>
      <c r="Q2045" s="24">
        <f t="shared" ref="Q2045:Q2049" si="1211">H2045+I2045</f>
        <v>24</v>
      </c>
      <c r="R2045" s="530">
        <f t="shared" ref="R2045:R2049" si="1212">IF(Q2045=0,0,Q2045/E2045)</f>
        <v>0.0398671096345515</v>
      </c>
    </row>
    <row r="2046" spans="1:18">
      <c r="A2046" s="524"/>
      <c r="B2046" s="540" t="s">
        <v>99</v>
      </c>
      <c r="C2046" s="551">
        <v>676.88</v>
      </c>
      <c r="D2046" s="555">
        <v>5615</v>
      </c>
      <c r="E2046" s="551">
        <v>504</v>
      </c>
      <c r="F2046" s="551">
        <v>0</v>
      </c>
      <c r="G2046" s="551">
        <v>0</v>
      </c>
      <c r="H2046" s="555">
        <v>12</v>
      </c>
      <c r="I2046" s="555">
        <v>0</v>
      </c>
      <c r="J2046" s="555">
        <v>1</v>
      </c>
      <c r="K2046" s="527">
        <f t="shared" si="1205"/>
        <v>0.0897595725734639</v>
      </c>
      <c r="L2046" s="528">
        <f t="shared" si="1206"/>
        <v>1.34301587301587</v>
      </c>
      <c r="M2046" s="528">
        <f t="shared" si="1207"/>
        <v>120.548530721282</v>
      </c>
      <c r="N2046" s="528">
        <f t="shared" si="1208"/>
        <v>0</v>
      </c>
      <c r="O2046" s="528">
        <f t="shared" si="1209"/>
        <v>0</v>
      </c>
      <c r="P2046" s="529">
        <f t="shared" si="1210"/>
        <v>56.4066666666667</v>
      </c>
      <c r="Q2046" s="24">
        <f t="shared" si="1211"/>
        <v>12</v>
      </c>
      <c r="R2046" s="530">
        <f t="shared" si="1212"/>
        <v>0.0238095238095238</v>
      </c>
    </row>
    <row r="2047" spans="1:18">
      <c r="A2047" s="524"/>
      <c r="B2047" s="540" t="s">
        <v>100</v>
      </c>
      <c r="C2047" s="552">
        <v>795.34</v>
      </c>
      <c r="D2047" s="553">
        <v>50404</v>
      </c>
      <c r="E2047" s="553">
        <v>897</v>
      </c>
      <c r="F2047" s="551">
        <v>0</v>
      </c>
      <c r="G2047" s="551">
        <v>0</v>
      </c>
      <c r="H2047" s="551">
        <v>40</v>
      </c>
      <c r="I2047" s="551">
        <v>7</v>
      </c>
      <c r="J2047" s="551">
        <v>3</v>
      </c>
      <c r="K2047" s="527">
        <f t="shared" si="1205"/>
        <v>0.0177962066502659</v>
      </c>
      <c r="L2047" s="528">
        <f t="shared" si="1206"/>
        <v>0.886666666666667</v>
      </c>
      <c r="M2047" s="528">
        <f t="shared" si="1207"/>
        <v>15.7793032299024</v>
      </c>
      <c r="N2047" s="528">
        <f t="shared" si="1208"/>
        <v>0</v>
      </c>
      <c r="O2047" s="528">
        <f t="shared" si="1209"/>
        <v>0</v>
      </c>
      <c r="P2047" s="529">
        <f t="shared" si="1210"/>
        <v>16.9221276595745</v>
      </c>
      <c r="Q2047" s="24">
        <f t="shared" si="1211"/>
        <v>47</v>
      </c>
      <c r="R2047" s="530">
        <f t="shared" si="1212"/>
        <v>0.052396878483835</v>
      </c>
    </row>
    <row r="2048" spans="1:18">
      <c r="A2048" s="524"/>
      <c r="B2048" s="540" t="s">
        <v>101</v>
      </c>
      <c r="C2048" s="552">
        <v>0</v>
      </c>
      <c r="D2048" s="553">
        <v>0</v>
      </c>
      <c r="E2048" s="551">
        <v>0</v>
      </c>
      <c r="F2048" s="551">
        <v>0</v>
      </c>
      <c r="G2048" s="551">
        <v>0</v>
      </c>
      <c r="H2048" s="551">
        <v>0</v>
      </c>
      <c r="I2048" s="551">
        <v>0</v>
      </c>
      <c r="J2048" s="551">
        <v>0</v>
      </c>
      <c r="K2048" s="527">
        <f t="shared" si="1205"/>
        <v>0</v>
      </c>
      <c r="L2048" s="528">
        <f t="shared" si="1206"/>
        <v>0</v>
      </c>
      <c r="M2048" s="528">
        <f t="shared" si="1207"/>
        <v>0</v>
      </c>
      <c r="N2048" s="528">
        <f t="shared" si="1208"/>
        <v>0</v>
      </c>
      <c r="O2048" s="528">
        <f t="shared" si="1209"/>
        <v>0</v>
      </c>
      <c r="P2048" s="529">
        <f t="shared" si="1210"/>
        <v>0</v>
      </c>
      <c r="Q2048" s="24">
        <f t="shared" si="1211"/>
        <v>0</v>
      </c>
      <c r="R2048" s="530">
        <f t="shared" si="1212"/>
        <v>0</v>
      </c>
    </row>
    <row r="2049" spans="1:18">
      <c r="A2049" s="524"/>
      <c r="B2049" s="531" t="s">
        <v>96</v>
      </c>
      <c r="C2049" s="533">
        <f t="shared" ref="C2049:J2049" si="1213">SUM(C2045:C2048)</f>
        <v>2272.22</v>
      </c>
      <c r="D2049" s="533">
        <f t="shared" si="1213"/>
        <v>73227</v>
      </c>
      <c r="E2049" s="533">
        <f t="shared" si="1213"/>
        <v>2003</v>
      </c>
      <c r="F2049" s="533">
        <f t="shared" si="1213"/>
        <v>1</v>
      </c>
      <c r="G2049" s="533">
        <f t="shared" si="1213"/>
        <v>22294</v>
      </c>
      <c r="H2049" s="533">
        <f t="shared" si="1213"/>
        <v>72</v>
      </c>
      <c r="I2049" s="533">
        <f t="shared" si="1213"/>
        <v>11</v>
      </c>
      <c r="J2049" s="533">
        <f t="shared" si="1213"/>
        <v>6</v>
      </c>
      <c r="K2049" s="534">
        <f t="shared" si="1205"/>
        <v>0.027353298646674</v>
      </c>
      <c r="L2049" s="535">
        <f t="shared" si="1206"/>
        <v>1.13440838741887</v>
      </c>
      <c r="M2049" s="535">
        <f t="shared" si="1207"/>
        <v>31.0298114083603</v>
      </c>
      <c r="N2049" s="535">
        <f t="shared" si="1208"/>
        <v>9.81154993794615</v>
      </c>
      <c r="O2049" s="535">
        <f t="shared" si="1209"/>
        <v>0.000499251123315027</v>
      </c>
      <c r="P2049" s="536">
        <f t="shared" si="1210"/>
        <v>27.3761445783133</v>
      </c>
      <c r="Q2049" s="531">
        <f t="shared" si="1211"/>
        <v>83</v>
      </c>
      <c r="R2049" s="537">
        <f t="shared" si="1212"/>
        <v>0.0414378432351473</v>
      </c>
    </row>
    <row r="2050" spans="1:18">
      <c r="A2050" s="524">
        <v>45860</v>
      </c>
      <c r="B2050" s="540" t="s">
        <v>98</v>
      </c>
      <c r="C2050" s="551">
        <v>799.93</v>
      </c>
      <c r="D2050" s="553">
        <v>13699</v>
      </c>
      <c r="E2050" s="551">
        <v>557</v>
      </c>
      <c r="F2050" s="551">
        <v>2</v>
      </c>
      <c r="G2050" s="551">
        <v>30102</v>
      </c>
      <c r="H2050" s="551">
        <v>24</v>
      </c>
      <c r="I2050" s="551">
        <v>4</v>
      </c>
      <c r="J2050" s="551">
        <v>3</v>
      </c>
      <c r="K2050" s="527">
        <f t="shared" ref="K2050:K2054" si="1214">IF(E2050=0,0,E2050/D2050)</f>
        <v>0.0406599021826411</v>
      </c>
      <c r="L2050" s="528">
        <f t="shared" ref="L2050:L2054" si="1215">IF(C2050=0,0,C2050/E2050)</f>
        <v>1.43614003590664</v>
      </c>
      <c r="M2050" s="528">
        <f t="shared" ref="M2050:M2054" si="1216">IF(D2050=0,0,C2050/D2050*1000)</f>
        <v>58.3933133805387</v>
      </c>
      <c r="N2050" s="528">
        <f t="shared" ref="N2050:N2054" si="1217">IF(G2050=0,0,G2050/C2050)</f>
        <v>37.6307926943608</v>
      </c>
      <c r="O2050" s="528">
        <f t="shared" ref="O2050:O2054" si="1218">IF(F2050=0,0,F2050/E2050)</f>
        <v>0.00359066427289048</v>
      </c>
      <c r="P2050" s="529">
        <f t="shared" ref="P2050:P2054" si="1219">IF(H2050+I2050=0,0,C2050/(H2050+I2050))</f>
        <v>28.5689285714286</v>
      </c>
      <c r="Q2050" s="24">
        <f t="shared" ref="Q2050:Q2054" si="1220">H2050+I2050</f>
        <v>28</v>
      </c>
      <c r="R2050" s="530">
        <f t="shared" ref="R2050:R2054" si="1221">IF(Q2050=0,0,Q2050/E2050)</f>
        <v>0.0502692998204668</v>
      </c>
    </row>
    <row r="2051" spans="1:18">
      <c r="A2051" s="524"/>
      <c r="B2051" s="540" t="s">
        <v>99</v>
      </c>
      <c r="C2051" s="551">
        <v>0</v>
      </c>
      <c r="D2051" s="555">
        <v>0</v>
      </c>
      <c r="E2051" s="551">
        <v>0</v>
      </c>
      <c r="F2051" s="551">
        <v>0</v>
      </c>
      <c r="G2051" s="551">
        <v>0</v>
      </c>
      <c r="H2051" s="555">
        <v>0</v>
      </c>
      <c r="I2051" s="555">
        <v>0</v>
      </c>
      <c r="J2051" s="555">
        <v>0</v>
      </c>
      <c r="K2051" s="527">
        <f t="shared" si="1214"/>
        <v>0</v>
      </c>
      <c r="L2051" s="528">
        <f t="shared" si="1215"/>
        <v>0</v>
      </c>
      <c r="M2051" s="528">
        <f t="shared" si="1216"/>
        <v>0</v>
      </c>
      <c r="N2051" s="528">
        <f t="shared" si="1217"/>
        <v>0</v>
      </c>
      <c r="O2051" s="528">
        <f t="shared" si="1218"/>
        <v>0</v>
      </c>
      <c r="P2051" s="529">
        <f t="shared" si="1219"/>
        <v>0</v>
      </c>
      <c r="Q2051" s="24">
        <f t="shared" si="1220"/>
        <v>0</v>
      </c>
      <c r="R2051" s="530">
        <f t="shared" si="1221"/>
        <v>0</v>
      </c>
    </row>
    <row r="2052" spans="1:18">
      <c r="A2052" s="524"/>
      <c r="B2052" s="540" t="s">
        <v>100</v>
      </c>
      <c r="C2052" s="552">
        <v>797.79</v>
      </c>
      <c r="D2052" s="553">
        <v>34895</v>
      </c>
      <c r="E2052" s="553">
        <v>807</v>
      </c>
      <c r="F2052" s="551">
        <v>1</v>
      </c>
      <c r="G2052" s="551">
        <v>5217</v>
      </c>
      <c r="H2052" s="551">
        <v>27</v>
      </c>
      <c r="I2052" s="551">
        <v>10</v>
      </c>
      <c r="J2052" s="551">
        <v>5</v>
      </c>
      <c r="K2052" s="527">
        <f t="shared" si="1214"/>
        <v>0.0231265224244161</v>
      </c>
      <c r="L2052" s="528">
        <f t="shared" si="1215"/>
        <v>0.988587360594795</v>
      </c>
      <c r="M2052" s="528">
        <f t="shared" si="1216"/>
        <v>22.8625877632899</v>
      </c>
      <c r="N2052" s="528">
        <f t="shared" si="1217"/>
        <v>6.53931485729327</v>
      </c>
      <c r="O2052" s="528">
        <f t="shared" si="1218"/>
        <v>0.00123915737298637</v>
      </c>
      <c r="P2052" s="529">
        <f t="shared" si="1219"/>
        <v>21.5618918918919</v>
      </c>
      <c r="Q2052" s="24">
        <f t="shared" si="1220"/>
        <v>37</v>
      </c>
      <c r="R2052" s="530">
        <f t="shared" si="1221"/>
        <v>0.0458488228004957</v>
      </c>
    </row>
    <row r="2053" spans="1:18">
      <c r="A2053" s="524"/>
      <c r="B2053" s="540" t="s">
        <v>101</v>
      </c>
      <c r="C2053" s="552">
        <v>0</v>
      </c>
      <c r="D2053" s="553">
        <v>0</v>
      </c>
      <c r="E2053" s="551">
        <v>0</v>
      </c>
      <c r="F2053" s="551">
        <v>0</v>
      </c>
      <c r="G2053" s="551">
        <v>0</v>
      </c>
      <c r="H2053" s="551">
        <v>0</v>
      </c>
      <c r="I2053" s="551">
        <v>0</v>
      </c>
      <c r="J2053" s="551">
        <v>0</v>
      </c>
      <c r="K2053" s="527">
        <f t="shared" si="1214"/>
        <v>0</v>
      </c>
      <c r="L2053" s="528">
        <f t="shared" si="1215"/>
        <v>0</v>
      </c>
      <c r="M2053" s="528">
        <f t="shared" si="1216"/>
        <v>0</v>
      </c>
      <c r="N2053" s="528">
        <f t="shared" si="1217"/>
        <v>0</v>
      </c>
      <c r="O2053" s="528">
        <f t="shared" si="1218"/>
        <v>0</v>
      </c>
      <c r="P2053" s="529">
        <f t="shared" si="1219"/>
        <v>0</v>
      </c>
      <c r="Q2053" s="24">
        <f t="shared" si="1220"/>
        <v>0</v>
      </c>
      <c r="R2053" s="530">
        <f t="shared" si="1221"/>
        <v>0</v>
      </c>
    </row>
    <row r="2054" spans="1:18">
      <c r="A2054" s="524"/>
      <c r="B2054" s="531" t="s">
        <v>96</v>
      </c>
      <c r="C2054" s="533">
        <f t="shared" ref="C2054:J2054" si="1222">SUM(C2050:C2053)</f>
        <v>1597.72</v>
      </c>
      <c r="D2054" s="533">
        <f t="shared" si="1222"/>
        <v>48594</v>
      </c>
      <c r="E2054" s="533">
        <f t="shared" si="1222"/>
        <v>1364</v>
      </c>
      <c r="F2054" s="533">
        <f t="shared" si="1222"/>
        <v>3</v>
      </c>
      <c r="G2054" s="533">
        <f t="shared" si="1222"/>
        <v>35319</v>
      </c>
      <c r="H2054" s="533">
        <f t="shared" si="1222"/>
        <v>51</v>
      </c>
      <c r="I2054" s="533">
        <f t="shared" si="1222"/>
        <v>14</v>
      </c>
      <c r="J2054" s="533">
        <f t="shared" si="1222"/>
        <v>8</v>
      </c>
      <c r="K2054" s="534">
        <f t="shared" si="1214"/>
        <v>0.0280693089681854</v>
      </c>
      <c r="L2054" s="535">
        <f t="shared" si="1215"/>
        <v>1.17134897360704</v>
      </c>
      <c r="M2054" s="535">
        <f t="shared" si="1216"/>
        <v>32.8789562497428</v>
      </c>
      <c r="N2054" s="535">
        <f t="shared" si="1217"/>
        <v>22.1058758731192</v>
      </c>
      <c r="O2054" s="535">
        <f t="shared" si="1218"/>
        <v>0.00219941348973607</v>
      </c>
      <c r="P2054" s="536">
        <f t="shared" si="1219"/>
        <v>24.5803076923077</v>
      </c>
      <c r="Q2054" s="531">
        <f t="shared" si="1220"/>
        <v>65</v>
      </c>
      <c r="R2054" s="537">
        <f t="shared" si="1221"/>
        <v>0.0476539589442815</v>
      </c>
    </row>
    <row r="2055" spans="1:18">
      <c r="A2055" s="524">
        <v>45861</v>
      </c>
      <c r="B2055" s="540" t="s">
        <v>98</v>
      </c>
      <c r="C2055" s="551">
        <v>799.46</v>
      </c>
      <c r="D2055" s="553">
        <v>14387</v>
      </c>
      <c r="E2055" s="551">
        <v>539</v>
      </c>
      <c r="F2055" s="551">
        <v>1</v>
      </c>
      <c r="G2055" s="551">
        <v>14352</v>
      </c>
      <c r="H2055" s="551">
        <v>19</v>
      </c>
      <c r="I2055" s="551">
        <v>4</v>
      </c>
      <c r="J2055" s="551">
        <v>3</v>
      </c>
      <c r="K2055" s="527">
        <f t="shared" ref="K2055:K2059" si="1223">IF(E2055=0,0,E2055/D2055)</f>
        <v>0.0374643775630778</v>
      </c>
      <c r="L2055" s="528">
        <f t="shared" ref="L2055:L2059" si="1224">IF(C2055=0,0,C2055/E2055)</f>
        <v>1.48322820037106</v>
      </c>
      <c r="M2055" s="528">
        <f t="shared" ref="M2055:M2059" si="1225">IF(D2055=0,0,C2055/D2055*1000)</f>
        <v>55.5682213109057</v>
      </c>
      <c r="N2055" s="528">
        <f t="shared" ref="N2055:N2059" si="1226">IF(G2055=0,0,G2055/C2055)</f>
        <v>17.9521176794336</v>
      </c>
      <c r="O2055" s="528">
        <f t="shared" ref="O2055:O2059" si="1227">IF(F2055=0,0,F2055/E2055)</f>
        <v>0.00185528756957328</v>
      </c>
      <c r="P2055" s="529">
        <f t="shared" ref="P2055:P2059" si="1228">IF(H2055+I2055=0,0,C2055/(H2055+I2055))</f>
        <v>34.7591304347826</v>
      </c>
      <c r="Q2055" s="24">
        <f t="shared" ref="Q2055:Q2059" si="1229">H2055+I2055</f>
        <v>23</v>
      </c>
      <c r="R2055" s="530">
        <f t="shared" ref="R2055:R2059" si="1230">IF(Q2055=0,0,Q2055/E2055)</f>
        <v>0.0426716141001855</v>
      </c>
    </row>
    <row r="2056" spans="1:18">
      <c r="A2056" s="524"/>
      <c r="B2056" s="540" t="s">
        <v>99</v>
      </c>
      <c r="C2056" s="551">
        <v>974.37</v>
      </c>
      <c r="D2056" s="555">
        <v>9527</v>
      </c>
      <c r="E2056" s="551">
        <v>648</v>
      </c>
      <c r="F2056" s="551">
        <v>2</v>
      </c>
      <c r="G2056" s="551">
        <v>13334</v>
      </c>
      <c r="H2056" s="555">
        <v>12</v>
      </c>
      <c r="I2056" s="555">
        <v>0</v>
      </c>
      <c r="J2056" s="555">
        <v>2</v>
      </c>
      <c r="K2056" s="527">
        <f t="shared" si="1223"/>
        <v>0.0680172142332319</v>
      </c>
      <c r="L2056" s="528">
        <f t="shared" si="1224"/>
        <v>1.50365740740741</v>
      </c>
      <c r="M2056" s="528">
        <f t="shared" si="1225"/>
        <v>102.274588013016</v>
      </c>
      <c r="N2056" s="528">
        <f t="shared" si="1226"/>
        <v>13.6847398832066</v>
      </c>
      <c r="O2056" s="528">
        <f t="shared" si="1227"/>
        <v>0.00308641975308642</v>
      </c>
      <c r="P2056" s="529">
        <f t="shared" si="1228"/>
        <v>81.1975</v>
      </c>
      <c r="Q2056" s="24">
        <f t="shared" si="1229"/>
        <v>12</v>
      </c>
      <c r="R2056" s="530">
        <f t="shared" si="1230"/>
        <v>0.0185185185185185</v>
      </c>
    </row>
    <row r="2057" spans="1:18">
      <c r="A2057" s="524"/>
      <c r="B2057" s="540" t="s">
        <v>100</v>
      </c>
      <c r="C2057" s="552">
        <v>799.58</v>
      </c>
      <c r="D2057" s="553">
        <v>42907</v>
      </c>
      <c r="E2057" s="553">
        <v>767</v>
      </c>
      <c r="F2057" s="551">
        <v>0</v>
      </c>
      <c r="G2057" s="551">
        <v>0</v>
      </c>
      <c r="H2057" s="551">
        <v>25</v>
      </c>
      <c r="I2057" s="551">
        <v>18</v>
      </c>
      <c r="J2057" s="551">
        <v>6</v>
      </c>
      <c r="K2057" s="527">
        <f t="shared" si="1223"/>
        <v>0.0178758710699886</v>
      </c>
      <c r="L2057" s="528">
        <f t="shared" si="1224"/>
        <v>1.04247718383312</v>
      </c>
      <c r="M2057" s="528">
        <f t="shared" si="1225"/>
        <v>18.6351877316056</v>
      </c>
      <c r="N2057" s="528">
        <f t="shared" si="1226"/>
        <v>0</v>
      </c>
      <c r="O2057" s="528">
        <f t="shared" si="1227"/>
        <v>0</v>
      </c>
      <c r="P2057" s="529">
        <f t="shared" si="1228"/>
        <v>18.5948837209302</v>
      </c>
      <c r="Q2057" s="24">
        <f t="shared" si="1229"/>
        <v>43</v>
      </c>
      <c r="R2057" s="530">
        <f t="shared" si="1230"/>
        <v>0.0560625814863103</v>
      </c>
    </row>
    <row r="2058" spans="1:18">
      <c r="A2058" s="524"/>
      <c r="B2058" s="540" t="s">
        <v>101</v>
      </c>
      <c r="C2058" s="552">
        <v>0</v>
      </c>
      <c r="D2058" s="553">
        <v>0</v>
      </c>
      <c r="E2058" s="551">
        <v>0</v>
      </c>
      <c r="F2058" s="551">
        <v>0</v>
      </c>
      <c r="G2058" s="551">
        <v>0</v>
      </c>
      <c r="H2058" s="551">
        <v>0</v>
      </c>
      <c r="I2058" s="551">
        <v>0</v>
      </c>
      <c r="J2058" s="551">
        <v>0</v>
      </c>
      <c r="K2058" s="527">
        <f t="shared" si="1223"/>
        <v>0</v>
      </c>
      <c r="L2058" s="528">
        <f t="shared" si="1224"/>
        <v>0</v>
      </c>
      <c r="M2058" s="528">
        <f t="shared" si="1225"/>
        <v>0</v>
      </c>
      <c r="N2058" s="528">
        <f t="shared" si="1226"/>
        <v>0</v>
      </c>
      <c r="O2058" s="528">
        <f t="shared" si="1227"/>
        <v>0</v>
      </c>
      <c r="P2058" s="529">
        <f t="shared" si="1228"/>
        <v>0</v>
      </c>
      <c r="Q2058" s="24">
        <f t="shared" si="1229"/>
        <v>0</v>
      </c>
      <c r="R2058" s="530">
        <f t="shared" si="1230"/>
        <v>0</v>
      </c>
    </row>
    <row r="2059" spans="1:18">
      <c r="A2059" s="524"/>
      <c r="B2059" s="531" t="s">
        <v>96</v>
      </c>
      <c r="C2059" s="533">
        <f t="shared" ref="C2059:J2059" si="1231">SUM(C2055:C2058)</f>
        <v>2573.41</v>
      </c>
      <c r="D2059" s="533">
        <f t="shared" si="1231"/>
        <v>66821</v>
      </c>
      <c r="E2059" s="533">
        <f t="shared" si="1231"/>
        <v>1954</v>
      </c>
      <c r="F2059" s="533">
        <f t="shared" si="1231"/>
        <v>3</v>
      </c>
      <c r="G2059" s="533">
        <f t="shared" si="1231"/>
        <v>27686</v>
      </c>
      <c r="H2059" s="533">
        <f t="shared" si="1231"/>
        <v>56</v>
      </c>
      <c r="I2059" s="533">
        <f t="shared" si="1231"/>
        <v>22</v>
      </c>
      <c r="J2059" s="533">
        <f t="shared" si="1231"/>
        <v>11</v>
      </c>
      <c r="K2059" s="534">
        <f t="shared" si="1223"/>
        <v>0.029242304066087</v>
      </c>
      <c r="L2059" s="535">
        <f t="shared" si="1224"/>
        <v>1.31699590583419</v>
      </c>
      <c r="M2059" s="535">
        <f t="shared" si="1225"/>
        <v>38.511994732195</v>
      </c>
      <c r="N2059" s="535">
        <f t="shared" si="1226"/>
        <v>10.7584877652609</v>
      </c>
      <c r="O2059" s="535">
        <f t="shared" si="1227"/>
        <v>0.0015353121801433</v>
      </c>
      <c r="P2059" s="536">
        <f t="shared" si="1228"/>
        <v>32.9924358974359</v>
      </c>
      <c r="Q2059" s="531">
        <f t="shared" si="1229"/>
        <v>78</v>
      </c>
      <c r="R2059" s="537">
        <f t="shared" si="1230"/>
        <v>0.0399181166837257</v>
      </c>
    </row>
    <row r="2060" spans="1:18">
      <c r="A2060" s="524">
        <v>45862</v>
      </c>
      <c r="B2060" s="540" t="s">
        <v>98</v>
      </c>
      <c r="C2060" s="551">
        <v>800</v>
      </c>
      <c r="D2060" s="553">
        <v>18101</v>
      </c>
      <c r="E2060" s="551">
        <v>572</v>
      </c>
      <c r="F2060" s="551">
        <v>0</v>
      </c>
      <c r="G2060" s="551">
        <v>0</v>
      </c>
      <c r="H2060" s="551">
        <v>23</v>
      </c>
      <c r="I2060" s="551">
        <v>3</v>
      </c>
      <c r="J2060" s="551">
        <v>1</v>
      </c>
      <c r="K2060" s="527">
        <f t="shared" ref="K2060:K2064" si="1232">IF(E2060=0,0,E2060/D2060)</f>
        <v>0.031600464062759</v>
      </c>
      <c r="L2060" s="528">
        <f t="shared" ref="L2060:L2064" si="1233">IF(C2060=0,0,C2060/E2060)</f>
        <v>1.3986013986014</v>
      </c>
      <c r="M2060" s="528">
        <f t="shared" ref="M2060:M2064" si="1234">IF(D2060=0,0,C2060/D2060*1000)</f>
        <v>44.1964532346279</v>
      </c>
      <c r="N2060" s="528">
        <f t="shared" ref="N2060:N2064" si="1235">IF(G2060=0,0,G2060/C2060)</f>
        <v>0</v>
      </c>
      <c r="O2060" s="528">
        <f t="shared" ref="O2060:O2064" si="1236">IF(F2060=0,0,F2060/E2060)</f>
        <v>0</v>
      </c>
      <c r="P2060" s="529">
        <f t="shared" ref="P2060:P2064" si="1237">IF(H2060+I2060=0,0,C2060/(H2060+I2060))</f>
        <v>30.7692307692308</v>
      </c>
      <c r="Q2060" s="24">
        <f t="shared" ref="Q2060:Q2064" si="1238">H2060+I2060</f>
        <v>26</v>
      </c>
      <c r="R2060" s="530">
        <f t="shared" ref="R2060:R2064" si="1239">IF(Q2060=0,0,Q2060/E2060)</f>
        <v>0.0454545454545455</v>
      </c>
    </row>
    <row r="2061" spans="1:18">
      <c r="A2061" s="524"/>
      <c r="B2061" s="540" t="s">
        <v>99</v>
      </c>
      <c r="C2061" s="551">
        <v>1001.85</v>
      </c>
      <c r="D2061" s="555">
        <v>5579</v>
      </c>
      <c r="E2061" s="551">
        <v>472</v>
      </c>
      <c r="F2061" s="551">
        <v>1</v>
      </c>
      <c r="G2061" s="551">
        <v>12692</v>
      </c>
      <c r="H2061" s="555">
        <v>7</v>
      </c>
      <c r="I2061" s="555">
        <v>1</v>
      </c>
      <c r="J2061" s="555">
        <v>1</v>
      </c>
      <c r="K2061" s="527">
        <f t="shared" si="1232"/>
        <v>0.0846029754436279</v>
      </c>
      <c r="L2061" s="528">
        <f t="shared" si="1233"/>
        <v>2.12256355932203</v>
      </c>
      <c r="M2061" s="528">
        <f t="shared" si="1234"/>
        <v>179.575192686861</v>
      </c>
      <c r="N2061" s="528">
        <f t="shared" si="1235"/>
        <v>12.6685631581574</v>
      </c>
      <c r="O2061" s="528">
        <f t="shared" si="1236"/>
        <v>0.00211864406779661</v>
      </c>
      <c r="P2061" s="529">
        <f t="shared" si="1237"/>
        <v>125.23125</v>
      </c>
      <c r="Q2061" s="24">
        <f t="shared" si="1238"/>
        <v>8</v>
      </c>
      <c r="R2061" s="530">
        <f t="shared" si="1239"/>
        <v>0.0169491525423729</v>
      </c>
    </row>
    <row r="2062" spans="1:18">
      <c r="A2062" s="524"/>
      <c r="B2062" s="540" t="s">
        <v>100</v>
      </c>
      <c r="C2062" s="552">
        <v>793.66</v>
      </c>
      <c r="D2062" s="553">
        <v>53037</v>
      </c>
      <c r="E2062" s="553">
        <v>768</v>
      </c>
      <c r="F2062" s="551">
        <v>1</v>
      </c>
      <c r="G2062" s="551">
        <v>12912</v>
      </c>
      <c r="H2062" s="551">
        <v>23</v>
      </c>
      <c r="I2062" s="551">
        <v>11</v>
      </c>
      <c r="J2062" s="551">
        <v>4</v>
      </c>
      <c r="K2062" s="527">
        <f t="shared" si="1232"/>
        <v>0.0144804570394253</v>
      </c>
      <c r="L2062" s="528">
        <f t="shared" si="1233"/>
        <v>1.03341145833333</v>
      </c>
      <c r="M2062" s="528">
        <f t="shared" si="1234"/>
        <v>14.9642702264457</v>
      </c>
      <c r="N2062" s="528">
        <f t="shared" si="1235"/>
        <v>16.2689312803971</v>
      </c>
      <c r="O2062" s="528">
        <f t="shared" si="1236"/>
        <v>0.00130208333333333</v>
      </c>
      <c r="P2062" s="529">
        <f t="shared" si="1237"/>
        <v>23.3429411764706</v>
      </c>
      <c r="Q2062" s="24">
        <f t="shared" si="1238"/>
        <v>34</v>
      </c>
      <c r="R2062" s="530">
        <f t="shared" si="1239"/>
        <v>0.0442708333333333</v>
      </c>
    </row>
    <row r="2063" spans="1:18">
      <c r="A2063" s="524"/>
      <c r="B2063" s="540" t="s">
        <v>101</v>
      </c>
      <c r="C2063" s="552">
        <v>0</v>
      </c>
      <c r="D2063" s="553">
        <v>0</v>
      </c>
      <c r="E2063" s="551">
        <v>0</v>
      </c>
      <c r="F2063" s="551">
        <v>0</v>
      </c>
      <c r="G2063" s="551">
        <v>0</v>
      </c>
      <c r="H2063" s="551">
        <v>0</v>
      </c>
      <c r="I2063" s="551">
        <v>0</v>
      </c>
      <c r="J2063" s="551">
        <v>0</v>
      </c>
      <c r="K2063" s="527">
        <f t="shared" si="1232"/>
        <v>0</v>
      </c>
      <c r="L2063" s="528">
        <f t="shared" si="1233"/>
        <v>0</v>
      </c>
      <c r="M2063" s="528">
        <f t="shared" si="1234"/>
        <v>0</v>
      </c>
      <c r="N2063" s="528">
        <f t="shared" si="1235"/>
        <v>0</v>
      </c>
      <c r="O2063" s="528">
        <f t="shared" si="1236"/>
        <v>0</v>
      </c>
      <c r="P2063" s="529">
        <f t="shared" si="1237"/>
        <v>0</v>
      </c>
      <c r="Q2063" s="24">
        <f t="shared" si="1238"/>
        <v>0</v>
      </c>
      <c r="R2063" s="530">
        <f t="shared" si="1239"/>
        <v>0</v>
      </c>
    </row>
    <row r="2064" spans="1:18">
      <c r="A2064" s="524"/>
      <c r="B2064" s="531" t="s">
        <v>96</v>
      </c>
      <c r="C2064" s="533">
        <f t="shared" ref="C2064:J2064" si="1240">SUM(C2060:C2063)</f>
        <v>2595.51</v>
      </c>
      <c r="D2064" s="533">
        <f t="shared" si="1240"/>
        <v>76717</v>
      </c>
      <c r="E2064" s="533">
        <f t="shared" si="1240"/>
        <v>1812</v>
      </c>
      <c r="F2064" s="533">
        <f t="shared" si="1240"/>
        <v>2</v>
      </c>
      <c r="G2064" s="533">
        <f t="shared" si="1240"/>
        <v>25604</v>
      </c>
      <c r="H2064" s="533">
        <f t="shared" si="1240"/>
        <v>53</v>
      </c>
      <c r="I2064" s="533">
        <f t="shared" si="1240"/>
        <v>15</v>
      </c>
      <c r="J2064" s="533">
        <f t="shared" si="1240"/>
        <v>6</v>
      </c>
      <c r="K2064" s="534">
        <f t="shared" si="1232"/>
        <v>0.0236192760405125</v>
      </c>
      <c r="L2064" s="535">
        <f t="shared" si="1233"/>
        <v>1.43240066225166</v>
      </c>
      <c r="M2064" s="535">
        <f t="shared" si="1234"/>
        <v>33.8322666423348</v>
      </c>
      <c r="N2064" s="535">
        <f t="shared" si="1235"/>
        <v>9.86472793400912</v>
      </c>
      <c r="O2064" s="535">
        <f t="shared" si="1236"/>
        <v>0.0011037527593819</v>
      </c>
      <c r="P2064" s="536">
        <f t="shared" si="1237"/>
        <v>38.1692647058823</v>
      </c>
      <c r="Q2064" s="531">
        <f t="shared" si="1238"/>
        <v>68</v>
      </c>
      <c r="R2064" s="537">
        <f t="shared" si="1239"/>
        <v>0.0375275938189845</v>
      </c>
    </row>
    <row r="2065" spans="1:18">
      <c r="A2065" s="524">
        <v>45863</v>
      </c>
      <c r="B2065" s="540" t="s">
        <v>98</v>
      </c>
      <c r="C2065" s="551">
        <v>796.3</v>
      </c>
      <c r="D2065" s="553">
        <v>16585</v>
      </c>
      <c r="E2065" s="551">
        <v>554</v>
      </c>
      <c r="F2065" s="551">
        <v>0</v>
      </c>
      <c r="G2065" s="551">
        <v>0</v>
      </c>
      <c r="H2065" s="551">
        <v>16</v>
      </c>
      <c r="I2065" s="551">
        <v>3</v>
      </c>
      <c r="J2065" s="551">
        <v>2</v>
      </c>
      <c r="K2065" s="527">
        <f t="shared" ref="K2065:K2128" si="1241">IF(E2065=0,0,E2065/D2065)</f>
        <v>0.0334036780223093</v>
      </c>
      <c r="L2065" s="528">
        <f t="shared" ref="L2065:L2128" si="1242">IF(C2065=0,0,C2065/E2065)</f>
        <v>1.43736462093863</v>
      </c>
      <c r="M2065" s="528">
        <f t="shared" ref="M2065:M2128" si="1243">IF(D2065=0,0,C2065/D2065*1000)</f>
        <v>48.0132649984926</v>
      </c>
      <c r="N2065" s="528">
        <f t="shared" ref="N2065:N2128" si="1244">IF(G2065=0,0,G2065/C2065)</f>
        <v>0</v>
      </c>
      <c r="O2065" s="528">
        <f t="shared" ref="O2065:O2128" si="1245">IF(F2065=0,0,F2065/E2065)</f>
        <v>0</v>
      </c>
      <c r="P2065" s="529">
        <f t="shared" ref="P2065:P2128" si="1246">IF(H2065+I2065=0,0,C2065/(H2065+I2065))</f>
        <v>41.9105263157895</v>
      </c>
      <c r="Q2065" s="24">
        <f t="shared" ref="Q2065:Q2128" si="1247">H2065+I2065</f>
        <v>19</v>
      </c>
      <c r="R2065" s="530">
        <f t="shared" ref="R2065:R2128" si="1248">IF(Q2065=0,0,Q2065/E2065)</f>
        <v>0.0342960288808664</v>
      </c>
    </row>
    <row r="2066" spans="1:18">
      <c r="A2066" s="524"/>
      <c r="B2066" s="540" t="s">
        <v>99</v>
      </c>
      <c r="C2066" s="551">
        <v>936.55</v>
      </c>
      <c r="D2066" s="555">
        <v>12617</v>
      </c>
      <c r="E2066" s="551">
        <v>491</v>
      </c>
      <c r="F2066" s="551">
        <v>0</v>
      </c>
      <c r="G2066" s="551">
        <v>0</v>
      </c>
      <c r="H2066" s="555">
        <v>11</v>
      </c>
      <c r="I2066" s="555">
        <v>2</v>
      </c>
      <c r="J2066" s="555">
        <v>0</v>
      </c>
      <c r="K2066" s="527">
        <f t="shared" si="1241"/>
        <v>0.0389157485931679</v>
      </c>
      <c r="L2066" s="528">
        <f t="shared" si="1242"/>
        <v>1.90743380855397</v>
      </c>
      <c r="M2066" s="528">
        <f t="shared" si="1243"/>
        <v>74.2292145517952</v>
      </c>
      <c r="N2066" s="528">
        <f t="shared" si="1244"/>
        <v>0</v>
      </c>
      <c r="O2066" s="528">
        <f t="shared" si="1245"/>
        <v>0</v>
      </c>
      <c r="P2066" s="529">
        <f t="shared" si="1246"/>
        <v>72.0423076923077</v>
      </c>
      <c r="Q2066" s="24">
        <f t="shared" si="1247"/>
        <v>13</v>
      </c>
      <c r="R2066" s="530">
        <f t="shared" si="1248"/>
        <v>0.0264765784114053</v>
      </c>
    </row>
    <row r="2067" spans="1:18">
      <c r="A2067" s="524"/>
      <c r="B2067" s="540" t="s">
        <v>100</v>
      </c>
      <c r="C2067" s="552">
        <v>793.78</v>
      </c>
      <c r="D2067" s="553">
        <v>85118</v>
      </c>
      <c r="E2067" s="553">
        <v>1103</v>
      </c>
      <c r="F2067" s="551">
        <v>0</v>
      </c>
      <c r="G2067" s="551">
        <v>0</v>
      </c>
      <c r="H2067" s="551">
        <v>20</v>
      </c>
      <c r="I2067" s="551">
        <v>12</v>
      </c>
      <c r="J2067" s="551">
        <v>2</v>
      </c>
      <c r="K2067" s="527">
        <f t="shared" si="1241"/>
        <v>0.0129584811673207</v>
      </c>
      <c r="L2067" s="528">
        <f t="shared" si="1242"/>
        <v>0.719655485040798</v>
      </c>
      <c r="M2067" s="528">
        <f t="shared" si="1243"/>
        <v>9.32564204986019</v>
      </c>
      <c r="N2067" s="528">
        <f t="shared" si="1244"/>
        <v>0</v>
      </c>
      <c r="O2067" s="528">
        <f t="shared" si="1245"/>
        <v>0</v>
      </c>
      <c r="P2067" s="529">
        <f t="shared" si="1246"/>
        <v>24.805625</v>
      </c>
      <c r="Q2067" s="24">
        <f t="shared" si="1247"/>
        <v>32</v>
      </c>
      <c r="R2067" s="530">
        <f t="shared" si="1248"/>
        <v>0.029011786038078</v>
      </c>
    </row>
    <row r="2068" spans="1:18">
      <c r="A2068" s="524"/>
      <c r="B2068" s="540" t="s">
        <v>101</v>
      </c>
      <c r="C2068" s="552">
        <v>0</v>
      </c>
      <c r="D2068" s="553">
        <v>0</v>
      </c>
      <c r="E2068" s="551">
        <v>0</v>
      </c>
      <c r="F2068" s="551">
        <v>0</v>
      </c>
      <c r="G2068" s="551">
        <v>0</v>
      </c>
      <c r="H2068" s="551">
        <v>0</v>
      </c>
      <c r="I2068" s="551">
        <v>0</v>
      </c>
      <c r="J2068" s="551">
        <v>0</v>
      </c>
      <c r="K2068" s="527">
        <f t="shared" si="1241"/>
        <v>0</v>
      </c>
      <c r="L2068" s="528">
        <f t="shared" si="1242"/>
        <v>0</v>
      </c>
      <c r="M2068" s="528">
        <f t="shared" si="1243"/>
        <v>0</v>
      </c>
      <c r="N2068" s="528">
        <f t="shared" si="1244"/>
        <v>0</v>
      </c>
      <c r="O2068" s="528">
        <f t="shared" si="1245"/>
        <v>0</v>
      </c>
      <c r="P2068" s="529">
        <f t="shared" si="1246"/>
        <v>0</v>
      </c>
      <c r="Q2068" s="24">
        <f t="shared" si="1247"/>
        <v>0</v>
      </c>
      <c r="R2068" s="530">
        <f t="shared" si="1248"/>
        <v>0</v>
      </c>
    </row>
    <row r="2069" spans="1:18">
      <c r="A2069" s="524"/>
      <c r="B2069" s="531" t="s">
        <v>96</v>
      </c>
      <c r="C2069" s="533">
        <f t="shared" ref="C2069:J2069" si="1249">SUM(C2065:C2068)</f>
        <v>2526.63</v>
      </c>
      <c r="D2069" s="533">
        <f t="shared" si="1249"/>
        <v>114320</v>
      </c>
      <c r="E2069" s="533">
        <f t="shared" si="1249"/>
        <v>2148</v>
      </c>
      <c r="F2069" s="533">
        <f t="shared" si="1249"/>
        <v>0</v>
      </c>
      <c r="G2069" s="533">
        <f t="shared" si="1249"/>
        <v>0</v>
      </c>
      <c r="H2069" s="533">
        <f t="shared" si="1249"/>
        <v>47</v>
      </c>
      <c r="I2069" s="533">
        <f t="shared" si="1249"/>
        <v>17</v>
      </c>
      <c r="J2069" s="533">
        <f t="shared" si="1249"/>
        <v>4</v>
      </c>
      <c r="K2069" s="534">
        <f t="shared" si="1241"/>
        <v>0.0187893631910427</v>
      </c>
      <c r="L2069" s="535">
        <f t="shared" si="1242"/>
        <v>1.17627094972067</v>
      </c>
      <c r="M2069" s="535">
        <f t="shared" si="1243"/>
        <v>22.1013820853744</v>
      </c>
      <c r="N2069" s="535">
        <f t="shared" si="1244"/>
        <v>0</v>
      </c>
      <c r="O2069" s="535">
        <f t="shared" si="1245"/>
        <v>0</v>
      </c>
      <c r="P2069" s="536">
        <f t="shared" si="1246"/>
        <v>39.47859375</v>
      </c>
      <c r="Q2069" s="531">
        <f t="shared" si="1247"/>
        <v>64</v>
      </c>
      <c r="R2069" s="537">
        <f t="shared" si="1248"/>
        <v>0.0297951582867784</v>
      </c>
    </row>
    <row r="2070" spans="1:18">
      <c r="A2070" s="524">
        <v>45864</v>
      </c>
      <c r="B2070" s="540" t="s">
        <v>98</v>
      </c>
      <c r="C2070" s="551">
        <v>798.94</v>
      </c>
      <c r="D2070" s="553">
        <v>21478</v>
      </c>
      <c r="E2070" s="551">
        <v>565</v>
      </c>
      <c r="F2070" s="551">
        <v>0</v>
      </c>
      <c r="G2070" s="551">
        <v>0</v>
      </c>
      <c r="H2070" s="551">
        <v>11</v>
      </c>
      <c r="I2070" s="551">
        <v>5</v>
      </c>
      <c r="J2070" s="551">
        <v>3</v>
      </c>
      <c r="K2070" s="527">
        <f t="shared" si="1241"/>
        <v>0.0263059875221157</v>
      </c>
      <c r="L2070" s="528">
        <f t="shared" si="1242"/>
        <v>1.41405309734513</v>
      </c>
      <c r="M2070" s="528">
        <f t="shared" si="1243"/>
        <v>37.1980631343701</v>
      </c>
      <c r="N2070" s="528">
        <f t="shared" si="1244"/>
        <v>0</v>
      </c>
      <c r="O2070" s="528">
        <f t="shared" si="1245"/>
        <v>0</v>
      </c>
      <c r="P2070" s="529">
        <f t="shared" si="1246"/>
        <v>49.93375</v>
      </c>
      <c r="Q2070" s="24">
        <f t="shared" si="1247"/>
        <v>16</v>
      </c>
      <c r="R2070" s="530">
        <f t="shared" si="1248"/>
        <v>0.0283185840707965</v>
      </c>
    </row>
    <row r="2071" spans="1:18">
      <c r="A2071" s="524"/>
      <c r="B2071" s="540" t="s">
        <v>99</v>
      </c>
      <c r="C2071" s="551">
        <v>468.03</v>
      </c>
      <c r="D2071" s="555">
        <v>7376</v>
      </c>
      <c r="E2071" s="551">
        <v>213</v>
      </c>
      <c r="F2071" s="551">
        <v>1</v>
      </c>
      <c r="G2071" s="551">
        <v>17654</v>
      </c>
      <c r="H2071" s="555">
        <v>8</v>
      </c>
      <c r="I2071" s="555">
        <v>0</v>
      </c>
      <c r="J2071" s="555">
        <v>1</v>
      </c>
      <c r="K2071" s="527">
        <f t="shared" si="1241"/>
        <v>0.0288774403470716</v>
      </c>
      <c r="L2071" s="528">
        <f t="shared" si="1242"/>
        <v>2.19732394366197</v>
      </c>
      <c r="M2071" s="528">
        <f t="shared" si="1243"/>
        <v>63.4530911062907</v>
      </c>
      <c r="N2071" s="528">
        <f t="shared" si="1244"/>
        <v>37.71980428605</v>
      </c>
      <c r="O2071" s="528">
        <f t="shared" si="1245"/>
        <v>0.00469483568075117</v>
      </c>
      <c r="P2071" s="529">
        <f t="shared" si="1246"/>
        <v>58.50375</v>
      </c>
      <c r="Q2071" s="24">
        <f t="shared" si="1247"/>
        <v>8</v>
      </c>
      <c r="R2071" s="530">
        <f t="shared" si="1248"/>
        <v>0.0375586854460094</v>
      </c>
    </row>
    <row r="2072" spans="1:18">
      <c r="A2072" s="524"/>
      <c r="B2072" s="540" t="s">
        <v>100</v>
      </c>
      <c r="C2072" s="552">
        <v>779.5</v>
      </c>
      <c r="D2072" s="553">
        <v>50844</v>
      </c>
      <c r="E2072" s="553">
        <v>879</v>
      </c>
      <c r="F2072" s="551">
        <v>0</v>
      </c>
      <c r="G2072" s="551">
        <v>0</v>
      </c>
      <c r="H2072" s="551">
        <v>33</v>
      </c>
      <c r="I2072" s="551">
        <v>6</v>
      </c>
      <c r="J2072" s="551">
        <v>3</v>
      </c>
      <c r="K2072" s="527">
        <f t="shared" si="1241"/>
        <v>0.0172881755959405</v>
      </c>
      <c r="L2072" s="528">
        <f t="shared" si="1242"/>
        <v>0.886803185437998</v>
      </c>
      <c r="M2072" s="528">
        <f t="shared" si="1243"/>
        <v>15.3312091888915</v>
      </c>
      <c r="N2072" s="528">
        <f t="shared" si="1244"/>
        <v>0</v>
      </c>
      <c r="O2072" s="528">
        <f t="shared" si="1245"/>
        <v>0</v>
      </c>
      <c r="P2072" s="529">
        <f t="shared" si="1246"/>
        <v>19.9871794871795</v>
      </c>
      <c r="Q2072" s="24">
        <f t="shared" si="1247"/>
        <v>39</v>
      </c>
      <c r="R2072" s="530">
        <f t="shared" si="1248"/>
        <v>0.0443686006825939</v>
      </c>
    </row>
    <row r="2073" spans="1:18">
      <c r="A2073" s="524"/>
      <c r="B2073" s="540" t="s">
        <v>101</v>
      </c>
      <c r="C2073" s="552">
        <v>0</v>
      </c>
      <c r="D2073" s="553">
        <v>0</v>
      </c>
      <c r="E2073" s="551">
        <v>0</v>
      </c>
      <c r="F2073" s="551">
        <v>0</v>
      </c>
      <c r="G2073" s="551">
        <v>0</v>
      </c>
      <c r="H2073" s="551">
        <v>0</v>
      </c>
      <c r="I2073" s="551">
        <v>0</v>
      </c>
      <c r="J2073" s="551">
        <v>0</v>
      </c>
      <c r="K2073" s="527">
        <f t="shared" si="1241"/>
        <v>0</v>
      </c>
      <c r="L2073" s="528">
        <f t="shared" si="1242"/>
        <v>0</v>
      </c>
      <c r="M2073" s="528">
        <f t="shared" si="1243"/>
        <v>0</v>
      </c>
      <c r="N2073" s="528">
        <f t="shared" si="1244"/>
        <v>0</v>
      </c>
      <c r="O2073" s="528">
        <f t="shared" si="1245"/>
        <v>0</v>
      </c>
      <c r="P2073" s="529">
        <f t="shared" si="1246"/>
        <v>0</v>
      </c>
      <c r="Q2073" s="24">
        <f t="shared" si="1247"/>
        <v>0</v>
      </c>
      <c r="R2073" s="530">
        <f t="shared" si="1248"/>
        <v>0</v>
      </c>
    </row>
    <row r="2074" spans="1:18">
      <c r="A2074" s="524"/>
      <c r="B2074" s="531" t="s">
        <v>96</v>
      </c>
      <c r="C2074" s="533">
        <f t="shared" ref="C2074:J2074" si="1250">SUM(C2070:C2073)</f>
        <v>2046.47</v>
      </c>
      <c r="D2074" s="533">
        <f t="shared" si="1250"/>
        <v>79698</v>
      </c>
      <c r="E2074" s="533">
        <f t="shared" si="1250"/>
        <v>1657</v>
      </c>
      <c r="F2074" s="533">
        <f t="shared" si="1250"/>
        <v>1</v>
      </c>
      <c r="G2074" s="533">
        <f t="shared" si="1250"/>
        <v>17654</v>
      </c>
      <c r="H2074" s="533">
        <f t="shared" si="1250"/>
        <v>52</v>
      </c>
      <c r="I2074" s="533">
        <f t="shared" si="1250"/>
        <v>11</v>
      </c>
      <c r="J2074" s="533">
        <f t="shared" si="1250"/>
        <v>7</v>
      </c>
      <c r="K2074" s="534">
        <f t="shared" si="1241"/>
        <v>0.0207909859720445</v>
      </c>
      <c r="L2074" s="535">
        <f t="shared" si="1242"/>
        <v>1.23504526252263</v>
      </c>
      <c r="M2074" s="535">
        <f t="shared" si="1243"/>
        <v>25.677808727948</v>
      </c>
      <c r="N2074" s="535">
        <f t="shared" si="1244"/>
        <v>8.62656183574643</v>
      </c>
      <c r="O2074" s="535">
        <f t="shared" si="1245"/>
        <v>0.000603500301750151</v>
      </c>
      <c r="P2074" s="536">
        <f t="shared" si="1246"/>
        <v>32.4836507936508</v>
      </c>
      <c r="Q2074" s="531">
        <f t="shared" si="1247"/>
        <v>63</v>
      </c>
      <c r="R2074" s="537">
        <f t="shared" si="1248"/>
        <v>0.0380205190102595</v>
      </c>
    </row>
    <row r="2075" spans="1:18">
      <c r="A2075" s="524">
        <v>45865</v>
      </c>
      <c r="B2075" s="540" t="s">
        <v>98</v>
      </c>
      <c r="C2075" s="551">
        <v>799.84</v>
      </c>
      <c r="D2075" s="553">
        <v>32645</v>
      </c>
      <c r="E2075" s="551">
        <v>859</v>
      </c>
      <c r="F2075" s="551">
        <v>0</v>
      </c>
      <c r="G2075" s="551">
        <v>0</v>
      </c>
      <c r="H2075" s="551">
        <v>29</v>
      </c>
      <c r="I2075" s="551">
        <v>5</v>
      </c>
      <c r="J2075" s="551">
        <v>3</v>
      </c>
      <c r="K2075" s="527">
        <f t="shared" si="1241"/>
        <v>0.0263133711134936</v>
      </c>
      <c r="L2075" s="528">
        <f t="shared" si="1242"/>
        <v>0.931129220023283</v>
      </c>
      <c r="M2075" s="528">
        <f t="shared" si="1243"/>
        <v>24.5011487210905</v>
      </c>
      <c r="N2075" s="528">
        <f t="shared" si="1244"/>
        <v>0</v>
      </c>
      <c r="O2075" s="528">
        <f t="shared" si="1245"/>
        <v>0</v>
      </c>
      <c r="P2075" s="529">
        <f t="shared" si="1246"/>
        <v>23.5247058823529</v>
      </c>
      <c r="Q2075" s="24">
        <f t="shared" si="1247"/>
        <v>34</v>
      </c>
      <c r="R2075" s="530">
        <f t="shared" si="1248"/>
        <v>0.039580908032596</v>
      </c>
    </row>
    <row r="2076" spans="1:18">
      <c r="A2076" s="524"/>
      <c r="B2076" s="540" t="s">
        <v>99</v>
      </c>
      <c r="C2076" s="551">
        <v>442.84</v>
      </c>
      <c r="D2076" s="555">
        <v>2200</v>
      </c>
      <c r="E2076" s="551">
        <v>169</v>
      </c>
      <c r="F2076" s="551">
        <v>0</v>
      </c>
      <c r="G2076" s="551">
        <v>0</v>
      </c>
      <c r="H2076" s="555">
        <v>5</v>
      </c>
      <c r="I2076" s="555">
        <v>2</v>
      </c>
      <c r="J2076" s="555">
        <v>0</v>
      </c>
      <c r="K2076" s="527">
        <f t="shared" si="1241"/>
        <v>0.0768181818181818</v>
      </c>
      <c r="L2076" s="528">
        <f t="shared" si="1242"/>
        <v>2.6203550295858</v>
      </c>
      <c r="M2076" s="528">
        <f t="shared" si="1243"/>
        <v>201.290909090909</v>
      </c>
      <c r="N2076" s="528">
        <f t="shared" si="1244"/>
        <v>0</v>
      </c>
      <c r="O2076" s="528">
        <f t="shared" si="1245"/>
        <v>0</v>
      </c>
      <c r="P2076" s="529">
        <f t="shared" si="1246"/>
        <v>63.2628571428571</v>
      </c>
      <c r="Q2076" s="24">
        <f t="shared" si="1247"/>
        <v>7</v>
      </c>
      <c r="R2076" s="530">
        <f t="shared" si="1248"/>
        <v>0.0414201183431953</v>
      </c>
    </row>
    <row r="2077" spans="1:18">
      <c r="A2077" s="524"/>
      <c r="B2077" s="540" t="s">
        <v>100</v>
      </c>
      <c r="C2077" s="552">
        <v>793.99</v>
      </c>
      <c r="D2077" s="553">
        <v>61101</v>
      </c>
      <c r="E2077" s="553">
        <v>943</v>
      </c>
      <c r="F2077" s="551">
        <v>0</v>
      </c>
      <c r="G2077" s="551">
        <v>0</v>
      </c>
      <c r="H2077" s="551">
        <v>19</v>
      </c>
      <c r="I2077" s="551">
        <v>9</v>
      </c>
      <c r="J2077" s="551">
        <v>3</v>
      </c>
      <c r="K2077" s="527">
        <f t="shared" si="1241"/>
        <v>0.0154334626274529</v>
      </c>
      <c r="L2077" s="528">
        <f t="shared" si="1242"/>
        <v>0.841983032873807</v>
      </c>
      <c r="M2077" s="528">
        <f t="shared" si="1243"/>
        <v>12.9947136708074</v>
      </c>
      <c r="N2077" s="528">
        <f t="shared" si="1244"/>
        <v>0</v>
      </c>
      <c r="O2077" s="528">
        <f t="shared" si="1245"/>
        <v>0</v>
      </c>
      <c r="P2077" s="529">
        <f t="shared" si="1246"/>
        <v>28.3567857142857</v>
      </c>
      <c r="Q2077" s="24">
        <f t="shared" si="1247"/>
        <v>28</v>
      </c>
      <c r="R2077" s="530">
        <f t="shared" si="1248"/>
        <v>0.0296924708377519</v>
      </c>
    </row>
    <row r="2078" spans="1:18">
      <c r="A2078" s="524"/>
      <c r="B2078" s="540" t="s">
        <v>101</v>
      </c>
      <c r="C2078" s="552">
        <v>0</v>
      </c>
      <c r="D2078" s="553">
        <v>0</v>
      </c>
      <c r="E2078" s="551">
        <v>0</v>
      </c>
      <c r="F2078" s="551">
        <v>0</v>
      </c>
      <c r="G2078" s="551">
        <v>0</v>
      </c>
      <c r="H2078" s="551">
        <v>0</v>
      </c>
      <c r="I2078" s="551">
        <v>0</v>
      </c>
      <c r="J2078" s="551">
        <v>0</v>
      </c>
      <c r="K2078" s="527">
        <f t="shared" si="1241"/>
        <v>0</v>
      </c>
      <c r="L2078" s="528">
        <f t="shared" si="1242"/>
        <v>0</v>
      </c>
      <c r="M2078" s="528">
        <f t="shared" si="1243"/>
        <v>0</v>
      </c>
      <c r="N2078" s="528">
        <f t="shared" si="1244"/>
        <v>0</v>
      </c>
      <c r="O2078" s="528">
        <f t="shared" si="1245"/>
        <v>0</v>
      </c>
      <c r="P2078" s="529">
        <f t="shared" si="1246"/>
        <v>0</v>
      </c>
      <c r="Q2078" s="24">
        <f t="shared" si="1247"/>
        <v>0</v>
      </c>
      <c r="R2078" s="530">
        <f t="shared" si="1248"/>
        <v>0</v>
      </c>
    </row>
    <row r="2079" spans="1:18">
      <c r="A2079" s="524"/>
      <c r="B2079" s="531" t="s">
        <v>96</v>
      </c>
      <c r="C2079" s="533">
        <f t="shared" ref="C2079:J2079" si="1251">SUM(C2075:C2078)</f>
        <v>2036.67</v>
      </c>
      <c r="D2079" s="533">
        <f t="shared" si="1251"/>
        <v>95946</v>
      </c>
      <c r="E2079" s="533">
        <f t="shared" si="1251"/>
        <v>1971</v>
      </c>
      <c r="F2079" s="533">
        <f t="shared" si="1251"/>
        <v>0</v>
      </c>
      <c r="G2079" s="533">
        <f t="shared" si="1251"/>
        <v>0</v>
      </c>
      <c r="H2079" s="533">
        <f t="shared" si="1251"/>
        <v>53</v>
      </c>
      <c r="I2079" s="533">
        <f t="shared" si="1251"/>
        <v>16</v>
      </c>
      <c r="J2079" s="533">
        <f t="shared" si="1251"/>
        <v>6</v>
      </c>
      <c r="K2079" s="534">
        <f t="shared" si="1241"/>
        <v>0.020542805327997</v>
      </c>
      <c r="L2079" s="535">
        <f t="shared" si="1242"/>
        <v>1.03331811263318</v>
      </c>
      <c r="M2079" s="535">
        <f t="shared" si="1243"/>
        <v>21.2272528297167</v>
      </c>
      <c r="N2079" s="535">
        <f t="shared" si="1244"/>
        <v>0</v>
      </c>
      <c r="O2079" s="535">
        <f t="shared" si="1245"/>
        <v>0</v>
      </c>
      <c r="P2079" s="536">
        <f t="shared" si="1246"/>
        <v>29.5169565217391</v>
      </c>
      <c r="Q2079" s="531">
        <f t="shared" si="1247"/>
        <v>69</v>
      </c>
      <c r="R2079" s="537">
        <f t="shared" si="1248"/>
        <v>0.0350076103500761</v>
      </c>
    </row>
    <row r="2080" spans="1:18">
      <c r="A2080" s="524">
        <v>45866</v>
      </c>
      <c r="B2080" s="540" t="s">
        <v>98</v>
      </c>
      <c r="C2080" s="551">
        <v>799.77</v>
      </c>
      <c r="D2080" s="553">
        <v>22812</v>
      </c>
      <c r="E2080" s="551">
        <v>627</v>
      </c>
      <c r="F2080" s="551">
        <v>0</v>
      </c>
      <c r="G2080" s="551">
        <v>0</v>
      </c>
      <c r="H2080" s="551">
        <v>40</v>
      </c>
      <c r="I2080" s="551">
        <v>6</v>
      </c>
      <c r="J2080" s="551">
        <v>1</v>
      </c>
      <c r="K2080" s="527">
        <f t="shared" si="1241"/>
        <v>0.0274855339295108</v>
      </c>
      <c r="L2080" s="528">
        <f t="shared" si="1242"/>
        <v>1.27555023923445</v>
      </c>
      <c r="M2080" s="528">
        <f t="shared" si="1243"/>
        <v>35.0591793792741</v>
      </c>
      <c r="N2080" s="528">
        <f t="shared" si="1244"/>
        <v>0</v>
      </c>
      <c r="O2080" s="528">
        <f t="shared" si="1245"/>
        <v>0</v>
      </c>
      <c r="P2080" s="529">
        <f t="shared" si="1246"/>
        <v>17.3863043478261</v>
      </c>
      <c r="Q2080" s="24">
        <f t="shared" si="1247"/>
        <v>46</v>
      </c>
      <c r="R2080" s="530">
        <f t="shared" si="1248"/>
        <v>0.0733652312599681</v>
      </c>
    </row>
    <row r="2081" spans="1:18">
      <c r="A2081" s="524"/>
      <c r="B2081" s="540" t="s">
        <v>99</v>
      </c>
      <c r="C2081" s="551">
        <v>1092.59</v>
      </c>
      <c r="D2081" s="555">
        <v>10121</v>
      </c>
      <c r="E2081" s="551">
        <v>682</v>
      </c>
      <c r="F2081" s="551">
        <v>0</v>
      </c>
      <c r="G2081" s="551">
        <v>0</v>
      </c>
      <c r="H2081" s="555">
        <v>18</v>
      </c>
      <c r="I2081" s="555">
        <v>1</v>
      </c>
      <c r="J2081" s="555">
        <v>3</v>
      </c>
      <c r="K2081" s="527">
        <f t="shared" si="1241"/>
        <v>0.0673846457859895</v>
      </c>
      <c r="L2081" s="528">
        <f t="shared" si="1242"/>
        <v>1.60203812316716</v>
      </c>
      <c r="M2081" s="528">
        <f t="shared" si="1243"/>
        <v>107.95277146527</v>
      </c>
      <c r="N2081" s="528">
        <f t="shared" si="1244"/>
        <v>0</v>
      </c>
      <c r="O2081" s="528">
        <f t="shared" si="1245"/>
        <v>0</v>
      </c>
      <c r="P2081" s="529">
        <f t="shared" si="1246"/>
        <v>57.5047368421053</v>
      </c>
      <c r="Q2081" s="24">
        <f t="shared" si="1247"/>
        <v>19</v>
      </c>
      <c r="R2081" s="530">
        <f t="shared" si="1248"/>
        <v>0.0278592375366569</v>
      </c>
    </row>
    <row r="2082" spans="1:18">
      <c r="A2082" s="524"/>
      <c r="B2082" s="540" t="s">
        <v>100</v>
      </c>
      <c r="C2082" s="552">
        <v>693.32</v>
      </c>
      <c r="D2082" s="553">
        <v>37735</v>
      </c>
      <c r="E2082" s="553">
        <v>613</v>
      </c>
      <c r="F2082" s="551">
        <v>1</v>
      </c>
      <c r="G2082" s="551">
        <v>14934</v>
      </c>
      <c r="H2082" s="551">
        <v>21</v>
      </c>
      <c r="I2082" s="551">
        <v>6</v>
      </c>
      <c r="J2082" s="551">
        <v>0</v>
      </c>
      <c r="K2082" s="527">
        <f t="shared" si="1241"/>
        <v>0.016244865509474</v>
      </c>
      <c r="L2082" s="528">
        <f t="shared" si="1242"/>
        <v>1.1310277324633</v>
      </c>
      <c r="M2082" s="528">
        <f t="shared" si="1243"/>
        <v>18.3733934013515</v>
      </c>
      <c r="N2082" s="528">
        <f t="shared" si="1244"/>
        <v>21.5398373045635</v>
      </c>
      <c r="O2082" s="528">
        <f t="shared" si="1245"/>
        <v>0.00163132137030995</v>
      </c>
      <c r="P2082" s="529">
        <f t="shared" si="1246"/>
        <v>25.6785185185185</v>
      </c>
      <c r="Q2082" s="24">
        <f t="shared" si="1247"/>
        <v>27</v>
      </c>
      <c r="R2082" s="530">
        <f t="shared" si="1248"/>
        <v>0.0440456769983687</v>
      </c>
    </row>
    <row r="2083" spans="1:18">
      <c r="A2083" s="524"/>
      <c r="B2083" s="540" t="s">
        <v>101</v>
      </c>
      <c r="C2083" s="552">
        <v>0</v>
      </c>
      <c r="D2083" s="553">
        <v>0</v>
      </c>
      <c r="E2083" s="551">
        <v>0</v>
      </c>
      <c r="F2083" s="551">
        <v>0</v>
      </c>
      <c r="G2083" s="551">
        <v>0</v>
      </c>
      <c r="H2083" s="551">
        <v>0</v>
      </c>
      <c r="I2083" s="551">
        <v>0</v>
      </c>
      <c r="J2083" s="551">
        <v>0</v>
      </c>
      <c r="K2083" s="527">
        <f t="shared" si="1241"/>
        <v>0</v>
      </c>
      <c r="L2083" s="528">
        <f t="shared" si="1242"/>
        <v>0</v>
      </c>
      <c r="M2083" s="528">
        <f t="shared" si="1243"/>
        <v>0</v>
      </c>
      <c r="N2083" s="528">
        <f t="shared" si="1244"/>
        <v>0</v>
      </c>
      <c r="O2083" s="528">
        <f t="shared" si="1245"/>
        <v>0</v>
      </c>
      <c r="P2083" s="529">
        <f t="shared" si="1246"/>
        <v>0</v>
      </c>
      <c r="Q2083" s="24">
        <f t="shared" si="1247"/>
        <v>0</v>
      </c>
      <c r="R2083" s="530">
        <f t="shared" si="1248"/>
        <v>0</v>
      </c>
    </row>
    <row r="2084" spans="1:18">
      <c r="A2084" s="524"/>
      <c r="B2084" s="531" t="s">
        <v>96</v>
      </c>
      <c r="C2084" s="533">
        <f t="shared" ref="C2084:J2084" si="1252">SUM(C2080:C2083)</f>
        <v>2585.68</v>
      </c>
      <c r="D2084" s="533">
        <f t="shared" si="1252"/>
        <v>70668</v>
      </c>
      <c r="E2084" s="533">
        <f t="shared" si="1252"/>
        <v>1922</v>
      </c>
      <c r="F2084" s="533">
        <f t="shared" si="1252"/>
        <v>1</v>
      </c>
      <c r="G2084" s="533">
        <f t="shared" si="1252"/>
        <v>14934</v>
      </c>
      <c r="H2084" s="533">
        <f t="shared" si="1252"/>
        <v>79</v>
      </c>
      <c r="I2084" s="533">
        <f t="shared" si="1252"/>
        <v>13</v>
      </c>
      <c r="J2084" s="533">
        <f t="shared" si="1252"/>
        <v>4</v>
      </c>
      <c r="K2084" s="534">
        <f t="shared" si="1241"/>
        <v>0.0271976000452822</v>
      </c>
      <c r="L2084" s="535">
        <f t="shared" si="1242"/>
        <v>1.34530697190427</v>
      </c>
      <c r="M2084" s="535">
        <f t="shared" si="1243"/>
        <v>36.5891209599819</v>
      </c>
      <c r="N2084" s="535">
        <f t="shared" si="1244"/>
        <v>5.77565669379042</v>
      </c>
      <c r="O2084" s="535">
        <f t="shared" si="1245"/>
        <v>0.000520291363163372</v>
      </c>
      <c r="P2084" s="536">
        <f t="shared" si="1246"/>
        <v>28.1052173913043</v>
      </c>
      <c r="Q2084" s="531">
        <f t="shared" si="1247"/>
        <v>92</v>
      </c>
      <c r="R2084" s="537">
        <f t="shared" si="1248"/>
        <v>0.0478668054110302</v>
      </c>
    </row>
    <row r="2085" spans="1:18">
      <c r="A2085" s="524">
        <v>45867</v>
      </c>
      <c r="B2085" s="540" t="s">
        <v>98</v>
      </c>
      <c r="C2085" s="551">
        <v>799.02</v>
      </c>
      <c r="D2085" s="553">
        <v>19105</v>
      </c>
      <c r="E2085" s="551">
        <v>604</v>
      </c>
      <c r="F2085" s="551">
        <v>0</v>
      </c>
      <c r="G2085" s="551">
        <v>0</v>
      </c>
      <c r="H2085" s="551">
        <v>18</v>
      </c>
      <c r="I2085" s="551">
        <v>3</v>
      </c>
      <c r="J2085" s="551">
        <v>4</v>
      </c>
      <c r="K2085" s="527">
        <f t="shared" si="1241"/>
        <v>0.0316147605338917</v>
      </c>
      <c r="L2085" s="528">
        <f t="shared" si="1242"/>
        <v>1.32288079470199</v>
      </c>
      <c r="M2085" s="528">
        <f t="shared" si="1243"/>
        <v>41.8225595393876</v>
      </c>
      <c r="N2085" s="528">
        <f t="shared" si="1244"/>
        <v>0</v>
      </c>
      <c r="O2085" s="528">
        <f t="shared" si="1245"/>
        <v>0</v>
      </c>
      <c r="P2085" s="529">
        <f t="shared" si="1246"/>
        <v>38.0485714285714</v>
      </c>
      <c r="Q2085" s="24">
        <f t="shared" si="1247"/>
        <v>21</v>
      </c>
      <c r="R2085" s="530">
        <f t="shared" si="1248"/>
        <v>0.0347682119205298</v>
      </c>
    </row>
    <row r="2086" spans="1:18">
      <c r="A2086" s="524"/>
      <c r="B2086" s="540" t="s">
        <v>99</v>
      </c>
      <c r="C2086" s="551">
        <v>5.83</v>
      </c>
      <c r="D2086" s="555">
        <v>2</v>
      </c>
      <c r="E2086" s="551">
        <v>1</v>
      </c>
      <c r="F2086" s="551">
        <v>0</v>
      </c>
      <c r="G2086" s="551">
        <v>0</v>
      </c>
      <c r="H2086" s="555">
        <v>0</v>
      </c>
      <c r="I2086" s="555">
        <v>0</v>
      </c>
      <c r="J2086" s="555">
        <v>0</v>
      </c>
      <c r="K2086" s="527">
        <f t="shared" si="1241"/>
        <v>0.5</v>
      </c>
      <c r="L2086" s="528">
        <f t="shared" si="1242"/>
        <v>5.83</v>
      </c>
      <c r="M2086" s="528">
        <f t="shared" si="1243"/>
        <v>2915</v>
      </c>
      <c r="N2086" s="528">
        <f t="shared" si="1244"/>
        <v>0</v>
      </c>
      <c r="O2086" s="528">
        <f t="shared" si="1245"/>
        <v>0</v>
      </c>
      <c r="P2086" s="529">
        <f t="shared" si="1246"/>
        <v>0</v>
      </c>
      <c r="Q2086" s="24">
        <f t="shared" si="1247"/>
        <v>0</v>
      </c>
      <c r="R2086" s="530">
        <f t="shared" si="1248"/>
        <v>0</v>
      </c>
    </row>
    <row r="2087" spans="1:18">
      <c r="A2087" s="524"/>
      <c r="B2087" s="540" t="s">
        <v>100</v>
      </c>
      <c r="C2087" s="552">
        <v>797.71</v>
      </c>
      <c r="D2087" s="553">
        <v>39409</v>
      </c>
      <c r="E2087" s="553">
        <v>783</v>
      </c>
      <c r="F2087" s="551">
        <v>4</v>
      </c>
      <c r="G2087" s="551">
        <v>46892</v>
      </c>
      <c r="H2087" s="551">
        <v>14</v>
      </c>
      <c r="I2087" s="551">
        <v>10</v>
      </c>
      <c r="J2087" s="551">
        <v>4</v>
      </c>
      <c r="K2087" s="527">
        <f t="shared" si="1241"/>
        <v>0.0198685579436169</v>
      </c>
      <c r="L2087" s="528">
        <f t="shared" si="1242"/>
        <v>1.01878671775223</v>
      </c>
      <c r="M2087" s="528">
        <f t="shared" si="1243"/>
        <v>20.2418229338476</v>
      </c>
      <c r="N2087" s="528">
        <f t="shared" si="1244"/>
        <v>58.7832671020797</v>
      </c>
      <c r="O2087" s="528">
        <f t="shared" si="1245"/>
        <v>0.00510855683269476</v>
      </c>
      <c r="P2087" s="529">
        <f t="shared" si="1246"/>
        <v>33.2379166666667</v>
      </c>
      <c r="Q2087" s="24">
        <f t="shared" si="1247"/>
        <v>24</v>
      </c>
      <c r="R2087" s="530">
        <f t="shared" si="1248"/>
        <v>0.0306513409961686</v>
      </c>
    </row>
    <row r="2088" spans="1:18">
      <c r="A2088" s="524"/>
      <c r="B2088" s="540" t="s">
        <v>101</v>
      </c>
      <c r="C2088" s="552">
        <v>0</v>
      </c>
      <c r="D2088" s="553">
        <v>0</v>
      </c>
      <c r="E2088" s="551">
        <v>0</v>
      </c>
      <c r="F2088" s="551">
        <v>0</v>
      </c>
      <c r="G2088" s="551">
        <v>0</v>
      </c>
      <c r="H2088" s="551">
        <v>0</v>
      </c>
      <c r="I2088" s="551">
        <v>0</v>
      </c>
      <c r="J2088" s="551">
        <v>0</v>
      </c>
      <c r="K2088" s="527">
        <f t="shared" si="1241"/>
        <v>0</v>
      </c>
      <c r="L2088" s="528">
        <f t="shared" si="1242"/>
        <v>0</v>
      </c>
      <c r="M2088" s="528">
        <f t="shared" si="1243"/>
        <v>0</v>
      </c>
      <c r="N2088" s="528">
        <f t="shared" si="1244"/>
        <v>0</v>
      </c>
      <c r="O2088" s="528">
        <f t="shared" si="1245"/>
        <v>0</v>
      </c>
      <c r="P2088" s="529">
        <f t="shared" si="1246"/>
        <v>0</v>
      </c>
      <c r="Q2088" s="24">
        <f t="shared" si="1247"/>
        <v>0</v>
      </c>
      <c r="R2088" s="530">
        <f t="shared" si="1248"/>
        <v>0</v>
      </c>
    </row>
    <row r="2089" spans="1:18">
      <c r="A2089" s="524"/>
      <c r="B2089" s="531" t="s">
        <v>96</v>
      </c>
      <c r="C2089" s="533">
        <f t="shared" ref="C2089:J2089" si="1253">SUM(C2085:C2088)</f>
        <v>1602.56</v>
      </c>
      <c r="D2089" s="533">
        <f t="shared" si="1253"/>
        <v>58516</v>
      </c>
      <c r="E2089" s="533">
        <f t="shared" si="1253"/>
        <v>1388</v>
      </c>
      <c r="F2089" s="533">
        <f t="shared" si="1253"/>
        <v>4</v>
      </c>
      <c r="G2089" s="533">
        <f t="shared" si="1253"/>
        <v>46892</v>
      </c>
      <c r="H2089" s="533">
        <f t="shared" si="1253"/>
        <v>32</v>
      </c>
      <c r="I2089" s="533">
        <f t="shared" si="1253"/>
        <v>13</v>
      </c>
      <c r="J2089" s="533">
        <f t="shared" si="1253"/>
        <v>8</v>
      </c>
      <c r="K2089" s="534">
        <f t="shared" si="1241"/>
        <v>0.0237200082028847</v>
      </c>
      <c r="L2089" s="535">
        <f t="shared" si="1242"/>
        <v>1.15458213256484</v>
      </c>
      <c r="M2089" s="535">
        <f t="shared" si="1243"/>
        <v>27.3866976553421</v>
      </c>
      <c r="N2089" s="535">
        <f t="shared" si="1244"/>
        <v>29.2606829073482</v>
      </c>
      <c r="O2089" s="535">
        <f t="shared" si="1245"/>
        <v>0.00288184438040346</v>
      </c>
      <c r="P2089" s="536">
        <f t="shared" si="1246"/>
        <v>35.6124444444444</v>
      </c>
      <c r="Q2089" s="531">
        <f t="shared" si="1247"/>
        <v>45</v>
      </c>
      <c r="R2089" s="537">
        <f t="shared" si="1248"/>
        <v>0.0324207492795389</v>
      </c>
    </row>
    <row r="2090" spans="1:18">
      <c r="A2090" s="524">
        <v>45868</v>
      </c>
      <c r="B2090" s="540" t="s">
        <v>98</v>
      </c>
      <c r="C2090" s="551">
        <v>800</v>
      </c>
      <c r="D2090" s="553">
        <v>22639</v>
      </c>
      <c r="E2090" s="551">
        <v>663</v>
      </c>
      <c r="F2090" s="551">
        <v>1</v>
      </c>
      <c r="G2090" s="551">
        <v>12354</v>
      </c>
      <c r="H2090" s="551">
        <v>7</v>
      </c>
      <c r="I2090" s="551">
        <v>2</v>
      </c>
      <c r="J2090" s="551">
        <v>3</v>
      </c>
      <c r="K2090" s="527">
        <f t="shared" si="1241"/>
        <v>0.0292857458368302</v>
      </c>
      <c r="L2090" s="528">
        <f t="shared" si="1242"/>
        <v>1.20663650075415</v>
      </c>
      <c r="M2090" s="528">
        <f t="shared" si="1243"/>
        <v>35.3372498785282</v>
      </c>
      <c r="N2090" s="528">
        <f t="shared" si="1244"/>
        <v>15.4425</v>
      </c>
      <c r="O2090" s="528">
        <f t="shared" si="1245"/>
        <v>0.00150829562594268</v>
      </c>
      <c r="P2090" s="529">
        <f t="shared" si="1246"/>
        <v>88.8888888888889</v>
      </c>
      <c r="Q2090" s="24">
        <f t="shared" si="1247"/>
        <v>9</v>
      </c>
      <c r="R2090" s="530">
        <f t="shared" si="1248"/>
        <v>0.0135746606334842</v>
      </c>
    </row>
    <row r="2091" spans="1:18">
      <c r="A2091" s="524"/>
      <c r="B2091" s="540" t="s">
        <v>99</v>
      </c>
      <c r="C2091" s="551">
        <v>1087.26</v>
      </c>
      <c r="D2091" s="555">
        <v>11927</v>
      </c>
      <c r="E2091" s="551">
        <v>687</v>
      </c>
      <c r="F2091" s="551">
        <v>5</v>
      </c>
      <c r="G2091" s="551">
        <v>64185</v>
      </c>
      <c r="H2091" s="555">
        <v>23</v>
      </c>
      <c r="I2091" s="555">
        <v>2</v>
      </c>
      <c r="J2091" s="555">
        <v>2</v>
      </c>
      <c r="K2091" s="527">
        <f t="shared" si="1241"/>
        <v>0.0576004024482267</v>
      </c>
      <c r="L2091" s="528">
        <f t="shared" si="1242"/>
        <v>1.58262008733624</v>
      </c>
      <c r="M2091" s="528">
        <f t="shared" si="1243"/>
        <v>91.1595539532154</v>
      </c>
      <c r="N2091" s="528">
        <f t="shared" si="1244"/>
        <v>59.0337177859941</v>
      </c>
      <c r="O2091" s="528">
        <f t="shared" si="1245"/>
        <v>0.00727802037845706</v>
      </c>
      <c r="P2091" s="529">
        <f t="shared" si="1246"/>
        <v>43.4904</v>
      </c>
      <c r="Q2091" s="24">
        <f t="shared" si="1247"/>
        <v>25</v>
      </c>
      <c r="R2091" s="530">
        <f t="shared" si="1248"/>
        <v>0.0363901018922853</v>
      </c>
    </row>
    <row r="2092" spans="1:18">
      <c r="A2092" s="524"/>
      <c r="B2092" s="540" t="s">
        <v>100</v>
      </c>
      <c r="C2092" s="552">
        <v>795.96</v>
      </c>
      <c r="D2092" s="553">
        <v>56569</v>
      </c>
      <c r="E2092" s="553">
        <v>828</v>
      </c>
      <c r="F2092" s="551">
        <v>0</v>
      </c>
      <c r="G2092" s="551">
        <v>0</v>
      </c>
      <c r="H2092" s="551">
        <v>30</v>
      </c>
      <c r="I2092" s="551">
        <v>12</v>
      </c>
      <c r="J2092" s="551">
        <v>3</v>
      </c>
      <c r="K2092" s="527">
        <f t="shared" si="1241"/>
        <v>0.0146369919920805</v>
      </c>
      <c r="L2092" s="528">
        <f t="shared" si="1242"/>
        <v>0.961304347826087</v>
      </c>
      <c r="M2092" s="528">
        <f t="shared" si="1243"/>
        <v>14.0706040410826</v>
      </c>
      <c r="N2092" s="528">
        <f t="shared" si="1244"/>
        <v>0</v>
      </c>
      <c r="O2092" s="528">
        <f t="shared" si="1245"/>
        <v>0</v>
      </c>
      <c r="P2092" s="529">
        <f t="shared" si="1246"/>
        <v>18.9514285714286</v>
      </c>
      <c r="Q2092" s="24">
        <f t="shared" si="1247"/>
        <v>42</v>
      </c>
      <c r="R2092" s="530">
        <f t="shared" si="1248"/>
        <v>0.0507246376811594</v>
      </c>
    </row>
    <row r="2093" spans="1:18">
      <c r="A2093" s="524"/>
      <c r="B2093" s="540" t="s">
        <v>101</v>
      </c>
      <c r="C2093" s="552">
        <v>0</v>
      </c>
      <c r="D2093" s="553">
        <v>0</v>
      </c>
      <c r="E2093" s="551">
        <v>0</v>
      </c>
      <c r="F2093" s="551">
        <v>0</v>
      </c>
      <c r="G2093" s="551">
        <v>0</v>
      </c>
      <c r="H2093" s="551">
        <v>0</v>
      </c>
      <c r="I2093" s="551">
        <v>0</v>
      </c>
      <c r="J2093" s="551">
        <v>0</v>
      </c>
      <c r="K2093" s="527">
        <f t="shared" si="1241"/>
        <v>0</v>
      </c>
      <c r="L2093" s="528">
        <f t="shared" si="1242"/>
        <v>0</v>
      </c>
      <c r="M2093" s="528">
        <f t="shared" si="1243"/>
        <v>0</v>
      </c>
      <c r="N2093" s="528">
        <f t="shared" si="1244"/>
        <v>0</v>
      </c>
      <c r="O2093" s="528">
        <f t="shared" si="1245"/>
        <v>0</v>
      </c>
      <c r="P2093" s="529">
        <f t="shared" si="1246"/>
        <v>0</v>
      </c>
      <c r="Q2093" s="24">
        <f t="shared" si="1247"/>
        <v>0</v>
      </c>
      <c r="R2093" s="530">
        <f t="shared" si="1248"/>
        <v>0</v>
      </c>
    </row>
    <row r="2094" spans="1:18">
      <c r="A2094" s="524"/>
      <c r="B2094" s="531" t="s">
        <v>96</v>
      </c>
      <c r="C2094" s="533">
        <f t="shared" ref="C2094:J2094" si="1254">SUM(C2090:C2093)</f>
        <v>2683.22</v>
      </c>
      <c r="D2094" s="533">
        <f t="shared" si="1254"/>
        <v>91135</v>
      </c>
      <c r="E2094" s="533">
        <f t="shared" si="1254"/>
        <v>2178</v>
      </c>
      <c r="F2094" s="533">
        <f t="shared" si="1254"/>
        <v>6</v>
      </c>
      <c r="G2094" s="533">
        <f t="shared" si="1254"/>
        <v>76539</v>
      </c>
      <c r="H2094" s="533">
        <f t="shared" si="1254"/>
        <v>60</v>
      </c>
      <c r="I2094" s="533">
        <f t="shared" si="1254"/>
        <v>16</v>
      </c>
      <c r="J2094" s="533">
        <f t="shared" si="1254"/>
        <v>8</v>
      </c>
      <c r="K2094" s="534">
        <f t="shared" si="1241"/>
        <v>0.023898611949306</v>
      </c>
      <c r="L2094" s="535">
        <f t="shared" si="1242"/>
        <v>1.23196510560147</v>
      </c>
      <c r="M2094" s="535">
        <f t="shared" si="1243"/>
        <v>29.4422559938553</v>
      </c>
      <c r="N2094" s="535">
        <f t="shared" si="1244"/>
        <v>28.525055716639</v>
      </c>
      <c r="O2094" s="535">
        <f t="shared" si="1245"/>
        <v>0.00275482093663912</v>
      </c>
      <c r="P2094" s="536">
        <f t="shared" si="1246"/>
        <v>35.3055263157895</v>
      </c>
      <c r="Q2094" s="531">
        <f t="shared" si="1247"/>
        <v>76</v>
      </c>
      <c r="R2094" s="537">
        <f t="shared" si="1248"/>
        <v>0.0348943985307622</v>
      </c>
    </row>
    <row r="2095" spans="1:18">
      <c r="A2095" s="524">
        <v>45869</v>
      </c>
      <c r="B2095" s="540" t="s">
        <v>98</v>
      </c>
      <c r="C2095" s="551">
        <v>798.98</v>
      </c>
      <c r="D2095" s="553">
        <v>24827</v>
      </c>
      <c r="E2095" s="551">
        <v>701</v>
      </c>
      <c r="F2095" s="551">
        <v>0</v>
      </c>
      <c r="G2095" s="551">
        <v>0</v>
      </c>
      <c r="H2095" s="551">
        <v>21</v>
      </c>
      <c r="I2095" s="551">
        <v>2</v>
      </c>
      <c r="J2095" s="551">
        <v>4</v>
      </c>
      <c r="K2095" s="527">
        <f t="shared" si="1241"/>
        <v>0.0282353888911266</v>
      </c>
      <c r="L2095" s="528">
        <f t="shared" si="1242"/>
        <v>1.13977175463623</v>
      </c>
      <c r="M2095" s="528">
        <f t="shared" si="1243"/>
        <v>32.1818987392758</v>
      </c>
      <c r="N2095" s="528">
        <f t="shared" si="1244"/>
        <v>0</v>
      </c>
      <c r="O2095" s="528">
        <f t="shared" si="1245"/>
        <v>0</v>
      </c>
      <c r="P2095" s="529">
        <f t="shared" si="1246"/>
        <v>34.7382608695652</v>
      </c>
      <c r="Q2095" s="24">
        <f t="shared" si="1247"/>
        <v>23</v>
      </c>
      <c r="R2095" s="530">
        <f t="shared" si="1248"/>
        <v>0.0328102710413695</v>
      </c>
    </row>
    <row r="2096" spans="1:18">
      <c r="A2096" s="524"/>
      <c r="B2096" s="540" t="s">
        <v>99</v>
      </c>
      <c r="C2096" s="551">
        <v>487.86</v>
      </c>
      <c r="D2096" s="555">
        <v>3522</v>
      </c>
      <c r="E2096" s="551">
        <v>181</v>
      </c>
      <c r="F2096" s="551">
        <v>1</v>
      </c>
      <c r="G2096" s="551">
        <v>16716</v>
      </c>
      <c r="H2096" s="555">
        <v>6</v>
      </c>
      <c r="I2096" s="555">
        <v>1</v>
      </c>
      <c r="J2096" s="555">
        <v>0</v>
      </c>
      <c r="K2096" s="527">
        <f t="shared" si="1241"/>
        <v>0.0513912549687677</v>
      </c>
      <c r="L2096" s="528">
        <f t="shared" si="1242"/>
        <v>2.6953591160221</v>
      </c>
      <c r="M2096" s="528">
        <f t="shared" si="1243"/>
        <v>138.517887563884</v>
      </c>
      <c r="N2096" s="528">
        <f t="shared" si="1244"/>
        <v>34.2639281761161</v>
      </c>
      <c r="O2096" s="528">
        <f t="shared" si="1245"/>
        <v>0.00552486187845304</v>
      </c>
      <c r="P2096" s="529">
        <f t="shared" si="1246"/>
        <v>69.6942857142857</v>
      </c>
      <c r="Q2096" s="24">
        <f t="shared" si="1247"/>
        <v>7</v>
      </c>
      <c r="R2096" s="530">
        <f t="shared" si="1248"/>
        <v>0.0386740331491713</v>
      </c>
    </row>
    <row r="2097" spans="1:18">
      <c r="A2097" s="524"/>
      <c r="B2097" s="540" t="s">
        <v>100</v>
      </c>
      <c r="C2097" s="552">
        <v>799.18</v>
      </c>
      <c r="D2097" s="553">
        <v>44942</v>
      </c>
      <c r="E2097" s="553">
        <v>698</v>
      </c>
      <c r="F2097" s="551">
        <v>0</v>
      </c>
      <c r="G2097" s="551">
        <v>0</v>
      </c>
      <c r="H2097" s="551">
        <v>21</v>
      </c>
      <c r="I2097" s="551">
        <v>8</v>
      </c>
      <c r="J2097" s="551">
        <v>3</v>
      </c>
      <c r="K2097" s="527">
        <f t="shared" si="1241"/>
        <v>0.0155311290107249</v>
      </c>
      <c r="L2097" s="528">
        <f t="shared" si="1242"/>
        <v>1.14495702005731</v>
      </c>
      <c r="M2097" s="528">
        <f t="shared" si="1243"/>
        <v>17.7824751902452</v>
      </c>
      <c r="N2097" s="528">
        <f t="shared" si="1244"/>
        <v>0</v>
      </c>
      <c r="O2097" s="528">
        <f t="shared" si="1245"/>
        <v>0</v>
      </c>
      <c r="P2097" s="529">
        <f t="shared" si="1246"/>
        <v>27.5579310344828</v>
      </c>
      <c r="Q2097" s="24">
        <f t="shared" si="1247"/>
        <v>29</v>
      </c>
      <c r="R2097" s="530">
        <f t="shared" si="1248"/>
        <v>0.0415472779369628</v>
      </c>
    </row>
    <row r="2098" spans="1:18">
      <c r="A2098" s="524"/>
      <c r="B2098" s="540" t="s">
        <v>101</v>
      </c>
      <c r="C2098" s="552">
        <v>0</v>
      </c>
      <c r="D2098" s="553">
        <v>0</v>
      </c>
      <c r="E2098" s="551">
        <v>0</v>
      </c>
      <c r="F2098" s="551">
        <v>0</v>
      </c>
      <c r="G2098" s="551">
        <v>0</v>
      </c>
      <c r="H2098" s="551">
        <v>0</v>
      </c>
      <c r="I2098" s="551">
        <v>0</v>
      </c>
      <c r="J2098" s="551">
        <v>0</v>
      </c>
      <c r="K2098" s="527">
        <f t="shared" si="1241"/>
        <v>0</v>
      </c>
      <c r="L2098" s="528">
        <f t="shared" si="1242"/>
        <v>0</v>
      </c>
      <c r="M2098" s="528">
        <f t="shared" si="1243"/>
        <v>0</v>
      </c>
      <c r="N2098" s="528">
        <f t="shared" si="1244"/>
        <v>0</v>
      </c>
      <c r="O2098" s="528">
        <f t="shared" si="1245"/>
        <v>0</v>
      </c>
      <c r="P2098" s="529">
        <f t="shared" si="1246"/>
        <v>0</v>
      </c>
      <c r="Q2098" s="24">
        <f t="shared" si="1247"/>
        <v>0</v>
      </c>
      <c r="R2098" s="530">
        <f t="shared" si="1248"/>
        <v>0</v>
      </c>
    </row>
    <row r="2099" spans="1:18">
      <c r="A2099" s="524"/>
      <c r="B2099" s="531" t="s">
        <v>96</v>
      </c>
      <c r="C2099" s="533">
        <f t="shared" ref="C2099:J2099" si="1255">SUM(C2095:C2098)</f>
        <v>2086.02</v>
      </c>
      <c r="D2099" s="533">
        <f t="shared" si="1255"/>
        <v>73291</v>
      </c>
      <c r="E2099" s="533">
        <f t="shared" si="1255"/>
        <v>1580</v>
      </c>
      <c r="F2099" s="533">
        <f t="shared" si="1255"/>
        <v>1</v>
      </c>
      <c r="G2099" s="533">
        <f t="shared" si="1255"/>
        <v>16716</v>
      </c>
      <c r="H2099" s="533">
        <f t="shared" si="1255"/>
        <v>48</v>
      </c>
      <c r="I2099" s="533">
        <f t="shared" si="1255"/>
        <v>11</v>
      </c>
      <c r="J2099" s="533">
        <f t="shared" si="1255"/>
        <v>7</v>
      </c>
      <c r="K2099" s="534">
        <f t="shared" si="1241"/>
        <v>0.0215578993327967</v>
      </c>
      <c r="L2099" s="535">
        <f t="shared" si="1242"/>
        <v>1.32026582278481</v>
      </c>
      <c r="M2099" s="535">
        <f t="shared" si="1243"/>
        <v>28.4621577001269</v>
      </c>
      <c r="N2099" s="535">
        <f t="shared" si="1244"/>
        <v>8.01334598901257</v>
      </c>
      <c r="O2099" s="535">
        <f t="shared" si="1245"/>
        <v>0.000632911392405063</v>
      </c>
      <c r="P2099" s="536">
        <f t="shared" si="1246"/>
        <v>35.3562711864407</v>
      </c>
      <c r="Q2099" s="531">
        <f t="shared" si="1247"/>
        <v>59</v>
      </c>
      <c r="R2099" s="537">
        <f t="shared" si="1248"/>
        <v>0.0373417721518987</v>
      </c>
    </row>
    <row r="2100" spans="1:18">
      <c r="A2100" s="524">
        <v>45870</v>
      </c>
      <c r="B2100" s="540" t="s">
        <v>98</v>
      </c>
      <c r="C2100" s="551">
        <v>569.62</v>
      </c>
      <c r="D2100" s="553">
        <v>17243</v>
      </c>
      <c r="E2100" s="551">
        <v>565</v>
      </c>
      <c r="F2100" s="551">
        <v>4</v>
      </c>
      <c r="G2100" s="551">
        <v>60106</v>
      </c>
      <c r="H2100" s="551">
        <v>15</v>
      </c>
      <c r="I2100" s="551">
        <v>3</v>
      </c>
      <c r="J2100" s="551">
        <v>3</v>
      </c>
      <c r="K2100" s="527">
        <f t="shared" si="1241"/>
        <v>0.0327669199095285</v>
      </c>
      <c r="L2100" s="528">
        <f t="shared" si="1242"/>
        <v>1.00817699115044</v>
      </c>
      <c r="M2100" s="528">
        <f t="shared" si="1243"/>
        <v>33.034854723656</v>
      </c>
      <c r="N2100" s="528">
        <f t="shared" si="1244"/>
        <v>105.519469119764</v>
      </c>
      <c r="O2100" s="528">
        <f t="shared" si="1245"/>
        <v>0.00707964601769911</v>
      </c>
      <c r="P2100" s="529">
        <f t="shared" si="1246"/>
        <v>31.6455555555556</v>
      </c>
      <c r="Q2100" s="24">
        <f t="shared" si="1247"/>
        <v>18</v>
      </c>
      <c r="R2100" s="530">
        <f t="shared" si="1248"/>
        <v>0.031858407079646</v>
      </c>
    </row>
    <row r="2101" spans="1:18">
      <c r="A2101" s="524"/>
      <c r="B2101" s="540" t="s">
        <v>99</v>
      </c>
      <c r="C2101" s="551">
        <v>487.86</v>
      </c>
      <c r="D2101" s="555">
        <v>3522</v>
      </c>
      <c r="E2101" s="551">
        <v>181</v>
      </c>
      <c r="F2101" s="551">
        <v>0</v>
      </c>
      <c r="G2101" s="551">
        <v>0</v>
      </c>
      <c r="H2101" s="555">
        <v>6</v>
      </c>
      <c r="I2101" s="555">
        <v>1</v>
      </c>
      <c r="J2101" s="555">
        <v>0</v>
      </c>
      <c r="K2101" s="527">
        <f t="shared" si="1241"/>
        <v>0.0513912549687677</v>
      </c>
      <c r="L2101" s="528">
        <f t="shared" si="1242"/>
        <v>2.6953591160221</v>
      </c>
      <c r="M2101" s="528">
        <f t="shared" si="1243"/>
        <v>138.517887563884</v>
      </c>
      <c r="N2101" s="528">
        <f t="shared" si="1244"/>
        <v>0</v>
      </c>
      <c r="O2101" s="528">
        <f t="shared" si="1245"/>
        <v>0</v>
      </c>
      <c r="P2101" s="529">
        <f t="shared" si="1246"/>
        <v>69.6942857142857</v>
      </c>
      <c r="Q2101" s="24">
        <f t="shared" si="1247"/>
        <v>7</v>
      </c>
      <c r="R2101" s="530">
        <f t="shared" si="1248"/>
        <v>0.0386740331491713</v>
      </c>
    </row>
    <row r="2102" spans="1:18">
      <c r="A2102" s="524"/>
      <c r="B2102" s="540" t="s">
        <v>100</v>
      </c>
      <c r="C2102" s="552">
        <v>560.06</v>
      </c>
      <c r="D2102" s="553">
        <v>32197</v>
      </c>
      <c r="E2102" s="553">
        <v>460</v>
      </c>
      <c r="F2102" s="551">
        <v>0</v>
      </c>
      <c r="G2102" s="551">
        <v>0</v>
      </c>
      <c r="H2102" s="551">
        <v>11</v>
      </c>
      <c r="I2102" s="551">
        <v>3</v>
      </c>
      <c r="J2102" s="551">
        <v>2</v>
      </c>
      <c r="K2102" s="527">
        <f t="shared" si="1241"/>
        <v>0.0142870453768985</v>
      </c>
      <c r="L2102" s="528">
        <f t="shared" si="1242"/>
        <v>1.21752173913043</v>
      </c>
      <c r="M2102" s="528">
        <f t="shared" si="1243"/>
        <v>17.3947883343169</v>
      </c>
      <c r="N2102" s="528">
        <f t="shared" si="1244"/>
        <v>0</v>
      </c>
      <c r="O2102" s="528">
        <f t="shared" si="1245"/>
        <v>0</v>
      </c>
      <c r="P2102" s="529">
        <f t="shared" si="1246"/>
        <v>40.0042857142857</v>
      </c>
      <c r="Q2102" s="24">
        <f t="shared" si="1247"/>
        <v>14</v>
      </c>
      <c r="R2102" s="530">
        <f t="shared" si="1248"/>
        <v>0.0304347826086957</v>
      </c>
    </row>
    <row r="2103" spans="1:18">
      <c r="A2103" s="524"/>
      <c r="B2103" s="540" t="s">
        <v>101</v>
      </c>
      <c r="C2103" s="552">
        <v>0</v>
      </c>
      <c r="D2103" s="553">
        <v>0</v>
      </c>
      <c r="E2103" s="551">
        <v>0</v>
      </c>
      <c r="F2103" s="551">
        <v>0</v>
      </c>
      <c r="G2103" s="551">
        <v>0</v>
      </c>
      <c r="H2103" s="551">
        <v>0</v>
      </c>
      <c r="I2103" s="551">
        <v>0</v>
      </c>
      <c r="J2103" s="551">
        <v>0</v>
      </c>
      <c r="K2103" s="527">
        <f t="shared" si="1241"/>
        <v>0</v>
      </c>
      <c r="L2103" s="528">
        <f t="shared" si="1242"/>
        <v>0</v>
      </c>
      <c r="M2103" s="528">
        <f t="shared" si="1243"/>
        <v>0</v>
      </c>
      <c r="N2103" s="528">
        <f t="shared" si="1244"/>
        <v>0</v>
      </c>
      <c r="O2103" s="528">
        <f t="shared" si="1245"/>
        <v>0</v>
      </c>
      <c r="P2103" s="529">
        <f t="shared" si="1246"/>
        <v>0</v>
      </c>
      <c r="Q2103" s="24">
        <f t="shared" si="1247"/>
        <v>0</v>
      </c>
      <c r="R2103" s="530">
        <f t="shared" si="1248"/>
        <v>0</v>
      </c>
    </row>
    <row r="2104" spans="1:18">
      <c r="A2104" s="524"/>
      <c r="B2104" s="531" t="s">
        <v>96</v>
      </c>
      <c r="C2104" s="533">
        <f t="shared" ref="C2104:J2104" si="1256">SUM(C2100:C2103)</f>
        <v>1617.54</v>
      </c>
      <c r="D2104" s="533">
        <f t="shared" si="1256"/>
        <v>52962</v>
      </c>
      <c r="E2104" s="533">
        <f t="shared" si="1256"/>
        <v>1206</v>
      </c>
      <c r="F2104" s="533">
        <f t="shared" si="1256"/>
        <v>4</v>
      </c>
      <c r="G2104" s="533">
        <f t="shared" si="1256"/>
        <v>60106</v>
      </c>
      <c r="H2104" s="533">
        <f t="shared" si="1256"/>
        <v>32</v>
      </c>
      <c r="I2104" s="533">
        <f t="shared" si="1256"/>
        <v>7</v>
      </c>
      <c r="J2104" s="533">
        <f t="shared" si="1256"/>
        <v>5</v>
      </c>
      <c r="K2104" s="534">
        <f t="shared" si="1241"/>
        <v>0.0227710433896001</v>
      </c>
      <c r="L2104" s="535">
        <f t="shared" si="1242"/>
        <v>1.34124378109453</v>
      </c>
      <c r="M2104" s="535">
        <f t="shared" si="1243"/>
        <v>30.5415203353348</v>
      </c>
      <c r="N2104" s="535">
        <f t="shared" si="1244"/>
        <v>37.1588956069093</v>
      </c>
      <c r="O2104" s="535">
        <f t="shared" si="1245"/>
        <v>0.0033167495854063</v>
      </c>
      <c r="P2104" s="536">
        <f t="shared" si="1246"/>
        <v>41.4753846153846</v>
      </c>
      <c r="Q2104" s="531">
        <f t="shared" si="1247"/>
        <v>39</v>
      </c>
      <c r="R2104" s="537">
        <f t="shared" si="1248"/>
        <v>0.0323383084577114</v>
      </c>
    </row>
    <row r="2105" spans="1:18">
      <c r="A2105" s="524">
        <v>45871</v>
      </c>
      <c r="B2105" s="540" t="s">
        <v>98</v>
      </c>
      <c r="C2105" s="551">
        <v>793.11</v>
      </c>
      <c r="D2105" s="553">
        <v>12783</v>
      </c>
      <c r="E2105" s="551">
        <v>510</v>
      </c>
      <c r="F2105" s="551">
        <v>1</v>
      </c>
      <c r="G2105" s="551">
        <v>24840</v>
      </c>
      <c r="H2105" s="551">
        <v>15</v>
      </c>
      <c r="I2105" s="551">
        <v>3</v>
      </c>
      <c r="J2105" s="551">
        <v>0</v>
      </c>
      <c r="K2105" s="527">
        <f t="shared" si="1241"/>
        <v>0.0398967378549636</v>
      </c>
      <c r="L2105" s="528">
        <f t="shared" si="1242"/>
        <v>1.55511764705882</v>
      </c>
      <c r="M2105" s="528">
        <f t="shared" si="1243"/>
        <v>62.0441210983337</v>
      </c>
      <c r="N2105" s="528">
        <f t="shared" si="1244"/>
        <v>31.3197412717025</v>
      </c>
      <c r="O2105" s="528">
        <f t="shared" si="1245"/>
        <v>0.00196078431372549</v>
      </c>
      <c r="P2105" s="529">
        <f t="shared" si="1246"/>
        <v>44.0616666666667</v>
      </c>
      <c r="Q2105" s="24">
        <f t="shared" si="1247"/>
        <v>18</v>
      </c>
      <c r="R2105" s="530">
        <f t="shared" si="1248"/>
        <v>0.0352941176470588</v>
      </c>
    </row>
    <row r="2106" spans="1:18">
      <c r="A2106" s="524"/>
      <c r="B2106" s="540" t="s">
        <v>99</v>
      </c>
      <c r="C2106" s="551">
        <v>448.54</v>
      </c>
      <c r="D2106" s="555">
        <v>2483</v>
      </c>
      <c r="E2106" s="551">
        <v>303</v>
      </c>
      <c r="F2106" s="551">
        <v>0</v>
      </c>
      <c r="G2106" s="551">
        <v>0</v>
      </c>
      <c r="H2106" s="555">
        <v>3</v>
      </c>
      <c r="I2106" s="555">
        <v>0</v>
      </c>
      <c r="J2106" s="555">
        <v>1</v>
      </c>
      <c r="K2106" s="527">
        <f t="shared" si="1241"/>
        <v>0.122029802658075</v>
      </c>
      <c r="L2106" s="528">
        <f t="shared" si="1242"/>
        <v>1.4803300330033</v>
      </c>
      <c r="M2106" s="528">
        <f t="shared" si="1243"/>
        <v>180.644381796214</v>
      </c>
      <c r="N2106" s="528">
        <f t="shared" si="1244"/>
        <v>0</v>
      </c>
      <c r="O2106" s="528">
        <f t="shared" si="1245"/>
        <v>0</v>
      </c>
      <c r="P2106" s="529">
        <f t="shared" si="1246"/>
        <v>149.513333333333</v>
      </c>
      <c r="Q2106" s="24">
        <f t="shared" si="1247"/>
        <v>3</v>
      </c>
      <c r="R2106" s="530">
        <f t="shared" si="1248"/>
        <v>0.0099009900990099</v>
      </c>
    </row>
    <row r="2107" spans="1:18">
      <c r="A2107" s="524"/>
      <c r="B2107" s="540" t="s">
        <v>100</v>
      </c>
      <c r="C2107" s="552">
        <v>733.25</v>
      </c>
      <c r="D2107" s="553">
        <v>30607</v>
      </c>
      <c r="E2107" s="553">
        <v>565</v>
      </c>
      <c r="F2107" s="551">
        <v>2</v>
      </c>
      <c r="G2107" s="551">
        <v>28259</v>
      </c>
      <c r="H2107" s="551">
        <v>27</v>
      </c>
      <c r="I2107" s="551">
        <v>9</v>
      </c>
      <c r="J2107" s="551">
        <v>3</v>
      </c>
      <c r="K2107" s="527">
        <f t="shared" si="1241"/>
        <v>0.0184598294507792</v>
      </c>
      <c r="L2107" s="528">
        <f t="shared" si="1242"/>
        <v>1.29778761061947</v>
      </c>
      <c r="M2107" s="528">
        <f t="shared" si="1243"/>
        <v>23.9569379553697</v>
      </c>
      <c r="N2107" s="528">
        <f t="shared" si="1244"/>
        <v>38.5393794749403</v>
      </c>
      <c r="O2107" s="528">
        <f t="shared" si="1245"/>
        <v>0.00353982300884956</v>
      </c>
      <c r="P2107" s="529">
        <f t="shared" si="1246"/>
        <v>20.3680555555556</v>
      </c>
      <c r="Q2107" s="24">
        <f t="shared" si="1247"/>
        <v>36</v>
      </c>
      <c r="R2107" s="530">
        <f t="shared" si="1248"/>
        <v>0.063716814159292</v>
      </c>
    </row>
    <row r="2108" spans="1:18">
      <c r="A2108" s="524"/>
      <c r="B2108" s="540" t="s">
        <v>101</v>
      </c>
      <c r="C2108" s="552">
        <v>0</v>
      </c>
      <c r="D2108" s="553">
        <v>0</v>
      </c>
      <c r="E2108" s="551">
        <v>0</v>
      </c>
      <c r="F2108" s="551">
        <v>0</v>
      </c>
      <c r="G2108" s="551">
        <v>0</v>
      </c>
      <c r="H2108" s="551">
        <v>0</v>
      </c>
      <c r="I2108" s="551">
        <v>0</v>
      </c>
      <c r="J2108" s="551">
        <v>0</v>
      </c>
      <c r="K2108" s="527">
        <f t="shared" si="1241"/>
        <v>0</v>
      </c>
      <c r="L2108" s="528">
        <f t="shared" si="1242"/>
        <v>0</v>
      </c>
      <c r="M2108" s="528">
        <f t="shared" si="1243"/>
        <v>0</v>
      </c>
      <c r="N2108" s="528">
        <f t="shared" si="1244"/>
        <v>0</v>
      </c>
      <c r="O2108" s="528">
        <f t="shared" si="1245"/>
        <v>0</v>
      </c>
      <c r="P2108" s="529">
        <f t="shared" si="1246"/>
        <v>0</v>
      </c>
      <c r="Q2108" s="24">
        <f t="shared" si="1247"/>
        <v>0</v>
      </c>
      <c r="R2108" s="530">
        <f t="shared" si="1248"/>
        <v>0</v>
      </c>
    </row>
    <row r="2109" spans="1:18">
      <c r="A2109" s="524"/>
      <c r="B2109" s="531" t="s">
        <v>96</v>
      </c>
      <c r="C2109" s="533">
        <f t="shared" ref="C2109:J2109" si="1257">SUM(C2105:C2108)</f>
        <v>1974.9</v>
      </c>
      <c r="D2109" s="533">
        <f t="shared" si="1257"/>
        <v>45873</v>
      </c>
      <c r="E2109" s="533">
        <f t="shared" si="1257"/>
        <v>1378</v>
      </c>
      <c r="F2109" s="533">
        <f t="shared" si="1257"/>
        <v>3</v>
      </c>
      <c r="G2109" s="533">
        <f t="shared" si="1257"/>
        <v>53099</v>
      </c>
      <c r="H2109" s="533">
        <f t="shared" si="1257"/>
        <v>45</v>
      </c>
      <c r="I2109" s="533">
        <f t="shared" si="1257"/>
        <v>12</v>
      </c>
      <c r="J2109" s="533">
        <f t="shared" si="1257"/>
        <v>4</v>
      </c>
      <c r="K2109" s="534">
        <f t="shared" si="1241"/>
        <v>0.0300394567610577</v>
      </c>
      <c r="L2109" s="535">
        <f t="shared" si="1242"/>
        <v>1.43316400580552</v>
      </c>
      <c r="M2109" s="535">
        <f t="shared" si="1243"/>
        <v>43.051468183899</v>
      </c>
      <c r="N2109" s="535">
        <f t="shared" si="1244"/>
        <v>26.8869309838473</v>
      </c>
      <c r="O2109" s="535">
        <f t="shared" si="1245"/>
        <v>0.00217706821480406</v>
      </c>
      <c r="P2109" s="536">
        <f t="shared" si="1246"/>
        <v>34.6473684210526</v>
      </c>
      <c r="Q2109" s="531">
        <f t="shared" si="1247"/>
        <v>57</v>
      </c>
      <c r="R2109" s="537">
        <f t="shared" si="1248"/>
        <v>0.0413642960812772</v>
      </c>
    </row>
    <row r="2110" spans="1:18">
      <c r="A2110" s="524">
        <v>45872</v>
      </c>
      <c r="B2110" s="540" t="s">
        <v>98</v>
      </c>
      <c r="C2110" s="551">
        <v>799.55</v>
      </c>
      <c r="D2110" s="553">
        <v>19875</v>
      </c>
      <c r="E2110" s="551">
        <v>617</v>
      </c>
      <c r="F2110" s="551">
        <v>0</v>
      </c>
      <c r="G2110" s="551">
        <v>0</v>
      </c>
      <c r="H2110" s="551">
        <v>23</v>
      </c>
      <c r="I2110" s="551">
        <v>5</v>
      </c>
      <c r="J2110" s="551">
        <v>1</v>
      </c>
      <c r="K2110" s="527">
        <f t="shared" si="1241"/>
        <v>0.0310440251572327</v>
      </c>
      <c r="L2110" s="528">
        <f t="shared" si="1242"/>
        <v>1.29586709886548</v>
      </c>
      <c r="M2110" s="528">
        <f t="shared" si="1243"/>
        <v>40.2289308176101</v>
      </c>
      <c r="N2110" s="528">
        <f t="shared" si="1244"/>
        <v>0</v>
      </c>
      <c r="O2110" s="528">
        <f t="shared" si="1245"/>
        <v>0</v>
      </c>
      <c r="P2110" s="529">
        <f t="shared" si="1246"/>
        <v>28.5553571428571</v>
      </c>
      <c r="Q2110" s="24">
        <f t="shared" si="1247"/>
        <v>28</v>
      </c>
      <c r="R2110" s="530">
        <f t="shared" si="1248"/>
        <v>0.0453808752025932</v>
      </c>
    </row>
    <row r="2111" spans="1:18">
      <c r="A2111" s="524"/>
      <c r="B2111" s="540" t="s">
        <v>99</v>
      </c>
      <c r="C2111" s="551">
        <v>1001.52</v>
      </c>
      <c r="D2111" s="555">
        <v>10163</v>
      </c>
      <c r="E2111" s="551">
        <v>947</v>
      </c>
      <c r="F2111" s="551">
        <v>3</v>
      </c>
      <c r="G2111" s="551">
        <v>18312</v>
      </c>
      <c r="H2111" s="555">
        <v>20</v>
      </c>
      <c r="I2111" s="555">
        <v>3</v>
      </c>
      <c r="J2111" s="555">
        <v>1</v>
      </c>
      <c r="K2111" s="527">
        <f t="shared" si="1241"/>
        <v>0.0931811472990259</v>
      </c>
      <c r="L2111" s="528">
        <f t="shared" si="1242"/>
        <v>1.05757127771911</v>
      </c>
      <c r="M2111" s="528">
        <f t="shared" si="1243"/>
        <v>98.5457050083637</v>
      </c>
      <c r="N2111" s="528">
        <f t="shared" si="1244"/>
        <v>18.2842080038342</v>
      </c>
      <c r="O2111" s="528">
        <f t="shared" si="1245"/>
        <v>0.00316789862724393</v>
      </c>
      <c r="P2111" s="529">
        <f t="shared" si="1246"/>
        <v>43.544347826087</v>
      </c>
      <c r="Q2111" s="24">
        <f t="shared" si="1247"/>
        <v>23</v>
      </c>
      <c r="R2111" s="530">
        <f t="shared" si="1248"/>
        <v>0.0242872228088701</v>
      </c>
    </row>
    <row r="2112" spans="1:18">
      <c r="A2112" s="524"/>
      <c r="B2112" s="540" t="s">
        <v>100</v>
      </c>
      <c r="C2112" s="552">
        <v>793.43</v>
      </c>
      <c r="D2112" s="553">
        <v>37533</v>
      </c>
      <c r="E2112" s="553">
        <v>624</v>
      </c>
      <c r="F2112" s="551">
        <v>1</v>
      </c>
      <c r="G2112" s="551">
        <v>13854</v>
      </c>
      <c r="H2112" s="551">
        <v>26</v>
      </c>
      <c r="I2112" s="551">
        <v>8</v>
      </c>
      <c r="J2112" s="551">
        <v>1</v>
      </c>
      <c r="K2112" s="527">
        <f t="shared" si="1241"/>
        <v>0.0166253696746863</v>
      </c>
      <c r="L2112" s="528">
        <f t="shared" si="1242"/>
        <v>1.27152243589744</v>
      </c>
      <c r="M2112" s="528">
        <f t="shared" si="1243"/>
        <v>21.1395305464525</v>
      </c>
      <c r="N2112" s="528">
        <f t="shared" si="1244"/>
        <v>17.4608976217184</v>
      </c>
      <c r="O2112" s="528">
        <f t="shared" si="1245"/>
        <v>0.0016025641025641</v>
      </c>
      <c r="P2112" s="529">
        <f t="shared" si="1246"/>
        <v>23.3361764705882</v>
      </c>
      <c r="Q2112" s="24">
        <f t="shared" si="1247"/>
        <v>34</v>
      </c>
      <c r="R2112" s="530">
        <f t="shared" si="1248"/>
        <v>0.0544871794871795</v>
      </c>
    </row>
    <row r="2113" spans="1:18">
      <c r="A2113" s="524"/>
      <c r="B2113" s="540" t="s">
        <v>101</v>
      </c>
      <c r="C2113" s="552">
        <v>0</v>
      </c>
      <c r="D2113" s="553">
        <v>0</v>
      </c>
      <c r="E2113" s="551">
        <v>0</v>
      </c>
      <c r="F2113" s="551">
        <v>0</v>
      </c>
      <c r="G2113" s="551">
        <v>0</v>
      </c>
      <c r="H2113" s="551">
        <v>0</v>
      </c>
      <c r="I2113" s="551">
        <v>0</v>
      </c>
      <c r="J2113" s="551">
        <v>0</v>
      </c>
      <c r="K2113" s="527">
        <f t="shared" si="1241"/>
        <v>0</v>
      </c>
      <c r="L2113" s="528">
        <f t="shared" si="1242"/>
        <v>0</v>
      </c>
      <c r="M2113" s="528">
        <f t="shared" si="1243"/>
        <v>0</v>
      </c>
      <c r="N2113" s="528">
        <f t="shared" si="1244"/>
        <v>0</v>
      </c>
      <c r="O2113" s="528">
        <f t="shared" si="1245"/>
        <v>0</v>
      </c>
      <c r="P2113" s="529">
        <f t="shared" si="1246"/>
        <v>0</v>
      </c>
      <c r="Q2113" s="24">
        <f t="shared" si="1247"/>
        <v>0</v>
      </c>
      <c r="R2113" s="530">
        <f t="shared" si="1248"/>
        <v>0</v>
      </c>
    </row>
    <row r="2114" spans="1:18">
      <c r="A2114" s="524"/>
      <c r="B2114" s="531" t="s">
        <v>96</v>
      </c>
      <c r="C2114" s="533">
        <f t="shared" ref="C2114:J2114" si="1258">SUM(C2110:C2113)</f>
        <v>2594.5</v>
      </c>
      <c r="D2114" s="533">
        <f t="shared" si="1258"/>
        <v>67571</v>
      </c>
      <c r="E2114" s="533">
        <f t="shared" si="1258"/>
        <v>2188</v>
      </c>
      <c r="F2114" s="533">
        <f t="shared" si="1258"/>
        <v>4</v>
      </c>
      <c r="G2114" s="533">
        <f t="shared" si="1258"/>
        <v>32166</v>
      </c>
      <c r="H2114" s="533">
        <f t="shared" si="1258"/>
        <v>69</v>
      </c>
      <c r="I2114" s="533">
        <f t="shared" si="1258"/>
        <v>16</v>
      </c>
      <c r="J2114" s="533">
        <f t="shared" si="1258"/>
        <v>3</v>
      </c>
      <c r="K2114" s="534">
        <f t="shared" si="1241"/>
        <v>0.0323807550576431</v>
      </c>
      <c r="L2114" s="535">
        <f t="shared" si="1242"/>
        <v>1.18578610603291</v>
      </c>
      <c r="M2114" s="535">
        <f t="shared" si="1243"/>
        <v>38.3966494502079</v>
      </c>
      <c r="N2114" s="535">
        <f t="shared" si="1244"/>
        <v>12.3977645018308</v>
      </c>
      <c r="O2114" s="535">
        <f t="shared" si="1245"/>
        <v>0.00182815356489945</v>
      </c>
      <c r="P2114" s="536">
        <f t="shared" si="1246"/>
        <v>30.5235294117647</v>
      </c>
      <c r="Q2114" s="531">
        <f t="shared" si="1247"/>
        <v>85</v>
      </c>
      <c r="R2114" s="537">
        <f t="shared" si="1248"/>
        <v>0.0388482632541133</v>
      </c>
    </row>
    <row r="2115" spans="1:18">
      <c r="A2115" s="524">
        <v>45873</v>
      </c>
      <c r="B2115" s="540" t="s">
        <v>98</v>
      </c>
      <c r="C2115" s="551">
        <v>797.47</v>
      </c>
      <c r="D2115" s="553">
        <v>21137</v>
      </c>
      <c r="E2115" s="551">
        <v>653</v>
      </c>
      <c r="F2115" s="551">
        <v>0</v>
      </c>
      <c r="G2115" s="551">
        <v>0</v>
      </c>
      <c r="H2115" s="551">
        <v>50</v>
      </c>
      <c r="I2115" s="551">
        <v>5</v>
      </c>
      <c r="J2115" s="551">
        <v>2</v>
      </c>
      <c r="K2115" s="527">
        <f t="shared" si="1241"/>
        <v>0.0308936935232058</v>
      </c>
      <c r="L2115" s="528">
        <f t="shared" si="1242"/>
        <v>1.2212404287902</v>
      </c>
      <c r="M2115" s="528">
        <f t="shared" si="1243"/>
        <v>37.7286275251928</v>
      </c>
      <c r="N2115" s="528">
        <f t="shared" si="1244"/>
        <v>0</v>
      </c>
      <c r="O2115" s="528">
        <f t="shared" si="1245"/>
        <v>0</v>
      </c>
      <c r="P2115" s="529">
        <f t="shared" si="1246"/>
        <v>14.4994545454545</v>
      </c>
      <c r="Q2115" s="24">
        <f t="shared" si="1247"/>
        <v>55</v>
      </c>
      <c r="R2115" s="530">
        <f t="shared" si="1248"/>
        <v>0.0842266462480858</v>
      </c>
    </row>
    <row r="2116" spans="1:18">
      <c r="A2116" s="524"/>
      <c r="B2116" s="540" t="s">
        <v>99</v>
      </c>
      <c r="C2116" s="551">
        <v>600.71</v>
      </c>
      <c r="D2116" s="555">
        <v>4164</v>
      </c>
      <c r="E2116" s="551">
        <v>365</v>
      </c>
      <c r="F2116" s="551">
        <v>3</v>
      </c>
      <c r="G2116" s="551">
        <v>45882</v>
      </c>
      <c r="H2116" s="555">
        <v>8</v>
      </c>
      <c r="I2116" s="555">
        <v>0</v>
      </c>
      <c r="J2116" s="555">
        <v>3</v>
      </c>
      <c r="K2116" s="527">
        <f t="shared" si="1241"/>
        <v>0.0876560999039385</v>
      </c>
      <c r="L2116" s="528">
        <f t="shared" si="1242"/>
        <v>1.64578082191781</v>
      </c>
      <c r="M2116" s="528">
        <f t="shared" si="1243"/>
        <v>144.262728146013</v>
      </c>
      <c r="N2116" s="528">
        <f t="shared" si="1244"/>
        <v>76.379617452681</v>
      </c>
      <c r="O2116" s="528">
        <f t="shared" si="1245"/>
        <v>0.00821917808219178</v>
      </c>
      <c r="P2116" s="529">
        <f t="shared" si="1246"/>
        <v>75.08875</v>
      </c>
      <c r="Q2116" s="24">
        <f t="shared" si="1247"/>
        <v>8</v>
      </c>
      <c r="R2116" s="530">
        <f t="shared" si="1248"/>
        <v>0.0219178082191781</v>
      </c>
    </row>
    <row r="2117" spans="1:18">
      <c r="A2117" s="524"/>
      <c r="B2117" s="540" t="s">
        <v>100</v>
      </c>
      <c r="C2117" s="552">
        <v>795.8</v>
      </c>
      <c r="D2117" s="553">
        <v>52690</v>
      </c>
      <c r="E2117" s="553">
        <v>739</v>
      </c>
      <c r="F2117" s="551">
        <v>0</v>
      </c>
      <c r="G2117" s="551">
        <v>0</v>
      </c>
      <c r="H2117" s="551">
        <v>25</v>
      </c>
      <c r="I2117" s="551">
        <v>9</v>
      </c>
      <c r="J2117" s="551">
        <v>3</v>
      </c>
      <c r="K2117" s="527">
        <f t="shared" si="1241"/>
        <v>0.0140254317707345</v>
      </c>
      <c r="L2117" s="528">
        <f t="shared" si="1242"/>
        <v>1.07686062246279</v>
      </c>
      <c r="M2117" s="528">
        <f t="shared" si="1243"/>
        <v>15.1034351869425</v>
      </c>
      <c r="N2117" s="528">
        <f t="shared" si="1244"/>
        <v>0</v>
      </c>
      <c r="O2117" s="528">
        <f t="shared" si="1245"/>
        <v>0</v>
      </c>
      <c r="P2117" s="529">
        <f t="shared" si="1246"/>
        <v>23.4058823529412</v>
      </c>
      <c r="Q2117" s="24">
        <f t="shared" si="1247"/>
        <v>34</v>
      </c>
      <c r="R2117" s="530">
        <f t="shared" si="1248"/>
        <v>0.0460081190798376</v>
      </c>
    </row>
    <row r="2118" spans="1:18">
      <c r="A2118" s="524"/>
      <c r="B2118" s="540" t="s">
        <v>101</v>
      </c>
      <c r="C2118" s="552">
        <v>0</v>
      </c>
      <c r="D2118" s="553">
        <v>0</v>
      </c>
      <c r="E2118" s="551">
        <v>0</v>
      </c>
      <c r="F2118" s="551">
        <v>0</v>
      </c>
      <c r="G2118" s="551">
        <v>0</v>
      </c>
      <c r="H2118" s="551">
        <v>0</v>
      </c>
      <c r="I2118" s="551">
        <v>0</v>
      </c>
      <c r="J2118" s="551">
        <v>0</v>
      </c>
      <c r="K2118" s="527">
        <f t="shared" si="1241"/>
        <v>0</v>
      </c>
      <c r="L2118" s="528">
        <f t="shared" si="1242"/>
        <v>0</v>
      </c>
      <c r="M2118" s="528">
        <f t="shared" si="1243"/>
        <v>0</v>
      </c>
      <c r="N2118" s="528">
        <f t="shared" si="1244"/>
        <v>0</v>
      </c>
      <c r="O2118" s="528">
        <f t="shared" si="1245"/>
        <v>0</v>
      </c>
      <c r="P2118" s="529">
        <f t="shared" si="1246"/>
        <v>0</v>
      </c>
      <c r="Q2118" s="24">
        <f t="shared" si="1247"/>
        <v>0</v>
      </c>
      <c r="R2118" s="530">
        <f t="shared" si="1248"/>
        <v>0</v>
      </c>
    </row>
    <row r="2119" spans="1:18">
      <c r="A2119" s="524"/>
      <c r="B2119" s="531" t="s">
        <v>96</v>
      </c>
      <c r="C2119" s="533">
        <f t="shared" ref="C2119:J2119" si="1259">SUM(C2115:C2118)</f>
        <v>2193.98</v>
      </c>
      <c r="D2119" s="533">
        <f t="shared" si="1259"/>
        <v>77991</v>
      </c>
      <c r="E2119" s="533">
        <f t="shared" si="1259"/>
        <v>1757</v>
      </c>
      <c r="F2119" s="533">
        <f t="shared" si="1259"/>
        <v>3</v>
      </c>
      <c r="G2119" s="533">
        <f t="shared" si="1259"/>
        <v>45882</v>
      </c>
      <c r="H2119" s="533">
        <f t="shared" si="1259"/>
        <v>83</v>
      </c>
      <c r="I2119" s="533">
        <f t="shared" si="1259"/>
        <v>14</v>
      </c>
      <c r="J2119" s="533">
        <f t="shared" si="1259"/>
        <v>8</v>
      </c>
      <c r="K2119" s="534">
        <f t="shared" si="1241"/>
        <v>0.0225282404379993</v>
      </c>
      <c r="L2119" s="535">
        <f t="shared" si="1242"/>
        <v>1.24870802504269</v>
      </c>
      <c r="M2119" s="535">
        <f t="shared" si="1243"/>
        <v>28.1311946250208</v>
      </c>
      <c r="N2119" s="535">
        <f t="shared" si="1244"/>
        <v>20.9126792404671</v>
      </c>
      <c r="O2119" s="535">
        <f t="shared" si="1245"/>
        <v>0.00170745589072282</v>
      </c>
      <c r="P2119" s="536">
        <f t="shared" si="1246"/>
        <v>22.6183505154639</v>
      </c>
      <c r="Q2119" s="531">
        <f t="shared" si="1247"/>
        <v>97</v>
      </c>
      <c r="R2119" s="537">
        <f t="shared" si="1248"/>
        <v>0.0552077404667046</v>
      </c>
    </row>
    <row r="2120" spans="1:18">
      <c r="A2120" s="524">
        <v>45874</v>
      </c>
      <c r="B2120" s="540" t="s">
        <v>98</v>
      </c>
      <c r="C2120" s="551">
        <v>800</v>
      </c>
      <c r="D2120" s="553">
        <v>23854</v>
      </c>
      <c r="E2120" s="551">
        <v>636</v>
      </c>
      <c r="F2120" s="551">
        <v>0</v>
      </c>
      <c r="G2120" s="551">
        <v>0</v>
      </c>
      <c r="H2120" s="551">
        <v>12</v>
      </c>
      <c r="I2120" s="551">
        <v>3</v>
      </c>
      <c r="J2120" s="551">
        <v>1</v>
      </c>
      <c r="K2120" s="527">
        <f t="shared" si="1241"/>
        <v>0.0266621950197032</v>
      </c>
      <c r="L2120" s="528">
        <f t="shared" si="1242"/>
        <v>1.25786163522013</v>
      </c>
      <c r="M2120" s="528">
        <f t="shared" si="1243"/>
        <v>33.5373522260418</v>
      </c>
      <c r="N2120" s="528">
        <f t="shared" si="1244"/>
        <v>0</v>
      </c>
      <c r="O2120" s="528">
        <f t="shared" si="1245"/>
        <v>0</v>
      </c>
      <c r="P2120" s="529">
        <f t="shared" si="1246"/>
        <v>53.3333333333333</v>
      </c>
      <c r="Q2120" s="24">
        <f t="shared" si="1247"/>
        <v>15</v>
      </c>
      <c r="R2120" s="530">
        <f t="shared" si="1248"/>
        <v>0.0235849056603774</v>
      </c>
    </row>
    <row r="2121" spans="1:18">
      <c r="A2121" s="524"/>
      <c r="B2121" s="540" t="s">
        <v>99</v>
      </c>
      <c r="C2121" s="551">
        <v>0</v>
      </c>
      <c r="D2121" s="555">
        <v>0</v>
      </c>
      <c r="E2121" s="551">
        <v>0</v>
      </c>
      <c r="F2121" s="551">
        <v>0</v>
      </c>
      <c r="G2121" s="551">
        <v>0</v>
      </c>
      <c r="H2121" s="555">
        <v>0</v>
      </c>
      <c r="I2121" s="555">
        <v>0</v>
      </c>
      <c r="J2121" s="555">
        <v>0</v>
      </c>
      <c r="K2121" s="527">
        <f t="shared" si="1241"/>
        <v>0</v>
      </c>
      <c r="L2121" s="528">
        <f t="shared" si="1242"/>
        <v>0</v>
      </c>
      <c r="M2121" s="528">
        <f t="shared" si="1243"/>
        <v>0</v>
      </c>
      <c r="N2121" s="528">
        <f t="shared" si="1244"/>
        <v>0</v>
      </c>
      <c r="O2121" s="528">
        <f t="shared" si="1245"/>
        <v>0</v>
      </c>
      <c r="P2121" s="529">
        <f t="shared" si="1246"/>
        <v>0</v>
      </c>
      <c r="Q2121" s="24">
        <f t="shared" si="1247"/>
        <v>0</v>
      </c>
      <c r="R2121" s="530">
        <f t="shared" si="1248"/>
        <v>0</v>
      </c>
    </row>
    <row r="2122" spans="1:18">
      <c r="A2122" s="524"/>
      <c r="B2122" s="540" t="s">
        <v>100</v>
      </c>
      <c r="C2122" s="552">
        <v>785.93</v>
      </c>
      <c r="D2122" s="553">
        <v>40263</v>
      </c>
      <c r="E2122" s="553">
        <v>774</v>
      </c>
      <c r="F2122" s="551">
        <v>0</v>
      </c>
      <c r="G2122" s="551">
        <v>0</v>
      </c>
      <c r="H2122" s="551">
        <v>31</v>
      </c>
      <c r="I2122" s="551">
        <v>13</v>
      </c>
      <c r="J2122" s="551">
        <v>0</v>
      </c>
      <c r="K2122" s="527">
        <f t="shared" si="1241"/>
        <v>0.0192236047984502</v>
      </c>
      <c r="L2122" s="528">
        <f t="shared" si="1242"/>
        <v>1.01541343669251</v>
      </c>
      <c r="M2122" s="528">
        <f t="shared" si="1243"/>
        <v>19.5199066140129</v>
      </c>
      <c r="N2122" s="528">
        <f t="shared" si="1244"/>
        <v>0</v>
      </c>
      <c r="O2122" s="528">
        <f t="shared" si="1245"/>
        <v>0</v>
      </c>
      <c r="P2122" s="529">
        <f t="shared" si="1246"/>
        <v>17.8620454545455</v>
      </c>
      <c r="Q2122" s="24">
        <f t="shared" si="1247"/>
        <v>44</v>
      </c>
      <c r="R2122" s="530">
        <f t="shared" si="1248"/>
        <v>0.0568475452196382</v>
      </c>
    </row>
    <row r="2123" spans="1:18">
      <c r="A2123" s="524"/>
      <c r="B2123" s="540" t="s">
        <v>101</v>
      </c>
      <c r="C2123" s="552">
        <v>0</v>
      </c>
      <c r="D2123" s="553">
        <v>0</v>
      </c>
      <c r="E2123" s="551">
        <v>0</v>
      </c>
      <c r="F2123" s="551">
        <v>0</v>
      </c>
      <c r="G2123" s="551">
        <v>0</v>
      </c>
      <c r="H2123" s="551">
        <v>0</v>
      </c>
      <c r="I2123" s="551">
        <v>0</v>
      </c>
      <c r="J2123" s="551">
        <v>0</v>
      </c>
      <c r="K2123" s="527">
        <f t="shared" si="1241"/>
        <v>0</v>
      </c>
      <c r="L2123" s="528">
        <f t="shared" si="1242"/>
        <v>0</v>
      </c>
      <c r="M2123" s="528">
        <f t="shared" si="1243"/>
        <v>0</v>
      </c>
      <c r="N2123" s="528">
        <f t="shared" si="1244"/>
        <v>0</v>
      </c>
      <c r="O2123" s="528">
        <f t="shared" si="1245"/>
        <v>0</v>
      </c>
      <c r="P2123" s="529">
        <f t="shared" si="1246"/>
        <v>0</v>
      </c>
      <c r="Q2123" s="24">
        <f t="shared" si="1247"/>
        <v>0</v>
      </c>
      <c r="R2123" s="530">
        <f t="shared" si="1248"/>
        <v>0</v>
      </c>
    </row>
    <row r="2124" spans="1:18">
      <c r="A2124" s="524"/>
      <c r="B2124" s="531" t="s">
        <v>96</v>
      </c>
      <c r="C2124" s="533">
        <f t="shared" ref="C2124:J2124" si="1260">SUM(C2120:C2123)</f>
        <v>1585.93</v>
      </c>
      <c r="D2124" s="533">
        <f t="shared" si="1260"/>
        <v>64117</v>
      </c>
      <c r="E2124" s="533">
        <f t="shared" si="1260"/>
        <v>1410</v>
      </c>
      <c r="F2124" s="533">
        <f t="shared" si="1260"/>
        <v>0</v>
      </c>
      <c r="G2124" s="533">
        <f t="shared" si="1260"/>
        <v>0</v>
      </c>
      <c r="H2124" s="533">
        <f t="shared" si="1260"/>
        <v>43</v>
      </c>
      <c r="I2124" s="533">
        <f t="shared" si="1260"/>
        <v>16</v>
      </c>
      <c r="J2124" s="533">
        <f t="shared" si="1260"/>
        <v>1</v>
      </c>
      <c r="K2124" s="534">
        <f t="shared" si="1241"/>
        <v>0.0219910476160769</v>
      </c>
      <c r="L2124" s="535">
        <f t="shared" si="1242"/>
        <v>1.12477304964539</v>
      </c>
      <c r="M2124" s="535">
        <f t="shared" si="1243"/>
        <v>24.7349376920318</v>
      </c>
      <c r="N2124" s="535">
        <f t="shared" si="1244"/>
        <v>0</v>
      </c>
      <c r="O2124" s="535">
        <f t="shared" si="1245"/>
        <v>0</v>
      </c>
      <c r="P2124" s="536">
        <f t="shared" si="1246"/>
        <v>26.8801694915254</v>
      </c>
      <c r="Q2124" s="531">
        <f t="shared" si="1247"/>
        <v>59</v>
      </c>
      <c r="R2124" s="537">
        <f t="shared" si="1248"/>
        <v>0.0418439716312057</v>
      </c>
    </row>
    <row r="2125" spans="1:18">
      <c r="A2125" s="524">
        <v>45875</v>
      </c>
      <c r="B2125" s="540" t="s">
        <v>98</v>
      </c>
      <c r="C2125" s="551">
        <v>800</v>
      </c>
      <c r="D2125" s="553">
        <v>23854</v>
      </c>
      <c r="E2125" s="551">
        <v>636</v>
      </c>
      <c r="F2125" s="551">
        <v>0</v>
      </c>
      <c r="G2125" s="551">
        <v>0</v>
      </c>
      <c r="H2125" s="551">
        <v>12</v>
      </c>
      <c r="I2125" s="551">
        <v>3</v>
      </c>
      <c r="J2125" s="551">
        <v>1</v>
      </c>
      <c r="K2125" s="527">
        <f t="shared" si="1241"/>
        <v>0.0266621950197032</v>
      </c>
      <c r="L2125" s="528">
        <f t="shared" si="1242"/>
        <v>1.25786163522013</v>
      </c>
      <c r="M2125" s="528">
        <f t="shared" si="1243"/>
        <v>33.5373522260418</v>
      </c>
      <c r="N2125" s="528">
        <f t="shared" si="1244"/>
        <v>0</v>
      </c>
      <c r="O2125" s="528">
        <f t="shared" si="1245"/>
        <v>0</v>
      </c>
      <c r="P2125" s="529">
        <f t="shared" si="1246"/>
        <v>53.3333333333333</v>
      </c>
      <c r="Q2125" s="24">
        <f t="shared" si="1247"/>
        <v>15</v>
      </c>
      <c r="R2125" s="530">
        <f t="shared" si="1248"/>
        <v>0.0235849056603774</v>
      </c>
    </row>
    <row r="2126" spans="1:18">
      <c r="A2126" s="524"/>
      <c r="B2126" s="540" t="s">
        <v>99</v>
      </c>
      <c r="C2126" s="551">
        <v>1123.28</v>
      </c>
      <c r="D2126" s="555">
        <v>13791</v>
      </c>
      <c r="E2126" s="551">
        <v>574</v>
      </c>
      <c r="F2126" s="551">
        <v>1</v>
      </c>
      <c r="G2126" s="551">
        <v>3000</v>
      </c>
      <c r="H2126" s="555">
        <v>20</v>
      </c>
      <c r="I2126" s="555">
        <v>2</v>
      </c>
      <c r="J2126" s="555">
        <v>6</v>
      </c>
      <c r="K2126" s="527">
        <f t="shared" si="1241"/>
        <v>0.0416213472554565</v>
      </c>
      <c r="L2126" s="528">
        <f t="shared" si="1242"/>
        <v>1.95693379790941</v>
      </c>
      <c r="M2126" s="528">
        <f t="shared" si="1243"/>
        <v>81.4502211587267</v>
      </c>
      <c r="N2126" s="528">
        <f t="shared" si="1244"/>
        <v>2.670749946585</v>
      </c>
      <c r="O2126" s="528">
        <f t="shared" si="1245"/>
        <v>0.00174216027874564</v>
      </c>
      <c r="P2126" s="529">
        <f t="shared" si="1246"/>
        <v>51.0581818181818</v>
      </c>
      <c r="Q2126" s="24">
        <f t="shared" si="1247"/>
        <v>22</v>
      </c>
      <c r="R2126" s="530">
        <f t="shared" si="1248"/>
        <v>0.0383275261324042</v>
      </c>
    </row>
    <row r="2127" spans="1:18">
      <c r="A2127" s="524"/>
      <c r="B2127" s="540" t="s">
        <v>100</v>
      </c>
      <c r="C2127" s="552">
        <v>635.41</v>
      </c>
      <c r="D2127" s="553">
        <v>33992</v>
      </c>
      <c r="E2127" s="553">
        <v>678</v>
      </c>
      <c r="F2127" s="551">
        <v>0</v>
      </c>
      <c r="G2127" s="551">
        <v>0</v>
      </c>
      <c r="H2127" s="551">
        <v>26</v>
      </c>
      <c r="I2127" s="551">
        <v>9</v>
      </c>
      <c r="J2127" s="551">
        <v>1</v>
      </c>
      <c r="K2127" s="527">
        <f t="shared" si="1241"/>
        <v>0.0199458696163803</v>
      </c>
      <c r="L2127" s="528">
        <f t="shared" si="1242"/>
        <v>0.937182890855457</v>
      </c>
      <c r="M2127" s="528">
        <f t="shared" si="1243"/>
        <v>18.6929277477053</v>
      </c>
      <c r="N2127" s="528">
        <f t="shared" si="1244"/>
        <v>0</v>
      </c>
      <c r="O2127" s="528">
        <f t="shared" si="1245"/>
        <v>0</v>
      </c>
      <c r="P2127" s="529">
        <f t="shared" si="1246"/>
        <v>18.1545714285714</v>
      </c>
      <c r="Q2127" s="24">
        <f t="shared" si="1247"/>
        <v>35</v>
      </c>
      <c r="R2127" s="530">
        <f t="shared" si="1248"/>
        <v>0.051622418879056</v>
      </c>
    </row>
    <row r="2128" spans="1:18">
      <c r="A2128" s="524"/>
      <c r="B2128" s="540" t="s">
        <v>101</v>
      </c>
      <c r="C2128" s="552">
        <v>0</v>
      </c>
      <c r="D2128" s="553">
        <v>0</v>
      </c>
      <c r="E2128" s="551">
        <v>0</v>
      </c>
      <c r="F2128" s="551">
        <v>0</v>
      </c>
      <c r="G2128" s="551">
        <v>0</v>
      </c>
      <c r="H2128" s="551">
        <v>0</v>
      </c>
      <c r="I2128" s="551">
        <v>0</v>
      </c>
      <c r="J2128" s="551">
        <v>0</v>
      </c>
      <c r="K2128" s="527">
        <f t="shared" si="1241"/>
        <v>0</v>
      </c>
      <c r="L2128" s="528">
        <f t="shared" si="1242"/>
        <v>0</v>
      </c>
      <c r="M2128" s="528">
        <f t="shared" si="1243"/>
        <v>0</v>
      </c>
      <c r="N2128" s="528">
        <f t="shared" si="1244"/>
        <v>0</v>
      </c>
      <c r="O2128" s="528">
        <f t="shared" si="1245"/>
        <v>0</v>
      </c>
      <c r="P2128" s="529">
        <f t="shared" si="1246"/>
        <v>0</v>
      </c>
      <c r="Q2128" s="24">
        <f t="shared" si="1247"/>
        <v>0</v>
      </c>
      <c r="R2128" s="530">
        <f t="shared" si="1248"/>
        <v>0</v>
      </c>
    </row>
    <row r="2129" spans="1:18">
      <c r="A2129" s="524"/>
      <c r="B2129" s="531" t="s">
        <v>96</v>
      </c>
      <c r="C2129" s="533">
        <f t="shared" ref="C2129:J2129" si="1261">SUM(C2125:C2128)</f>
        <v>2558.69</v>
      </c>
      <c r="D2129" s="533">
        <f t="shared" si="1261"/>
        <v>71637</v>
      </c>
      <c r="E2129" s="533">
        <f t="shared" si="1261"/>
        <v>1888</v>
      </c>
      <c r="F2129" s="533">
        <f t="shared" si="1261"/>
        <v>1</v>
      </c>
      <c r="G2129" s="533">
        <f t="shared" si="1261"/>
        <v>3000</v>
      </c>
      <c r="H2129" s="533">
        <f t="shared" si="1261"/>
        <v>58</v>
      </c>
      <c r="I2129" s="533">
        <f t="shared" si="1261"/>
        <v>14</v>
      </c>
      <c r="J2129" s="533">
        <f t="shared" si="1261"/>
        <v>8</v>
      </c>
      <c r="K2129" s="534">
        <f t="shared" ref="K2129:K2192" si="1262">IF(E2129=0,0,E2129/D2129)</f>
        <v>0.026355095830367</v>
      </c>
      <c r="L2129" s="535">
        <f t="shared" ref="L2129:L2192" si="1263">IF(C2129=0,0,C2129/E2129)</f>
        <v>1.35523834745763</v>
      </c>
      <c r="M2129" s="535">
        <f t="shared" ref="M2129:M2192" si="1264">IF(D2129=0,0,C2129/D2129*1000)</f>
        <v>35.717436520234</v>
      </c>
      <c r="N2129" s="535">
        <f t="shared" ref="N2129:N2192" si="1265">IF(G2129=0,0,G2129/C2129)</f>
        <v>1.17247497742986</v>
      </c>
      <c r="O2129" s="535">
        <f t="shared" ref="O2129:O2192" si="1266">IF(F2129=0,0,F2129/E2129)</f>
        <v>0.000529661016949153</v>
      </c>
      <c r="P2129" s="536">
        <f t="shared" ref="P2129:P2192" si="1267">IF(H2129+I2129=0,0,C2129/(H2129+I2129))</f>
        <v>35.5373611111111</v>
      </c>
      <c r="Q2129" s="531">
        <f t="shared" ref="Q2129:Q2192" si="1268">H2129+I2129</f>
        <v>72</v>
      </c>
      <c r="R2129" s="537">
        <f t="shared" ref="R2129:R2192" si="1269">IF(Q2129=0,0,Q2129/E2129)</f>
        <v>0.038135593220339</v>
      </c>
    </row>
    <row r="2130" spans="1:18">
      <c r="A2130" s="524">
        <v>45876</v>
      </c>
      <c r="B2130" s="540" t="s">
        <v>98</v>
      </c>
      <c r="C2130" s="551">
        <v>800</v>
      </c>
      <c r="D2130" s="553">
        <v>22553</v>
      </c>
      <c r="E2130" s="551">
        <v>592</v>
      </c>
      <c r="F2130" s="551">
        <v>0</v>
      </c>
      <c r="G2130" s="551">
        <v>0</v>
      </c>
      <c r="H2130" s="551">
        <v>12</v>
      </c>
      <c r="I2130" s="551">
        <v>6</v>
      </c>
      <c r="J2130" s="551">
        <v>3</v>
      </c>
      <c r="K2130" s="527">
        <f t="shared" si="1262"/>
        <v>0.0262492794750144</v>
      </c>
      <c r="L2130" s="528">
        <f t="shared" si="1263"/>
        <v>1.35135135135135</v>
      </c>
      <c r="M2130" s="528">
        <f t="shared" si="1264"/>
        <v>35.47199929056</v>
      </c>
      <c r="N2130" s="528">
        <f t="shared" si="1265"/>
        <v>0</v>
      </c>
      <c r="O2130" s="528">
        <f t="shared" si="1266"/>
        <v>0</v>
      </c>
      <c r="P2130" s="529">
        <f t="shared" si="1267"/>
        <v>44.4444444444444</v>
      </c>
      <c r="Q2130" s="24">
        <f t="shared" si="1268"/>
        <v>18</v>
      </c>
      <c r="R2130" s="530">
        <f t="shared" si="1269"/>
        <v>0.0304054054054054</v>
      </c>
    </row>
    <row r="2131" spans="1:18">
      <c r="A2131" s="524"/>
      <c r="B2131" s="540" t="s">
        <v>99</v>
      </c>
      <c r="C2131" s="551">
        <v>1168.78</v>
      </c>
      <c r="D2131" s="555">
        <v>12261</v>
      </c>
      <c r="E2131" s="551">
        <v>644</v>
      </c>
      <c r="F2131" s="551">
        <v>3</v>
      </c>
      <c r="G2131" s="551">
        <v>18932</v>
      </c>
      <c r="H2131" s="555">
        <v>17</v>
      </c>
      <c r="I2131" s="555">
        <v>0</v>
      </c>
      <c r="J2131" s="555">
        <v>1</v>
      </c>
      <c r="K2131" s="527">
        <f t="shared" si="1262"/>
        <v>0.0525242639262703</v>
      </c>
      <c r="L2131" s="528">
        <f t="shared" si="1263"/>
        <v>1.81487577639752</v>
      </c>
      <c r="M2131" s="528">
        <f t="shared" si="1264"/>
        <v>95.3250142728978</v>
      </c>
      <c r="N2131" s="528">
        <f t="shared" si="1265"/>
        <v>16.1980868940263</v>
      </c>
      <c r="O2131" s="528">
        <f t="shared" si="1266"/>
        <v>0.0046583850931677</v>
      </c>
      <c r="P2131" s="529">
        <f t="shared" si="1267"/>
        <v>68.7517647058824</v>
      </c>
      <c r="Q2131" s="24">
        <f t="shared" si="1268"/>
        <v>17</v>
      </c>
      <c r="R2131" s="530">
        <f t="shared" si="1269"/>
        <v>0.0263975155279503</v>
      </c>
    </row>
    <row r="2132" spans="1:18">
      <c r="A2132" s="524"/>
      <c r="B2132" s="540" t="s">
        <v>100</v>
      </c>
      <c r="C2132" s="552">
        <v>699.43</v>
      </c>
      <c r="D2132" s="553">
        <v>46834</v>
      </c>
      <c r="E2132" s="553">
        <v>724</v>
      </c>
      <c r="F2132" s="551">
        <v>0</v>
      </c>
      <c r="G2132" s="551">
        <v>0</v>
      </c>
      <c r="H2132" s="551">
        <v>32</v>
      </c>
      <c r="I2132" s="551">
        <v>10</v>
      </c>
      <c r="J2132" s="551">
        <v>1</v>
      </c>
      <c r="K2132" s="527">
        <f t="shared" si="1262"/>
        <v>0.0154588546782252</v>
      </c>
      <c r="L2132" s="528">
        <f t="shared" si="1263"/>
        <v>0.966063535911602</v>
      </c>
      <c r="M2132" s="528">
        <f t="shared" si="1264"/>
        <v>14.9342358115899</v>
      </c>
      <c r="N2132" s="528">
        <f t="shared" si="1265"/>
        <v>0</v>
      </c>
      <c r="O2132" s="528">
        <f t="shared" si="1266"/>
        <v>0</v>
      </c>
      <c r="P2132" s="529">
        <f t="shared" si="1267"/>
        <v>16.6530952380952</v>
      </c>
      <c r="Q2132" s="24">
        <f t="shared" si="1268"/>
        <v>42</v>
      </c>
      <c r="R2132" s="530">
        <f t="shared" si="1269"/>
        <v>0.0580110497237569</v>
      </c>
    </row>
    <row r="2133" spans="1:18">
      <c r="A2133" s="524"/>
      <c r="B2133" s="540" t="s">
        <v>101</v>
      </c>
      <c r="C2133" s="552">
        <v>0</v>
      </c>
      <c r="D2133" s="553">
        <v>0</v>
      </c>
      <c r="E2133" s="551">
        <v>0</v>
      </c>
      <c r="F2133" s="551">
        <v>0</v>
      </c>
      <c r="G2133" s="551">
        <v>0</v>
      </c>
      <c r="H2133" s="551">
        <v>0</v>
      </c>
      <c r="I2133" s="551">
        <v>0</v>
      </c>
      <c r="J2133" s="551">
        <v>0</v>
      </c>
      <c r="K2133" s="527">
        <f t="shared" si="1262"/>
        <v>0</v>
      </c>
      <c r="L2133" s="528">
        <f t="shared" si="1263"/>
        <v>0</v>
      </c>
      <c r="M2133" s="528">
        <f t="shared" si="1264"/>
        <v>0</v>
      </c>
      <c r="N2133" s="528">
        <f t="shared" si="1265"/>
        <v>0</v>
      </c>
      <c r="O2133" s="528">
        <f t="shared" si="1266"/>
        <v>0</v>
      </c>
      <c r="P2133" s="529">
        <f t="shared" si="1267"/>
        <v>0</v>
      </c>
      <c r="Q2133" s="24">
        <f t="shared" si="1268"/>
        <v>0</v>
      </c>
      <c r="R2133" s="530">
        <f t="shared" si="1269"/>
        <v>0</v>
      </c>
    </row>
    <row r="2134" spans="1:18">
      <c r="A2134" s="524"/>
      <c r="B2134" s="531" t="s">
        <v>96</v>
      </c>
      <c r="C2134" s="533">
        <f t="shared" ref="C2134:J2134" si="1270">SUM(C2130:C2133)</f>
        <v>2668.21</v>
      </c>
      <c r="D2134" s="533">
        <f t="shared" si="1270"/>
        <v>81648</v>
      </c>
      <c r="E2134" s="533">
        <f t="shared" si="1270"/>
        <v>1960</v>
      </c>
      <c r="F2134" s="533">
        <f t="shared" si="1270"/>
        <v>3</v>
      </c>
      <c r="G2134" s="533">
        <f t="shared" si="1270"/>
        <v>18932</v>
      </c>
      <c r="H2134" s="533">
        <f t="shared" si="1270"/>
        <v>61</v>
      </c>
      <c r="I2134" s="533">
        <f t="shared" si="1270"/>
        <v>16</v>
      </c>
      <c r="J2134" s="533">
        <f t="shared" si="1270"/>
        <v>5</v>
      </c>
      <c r="K2134" s="534">
        <f t="shared" si="1262"/>
        <v>0.0240054869684499</v>
      </c>
      <c r="L2134" s="535">
        <f t="shared" si="1263"/>
        <v>1.36133163265306</v>
      </c>
      <c r="M2134" s="535">
        <f t="shared" si="1264"/>
        <v>32.6794287673917</v>
      </c>
      <c r="N2134" s="535">
        <f t="shared" si="1265"/>
        <v>7.09539354098815</v>
      </c>
      <c r="O2134" s="535">
        <f t="shared" si="1266"/>
        <v>0.00153061224489796</v>
      </c>
      <c r="P2134" s="536">
        <f t="shared" si="1267"/>
        <v>34.6520779220779</v>
      </c>
      <c r="Q2134" s="531">
        <f t="shared" si="1268"/>
        <v>77</v>
      </c>
      <c r="R2134" s="537">
        <f t="shared" si="1269"/>
        <v>0.0392857142857143</v>
      </c>
    </row>
    <row r="2135" spans="1:18">
      <c r="A2135" s="524">
        <v>45877</v>
      </c>
      <c r="B2135" s="540" t="s">
        <v>98</v>
      </c>
      <c r="C2135" s="551">
        <v>799.92</v>
      </c>
      <c r="D2135" s="553">
        <v>17307</v>
      </c>
      <c r="E2135" s="551">
        <v>553</v>
      </c>
      <c r="F2135" s="551">
        <v>1</v>
      </c>
      <c r="G2135" s="551">
        <v>8527</v>
      </c>
      <c r="H2135" s="551">
        <v>16</v>
      </c>
      <c r="I2135" s="551">
        <v>2</v>
      </c>
      <c r="J2135" s="551">
        <v>1</v>
      </c>
      <c r="K2135" s="527">
        <f t="shared" si="1262"/>
        <v>0.0319523892066794</v>
      </c>
      <c r="L2135" s="528">
        <f t="shared" si="1263"/>
        <v>1.44650994575045</v>
      </c>
      <c r="M2135" s="528">
        <f t="shared" si="1264"/>
        <v>46.2194487779511</v>
      </c>
      <c r="N2135" s="528">
        <f t="shared" si="1265"/>
        <v>10.6598159815982</v>
      </c>
      <c r="O2135" s="528">
        <f t="shared" si="1266"/>
        <v>0.00180831826401447</v>
      </c>
      <c r="P2135" s="529">
        <f t="shared" si="1267"/>
        <v>44.44</v>
      </c>
      <c r="Q2135" s="24">
        <f t="shared" si="1268"/>
        <v>18</v>
      </c>
      <c r="R2135" s="530">
        <f t="shared" si="1269"/>
        <v>0.0325497287522604</v>
      </c>
    </row>
    <row r="2136" spans="1:18">
      <c r="A2136" s="524"/>
      <c r="B2136" s="540" t="s">
        <v>99</v>
      </c>
      <c r="C2136" s="551">
        <v>1166.82</v>
      </c>
      <c r="D2136" s="555">
        <v>11749</v>
      </c>
      <c r="E2136" s="551">
        <v>732</v>
      </c>
      <c r="F2136" s="551">
        <v>5</v>
      </c>
      <c r="G2136" s="551">
        <v>61667</v>
      </c>
      <c r="H2136" s="555">
        <v>26</v>
      </c>
      <c r="I2136" s="555">
        <v>2</v>
      </c>
      <c r="J2136" s="555">
        <v>4</v>
      </c>
      <c r="K2136" s="527">
        <f t="shared" si="1262"/>
        <v>0.0623031747382756</v>
      </c>
      <c r="L2136" s="528">
        <f t="shared" si="1263"/>
        <v>1.59401639344262</v>
      </c>
      <c r="M2136" s="528">
        <f t="shared" si="1264"/>
        <v>99.3122818963316</v>
      </c>
      <c r="N2136" s="528">
        <f t="shared" si="1265"/>
        <v>52.8504825080132</v>
      </c>
      <c r="O2136" s="528">
        <f t="shared" si="1266"/>
        <v>0.00683060109289617</v>
      </c>
      <c r="P2136" s="529">
        <f t="shared" si="1267"/>
        <v>41.6721428571429</v>
      </c>
      <c r="Q2136" s="24">
        <f t="shared" si="1268"/>
        <v>28</v>
      </c>
      <c r="R2136" s="530">
        <f t="shared" si="1269"/>
        <v>0.0382513661202186</v>
      </c>
    </row>
    <row r="2137" spans="1:18">
      <c r="A2137" s="524"/>
      <c r="B2137" s="540" t="s">
        <v>100</v>
      </c>
      <c r="C2137" s="552">
        <v>790.75</v>
      </c>
      <c r="D2137" s="553">
        <v>49762</v>
      </c>
      <c r="E2137" s="553">
        <v>718</v>
      </c>
      <c r="F2137" s="551">
        <v>1</v>
      </c>
      <c r="G2137" s="551">
        <v>7554</v>
      </c>
      <c r="H2137" s="551">
        <v>21</v>
      </c>
      <c r="I2137" s="551">
        <v>14</v>
      </c>
      <c r="J2137" s="551">
        <v>0</v>
      </c>
      <c r="K2137" s="527">
        <f t="shared" si="1262"/>
        <v>0.0144286805192717</v>
      </c>
      <c r="L2137" s="528">
        <f t="shared" si="1263"/>
        <v>1.10132311977716</v>
      </c>
      <c r="M2137" s="528">
        <f t="shared" si="1264"/>
        <v>15.8906394437523</v>
      </c>
      <c r="N2137" s="528">
        <f t="shared" si="1265"/>
        <v>9.55295605437875</v>
      </c>
      <c r="O2137" s="528">
        <f t="shared" si="1266"/>
        <v>0.00139275766016713</v>
      </c>
      <c r="P2137" s="529">
        <f t="shared" si="1267"/>
        <v>22.5928571428571</v>
      </c>
      <c r="Q2137" s="24">
        <f t="shared" si="1268"/>
        <v>35</v>
      </c>
      <c r="R2137" s="530">
        <f t="shared" si="1269"/>
        <v>0.0487465181058496</v>
      </c>
    </row>
    <row r="2138" spans="1:18">
      <c r="A2138" s="524"/>
      <c r="B2138" s="540" t="s">
        <v>101</v>
      </c>
      <c r="C2138" s="552">
        <v>0</v>
      </c>
      <c r="D2138" s="553">
        <v>0</v>
      </c>
      <c r="E2138" s="551">
        <v>0</v>
      </c>
      <c r="F2138" s="551">
        <v>0</v>
      </c>
      <c r="G2138" s="551">
        <v>0</v>
      </c>
      <c r="H2138" s="551">
        <v>0</v>
      </c>
      <c r="I2138" s="551">
        <v>0</v>
      </c>
      <c r="J2138" s="551">
        <v>0</v>
      </c>
      <c r="K2138" s="527">
        <f t="shared" si="1262"/>
        <v>0</v>
      </c>
      <c r="L2138" s="528">
        <f t="shared" si="1263"/>
        <v>0</v>
      </c>
      <c r="M2138" s="528">
        <f t="shared" si="1264"/>
        <v>0</v>
      </c>
      <c r="N2138" s="528">
        <f t="shared" si="1265"/>
        <v>0</v>
      </c>
      <c r="O2138" s="528">
        <f t="shared" si="1266"/>
        <v>0</v>
      </c>
      <c r="P2138" s="529">
        <f t="shared" si="1267"/>
        <v>0</v>
      </c>
      <c r="Q2138" s="24">
        <f t="shared" si="1268"/>
        <v>0</v>
      </c>
      <c r="R2138" s="530">
        <f t="shared" si="1269"/>
        <v>0</v>
      </c>
    </row>
    <row r="2139" spans="1:18">
      <c r="A2139" s="524"/>
      <c r="B2139" s="531" t="s">
        <v>96</v>
      </c>
      <c r="C2139" s="533">
        <f t="shared" ref="C2139:J2139" si="1271">SUM(C2135:C2138)</f>
        <v>2757.49</v>
      </c>
      <c r="D2139" s="533">
        <f t="shared" si="1271"/>
        <v>78818</v>
      </c>
      <c r="E2139" s="533">
        <f t="shared" si="1271"/>
        <v>2003</v>
      </c>
      <c r="F2139" s="533">
        <f t="shared" si="1271"/>
        <v>7</v>
      </c>
      <c r="G2139" s="533">
        <f t="shared" si="1271"/>
        <v>77748</v>
      </c>
      <c r="H2139" s="533">
        <f t="shared" si="1271"/>
        <v>63</v>
      </c>
      <c r="I2139" s="533">
        <f t="shared" si="1271"/>
        <v>18</v>
      </c>
      <c r="J2139" s="533">
        <f t="shared" si="1271"/>
        <v>5</v>
      </c>
      <c r="K2139" s="534">
        <f t="shared" si="1262"/>
        <v>0.0254129767312035</v>
      </c>
      <c r="L2139" s="535">
        <f t="shared" si="1263"/>
        <v>1.37667998002995</v>
      </c>
      <c r="M2139" s="535">
        <f t="shared" si="1264"/>
        <v>34.985536298815</v>
      </c>
      <c r="N2139" s="535">
        <f t="shared" si="1265"/>
        <v>28.1952065102684</v>
      </c>
      <c r="O2139" s="535">
        <f t="shared" si="1266"/>
        <v>0.00349475786320519</v>
      </c>
      <c r="P2139" s="536">
        <f t="shared" si="1267"/>
        <v>34.0430864197531</v>
      </c>
      <c r="Q2139" s="531">
        <f t="shared" si="1268"/>
        <v>81</v>
      </c>
      <c r="R2139" s="537">
        <f t="shared" si="1269"/>
        <v>0.0404393409885172</v>
      </c>
    </row>
    <row r="2140" spans="1:18">
      <c r="A2140" s="524">
        <v>45878</v>
      </c>
      <c r="B2140" s="540" t="s">
        <v>98</v>
      </c>
      <c r="C2140" s="551">
        <v>798.94</v>
      </c>
      <c r="D2140" s="553">
        <v>18514</v>
      </c>
      <c r="E2140" s="551">
        <v>558</v>
      </c>
      <c r="F2140" s="551">
        <v>3</v>
      </c>
      <c r="G2140" s="551">
        <v>53629</v>
      </c>
      <c r="H2140" s="551">
        <v>28</v>
      </c>
      <c r="I2140" s="551">
        <v>4</v>
      </c>
      <c r="J2140" s="551">
        <v>3</v>
      </c>
      <c r="K2140" s="527">
        <f t="shared" si="1262"/>
        <v>0.0301393540023766</v>
      </c>
      <c r="L2140" s="528">
        <f t="shared" si="1263"/>
        <v>1.43179211469534</v>
      </c>
      <c r="M2140" s="528">
        <f t="shared" si="1264"/>
        <v>43.1532894026142</v>
      </c>
      <c r="N2140" s="528">
        <f t="shared" si="1265"/>
        <v>67.1251908779132</v>
      </c>
      <c r="O2140" s="528">
        <f t="shared" si="1266"/>
        <v>0.00537634408602151</v>
      </c>
      <c r="P2140" s="529">
        <f t="shared" si="1267"/>
        <v>24.966875</v>
      </c>
      <c r="Q2140" s="24">
        <f t="shared" si="1268"/>
        <v>32</v>
      </c>
      <c r="R2140" s="530">
        <f t="shared" si="1269"/>
        <v>0.0573476702508961</v>
      </c>
    </row>
    <row r="2141" spans="1:18">
      <c r="A2141" s="524"/>
      <c r="B2141" s="540" t="s">
        <v>99</v>
      </c>
      <c r="C2141" s="551">
        <v>10.37</v>
      </c>
      <c r="D2141" s="555">
        <v>3</v>
      </c>
      <c r="E2141" s="551">
        <v>1</v>
      </c>
      <c r="F2141" s="551">
        <v>0</v>
      </c>
      <c r="G2141" s="551">
        <v>0</v>
      </c>
      <c r="H2141" s="555">
        <v>0</v>
      </c>
      <c r="I2141" s="555">
        <v>0</v>
      </c>
      <c r="J2141" s="555">
        <v>0</v>
      </c>
      <c r="K2141" s="527">
        <f t="shared" si="1262"/>
        <v>0.333333333333333</v>
      </c>
      <c r="L2141" s="528">
        <f t="shared" si="1263"/>
        <v>10.37</v>
      </c>
      <c r="M2141" s="528">
        <f t="shared" si="1264"/>
        <v>3456.66666666667</v>
      </c>
      <c r="N2141" s="528">
        <f t="shared" si="1265"/>
        <v>0</v>
      </c>
      <c r="O2141" s="528">
        <f t="shared" si="1266"/>
        <v>0</v>
      </c>
      <c r="P2141" s="529">
        <f t="shared" si="1267"/>
        <v>0</v>
      </c>
      <c r="Q2141" s="24">
        <f t="shared" si="1268"/>
        <v>0</v>
      </c>
      <c r="R2141" s="530">
        <f t="shared" si="1269"/>
        <v>0</v>
      </c>
    </row>
    <row r="2142" spans="1:18">
      <c r="A2142" s="524"/>
      <c r="B2142" s="540" t="s">
        <v>100</v>
      </c>
      <c r="C2142" s="552">
        <v>797.6</v>
      </c>
      <c r="D2142" s="553">
        <v>35355</v>
      </c>
      <c r="E2142" s="553">
        <v>639</v>
      </c>
      <c r="F2142" s="551">
        <v>7</v>
      </c>
      <c r="G2142" s="551">
        <v>89822</v>
      </c>
      <c r="H2142" s="551">
        <v>32</v>
      </c>
      <c r="I2142" s="551">
        <v>17</v>
      </c>
      <c r="J2142" s="551">
        <v>1</v>
      </c>
      <c r="K2142" s="527">
        <f t="shared" si="1262"/>
        <v>0.0180738226559185</v>
      </c>
      <c r="L2142" s="528">
        <f t="shared" si="1263"/>
        <v>1.24820031298905</v>
      </c>
      <c r="M2142" s="528">
        <f t="shared" si="1264"/>
        <v>22.559751096026</v>
      </c>
      <c r="N2142" s="528">
        <f t="shared" si="1265"/>
        <v>112.615346038114</v>
      </c>
      <c r="O2142" s="528">
        <f t="shared" si="1266"/>
        <v>0.0109546165884194</v>
      </c>
      <c r="P2142" s="529">
        <f t="shared" si="1267"/>
        <v>16.2775510204082</v>
      </c>
      <c r="Q2142" s="24">
        <f t="shared" si="1268"/>
        <v>49</v>
      </c>
      <c r="R2142" s="530">
        <f t="shared" si="1269"/>
        <v>0.0766823161189358</v>
      </c>
    </row>
    <row r="2143" spans="1:18">
      <c r="A2143" s="524"/>
      <c r="B2143" s="540" t="s">
        <v>101</v>
      </c>
      <c r="C2143" s="552">
        <v>0</v>
      </c>
      <c r="D2143" s="553">
        <v>0</v>
      </c>
      <c r="E2143" s="551">
        <v>0</v>
      </c>
      <c r="F2143" s="551">
        <v>0</v>
      </c>
      <c r="G2143" s="551">
        <v>0</v>
      </c>
      <c r="H2143" s="551">
        <v>0</v>
      </c>
      <c r="I2143" s="551">
        <v>0</v>
      </c>
      <c r="J2143" s="551">
        <v>0</v>
      </c>
      <c r="K2143" s="527">
        <f t="shared" si="1262"/>
        <v>0</v>
      </c>
      <c r="L2143" s="528">
        <f t="shared" si="1263"/>
        <v>0</v>
      </c>
      <c r="M2143" s="528">
        <f t="shared" si="1264"/>
        <v>0</v>
      </c>
      <c r="N2143" s="528">
        <f t="shared" si="1265"/>
        <v>0</v>
      </c>
      <c r="O2143" s="528">
        <f t="shared" si="1266"/>
        <v>0</v>
      </c>
      <c r="P2143" s="529">
        <f t="shared" si="1267"/>
        <v>0</v>
      </c>
      <c r="Q2143" s="24">
        <f t="shared" si="1268"/>
        <v>0</v>
      </c>
      <c r="R2143" s="530">
        <f t="shared" si="1269"/>
        <v>0</v>
      </c>
    </row>
    <row r="2144" spans="1:18">
      <c r="A2144" s="524"/>
      <c r="B2144" s="531" t="s">
        <v>96</v>
      </c>
      <c r="C2144" s="533">
        <f t="shared" ref="C2144:J2144" si="1272">SUM(C2140:C2143)</f>
        <v>1606.91</v>
      </c>
      <c r="D2144" s="533">
        <f t="shared" si="1272"/>
        <v>53872</v>
      </c>
      <c r="E2144" s="533">
        <f t="shared" si="1272"/>
        <v>1198</v>
      </c>
      <c r="F2144" s="533">
        <f t="shared" si="1272"/>
        <v>10</v>
      </c>
      <c r="G2144" s="533">
        <f t="shared" si="1272"/>
        <v>143451</v>
      </c>
      <c r="H2144" s="533">
        <f t="shared" si="1272"/>
        <v>60</v>
      </c>
      <c r="I2144" s="533">
        <f t="shared" si="1272"/>
        <v>21</v>
      </c>
      <c r="J2144" s="533">
        <f t="shared" si="1272"/>
        <v>4</v>
      </c>
      <c r="K2144" s="534">
        <f t="shared" si="1262"/>
        <v>0.0222378972378972</v>
      </c>
      <c r="L2144" s="535">
        <f t="shared" si="1263"/>
        <v>1.34132721202003</v>
      </c>
      <c r="M2144" s="535">
        <f t="shared" si="1264"/>
        <v>29.8282967032967</v>
      </c>
      <c r="N2144" s="535">
        <f t="shared" si="1265"/>
        <v>89.2713344244544</v>
      </c>
      <c r="O2144" s="535">
        <f t="shared" si="1266"/>
        <v>0.00834724540901502</v>
      </c>
      <c r="P2144" s="536">
        <f t="shared" si="1267"/>
        <v>19.8383950617284</v>
      </c>
      <c r="Q2144" s="531">
        <f t="shared" si="1268"/>
        <v>81</v>
      </c>
      <c r="R2144" s="537">
        <f t="shared" si="1269"/>
        <v>0.0676126878130217</v>
      </c>
    </row>
    <row r="2145" spans="1:18">
      <c r="A2145" s="524">
        <v>45879</v>
      </c>
      <c r="B2145" s="540" t="s">
        <v>98</v>
      </c>
      <c r="C2145" s="551">
        <v>798.14</v>
      </c>
      <c r="D2145" s="553">
        <v>19435</v>
      </c>
      <c r="E2145" s="551">
        <v>568</v>
      </c>
      <c r="F2145" s="551">
        <v>1</v>
      </c>
      <c r="G2145" s="551">
        <v>632</v>
      </c>
      <c r="H2145" s="551">
        <v>16</v>
      </c>
      <c r="I2145" s="551">
        <v>4</v>
      </c>
      <c r="J2145" s="551">
        <v>1</v>
      </c>
      <c r="K2145" s="527">
        <f t="shared" si="1262"/>
        <v>0.0292256238744533</v>
      </c>
      <c r="L2145" s="528">
        <f t="shared" si="1263"/>
        <v>1.40517605633803</v>
      </c>
      <c r="M2145" s="528">
        <f t="shared" si="1264"/>
        <v>41.0671468999228</v>
      </c>
      <c r="N2145" s="528">
        <f t="shared" si="1265"/>
        <v>0.79184103039567</v>
      </c>
      <c r="O2145" s="528">
        <f t="shared" si="1266"/>
        <v>0.00176056338028169</v>
      </c>
      <c r="P2145" s="529">
        <f t="shared" si="1267"/>
        <v>39.907</v>
      </c>
      <c r="Q2145" s="24">
        <f t="shared" si="1268"/>
        <v>20</v>
      </c>
      <c r="R2145" s="530">
        <f t="shared" si="1269"/>
        <v>0.0352112676056338</v>
      </c>
    </row>
    <row r="2146" spans="1:18">
      <c r="A2146" s="524"/>
      <c r="B2146" s="540" t="s">
        <v>99</v>
      </c>
      <c r="C2146" s="551">
        <v>1114.73</v>
      </c>
      <c r="D2146" s="555">
        <v>9039</v>
      </c>
      <c r="E2146" s="551">
        <v>732</v>
      </c>
      <c r="F2146" s="551">
        <v>4</v>
      </c>
      <c r="G2146" s="551">
        <v>56980</v>
      </c>
      <c r="H2146" s="555">
        <v>18</v>
      </c>
      <c r="I2146" s="555">
        <v>0</v>
      </c>
      <c r="J2146" s="555">
        <v>0</v>
      </c>
      <c r="K2146" s="527">
        <f t="shared" si="1262"/>
        <v>0.0809824095585795</v>
      </c>
      <c r="L2146" s="528">
        <f t="shared" si="1263"/>
        <v>1.52285519125683</v>
      </c>
      <c r="M2146" s="528">
        <f t="shared" si="1264"/>
        <v>123.32448279677</v>
      </c>
      <c r="N2146" s="528">
        <f t="shared" si="1265"/>
        <v>51.1155167619065</v>
      </c>
      <c r="O2146" s="528">
        <f t="shared" si="1266"/>
        <v>0.00546448087431694</v>
      </c>
      <c r="P2146" s="529">
        <f t="shared" si="1267"/>
        <v>61.9294444444444</v>
      </c>
      <c r="Q2146" s="24">
        <f t="shared" si="1268"/>
        <v>18</v>
      </c>
      <c r="R2146" s="530">
        <f t="shared" si="1269"/>
        <v>0.0245901639344262</v>
      </c>
    </row>
    <row r="2147" spans="1:18">
      <c r="A2147" s="524"/>
      <c r="B2147" s="540" t="s">
        <v>100</v>
      </c>
      <c r="C2147" s="552">
        <v>791.52</v>
      </c>
      <c r="D2147" s="553">
        <v>45171</v>
      </c>
      <c r="E2147" s="553">
        <v>724</v>
      </c>
      <c r="F2147" s="551">
        <v>2</v>
      </c>
      <c r="G2147" s="551">
        <v>15948</v>
      </c>
      <c r="H2147" s="551">
        <v>29</v>
      </c>
      <c r="I2147" s="551">
        <v>15</v>
      </c>
      <c r="J2147" s="551">
        <v>4</v>
      </c>
      <c r="K2147" s="527">
        <f t="shared" si="1262"/>
        <v>0.0160279825551792</v>
      </c>
      <c r="L2147" s="528">
        <f t="shared" si="1263"/>
        <v>1.09325966850829</v>
      </c>
      <c r="M2147" s="528">
        <f t="shared" si="1264"/>
        <v>17.5227468951318</v>
      </c>
      <c r="N2147" s="528">
        <f t="shared" si="1265"/>
        <v>20.1485748938751</v>
      </c>
      <c r="O2147" s="528">
        <f t="shared" si="1266"/>
        <v>0.00276243093922652</v>
      </c>
      <c r="P2147" s="529">
        <f t="shared" si="1267"/>
        <v>17.9890909090909</v>
      </c>
      <c r="Q2147" s="24">
        <f t="shared" si="1268"/>
        <v>44</v>
      </c>
      <c r="R2147" s="530">
        <f t="shared" si="1269"/>
        <v>0.0607734806629834</v>
      </c>
    </row>
    <row r="2148" spans="1:18">
      <c r="A2148" s="524"/>
      <c r="B2148" s="540" t="s">
        <v>101</v>
      </c>
      <c r="C2148" s="552">
        <v>0</v>
      </c>
      <c r="D2148" s="553">
        <v>0</v>
      </c>
      <c r="E2148" s="551">
        <v>0</v>
      </c>
      <c r="F2148" s="551">
        <v>0</v>
      </c>
      <c r="G2148" s="551">
        <v>0</v>
      </c>
      <c r="H2148" s="551">
        <v>0</v>
      </c>
      <c r="I2148" s="551">
        <v>0</v>
      </c>
      <c r="J2148" s="551">
        <v>0</v>
      </c>
      <c r="K2148" s="527">
        <f t="shared" si="1262"/>
        <v>0</v>
      </c>
      <c r="L2148" s="528">
        <f t="shared" si="1263"/>
        <v>0</v>
      </c>
      <c r="M2148" s="528">
        <f t="shared" si="1264"/>
        <v>0</v>
      </c>
      <c r="N2148" s="528">
        <f t="shared" si="1265"/>
        <v>0</v>
      </c>
      <c r="O2148" s="528">
        <f t="shared" si="1266"/>
        <v>0</v>
      </c>
      <c r="P2148" s="529">
        <f t="shared" si="1267"/>
        <v>0</v>
      </c>
      <c r="Q2148" s="24">
        <f t="shared" si="1268"/>
        <v>0</v>
      </c>
      <c r="R2148" s="530">
        <f t="shared" si="1269"/>
        <v>0</v>
      </c>
    </row>
    <row r="2149" spans="1:18">
      <c r="A2149" s="524"/>
      <c r="B2149" s="531" t="s">
        <v>96</v>
      </c>
      <c r="C2149" s="533">
        <f t="shared" ref="C2149:J2149" si="1273">SUM(C2145:C2148)</f>
        <v>2704.39</v>
      </c>
      <c r="D2149" s="533">
        <f t="shared" si="1273"/>
        <v>73645</v>
      </c>
      <c r="E2149" s="533">
        <f t="shared" si="1273"/>
        <v>2024</v>
      </c>
      <c r="F2149" s="533">
        <f t="shared" si="1273"/>
        <v>7</v>
      </c>
      <c r="G2149" s="533">
        <f t="shared" si="1273"/>
        <v>73560</v>
      </c>
      <c r="H2149" s="533">
        <f t="shared" si="1273"/>
        <v>63</v>
      </c>
      <c r="I2149" s="533">
        <f t="shared" si="1273"/>
        <v>19</v>
      </c>
      <c r="J2149" s="533">
        <f t="shared" si="1273"/>
        <v>5</v>
      </c>
      <c r="K2149" s="534">
        <f t="shared" si="1262"/>
        <v>0.0274831964152353</v>
      </c>
      <c r="L2149" s="535">
        <f t="shared" si="1263"/>
        <v>1.33616106719368</v>
      </c>
      <c r="M2149" s="535">
        <f t="shared" si="1264"/>
        <v>36.7219770520741</v>
      </c>
      <c r="N2149" s="535">
        <f t="shared" si="1265"/>
        <v>27.2002189033386</v>
      </c>
      <c r="O2149" s="535">
        <f t="shared" si="1266"/>
        <v>0.00345849802371542</v>
      </c>
      <c r="P2149" s="536">
        <f t="shared" si="1267"/>
        <v>32.9803658536585</v>
      </c>
      <c r="Q2149" s="531">
        <f t="shared" si="1268"/>
        <v>82</v>
      </c>
      <c r="R2149" s="537">
        <f t="shared" si="1269"/>
        <v>0.0405138339920949</v>
      </c>
    </row>
    <row r="2150" spans="1:18">
      <c r="A2150" s="524">
        <v>45880</v>
      </c>
      <c r="B2150" s="540" t="s">
        <v>98</v>
      </c>
      <c r="C2150" s="551">
        <v>800</v>
      </c>
      <c r="D2150" s="553">
        <v>19483</v>
      </c>
      <c r="E2150" s="551">
        <v>590</v>
      </c>
      <c r="F2150" s="551">
        <v>0</v>
      </c>
      <c r="G2150" s="551">
        <v>0</v>
      </c>
      <c r="H2150" s="551">
        <v>26</v>
      </c>
      <c r="I2150" s="551">
        <v>6</v>
      </c>
      <c r="J2150" s="551">
        <v>3</v>
      </c>
      <c r="K2150" s="527">
        <f t="shared" si="1262"/>
        <v>0.0302828106554432</v>
      </c>
      <c r="L2150" s="528">
        <f t="shared" si="1263"/>
        <v>1.35593220338983</v>
      </c>
      <c r="M2150" s="528">
        <f t="shared" si="1264"/>
        <v>41.0614381768721</v>
      </c>
      <c r="N2150" s="528">
        <f t="shared" si="1265"/>
        <v>0</v>
      </c>
      <c r="O2150" s="528">
        <f t="shared" si="1266"/>
        <v>0</v>
      </c>
      <c r="P2150" s="529">
        <f t="shared" si="1267"/>
        <v>25</v>
      </c>
      <c r="Q2150" s="24">
        <f t="shared" si="1268"/>
        <v>32</v>
      </c>
      <c r="R2150" s="530">
        <f t="shared" si="1269"/>
        <v>0.0542372881355932</v>
      </c>
    </row>
    <row r="2151" spans="1:18">
      <c r="A2151" s="524"/>
      <c r="B2151" s="540" t="s">
        <v>99</v>
      </c>
      <c r="C2151" s="551">
        <v>1330.11</v>
      </c>
      <c r="D2151" s="555">
        <v>14607</v>
      </c>
      <c r="E2151" s="551">
        <v>808</v>
      </c>
      <c r="F2151" s="551">
        <v>1</v>
      </c>
      <c r="G2151" s="551">
        <v>12892</v>
      </c>
      <c r="H2151" s="555">
        <v>20</v>
      </c>
      <c r="I2151" s="555">
        <v>1</v>
      </c>
      <c r="J2151" s="555">
        <v>0</v>
      </c>
      <c r="K2151" s="527">
        <f t="shared" si="1262"/>
        <v>0.0553159444102143</v>
      </c>
      <c r="L2151" s="528">
        <f t="shared" si="1263"/>
        <v>1.64617574257426</v>
      </c>
      <c r="M2151" s="528">
        <f t="shared" si="1264"/>
        <v>91.0597658656808</v>
      </c>
      <c r="N2151" s="528">
        <f t="shared" si="1265"/>
        <v>9.69243145303772</v>
      </c>
      <c r="O2151" s="528">
        <f t="shared" si="1266"/>
        <v>0.00123762376237624</v>
      </c>
      <c r="P2151" s="529">
        <f t="shared" si="1267"/>
        <v>63.3385714285714</v>
      </c>
      <c r="Q2151" s="24">
        <f t="shared" si="1268"/>
        <v>21</v>
      </c>
      <c r="R2151" s="530">
        <f t="shared" si="1269"/>
        <v>0.025990099009901</v>
      </c>
    </row>
    <row r="2152" spans="1:18">
      <c r="A2152" s="524"/>
      <c r="B2152" s="540" t="s">
        <v>100</v>
      </c>
      <c r="C2152" s="552">
        <v>751.51</v>
      </c>
      <c r="D2152" s="553">
        <v>61661</v>
      </c>
      <c r="E2152" s="553">
        <v>780</v>
      </c>
      <c r="F2152" s="551">
        <v>1</v>
      </c>
      <c r="G2152" s="551">
        <v>18994</v>
      </c>
      <c r="H2152" s="551">
        <v>32</v>
      </c>
      <c r="I2152" s="551">
        <v>9</v>
      </c>
      <c r="J2152" s="551">
        <v>3</v>
      </c>
      <c r="K2152" s="527">
        <f t="shared" si="1262"/>
        <v>0.0126498110637194</v>
      </c>
      <c r="L2152" s="528">
        <f t="shared" si="1263"/>
        <v>0.963474358974359</v>
      </c>
      <c r="M2152" s="528">
        <f t="shared" si="1264"/>
        <v>12.1877686057638</v>
      </c>
      <c r="N2152" s="528">
        <f t="shared" si="1265"/>
        <v>25.2744474458091</v>
      </c>
      <c r="O2152" s="528">
        <f t="shared" si="1266"/>
        <v>0.00128205128205128</v>
      </c>
      <c r="P2152" s="529">
        <f t="shared" si="1267"/>
        <v>18.3295121951219</v>
      </c>
      <c r="Q2152" s="24">
        <f t="shared" si="1268"/>
        <v>41</v>
      </c>
      <c r="R2152" s="530">
        <f t="shared" si="1269"/>
        <v>0.0525641025641026</v>
      </c>
    </row>
    <row r="2153" spans="1:18">
      <c r="A2153" s="524"/>
      <c r="B2153" s="540" t="s">
        <v>101</v>
      </c>
      <c r="C2153" s="552">
        <v>0</v>
      </c>
      <c r="D2153" s="553">
        <v>0</v>
      </c>
      <c r="E2153" s="551">
        <v>0</v>
      </c>
      <c r="F2153" s="551">
        <v>0</v>
      </c>
      <c r="G2153" s="551">
        <v>0</v>
      </c>
      <c r="H2153" s="551">
        <v>0</v>
      </c>
      <c r="I2153" s="551">
        <v>0</v>
      </c>
      <c r="J2153" s="551">
        <v>0</v>
      </c>
      <c r="K2153" s="527">
        <f t="shared" si="1262"/>
        <v>0</v>
      </c>
      <c r="L2153" s="528">
        <f t="shared" si="1263"/>
        <v>0</v>
      </c>
      <c r="M2153" s="528">
        <f t="shared" si="1264"/>
        <v>0</v>
      </c>
      <c r="N2153" s="528">
        <f t="shared" si="1265"/>
        <v>0</v>
      </c>
      <c r="O2153" s="528">
        <f t="shared" si="1266"/>
        <v>0</v>
      </c>
      <c r="P2153" s="529">
        <f t="shared" si="1267"/>
        <v>0</v>
      </c>
      <c r="Q2153" s="24">
        <f t="shared" si="1268"/>
        <v>0</v>
      </c>
      <c r="R2153" s="530">
        <f t="shared" si="1269"/>
        <v>0</v>
      </c>
    </row>
    <row r="2154" spans="1:18">
      <c r="A2154" s="524"/>
      <c r="B2154" s="531" t="s">
        <v>96</v>
      </c>
      <c r="C2154" s="533">
        <f t="shared" ref="C2154:J2154" si="1274">SUM(C2150:C2153)</f>
        <v>2881.62</v>
      </c>
      <c r="D2154" s="533">
        <f t="shared" si="1274"/>
        <v>95751</v>
      </c>
      <c r="E2154" s="533">
        <f t="shared" si="1274"/>
        <v>2178</v>
      </c>
      <c r="F2154" s="533">
        <f t="shared" si="1274"/>
        <v>2</v>
      </c>
      <c r="G2154" s="533">
        <f t="shared" si="1274"/>
        <v>31886</v>
      </c>
      <c r="H2154" s="533">
        <f t="shared" si="1274"/>
        <v>78</v>
      </c>
      <c r="I2154" s="533">
        <f t="shared" si="1274"/>
        <v>16</v>
      </c>
      <c r="J2154" s="533">
        <f t="shared" si="1274"/>
        <v>6</v>
      </c>
      <c r="K2154" s="534">
        <f t="shared" si="1262"/>
        <v>0.0227464987310837</v>
      </c>
      <c r="L2154" s="535">
        <f t="shared" si="1263"/>
        <v>1.32305785123967</v>
      </c>
      <c r="M2154" s="535">
        <f t="shared" si="1264"/>
        <v>30.0949337343735</v>
      </c>
      <c r="N2154" s="535">
        <f t="shared" si="1265"/>
        <v>11.065303544534</v>
      </c>
      <c r="O2154" s="535">
        <f t="shared" si="1266"/>
        <v>0.000918273645546373</v>
      </c>
      <c r="P2154" s="536">
        <f t="shared" si="1267"/>
        <v>30.6555319148936</v>
      </c>
      <c r="Q2154" s="531">
        <f t="shared" si="1268"/>
        <v>94</v>
      </c>
      <c r="R2154" s="537">
        <f t="shared" si="1269"/>
        <v>0.0431588613406795</v>
      </c>
    </row>
    <row r="2155" spans="1:18">
      <c r="A2155" s="524">
        <v>45881</v>
      </c>
      <c r="B2155" s="540" t="s">
        <v>98</v>
      </c>
      <c r="C2155" s="551">
        <v>798.28</v>
      </c>
      <c r="D2155" s="553">
        <v>17500</v>
      </c>
      <c r="E2155" s="551">
        <v>606</v>
      </c>
      <c r="F2155" s="551">
        <v>1</v>
      </c>
      <c r="G2155" s="551">
        <v>14554</v>
      </c>
      <c r="H2155" s="551">
        <v>19</v>
      </c>
      <c r="I2155" s="551">
        <v>3</v>
      </c>
      <c r="J2155" s="551">
        <v>3</v>
      </c>
      <c r="K2155" s="527">
        <f t="shared" si="1262"/>
        <v>0.0346285714285714</v>
      </c>
      <c r="L2155" s="528">
        <f t="shared" si="1263"/>
        <v>1.31729372937294</v>
      </c>
      <c r="M2155" s="528">
        <f t="shared" si="1264"/>
        <v>45.616</v>
      </c>
      <c r="N2155" s="528">
        <f t="shared" si="1265"/>
        <v>18.2316981510247</v>
      </c>
      <c r="O2155" s="528">
        <f t="shared" si="1266"/>
        <v>0.00165016501650165</v>
      </c>
      <c r="P2155" s="529">
        <f t="shared" si="1267"/>
        <v>36.2854545454545</v>
      </c>
      <c r="Q2155" s="24">
        <f t="shared" si="1268"/>
        <v>22</v>
      </c>
      <c r="R2155" s="530">
        <f t="shared" si="1269"/>
        <v>0.0363036303630363</v>
      </c>
    </row>
    <row r="2156" spans="1:18">
      <c r="A2156" s="524"/>
      <c r="B2156" s="540" t="s">
        <v>99</v>
      </c>
      <c r="C2156" s="551">
        <v>0.84</v>
      </c>
      <c r="D2156" s="555">
        <v>4</v>
      </c>
      <c r="E2156" s="551">
        <v>1</v>
      </c>
      <c r="F2156" s="551">
        <v>0</v>
      </c>
      <c r="G2156" s="551">
        <v>0</v>
      </c>
      <c r="H2156" s="555">
        <v>0</v>
      </c>
      <c r="I2156" s="555">
        <v>0</v>
      </c>
      <c r="J2156" s="555">
        <v>0</v>
      </c>
      <c r="K2156" s="527">
        <f t="shared" si="1262"/>
        <v>0.25</v>
      </c>
      <c r="L2156" s="528">
        <f t="shared" si="1263"/>
        <v>0.84</v>
      </c>
      <c r="M2156" s="528">
        <f t="shared" si="1264"/>
        <v>210</v>
      </c>
      <c r="N2156" s="528">
        <f t="shared" si="1265"/>
        <v>0</v>
      </c>
      <c r="O2156" s="528">
        <f t="shared" si="1266"/>
        <v>0</v>
      </c>
      <c r="P2156" s="529">
        <f t="shared" si="1267"/>
        <v>0</v>
      </c>
      <c r="Q2156" s="24">
        <f t="shared" si="1268"/>
        <v>0</v>
      </c>
      <c r="R2156" s="530">
        <f t="shared" si="1269"/>
        <v>0</v>
      </c>
    </row>
    <row r="2157" spans="1:18">
      <c r="A2157" s="524"/>
      <c r="B2157" s="540" t="s">
        <v>100</v>
      </c>
      <c r="C2157" s="552">
        <v>797.31</v>
      </c>
      <c r="D2157" s="553">
        <v>64767</v>
      </c>
      <c r="E2157" s="553">
        <v>844</v>
      </c>
      <c r="F2157" s="551">
        <v>4</v>
      </c>
      <c r="G2157" s="551">
        <v>34376</v>
      </c>
      <c r="H2157" s="551">
        <v>22</v>
      </c>
      <c r="I2157" s="551">
        <v>14</v>
      </c>
      <c r="J2157" s="551">
        <v>0</v>
      </c>
      <c r="K2157" s="527">
        <f t="shared" si="1262"/>
        <v>0.0130313276823073</v>
      </c>
      <c r="L2157" s="528">
        <f t="shared" si="1263"/>
        <v>0.94468009478673</v>
      </c>
      <c r="M2157" s="528">
        <f t="shared" si="1264"/>
        <v>12.310435870119</v>
      </c>
      <c r="N2157" s="528">
        <f t="shared" si="1265"/>
        <v>43.1149741004126</v>
      </c>
      <c r="O2157" s="528">
        <f t="shared" si="1266"/>
        <v>0.004739336492891</v>
      </c>
      <c r="P2157" s="529">
        <f t="shared" si="1267"/>
        <v>22.1475</v>
      </c>
      <c r="Q2157" s="24">
        <f t="shared" si="1268"/>
        <v>36</v>
      </c>
      <c r="R2157" s="530">
        <f t="shared" si="1269"/>
        <v>0.042654028436019</v>
      </c>
    </row>
    <row r="2158" spans="1:18">
      <c r="A2158" s="524"/>
      <c r="B2158" s="540" t="s">
        <v>101</v>
      </c>
      <c r="C2158" s="552">
        <v>0</v>
      </c>
      <c r="D2158" s="553">
        <v>0</v>
      </c>
      <c r="E2158" s="551">
        <v>0</v>
      </c>
      <c r="F2158" s="551">
        <v>0</v>
      </c>
      <c r="G2158" s="551">
        <v>0</v>
      </c>
      <c r="H2158" s="551">
        <v>0</v>
      </c>
      <c r="I2158" s="551">
        <v>0</v>
      </c>
      <c r="J2158" s="551">
        <v>0</v>
      </c>
      <c r="K2158" s="527">
        <f t="shared" si="1262"/>
        <v>0</v>
      </c>
      <c r="L2158" s="528">
        <f t="shared" si="1263"/>
        <v>0</v>
      </c>
      <c r="M2158" s="528">
        <f t="shared" si="1264"/>
        <v>0</v>
      </c>
      <c r="N2158" s="528">
        <f t="shared" si="1265"/>
        <v>0</v>
      </c>
      <c r="O2158" s="528">
        <f t="shared" si="1266"/>
        <v>0</v>
      </c>
      <c r="P2158" s="529">
        <f t="shared" si="1267"/>
        <v>0</v>
      </c>
      <c r="Q2158" s="24">
        <f t="shared" si="1268"/>
        <v>0</v>
      </c>
      <c r="R2158" s="530">
        <f t="shared" si="1269"/>
        <v>0</v>
      </c>
    </row>
    <row r="2159" spans="1:18">
      <c r="A2159" s="524"/>
      <c r="B2159" s="531" t="s">
        <v>96</v>
      </c>
      <c r="C2159" s="533">
        <f t="shared" ref="C2159:J2159" si="1275">SUM(C2155:C2158)</f>
        <v>1596.43</v>
      </c>
      <c r="D2159" s="533">
        <f t="shared" si="1275"/>
        <v>82271</v>
      </c>
      <c r="E2159" s="533">
        <f t="shared" si="1275"/>
        <v>1451</v>
      </c>
      <c r="F2159" s="533">
        <f t="shared" si="1275"/>
        <v>5</v>
      </c>
      <c r="G2159" s="533">
        <f t="shared" si="1275"/>
        <v>48930</v>
      </c>
      <c r="H2159" s="533">
        <f t="shared" si="1275"/>
        <v>41</v>
      </c>
      <c r="I2159" s="533">
        <f t="shared" si="1275"/>
        <v>17</v>
      </c>
      <c r="J2159" s="533">
        <f t="shared" si="1275"/>
        <v>3</v>
      </c>
      <c r="K2159" s="534">
        <f t="shared" si="1262"/>
        <v>0.0176368343644784</v>
      </c>
      <c r="L2159" s="535">
        <f t="shared" si="1263"/>
        <v>1.10022742935906</v>
      </c>
      <c r="M2159" s="535">
        <f t="shared" si="1264"/>
        <v>19.4045289348616</v>
      </c>
      <c r="N2159" s="535">
        <f t="shared" si="1265"/>
        <v>30.649637002562</v>
      </c>
      <c r="O2159" s="535">
        <f t="shared" si="1266"/>
        <v>0.00344589937973811</v>
      </c>
      <c r="P2159" s="536">
        <f t="shared" si="1267"/>
        <v>27.5246551724138</v>
      </c>
      <c r="Q2159" s="531">
        <f t="shared" si="1268"/>
        <v>58</v>
      </c>
      <c r="R2159" s="537">
        <f t="shared" si="1269"/>
        <v>0.0399724328049621</v>
      </c>
    </row>
    <row r="2160" spans="1:18">
      <c r="A2160" s="524">
        <v>45882</v>
      </c>
      <c r="B2160" s="540" t="s">
        <v>98</v>
      </c>
      <c r="C2160" s="551">
        <v>799.71</v>
      </c>
      <c r="D2160" s="553">
        <v>17749</v>
      </c>
      <c r="E2160" s="551">
        <v>585</v>
      </c>
      <c r="F2160" s="551">
        <v>6</v>
      </c>
      <c r="G2160" s="551">
        <v>61592</v>
      </c>
      <c r="H2160" s="551">
        <v>40</v>
      </c>
      <c r="I2160" s="551">
        <v>6</v>
      </c>
      <c r="J2160" s="551">
        <v>6</v>
      </c>
      <c r="K2160" s="527">
        <f t="shared" si="1262"/>
        <v>0.0329596033579357</v>
      </c>
      <c r="L2160" s="528">
        <f t="shared" si="1263"/>
        <v>1.36702564102564</v>
      </c>
      <c r="M2160" s="528">
        <f t="shared" si="1264"/>
        <v>45.0566229083329</v>
      </c>
      <c r="N2160" s="528">
        <f t="shared" si="1265"/>
        <v>77.0179189956359</v>
      </c>
      <c r="O2160" s="528">
        <f t="shared" si="1266"/>
        <v>0.0102564102564103</v>
      </c>
      <c r="P2160" s="529">
        <f t="shared" si="1267"/>
        <v>17.385</v>
      </c>
      <c r="Q2160" s="24">
        <f t="shared" si="1268"/>
        <v>46</v>
      </c>
      <c r="R2160" s="530">
        <f t="shared" si="1269"/>
        <v>0.0786324786324786</v>
      </c>
    </row>
    <row r="2161" spans="1:18">
      <c r="A2161" s="524"/>
      <c r="B2161" s="540" t="s">
        <v>99</v>
      </c>
      <c r="C2161" s="551">
        <v>1173.76</v>
      </c>
      <c r="D2161" s="555">
        <v>8727</v>
      </c>
      <c r="E2161" s="551">
        <v>766</v>
      </c>
      <c r="F2161" s="551">
        <v>0</v>
      </c>
      <c r="G2161" s="551">
        <v>0</v>
      </c>
      <c r="H2161" s="555">
        <v>31</v>
      </c>
      <c r="I2161" s="555">
        <v>0</v>
      </c>
      <c r="J2161" s="555">
        <v>4</v>
      </c>
      <c r="K2161" s="527">
        <f t="shared" si="1262"/>
        <v>0.0877735762575914</v>
      </c>
      <c r="L2161" s="528">
        <f t="shared" si="1263"/>
        <v>1.53232375979112</v>
      </c>
      <c r="M2161" s="528">
        <f t="shared" si="1264"/>
        <v>134.497536381345</v>
      </c>
      <c r="N2161" s="528">
        <f t="shared" si="1265"/>
        <v>0</v>
      </c>
      <c r="O2161" s="528">
        <f t="shared" si="1266"/>
        <v>0</v>
      </c>
      <c r="P2161" s="529">
        <f t="shared" si="1267"/>
        <v>37.8632258064516</v>
      </c>
      <c r="Q2161" s="24">
        <f t="shared" si="1268"/>
        <v>31</v>
      </c>
      <c r="R2161" s="530">
        <f t="shared" si="1269"/>
        <v>0.0404699738903394</v>
      </c>
    </row>
    <row r="2162" spans="1:18">
      <c r="A2162" s="524"/>
      <c r="B2162" s="540" t="s">
        <v>100</v>
      </c>
      <c r="C2162" s="552">
        <v>780.53</v>
      </c>
      <c r="D2162" s="553">
        <v>54314</v>
      </c>
      <c r="E2162" s="553">
        <v>796</v>
      </c>
      <c r="F2162" s="551">
        <v>0</v>
      </c>
      <c r="G2162" s="551">
        <v>0</v>
      </c>
      <c r="H2162" s="551">
        <v>29</v>
      </c>
      <c r="I2162" s="551">
        <v>6</v>
      </c>
      <c r="J2162" s="551">
        <v>0</v>
      </c>
      <c r="K2162" s="527">
        <f t="shared" si="1262"/>
        <v>0.0146555215966417</v>
      </c>
      <c r="L2162" s="528">
        <f t="shared" si="1263"/>
        <v>0.980565326633166</v>
      </c>
      <c r="M2162" s="528">
        <f t="shared" si="1264"/>
        <v>14.3706963213904</v>
      </c>
      <c r="N2162" s="528">
        <f t="shared" si="1265"/>
        <v>0</v>
      </c>
      <c r="O2162" s="528">
        <f t="shared" si="1266"/>
        <v>0</v>
      </c>
      <c r="P2162" s="529">
        <f t="shared" si="1267"/>
        <v>22.3008571428571</v>
      </c>
      <c r="Q2162" s="24">
        <f t="shared" si="1268"/>
        <v>35</v>
      </c>
      <c r="R2162" s="530">
        <f t="shared" si="1269"/>
        <v>0.0439698492462312</v>
      </c>
    </row>
    <row r="2163" spans="1:18">
      <c r="A2163" s="524"/>
      <c r="B2163" s="540" t="s">
        <v>101</v>
      </c>
      <c r="C2163" s="552">
        <v>0</v>
      </c>
      <c r="D2163" s="553">
        <v>0</v>
      </c>
      <c r="E2163" s="551">
        <v>0</v>
      </c>
      <c r="F2163" s="551">
        <v>0</v>
      </c>
      <c r="G2163" s="551">
        <v>0</v>
      </c>
      <c r="H2163" s="551">
        <v>0</v>
      </c>
      <c r="I2163" s="551">
        <v>0</v>
      </c>
      <c r="J2163" s="551">
        <v>0</v>
      </c>
      <c r="K2163" s="527">
        <f t="shared" si="1262"/>
        <v>0</v>
      </c>
      <c r="L2163" s="528">
        <f t="shared" si="1263"/>
        <v>0</v>
      </c>
      <c r="M2163" s="528">
        <f t="shared" si="1264"/>
        <v>0</v>
      </c>
      <c r="N2163" s="528">
        <f t="shared" si="1265"/>
        <v>0</v>
      </c>
      <c r="O2163" s="528">
        <f t="shared" si="1266"/>
        <v>0</v>
      </c>
      <c r="P2163" s="529">
        <f t="shared" si="1267"/>
        <v>0</v>
      </c>
      <c r="Q2163" s="24">
        <f t="shared" si="1268"/>
        <v>0</v>
      </c>
      <c r="R2163" s="530">
        <f t="shared" si="1269"/>
        <v>0</v>
      </c>
    </row>
    <row r="2164" spans="1:18">
      <c r="A2164" s="524"/>
      <c r="B2164" s="531" t="s">
        <v>96</v>
      </c>
      <c r="C2164" s="533">
        <f t="shared" ref="C2164:J2164" si="1276">SUM(C2160:C2163)</f>
        <v>2754</v>
      </c>
      <c r="D2164" s="533">
        <f t="shared" si="1276"/>
        <v>80790</v>
      </c>
      <c r="E2164" s="533">
        <f t="shared" si="1276"/>
        <v>2147</v>
      </c>
      <c r="F2164" s="533">
        <f t="shared" si="1276"/>
        <v>6</v>
      </c>
      <c r="G2164" s="533">
        <f t="shared" si="1276"/>
        <v>61592</v>
      </c>
      <c r="H2164" s="533">
        <f t="shared" si="1276"/>
        <v>100</v>
      </c>
      <c r="I2164" s="533">
        <f t="shared" si="1276"/>
        <v>12</v>
      </c>
      <c r="J2164" s="533">
        <f t="shared" si="1276"/>
        <v>10</v>
      </c>
      <c r="K2164" s="534">
        <f t="shared" si="1262"/>
        <v>0.0265750711721748</v>
      </c>
      <c r="L2164" s="535">
        <f t="shared" si="1263"/>
        <v>1.28272007452259</v>
      </c>
      <c r="M2164" s="535">
        <f t="shared" si="1264"/>
        <v>34.0883772744152</v>
      </c>
      <c r="N2164" s="535">
        <f t="shared" si="1265"/>
        <v>22.3645606390704</v>
      </c>
      <c r="O2164" s="535">
        <f t="shared" si="1266"/>
        <v>0.00279459711224965</v>
      </c>
      <c r="P2164" s="536">
        <f t="shared" si="1267"/>
        <v>24.5892857142857</v>
      </c>
      <c r="Q2164" s="531">
        <f t="shared" si="1268"/>
        <v>112</v>
      </c>
      <c r="R2164" s="537">
        <f t="shared" si="1269"/>
        <v>0.0521658127619935</v>
      </c>
    </row>
    <row r="2165" spans="1:18">
      <c r="A2165" s="524">
        <v>45883</v>
      </c>
      <c r="B2165" s="540" t="s">
        <v>98</v>
      </c>
      <c r="C2165" s="551">
        <v>800</v>
      </c>
      <c r="D2165" s="553">
        <v>18912</v>
      </c>
      <c r="E2165" s="551">
        <v>568</v>
      </c>
      <c r="F2165" s="551">
        <v>3</v>
      </c>
      <c r="G2165" s="551">
        <v>21228</v>
      </c>
      <c r="H2165" s="551">
        <v>26</v>
      </c>
      <c r="I2165" s="551">
        <v>2</v>
      </c>
      <c r="J2165" s="551">
        <v>4</v>
      </c>
      <c r="K2165" s="527">
        <f t="shared" si="1262"/>
        <v>0.0300338409475465</v>
      </c>
      <c r="L2165" s="528">
        <f t="shared" si="1263"/>
        <v>1.40845070422535</v>
      </c>
      <c r="M2165" s="528">
        <f t="shared" si="1264"/>
        <v>42.3011844331641</v>
      </c>
      <c r="N2165" s="528">
        <f t="shared" si="1265"/>
        <v>26.535</v>
      </c>
      <c r="O2165" s="528">
        <f t="shared" si="1266"/>
        <v>0.00528169014084507</v>
      </c>
      <c r="P2165" s="529">
        <f t="shared" si="1267"/>
        <v>28.5714285714286</v>
      </c>
      <c r="Q2165" s="24">
        <f t="shared" si="1268"/>
        <v>28</v>
      </c>
      <c r="R2165" s="530">
        <f t="shared" si="1269"/>
        <v>0.0492957746478873</v>
      </c>
    </row>
    <row r="2166" spans="1:18">
      <c r="A2166" s="524"/>
      <c r="B2166" s="540" t="s">
        <v>99</v>
      </c>
      <c r="C2166" s="551">
        <v>951.71</v>
      </c>
      <c r="D2166" s="555">
        <v>10125</v>
      </c>
      <c r="E2166" s="551">
        <v>563</v>
      </c>
      <c r="F2166" s="551">
        <v>1</v>
      </c>
      <c r="G2166" s="551">
        <v>9312</v>
      </c>
      <c r="H2166" s="555">
        <v>12</v>
      </c>
      <c r="I2166" s="555">
        <v>0</v>
      </c>
      <c r="J2166" s="555">
        <v>2</v>
      </c>
      <c r="K2166" s="527">
        <f t="shared" si="1262"/>
        <v>0.0556049382716049</v>
      </c>
      <c r="L2166" s="528">
        <f t="shared" si="1263"/>
        <v>1.69042628774423</v>
      </c>
      <c r="M2166" s="528">
        <f t="shared" si="1264"/>
        <v>93.9960493827161</v>
      </c>
      <c r="N2166" s="528">
        <f t="shared" si="1265"/>
        <v>9.7844931754421</v>
      </c>
      <c r="O2166" s="528">
        <f t="shared" si="1266"/>
        <v>0.00177619893428064</v>
      </c>
      <c r="P2166" s="529">
        <f t="shared" si="1267"/>
        <v>79.3091666666667</v>
      </c>
      <c r="Q2166" s="24">
        <f t="shared" si="1268"/>
        <v>12</v>
      </c>
      <c r="R2166" s="530">
        <f t="shared" si="1269"/>
        <v>0.0213143872113677</v>
      </c>
    </row>
    <row r="2167" spans="1:18">
      <c r="A2167" s="524"/>
      <c r="B2167" s="540" t="s">
        <v>100</v>
      </c>
      <c r="C2167" s="552">
        <v>790.43</v>
      </c>
      <c r="D2167" s="553">
        <v>67632</v>
      </c>
      <c r="E2167" s="553">
        <v>837</v>
      </c>
      <c r="F2167" s="551">
        <v>0</v>
      </c>
      <c r="G2167" s="551">
        <v>0</v>
      </c>
      <c r="H2167" s="551">
        <v>27</v>
      </c>
      <c r="I2167" s="551">
        <v>7</v>
      </c>
      <c r="J2167" s="551">
        <v>2</v>
      </c>
      <c r="K2167" s="527">
        <f t="shared" si="1262"/>
        <v>0.0123757984386089</v>
      </c>
      <c r="L2167" s="528">
        <f t="shared" si="1263"/>
        <v>0.944360812425329</v>
      </c>
      <c r="M2167" s="528">
        <f t="shared" si="1264"/>
        <v>11.6872190678969</v>
      </c>
      <c r="N2167" s="528">
        <f t="shared" si="1265"/>
        <v>0</v>
      </c>
      <c r="O2167" s="528">
        <f t="shared" si="1266"/>
        <v>0</v>
      </c>
      <c r="P2167" s="529">
        <f t="shared" si="1267"/>
        <v>23.2479411764706</v>
      </c>
      <c r="Q2167" s="24">
        <f t="shared" si="1268"/>
        <v>34</v>
      </c>
      <c r="R2167" s="530">
        <f t="shared" si="1269"/>
        <v>0.040621266427718</v>
      </c>
    </row>
    <row r="2168" spans="1:18">
      <c r="A2168" s="524"/>
      <c r="B2168" s="540" t="s">
        <v>101</v>
      </c>
      <c r="C2168" s="552">
        <v>0</v>
      </c>
      <c r="D2168" s="553">
        <v>0</v>
      </c>
      <c r="E2168" s="551">
        <v>0</v>
      </c>
      <c r="F2168" s="551">
        <v>0</v>
      </c>
      <c r="G2168" s="551">
        <v>0</v>
      </c>
      <c r="H2168" s="551">
        <v>0</v>
      </c>
      <c r="I2168" s="551">
        <v>0</v>
      </c>
      <c r="J2168" s="551">
        <v>0</v>
      </c>
      <c r="K2168" s="527">
        <f t="shared" si="1262"/>
        <v>0</v>
      </c>
      <c r="L2168" s="528">
        <f t="shared" si="1263"/>
        <v>0</v>
      </c>
      <c r="M2168" s="528">
        <f t="shared" si="1264"/>
        <v>0</v>
      </c>
      <c r="N2168" s="528">
        <f t="shared" si="1265"/>
        <v>0</v>
      </c>
      <c r="O2168" s="528">
        <f t="shared" si="1266"/>
        <v>0</v>
      </c>
      <c r="P2168" s="529">
        <f t="shared" si="1267"/>
        <v>0</v>
      </c>
      <c r="Q2168" s="24">
        <f t="shared" si="1268"/>
        <v>0</v>
      </c>
      <c r="R2168" s="530">
        <f t="shared" si="1269"/>
        <v>0</v>
      </c>
    </row>
    <row r="2169" spans="1:18">
      <c r="A2169" s="524"/>
      <c r="B2169" s="531" t="s">
        <v>96</v>
      </c>
      <c r="C2169" s="533">
        <f t="shared" ref="C2169:J2169" si="1277">SUM(C2165:C2168)</f>
        <v>2542.14</v>
      </c>
      <c r="D2169" s="533">
        <f t="shared" si="1277"/>
        <v>96669</v>
      </c>
      <c r="E2169" s="533">
        <f t="shared" si="1277"/>
        <v>1968</v>
      </c>
      <c r="F2169" s="533">
        <f t="shared" si="1277"/>
        <v>4</v>
      </c>
      <c r="G2169" s="533">
        <f t="shared" si="1277"/>
        <v>30540</v>
      </c>
      <c r="H2169" s="533">
        <f t="shared" si="1277"/>
        <v>65</v>
      </c>
      <c r="I2169" s="533">
        <f t="shared" si="1277"/>
        <v>9</v>
      </c>
      <c r="J2169" s="533">
        <f t="shared" si="1277"/>
        <v>8</v>
      </c>
      <c r="K2169" s="534">
        <f t="shared" si="1262"/>
        <v>0.0203581292865345</v>
      </c>
      <c r="L2169" s="535">
        <f t="shared" si="1263"/>
        <v>1.29173780487805</v>
      </c>
      <c r="M2169" s="535">
        <f t="shared" si="1264"/>
        <v>26.2973652360115</v>
      </c>
      <c r="N2169" s="535">
        <f t="shared" si="1265"/>
        <v>12.01350043664</v>
      </c>
      <c r="O2169" s="535">
        <f t="shared" si="1266"/>
        <v>0.00203252032520325</v>
      </c>
      <c r="P2169" s="536">
        <f t="shared" si="1267"/>
        <v>34.3532432432432</v>
      </c>
      <c r="Q2169" s="531">
        <f t="shared" si="1268"/>
        <v>74</v>
      </c>
      <c r="R2169" s="537">
        <f t="shared" si="1269"/>
        <v>0.0376016260162602</v>
      </c>
    </row>
    <row r="2170" spans="1:18">
      <c r="A2170" s="524">
        <v>45884</v>
      </c>
      <c r="B2170" s="540" t="s">
        <v>98</v>
      </c>
      <c r="C2170" s="551">
        <v>999.02</v>
      </c>
      <c r="D2170" s="553">
        <v>36914</v>
      </c>
      <c r="E2170" s="551">
        <v>1202</v>
      </c>
      <c r="F2170" s="551">
        <v>5</v>
      </c>
      <c r="G2170" s="551">
        <v>48689</v>
      </c>
      <c r="H2170" s="551">
        <v>33</v>
      </c>
      <c r="I2170" s="551">
        <v>4</v>
      </c>
      <c r="J2170" s="551">
        <v>7</v>
      </c>
      <c r="K2170" s="527">
        <f t="shared" si="1262"/>
        <v>0.0325621715338354</v>
      </c>
      <c r="L2170" s="528">
        <f t="shared" si="1263"/>
        <v>0.831131447587354</v>
      </c>
      <c r="M2170" s="528">
        <f t="shared" si="1264"/>
        <v>27.0634447635044</v>
      </c>
      <c r="N2170" s="528">
        <f t="shared" si="1265"/>
        <v>48.7367620267863</v>
      </c>
      <c r="O2170" s="528">
        <f t="shared" si="1266"/>
        <v>0.00415973377703827</v>
      </c>
      <c r="P2170" s="529">
        <f t="shared" si="1267"/>
        <v>27.0005405405405</v>
      </c>
      <c r="Q2170" s="24">
        <f t="shared" si="1268"/>
        <v>37</v>
      </c>
      <c r="R2170" s="530">
        <f t="shared" si="1269"/>
        <v>0.0307820299500832</v>
      </c>
    </row>
    <row r="2171" spans="1:18">
      <c r="A2171" s="524"/>
      <c r="B2171" s="540" t="s">
        <v>99</v>
      </c>
      <c r="C2171" s="551">
        <v>1338.71</v>
      </c>
      <c r="D2171" s="555">
        <v>8255</v>
      </c>
      <c r="E2171" s="551">
        <v>628</v>
      </c>
      <c r="F2171" s="551">
        <v>0</v>
      </c>
      <c r="G2171" s="551">
        <v>0</v>
      </c>
      <c r="H2171" s="555">
        <v>18</v>
      </c>
      <c r="I2171" s="555">
        <v>1</v>
      </c>
      <c r="J2171" s="555">
        <v>3</v>
      </c>
      <c r="K2171" s="527">
        <f t="shared" si="1262"/>
        <v>0.0760751059963658</v>
      </c>
      <c r="L2171" s="528">
        <f t="shared" si="1263"/>
        <v>2.13170382165605</v>
      </c>
      <c r="M2171" s="528">
        <f t="shared" si="1264"/>
        <v>162.169594185342</v>
      </c>
      <c r="N2171" s="528">
        <f t="shared" si="1265"/>
        <v>0</v>
      </c>
      <c r="O2171" s="528">
        <f t="shared" si="1266"/>
        <v>0</v>
      </c>
      <c r="P2171" s="529">
        <f t="shared" si="1267"/>
        <v>70.4584210526316</v>
      </c>
      <c r="Q2171" s="24">
        <f t="shared" si="1268"/>
        <v>19</v>
      </c>
      <c r="R2171" s="530">
        <f t="shared" si="1269"/>
        <v>0.0302547770700637</v>
      </c>
    </row>
    <row r="2172" spans="1:18">
      <c r="A2172" s="524"/>
      <c r="B2172" s="540" t="s">
        <v>100</v>
      </c>
      <c r="C2172" s="552">
        <v>790.08</v>
      </c>
      <c r="D2172" s="553">
        <v>78411</v>
      </c>
      <c r="E2172" s="553">
        <v>877</v>
      </c>
      <c r="F2172" s="551">
        <v>1</v>
      </c>
      <c r="G2172" s="551">
        <v>15717</v>
      </c>
      <c r="H2172" s="551">
        <v>38</v>
      </c>
      <c r="I2172" s="551">
        <v>9</v>
      </c>
      <c r="J2172" s="551">
        <v>3</v>
      </c>
      <c r="K2172" s="527">
        <f t="shared" si="1262"/>
        <v>0.0111846552141919</v>
      </c>
      <c r="L2172" s="528">
        <f t="shared" si="1263"/>
        <v>0.900889395667047</v>
      </c>
      <c r="M2172" s="528">
        <f t="shared" si="1264"/>
        <v>10.0761372766576</v>
      </c>
      <c r="N2172" s="528">
        <f t="shared" si="1265"/>
        <v>19.892922235723</v>
      </c>
      <c r="O2172" s="528">
        <f t="shared" si="1266"/>
        <v>0.00114025085518814</v>
      </c>
      <c r="P2172" s="529">
        <f t="shared" si="1267"/>
        <v>16.8102127659574</v>
      </c>
      <c r="Q2172" s="24">
        <f t="shared" si="1268"/>
        <v>47</v>
      </c>
      <c r="R2172" s="530">
        <f t="shared" si="1269"/>
        <v>0.0535917901938426</v>
      </c>
    </row>
    <row r="2173" spans="1:18">
      <c r="A2173" s="524"/>
      <c r="B2173" s="540" t="s">
        <v>101</v>
      </c>
      <c r="C2173" s="552">
        <v>0</v>
      </c>
      <c r="D2173" s="553">
        <v>0</v>
      </c>
      <c r="E2173" s="551">
        <v>0</v>
      </c>
      <c r="F2173" s="551">
        <v>0</v>
      </c>
      <c r="G2173" s="551">
        <v>0</v>
      </c>
      <c r="H2173" s="551">
        <v>0</v>
      </c>
      <c r="I2173" s="551">
        <v>0</v>
      </c>
      <c r="J2173" s="551">
        <v>0</v>
      </c>
      <c r="K2173" s="527">
        <f t="shared" si="1262"/>
        <v>0</v>
      </c>
      <c r="L2173" s="528">
        <f t="shared" si="1263"/>
        <v>0</v>
      </c>
      <c r="M2173" s="528">
        <f t="shared" si="1264"/>
        <v>0</v>
      </c>
      <c r="N2173" s="528">
        <f t="shared" si="1265"/>
        <v>0</v>
      </c>
      <c r="O2173" s="528">
        <f t="shared" si="1266"/>
        <v>0</v>
      </c>
      <c r="P2173" s="529">
        <f t="shared" si="1267"/>
        <v>0</v>
      </c>
      <c r="Q2173" s="24">
        <f t="shared" si="1268"/>
        <v>0</v>
      </c>
      <c r="R2173" s="530">
        <f t="shared" si="1269"/>
        <v>0</v>
      </c>
    </row>
    <row r="2174" spans="1:18">
      <c r="A2174" s="524"/>
      <c r="B2174" s="531" t="s">
        <v>96</v>
      </c>
      <c r="C2174" s="533">
        <f t="shared" ref="C2174:J2174" si="1278">SUM(C2170:C2173)</f>
        <v>3127.81</v>
      </c>
      <c r="D2174" s="533">
        <f t="shared" si="1278"/>
        <v>123580</v>
      </c>
      <c r="E2174" s="533">
        <f t="shared" si="1278"/>
        <v>2707</v>
      </c>
      <c r="F2174" s="533">
        <f t="shared" si="1278"/>
        <v>6</v>
      </c>
      <c r="G2174" s="533">
        <f t="shared" si="1278"/>
        <v>64406</v>
      </c>
      <c r="H2174" s="533">
        <f t="shared" si="1278"/>
        <v>89</v>
      </c>
      <c r="I2174" s="533">
        <f t="shared" si="1278"/>
        <v>14</v>
      </c>
      <c r="J2174" s="533">
        <f t="shared" si="1278"/>
        <v>13</v>
      </c>
      <c r="K2174" s="534">
        <f t="shared" si="1262"/>
        <v>0.0219048389707072</v>
      </c>
      <c r="L2174" s="535">
        <f t="shared" si="1263"/>
        <v>1.15545253047654</v>
      </c>
      <c r="M2174" s="535">
        <f t="shared" si="1264"/>
        <v>25.3100016183849</v>
      </c>
      <c r="N2174" s="535">
        <f t="shared" si="1265"/>
        <v>20.591404209335</v>
      </c>
      <c r="O2174" s="535">
        <f t="shared" si="1266"/>
        <v>0.00221647580347248</v>
      </c>
      <c r="P2174" s="536">
        <f t="shared" si="1267"/>
        <v>30.3670873786408</v>
      </c>
      <c r="Q2174" s="531">
        <f t="shared" si="1268"/>
        <v>103</v>
      </c>
      <c r="R2174" s="537">
        <f t="shared" si="1269"/>
        <v>0.0380495012929442</v>
      </c>
    </row>
    <row r="2175" spans="1:18">
      <c r="A2175" s="524">
        <v>45885</v>
      </c>
      <c r="B2175" s="540" t="s">
        <v>98</v>
      </c>
      <c r="C2175" s="551">
        <v>1000</v>
      </c>
      <c r="D2175" s="553">
        <v>22722</v>
      </c>
      <c r="E2175" s="551">
        <v>1084</v>
      </c>
      <c r="F2175" s="551">
        <v>1</v>
      </c>
      <c r="G2175" s="551">
        <v>11054</v>
      </c>
      <c r="H2175" s="551">
        <v>25</v>
      </c>
      <c r="I2175" s="551">
        <v>2</v>
      </c>
      <c r="J2175" s="551">
        <v>0</v>
      </c>
      <c r="K2175" s="527">
        <f t="shared" si="1262"/>
        <v>0.0477070680397852</v>
      </c>
      <c r="L2175" s="528">
        <f t="shared" si="1263"/>
        <v>0.922509225092251</v>
      </c>
      <c r="M2175" s="528">
        <f t="shared" si="1264"/>
        <v>44.0102103688056</v>
      </c>
      <c r="N2175" s="528">
        <f t="shared" si="1265"/>
        <v>11.054</v>
      </c>
      <c r="O2175" s="528">
        <f t="shared" si="1266"/>
        <v>0.000922509225092251</v>
      </c>
      <c r="P2175" s="529">
        <f t="shared" si="1267"/>
        <v>37.037037037037</v>
      </c>
      <c r="Q2175" s="24">
        <f t="shared" si="1268"/>
        <v>27</v>
      </c>
      <c r="R2175" s="530">
        <f t="shared" si="1269"/>
        <v>0.0249077490774908</v>
      </c>
    </row>
    <row r="2176" spans="1:18">
      <c r="A2176" s="524"/>
      <c r="B2176" s="540" t="s">
        <v>99</v>
      </c>
      <c r="C2176" s="551">
        <v>0</v>
      </c>
      <c r="D2176" s="555">
        <v>0</v>
      </c>
      <c r="E2176" s="551">
        <v>0</v>
      </c>
      <c r="F2176" s="551">
        <v>0</v>
      </c>
      <c r="G2176" s="551">
        <v>0</v>
      </c>
      <c r="H2176" s="555">
        <v>0</v>
      </c>
      <c r="I2176" s="555">
        <v>0</v>
      </c>
      <c r="J2176" s="555">
        <v>0</v>
      </c>
      <c r="K2176" s="527">
        <f t="shared" si="1262"/>
        <v>0</v>
      </c>
      <c r="L2176" s="528">
        <f t="shared" si="1263"/>
        <v>0</v>
      </c>
      <c r="M2176" s="528">
        <f t="shared" si="1264"/>
        <v>0</v>
      </c>
      <c r="N2176" s="528">
        <f t="shared" si="1265"/>
        <v>0</v>
      </c>
      <c r="O2176" s="528">
        <f t="shared" si="1266"/>
        <v>0</v>
      </c>
      <c r="P2176" s="529">
        <f t="shared" si="1267"/>
        <v>0</v>
      </c>
      <c r="Q2176" s="24">
        <f t="shared" si="1268"/>
        <v>0</v>
      </c>
      <c r="R2176" s="530">
        <f t="shared" si="1269"/>
        <v>0</v>
      </c>
    </row>
    <row r="2177" spans="1:18">
      <c r="A2177" s="524"/>
      <c r="B2177" s="540" t="s">
        <v>100</v>
      </c>
      <c r="C2177" s="552">
        <v>795.45</v>
      </c>
      <c r="D2177" s="553">
        <v>46734</v>
      </c>
      <c r="E2177" s="553">
        <v>748</v>
      </c>
      <c r="F2177" s="551">
        <v>2</v>
      </c>
      <c r="G2177" s="551">
        <v>34923</v>
      </c>
      <c r="H2177" s="551">
        <v>40</v>
      </c>
      <c r="I2177" s="551">
        <v>9</v>
      </c>
      <c r="J2177" s="551">
        <v>1</v>
      </c>
      <c r="K2177" s="527">
        <f t="shared" si="1262"/>
        <v>0.0160054778105876</v>
      </c>
      <c r="L2177" s="528">
        <f t="shared" si="1263"/>
        <v>1.06343582887701</v>
      </c>
      <c r="M2177" s="528">
        <f t="shared" si="1264"/>
        <v>17.0207985620747</v>
      </c>
      <c r="N2177" s="528">
        <f t="shared" si="1265"/>
        <v>43.9034508768622</v>
      </c>
      <c r="O2177" s="528">
        <f t="shared" si="1266"/>
        <v>0.00267379679144385</v>
      </c>
      <c r="P2177" s="529">
        <f t="shared" si="1267"/>
        <v>16.2336734693878</v>
      </c>
      <c r="Q2177" s="24">
        <f t="shared" si="1268"/>
        <v>49</v>
      </c>
      <c r="R2177" s="530">
        <f t="shared" si="1269"/>
        <v>0.0655080213903743</v>
      </c>
    </row>
    <row r="2178" spans="1:18">
      <c r="A2178" s="524"/>
      <c r="B2178" s="540" t="s">
        <v>101</v>
      </c>
      <c r="C2178" s="552">
        <v>0</v>
      </c>
      <c r="D2178" s="553">
        <v>0</v>
      </c>
      <c r="E2178" s="551">
        <v>0</v>
      </c>
      <c r="F2178" s="551">
        <v>0</v>
      </c>
      <c r="G2178" s="551">
        <v>0</v>
      </c>
      <c r="H2178" s="551">
        <v>0</v>
      </c>
      <c r="I2178" s="551">
        <v>0</v>
      </c>
      <c r="J2178" s="551">
        <v>0</v>
      </c>
      <c r="K2178" s="527">
        <f t="shared" si="1262"/>
        <v>0</v>
      </c>
      <c r="L2178" s="528">
        <f t="shared" si="1263"/>
        <v>0</v>
      </c>
      <c r="M2178" s="528">
        <f t="shared" si="1264"/>
        <v>0</v>
      </c>
      <c r="N2178" s="528">
        <f t="shared" si="1265"/>
        <v>0</v>
      </c>
      <c r="O2178" s="528">
        <f t="shared" si="1266"/>
        <v>0</v>
      </c>
      <c r="P2178" s="529">
        <f t="shared" si="1267"/>
        <v>0</v>
      </c>
      <c r="Q2178" s="24">
        <f t="shared" si="1268"/>
        <v>0</v>
      </c>
      <c r="R2178" s="530">
        <f t="shared" si="1269"/>
        <v>0</v>
      </c>
    </row>
    <row r="2179" spans="1:18">
      <c r="A2179" s="524"/>
      <c r="B2179" s="531" t="s">
        <v>96</v>
      </c>
      <c r="C2179" s="533">
        <f t="shared" ref="C2179:J2179" si="1279">SUM(C2175:C2178)</f>
        <v>1795.45</v>
      </c>
      <c r="D2179" s="533">
        <f t="shared" si="1279"/>
        <v>69456</v>
      </c>
      <c r="E2179" s="533">
        <f t="shared" si="1279"/>
        <v>1832</v>
      </c>
      <c r="F2179" s="533">
        <f t="shared" si="1279"/>
        <v>3</v>
      </c>
      <c r="G2179" s="533">
        <f t="shared" si="1279"/>
        <v>45977</v>
      </c>
      <c r="H2179" s="533">
        <f t="shared" si="1279"/>
        <v>65</v>
      </c>
      <c r="I2179" s="533">
        <f t="shared" si="1279"/>
        <v>11</v>
      </c>
      <c r="J2179" s="533">
        <f t="shared" si="1279"/>
        <v>1</v>
      </c>
      <c r="K2179" s="534">
        <f t="shared" si="1262"/>
        <v>0.0263764109652154</v>
      </c>
      <c r="L2179" s="535">
        <f t="shared" si="1263"/>
        <v>0.980049126637555</v>
      </c>
      <c r="M2179" s="535">
        <f t="shared" si="1264"/>
        <v>25.8501785302926</v>
      </c>
      <c r="N2179" s="535">
        <f t="shared" si="1265"/>
        <v>25.6075078671085</v>
      </c>
      <c r="O2179" s="535">
        <f t="shared" si="1266"/>
        <v>0.00163755458515284</v>
      </c>
      <c r="P2179" s="536">
        <f t="shared" si="1267"/>
        <v>23.6243421052632</v>
      </c>
      <c r="Q2179" s="531">
        <f t="shared" si="1268"/>
        <v>76</v>
      </c>
      <c r="R2179" s="537">
        <f t="shared" si="1269"/>
        <v>0.0414847161572052</v>
      </c>
    </row>
    <row r="2180" spans="1:18">
      <c r="A2180" s="524">
        <v>45886</v>
      </c>
      <c r="B2180" s="540" t="s">
        <v>98</v>
      </c>
      <c r="C2180" s="551">
        <v>999.48</v>
      </c>
      <c r="D2180" s="553">
        <v>31523</v>
      </c>
      <c r="E2180" s="551">
        <v>1143</v>
      </c>
      <c r="F2180" s="551">
        <v>1</v>
      </c>
      <c r="G2180" s="551">
        <v>10893</v>
      </c>
      <c r="H2180" s="551">
        <v>47</v>
      </c>
      <c r="I2180" s="551">
        <v>6</v>
      </c>
      <c r="J2180" s="551">
        <v>2</v>
      </c>
      <c r="K2180" s="527">
        <f t="shared" si="1262"/>
        <v>0.036259239285601</v>
      </c>
      <c r="L2180" s="528">
        <f t="shared" si="1263"/>
        <v>0.874435695538058</v>
      </c>
      <c r="M2180" s="528">
        <f t="shared" si="1264"/>
        <v>31.7063731243854</v>
      </c>
      <c r="N2180" s="528">
        <f t="shared" si="1265"/>
        <v>10.8986673069996</v>
      </c>
      <c r="O2180" s="528">
        <f t="shared" si="1266"/>
        <v>0.000874890638670166</v>
      </c>
      <c r="P2180" s="529">
        <f t="shared" si="1267"/>
        <v>18.8581132075472</v>
      </c>
      <c r="Q2180" s="24">
        <f t="shared" si="1268"/>
        <v>53</v>
      </c>
      <c r="R2180" s="530">
        <f t="shared" si="1269"/>
        <v>0.0463692038495188</v>
      </c>
    </row>
    <row r="2181" spans="1:18">
      <c r="A2181" s="524"/>
      <c r="B2181" s="540" t="s">
        <v>99</v>
      </c>
      <c r="C2181" s="551">
        <v>1193.59</v>
      </c>
      <c r="D2181" s="555">
        <v>7084</v>
      </c>
      <c r="E2181" s="551">
        <v>846</v>
      </c>
      <c r="F2181" s="551">
        <v>1</v>
      </c>
      <c r="G2181" s="551">
        <v>47268</v>
      </c>
      <c r="H2181" s="555">
        <v>26</v>
      </c>
      <c r="I2181" s="555">
        <v>2</v>
      </c>
      <c r="J2181" s="555">
        <v>5</v>
      </c>
      <c r="K2181" s="527">
        <f t="shared" si="1262"/>
        <v>0.119424054206663</v>
      </c>
      <c r="L2181" s="528">
        <f t="shared" si="1263"/>
        <v>1.41086288416076</v>
      </c>
      <c r="M2181" s="528">
        <f t="shared" si="1264"/>
        <v>168.490965556183</v>
      </c>
      <c r="N2181" s="528">
        <f t="shared" si="1265"/>
        <v>39.6015382166406</v>
      </c>
      <c r="O2181" s="528">
        <f t="shared" si="1266"/>
        <v>0.00118203309692671</v>
      </c>
      <c r="P2181" s="529">
        <f t="shared" si="1267"/>
        <v>42.6282142857143</v>
      </c>
      <c r="Q2181" s="24">
        <f t="shared" si="1268"/>
        <v>28</v>
      </c>
      <c r="R2181" s="530">
        <f t="shared" si="1269"/>
        <v>0.033096926713948</v>
      </c>
    </row>
    <row r="2182" spans="1:18">
      <c r="A2182" s="524"/>
      <c r="B2182" s="540" t="s">
        <v>100</v>
      </c>
      <c r="C2182" s="552">
        <v>797.29</v>
      </c>
      <c r="D2182" s="553">
        <v>44003</v>
      </c>
      <c r="E2182" s="553">
        <v>712</v>
      </c>
      <c r="F2182" s="551">
        <v>1</v>
      </c>
      <c r="G2182" s="551">
        <v>15614</v>
      </c>
      <c r="H2182" s="551">
        <v>28</v>
      </c>
      <c r="I2182" s="551">
        <v>9</v>
      </c>
      <c r="J2182" s="551">
        <v>1</v>
      </c>
      <c r="K2182" s="527">
        <f t="shared" si="1262"/>
        <v>0.0161807149512533</v>
      </c>
      <c r="L2182" s="528">
        <f t="shared" si="1263"/>
        <v>1.1197893258427</v>
      </c>
      <c r="M2182" s="528">
        <f t="shared" si="1264"/>
        <v>18.1189918869168</v>
      </c>
      <c r="N2182" s="528">
        <f t="shared" si="1265"/>
        <v>19.5838402588769</v>
      </c>
      <c r="O2182" s="528">
        <f t="shared" si="1266"/>
        <v>0.00140449438202247</v>
      </c>
      <c r="P2182" s="529">
        <f t="shared" si="1267"/>
        <v>21.5483783783784</v>
      </c>
      <c r="Q2182" s="24">
        <f t="shared" si="1268"/>
        <v>37</v>
      </c>
      <c r="R2182" s="530">
        <f t="shared" si="1269"/>
        <v>0.0519662921348315</v>
      </c>
    </row>
    <row r="2183" spans="1:18">
      <c r="A2183" s="524"/>
      <c r="B2183" s="540" t="s">
        <v>101</v>
      </c>
      <c r="C2183" s="552">
        <v>0</v>
      </c>
      <c r="D2183" s="553">
        <v>0</v>
      </c>
      <c r="E2183" s="551">
        <v>0</v>
      </c>
      <c r="F2183" s="551">
        <v>0</v>
      </c>
      <c r="G2183" s="551">
        <v>0</v>
      </c>
      <c r="H2183" s="551">
        <v>0</v>
      </c>
      <c r="I2183" s="551">
        <v>0</v>
      </c>
      <c r="J2183" s="551">
        <v>0</v>
      </c>
      <c r="K2183" s="527">
        <f t="shared" si="1262"/>
        <v>0</v>
      </c>
      <c r="L2183" s="528">
        <f t="shared" si="1263"/>
        <v>0</v>
      </c>
      <c r="M2183" s="528">
        <f t="shared" si="1264"/>
        <v>0</v>
      </c>
      <c r="N2183" s="528">
        <f t="shared" si="1265"/>
        <v>0</v>
      </c>
      <c r="O2183" s="528">
        <f t="shared" si="1266"/>
        <v>0</v>
      </c>
      <c r="P2183" s="529">
        <f t="shared" si="1267"/>
        <v>0</v>
      </c>
      <c r="Q2183" s="24">
        <f t="shared" si="1268"/>
        <v>0</v>
      </c>
      <c r="R2183" s="530">
        <f t="shared" si="1269"/>
        <v>0</v>
      </c>
    </row>
    <row r="2184" spans="1:18">
      <c r="A2184" s="524"/>
      <c r="B2184" s="531" t="s">
        <v>96</v>
      </c>
      <c r="C2184" s="533">
        <f t="shared" ref="C2184:J2184" si="1280">SUM(C2180:C2183)</f>
        <v>2990.36</v>
      </c>
      <c r="D2184" s="533">
        <f t="shared" si="1280"/>
        <v>82610</v>
      </c>
      <c r="E2184" s="533">
        <f t="shared" si="1280"/>
        <v>2701</v>
      </c>
      <c r="F2184" s="533">
        <f t="shared" si="1280"/>
        <v>3</v>
      </c>
      <c r="G2184" s="533">
        <f t="shared" si="1280"/>
        <v>73775</v>
      </c>
      <c r="H2184" s="533">
        <f t="shared" si="1280"/>
        <v>101</v>
      </c>
      <c r="I2184" s="533">
        <f t="shared" si="1280"/>
        <v>17</v>
      </c>
      <c r="J2184" s="533">
        <f t="shared" si="1280"/>
        <v>8</v>
      </c>
      <c r="K2184" s="534">
        <f t="shared" si="1262"/>
        <v>0.0326957995400073</v>
      </c>
      <c r="L2184" s="535">
        <f t="shared" si="1263"/>
        <v>1.10713069233617</v>
      </c>
      <c r="M2184" s="535">
        <f t="shared" si="1264"/>
        <v>36.1985231812129</v>
      </c>
      <c r="N2184" s="535">
        <f t="shared" si="1265"/>
        <v>24.6709426289811</v>
      </c>
      <c r="O2184" s="535">
        <f t="shared" si="1266"/>
        <v>0.00111069974083673</v>
      </c>
      <c r="P2184" s="536">
        <f t="shared" si="1267"/>
        <v>25.3420338983051</v>
      </c>
      <c r="Q2184" s="531">
        <f t="shared" si="1268"/>
        <v>118</v>
      </c>
      <c r="R2184" s="537">
        <f t="shared" si="1269"/>
        <v>0.0436875231395779</v>
      </c>
    </row>
    <row r="2185" spans="1:18">
      <c r="A2185" s="524">
        <v>45887</v>
      </c>
      <c r="B2185" s="540" t="s">
        <v>98</v>
      </c>
      <c r="C2185" s="551">
        <v>994.96</v>
      </c>
      <c r="D2185" s="553">
        <v>19814</v>
      </c>
      <c r="E2185" s="551">
        <v>1037</v>
      </c>
      <c r="F2185" s="551">
        <v>0</v>
      </c>
      <c r="G2185" s="551">
        <v>0</v>
      </c>
      <c r="H2185" s="551">
        <v>26</v>
      </c>
      <c r="I2185" s="551">
        <v>4</v>
      </c>
      <c r="J2185" s="551">
        <v>0</v>
      </c>
      <c r="K2185" s="527">
        <f t="shared" si="1262"/>
        <v>0.0523367316039164</v>
      </c>
      <c r="L2185" s="528">
        <f t="shared" si="1263"/>
        <v>0.959459980713597</v>
      </c>
      <c r="M2185" s="528">
        <f t="shared" si="1264"/>
        <v>50.2149994953064</v>
      </c>
      <c r="N2185" s="528">
        <f t="shared" si="1265"/>
        <v>0</v>
      </c>
      <c r="O2185" s="528">
        <f t="shared" si="1266"/>
        <v>0</v>
      </c>
      <c r="P2185" s="529">
        <f t="shared" si="1267"/>
        <v>33.1653333333333</v>
      </c>
      <c r="Q2185" s="24">
        <f t="shared" si="1268"/>
        <v>30</v>
      </c>
      <c r="R2185" s="530">
        <f t="shared" si="1269"/>
        <v>0.0289296046287367</v>
      </c>
    </row>
    <row r="2186" spans="1:18">
      <c r="A2186" s="524"/>
      <c r="B2186" s="540" t="s">
        <v>99</v>
      </c>
      <c r="C2186" s="551">
        <v>1249.39</v>
      </c>
      <c r="D2186" s="555">
        <v>5071</v>
      </c>
      <c r="E2186" s="551">
        <v>766</v>
      </c>
      <c r="F2186" s="551">
        <v>3</v>
      </c>
      <c r="G2186" s="551">
        <v>29284</v>
      </c>
      <c r="H2186" s="555">
        <v>30</v>
      </c>
      <c r="I2186" s="555">
        <v>4</v>
      </c>
      <c r="J2186" s="555">
        <v>2</v>
      </c>
      <c r="K2186" s="527">
        <f t="shared" si="1262"/>
        <v>0.151055018733978</v>
      </c>
      <c r="L2186" s="528">
        <f t="shared" si="1263"/>
        <v>1.63105744125326</v>
      </c>
      <c r="M2186" s="528">
        <f t="shared" si="1264"/>
        <v>246.379412344705</v>
      </c>
      <c r="N2186" s="528">
        <f t="shared" si="1265"/>
        <v>23.438638055371</v>
      </c>
      <c r="O2186" s="528">
        <f t="shared" si="1266"/>
        <v>0.00391644908616188</v>
      </c>
      <c r="P2186" s="529">
        <f t="shared" si="1267"/>
        <v>36.7467647058824</v>
      </c>
      <c r="Q2186" s="24">
        <f t="shared" si="1268"/>
        <v>34</v>
      </c>
      <c r="R2186" s="530">
        <f t="shared" si="1269"/>
        <v>0.0443864229765013</v>
      </c>
    </row>
    <row r="2187" spans="1:18">
      <c r="A2187" s="524"/>
      <c r="B2187" s="540" t="s">
        <v>100</v>
      </c>
      <c r="C2187" s="552">
        <v>793.7</v>
      </c>
      <c r="D2187" s="553">
        <v>47460</v>
      </c>
      <c r="E2187" s="553">
        <v>673</v>
      </c>
      <c r="F2187" s="551">
        <v>1</v>
      </c>
      <c r="G2187" s="551">
        <v>14954</v>
      </c>
      <c r="H2187" s="551">
        <v>13</v>
      </c>
      <c r="I2187" s="551">
        <v>8</v>
      </c>
      <c r="J2187" s="551">
        <v>3</v>
      </c>
      <c r="K2187" s="527">
        <f t="shared" si="1262"/>
        <v>0.0141803624104509</v>
      </c>
      <c r="L2187" s="528">
        <f t="shared" si="1263"/>
        <v>1.17934621099554</v>
      </c>
      <c r="M2187" s="528">
        <f t="shared" si="1264"/>
        <v>16.7235566793089</v>
      </c>
      <c r="N2187" s="528">
        <f t="shared" si="1265"/>
        <v>18.8408718659443</v>
      </c>
      <c r="O2187" s="528">
        <f t="shared" si="1266"/>
        <v>0.00148588410104012</v>
      </c>
      <c r="P2187" s="529">
        <f t="shared" si="1267"/>
        <v>37.7952380952381</v>
      </c>
      <c r="Q2187" s="24">
        <f t="shared" si="1268"/>
        <v>21</v>
      </c>
      <c r="R2187" s="530">
        <f t="shared" si="1269"/>
        <v>0.0312035661218425</v>
      </c>
    </row>
    <row r="2188" spans="1:18">
      <c r="A2188" s="524"/>
      <c r="B2188" s="540" t="s">
        <v>101</v>
      </c>
      <c r="C2188" s="552">
        <v>0</v>
      </c>
      <c r="D2188" s="553">
        <v>0</v>
      </c>
      <c r="E2188" s="551">
        <v>0</v>
      </c>
      <c r="F2188" s="551">
        <v>0</v>
      </c>
      <c r="G2188" s="551">
        <v>0</v>
      </c>
      <c r="H2188" s="551">
        <v>0</v>
      </c>
      <c r="I2188" s="551">
        <v>0</v>
      </c>
      <c r="J2188" s="551">
        <v>0</v>
      </c>
      <c r="K2188" s="527">
        <f t="shared" si="1262"/>
        <v>0</v>
      </c>
      <c r="L2188" s="528">
        <f t="shared" si="1263"/>
        <v>0</v>
      </c>
      <c r="M2188" s="528">
        <f t="shared" si="1264"/>
        <v>0</v>
      </c>
      <c r="N2188" s="528">
        <f t="shared" si="1265"/>
        <v>0</v>
      </c>
      <c r="O2188" s="528">
        <f t="shared" si="1266"/>
        <v>0</v>
      </c>
      <c r="P2188" s="529">
        <f t="shared" si="1267"/>
        <v>0</v>
      </c>
      <c r="Q2188" s="24">
        <f t="shared" si="1268"/>
        <v>0</v>
      </c>
      <c r="R2188" s="530">
        <f t="shared" si="1269"/>
        <v>0</v>
      </c>
    </row>
    <row r="2189" spans="1:18">
      <c r="A2189" s="524"/>
      <c r="B2189" s="531" t="s">
        <v>96</v>
      </c>
      <c r="C2189" s="533">
        <f t="shared" ref="C2189:J2189" si="1281">SUM(C2185:C2188)</f>
        <v>3038.05</v>
      </c>
      <c r="D2189" s="533">
        <f t="shared" si="1281"/>
        <v>72345</v>
      </c>
      <c r="E2189" s="533">
        <f t="shared" si="1281"/>
        <v>2476</v>
      </c>
      <c r="F2189" s="533">
        <f t="shared" si="1281"/>
        <v>4</v>
      </c>
      <c r="G2189" s="533">
        <f t="shared" si="1281"/>
        <v>44238</v>
      </c>
      <c r="H2189" s="533">
        <f t="shared" si="1281"/>
        <v>69</v>
      </c>
      <c r="I2189" s="533">
        <f t="shared" si="1281"/>
        <v>16</v>
      </c>
      <c r="J2189" s="533">
        <f t="shared" si="1281"/>
        <v>5</v>
      </c>
      <c r="K2189" s="534">
        <f t="shared" si="1262"/>
        <v>0.0342248946022531</v>
      </c>
      <c r="L2189" s="535">
        <f t="shared" si="1263"/>
        <v>1.22699919224556</v>
      </c>
      <c r="M2189" s="535">
        <f t="shared" si="1264"/>
        <v>41.9939180316539</v>
      </c>
      <c r="N2189" s="535">
        <f t="shared" si="1265"/>
        <v>14.5613140007571</v>
      </c>
      <c r="O2189" s="535">
        <f t="shared" si="1266"/>
        <v>0.00161550888529887</v>
      </c>
      <c r="P2189" s="536">
        <f t="shared" si="1267"/>
        <v>35.7417647058824</v>
      </c>
      <c r="Q2189" s="531">
        <f t="shared" si="1268"/>
        <v>85</v>
      </c>
      <c r="R2189" s="537">
        <f t="shared" si="1269"/>
        <v>0.034329563812601</v>
      </c>
    </row>
    <row r="2190" spans="1:18">
      <c r="A2190" s="524">
        <v>45888</v>
      </c>
      <c r="B2190" s="540" t="s">
        <v>98</v>
      </c>
      <c r="C2190" s="551">
        <v>999.74</v>
      </c>
      <c r="D2190" s="553">
        <v>21561</v>
      </c>
      <c r="E2190" s="551">
        <v>1097</v>
      </c>
      <c r="F2190" s="551">
        <v>0</v>
      </c>
      <c r="G2190" s="551">
        <v>0</v>
      </c>
      <c r="H2190" s="551">
        <v>40</v>
      </c>
      <c r="I2190" s="551">
        <v>3</v>
      </c>
      <c r="J2190" s="551">
        <v>3</v>
      </c>
      <c r="K2190" s="527">
        <f t="shared" si="1262"/>
        <v>0.0508789017206994</v>
      </c>
      <c r="L2190" s="528">
        <f t="shared" si="1263"/>
        <v>0.911340018231541</v>
      </c>
      <c r="M2190" s="528">
        <f t="shared" si="1264"/>
        <v>46.367979221743</v>
      </c>
      <c r="N2190" s="528">
        <f t="shared" si="1265"/>
        <v>0</v>
      </c>
      <c r="O2190" s="528">
        <f t="shared" si="1266"/>
        <v>0</v>
      </c>
      <c r="P2190" s="529">
        <f t="shared" si="1267"/>
        <v>23.2497674418605</v>
      </c>
      <c r="Q2190" s="24">
        <f t="shared" si="1268"/>
        <v>43</v>
      </c>
      <c r="R2190" s="530">
        <f t="shared" si="1269"/>
        <v>0.0391978122151322</v>
      </c>
    </row>
    <row r="2191" spans="1:18">
      <c r="A2191" s="524"/>
      <c r="B2191" s="540" t="s">
        <v>99</v>
      </c>
      <c r="C2191" s="551">
        <v>0</v>
      </c>
      <c r="D2191" s="555">
        <v>0</v>
      </c>
      <c r="E2191" s="551">
        <v>0</v>
      </c>
      <c r="F2191" s="551">
        <v>0</v>
      </c>
      <c r="G2191" s="551">
        <v>0</v>
      </c>
      <c r="H2191" s="555">
        <v>0</v>
      </c>
      <c r="I2191" s="555">
        <v>0</v>
      </c>
      <c r="J2191" s="555">
        <v>0</v>
      </c>
      <c r="K2191" s="527">
        <f t="shared" si="1262"/>
        <v>0</v>
      </c>
      <c r="L2191" s="528">
        <f t="shared" si="1263"/>
        <v>0</v>
      </c>
      <c r="M2191" s="528">
        <f t="shared" si="1264"/>
        <v>0</v>
      </c>
      <c r="N2191" s="528">
        <f t="shared" si="1265"/>
        <v>0</v>
      </c>
      <c r="O2191" s="528">
        <f t="shared" si="1266"/>
        <v>0</v>
      </c>
      <c r="P2191" s="529">
        <f t="shared" si="1267"/>
        <v>0</v>
      </c>
      <c r="Q2191" s="24">
        <f t="shared" si="1268"/>
        <v>0</v>
      </c>
      <c r="R2191" s="530">
        <f t="shared" si="1269"/>
        <v>0</v>
      </c>
    </row>
    <row r="2192" spans="1:18">
      <c r="A2192" s="524"/>
      <c r="B2192" s="540" t="s">
        <v>100</v>
      </c>
      <c r="C2192" s="552">
        <v>796.32</v>
      </c>
      <c r="D2192" s="553">
        <v>62068</v>
      </c>
      <c r="E2192" s="553">
        <v>851</v>
      </c>
      <c r="F2192" s="551">
        <v>2</v>
      </c>
      <c r="G2192" s="551">
        <v>18588</v>
      </c>
      <c r="H2192" s="551">
        <v>35</v>
      </c>
      <c r="I2192" s="551">
        <v>7</v>
      </c>
      <c r="J2192" s="551">
        <v>2</v>
      </c>
      <c r="K2192" s="527">
        <f t="shared" si="1262"/>
        <v>0.0137107688341819</v>
      </c>
      <c r="L2192" s="528">
        <f t="shared" si="1263"/>
        <v>0.935746180963572</v>
      </c>
      <c r="M2192" s="528">
        <f t="shared" si="1264"/>
        <v>12.8297995746601</v>
      </c>
      <c r="N2192" s="528">
        <f t="shared" si="1265"/>
        <v>23.3423749246534</v>
      </c>
      <c r="O2192" s="528">
        <f t="shared" si="1266"/>
        <v>0.00235017626321974</v>
      </c>
      <c r="P2192" s="529">
        <f t="shared" si="1267"/>
        <v>18.96</v>
      </c>
      <c r="Q2192" s="24">
        <f t="shared" si="1268"/>
        <v>42</v>
      </c>
      <c r="R2192" s="530">
        <f t="shared" si="1269"/>
        <v>0.0493537015276146</v>
      </c>
    </row>
    <row r="2193" spans="1:18">
      <c r="A2193" s="524"/>
      <c r="B2193" s="540" t="s">
        <v>101</v>
      </c>
      <c r="C2193" s="552">
        <v>0</v>
      </c>
      <c r="D2193" s="553">
        <v>0</v>
      </c>
      <c r="E2193" s="551">
        <v>0</v>
      </c>
      <c r="F2193" s="551">
        <v>0</v>
      </c>
      <c r="G2193" s="551">
        <v>0</v>
      </c>
      <c r="H2193" s="551">
        <v>0</v>
      </c>
      <c r="I2193" s="551">
        <v>0</v>
      </c>
      <c r="J2193" s="551">
        <v>0</v>
      </c>
      <c r="K2193" s="527">
        <f t="shared" ref="K2193:K2256" si="1282">IF(E2193=0,0,E2193/D2193)</f>
        <v>0</v>
      </c>
      <c r="L2193" s="528">
        <f t="shared" ref="L2193:L2256" si="1283">IF(C2193=0,0,C2193/E2193)</f>
        <v>0</v>
      </c>
      <c r="M2193" s="528">
        <f t="shared" ref="M2193:M2256" si="1284">IF(D2193=0,0,C2193/D2193*1000)</f>
        <v>0</v>
      </c>
      <c r="N2193" s="528">
        <f t="shared" ref="N2193:N2256" si="1285">IF(G2193=0,0,G2193/C2193)</f>
        <v>0</v>
      </c>
      <c r="O2193" s="528">
        <f t="shared" ref="O2193:O2256" si="1286">IF(F2193=0,0,F2193/E2193)</f>
        <v>0</v>
      </c>
      <c r="P2193" s="529">
        <f t="shared" ref="P2193:P2256" si="1287">IF(H2193+I2193=0,0,C2193/(H2193+I2193))</f>
        <v>0</v>
      </c>
      <c r="Q2193" s="24">
        <f t="shared" ref="Q2193:Q2256" si="1288">H2193+I2193</f>
        <v>0</v>
      </c>
      <c r="R2193" s="530">
        <f t="shared" ref="R2193:R2256" si="1289">IF(Q2193=0,0,Q2193/E2193)</f>
        <v>0</v>
      </c>
    </row>
    <row r="2194" spans="1:18">
      <c r="A2194" s="524"/>
      <c r="B2194" s="531" t="s">
        <v>96</v>
      </c>
      <c r="C2194" s="533">
        <f t="shared" ref="C2194:J2194" si="1290">SUM(C2190:C2193)</f>
        <v>1796.06</v>
      </c>
      <c r="D2194" s="533">
        <f t="shared" si="1290"/>
        <v>83629</v>
      </c>
      <c r="E2194" s="533">
        <f t="shared" si="1290"/>
        <v>1948</v>
      </c>
      <c r="F2194" s="533">
        <f t="shared" si="1290"/>
        <v>2</v>
      </c>
      <c r="G2194" s="533">
        <f t="shared" si="1290"/>
        <v>18588</v>
      </c>
      <c r="H2194" s="533">
        <f t="shared" si="1290"/>
        <v>75</v>
      </c>
      <c r="I2194" s="533">
        <f t="shared" si="1290"/>
        <v>10</v>
      </c>
      <c r="J2194" s="533">
        <f t="shared" si="1290"/>
        <v>5</v>
      </c>
      <c r="K2194" s="534">
        <f t="shared" si="1282"/>
        <v>0.0232933551758361</v>
      </c>
      <c r="L2194" s="535">
        <f t="shared" si="1283"/>
        <v>0.92200205338809</v>
      </c>
      <c r="M2194" s="535">
        <f t="shared" si="1284"/>
        <v>21.476521302419</v>
      </c>
      <c r="N2194" s="535">
        <f t="shared" si="1285"/>
        <v>10.3493201786132</v>
      </c>
      <c r="O2194" s="535">
        <f t="shared" si="1286"/>
        <v>0.00102669404517454</v>
      </c>
      <c r="P2194" s="536">
        <f t="shared" si="1287"/>
        <v>21.1301176470588</v>
      </c>
      <c r="Q2194" s="531">
        <f t="shared" si="1288"/>
        <v>85</v>
      </c>
      <c r="R2194" s="537">
        <f t="shared" si="1289"/>
        <v>0.0436344969199179</v>
      </c>
    </row>
    <row r="2195" spans="1:18">
      <c r="A2195" s="524">
        <v>45889</v>
      </c>
      <c r="B2195" s="540" t="s">
        <v>98</v>
      </c>
      <c r="C2195" s="551">
        <v>1000</v>
      </c>
      <c r="D2195" s="553">
        <v>28315</v>
      </c>
      <c r="E2195" s="551">
        <v>1074</v>
      </c>
      <c r="F2195" s="551">
        <v>3</v>
      </c>
      <c r="G2195" s="551">
        <v>34664</v>
      </c>
      <c r="H2195" s="551">
        <v>34</v>
      </c>
      <c r="I2195" s="551">
        <v>5</v>
      </c>
      <c r="J2195" s="551">
        <v>2</v>
      </c>
      <c r="K2195" s="527">
        <f t="shared" si="1282"/>
        <v>0.0379304255694861</v>
      </c>
      <c r="L2195" s="528">
        <f t="shared" si="1283"/>
        <v>0.931098696461825</v>
      </c>
      <c r="M2195" s="528">
        <f t="shared" si="1284"/>
        <v>35.3169698039908</v>
      </c>
      <c r="N2195" s="528">
        <f t="shared" si="1285"/>
        <v>34.664</v>
      </c>
      <c r="O2195" s="528">
        <f t="shared" si="1286"/>
        <v>0.00279329608938547</v>
      </c>
      <c r="P2195" s="529">
        <f t="shared" si="1287"/>
        <v>25.6410256410256</v>
      </c>
      <c r="Q2195" s="24">
        <f t="shared" si="1288"/>
        <v>39</v>
      </c>
      <c r="R2195" s="530">
        <f t="shared" si="1289"/>
        <v>0.0363128491620112</v>
      </c>
    </row>
    <row r="2196" spans="1:18">
      <c r="A2196" s="524"/>
      <c r="B2196" s="540" t="s">
        <v>99</v>
      </c>
      <c r="C2196" s="551">
        <v>1106.31</v>
      </c>
      <c r="D2196" s="555">
        <v>10741</v>
      </c>
      <c r="E2196" s="551">
        <v>594</v>
      </c>
      <c r="F2196" s="551">
        <v>2</v>
      </c>
      <c r="G2196" s="551">
        <v>24126</v>
      </c>
      <c r="H2196" s="555">
        <v>17</v>
      </c>
      <c r="I2196" s="555">
        <v>2</v>
      </c>
      <c r="J2196" s="555">
        <v>3</v>
      </c>
      <c r="K2196" s="527">
        <f t="shared" si="1282"/>
        <v>0.0553021133972628</v>
      </c>
      <c r="L2196" s="528">
        <f t="shared" si="1283"/>
        <v>1.86247474747475</v>
      </c>
      <c r="M2196" s="528">
        <f t="shared" si="1284"/>
        <v>102.998789684387</v>
      </c>
      <c r="N2196" s="528">
        <f t="shared" si="1285"/>
        <v>21.8076307725683</v>
      </c>
      <c r="O2196" s="528">
        <f t="shared" si="1286"/>
        <v>0.00336700336700337</v>
      </c>
      <c r="P2196" s="529">
        <f t="shared" si="1287"/>
        <v>58.2268421052632</v>
      </c>
      <c r="Q2196" s="24">
        <f t="shared" si="1288"/>
        <v>19</v>
      </c>
      <c r="R2196" s="530">
        <f t="shared" si="1289"/>
        <v>0.031986531986532</v>
      </c>
    </row>
    <row r="2197" spans="1:18">
      <c r="A2197" s="524"/>
      <c r="B2197" s="540" t="s">
        <v>100</v>
      </c>
      <c r="C2197" s="552">
        <v>778.27</v>
      </c>
      <c r="D2197" s="553">
        <v>47805</v>
      </c>
      <c r="E2197" s="553">
        <v>664</v>
      </c>
      <c r="F2197" s="551">
        <v>2</v>
      </c>
      <c r="G2197" s="551">
        <v>26758</v>
      </c>
      <c r="H2197" s="551">
        <v>37</v>
      </c>
      <c r="I2197" s="551">
        <v>7</v>
      </c>
      <c r="J2197" s="551">
        <v>2</v>
      </c>
      <c r="K2197" s="527">
        <f t="shared" si="1282"/>
        <v>0.0138897604853049</v>
      </c>
      <c r="L2197" s="528">
        <f t="shared" si="1283"/>
        <v>1.17209337349398</v>
      </c>
      <c r="M2197" s="528">
        <f t="shared" si="1284"/>
        <v>16.2800962242443</v>
      </c>
      <c r="N2197" s="528">
        <f t="shared" si="1285"/>
        <v>34.3813843524741</v>
      </c>
      <c r="O2197" s="528">
        <f t="shared" si="1286"/>
        <v>0.00301204819277108</v>
      </c>
      <c r="P2197" s="529">
        <f t="shared" si="1287"/>
        <v>17.6879545454545</v>
      </c>
      <c r="Q2197" s="24">
        <f t="shared" si="1288"/>
        <v>44</v>
      </c>
      <c r="R2197" s="530">
        <f t="shared" si="1289"/>
        <v>0.0662650602409639</v>
      </c>
    </row>
    <row r="2198" spans="1:18">
      <c r="A2198" s="524"/>
      <c r="B2198" s="540" t="s">
        <v>101</v>
      </c>
      <c r="C2198" s="552">
        <v>0</v>
      </c>
      <c r="D2198" s="553">
        <v>0</v>
      </c>
      <c r="E2198" s="551">
        <v>0</v>
      </c>
      <c r="F2198" s="551">
        <v>0</v>
      </c>
      <c r="G2198" s="551">
        <v>0</v>
      </c>
      <c r="H2198" s="551">
        <v>0</v>
      </c>
      <c r="I2198" s="551">
        <v>0</v>
      </c>
      <c r="J2198" s="551">
        <v>0</v>
      </c>
      <c r="K2198" s="527">
        <f t="shared" si="1282"/>
        <v>0</v>
      </c>
      <c r="L2198" s="528">
        <f t="shared" si="1283"/>
        <v>0</v>
      </c>
      <c r="M2198" s="528">
        <f t="shared" si="1284"/>
        <v>0</v>
      </c>
      <c r="N2198" s="528">
        <f t="shared" si="1285"/>
        <v>0</v>
      </c>
      <c r="O2198" s="528">
        <f t="shared" si="1286"/>
        <v>0</v>
      </c>
      <c r="P2198" s="529">
        <f t="shared" si="1287"/>
        <v>0</v>
      </c>
      <c r="Q2198" s="24">
        <f t="shared" si="1288"/>
        <v>0</v>
      </c>
      <c r="R2198" s="530">
        <f t="shared" si="1289"/>
        <v>0</v>
      </c>
    </row>
    <row r="2199" spans="1:18">
      <c r="A2199" s="524"/>
      <c r="B2199" s="531" t="s">
        <v>96</v>
      </c>
      <c r="C2199" s="533">
        <f t="shared" ref="C2199:J2199" si="1291">SUM(C2195:C2198)</f>
        <v>2884.58</v>
      </c>
      <c r="D2199" s="533">
        <f t="shared" si="1291"/>
        <v>86861</v>
      </c>
      <c r="E2199" s="533">
        <f t="shared" si="1291"/>
        <v>2332</v>
      </c>
      <c r="F2199" s="533">
        <f t="shared" si="1291"/>
        <v>7</v>
      </c>
      <c r="G2199" s="533">
        <f t="shared" si="1291"/>
        <v>85548</v>
      </c>
      <c r="H2199" s="533">
        <f t="shared" si="1291"/>
        <v>88</v>
      </c>
      <c r="I2199" s="533">
        <f t="shared" si="1291"/>
        <v>14</v>
      </c>
      <c r="J2199" s="533">
        <f t="shared" si="1291"/>
        <v>7</v>
      </c>
      <c r="K2199" s="534">
        <f t="shared" si="1282"/>
        <v>0.026847491969929</v>
      </c>
      <c r="L2199" s="535">
        <f t="shared" si="1283"/>
        <v>1.23695540308748</v>
      </c>
      <c r="M2199" s="535">
        <f t="shared" si="1284"/>
        <v>33.2091502515513</v>
      </c>
      <c r="N2199" s="535">
        <f t="shared" si="1285"/>
        <v>29.6570037925799</v>
      </c>
      <c r="O2199" s="535">
        <f t="shared" si="1286"/>
        <v>0.00300171526586621</v>
      </c>
      <c r="P2199" s="536">
        <f t="shared" si="1287"/>
        <v>28.2801960784314</v>
      </c>
      <c r="Q2199" s="531">
        <f t="shared" si="1288"/>
        <v>102</v>
      </c>
      <c r="R2199" s="537">
        <f t="shared" si="1289"/>
        <v>0.0437392795883362</v>
      </c>
    </row>
    <row r="2200" spans="1:18">
      <c r="A2200" s="524">
        <v>45890</v>
      </c>
      <c r="B2200" s="540" t="s">
        <v>98</v>
      </c>
      <c r="C2200" s="551">
        <v>986.9</v>
      </c>
      <c r="D2200" s="553">
        <v>31749</v>
      </c>
      <c r="E2200" s="551">
        <v>1058</v>
      </c>
      <c r="F2200" s="551">
        <v>0</v>
      </c>
      <c r="G2200" s="551">
        <v>0</v>
      </c>
      <c r="H2200" s="551">
        <v>30</v>
      </c>
      <c r="I2200" s="551">
        <v>7</v>
      </c>
      <c r="J2200" s="551">
        <v>1</v>
      </c>
      <c r="K2200" s="527">
        <f t="shared" si="1282"/>
        <v>0.0333238842168257</v>
      </c>
      <c r="L2200" s="528">
        <f t="shared" si="1283"/>
        <v>0.932797731568998</v>
      </c>
      <c r="M2200" s="528">
        <f t="shared" si="1284"/>
        <v>31.084443604523</v>
      </c>
      <c r="N2200" s="528">
        <f t="shared" si="1285"/>
        <v>0</v>
      </c>
      <c r="O2200" s="528">
        <f t="shared" si="1286"/>
        <v>0</v>
      </c>
      <c r="P2200" s="529">
        <f t="shared" si="1287"/>
        <v>26.672972972973</v>
      </c>
      <c r="Q2200" s="24">
        <f t="shared" si="1288"/>
        <v>37</v>
      </c>
      <c r="R2200" s="530">
        <f t="shared" si="1289"/>
        <v>0.0349716446124764</v>
      </c>
    </row>
    <row r="2201" spans="1:18">
      <c r="A2201" s="524"/>
      <c r="B2201" s="540" t="s">
        <v>99</v>
      </c>
      <c r="C2201" s="551">
        <v>1137.2</v>
      </c>
      <c r="D2201" s="555">
        <v>9580</v>
      </c>
      <c r="E2201" s="551">
        <v>783</v>
      </c>
      <c r="F2201" s="551">
        <v>1</v>
      </c>
      <c r="G2201" s="551">
        <v>22534</v>
      </c>
      <c r="H2201" s="555">
        <v>7</v>
      </c>
      <c r="I2201" s="555">
        <v>1</v>
      </c>
      <c r="J2201" s="555">
        <v>5</v>
      </c>
      <c r="K2201" s="527">
        <f t="shared" si="1282"/>
        <v>0.0817327766179541</v>
      </c>
      <c r="L2201" s="528">
        <f t="shared" si="1283"/>
        <v>1.45236270753512</v>
      </c>
      <c r="M2201" s="528">
        <f t="shared" si="1284"/>
        <v>118.705636743215</v>
      </c>
      <c r="N2201" s="528">
        <f t="shared" si="1285"/>
        <v>19.8153359127682</v>
      </c>
      <c r="O2201" s="528">
        <f t="shared" si="1286"/>
        <v>0.00127713920817369</v>
      </c>
      <c r="P2201" s="529">
        <f t="shared" si="1287"/>
        <v>142.15</v>
      </c>
      <c r="Q2201" s="24">
        <f t="shared" si="1288"/>
        <v>8</v>
      </c>
      <c r="R2201" s="530">
        <f t="shared" si="1289"/>
        <v>0.0102171136653895</v>
      </c>
    </row>
    <row r="2202" spans="1:18">
      <c r="A2202" s="524"/>
      <c r="B2202" s="540" t="s">
        <v>100</v>
      </c>
      <c r="C2202" s="552">
        <v>641.3</v>
      </c>
      <c r="D2202" s="553">
        <v>28874</v>
      </c>
      <c r="E2202" s="553">
        <v>475</v>
      </c>
      <c r="F2202" s="551">
        <v>2</v>
      </c>
      <c r="G2202" s="551">
        <v>31880</v>
      </c>
      <c r="H2202" s="551">
        <v>19</v>
      </c>
      <c r="I2202" s="551">
        <v>10</v>
      </c>
      <c r="J2202" s="551">
        <v>1</v>
      </c>
      <c r="K2202" s="527">
        <f t="shared" si="1282"/>
        <v>0.016450786174413</v>
      </c>
      <c r="L2202" s="528">
        <f t="shared" si="1283"/>
        <v>1.35010526315789</v>
      </c>
      <c r="M2202" s="528">
        <f t="shared" si="1284"/>
        <v>22.2102929971601</v>
      </c>
      <c r="N2202" s="528">
        <f t="shared" si="1285"/>
        <v>49.7115234679557</v>
      </c>
      <c r="O2202" s="528">
        <f t="shared" si="1286"/>
        <v>0.00421052631578947</v>
      </c>
      <c r="P2202" s="529">
        <f t="shared" si="1287"/>
        <v>22.1137931034483</v>
      </c>
      <c r="Q2202" s="24">
        <f t="shared" si="1288"/>
        <v>29</v>
      </c>
      <c r="R2202" s="530">
        <f t="shared" si="1289"/>
        <v>0.0610526315789474</v>
      </c>
    </row>
    <row r="2203" spans="1:18">
      <c r="A2203" s="524"/>
      <c r="B2203" s="540" t="s">
        <v>101</v>
      </c>
      <c r="C2203" s="552">
        <v>0</v>
      </c>
      <c r="D2203" s="553">
        <v>0</v>
      </c>
      <c r="E2203" s="551">
        <v>0</v>
      </c>
      <c r="F2203" s="551">
        <v>0</v>
      </c>
      <c r="G2203" s="551">
        <v>0</v>
      </c>
      <c r="H2203" s="551">
        <v>0</v>
      </c>
      <c r="I2203" s="551">
        <v>0</v>
      </c>
      <c r="J2203" s="551">
        <v>0</v>
      </c>
      <c r="K2203" s="527">
        <f t="shared" si="1282"/>
        <v>0</v>
      </c>
      <c r="L2203" s="528">
        <f t="shared" si="1283"/>
        <v>0</v>
      </c>
      <c r="M2203" s="528">
        <f t="shared" si="1284"/>
        <v>0</v>
      </c>
      <c r="N2203" s="528">
        <f t="shared" si="1285"/>
        <v>0</v>
      </c>
      <c r="O2203" s="528">
        <f t="shared" si="1286"/>
        <v>0</v>
      </c>
      <c r="P2203" s="529">
        <f t="shared" si="1287"/>
        <v>0</v>
      </c>
      <c r="Q2203" s="24">
        <f t="shared" si="1288"/>
        <v>0</v>
      </c>
      <c r="R2203" s="530">
        <f t="shared" si="1289"/>
        <v>0</v>
      </c>
    </row>
    <row r="2204" spans="1:18">
      <c r="A2204" s="524"/>
      <c r="B2204" s="531" t="s">
        <v>96</v>
      </c>
      <c r="C2204" s="533">
        <f t="shared" ref="C2204:J2204" si="1292">SUM(C2200:C2203)</f>
        <v>2765.4</v>
      </c>
      <c r="D2204" s="533">
        <f t="shared" si="1292"/>
        <v>70203</v>
      </c>
      <c r="E2204" s="533">
        <f t="shared" si="1292"/>
        <v>2316</v>
      </c>
      <c r="F2204" s="533">
        <f t="shared" si="1292"/>
        <v>3</v>
      </c>
      <c r="G2204" s="533">
        <f t="shared" si="1292"/>
        <v>54414</v>
      </c>
      <c r="H2204" s="533">
        <f t="shared" si="1292"/>
        <v>56</v>
      </c>
      <c r="I2204" s="533">
        <f t="shared" si="1292"/>
        <v>18</v>
      </c>
      <c r="J2204" s="533">
        <f t="shared" si="1292"/>
        <v>7</v>
      </c>
      <c r="K2204" s="534">
        <f t="shared" si="1282"/>
        <v>0.0329900431605487</v>
      </c>
      <c r="L2204" s="535">
        <f t="shared" si="1283"/>
        <v>1.1940414507772</v>
      </c>
      <c r="M2204" s="535">
        <f t="shared" si="1284"/>
        <v>39.3914789966241</v>
      </c>
      <c r="N2204" s="535">
        <f t="shared" si="1285"/>
        <v>19.6767194619223</v>
      </c>
      <c r="O2204" s="535">
        <f t="shared" si="1286"/>
        <v>0.00129533678756477</v>
      </c>
      <c r="P2204" s="536">
        <f t="shared" si="1287"/>
        <v>37.3702702702703</v>
      </c>
      <c r="Q2204" s="531">
        <f t="shared" si="1288"/>
        <v>74</v>
      </c>
      <c r="R2204" s="537">
        <f t="shared" si="1289"/>
        <v>0.0319516407599309</v>
      </c>
    </row>
    <row r="2205" spans="1:18">
      <c r="A2205" s="524">
        <v>45891</v>
      </c>
      <c r="B2205" s="540" t="s">
        <v>98</v>
      </c>
      <c r="C2205" s="551">
        <v>997.6</v>
      </c>
      <c r="D2205" s="553">
        <v>31119</v>
      </c>
      <c r="E2205" s="551">
        <v>1119</v>
      </c>
      <c r="F2205" s="551">
        <v>0</v>
      </c>
      <c r="G2205" s="551">
        <v>0</v>
      </c>
      <c r="H2205" s="551">
        <v>39</v>
      </c>
      <c r="I2205" s="551">
        <v>6</v>
      </c>
      <c r="J2205" s="551">
        <v>0</v>
      </c>
      <c r="K2205" s="527">
        <f t="shared" si="1282"/>
        <v>0.0359587390340307</v>
      </c>
      <c r="L2205" s="528">
        <f t="shared" si="1283"/>
        <v>0.891510277033065</v>
      </c>
      <c r="M2205" s="528">
        <f t="shared" si="1284"/>
        <v>32.0575853979884</v>
      </c>
      <c r="N2205" s="528">
        <f t="shared" si="1285"/>
        <v>0</v>
      </c>
      <c r="O2205" s="528">
        <f t="shared" si="1286"/>
        <v>0</v>
      </c>
      <c r="P2205" s="529">
        <f t="shared" si="1287"/>
        <v>22.1688888888889</v>
      </c>
      <c r="Q2205" s="24">
        <f t="shared" si="1288"/>
        <v>45</v>
      </c>
      <c r="R2205" s="530">
        <f t="shared" si="1289"/>
        <v>0.0402144772117962</v>
      </c>
    </row>
    <row r="2206" spans="1:18">
      <c r="A2206" s="524"/>
      <c r="B2206" s="540" t="s">
        <v>99</v>
      </c>
      <c r="C2206" s="551">
        <v>1191.74</v>
      </c>
      <c r="D2206" s="555">
        <v>9155</v>
      </c>
      <c r="E2206" s="551">
        <v>804</v>
      </c>
      <c r="F2206" s="551">
        <v>1</v>
      </c>
      <c r="G2206" s="551">
        <v>11202</v>
      </c>
      <c r="H2206" s="555">
        <v>20</v>
      </c>
      <c r="I2206" s="555">
        <v>1</v>
      </c>
      <c r="J2206" s="555">
        <v>2</v>
      </c>
      <c r="K2206" s="527">
        <f t="shared" si="1282"/>
        <v>0.0878208629164391</v>
      </c>
      <c r="L2206" s="528">
        <f t="shared" si="1283"/>
        <v>1.48226368159204</v>
      </c>
      <c r="M2206" s="528">
        <f t="shared" si="1284"/>
        <v>130.173675587111</v>
      </c>
      <c r="N2206" s="528">
        <f t="shared" si="1285"/>
        <v>9.3997012771242</v>
      </c>
      <c r="O2206" s="528">
        <f t="shared" si="1286"/>
        <v>0.00124378109452736</v>
      </c>
      <c r="P2206" s="529">
        <f t="shared" si="1287"/>
        <v>56.7495238095238</v>
      </c>
      <c r="Q2206" s="24">
        <f t="shared" si="1288"/>
        <v>21</v>
      </c>
      <c r="R2206" s="530">
        <f t="shared" si="1289"/>
        <v>0.0261194029850746</v>
      </c>
    </row>
    <row r="2207" spans="1:18">
      <c r="A2207" s="524"/>
      <c r="B2207" s="540" t="s">
        <v>100</v>
      </c>
      <c r="C2207" s="552">
        <v>519.14</v>
      </c>
      <c r="D2207" s="553">
        <v>17800</v>
      </c>
      <c r="E2207" s="553">
        <v>371</v>
      </c>
      <c r="F2207" s="551">
        <v>0</v>
      </c>
      <c r="G2207" s="551">
        <v>0</v>
      </c>
      <c r="H2207" s="551">
        <v>16</v>
      </c>
      <c r="I2207" s="551">
        <v>1</v>
      </c>
      <c r="J2207" s="551">
        <v>1</v>
      </c>
      <c r="K2207" s="527">
        <f t="shared" si="1282"/>
        <v>0.0208426966292135</v>
      </c>
      <c r="L2207" s="528">
        <f t="shared" si="1283"/>
        <v>1.39929919137466</v>
      </c>
      <c r="M2207" s="528">
        <f t="shared" si="1284"/>
        <v>29.1651685393258</v>
      </c>
      <c r="N2207" s="528">
        <f t="shared" si="1285"/>
        <v>0</v>
      </c>
      <c r="O2207" s="528">
        <f t="shared" si="1286"/>
        <v>0</v>
      </c>
      <c r="P2207" s="529">
        <f t="shared" si="1287"/>
        <v>30.5376470588235</v>
      </c>
      <c r="Q2207" s="24">
        <f t="shared" si="1288"/>
        <v>17</v>
      </c>
      <c r="R2207" s="530">
        <f t="shared" si="1289"/>
        <v>0.045822102425876</v>
      </c>
    </row>
    <row r="2208" spans="1:18">
      <c r="A2208" s="524"/>
      <c r="B2208" s="540" t="s">
        <v>101</v>
      </c>
      <c r="C2208" s="552">
        <v>0</v>
      </c>
      <c r="D2208" s="553">
        <v>0</v>
      </c>
      <c r="E2208" s="551">
        <v>0</v>
      </c>
      <c r="F2208" s="551">
        <v>0</v>
      </c>
      <c r="G2208" s="551">
        <v>0</v>
      </c>
      <c r="H2208" s="551">
        <v>0</v>
      </c>
      <c r="I2208" s="551">
        <v>0</v>
      </c>
      <c r="J2208" s="551">
        <v>0</v>
      </c>
      <c r="K2208" s="527">
        <f t="shared" si="1282"/>
        <v>0</v>
      </c>
      <c r="L2208" s="528">
        <f t="shared" si="1283"/>
        <v>0</v>
      </c>
      <c r="M2208" s="528">
        <f t="shared" si="1284"/>
        <v>0</v>
      </c>
      <c r="N2208" s="528">
        <f t="shared" si="1285"/>
        <v>0</v>
      </c>
      <c r="O2208" s="528">
        <f t="shared" si="1286"/>
        <v>0</v>
      </c>
      <c r="P2208" s="529">
        <f t="shared" si="1287"/>
        <v>0</v>
      </c>
      <c r="Q2208" s="24">
        <f t="shared" si="1288"/>
        <v>0</v>
      </c>
      <c r="R2208" s="530">
        <f t="shared" si="1289"/>
        <v>0</v>
      </c>
    </row>
    <row r="2209" spans="1:18">
      <c r="A2209" s="524"/>
      <c r="B2209" s="531" t="s">
        <v>96</v>
      </c>
      <c r="C2209" s="533">
        <f t="shared" ref="C2209:J2209" si="1293">SUM(C2205:C2208)</f>
        <v>2708.48</v>
      </c>
      <c r="D2209" s="533">
        <f t="shared" si="1293"/>
        <v>58074</v>
      </c>
      <c r="E2209" s="533">
        <f t="shared" si="1293"/>
        <v>2294</v>
      </c>
      <c r="F2209" s="533">
        <f t="shared" si="1293"/>
        <v>1</v>
      </c>
      <c r="G2209" s="533">
        <f t="shared" si="1293"/>
        <v>11202</v>
      </c>
      <c r="H2209" s="533">
        <f t="shared" si="1293"/>
        <v>75</v>
      </c>
      <c r="I2209" s="533">
        <f t="shared" si="1293"/>
        <v>8</v>
      </c>
      <c r="J2209" s="533">
        <f t="shared" si="1293"/>
        <v>3</v>
      </c>
      <c r="K2209" s="534">
        <f t="shared" si="1282"/>
        <v>0.0395013258945483</v>
      </c>
      <c r="L2209" s="535">
        <f t="shared" si="1283"/>
        <v>1.18068003487358</v>
      </c>
      <c r="M2209" s="535">
        <f t="shared" si="1284"/>
        <v>46.6384268347281</v>
      </c>
      <c r="N2209" s="535">
        <f t="shared" si="1285"/>
        <v>4.13589910207939</v>
      </c>
      <c r="O2209" s="535">
        <f t="shared" si="1286"/>
        <v>0.0004359197907585</v>
      </c>
      <c r="P2209" s="536">
        <f t="shared" si="1287"/>
        <v>32.6322891566265</v>
      </c>
      <c r="Q2209" s="531">
        <f t="shared" si="1288"/>
        <v>83</v>
      </c>
      <c r="R2209" s="537">
        <f t="shared" si="1289"/>
        <v>0.0361813426329555</v>
      </c>
    </row>
    <row r="2210" spans="1:18">
      <c r="A2210" s="524">
        <v>45892</v>
      </c>
      <c r="B2210" s="540" t="s">
        <v>98</v>
      </c>
      <c r="C2210" s="551">
        <v>996.93</v>
      </c>
      <c r="D2210" s="553">
        <v>28200</v>
      </c>
      <c r="E2210" s="551">
        <v>1104</v>
      </c>
      <c r="F2210" s="551">
        <v>2</v>
      </c>
      <c r="G2210" s="551">
        <v>21618</v>
      </c>
      <c r="H2210" s="551">
        <v>27</v>
      </c>
      <c r="I2210" s="551">
        <v>3</v>
      </c>
      <c r="J2210" s="551">
        <v>2</v>
      </c>
      <c r="K2210" s="527">
        <f t="shared" si="1282"/>
        <v>0.0391489361702128</v>
      </c>
      <c r="L2210" s="528">
        <f t="shared" si="1283"/>
        <v>0.903016304347826</v>
      </c>
      <c r="M2210" s="528">
        <f t="shared" si="1284"/>
        <v>35.3521276595745</v>
      </c>
      <c r="N2210" s="528">
        <f t="shared" si="1285"/>
        <v>21.6845716349192</v>
      </c>
      <c r="O2210" s="528">
        <f t="shared" si="1286"/>
        <v>0.00181159420289855</v>
      </c>
      <c r="P2210" s="529">
        <f t="shared" si="1287"/>
        <v>33.231</v>
      </c>
      <c r="Q2210" s="24">
        <f t="shared" si="1288"/>
        <v>30</v>
      </c>
      <c r="R2210" s="530">
        <f t="shared" si="1289"/>
        <v>0.0271739130434783</v>
      </c>
    </row>
    <row r="2211" spans="1:18">
      <c r="A2211" s="524"/>
      <c r="B2211" s="540" t="s">
        <v>99</v>
      </c>
      <c r="C2211" s="551">
        <v>0</v>
      </c>
      <c r="D2211" s="555">
        <v>0</v>
      </c>
      <c r="E2211" s="551">
        <v>0</v>
      </c>
      <c r="F2211" s="551">
        <v>0</v>
      </c>
      <c r="G2211" s="551">
        <v>0</v>
      </c>
      <c r="H2211" s="555">
        <v>0</v>
      </c>
      <c r="I2211" s="555">
        <v>0</v>
      </c>
      <c r="J2211" s="555">
        <v>0</v>
      </c>
      <c r="K2211" s="527">
        <f t="shared" si="1282"/>
        <v>0</v>
      </c>
      <c r="L2211" s="528">
        <f t="shared" si="1283"/>
        <v>0</v>
      </c>
      <c r="M2211" s="528">
        <f t="shared" si="1284"/>
        <v>0</v>
      </c>
      <c r="N2211" s="528">
        <f t="shared" si="1285"/>
        <v>0</v>
      </c>
      <c r="O2211" s="528">
        <f t="shared" si="1286"/>
        <v>0</v>
      </c>
      <c r="P2211" s="529">
        <f t="shared" si="1287"/>
        <v>0</v>
      </c>
      <c r="Q2211" s="24">
        <f t="shared" si="1288"/>
        <v>0</v>
      </c>
      <c r="R2211" s="530">
        <f t="shared" si="1289"/>
        <v>0</v>
      </c>
    </row>
    <row r="2212" spans="1:18">
      <c r="A2212" s="524"/>
      <c r="B2212" s="540" t="s">
        <v>100</v>
      </c>
      <c r="C2212" s="552">
        <v>504.97</v>
      </c>
      <c r="D2212" s="553">
        <v>19895</v>
      </c>
      <c r="E2212" s="553">
        <v>366</v>
      </c>
      <c r="F2212" s="551">
        <v>1</v>
      </c>
      <c r="G2212" s="551">
        <v>10454</v>
      </c>
      <c r="H2212" s="551">
        <v>14</v>
      </c>
      <c r="I2212" s="551">
        <v>5</v>
      </c>
      <c r="J2212" s="551">
        <v>2</v>
      </c>
      <c r="K2212" s="527">
        <f t="shared" si="1282"/>
        <v>0.0183965820557929</v>
      </c>
      <c r="L2212" s="528">
        <f t="shared" si="1283"/>
        <v>1.37969945355191</v>
      </c>
      <c r="M2212" s="528">
        <f t="shared" si="1284"/>
        <v>25.3817542096004</v>
      </c>
      <c r="N2212" s="528">
        <f t="shared" si="1285"/>
        <v>20.7022199338575</v>
      </c>
      <c r="O2212" s="528">
        <f t="shared" si="1286"/>
        <v>0.00273224043715847</v>
      </c>
      <c r="P2212" s="529">
        <f t="shared" si="1287"/>
        <v>26.5773684210526</v>
      </c>
      <c r="Q2212" s="24">
        <f t="shared" si="1288"/>
        <v>19</v>
      </c>
      <c r="R2212" s="530">
        <f t="shared" si="1289"/>
        <v>0.0519125683060109</v>
      </c>
    </row>
    <row r="2213" spans="1:18">
      <c r="A2213" s="524"/>
      <c r="B2213" s="540" t="s">
        <v>101</v>
      </c>
      <c r="C2213" s="552">
        <v>0</v>
      </c>
      <c r="D2213" s="553">
        <v>0</v>
      </c>
      <c r="E2213" s="551">
        <v>0</v>
      </c>
      <c r="F2213" s="551">
        <v>0</v>
      </c>
      <c r="G2213" s="551">
        <v>0</v>
      </c>
      <c r="H2213" s="551">
        <v>0</v>
      </c>
      <c r="I2213" s="551">
        <v>0</v>
      </c>
      <c r="J2213" s="551">
        <v>0</v>
      </c>
      <c r="K2213" s="527">
        <f t="shared" si="1282"/>
        <v>0</v>
      </c>
      <c r="L2213" s="528">
        <f t="shared" si="1283"/>
        <v>0</v>
      </c>
      <c r="M2213" s="528">
        <f t="shared" si="1284"/>
        <v>0</v>
      </c>
      <c r="N2213" s="528">
        <f t="shared" si="1285"/>
        <v>0</v>
      </c>
      <c r="O2213" s="528">
        <f t="shared" si="1286"/>
        <v>0</v>
      </c>
      <c r="P2213" s="529">
        <f t="shared" si="1287"/>
        <v>0</v>
      </c>
      <c r="Q2213" s="24">
        <f t="shared" si="1288"/>
        <v>0</v>
      </c>
      <c r="R2213" s="530">
        <f t="shared" si="1289"/>
        <v>0</v>
      </c>
    </row>
    <row r="2214" spans="1:18">
      <c r="A2214" s="524"/>
      <c r="B2214" s="531" t="s">
        <v>96</v>
      </c>
      <c r="C2214" s="533">
        <f t="shared" ref="C2214:J2214" si="1294">SUM(C2210:C2213)</f>
        <v>1501.9</v>
      </c>
      <c r="D2214" s="533">
        <f t="shared" si="1294"/>
        <v>48095</v>
      </c>
      <c r="E2214" s="533">
        <f t="shared" si="1294"/>
        <v>1470</v>
      </c>
      <c r="F2214" s="533">
        <f t="shared" si="1294"/>
        <v>3</v>
      </c>
      <c r="G2214" s="533">
        <f t="shared" si="1294"/>
        <v>32072</v>
      </c>
      <c r="H2214" s="533">
        <f t="shared" si="1294"/>
        <v>41</v>
      </c>
      <c r="I2214" s="533">
        <f t="shared" si="1294"/>
        <v>8</v>
      </c>
      <c r="J2214" s="533">
        <f t="shared" si="1294"/>
        <v>4</v>
      </c>
      <c r="K2214" s="534">
        <f t="shared" si="1282"/>
        <v>0.0305645077450878</v>
      </c>
      <c r="L2214" s="535">
        <f t="shared" si="1283"/>
        <v>1.02170068027211</v>
      </c>
      <c r="M2214" s="535">
        <f t="shared" si="1284"/>
        <v>31.2277783553384</v>
      </c>
      <c r="N2214" s="535">
        <f t="shared" si="1285"/>
        <v>21.3542845728744</v>
      </c>
      <c r="O2214" s="535">
        <f t="shared" si="1286"/>
        <v>0.00204081632653061</v>
      </c>
      <c r="P2214" s="536">
        <f t="shared" si="1287"/>
        <v>30.6510204081633</v>
      </c>
      <c r="Q2214" s="531">
        <f t="shared" si="1288"/>
        <v>49</v>
      </c>
      <c r="R2214" s="537">
        <f t="shared" si="1289"/>
        <v>0.0333333333333333</v>
      </c>
    </row>
    <row r="2215" spans="1:18">
      <c r="A2215" s="524">
        <v>45893</v>
      </c>
      <c r="B2215" s="540" t="s">
        <v>98</v>
      </c>
      <c r="C2215" s="551">
        <v>999.18</v>
      </c>
      <c r="D2215" s="553">
        <v>31759</v>
      </c>
      <c r="E2215" s="551">
        <v>1114</v>
      </c>
      <c r="F2215" s="551">
        <v>2</v>
      </c>
      <c r="G2215" s="551">
        <v>17667</v>
      </c>
      <c r="H2215" s="551">
        <v>25</v>
      </c>
      <c r="I2215" s="551">
        <v>5</v>
      </c>
      <c r="J2215" s="551">
        <v>9</v>
      </c>
      <c r="K2215" s="527">
        <f t="shared" si="1282"/>
        <v>0.035076671179823</v>
      </c>
      <c r="L2215" s="528">
        <f t="shared" si="1283"/>
        <v>0.896929982046679</v>
      </c>
      <c r="M2215" s="528">
        <f t="shared" si="1284"/>
        <v>31.4613180515759</v>
      </c>
      <c r="N2215" s="528">
        <f t="shared" si="1285"/>
        <v>17.6814988290398</v>
      </c>
      <c r="O2215" s="528">
        <f t="shared" si="1286"/>
        <v>0.00179533213644524</v>
      </c>
      <c r="P2215" s="529">
        <f t="shared" si="1287"/>
        <v>33.306</v>
      </c>
      <c r="Q2215" s="24">
        <f t="shared" si="1288"/>
        <v>30</v>
      </c>
      <c r="R2215" s="530">
        <f t="shared" si="1289"/>
        <v>0.0269299820466786</v>
      </c>
    </row>
    <row r="2216" spans="1:18">
      <c r="A2216" s="524"/>
      <c r="B2216" s="540" t="s">
        <v>99</v>
      </c>
      <c r="C2216" s="551">
        <v>1205.46</v>
      </c>
      <c r="D2216" s="555">
        <v>6943</v>
      </c>
      <c r="E2216" s="551">
        <v>743</v>
      </c>
      <c r="F2216" s="551">
        <v>2</v>
      </c>
      <c r="G2216" s="551">
        <v>13808</v>
      </c>
      <c r="H2216" s="555">
        <v>12</v>
      </c>
      <c r="I2216" s="555">
        <v>3</v>
      </c>
      <c r="J2216" s="555">
        <v>1</v>
      </c>
      <c r="K2216" s="527">
        <f t="shared" si="1282"/>
        <v>0.107014258965865</v>
      </c>
      <c r="L2216" s="528">
        <f t="shared" si="1283"/>
        <v>1.62242261103634</v>
      </c>
      <c r="M2216" s="528">
        <f t="shared" si="1284"/>
        <v>173.622353449518</v>
      </c>
      <c r="N2216" s="528">
        <f t="shared" si="1285"/>
        <v>11.4545484711231</v>
      </c>
      <c r="O2216" s="528">
        <f t="shared" si="1286"/>
        <v>0.00269179004037685</v>
      </c>
      <c r="P2216" s="529">
        <f t="shared" si="1287"/>
        <v>80.364</v>
      </c>
      <c r="Q2216" s="24">
        <f t="shared" si="1288"/>
        <v>15</v>
      </c>
      <c r="R2216" s="530">
        <f t="shared" si="1289"/>
        <v>0.0201884253028264</v>
      </c>
    </row>
    <row r="2217" spans="1:18">
      <c r="A2217" s="524"/>
      <c r="B2217" s="540" t="s">
        <v>100</v>
      </c>
      <c r="C2217" s="552">
        <v>510.7</v>
      </c>
      <c r="D2217" s="553">
        <v>18029</v>
      </c>
      <c r="E2217" s="553">
        <v>336</v>
      </c>
      <c r="F2217" s="551">
        <v>0</v>
      </c>
      <c r="G2217" s="551">
        <v>0</v>
      </c>
      <c r="H2217" s="551">
        <v>12</v>
      </c>
      <c r="I2217" s="551">
        <v>5</v>
      </c>
      <c r="J2217" s="551">
        <v>0</v>
      </c>
      <c r="K2217" s="527">
        <f t="shared" si="1282"/>
        <v>0.0186366409673304</v>
      </c>
      <c r="L2217" s="528">
        <f t="shared" si="1283"/>
        <v>1.51994047619048</v>
      </c>
      <c r="M2217" s="528">
        <f t="shared" si="1284"/>
        <v>28.3265849464751</v>
      </c>
      <c r="N2217" s="528">
        <f t="shared" si="1285"/>
        <v>0</v>
      </c>
      <c r="O2217" s="528">
        <f t="shared" si="1286"/>
        <v>0</v>
      </c>
      <c r="P2217" s="529">
        <f t="shared" si="1287"/>
        <v>30.0411764705882</v>
      </c>
      <c r="Q2217" s="24">
        <f t="shared" si="1288"/>
        <v>17</v>
      </c>
      <c r="R2217" s="530">
        <f t="shared" si="1289"/>
        <v>0.0505952380952381</v>
      </c>
    </row>
    <row r="2218" spans="1:18">
      <c r="A2218" s="524"/>
      <c r="B2218" s="540" t="s">
        <v>101</v>
      </c>
      <c r="C2218" s="552">
        <v>0</v>
      </c>
      <c r="D2218" s="553">
        <v>0</v>
      </c>
      <c r="E2218" s="551">
        <v>0</v>
      </c>
      <c r="F2218" s="551">
        <v>0</v>
      </c>
      <c r="G2218" s="551">
        <v>0</v>
      </c>
      <c r="H2218" s="551">
        <v>0</v>
      </c>
      <c r="I2218" s="551">
        <v>0</v>
      </c>
      <c r="J2218" s="551">
        <v>0</v>
      </c>
      <c r="K2218" s="527">
        <f t="shared" si="1282"/>
        <v>0</v>
      </c>
      <c r="L2218" s="528">
        <f t="shared" si="1283"/>
        <v>0</v>
      </c>
      <c r="M2218" s="528">
        <f t="shared" si="1284"/>
        <v>0</v>
      </c>
      <c r="N2218" s="528">
        <f t="shared" si="1285"/>
        <v>0</v>
      </c>
      <c r="O2218" s="528">
        <f t="shared" si="1286"/>
        <v>0</v>
      </c>
      <c r="P2218" s="529">
        <f t="shared" si="1287"/>
        <v>0</v>
      </c>
      <c r="Q2218" s="24">
        <f t="shared" si="1288"/>
        <v>0</v>
      </c>
      <c r="R2218" s="530">
        <f t="shared" si="1289"/>
        <v>0</v>
      </c>
    </row>
    <row r="2219" spans="1:18">
      <c r="A2219" s="524"/>
      <c r="B2219" s="531" t="s">
        <v>96</v>
      </c>
      <c r="C2219" s="533">
        <f t="shared" ref="C2219:J2219" si="1295">SUM(C2215:C2218)</f>
        <v>2715.34</v>
      </c>
      <c r="D2219" s="533">
        <f t="shared" si="1295"/>
        <v>56731</v>
      </c>
      <c r="E2219" s="533">
        <f t="shared" si="1295"/>
        <v>2193</v>
      </c>
      <c r="F2219" s="533">
        <f t="shared" si="1295"/>
        <v>4</v>
      </c>
      <c r="G2219" s="533">
        <f t="shared" si="1295"/>
        <v>31475</v>
      </c>
      <c r="H2219" s="533">
        <f t="shared" si="1295"/>
        <v>49</v>
      </c>
      <c r="I2219" s="533">
        <f t="shared" si="1295"/>
        <v>13</v>
      </c>
      <c r="J2219" s="533">
        <f t="shared" si="1295"/>
        <v>10</v>
      </c>
      <c r="K2219" s="534">
        <f t="shared" si="1282"/>
        <v>0.0386561139412314</v>
      </c>
      <c r="L2219" s="535">
        <f t="shared" si="1283"/>
        <v>1.23818513451892</v>
      </c>
      <c r="M2219" s="535">
        <f t="shared" si="1284"/>
        <v>47.8634256403025</v>
      </c>
      <c r="N2219" s="535">
        <f t="shared" si="1285"/>
        <v>11.5915502294372</v>
      </c>
      <c r="O2219" s="535">
        <f t="shared" si="1286"/>
        <v>0.00182398540811674</v>
      </c>
      <c r="P2219" s="536">
        <f t="shared" si="1287"/>
        <v>43.7958064516129</v>
      </c>
      <c r="Q2219" s="531">
        <f t="shared" si="1288"/>
        <v>62</v>
      </c>
      <c r="R2219" s="537">
        <f t="shared" si="1289"/>
        <v>0.0282717738258094</v>
      </c>
    </row>
    <row r="2220" spans="1:18">
      <c r="A2220" s="524">
        <v>45894</v>
      </c>
      <c r="B2220" s="540" t="s">
        <v>98</v>
      </c>
      <c r="C2220" s="551">
        <v>1000</v>
      </c>
      <c r="D2220" s="553">
        <v>45987</v>
      </c>
      <c r="E2220" s="551">
        <v>1222</v>
      </c>
      <c r="F2220" s="551">
        <v>1</v>
      </c>
      <c r="G2220" s="551">
        <v>12954</v>
      </c>
      <c r="H2220" s="551">
        <v>36</v>
      </c>
      <c r="I2220" s="551">
        <v>2</v>
      </c>
      <c r="J2220" s="551">
        <v>7</v>
      </c>
      <c r="K2220" s="527">
        <f t="shared" si="1282"/>
        <v>0.0265727270750429</v>
      </c>
      <c r="L2220" s="528">
        <f t="shared" si="1283"/>
        <v>0.818330605564648</v>
      </c>
      <c r="M2220" s="528">
        <f t="shared" si="1284"/>
        <v>21.745275838824</v>
      </c>
      <c r="N2220" s="528">
        <f t="shared" si="1285"/>
        <v>12.954</v>
      </c>
      <c r="O2220" s="528">
        <f t="shared" si="1286"/>
        <v>0.000818330605564648</v>
      </c>
      <c r="P2220" s="529">
        <f t="shared" si="1287"/>
        <v>26.3157894736842</v>
      </c>
      <c r="Q2220" s="24">
        <f t="shared" si="1288"/>
        <v>38</v>
      </c>
      <c r="R2220" s="530">
        <f t="shared" si="1289"/>
        <v>0.0310965630114566</v>
      </c>
    </row>
    <row r="2221" spans="1:18">
      <c r="A2221" s="524"/>
      <c r="B2221" s="540" t="s">
        <v>99</v>
      </c>
      <c r="C2221" s="551">
        <v>1302.52</v>
      </c>
      <c r="D2221" s="555">
        <v>6510</v>
      </c>
      <c r="E2221" s="551">
        <v>1111</v>
      </c>
      <c r="F2221" s="551">
        <v>1</v>
      </c>
      <c r="G2221" s="551">
        <v>17792</v>
      </c>
      <c r="H2221" s="555">
        <v>21</v>
      </c>
      <c r="I2221" s="555">
        <v>2</v>
      </c>
      <c r="J2221" s="555">
        <v>2</v>
      </c>
      <c r="K2221" s="527">
        <f t="shared" si="1282"/>
        <v>0.170660522273425</v>
      </c>
      <c r="L2221" s="528">
        <f t="shared" si="1283"/>
        <v>1.17238523852385</v>
      </c>
      <c r="M2221" s="528">
        <f t="shared" si="1284"/>
        <v>200.079877112135</v>
      </c>
      <c r="N2221" s="528">
        <f t="shared" si="1285"/>
        <v>13.6596750913614</v>
      </c>
      <c r="O2221" s="528">
        <f t="shared" si="1286"/>
        <v>0.0009000900090009</v>
      </c>
      <c r="P2221" s="529">
        <f t="shared" si="1287"/>
        <v>56.6313043478261</v>
      </c>
      <c r="Q2221" s="24">
        <f t="shared" si="1288"/>
        <v>23</v>
      </c>
      <c r="R2221" s="530">
        <f t="shared" si="1289"/>
        <v>0.0207020702070207</v>
      </c>
    </row>
    <row r="2222" spans="1:18">
      <c r="A2222" s="524"/>
      <c r="B2222" s="540" t="s">
        <v>100</v>
      </c>
      <c r="C2222" s="552">
        <v>386.52</v>
      </c>
      <c r="D2222" s="553">
        <v>16064</v>
      </c>
      <c r="E2222" s="553">
        <v>309</v>
      </c>
      <c r="F2222" s="551">
        <v>0</v>
      </c>
      <c r="G2222" s="551">
        <v>0</v>
      </c>
      <c r="H2222" s="551">
        <v>8</v>
      </c>
      <c r="I2222" s="551">
        <v>2</v>
      </c>
      <c r="J2222" s="551">
        <v>0</v>
      </c>
      <c r="K2222" s="527">
        <f t="shared" si="1282"/>
        <v>0.0192355577689243</v>
      </c>
      <c r="L2222" s="528">
        <f t="shared" si="1283"/>
        <v>1.25087378640777</v>
      </c>
      <c r="M2222" s="528">
        <f t="shared" si="1284"/>
        <v>24.0612549800797</v>
      </c>
      <c r="N2222" s="528">
        <f t="shared" si="1285"/>
        <v>0</v>
      </c>
      <c r="O2222" s="528">
        <f t="shared" si="1286"/>
        <v>0</v>
      </c>
      <c r="P2222" s="529">
        <f t="shared" si="1287"/>
        <v>38.652</v>
      </c>
      <c r="Q2222" s="24">
        <f t="shared" si="1288"/>
        <v>10</v>
      </c>
      <c r="R2222" s="530">
        <f t="shared" si="1289"/>
        <v>0.0323624595469256</v>
      </c>
    </row>
    <row r="2223" spans="1:18">
      <c r="A2223" s="524"/>
      <c r="B2223" s="540" t="s">
        <v>101</v>
      </c>
      <c r="C2223" s="552">
        <v>0</v>
      </c>
      <c r="D2223" s="553">
        <v>0</v>
      </c>
      <c r="E2223" s="551">
        <v>0</v>
      </c>
      <c r="F2223" s="551">
        <v>0</v>
      </c>
      <c r="G2223" s="551">
        <v>0</v>
      </c>
      <c r="H2223" s="551">
        <v>0</v>
      </c>
      <c r="I2223" s="551">
        <v>0</v>
      </c>
      <c r="J2223" s="551">
        <v>0</v>
      </c>
      <c r="K2223" s="527">
        <f t="shared" si="1282"/>
        <v>0</v>
      </c>
      <c r="L2223" s="528">
        <f t="shared" si="1283"/>
        <v>0</v>
      </c>
      <c r="M2223" s="528">
        <f t="shared" si="1284"/>
        <v>0</v>
      </c>
      <c r="N2223" s="528">
        <f t="shared" si="1285"/>
        <v>0</v>
      </c>
      <c r="O2223" s="528">
        <f t="shared" si="1286"/>
        <v>0</v>
      </c>
      <c r="P2223" s="529">
        <f t="shared" si="1287"/>
        <v>0</v>
      </c>
      <c r="Q2223" s="24">
        <f t="shared" si="1288"/>
        <v>0</v>
      </c>
      <c r="R2223" s="530">
        <f t="shared" si="1289"/>
        <v>0</v>
      </c>
    </row>
    <row r="2224" spans="1:18">
      <c r="A2224" s="524"/>
      <c r="B2224" s="531" t="s">
        <v>96</v>
      </c>
      <c r="C2224" s="533">
        <f t="shared" ref="C2224:J2224" si="1296">SUM(C2220:C2223)</f>
        <v>2689.04</v>
      </c>
      <c r="D2224" s="533">
        <f t="shared" si="1296"/>
        <v>68561</v>
      </c>
      <c r="E2224" s="533">
        <f t="shared" si="1296"/>
        <v>2642</v>
      </c>
      <c r="F2224" s="533">
        <f t="shared" si="1296"/>
        <v>2</v>
      </c>
      <c r="G2224" s="533">
        <f t="shared" si="1296"/>
        <v>30746</v>
      </c>
      <c r="H2224" s="533">
        <f t="shared" si="1296"/>
        <v>65</v>
      </c>
      <c r="I2224" s="533">
        <f t="shared" si="1296"/>
        <v>6</v>
      </c>
      <c r="J2224" s="533">
        <f t="shared" si="1296"/>
        <v>9</v>
      </c>
      <c r="K2224" s="534">
        <f t="shared" si="1282"/>
        <v>0.0385350272020536</v>
      </c>
      <c r="L2224" s="535">
        <f t="shared" si="1283"/>
        <v>1.01780469341408</v>
      </c>
      <c r="M2224" s="535">
        <f t="shared" si="1284"/>
        <v>39.2211315470894</v>
      </c>
      <c r="N2224" s="535">
        <f t="shared" si="1285"/>
        <v>11.4338202481183</v>
      </c>
      <c r="O2224" s="535">
        <f t="shared" si="1286"/>
        <v>0.000757002271006813</v>
      </c>
      <c r="P2224" s="536">
        <f t="shared" si="1287"/>
        <v>37.8738028169014</v>
      </c>
      <c r="Q2224" s="531">
        <f t="shared" si="1288"/>
        <v>71</v>
      </c>
      <c r="R2224" s="537">
        <f t="shared" si="1289"/>
        <v>0.0268735806207419</v>
      </c>
    </row>
    <row r="2225" spans="1:18">
      <c r="A2225" s="524">
        <v>45895</v>
      </c>
      <c r="B2225" s="540" t="s">
        <v>98</v>
      </c>
      <c r="C2225" s="551">
        <v>998.9</v>
      </c>
      <c r="D2225" s="553">
        <v>23682</v>
      </c>
      <c r="E2225" s="551">
        <v>1073</v>
      </c>
      <c r="F2225" s="551">
        <v>3</v>
      </c>
      <c r="G2225" s="551">
        <v>23106</v>
      </c>
      <c r="H2225" s="551">
        <v>42</v>
      </c>
      <c r="I2225" s="551">
        <v>3</v>
      </c>
      <c r="J2225" s="551">
        <v>4</v>
      </c>
      <c r="K2225" s="527">
        <f t="shared" si="1282"/>
        <v>0.0453086732539481</v>
      </c>
      <c r="L2225" s="528">
        <f t="shared" si="1283"/>
        <v>0.9309412861137</v>
      </c>
      <c r="M2225" s="528">
        <f t="shared" si="1284"/>
        <v>42.1797145511359</v>
      </c>
      <c r="N2225" s="528">
        <f t="shared" si="1285"/>
        <v>23.131444589048</v>
      </c>
      <c r="O2225" s="528">
        <f t="shared" si="1286"/>
        <v>0.00279589934762349</v>
      </c>
      <c r="P2225" s="529">
        <f t="shared" si="1287"/>
        <v>22.1977777777778</v>
      </c>
      <c r="Q2225" s="24">
        <f t="shared" si="1288"/>
        <v>45</v>
      </c>
      <c r="R2225" s="530">
        <f t="shared" si="1289"/>
        <v>0.0419384902143523</v>
      </c>
    </row>
    <row r="2226" spans="1:18">
      <c r="A2226" s="524"/>
      <c r="B2226" s="540" t="s">
        <v>99</v>
      </c>
      <c r="C2226" s="551">
        <v>1328.85</v>
      </c>
      <c r="D2226" s="555">
        <v>8829</v>
      </c>
      <c r="E2226" s="551">
        <v>564</v>
      </c>
      <c r="F2226" s="551">
        <v>0</v>
      </c>
      <c r="G2226" s="551">
        <v>0</v>
      </c>
      <c r="H2226" s="555">
        <v>6</v>
      </c>
      <c r="I2226" s="555">
        <v>1</v>
      </c>
      <c r="J2226" s="555">
        <v>3</v>
      </c>
      <c r="K2226" s="527">
        <f t="shared" si="1282"/>
        <v>0.0638803941556235</v>
      </c>
      <c r="L2226" s="528">
        <f t="shared" si="1283"/>
        <v>2.3561170212766</v>
      </c>
      <c r="M2226" s="528">
        <f t="shared" si="1284"/>
        <v>150.509683995923</v>
      </c>
      <c r="N2226" s="528">
        <f t="shared" si="1285"/>
        <v>0</v>
      </c>
      <c r="O2226" s="528">
        <f t="shared" si="1286"/>
        <v>0</v>
      </c>
      <c r="P2226" s="529">
        <f t="shared" si="1287"/>
        <v>189.835714285714</v>
      </c>
      <c r="Q2226" s="24">
        <f t="shared" si="1288"/>
        <v>7</v>
      </c>
      <c r="R2226" s="530">
        <f t="shared" si="1289"/>
        <v>0.0124113475177305</v>
      </c>
    </row>
    <row r="2227" spans="1:18">
      <c r="A2227" s="524"/>
      <c r="B2227" s="540" t="s">
        <v>100</v>
      </c>
      <c r="C2227" s="552">
        <v>364.14</v>
      </c>
      <c r="D2227" s="553">
        <v>15056</v>
      </c>
      <c r="E2227" s="553">
        <v>290</v>
      </c>
      <c r="F2227" s="551">
        <v>0</v>
      </c>
      <c r="G2227" s="551">
        <v>0</v>
      </c>
      <c r="H2227" s="551">
        <v>10</v>
      </c>
      <c r="I2227" s="551">
        <v>4</v>
      </c>
      <c r="J2227" s="551">
        <v>0</v>
      </c>
      <c r="K2227" s="527">
        <f t="shared" si="1282"/>
        <v>0.0192614240170032</v>
      </c>
      <c r="L2227" s="528">
        <f t="shared" si="1283"/>
        <v>1.25565517241379</v>
      </c>
      <c r="M2227" s="528">
        <f t="shared" si="1284"/>
        <v>24.1857066950053</v>
      </c>
      <c r="N2227" s="528">
        <f t="shared" si="1285"/>
        <v>0</v>
      </c>
      <c r="O2227" s="528">
        <f t="shared" si="1286"/>
        <v>0</v>
      </c>
      <c r="P2227" s="529">
        <f t="shared" si="1287"/>
        <v>26.01</v>
      </c>
      <c r="Q2227" s="24">
        <f t="shared" si="1288"/>
        <v>14</v>
      </c>
      <c r="R2227" s="530">
        <f t="shared" si="1289"/>
        <v>0.0482758620689655</v>
      </c>
    </row>
    <row r="2228" spans="1:18">
      <c r="A2228" s="524"/>
      <c r="B2228" s="540" t="s">
        <v>101</v>
      </c>
      <c r="C2228" s="552">
        <v>0</v>
      </c>
      <c r="D2228" s="553">
        <v>0</v>
      </c>
      <c r="E2228" s="551">
        <v>0</v>
      </c>
      <c r="F2228" s="551">
        <v>0</v>
      </c>
      <c r="G2228" s="551">
        <v>0</v>
      </c>
      <c r="H2228" s="551">
        <v>0</v>
      </c>
      <c r="I2228" s="551">
        <v>0</v>
      </c>
      <c r="J2228" s="551">
        <v>0</v>
      </c>
      <c r="K2228" s="527">
        <f t="shared" si="1282"/>
        <v>0</v>
      </c>
      <c r="L2228" s="528">
        <f t="shared" si="1283"/>
        <v>0</v>
      </c>
      <c r="M2228" s="528">
        <f t="shared" si="1284"/>
        <v>0</v>
      </c>
      <c r="N2228" s="528">
        <f t="shared" si="1285"/>
        <v>0</v>
      </c>
      <c r="O2228" s="528">
        <f t="shared" si="1286"/>
        <v>0</v>
      </c>
      <c r="P2228" s="529">
        <f t="shared" si="1287"/>
        <v>0</v>
      </c>
      <c r="Q2228" s="24">
        <f t="shared" si="1288"/>
        <v>0</v>
      </c>
      <c r="R2228" s="530">
        <f t="shared" si="1289"/>
        <v>0</v>
      </c>
    </row>
    <row r="2229" spans="1:18">
      <c r="A2229" s="524"/>
      <c r="B2229" s="531" t="s">
        <v>96</v>
      </c>
      <c r="C2229" s="533">
        <f t="shared" ref="C2229:J2229" si="1297">SUM(C2225:C2228)</f>
        <v>2691.89</v>
      </c>
      <c r="D2229" s="533">
        <f t="shared" si="1297"/>
        <v>47567</v>
      </c>
      <c r="E2229" s="533">
        <f t="shared" si="1297"/>
        <v>1927</v>
      </c>
      <c r="F2229" s="533">
        <f t="shared" si="1297"/>
        <v>3</v>
      </c>
      <c r="G2229" s="533">
        <f t="shared" si="1297"/>
        <v>23106</v>
      </c>
      <c r="H2229" s="533">
        <f t="shared" si="1297"/>
        <v>58</v>
      </c>
      <c r="I2229" s="533">
        <f t="shared" si="1297"/>
        <v>8</v>
      </c>
      <c r="J2229" s="533">
        <f t="shared" si="1297"/>
        <v>7</v>
      </c>
      <c r="K2229" s="534">
        <f t="shared" si="1282"/>
        <v>0.0405112788277587</v>
      </c>
      <c r="L2229" s="535">
        <f t="shared" si="1283"/>
        <v>1.39693305656461</v>
      </c>
      <c r="M2229" s="535">
        <f t="shared" si="1284"/>
        <v>56.5915445582021</v>
      </c>
      <c r="N2229" s="535">
        <f t="shared" si="1285"/>
        <v>8.58356024949014</v>
      </c>
      <c r="O2229" s="535">
        <f t="shared" si="1286"/>
        <v>0.00155682407887909</v>
      </c>
      <c r="P2229" s="536">
        <f t="shared" si="1287"/>
        <v>40.7862121212121</v>
      </c>
      <c r="Q2229" s="531">
        <f t="shared" si="1288"/>
        <v>66</v>
      </c>
      <c r="R2229" s="537">
        <f t="shared" si="1289"/>
        <v>0.0342501297353399</v>
      </c>
    </row>
    <row r="2230" spans="1:18">
      <c r="A2230" s="524">
        <v>45896</v>
      </c>
      <c r="B2230" s="540" t="s">
        <v>98</v>
      </c>
      <c r="C2230" s="551">
        <v>997.31</v>
      </c>
      <c r="D2230" s="553">
        <v>25957</v>
      </c>
      <c r="E2230" s="551">
        <v>1046</v>
      </c>
      <c r="F2230" s="551">
        <v>1</v>
      </c>
      <c r="G2230" s="551">
        <v>15534</v>
      </c>
      <c r="H2230" s="551">
        <v>42</v>
      </c>
      <c r="I2230" s="551">
        <v>11</v>
      </c>
      <c r="J2230" s="551">
        <v>1</v>
      </c>
      <c r="K2230" s="527">
        <f t="shared" si="1282"/>
        <v>0.0402974149555033</v>
      </c>
      <c r="L2230" s="528">
        <f t="shared" si="1283"/>
        <v>0.953451242829828</v>
      </c>
      <c r="M2230" s="528">
        <f t="shared" si="1284"/>
        <v>38.4216203721539</v>
      </c>
      <c r="N2230" s="528">
        <f t="shared" si="1285"/>
        <v>15.575899168764</v>
      </c>
      <c r="O2230" s="528">
        <f t="shared" si="1286"/>
        <v>0.000956022944550669</v>
      </c>
      <c r="P2230" s="529">
        <f t="shared" si="1287"/>
        <v>18.8171698113208</v>
      </c>
      <c r="Q2230" s="24">
        <f t="shared" si="1288"/>
        <v>53</v>
      </c>
      <c r="R2230" s="530">
        <f t="shared" si="1289"/>
        <v>0.0506692160611855</v>
      </c>
    </row>
    <row r="2231" spans="1:18">
      <c r="A2231" s="524"/>
      <c r="B2231" s="540" t="s">
        <v>99</v>
      </c>
      <c r="C2231" s="551">
        <v>1364.27</v>
      </c>
      <c r="D2231" s="555">
        <v>31022</v>
      </c>
      <c r="E2231" s="551">
        <v>901</v>
      </c>
      <c r="F2231" s="551">
        <v>1</v>
      </c>
      <c r="G2231" s="551">
        <v>30462</v>
      </c>
      <c r="H2231" s="555">
        <v>7</v>
      </c>
      <c r="I2231" s="555">
        <v>1</v>
      </c>
      <c r="J2231" s="555">
        <v>2</v>
      </c>
      <c r="K2231" s="527">
        <f t="shared" si="1282"/>
        <v>0.0290439043259622</v>
      </c>
      <c r="L2231" s="528">
        <f t="shared" si="1283"/>
        <v>1.51417314095449</v>
      </c>
      <c r="M2231" s="528">
        <f t="shared" si="1284"/>
        <v>43.9774998388241</v>
      </c>
      <c r="N2231" s="528">
        <f t="shared" si="1285"/>
        <v>22.328424725311</v>
      </c>
      <c r="O2231" s="528">
        <f t="shared" si="1286"/>
        <v>0.00110987791342952</v>
      </c>
      <c r="P2231" s="529">
        <f t="shared" si="1287"/>
        <v>170.53375</v>
      </c>
      <c r="Q2231" s="24">
        <f t="shared" si="1288"/>
        <v>8</v>
      </c>
      <c r="R2231" s="530">
        <f t="shared" si="1289"/>
        <v>0.00887902330743618</v>
      </c>
    </row>
    <row r="2232" spans="1:18">
      <c r="A2232" s="524"/>
      <c r="B2232" s="540" t="s">
        <v>100</v>
      </c>
      <c r="C2232" s="552">
        <v>0</v>
      </c>
      <c r="D2232" s="553">
        <v>0</v>
      </c>
      <c r="E2232" s="553">
        <v>0</v>
      </c>
      <c r="F2232" s="551">
        <v>0</v>
      </c>
      <c r="G2232" s="551">
        <v>0</v>
      </c>
      <c r="H2232" s="551">
        <v>0</v>
      </c>
      <c r="I2232" s="551">
        <v>0</v>
      </c>
      <c r="J2232" s="551">
        <v>0</v>
      </c>
      <c r="K2232" s="527">
        <f t="shared" si="1282"/>
        <v>0</v>
      </c>
      <c r="L2232" s="528">
        <f t="shared" si="1283"/>
        <v>0</v>
      </c>
      <c r="M2232" s="528">
        <f t="shared" si="1284"/>
        <v>0</v>
      </c>
      <c r="N2232" s="528">
        <f t="shared" si="1285"/>
        <v>0</v>
      </c>
      <c r="O2232" s="528">
        <f t="shared" si="1286"/>
        <v>0</v>
      </c>
      <c r="P2232" s="529">
        <f t="shared" si="1287"/>
        <v>0</v>
      </c>
      <c r="Q2232" s="24">
        <f t="shared" si="1288"/>
        <v>0</v>
      </c>
      <c r="R2232" s="530">
        <f t="shared" si="1289"/>
        <v>0</v>
      </c>
    </row>
    <row r="2233" spans="1:18">
      <c r="A2233" s="524"/>
      <c r="B2233" s="540" t="s">
        <v>101</v>
      </c>
      <c r="C2233" s="552">
        <v>0</v>
      </c>
      <c r="D2233" s="553">
        <v>0</v>
      </c>
      <c r="E2233" s="551">
        <v>0</v>
      </c>
      <c r="F2233" s="551">
        <v>0</v>
      </c>
      <c r="G2233" s="551">
        <v>0</v>
      </c>
      <c r="H2233" s="551">
        <v>0</v>
      </c>
      <c r="I2233" s="551">
        <v>0</v>
      </c>
      <c r="J2233" s="551">
        <v>0</v>
      </c>
      <c r="K2233" s="527">
        <f t="shared" si="1282"/>
        <v>0</v>
      </c>
      <c r="L2233" s="528">
        <f t="shared" si="1283"/>
        <v>0</v>
      </c>
      <c r="M2233" s="528">
        <f t="shared" si="1284"/>
        <v>0</v>
      </c>
      <c r="N2233" s="528">
        <f t="shared" si="1285"/>
        <v>0</v>
      </c>
      <c r="O2233" s="528">
        <f t="shared" si="1286"/>
        <v>0</v>
      </c>
      <c r="P2233" s="529">
        <f t="shared" si="1287"/>
        <v>0</v>
      </c>
      <c r="Q2233" s="24">
        <f t="shared" si="1288"/>
        <v>0</v>
      </c>
      <c r="R2233" s="530">
        <f t="shared" si="1289"/>
        <v>0</v>
      </c>
    </row>
    <row r="2234" spans="1:18">
      <c r="A2234" s="524"/>
      <c r="B2234" s="531" t="s">
        <v>96</v>
      </c>
      <c r="C2234" s="533">
        <f t="shared" ref="C2234:J2234" si="1298">SUM(C2230:C2233)</f>
        <v>2361.58</v>
      </c>
      <c r="D2234" s="533">
        <f t="shared" si="1298"/>
        <v>56979</v>
      </c>
      <c r="E2234" s="533">
        <f t="shared" si="1298"/>
        <v>1947</v>
      </c>
      <c r="F2234" s="533">
        <f t="shared" si="1298"/>
        <v>2</v>
      </c>
      <c r="G2234" s="533">
        <f t="shared" si="1298"/>
        <v>45996</v>
      </c>
      <c r="H2234" s="533">
        <f t="shared" si="1298"/>
        <v>49</v>
      </c>
      <c r="I2234" s="533">
        <f t="shared" si="1298"/>
        <v>12</v>
      </c>
      <c r="J2234" s="533">
        <f t="shared" si="1298"/>
        <v>3</v>
      </c>
      <c r="K2234" s="534">
        <f t="shared" si="1282"/>
        <v>0.0341704838624756</v>
      </c>
      <c r="L2234" s="535">
        <f t="shared" si="1283"/>
        <v>1.21293271700051</v>
      </c>
      <c r="M2234" s="535">
        <f t="shared" si="1284"/>
        <v>41.4464978325348</v>
      </c>
      <c r="N2234" s="535">
        <f t="shared" si="1285"/>
        <v>19.4767909619831</v>
      </c>
      <c r="O2234" s="535">
        <f t="shared" si="1286"/>
        <v>0.00102722136620442</v>
      </c>
      <c r="P2234" s="536">
        <f t="shared" si="1287"/>
        <v>38.7144262295082</v>
      </c>
      <c r="Q2234" s="531">
        <f t="shared" si="1288"/>
        <v>61</v>
      </c>
      <c r="R2234" s="537">
        <f t="shared" si="1289"/>
        <v>0.0313302516692347</v>
      </c>
    </row>
    <row r="2235" spans="1:18">
      <c r="A2235" s="524">
        <v>45897</v>
      </c>
      <c r="B2235" s="540" t="s">
        <v>98</v>
      </c>
      <c r="C2235" s="551">
        <v>999.67</v>
      </c>
      <c r="D2235" s="553">
        <v>27827</v>
      </c>
      <c r="E2235" s="551">
        <v>1051</v>
      </c>
      <c r="F2235" s="551">
        <v>2</v>
      </c>
      <c r="G2235" s="551">
        <v>17784</v>
      </c>
      <c r="H2235" s="551">
        <v>46</v>
      </c>
      <c r="I2235" s="551">
        <v>5</v>
      </c>
      <c r="J2235" s="551">
        <v>6</v>
      </c>
      <c r="K2235" s="527">
        <f t="shared" si="1282"/>
        <v>0.0377690732022855</v>
      </c>
      <c r="L2235" s="528">
        <f t="shared" si="1283"/>
        <v>0.95116079923882</v>
      </c>
      <c r="M2235" s="528">
        <f t="shared" si="1284"/>
        <v>35.9244618535954</v>
      </c>
      <c r="N2235" s="528">
        <f t="shared" si="1285"/>
        <v>17.7898706573169</v>
      </c>
      <c r="O2235" s="528">
        <f t="shared" si="1286"/>
        <v>0.00190294957183635</v>
      </c>
      <c r="P2235" s="529">
        <f t="shared" si="1287"/>
        <v>19.6013725490196</v>
      </c>
      <c r="Q2235" s="24">
        <f t="shared" si="1288"/>
        <v>51</v>
      </c>
      <c r="R2235" s="530">
        <f t="shared" si="1289"/>
        <v>0.0485252140818268</v>
      </c>
    </row>
    <row r="2236" spans="1:18">
      <c r="A2236" s="524"/>
      <c r="B2236" s="540" t="s">
        <v>99</v>
      </c>
      <c r="C2236" s="551">
        <v>1173.03</v>
      </c>
      <c r="D2236" s="555">
        <v>5321</v>
      </c>
      <c r="E2236" s="551">
        <v>679</v>
      </c>
      <c r="F2236" s="551">
        <v>3</v>
      </c>
      <c r="G2236" s="551">
        <v>22686</v>
      </c>
      <c r="H2236" s="555">
        <v>17</v>
      </c>
      <c r="I2236" s="555">
        <v>0</v>
      </c>
      <c r="J2236" s="555">
        <v>2</v>
      </c>
      <c r="K2236" s="527">
        <f t="shared" si="1282"/>
        <v>0.12760759255779</v>
      </c>
      <c r="L2236" s="528">
        <f t="shared" si="1283"/>
        <v>1.72758468335788</v>
      </c>
      <c r="M2236" s="528">
        <f t="shared" si="1284"/>
        <v>220.452922383011</v>
      </c>
      <c r="N2236" s="528">
        <f t="shared" si="1285"/>
        <v>19.3396588322549</v>
      </c>
      <c r="O2236" s="528">
        <f t="shared" si="1286"/>
        <v>0.00441826215022091</v>
      </c>
      <c r="P2236" s="529">
        <f t="shared" si="1287"/>
        <v>69.0017647058824</v>
      </c>
      <c r="Q2236" s="24">
        <f t="shared" si="1288"/>
        <v>17</v>
      </c>
      <c r="R2236" s="530">
        <f t="shared" si="1289"/>
        <v>0.0250368188512518</v>
      </c>
    </row>
    <row r="2237" spans="1:18">
      <c r="A2237" s="524"/>
      <c r="B2237" s="540" t="s">
        <v>100</v>
      </c>
      <c r="C2237" s="552">
        <v>0</v>
      </c>
      <c r="D2237" s="553">
        <v>0</v>
      </c>
      <c r="E2237" s="553">
        <v>0</v>
      </c>
      <c r="F2237" s="551">
        <v>0</v>
      </c>
      <c r="G2237" s="551">
        <v>0</v>
      </c>
      <c r="H2237" s="551">
        <v>0</v>
      </c>
      <c r="I2237" s="551">
        <v>0</v>
      </c>
      <c r="J2237" s="551">
        <v>0</v>
      </c>
      <c r="K2237" s="527">
        <f t="shared" si="1282"/>
        <v>0</v>
      </c>
      <c r="L2237" s="528">
        <f t="shared" si="1283"/>
        <v>0</v>
      </c>
      <c r="M2237" s="528">
        <f t="shared" si="1284"/>
        <v>0</v>
      </c>
      <c r="N2237" s="528">
        <f t="shared" si="1285"/>
        <v>0</v>
      </c>
      <c r="O2237" s="528">
        <f t="shared" si="1286"/>
        <v>0</v>
      </c>
      <c r="P2237" s="529">
        <f t="shared" si="1287"/>
        <v>0</v>
      </c>
      <c r="Q2237" s="24">
        <f t="shared" si="1288"/>
        <v>0</v>
      </c>
      <c r="R2237" s="530">
        <f t="shared" si="1289"/>
        <v>0</v>
      </c>
    </row>
    <row r="2238" spans="1:18">
      <c r="A2238" s="524"/>
      <c r="B2238" s="540" t="s">
        <v>101</v>
      </c>
      <c r="C2238" s="552">
        <v>0</v>
      </c>
      <c r="D2238" s="553">
        <v>0</v>
      </c>
      <c r="E2238" s="551">
        <v>0</v>
      </c>
      <c r="F2238" s="551">
        <v>0</v>
      </c>
      <c r="G2238" s="551">
        <v>0</v>
      </c>
      <c r="H2238" s="551">
        <v>0</v>
      </c>
      <c r="I2238" s="551">
        <v>0</v>
      </c>
      <c r="J2238" s="551">
        <v>0</v>
      </c>
      <c r="K2238" s="527">
        <f t="shared" si="1282"/>
        <v>0</v>
      </c>
      <c r="L2238" s="528">
        <f t="shared" si="1283"/>
        <v>0</v>
      </c>
      <c r="M2238" s="528">
        <f t="shared" si="1284"/>
        <v>0</v>
      </c>
      <c r="N2238" s="528">
        <f t="shared" si="1285"/>
        <v>0</v>
      </c>
      <c r="O2238" s="528">
        <f t="shared" si="1286"/>
        <v>0</v>
      </c>
      <c r="P2238" s="529">
        <f t="shared" si="1287"/>
        <v>0</v>
      </c>
      <c r="Q2238" s="24">
        <f t="shared" si="1288"/>
        <v>0</v>
      </c>
      <c r="R2238" s="530">
        <f t="shared" si="1289"/>
        <v>0</v>
      </c>
    </row>
    <row r="2239" spans="1:18">
      <c r="A2239" s="524"/>
      <c r="B2239" s="531" t="s">
        <v>96</v>
      </c>
      <c r="C2239" s="533">
        <f t="shared" ref="C2239:J2239" si="1299">SUM(C2235:C2238)</f>
        <v>2172.7</v>
      </c>
      <c r="D2239" s="533">
        <f t="shared" si="1299"/>
        <v>33148</v>
      </c>
      <c r="E2239" s="533">
        <f t="shared" si="1299"/>
        <v>1730</v>
      </c>
      <c r="F2239" s="533">
        <f t="shared" si="1299"/>
        <v>5</v>
      </c>
      <c r="G2239" s="533">
        <f t="shared" si="1299"/>
        <v>40470</v>
      </c>
      <c r="H2239" s="533">
        <f t="shared" si="1299"/>
        <v>63</v>
      </c>
      <c r="I2239" s="533">
        <f t="shared" si="1299"/>
        <v>5</v>
      </c>
      <c r="J2239" s="533">
        <f t="shared" si="1299"/>
        <v>8</v>
      </c>
      <c r="K2239" s="534">
        <f t="shared" si="1282"/>
        <v>0.0521901773862676</v>
      </c>
      <c r="L2239" s="535">
        <f t="shared" si="1283"/>
        <v>1.25589595375723</v>
      </c>
      <c r="M2239" s="535">
        <f t="shared" si="1284"/>
        <v>65.5454326052854</v>
      </c>
      <c r="N2239" s="535">
        <f t="shared" si="1285"/>
        <v>18.6265936392507</v>
      </c>
      <c r="O2239" s="535">
        <f t="shared" si="1286"/>
        <v>0.00289017341040462</v>
      </c>
      <c r="P2239" s="536">
        <f t="shared" si="1287"/>
        <v>31.9514705882353</v>
      </c>
      <c r="Q2239" s="531">
        <f t="shared" si="1288"/>
        <v>68</v>
      </c>
      <c r="R2239" s="537">
        <f t="shared" si="1289"/>
        <v>0.0393063583815029</v>
      </c>
    </row>
    <row r="2240" spans="1:18">
      <c r="A2240" s="524">
        <v>45898</v>
      </c>
      <c r="B2240" s="540" t="s">
        <v>98</v>
      </c>
      <c r="C2240" s="551">
        <v>1000</v>
      </c>
      <c r="D2240" s="553">
        <v>27886</v>
      </c>
      <c r="E2240" s="551">
        <v>1111</v>
      </c>
      <c r="F2240" s="551">
        <v>3</v>
      </c>
      <c r="G2240" s="551">
        <v>33511</v>
      </c>
      <c r="H2240" s="551">
        <v>41</v>
      </c>
      <c r="I2240" s="551">
        <v>8</v>
      </c>
      <c r="J2240" s="551">
        <v>3</v>
      </c>
      <c r="K2240" s="527">
        <f t="shared" si="1282"/>
        <v>0.0398407803198738</v>
      </c>
      <c r="L2240" s="528">
        <f t="shared" si="1283"/>
        <v>0.9000900090009</v>
      </c>
      <c r="M2240" s="528">
        <f t="shared" si="1284"/>
        <v>35.8602883167181</v>
      </c>
      <c r="N2240" s="528">
        <f t="shared" si="1285"/>
        <v>33.511</v>
      </c>
      <c r="O2240" s="528">
        <f t="shared" si="1286"/>
        <v>0.0027002700270027</v>
      </c>
      <c r="P2240" s="529">
        <f t="shared" si="1287"/>
        <v>20.4081632653061</v>
      </c>
      <c r="Q2240" s="24">
        <f t="shared" si="1288"/>
        <v>49</v>
      </c>
      <c r="R2240" s="530">
        <f t="shared" si="1289"/>
        <v>0.0441044104410441</v>
      </c>
    </row>
    <row r="2241" spans="1:18">
      <c r="A2241" s="524"/>
      <c r="B2241" s="540" t="s">
        <v>99</v>
      </c>
      <c r="C2241" s="551">
        <v>1277.44</v>
      </c>
      <c r="D2241" s="555">
        <v>11808</v>
      </c>
      <c r="E2241" s="551">
        <v>628</v>
      </c>
      <c r="F2241" s="551">
        <v>1</v>
      </c>
      <c r="G2241" s="551">
        <v>11442</v>
      </c>
      <c r="H2241" s="555">
        <v>16</v>
      </c>
      <c r="I2241" s="555">
        <v>1</v>
      </c>
      <c r="J2241" s="555">
        <v>4</v>
      </c>
      <c r="K2241" s="527">
        <f t="shared" si="1282"/>
        <v>0.0531842818428184</v>
      </c>
      <c r="L2241" s="528">
        <f t="shared" si="1283"/>
        <v>2.03414012738853</v>
      </c>
      <c r="M2241" s="528">
        <f t="shared" si="1284"/>
        <v>108.184281842818</v>
      </c>
      <c r="N2241" s="528">
        <f t="shared" si="1285"/>
        <v>8.95697645290581</v>
      </c>
      <c r="O2241" s="528">
        <f t="shared" si="1286"/>
        <v>0.00159235668789809</v>
      </c>
      <c r="P2241" s="529">
        <f t="shared" si="1287"/>
        <v>75.1435294117647</v>
      </c>
      <c r="Q2241" s="24">
        <f t="shared" si="1288"/>
        <v>17</v>
      </c>
      <c r="R2241" s="530">
        <f t="shared" si="1289"/>
        <v>0.0270700636942675</v>
      </c>
    </row>
    <row r="2242" spans="1:18">
      <c r="A2242" s="524"/>
      <c r="B2242" s="540" t="s">
        <v>100</v>
      </c>
      <c r="C2242" s="552">
        <v>0</v>
      </c>
      <c r="D2242" s="553">
        <v>0</v>
      </c>
      <c r="E2242" s="553">
        <v>0</v>
      </c>
      <c r="F2242" s="551">
        <v>0</v>
      </c>
      <c r="G2242" s="551">
        <v>0</v>
      </c>
      <c r="H2242" s="551">
        <v>0</v>
      </c>
      <c r="I2242" s="551">
        <v>0</v>
      </c>
      <c r="J2242" s="551">
        <v>0</v>
      </c>
      <c r="K2242" s="527">
        <f t="shared" si="1282"/>
        <v>0</v>
      </c>
      <c r="L2242" s="528">
        <f t="shared" si="1283"/>
        <v>0</v>
      </c>
      <c r="M2242" s="528">
        <f t="shared" si="1284"/>
        <v>0</v>
      </c>
      <c r="N2242" s="528">
        <f t="shared" si="1285"/>
        <v>0</v>
      </c>
      <c r="O2242" s="528">
        <f t="shared" si="1286"/>
        <v>0</v>
      </c>
      <c r="P2242" s="529">
        <f t="shared" si="1287"/>
        <v>0</v>
      </c>
      <c r="Q2242" s="24">
        <f t="shared" si="1288"/>
        <v>0</v>
      </c>
      <c r="R2242" s="530">
        <f t="shared" si="1289"/>
        <v>0</v>
      </c>
    </row>
    <row r="2243" spans="1:18">
      <c r="A2243" s="524"/>
      <c r="B2243" s="540" t="s">
        <v>101</v>
      </c>
      <c r="C2243" s="552">
        <v>0</v>
      </c>
      <c r="D2243" s="553">
        <v>0</v>
      </c>
      <c r="E2243" s="551">
        <v>0</v>
      </c>
      <c r="F2243" s="551">
        <v>0</v>
      </c>
      <c r="G2243" s="551">
        <v>0</v>
      </c>
      <c r="H2243" s="551">
        <v>0</v>
      </c>
      <c r="I2243" s="551">
        <v>0</v>
      </c>
      <c r="J2243" s="551">
        <v>0</v>
      </c>
      <c r="K2243" s="527">
        <f t="shared" si="1282"/>
        <v>0</v>
      </c>
      <c r="L2243" s="528">
        <f t="shared" si="1283"/>
        <v>0</v>
      </c>
      <c r="M2243" s="528">
        <f t="shared" si="1284"/>
        <v>0</v>
      </c>
      <c r="N2243" s="528">
        <f t="shared" si="1285"/>
        <v>0</v>
      </c>
      <c r="O2243" s="528">
        <f t="shared" si="1286"/>
        <v>0</v>
      </c>
      <c r="P2243" s="529">
        <f t="shared" si="1287"/>
        <v>0</v>
      </c>
      <c r="Q2243" s="24">
        <f t="shared" si="1288"/>
        <v>0</v>
      </c>
      <c r="R2243" s="530">
        <f t="shared" si="1289"/>
        <v>0</v>
      </c>
    </row>
    <row r="2244" spans="1:18">
      <c r="A2244" s="524"/>
      <c r="B2244" s="531" t="s">
        <v>96</v>
      </c>
      <c r="C2244" s="533">
        <f t="shared" ref="C2244:J2244" si="1300">SUM(C2240:C2243)</f>
        <v>2277.44</v>
      </c>
      <c r="D2244" s="533">
        <f t="shared" si="1300"/>
        <v>39694</v>
      </c>
      <c r="E2244" s="533">
        <f t="shared" si="1300"/>
        <v>1739</v>
      </c>
      <c r="F2244" s="533">
        <f t="shared" si="1300"/>
        <v>4</v>
      </c>
      <c r="G2244" s="533">
        <f t="shared" si="1300"/>
        <v>44953</v>
      </c>
      <c r="H2244" s="533">
        <f t="shared" si="1300"/>
        <v>57</v>
      </c>
      <c r="I2244" s="533">
        <f t="shared" si="1300"/>
        <v>9</v>
      </c>
      <c r="J2244" s="533">
        <f t="shared" si="1300"/>
        <v>7</v>
      </c>
      <c r="K2244" s="534">
        <f t="shared" si="1282"/>
        <v>0.0438101476293646</v>
      </c>
      <c r="L2244" s="535">
        <f t="shared" si="1283"/>
        <v>1.30962622196665</v>
      </c>
      <c r="M2244" s="535">
        <f t="shared" si="1284"/>
        <v>57.3749181236459</v>
      </c>
      <c r="N2244" s="535">
        <f t="shared" si="1285"/>
        <v>19.7383904735141</v>
      </c>
      <c r="O2244" s="535">
        <f t="shared" si="1286"/>
        <v>0.00230017251293847</v>
      </c>
      <c r="P2244" s="536">
        <f t="shared" si="1287"/>
        <v>34.5066666666667</v>
      </c>
      <c r="Q2244" s="531">
        <f t="shared" si="1288"/>
        <v>66</v>
      </c>
      <c r="R2244" s="537">
        <f t="shared" si="1289"/>
        <v>0.0379528464634848</v>
      </c>
    </row>
    <row r="2245" spans="1:18">
      <c r="A2245" s="524">
        <v>45899</v>
      </c>
      <c r="B2245" s="540" t="s">
        <v>98</v>
      </c>
      <c r="C2245" s="551">
        <v>999.74</v>
      </c>
      <c r="D2245" s="553">
        <v>28742</v>
      </c>
      <c r="E2245" s="551">
        <v>1102</v>
      </c>
      <c r="F2245" s="551">
        <v>1</v>
      </c>
      <c r="G2245" s="551">
        <v>9492</v>
      </c>
      <c r="H2245" s="551">
        <v>37</v>
      </c>
      <c r="I2245" s="551">
        <v>12</v>
      </c>
      <c r="J2245" s="551">
        <v>2</v>
      </c>
      <c r="K2245" s="527">
        <f t="shared" si="1282"/>
        <v>0.0383411036114397</v>
      </c>
      <c r="L2245" s="528">
        <f t="shared" si="1283"/>
        <v>0.907205081669691</v>
      </c>
      <c r="M2245" s="528">
        <f t="shared" si="1284"/>
        <v>34.7832440331223</v>
      </c>
      <c r="N2245" s="528">
        <f t="shared" si="1285"/>
        <v>9.49446856182607</v>
      </c>
      <c r="O2245" s="528">
        <f t="shared" si="1286"/>
        <v>0.000907441016333938</v>
      </c>
      <c r="P2245" s="529">
        <f t="shared" si="1287"/>
        <v>20.4028571428571</v>
      </c>
      <c r="Q2245" s="24">
        <f t="shared" si="1288"/>
        <v>49</v>
      </c>
      <c r="R2245" s="530">
        <f t="shared" si="1289"/>
        <v>0.044464609800363</v>
      </c>
    </row>
    <row r="2246" spans="1:18">
      <c r="A2246" s="524"/>
      <c r="B2246" s="540" t="s">
        <v>99</v>
      </c>
      <c r="C2246" s="551">
        <v>765.51</v>
      </c>
      <c r="D2246" s="555">
        <v>5015</v>
      </c>
      <c r="E2246" s="551">
        <v>282</v>
      </c>
      <c r="F2246" s="551">
        <v>2</v>
      </c>
      <c r="G2246" s="551">
        <v>31108</v>
      </c>
      <c r="H2246" s="555">
        <v>16</v>
      </c>
      <c r="I2246" s="555">
        <v>1</v>
      </c>
      <c r="J2246" s="555">
        <v>4</v>
      </c>
      <c r="K2246" s="527">
        <f t="shared" si="1282"/>
        <v>0.0562313060817547</v>
      </c>
      <c r="L2246" s="528">
        <f t="shared" si="1283"/>
        <v>2.71457446808511</v>
      </c>
      <c r="M2246" s="528">
        <f t="shared" si="1284"/>
        <v>152.64406779661</v>
      </c>
      <c r="N2246" s="528">
        <f t="shared" si="1285"/>
        <v>40.6369609802615</v>
      </c>
      <c r="O2246" s="528">
        <f t="shared" si="1286"/>
        <v>0.00709219858156028</v>
      </c>
      <c r="P2246" s="529">
        <f t="shared" si="1287"/>
        <v>45.03</v>
      </c>
      <c r="Q2246" s="24">
        <f t="shared" si="1288"/>
        <v>17</v>
      </c>
      <c r="R2246" s="530">
        <f t="shared" si="1289"/>
        <v>0.0602836879432624</v>
      </c>
    </row>
    <row r="2247" spans="1:18">
      <c r="A2247" s="524"/>
      <c r="B2247" s="540" t="s">
        <v>100</v>
      </c>
      <c r="C2247" s="552">
        <v>0</v>
      </c>
      <c r="D2247" s="553">
        <v>0</v>
      </c>
      <c r="E2247" s="553">
        <v>0</v>
      </c>
      <c r="F2247" s="551">
        <v>0</v>
      </c>
      <c r="G2247" s="551">
        <v>0</v>
      </c>
      <c r="H2247" s="551">
        <v>0</v>
      </c>
      <c r="I2247" s="551">
        <v>0</v>
      </c>
      <c r="J2247" s="551">
        <v>0</v>
      </c>
      <c r="K2247" s="527">
        <f t="shared" si="1282"/>
        <v>0</v>
      </c>
      <c r="L2247" s="528">
        <f t="shared" si="1283"/>
        <v>0</v>
      </c>
      <c r="M2247" s="528">
        <f t="shared" si="1284"/>
        <v>0</v>
      </c>
      <c r="N2247" s="528">
        <f t="shared" si="1285"/>
        <v>0</v>
      </c>
      <c r="O2247" s="528">
        <f t="shared" si="1286"/>
        <v>0</v>
      </c>
      <c r="P2247" s="529">
        <f t="shared" si="1287"/>
        <v>0</v>
      </c>
      <c r="Q2247" s="24">
        <f t="shared" si="1288"/>
        <v>0</v>
      </c>
      <c r="R2247" s="530">
        <f t="shared" si="1289"/>
        <v>0</v>
      </c>
    </row>
    <row r="2248" spans="1:18">
      <c r="A2248" s="524"/>
      <c r="B2248" s="540" t="s">
        <v>101</v>
      </c>
      <c r="C2248" s="552">
        <v>0</v>
      </c>
      <c r="D2248" s="553">
        <v>0</v>
      </c>
      <c r="E2248" s="551">
        <v>0</v>
      </c>
      <c r="F2248" s="551">
        <v>0</v>
      </c>
      <c r="G2248" s="551">
        <v>0</v>
      </c>
      <c r="H2248" s="551">
        <v>0</v>
      </c>
      <c r="I2248" s="551">
        <v>0</v>
      </c>
      <c r="J2248" s="551">
        <v>0</v>
      </c>
      <c r="K2248" s="527">
        <f t="shared" si="1282"/>
        <v>0</v>
      </c>
      <c r="L2248" s="528">
        <f t="shared" si="1283"/>
        <v>0</v>
      </c>
      <c r="M2248" s="528">
        <f t="shared" si="1284"/>
        <v>0</v>
      </c>
      <c r="N2248" s="528">
        <f t="shared" si="1285"/>
        <v>0</v>
      </c>
      <c r="O2248" s="528">
        <f t="shared" si="1286"/>
        <v>0</v>
      </c>
      <c r="P2248" s="529">
        <f t="shared" si="1287"/>
        <v>0</v>
      </c>
      <c r="Q2248" s="24">
        <f t="shared" si="1288"/>
        <v>0</v>
      </c>
      <c r="R2248" s="530">
        <f t="shared" si="1289"/>
        <v>0</v>
      </c>
    </row>
    <row r="2249" spans="1:18">
      <c r="A2249" s="524"/>
      <c r="B2249" s="531" t="s">
        <v>96</v>
      </c>
      <c r="C2249" s="533">
        <f t="shared" ref="C2249:J2249" si="1301">SUM(C2245:C2248)</f>
        <v>1765.25</v>
      </c>
      <c r="D2249" s="533">
        <f t="shared" si="1301"/>
        <v>33757</v>
      </c>
      <c r="E2249" s="533">
        <f t="shared" si="1301"/>
        <v>1384</v>
      </c>
      <c r="F2249" s="533">
        <f t="shared" si="1301"/>
        <v>3</v>
      </c>
      <c r="G2249" s="533">
        <f t="shared" si="1301"/>
        <v>40600</v>
      </c>
      <c r="H2249" s="533">
        <f t="shared" si="1301"/>
        <v>53</v>
      </c>
      <c r="I2249" s="533">
        <f t="shared" si="1301"/>
        <v>13</v>
      </c>
      <c r="J2249" s="533">
        <f t="shared" si="1301"/>
        <v>6</v>
      </c>
      <c r="K2249" s="534">
        <f t="shared" si="1282"/>
        <v>0.0409989039310365</v>
      </c>
      <c r="L2249" s="535">
        <f t="shared" si="1283"/>
        <v>1.27546965317919</v>
      </c>
      <c r="M2249" s="535">
        <f t="shared" si="1284"/>
        <v>52.2928577776461</v>
      </c>
      <c r="N2249" s="535">
        <f t="shared" si="1285"/>
        <v>22.9995751310013</v>
      </c>
      <c r="O2249" s="535">
        <f t="shared" si="1286"/>
        <v>0.00216763005780347</v>
      </c>
      <c r="P2249" s="536">
        <f t="shared" si="1287"/>
        <v>26.7462121212121</v>
      </c>
      <c r="Q2249" s="531">
        <f t="shared" si="1288"/>
        <v>66</v>
      </c>
      <c r="R2249" s="537">
        <f t="shared" si="1289"/>
        <v>0.0476878612716763</v>
      </c>
    </row>
    <row r="2250" spans="1:18">
      <c r="A2250" s="524">
        <v>45900</v>
      </c>
      <c r="B2250" s="540" t="s">
        <v>98</v>
      </c>
      <c r="C2250" s="551">
        <v>995.54</v>
      </c>
      <c r="D2250" s="553">
        <v>26586</v>
      </c>
      <c r="E2250" s="551">
        <v>1115</v>
      </c>
      <c r="F2250" s="551">
        <v>3</v>
      </c>
      <c r="G2250" s="551">
        <v>48500</v>
      </c>
      <c r="H2250" s="551">
        <v>35</v>
      </c>
      <c r="I2250" s="551">
        <v>15</v>
      </c>
      <c r="J2250" s="551">
        <v>5</v>
      </c>
      <c r="K2250" s="527">
        <f t="shared" si="1282"/>
        <v>0.0419393665839163</v>
      </c>
      <c r="L2250" s="528">
        <f t="shared" si="1283"/>
        <v>0.892860986547085</v>
      </c>
      <c r="M2250" s="528">
        <f t="shared" si="1284"/>
        <v>37.4460242232754</v>
      </c>
      <c r="N2250" s="528">
        <f t="shared" si="1285"/>
        <v>48.7172790646282</v>
      </c>
      <c r="O2250" s="528">
        <f t="shared" si="1286"/>
        <v>0.00269058295964126</v>
      </c>
      <c r="P2250" s="529">
        <f t="shared" si="1287"/>
        <v>19.9108</v>
      </c>
      <c r="Q2250" s="24">
        <f t="shared" si="1288"/>
        <v>50</v>
      </c>
      <c r="R2250" s="530">
        <f t="shared" si="1289"/>
        <v>0.0448430493273543</v>
      </c>
    </row>
    <row r="2251" spans="1:18">
      <c r="A2251" s="524"/>
      <c r="B2251" s="540" t="s">
        <v>99</v>
      </c>
      <c r="C2251" s="551">
        <v>1313.29</v>
      </c>
      <c r="D2251" s="555">
        <v>8090</v>
      </c>
      <c r="E2251" s="551">
        <v>693</v>
      </c>
      <c r="F2251" s="551">
        <v>2</v>
      </c>
      <c r="G2251" s="551">
        <v>25219</v>
      </c>
      <c r="H2251" s="555">
        <v>16</v>
      </c>
      <c r="I2251" s="555">
        <v>2</v>
      </c>
      <c r="J2251" s="555">
        <v>4</v>
      </c>
      <c r="K2251" s="527">
        <f t="shared" si="1282"/>
        <v>0.0856613102595797</v>
      </c>
      <c r="L2251" s="528">
        <f t="shared" si="1283"/>
        <v>1.89507936507936</v>
      </c>
      <c r="M2251" s="528">
        <f t="shared" si="1284"/>
        <v>162.334981458591</v>
      </c>
      <c r="N2251" s="528">
        <f t="shared" si="1285"/>
        <v>19.2029178627721</v>
      </c>
      <c r="O2251" s="528">
        <f t="shared" si="1286"/>
        <v>0.00288600288600289</v>
      </c>
      <c r="P2251" s="529">
        <f t="shared" si="1287"/>
        <v>72.9605555555556</v>
      </c>
      <c r="Q2251" s="24">
        <f t="shared" si="1288"/>
        <v>18</v>
      </c>
      <c r="R2251" s="530">
        <f t="shared" si="1289"/>
        <v>0.025974025974026</v>
      </c>
    </row>
    <row r="2252" spans="1:18">
      <c r="A2252" s="524"/>
      <c r="B2252" s="540" t="s">
        <v>100</v>
      </c>
      <c r="C2252" s="552">
        <v>0</v>
      </c>
      <c r="D2252" s="553">
        <v>0</v>
      </c>
      <c r="E2252" s="553">
        <v>0</v>
      </c>
      <c r="F2252" s="551">
        <v>0</v>
      </c>
      <c r="G2252" s="551">
        <v>0</v>
      </c>
      <c r="H2252" s="551">
        <v>0</v>
      </c>
      <c r="I2252" s="551">
        <v>0</v>
      </c>
      <c r="J2252" s="551">
        <v>0</v>
      </c>
      <c r="K2252" s="527">
        <f t="shared" si="1282"/>
        <v>0</v>
      </c>
      <c r="L2252" s="528">
        <f t="shared" si="1283"/>
        <v>0</v>
      </c>
      <c r="M2252" s="528">
        <f t="shared" si="1284"/>
        <v>0</v>
      </c>
      <c r="N2252" s="528">
        <f t="shared" si="1285"/>
        <v>0</v>
      </c>
      <c r="O2252" s="528">
        <f t="shared" si="1286"/>
        <v>0</v>
      </c>
      <c r="P2252" s="529">
        <f t="shared" si="1287"/>
        <v>0</v>
      </c>
      <c r="Q2252" s="24">
        <f t="shared" si="1288"/>
        <v>0</v>
      </c>
      <c r="R2252" s="530">
        <f t="shared" si="1289"/>
        <v>0</v>
      </c>
    </row>
    <row r="2253" spans="1:18">
      <c r="A2253" s="524"/>
      <c r="B2253" s="540" t="s">
        <v>101</v>
      </c>
      <c r="C2253" s="552">
        <v>0</v>
      </c>
      <c r="D2253" s="553">
        <v>0</v>
      </c>
      <c r="E2253" s="551">
        <v>0</v>
      </c>
      <c r="F2253" s="551">
        <v>0</v>
      </c>
      <c r="G2253" s="551">
        <v>0</v>
      </c>
      <c r="H2253" s="551">
        <v>0</v>
      </c>
      <c r="I2253" s="551">
        <v>0</v>
      </c>
      <c r="J2253" s="551">
        <v>0</v>
      </c>
      <c r="K2253" s="527">
        <f t="shared" si="1282"/>
        <v>0</v>
      </c>
      <c r="L2253" s="528">
        <f t="shared" si="1283"/>
        <v>0</v>
      </c>
      <c r="M2253" s="528">
        <f t="shared" si="1284"/>
        <v>0</v>
      </c>
      <c r="N2253" s="528">
        <f t="shared" si="1285"/>
        <v>0</v>
      </c>
      <c r="O2253" s="528">
        <f t="shared" si="1286"/>
        <v>0</v>
      </c>
      <c r="P2253" s="529">
        <f t="shared" si="1287"/>
        <v>0</v>
      </c>
      <c r="Q2253" s="24">
        <f t="shared" si="1288"/>
        <v>0</v>
      </c>
      <c r="R2253" s="530">
        <f t="shared" si="1289"/>
        <v>0</v>
      </c>
    </row>
    <row r="2254" spans="1:18">
      <c r="A2254" s="524"/>
      <c r="B2254" s="531" t="s">
        <v>96</v>
      </c>
      <c r="C2254" s="533">
        <f t="shared" ref="C2254:J2254" si="1302">SUM(C2250:C2253)</f>
        <v>2308.83</v>
      </c>
      <c r="D2254" s="533">
        <f t="shared" si="1302"/>
        <v>34676</v>
      </c>
      <c r="E2254" s="533">
        <f t="shared" si="1302"/>
        <v>1808</v>
      </c>
      <c r="F2254" s="533">
        <f t="shared" si="1302"/>
        <v>5</v>
      </c>
      <c r="G2254" s="533">
        <f t="shared" si="1302"/>
        <v>73719</v>
      </c>
      <c r="H2254" s="533">
        <f t="shared" si="1302"/>
        <v>51</v>
      </c>
      <c r="I2254" s="533">
        <f t="shared" si="1302"/>
        <v>17</v>
      </c>
      <c r="J2254" s="533">
        <f t="shared" si="1302"/>
        <v>9</v>
      </c>
      <c r="K2254" s="534">
        <f t="shared" si="1282"/>
        <v>0.0521398085130926</v>
      </c>
      <c r="L2254" s="535">
        <f t="shared" si="1283"/>
        <v>1.27700774336283</v>
      </c>
      <c r="M2254" s="535">
        <f t="shared" si="1284"/>
        <v>66.5829392086746</v>
      </c>
      <c r="N2254" s="535">
        <f t="shared" si="1285"/>
        <v>31.9291589246501</v>
      </c>
      <c r="O2254" s="535">
        <f t="shared" si="1286"/>
        <v>0.00276548672566372</v>
      </c>
      <c r="P2254" s="536">
        <f t="shared" si="1287"/>
        <v>33.9533823529412</v>
      </c>
      <c r="Q2254" s="531">
        <f t="shared" si="1288"/>
        <v>68</v>
      </c>
      <c r="R2254" s="537">
        <f t="shared" si="1289"/>
        <v>0.0376106194690266</v>
      </c>
    </row>
    <row r="2255" spans="1:18">
      <c r="A2255" s="524">
        <v>45901</v>
      </c>
      <c r="B2255" s="540" t="s">
        <v>98</v>
      </c>
      <c r="C2255" s="551">
        <v>999.04</v>
      </c>
      <c r="D2255" s="553">
        <v>26513</v>
      </c>
      <c r="E2255" s="551">
        <v>1045</v>
      </c>
      <c r="F2255" s="551">
        <v>1</v>
      </c>
      <c r="G2255" s="551">
        <v>160</v>
      </c>
      <c r="H2255" s="551">
        <v>40</v>
      </c>
      <c r="I2255" s="551">
        <v>7</v>
      </c>
      <c r="J2255" s="551">
        <v>1</v>
      </c>
      <c r="K2255" s="527">
        <f t="shared" si="1282"/>
        <v>0.0394146267868593</v>
      </c>
      <c r="L2255" s="528">
        <f t="shared" si="1283"/>
        <v>0.956019138755981</v>
      </c>
      <c r="M2255" s="528">
        <f t="shared" si="1284"/>
        <v>37.6811375551616</v>
      </c>
      <c r="N2255" s="528">
        <f t="shared" si="1285"/>
        <v>0.160153747597694</v>
      </c>
      <c r="O2255" s="528">
        <f t="shared" si="1286"/>
        <v>0.000956937799043062</v>
      </c>
      <c r="P2255" s="529">
        <f t="shared" si="1287"/>
        <v>21.256170212766</v>
      </c>
      <c r="Q2255" s="24">
        <f t="shared" si="1288"/>
        <v>47</v>
      </c>
      <c r="R2255" s="530">
        <f t="shared" si="1289"/>
        <v>0.0449760765550239</v>
      </c>
    </row>
    <row r="2256" spans="1:18">
      <c r="A2256" s="524"/>
      <c r="B2256" s="540" t="s">
        <v>99</v>
      </c>
      <c r="C2256" s="551">
        <v>1502.43</v>
      </c>
      <c r="D2256" s="555">
        <v>13200</v>
      </c>
      <c r="E2256" s="551">
        <v>845</v>
      </c>
      <c r="F2256" s="551">
        <v>3</v>
      </c>
      <c r="G2256" s="551">
        <v>35633</v>
      </c>
      <c r="H2256" s="555">
        <v>29</v>
      </c>
      <c r="I2256" s="555">
        <v>2</v>
      </c>
      <c r="J2256" s="555">
        <v>5</v>
      </c>
      <c r="K2256" s="527">
        <f t="shared" si="1282"/>
        <v>0.0640151515151515</v>
      </c>
      <c r="L2256" s="528">
        <f t="shared" si="1283"/>
        <v>1.77802366863905</v>
      </c>
      <c r="M2256" s="528">
        <f t="shared" si="1284"/>
        <v>113.820454545455</v>
      </c>
      <c r="N2256" s="528">
        <f t="shared" si="1285"/>
        <v>23.716911935997</v>
      </c>
      <c r="O2256" s="528">
        <f t="shared" si="1286"/>
        <v>0.00355029585798817</v>
      </c>
      <c r="P2256" s="529">
        <f t="shared" si="1287"/>
        <v>48.4654838709677</v>
      </c>
      <c r="Q2256" s="24">
        <f t="shared" si="1288"/>
        <v>31</v>
      </c>
      <c r="R2256" s="530">
        <f t="shared" si="1289"/>
        <v>0.0366863905325444</v>
      </c>
    </row>
    <row r="2257" spans="1:18">
      <c r="A2257" s="524"/>
      <c r="B2257" s="540" t="s">
        <v>100</v>
      </c>
      <c r="C2257" s="552">
        <v>0</v>
      </c>
      <c r="D2257" s="553">
        <v>0</v>
      </c>
      <c r="E2257" s="553">
        <v>0</v>
      </c>
      <c r="F2257" s="551">
        <v>0</v>
      </c>
      <c r="G2257" s="551">
        <v>0</v>
      </c>
      <c r="H2257" s="551">
        <v>0</v>
      </c>
      <c r="I2257" s="551">
        <v>0</v>
      </c>
      <c r="J2257" s="551">
        <v>0</v>
      </c>
      <c r="K2257" s="527">
        <f t="shared" ref="K2257:K2320" si="1303">IF(E2257=0,0,E2257/D2257)</f>
        <v>0</v>
      </c>
      <c r="L2257" s="528">
        <f t="shared" ref="L2257:L2320" si="1304">IF(C2257=0,0,C2257/E2257)</f>
        <v>0</v>
      </c>
      <c r="M2257" s="528">
        <f t="shared" ref="M2257:M2320" si="1305">IF(D2257=0,0,C2257/D2257*1000)</f>
        <v>0</v>
      </c>
      <c r="N2257" s="528">
        <f t="shared" ref="N2257:N2320" si="1306">IF(G2257=0,0,G2257/C2257)</f>
        <v>0</v>
      </c>
      <c r="O2257" s="528">
        <f t="shared" ref="O2257:O2320" si="1307">IF(F2257=0,0,F2257/E2257)</f>
        <v>0</v>
      </c>
      <c r="P2257" s="529">
        <f t="shared" ref="P2257:P2320" si="1308">IF(H2257+I2257=0,0,C2257/(H2257+I2257))</f>
        <v>0</v>
      </c>
      <c r="Q2257" s="24">
        <f t="shared" ref="Q2257:Q2320" si="1309">H2257+I2257</f>
        <v>0</v>
      </c>
      <c r="R2257" s="530">
        <f t="shared" ref="R2257:R2320" si="1310">IF(Q2257=0,0,Q2257/E2257)</f>
        <v>0</v>
      </c>
    </row>
    <row r="2258" spans="1:18">
      <c r="A2258" s="524"/>
      <c r="B2258" s="540" t="s">
        <v>101</v>
      </c>
      <c r="C2258" s="552">
        <v>0</v>
      </c>
      <c r="D2258" s="553">
        <v>0</v>
      </c>
      <c r="E2258" s="551">
        <v>0</v>
      </c>
      <c r="F2258" s="551">
        <v>0</v>
      </c>
      <c r="G2258" s="551">
        <v>0</v>
      </c>
      <c r="H2258" s="551">
        <v>0</v>
      </c>
      <c r="I2258" s="551">
        <v>0</v>
      </c>
      <c r="J2258" s="551">
        <v>0</v>
      </c>
      <c r="K2258" s="527">
        <f t="shared" si="1303"/>
        <v>0</v>
      </c>
      <c r="L2258" s="528">
        <f t="shared" si="1304"/>
        <v>0</v>
      </c>
      <c r="M2258" s="528">
        <f t="shared" si="1305"/>
        <v>0</v>
      </c>
      <c r="N2258" s="528">
        <f t="shared" si="1306"/>
        <v>0</v>
      </c>
      <c r="O2258" s="528">
        <f t="shared" si="1307"/>
        <v>0</v>
      </c>
      <c r="P2258" s="529">
        <f t="shared" si="1308"/>
        <v>0</v>
      </c>
      <c r="Q2258" s="24">
        <f t="shared" si="1309"/>
        <v>0</v>
      </c>
      <c r="R2258" s="530">
        <f t="shared" si="1310"/>
        <v>0</v>
      </c>
    </row>
    <row r="2259" spans="1:18">
      <c r="A2259" s="524"/>
      <c r="B2259" s="531" t="s">
        <v>96</v>
      </c>
      <c r="C2259" s="533">
        <f t="shared" ref="C2259:J2259" si="1311">SUM(C2255:C2258)</f>
        <v>2501.47</v>
      </c>
      <c r="D2259" s="533">
        <f t="shared" si="1311"/>
        <v>39713</v>
      </c>
      <c r="E2259" s="533">
        <f t="shared" si="1311"/>
        <v>1890</v>
      </c>
      <c r="F2259" s="533">
        <f t="shared" si="1311"/>
        <v>4</v>
      </c>
      <c r="G2259" s="533">
        <f t="shared" si="1311"/>
        <v>35793</v>
      </c>
      <c r="H2259" s="533">
        <f t="shared" si="1311"/>
        <v>69</v>
      </c>
      <c r="I2259" s="533">
        <f t="shared" si="1311"/>
        <v>9</v>
      </c>
      <c r="J2259" s="533">
        <f t="shared" si="1311"/>
        <v>6</v>
      </c>
      <c r="K2259" s="534">
        <f t="shared" si="1303"/>
        <v>0.0475914687885579</v>
      </c>
      <c r="L2259" s="535">
        <f t="shared" si="1304"/>
        <v>1.3235291005291</v>
      </c>
      <c r="M2259" s="535">
        <f t="shared" si="1305"/>
        <v>62.9886938785788</v>
      </c>
      <c r="N2259" s="535">
        <f t="shared" si="1306"/>
        <v>14.3087864335771</v>
      </c>
      <c r="O2259" s="535">
        <f t="shared" si="1307"/>
        <v>0.00211640211640212</v>
      </c>
      <c r="P2259" s="536">
        <f t="shared" si="1308"/>
        <v>32.0701282051282</v>
      </c>
      <c r="Q2259" s="531">
        <f t="shared" si="1309"/>
        <v>78</v>
      </c>
      <c r="R2259" s="537">
        <f t="shared" si="1310"/>
        <v>0.0412698412698413</v>
      </c>
    </row>
    <row r="2260" spans="1:18">
      <c r="A2260" s="524">
        <v>45902</v>
      </c>
      <c r="B2260" s="540" t="s">
        <v>98</v>
      </c>
      <c r="C2260" s="551">
        <v>999.2</v>
      </c>
      <c r="D2260" s="553">
        <v>31310</v>
      </c>
      <c r="E2260" s="551">
        <v>1111</v>
      </c>
      <c r="F2260" s="551">
        <v>9</v>
      </c>
      <c r="G2260" s="551">
        <v>98279</v>
      </c>
      <c r="H2260" s="551">
        <v>45</v>
      </c>
      <c r="I2260" s="551">
        <v>3</v>
      </c>
      <c r="J2260" s="551">
        <v>8</v>
      </c>
      <c r="K2260" s="527">
        <f t="shared" si="1303"/>
        <v>0.0354838709677419</v>
      </c>
      <c r="L2260" s="528">
        <f t="shared" si="1304"/>
        <v>0.899369936993699</v>
      </c>
      <c r="M2260" s="528">
        <f t="shared" si="1305"/>
        <v>31.9131267965506</v>
      </c>
      <c r="N2260" s="528">
        <f t="shared" si="1306"/>
        <v>98.3576861489191</v>
      </c>
      <c r="O2260" s="528">
        <f t="shared" si="1307"/>
        <v>0.0081008100810081</v>
      </c>
      <c r="P2260" s="529">
        <f t="shared" si="1308"/>
        <v>20.8166666666667</v>
      </c>
      <c r="Q2260" s="24">
        <f t="shared" si="1309"/>
        <v>48</v>
      </c>
      <c r="R2260" s="530">
        <f t="shared" si="1310"/>
        <v>0.0432043204320432</v>
      </c>
    </row>
    <row r="2261" spans="1:18">
      <c r="A2261" s="524"/>
      <c r="B2261" s="540" t="s">
        <v>99</v>
      </c>
      <c r="C2261" s="551">
        <v>2185.25</v>
      </c>
      <c r="D2261" s="555">
        <v>32870</v>
      </c>
      <c r="E2261" s="551">
        <v>1029</v>
      </c>
      <c r="F2261" s="551">
        <v>2</v>
      </c>
      <c r="G2261" s="551">
        <v>21724</v>
      </c>
      <c r="H2261" s="555">
        <v>33</v>
      </c>
      <c r="I2261" s="555">
        <v>3</v>
      </c>
      <c r="J2261" s="555">
        <v>3</v>
      </c>
      <c r="K2261" s="527">
        <f t="shared" si="1303"/>
        <v>0.0313051414663827</v>
      </c>
      <c r="L2261" s="528">
        <f t="shared" si="1304"/>
        <v>2.12366375121477</v>
      </c>
      <c r="M2261" s="528">
        <f t="shared" si="1305"/>
        <v>66.4815941588074</v>
      </c>
      <c r="N2261" s="528">
        <f t="shared" si="1306"/>
        <v>9.94119665942112</v>
      </c>
      <c r="O2261" s="528">
        <f t="shared" si="1307"/>
        <v>0.00194363459669582</v>
      </c>
      <c r="P2261" s="529">
        <f t="shared" si="1308"/>
        <v>60.7013888888889</v>
      </c>
      <c r="Q2261" s="24">
        <f t="shared" si="1309"/>
        <v>36</v>
      </c>
      <c r="R2261" s="530">
        <f t="shared" si="1310"/>
        <v>0.0349854227405248</v>
      </c>
    </row>
    <row r="2262" spans="1:18">
      <c r="A2262" s="524"/>
      <c r="B2262" s="540" t="s">
        <v>100</v>
      </c>
      <c r="C2262" s="552">
        <v>0</v>
      </c>
      <c r="D2262" s="553">
        <v>0</v>
      </c>
      <c r="E2262" s="553">
        <v>0</v>
      </c>
      <c r="F2262" s="551">
        <v>0</v>
      </c>
      <c r="G2262" s="551">
        <v>0</v>
      </c>
      <c r="H2262" s="551">
        <v>0</v>
      </c>
      <c r="I2262" s="551">
        <v>0</v>
      </c>
      <c r="J2262" s="551">
        <v>0</v>
      </c>
      <c r="K2262" s="527">
        <f t="shared" si="1303"/>
        <v>0</v>
      </c>
      <c r="L2262" s="528">
        <f t="shared" si="1304"/>
        <v>0</v>
      </c>
      <c r="M2262" s="528">
        <f t="shared" si="1305"/>
        <v>0</v>
      </c>
      <c r="N2262" s="528">
        <f t="shared" si="1306"/>
        <v>0</v>
      </c>
      <c r="O2262" s="528">
        <f t="shared" si="1307"/>
        <v>0</v>
      </c>
      <c r="P2262" s="529">
        <f t="shared" si="1308"/>
        <v>0</v>
      </c>
      <c r="Q2262" s="24">
        <f t="shared" si="1309"/>
        <v>0</v>
      </c>
      <c r="R2262" s="530">
        <f t="shared" si="1310"/>
        <v>0</v>
      </c>
    </row>
    <row r="2263" spans="1:18">
      <c r="A2263" s="524"/>
      <c r="B2263" s="540" t="s">
        <v>101</v>
      </c>
      <c r="C2263" s="552">
        <v>0</v>
      </c>
      <c r="D2263" s="553">
        <v>0</v>
      </c>
      <c r="E2263" s="551">
        <v>0</v>
      </c>
      <c r="F2263" s="551">
        <v>0</v>
      </c>
      <c r="G2263" s="551">
        <v>0</v>
      </c>
      <c r="H2263" s="551">
        <v>0</v>
      </c>
      <c r="I2263" s="551">
        <v>0</v>
      </c>
      <c r="J2263" s="551">
        <v>0</v>
      </c>
      <c r="K2263" s="527">
        <f t="shared" si="1303"/>
        <v>0</v>
      </c>
      <c r="L2263" s="528">
        <f t="shared" si="1304"/>
        <v>0</v>
      </c>
      <c r="M2263" s="528">
        <f t="shared" si="1305"/>
        <v>0</v>
      </c>
      <c r="N2263" s="528">
        <f t="shared" si="1306"/>
        <v>0</v>
      </c>
      <c r="O2263" s="528">
        <f t="shared" si="1307"/>
        <v>0</v>
      </c>
      <c r="P2263" s="529">
        <f t="shared" si="1308"/>
        <v>0</v>
      </c>
      <c r="Q2263" s="24">
        <f t="shared" si="1309"/>
        <v>0</v>
      </c>
      <c r="R2263" s="530">
        <f t="shared" si="1310"/>
        <v>0</v>
      </c>
    </row>
    <row r="2264" spans="1:18">
      <c r="A2264" s="524"/>
      <c r="B2264" s="531" t="s">
        <v>96</v>
      </c>
      <c r="C2264" s="533">
        <f t="shared" ref="C2264:J2264" si="1312">SUM(C2260:C2263)</f>
        <v>3184.45</v>
      </c>
      <c r="D2264" s="533">
        <f t="shared" si="1312"/>
        <v>64180</v>
      </c>
      <c r="E2264" s="533">
        <f t="shared" si="1312"/>
        <v>2140</v>
      </c>
      <c r="F2264" s="533">
        <f t="shared" si="1312"/>
        <v>11</v>
      </c>
      <c r="G2264" s="533">
        <f t="shared" si="1312"/>
        <v>120003</v>
      </c>
      <c r="H2264" s="533">
        <f t="shared" si="1312"/>
        <v>78</v>
      </c>
      <c r="I2264" s="533">
        <f t="shared" si="1312"/>
        <v>6</v>
      </c>
      <c r="J2264" s="533">
        <f t="shared" si="1312"/>
        <v>11</v>
      </c>
      <c r="K2264" s="534">
        <f t="shared" si="1303"/>
        <v>0.0333437207852914</v>
      </c>
      <c r="L2264" s="535">
        <f t="shared" si="1304"/>
        <v>1.48806074766355</v>
      </c>
      <c r="M2264" s="535">
        <f t="shared" si="1305"/>
        <v>49.6174820816454</v>
      </c>
      <c r="N2264" s="535">
        <f t="shared" si="1306"/>
        <v>37.6840584716356</v>
      </c>
      <c r="O2264" s="535">
        <f t="shared" si="1307"/>
        <v>0.00514018691588785</v>
      </c>
      <c r="P2264" s="536">
        <f t="shared" si="1308"/>
        <v>37.910119047619</v>
      </c>
      <c r="Q2264" s="531">
        <f t="shared" si="1309"/>
        <v>84</v>
      </c>
      <c r="R2264" s="537">
        <f t="shared" si="1310"/>
        <v>0.0392523364485981</v>
      </c>
    </row>
    <row r="2265" spans="1:18">
      <c r="A2265" s="524">
        <v>45903</v>
      </c>
      <c r="B2265" s="540" t="s">
        <v>98</v>
      </c>
      <c r="C2265" s="551">
        <v>983.58</v>
      </c>
      <c r="D2265" s="553">
        <v>31418</v>
      </c>
      <c r="E2265" s="551">
        <v>1143</v>
      </c>
      <c r="F2265" s="551">
        <v>0</v>
      </c>
      <c r="G2265" s="551">
        <v>0</v>
      </c>
      <c r="H2265" s="551">
        <v>20</v>
      </c>
      <c r="I2265" s="551">
        <v>4</v>
      </c>
      <c r="J2265" s="551">
        <v>1</v>
      </c>
      <c r="K2265" s="527">
        <f t="shared" si="1303"/>
        <v>0.0363804188681647</v>
      </c>
      <c r="L2265" s="528">
        <f t="shared" si="1304"/>
        <v>0.860524934383202</v>
      </c>
      <c r="M2265" s="528">
        <f t="shared" si="1305"/>
        <v>31.3062575593609</v>
      </c>
      <c r="N2265" s="528">
        <f t="shared" si="1306"/>
        <v>0</v>
      </c>
      <c r="O2265" s="528">
        <f t="shared" si="1307"/>
        <v>0</v>
      </c>
      <c r="P2265" s="529">
        <f t="shared" si="1308"/>
        <v>40.9825</v>
      </c>
      <c r="Q2265" s="24">
        <f t="shared" si="1309"/>
        <v>24</v>
      </c>
      <c r="R2265" s="530">
        <f t="shared" si="1310"/>
        <v>0.020997375328084</v>
      </c>
    </row>
    <row r="2266" spans="1:18">
      <c r="A2266" s="524"/>
      <c r="B2266" s="540" t="s">
        <v>99</v>
      </c>
      <c r="C2266" s="551">
        <v>2340.72</v>
      </c>
      <c r="D2266" s="555">
        <v>32245</v>
      </c>
      <c r="E2266" s="551">
        <v>1294</v>
      </c>
      <c r="F2266" s="551">
        <v>1</v>
      </c>
      <c r="G2266" s="551">
        <v>11553</v>
      </c>
      <c r="H2266" s="555">
        <v>34</v>
      </c>
      <c r="I2266" s="555">
        <v>3</v>
      </c>
      <c r="J2266" s="555">
        <v>7</v>
      </c>
      <c r="K2266" s="527">
        <f t="shared" si="1303"/>
        <v>0.0401302527523647</v>
      </c>
      <c r="L2266" s="528">
        <f t="shared" si="1304"/>
        <v>1.80890262751159</v>
      </c>
      <c r="M2266" s="528">
        <f t="shared" si="1305"/>
        <v>72.5917196464568</v>
      </c>
      <c r="N2266" s="528">
        <f t="shared" si="1306"/>
        <v>4.93566082231108</v>
      </c>
      <c r="O2266" s="528">
        <f t="shared" si="1307"/>
        <v>0.000772797527047913</v>
      </c>
      <c r="P2266" s="529">
        <f t="shared" si="1308"/>
        <v>63.2627027027027</v>
      </c>
      <c r="Q2266" s="24">
        <f t="shared" si="1309"/>
        <v>37</v>
      </c>
      <c r="R2266" s="530">
        <f t="shared" si="1310"/>
        <v>0.0285935085007728</v>
      </c>
    </row>
    <row r="2267" spans="1:18">
      <c r="A2267" s="524"/>
      <c r="B2267" s="540" t="s">
        <v>100</v>
      </c>
      <c r="C2267" s="552">
        <v>0</v>
      </c>
      <c r="D2267" s="553">
        <v>0</v>
      </c>
      <c r="E2267" s="553">
        <v>0</v>
      </c>
      <c r="F2267" s="551">
        <v>0</v>
      </c>
      <c r="G2267" s="551">
        <v>0</v>
      </c>
      <c r="H2267" s="551">
        <v>0</v>
      </c>
      <c r="I2267" s="551">
        <v>0</v>
      </c>
      <c r="J2267" s="551">
        <v>0</v>
      </c>
      <c r="K2267" s="527">
        <f t="shared" si="1303"/>
        <v>0</v>
      </c>
      <c r="L2267" s="528">
        <f t="shared" si="1304"/>
        <v>0</v>
      </c>
      <c r="M2267" s="528">
        <f t="shared" si="1305"/>
        <v>0</v>
      </c>
      <c r="N2267" s="528">
        <f t="shared" si="1306"/>
        <v>0</v>
      </c>
      <c r="O2267" s="528">
        <f t="shared" si="1307"/>
        <v>0</v>
      </c>
      <c r="P2267" s="529">
        <f t="shared" si="1308"/>
        <v>0</v>
      </c>
      <c r="Q2267" s="24">
        <f t="shared" si="1309"/>
        <v>0</v>
      </c>
      <c r="R2267" s="530">
        <f t="shared" si="1310"/>
        <v>0</v>
      </c>
    </row>
    <row r="2268" spans="1:18">
      <c r="A2268" s="524"/>
      <c r="B2268" s="540" t="s">
        <v>101</v>
      </c>
      <c r="C2268" s="552">
        <v>0</v>
      </c>
      <c r="D2268" s="553">
        <v>0</v>
      </c>
      <c r="E2268" s="551">
        <v>0</v>
      </c>
      <c r="F2268" s="551">
        <v>0</v>
      </c>
      <c r="G2268" s="551">
        <v>0</v>
      </c>
      <c r="H2268" s="551">
        <v>0</v>
      </c>
      <c r="I2268" s="551">
        <v>0</v>
      </c>
      <c r="J2268" s="551">
        <v>0</v>
      </c>
      <c r="K2268" s="527">
        <f t="shared" si="1303"/>
        <v>0</v>
      </c>
      <c r="L2268" s="528">
        <f t="shared" si="1304"/>
        <v>0</v>
      </c>
      <c r="M2268" s="528">
        <f t="shared" si="1305"/>
        <v>0</v>
      </c>
      <c r="N2268" s="528">
        <f t="shared" si="1306"/>
        <v>0</v>
      </c>
      <c r="O2268" s="528">
        <f t="shared" si="1307"/>
        <v>0</v>
      </c>
      <c r="P2268" s="529">
        <f t="shared" si="1308"/>
        <v>0</v>
      </c>
      <c r="Q2268" s="24">
        <f t="shared" si="1309"/>
        <v>0</v>
      </c>
      <c r="R2268" s="530">
        <f t="shared" si="1310"/>
        <v>0</v>
      </c>
    </row>
    <row r="2269" spans="1:18">
      <c r="A2269" s="524"/>
      <c r="B2269" s="531" t="s">
        <v>96</v>
      </c>
      <c r="C2269" s="533">
        <f t="shared" ref="C2269:J2269" si="1313">SUM(C2265:C2268)</f>
        <v>3324.3</v>
      </c>
      <c r="D2269" s="533">
        <f t="shared" si="1313"/>
        <v>63663</v>
      </c>
      <c r="E2269" s="533">
        <f t="shared" si="1313"/>
        <v>2437</v>
      </c>
      <c r="F2269" s="533">
        <f t="shared" si="1313"/>
        <v>1</v>
      </c>
      <c r="G2269" s="533">
        <f t="shared" si="1313"/>
        <v>11553</v>
      </c>
      <c r="H2269" s="533">
        <f t="shared" si="1313"/>
        <v>54</v>
      </c>
      <c r="I2269" s="533">
        <f t="shared" si="1313"/>
        <v>7</v>
      </c>
      <c r="J2269" s="533">
        <f t="shared" si="1313"/>
        <v>8</v>
      </c>
      <c r="K2269" s="534">
        <f t="shared" si="1303"/>
        <v>0.0382796915005576</v>
      </c>
      <c r="L2269" s="535">
        <f t="shared" si="1304"/>
        <v>1.36409519901518</v>
      </c>
      <c r="M2269" s="535">
        <f t="shared" si="1305"/>
        <v>52.2171433956929</v>
      </c>
      <c r="N2269" s="535">
        <f t="shared" si="1306"/>
        <v>3.47531811208375</v>
      </c>
      <c r="O2269" s="535">
        <f t="shared" si="1307"/>
        <v>0.000410340582683627</v>
      </c>
      <c r="P2269" s="536">
        <f t="shared" si="1308"/>
        <v>54.4967213114754</v>
      </c>
      <c r="Q2269" s="531">
        <f t="shared" si="1309"/>
        <v>61</v>
      </c>
      <c r="R2269" s="537">
        <f t="shared" si="1310"/>
        <v>0.0250307755437013</v>
      </c>
    </row>
    <row r="2270" spans="1:18">
      <c r="A2270" s="524">
        <v>45904</v>
      </c>
      <c r="B2270" s="540" t="s">
        <v>98</v>
      </c>
      <c r="C2270" s="551">
        <v>800</v>
      </c>
      <c r="D2270" s="553">
        <v>20641</v>
      </c>
      <c r="E2270" s="551">
        <v>666</v>
      </c>
      <c r="F2270" s="551">
        <v>2</v>
      </c>
      <c r="G2270" s="551">
        <v>10055</v>
      </c>
      <c r="H2270" s="551">
        <v>35</v>
      </c>
      <c r="I2270" s="551">
        <v>6</v>
      </c>
      <c r="J2270" s="551">
        <v>3</v>
      </c>
      <c r="K2270" s="527">
        <f t="shared" si="1303"/>
        <v>0.0322658785911535</v>
      </c>
      <c r="L2270" s="528">
        <f t="shared" si="1304"/>
        <v>1.2012012012012</v>
      </c>
      <c r="M2270" s="528">
        <f t="shared" si="1305"/>
        <v>38.7578121215057</v>
      </c>
      <c r="N2270" s="528">
        <f t="shared" si="1306"/>
        <v>12.56875</v>
      </c>
      <c r="O2270" s="528">
        <f t="shared" si="1307"/>
        <v>0.003003003003003</v>
      </c>
      <c r="P2270" s="529">
        <f t="shared" si="1308"/>
        <v>19.5121951219512</v>
      </c>
      <c r="Q2270" s="24">
        <f t="shared" si="1309"/>
        <v>41</v>
      </c>
      <c r="R2270" s="530">
        <f t="shared" si="1310"/>
        <v>0.0615615615615616</v>
      </c>
    </row>
    <row r="2271" spans="1:18">
      <c r="A2271" s="524"/>
      <c r="B2271" s="540" t="s">
        <v>99</v>
      </c>
      <c r="C2271" s="551">
        <v>2494.52</v>
      </c>
      <c r="D2271" s="555">
        <v>35535</v>
      </c>
      <c r="E2271" s="551">
        <v>1396</v>
      </c>
      <c r="F2271" s="551">
        <v>5</v>
      </c>
      <c r="G2271" s="551">
        <v>44110</v>
      </c>
      <c r="H2271" s="555">
        <v>40</v>
      </c>
      <c r="I2271" s="555">
        <v>4</v>
      </c>
      <c r="J2271" s="555">
        <v>9</v>
      </c>
      <c r="K2271" s="527">
        <f t="shared" si="1303"/>
        <v>0.0392852117630505</v>
      </c>
      <c r="L2271" s="528">
        <f t="shared" si="1304"/>
        <v>1.78690544412607</v>
      </c>
      <c r="M2271" s="528">
        <f t="shared" si="1305"/>
        <v>70.1989587730407</v>
      </c>
      <c r="N2271" s="528">
        <f t="shared" si="1306"/>
        <v>17.6827606112599</v>
      </c>
      <c r="O2271" s="528">
        <f t="shared" si="1307"/>
        <v>0.00358166189111748</v>
      </c>
      <c r="P2271" s="529">
        <f t="shared" si="1308"/>
        <v>56.6936363636364</v>
      </c>
      <c r="Q2271" s="24">
        <f t="shared" si="1309"/>
        <v>44</v>
      </c>
      <c r="R2271" s="530">
        <f t="shared" si="1310"/>
        <v>0.0315186246418338</v>
      </c>
    </row>
    <row r="2272" spans="1:18">
      <c r="A2272" s="524"/>
      <c r="B2272" s="540" t="s">
        <v>100</v>
      </c>
      <c r="C2272" s="552">
        <v>0</v>
      </c>
      <c r="D2272" s="553">
        <v>0</v>
      </c>
      <c r="E2272" s="553">
        <v>0</v>
      </c>
      <c r="F2272" s="551">
        <v>0</v>
      </c>
      <c r="G2272" s="551">
        <v>0</v>
      </c>
      <c r="H2272" s="551">
        <v>0</v>
      </c>
      <c r="I2272" s="551">
        <v>0</v>
      </c>
      <c r="J2272" s="551">
        <v>0</v>
      </c>
      <c r="K2272" s="527">
        <f t="shared" si="1303"/>
        <v>0</v>
      </c>
      <c r="L2272" s="528">
        <f t="shared" si="1304"/>
        <v>0</v>
      </c>
      <c r="M2272" s="528">
        <f t="shared" si="1305"/>
        <v>0</v>
      </c>
      <c r="N2272" s="528">
        <f t="shared" si="1306"/>
        <v>0</v>
      </c>
      <c r="O2272" s="528">
        <f t="shared" si="1307"/>
        <v>0</v>
      </c>
      <c r="P2272" s="529">
        <f t="shared" si="1308"/>
        <v>0</v>
      </c>
      <c r="Q2272" s="24">
        <f t="shared" si="1309"/>
        <v>0</v>
      </c>
      <c r="R2272" s="530">
        <f t="shared" si="1310"/>
        <v>0</v>
      </c>
    </row>
    <row r="2273" spans="1:18">
      <c r="A2273" s="524"/>
      <c r="B2273" s="540" t="s">
        <v>101</v>
      </c>
      <c r="C2273" s="552">
        <v>0</v>
      </c>
      <c r="D2273" s="553">
        <v>0</v>
      </c>
      <c r="E2273" s="551">
        <v>0</v>
      </c>
      <c r="F2273" s="551">
        <v>0</v>
      </c>
      <c r="G2273" s="551">
        <v>0</v>
      </c>
      <c r="H2273" s="551">
        <v>0</v>
      </c>
      <c r="I2273" s="551">
        <v>0</v>
      </c>
      <c r="J2273" s="551">
        <v>0</v>
      </c>
      <c r="K2273" s="527">
        <f t="shared" si="1303"/>
        <v>0</v>
      </c>
      <c r="L2273" s="528">
        <f t="shared" si="1304"/>
        <v>0</v>
      </c>
      <c r="M2273" s="528">
        <f t="shared" si="1305"/>
        <v>0</v>
      </c>
      <c r="N2273" s="528">
        <f t="shared" si="1306"/>
        <v>0</v>
      </c>
      <c r="O2273" s="528">
        <f t="shared" si="1307"/>
        <v>0</v>
      </c>
      <c r="P2273" s="529">
        <f t="shared" si="1308"/>
        <v>0</v>
      </c>
      <c r="Q2273" s="24">
        <f t="shared" si="1309"/>
        <v>0</v>
      </c>
      <c r="R2273" s="530">
        <f t="shared" si="1310"/>
        <v>0</v>
      </c>
    </row>
    <row r="2274" spans="1:18">
      <c r="A2274" s="524"/>
      <c r="B2274" s="531" t="s">
        <v>96</v>
      </c>
      <c r="C2274" s="533">
        <f t="shared" ref="C2274:J2274" si="1314">SUM(C2270:C2273)</f>
        <v>3294.52</v>
      </c>
      <c r="D2274" s="533">
        <f t="shared" si="1314"/>
        <v>56176</v>
      </c>
      <c r="E2274" s="533">
        <f t="shared" si="1314"/>
        <v>2062</v>
      </c>
      <c r="F2274" s="533">
        <f t="shared" si="1314"/>
        <v>7</v>
      </c>
      <c r="G2274" s="533">
        <f t="shared" si="1314"/>
        <v>54165</v>
      </c>
      <c r="H2274" s="533">
        <f t="shared" si="1314"/>
        <v>75</v>
      </c>
      <c r="I2274" s="533">
        <f t="shared" si="1314"/>
        <v>10</v>
      </c>
      <c r="J2274" s="533">
        <f t="shared" si="1314"/>
        <v>12</v>
      </c>
      <c r="K2274" s="534">
        <f t="shared" si="1303"/>
        <v>0.0367060666476787</v>
      </c>
      <c r="L2274" s="535">
        <f t="shared" si="1304"/>
        <v>1.59773035887488</v>
      </c>
      <c r="M2274" s="535">
        <f t="shared" si="1305"/>
        <v>58.6463970378809</v>
      </c>
      <c r="N2274" s="535">
        <f t="shared" si="1306"/>
        <v>16.4409382853951</v>
      </c>
      <c r="O2274" s="535">
        <f t="shared" si="1307"/>
        <v>0.00339476236663434</v>
      </c>
      <c r="P2274" s="536">
        <f t="shared" si="1308"/>
        <v>38.7590588235294</v>
      </c>
      <c r="Q2274" s="531">
        <f t="shared" si="1309"/>
        <v>85</v>
      </c>
      <c r="R2274" s="537">
        <f t="shared" si="1310"/>
        <v>0.0412221144519884</v>
      </c>
    </row>
    <row r="2275" spans="1:18">
      <c r="A2275" s="524">
        <v>45905</v>
      </c>
      <c r="B2275" s="540" t="s">
        <v>98</v>
      </c>
      <c r="C2275" s="551">
        <v>799.81</v>
      </c>
      <c r="D2275" s="553">
        <v>24109</v>
      </c>
      <c r="E2275" s="551">
        <v>661</v>
      </c>
      <c r="F2275" s="551">
        <v>0</v>
      </c>
      <c r="G2275" s="551">
        <v>0</v>
      </c>
      <c r="H2275" s="551">
        <v>24</v>
      </c>
      <c r="I2275" s="551">
        <v>1</v>
      </c>
      <c r="J2275" s="551">
        <v>3</v>
      </c>
      <c r="K2275" s="527">
        <f t="shared" si="1303"/>
        <v>0.0274171471234809</v>
      </c>
      <c r="L2275" s="528">
        <f t="shared" si="1304"/>
        <v>1.21</v>
      </c>
      <c r="M2275" s="528">
        <f t="shared" si="1305"/>
        <v>33.1747480194118</v>
      </c>
      <c r="N2275" s="528">
        <f t="shared" si="1306"/>
        <v>0</v>
      </c>
      <c r="O2275" s="528">
        <f t="shared" si="1307"/>
        <v>0</v>
      </c>
      <c r="P2275" s="529">
        <f t="shared" si="1308"/>
        <v>31.9924</v>
      </c>
      <c r="Q2275" s="24">
        <f t="shared" si="1309"/>
        <v>25</v>
      </c>
      <c r="R2275" s="530">
        <f t="shared" si="1310"/>
        <v>0.037821482602118</v>
      </c>
    </row>
    <row r="2276" spans="1:18">
      <c r="A2276" s="524"/>
      <c r="B2276" s="540" t="s">
        <v>99</v>
      </c>
      <c r="C2276" s="551">
        <v>2538.91</v>
      </c>
      <c r="D2276" s="555">
        <v>44400</v>
      </c>
      <c r="E2276" s="551">
        <v>1306</v>
      </c>
      <c r="F2276" s="551">
        <v>4</v>
      </c>
      <c r="G2276" s="551">
        <v>25079</v>
      </c>
      <c r="H2276" s="555">
        <v>30</v>
      </c>
      <c r="I2276" s="555">
        <v>5</v>
      </c>
      <c r="J2276" s="555">
        <v>10</v>
      </c>
      <c r="K2276" s="527">
        <f t="shared" si="1303"/>
        <v>0.0294144144144144</v>
      </c>
      <c r="L2276" s="528">
        <f t="shared" si="1304"/>
        <v>1.94403522205207</v>
      </c>
      <c r="M2276" s="528">
        <f t="shared" si="1305"/>
        <v>57.1826576576577</v>
      </c>
      <c r="N2276" s="528">
        <f t="shared" si="1306"/>
        <v>9.87786097183437</v>
      </c>
      <c r="O2276" s="528">
        <f t="shared" si="1307"/>
        <v>0.00306278713629403</v>
      </c>
      <c r="P2276" s="529">
        <f t="shared" si="1308"/>
        <v>72.5402857142857</v>
      </c>
      <c r="Q2276" s="24">
        <f t="shared" si="1309"/>
        <v>35</v>
      </c>
      <c r="R2276" s="530">
        <f t="shared" si="1310"/>
        <v>0.0267993874425727</v>
      </c>
    </row>
    <row r="2277" spans="1:18">
      <c r="A2277" s="524"/>
      <c r="B2277" s="540" t="s">
        <v>100</v>
      </c>
      <c r="C2277" s="552">
        <v>0</v>
      </c>
      <c r="D2277" s="553">
        <v>0</v>
      </c>
      <c r="E2277" s="553">
        <v>0</v>
      </c>
      <c r="F2277" s="551">
        <v>0</v>
      </c>
      <c r="G2277" s="551">
        <v>0</v>
      </c>
      <c r="H2277" s="551">
        <v>0</v>
      </c>
      <c r="I2277" s="551">
        <v>0</v>
      </c>
      <c r="J2277" s="551">
        <v>0</v>
      </c>
      <c r="K2277" s="527">
        <f t="shared" si="1303"/>
        <v>0</v>
      </c>
      <c r="L2277" s="528">
        <f t="shared" si="1304"/>
        <v>0</v>
      </c>
      <c r="M2277" s="528">
        <f t="shared" si="1305"/>
        <v>0</v>
      </c>
      <c r="N2277" s="528">
        <f t="shared" si="1306"/>
        <v>0</v>
      </c>
      <c r="O2277" s="528">
        <f t="shared" si="1307"/>
        <v>0</v>
      </c>
      <c r="P2277" s="529">
        <f t="shared" si="1308"/>
        <v>0</v>
      </c>
      <c r="Q2277" s="24">
        <f t="shared" si="1309"/>
        <v>0</v>
      </c>
      <c r="R2277" s="530">
        <f t="shared" si="1310"/>
        <v>0</v>
      </c>
    </row>
    <row r="2278" spans="1:18">
      <c r="A2278" s="524"/>
      <c r="B2278" s="540" t="s">
        <v>101</v>
      </c>
      <c r="C2278" s="552">
        <v>0</v>
      </c>
      <c r="D2278" s="553">
        <v>0</v>
      </c>
      <c r="E2278" s="551">
        <v>0</v>
      </c>
      <c r="F2278" s="551">
        <v>0</v>
      </c>
      <c r="G2278" s="551">
        <v>0</v>
      </c>
      <c r="H2278" s="551">
        <v>0</v>
      </c>
      <c r="I2278" s="551">
        <v>0</v>
      </c>
      <c r="J2278" s="551">
        <v>0</v>
      </c>
      <c r="K2278" s="527">
        <f t="shared" si="1303"/>
        <v>0</v>
      </c>
      <c r="L2278" s="528">
        <f t="shared" si="1304"/>
        <v>0</v>
      </c>
      <c r="M2278" s="528">
        <f t="shared" si="1305"/>
        <v>0</v>
      </c>
      <c r="N2278" s="528">
        <f t="shared" si="1306"/>
        <v>0</v>
      </c>
      <c r="O2278" s="528">
        <f t="shared" si="1307"/>
        <v>0</v>
      </c>
      <c r="P2278" s="529">
        <f t="shared" si="1308"/>
        <v>0</v>
      </c>
      <c r="Q2278" s="24">
        <f t="shared" si="1309"/>
        <v>0</v>
      </c>
      <c r="R2278" s="530">
        <f t="shared" si="1310"/>
        <v>0</v>
      </c>
    </row>
    <row r="2279" spans="1:18">
      <c r="A2279" s="524"/>
      <c r="B2279" s="531" t="s">
        <v>96</v>
      </c>
      <c r="C2279" s="533">
        <f t="shared" ref="C2279:J2279" si="1315">SUM(C2275:C2278)</f>
        <v>3338.72</v>
      </c>
      <c r="D2279" s="533">
        <f t="shared" si="1315"/>
        <v>68509</v>
      </c>
      <c r="E2279" s="533">
        <f t="shared" si="1315"/>
        <v>1967</v>
      </c>
      <c r="F2279" s="533">
        <f t="shared" si="1315"/>
        <v>4</v>
      </c>
      <c r="G2279" s="533">
        <f t="shared" si="1315"/>
        <v>25079</v>
      </c>
      <c r="H2279" s="533">
        <f t="shared" si="1315"/>
        <v>54</v>
      </c>
      <c r="I2279" s="533">
        <f t="shared" si="1315"/>
        <v>6</v>
      </c>
      <c r="J2279" s="533">
        <f t="shared" si="1315"/>
        <v>13</v>
      </c>
      <c r="K2279" s="534">
        <f t="shared" si="1303"/>
        <v>0.0287115561459078</v>
      </c>
      <c r="L2279" s="535">
        <f t="shared" si="1304"/>
        <v>1.6973665480427</v>
      </c>
      <c r="M2279" s="535">
        <f t="shared" si="1305"/>
        <v>48.7340349443139</v>
      </c>
      <c r="N2279" s="535">
        <f t="shared" si="1306"/>
        <v>7.51156131691187</v>
      </c>
      <c r="O2279" s="535">
        <f t="shared" si="1307"/>
        <v>0.00203355363497712</v>
      </c>
      <c r="P2279" s="536">
        <f t="shared" si="1308"/>
        <v>55.6453333333333</v>
      </c>
      <c r="Q2279" s="531">
        <f t="shared" si="1309"/>
        <v>60</v>
      </c>
      <c r="R2279" s="537">
        <f t="shared" si="1310"/>
        <v>0.0305033045246568</v>
      </c>
    </row>
    <row r="2280" spans="1:18">
      <c r="A2280" s="524">
        <v>45906</v>
      </c>
      <c r="B2280" s="540" t="s">
        <v>98</v>
      </c>
      <c r="C2280" s="551">
        <v>800</v>
      </c>
      <c r="D2280" s="553">
        <v>19278</v>
      </c>
      <c r="E2280" s="551">
        <v>639</v>
      </c>
      <c r="F2280" s="551">
        <v>3</v>
      </c>
      <c r="G2280" s="551">
        <v>42631</v>
      </c>
      <c r="H2280" s="551">
        <v>31</v>
      </c>
      <c r="I2280" s="551">
        <v>6</v>
      </c>
      <c r="J2280" s="551">
        <v>1</v>
      </c>
      <c r="K2280" s="527">
        <f t="shared" si="1303"/>
        <v>0.0331465919701214</v>
      </c>
      <c r="L2280" s="528">
        <f t="shared" si="1304"/>
        <v>1.25195618153365</v>
      </c>
      <c r="M2280" s="528">
        <f t="shared" si="1305"/>
        <v>41.498080713767</v>
      </c>
      <c r="N2280" s="528">
        <f t="shared" si="1306"/>
        <v>53.28875</v>
      </c>
      <c r="O2280" s="528">
        <f t="shared" si="1307"/>
        <v>0.00469483568075117</v>
      </c>
      <c r="P2280" s="529">
        <f t="shared" si="1308"/>
        <v>21.6216216216216</v>
      </c>
      <c r="Q2280" s="24">
        <f t="shared" si="1309"/>
        <v>37</v>
      </c>
      <c r="R2280" s="530">
        <f t="shared" si="1310"/>
        <v>0.0579029733959311</v>
      </c>
    </row>
    <row r="2281" spans="1:18">
      <c r="A2281" s="524"/>
      <c r="B2281" s="540" t="s">
        <v>99</v>
      </c>
      <c r="C2281" s="551">
        <v>2489.55</v>
      </c>
      <c r="D2281" s="555">
        <v>69158</v>
      </c>
      <c r="E2281" s="551">
        <v>1549</v>
      </c>
      <c r="F2281" s="551">
        <v>1</v>
      </c>
      <c r="G2281" s="551">
        <v>11982</v>
      </c>
      <c r="H2281" s="555">
        <v>24</v>
      </c>
      <c r="I2281" s="555">
        <v>3</v>
      </c>
      <c r="J2281" s="555">
        <v>10</v>
      </c>
      <c r="K2281" s="527">
        <f t="shared" si="1303"/>
        <v>0.0223979872176755</v>
      </c>
      <c r="L2281" s="528">
        <f t="shared" si="1304"/>
        <v>1.60719819238218</v>
      </c>
      <c r="M2281" s="528">
        <f t="shared" si="1305"/>
        <v>35.9980045692472</v>
      </c>
      <c r="N2281" s="528">
        <f t="shared" si="1306"/>
        <v>4.81291799722841</v>
      </c>
      <c r="O2281" s="528">
        <f t="shared" si="1307"/>
        <v>0.000645577792123951</v>
      </c>
      <c r="P2281" s="529">
        <f t="shared" si="1308"/>
        <v>92.2055555555556</v>
      </c>
      <c r="Q2281" s="24">
        <f t="shared" si="1309"/>
        <v>27</v>
      </c>
      <c r="R2281" s="530">
        <f t="shared" si="1310"/>
        <v>0.0174306003873467</v>
      </c>
    </row>
    <row r="2282" spans="1:18">
      <c r="A2282" s="524"/>
      <c r="B2282" s="540" t="s">
        <v>100</v>
      </c>
      <c r="C2282" s="552">
        <v>0</v>
      </c>
      <c r="D2282" s="553">
        <v>0</v>
      </c>
      <c r="E2282" s="553">
        <v>0</v>
      </c>
      <c r="F2282" s="551">
        <v>0</v>
      </c>
      <c r="G2282" s="551">
        <v>0</v>
      </c>
      <c r="H2282" s="551">
        <v>0</v>
      </c>
      <c r="I2282" s="551">
        <v>0</v>
      </c>
      <c r="J2282" s="551">
        <v>0</v>
      </c>
      <c r="K2282" s="527">
        <f t="shared" si="1303"/>
        <v>0</v>
      </c>
      <c r="L2282" s="528">
        <f t="shared" si="1304"/>
        <v>0</v>
      </c>
      <c r="M2282" s="528">
        <f t="shared" si="1305"/>
        <v>0</v>
      </c>
      <c r="N2282" s="528">
        <f t="shared" si="1306"/>
        <v>0</v>
      </c>
      <c r="O2282" s="528">
        <f t="shared" si="1307"/>
        <v>0</v>
      </c>
      <c r="P2282" s="529">
        <f t="shared" si="1308"/>
        <v>0</v>
      </c>
      <c r="Q2282" s="24">
        <f t="shared" si="1309"/>
        <v>0</v>
      </c>
      <c r="R2282" s="530">
        <f t="shared" si="1310"/>
        <v>0</v>
      </c>
    </row>
    <row r="2283" spans="1:18">
      <c r="A2283" s="524"/>
      <c r="B2283" s="540" t="s">
        <v>101</v>
      </c>
      <c r="C2283" s="552">
        <v>0</v>
      </c>
      <c r="D2283" s="553">
        <v>0</v>
      </c>
      <c r="E2283" s="551">
        <v>0</v>
      </c>
      <c r="F2283" s="551">
        <v>0</v>
      </c>
      <c r="G2283" s="551">
        <v>0</v>
      </c>
      <c r="H2283" s="551">
        <v>0</v>
      </c>
      <c r="I2283" s="551">
        <v>0</v>
      </c>
      <c r="J2283" s="551">
        <v>0</v>
      </c>
      <c r="K2283" s="527">
        <f t="shared" si="1303"/>
        <v>0</v>
      </c>
      <c r="L2283" s="528">
        <f t="shared" si="1304"/>
        <v>0</v>
      </c>
      <c r="M2283" s="528">
        <f t="shared" si="1305"/>
        <v>0</v>
      </c>
      <c r="N2283" s="528">
        <f t="shared" si="1306"/>
        <v>0</v>
      </c>
      <c r="O2283" s="528">
        <f t="shared" si="1307"/>
        <v>0</v>
      </c>
      <c r="P2283" s="529">
        <f t="shared" si="1308"/>
        <v>0</v>
      </c>
      <c r="Q2283" s="24">
        <f t="shared" si="1309"/>
        <v>0</v>
      </c>
      <c r="R2283" s="530">
        <f t="shared" si="1310"/>
        <v>0</v>
      </c>
    </row>
    <row r="2284" spans="1:18">
      <c r="A2284" s="524"/>
      <c r="B2284" s="531" t="s">
        <v>96</v>
      </c>
      <c r="C2284" s="533">
        <f t="shared" ref="C2284:J2284" si="1316">SUM(C2280:C2283)</f>
        <v>3289.55</v>
      </c>
      <c r="D2284" s="533">
        <f t="shared" si="1316"/>
        <v>88436</v>
      </c>
      <c r="E2284" s="533">
        <f t="shared" si="1316"/>
        <v>2188</v>
      </c>
      <c r="F2284" s="533">
        <f t="shared" si="1316"/>
        <v>4</v>
      </c>
      <c r="G2284" s="533">
        <f t="shared" si="1316"/>
        <v>54613</v>
      </c>
      <c r="H2284" s="533">
        <f t="shared" si="1316"/>
        <v>55</v>
      </c>
      <c r="I2284" s="533">
        <f t="shared" si="1316"/>
        <v>9</v>
      </c>
      <c r="J2284" s="533">
        <f t="shared" si="1316"/>
        <v>11</v>
      </c>
      <c r="K2284" s="534">
        <f t="shared" si="1303"/>
        <v>0.0247410556786829</v>
      </c>
      <c r="L2284" s="535">
        <f t="shared" si="1304"/>
        <v>1.50345063985375</v>
      </c>
      <c r="M2284" s="535">
        <f t="shared" si="1305"/>
        <v>37.196955990773</v>
      </c>
      <c r="N2284" s="535">
        <f t="shared" si="1306"/>
        <v>16.6019668343694</v>
      </c>
      <c r="O2284" s="535">
        <f t="shared" si="1307"/>
        <v>0.00182815356489945</v>
      </c>
      <c r="P2284" s="536">
        <f t="shared" si="1308"/>
        <v>51.39921875</v>
      </c>
      <c r="Q2284" s="531">
        <f t="shared" si="1309"/>
        <v>64</v>
      </c>
      <c r="R2284" s="537">
        <f t="shared" si="1310"/>
        <v>0.0292504570383912</v>
      </c>
    </row>
    <row r="2285" spans="1:18">
      <c r="A2285" s="524">
        <v>45907</v>
      </c>
      <c r="B2285" s="540" t="s">
        <v>98</v>
      </c>
      <c r="C2285" s="551">
        <v>798.85</v>
      </c>
      <c r="D2285" s="553">
        <v>17811</v>
      </c>
      <c r="E2285" s="551">
        <v>617</v>
      </c>
      <c r="F2285" s="551">
        <v>1</v>
      </c>
      <c r="G2285" s="551">
        <v>13474</v>
      </c>
      <c r="H2285" s="551">
        <v>22</v>
      </c>
      <c r="I2285" s="551">
        <v>3</v>
      </c>
      <c r="J2285" s="551">
        <v>3</v>
      </c>
      <c r="K2285" s="527">
        <f t="shared" si="1303"/>
        <v>0.0346415136713267</v>
      </c>
      <c r="L2285" s="528">
        <f t="shared" si="1304"/>
        <v>1.29473257698541</v>
      </c>
      <c r="M2285" s="528">
        <f t="shared" si="1305"/>
        <v>44.8514962663523</v>
      </c>
      <c r="N2285" s="528">
        <f t="shared" si="1306"/>
        <v>16.8667459472992</v>
      </c>
      <c r="O2285" s="528">
        <f t="shared" si="1307"/>
        <v>0.00162074554294976</v>
      </c>
      <c r="P2285" s="529">
        <f t="shared" si="1308"/>
        <v>31.954</v>
      </c>
      <c r="Q2285" s="24">
        <f t="shared" si="1309"/>
        <v>25</v>
      </c>
      <c r="R2285" s="530">
        <f t="shared" si="1310"/>
        <v>0.0405186385737439</v>
      </c>
    </row>
    <row r="2286" spans="1:18">
      <c r="A2286" s="524"/>
      <c r="B2286" s="540" t="s">
        <v>99</v>
      </c>
      <c r="C2286" s="551">
        <v>2157.46</v>
      </c>
      <c r="D2286" s="555">
        <v>50692</v>
      </c>
      <c r="E2286" s="551">
        <v>1478</v>
      </c>
      <c r="F2286" s="551">
        <v>4</v>
      </c>
      <c r="G2286" s="551">
        <v>57542</v>
      </c>
      <c r="H2286" s="555">
        <v>41</v>
      </c>
      <c r="I2286" s="555">
        <v>3</v>
      </c>
      <c r="J2286" s="555">
        <v>11</v>
      </c>
      <c r="K2286" s="527">
        <f t="shared" si="1303"/>
        <v>0.0291564743943818</v>
      </c>
      <c r="L2286" s="528">
        <f t="shared" si="1304"/>
        <v>1.45971583220568</v>
      </c>
      <c r="M2286" s="528">
        <f t="shared" si="1305"/>
        <v>42.5601672847787</v>
      </c>
      <c r="N2286" s="528">
        <f t="shared" si="1306"/>
        <v>26.6711781446701</v>
      </c>
      <c r="O2286" s="528">
        <f t="shared" si="1307"/>
        <v>0.0027063599458728</v>
      </c>
      <c r="P2286" s="529">
        <f t="shared" si="1308"/>
        <v>49.0331818181818</v>
      </c>
      <c r="Q2286" s="24">
        <f t="shared" si="1309"/>
        <v>44</v>
      </c>
      <c r="R2286" s="530">
        <f t="shared" si="1310"/>
        <v>0.0297699594046008</v>
      </c>
    </row>
    <row r="2287" spans="1:18">
      <c r="A2287" s="524"/>
      <c r="B2287" s="540" t="s">
        <v>100</v>
      </c>
      <c r="C2287" s="552">
        <v>0</v>
      </c>
      <c r="D2287" s="553">
        <v>0</v>
      </c>
      <c r="E2287" s="553">
        <v>0</v>
      </c>
      <c r="F2287" s="551">
        <v>0</v>
      </c>
      <c r="G2287" s="551">
        <v>0</v>
      </c>
      <c r="H2287" s="551">
        <v>0</v>
      </c>
      <c r="I2287" s="551">
        <v>0</v>
      </c>
      <c r="J2287" s="551">
        <v>0</v>
      </c>
      <c r="K2287" s="527">
        <f t="shared" si="1303"/>
        <v>0</v>
      </c>
      <c r="L2287" s="528">
        <f t="shared" si="1304"/>
        <v>0</v>
      </c>
      <c r="M2287" s="528">
        <f t="shared" si="1305"/>
        <v>0</v>
      </c>
      <c r="N2287" s="528">
        <f t="shared" si="1306"/>
        <v>0</v>
      </c>
      <c r="O2287" s="528">
        <f t="shared" si="1307"/>
        <v>0</v>
      </c>
      <c r="P2287" s="529">
        <f t="shared" si="1308"/>
        <v>0</v>
      </c>
      <c r="Q2287" s="24">
        <f t="shared" si="1309"/>
        <v>0</v>
      </c>
      <c r="R2287" s="530">
        <f t="shared" si="1310"/>
        <v>0</v>
      </c>
    </row>
    <row r="2288" spans="1:18">
      <c r="A2288" s="524"/>
      <c r="B2288" s="540" t="s">
        <v>101</v>
      </c>
      <c r="C2288" s="552">
        <v>0</v>
      </c>
      <c r="D2288" s="553">
        <v>0</v>
      </c>
      <c r="E2288" s="551">
        <v>0</v>
      </c>
      <c r="F2288" s="551">
        <v>0</v>
      </c>
      <c r="G2288" s="551">
        <v>0</v>
      </c>
      <c r="H2288" s="551">
        <v>0</v>
      </c>
      <c r="I2288" s="551">
        <v>0</v>
      </c>
      <c r="J2288" s="551">
        <v>0</v>
      </c>
      <c r="K2288" s="527">
        <f t="shared" si="1303"/>
        <v>0</v>
      </c>
      <c r="L2288" s="528">
        <f t="shared" si="1304"/>
        <v>0</v>
      </c>
      <c r="M2288" s="528">
        <f t="shared" si="1305"/>
        <v>0</v>
      </c>
      <c r="N2288" s="528">
        <f t="shared" si="1306"/>
        <v>0</v>
      </c>
      <c r="O2288" s="528">
        <f t="shared" si="1307"/>
        <v>0</v>
      </c>
      <c r="P2288" s="529">
        <f t="shared" si="1308"/>
        <v>0</v>
      </c>
      <c r="Q2288" s="24">
        <f t="shared" si="1309"/>
        <v>0</v>
      </c>
      <c r="R2288" s="530">
        <f t="shared" si="1310"/>
        <v>0</v>
      </c>
    </row>
    <row r="2289" spans="1:18">
      <c r="A2289" s="524"/>
      <c r="B2289" s="531" t="s">
        <v>96</v>
      </c>
      <c r="C2289" s="533">
        <f t="shared" ref="C2289:J2289" si="1317">SUM(C2285:C2288)</f>
        <v>2956.31</v>
      </c>
      <c r="D2289" s="533">
        <f t="shared" si="1317"/>
        <v>68503</v>
      </c>
      <c r="E2289" s="533">
        <f t="shared" si="1317"/>
        <v>2095</v>
      </c>
      <c r="F2289" s="533">
        <f t="shared" si="1317"/>
        <v>5</v>
      </c>
      <c r="G2289" s="533">
        <f t="shared" si="1317"/>
        <v>71016</v>
      </c>
      <c r="H2289" s="533">
        <f t="shared" si="1317"/>
        <v>63</v>
      </c>
      <c r="I2289" s="533">
        <f t="shared" si="1317"/>
        <v>6</v>
      </c>
      <c r="J2289" s="533">
        <f t="shared" si="1317"/>
        <v>14</v>
      </c>
      <c r="K2289" s="534">
        <f t="shared" si="1303"/>
        <v>0.0305826022218005</v>
      </c>
      <c r="L2289" s="535">
        <f t="shared" si="1304"/>
        <v>1.41112649164678</v>
      </c>
      <c r="M2289" s="535">
        <f t="shared" si="1305"/>
        <v>43.1559201786783</v>
      </c>
      <c r="N2289" s="535">
        <f t="shared" si="1306"/>
        <v>24.0218380345769</v>
      </c>
      <c r="O2289" s="535">
        <f t="shared" si="1307"/>
        <v>0.00238663484486874</v>
      </c>
      <c r="P2289" s="536">
        <f t="shared" si="1308"/>
        <v>42.8450724637681</v>
      </c>
      <c r="Q2289" s="531">
        <f t="shared" si="1309"/>
        <v>69</v>
      </c>
      <c r="R2289" s="537">
        <f t="shared" si="1310"/>
        <v>0.0329355608591885</v>
      </c>
    </row>
    <row r="2290" spans="1:18">
      <c r="A2290" s="524">
        <v>45908</v>
      </c>
      <c r="B2290" s="540" t="s">
        <v>98</v>
      </c>
      <c r="C2290" s="551">
        <v>799.58</v>
      </c>
      <c r="D2290" s="553">
        <v>18214</v>
      </c>
      <c r="E2290" s="551">
        <v>593</v>
      </c>
      <c r="F2290" s="551">
        <v>6</v>
      </c>
      <c r="G2290" s="551">
        <v>110170</v>
      </c>
      <c r="H2290" s="551">
        <v>26</v>
      </c>
      <c r="I2290" s="551">
        <v>3</v>
      </c>
      <c r="J2290" s="551">
        <v>2</v>
      </c>
      <c r="K2290" s="527">
        <f t="shared" si="1303"/>
        <v>0.0325573734489953</v>
      </c>
      <c r="L2290" s="528">
        <f t="shared" si="1304"/>
        <v>1.34836424957841</v>
      </c>
      <c r="M2290" s="528">
        <f t="shared" si="1305"/>
        <v>43.8991984187987</v>
      </c>
      <c r="N2290" s="528">
        <f t="shared" si="1306"/>
        <v>137.784837039446</v>
      </c>
      <c r="O2290" s="528">
        <f t="shared" si="1307"/>
        <v>0.0101180438448567</v>
      </c>
      <c r="P2290" s="529">
        <f t="shared" si="1308"/>
        <v>27.571724137931</v>
      </c>
      <c r="Q2290" s="24">
        <f t="shared" si="1309"/>
        <v>29</v>
      </c>
      <c r="R2290" s="530">
        <f t="shared" si="1310"/>
        <v>0.0489038785834739</v>
      </c>
    </row>
    <row r="2291" spans="1:18">
      <c r="A2291" s="524"/>
      <c r="B2291" s="540" t="s">
        <v>99</v>
      </c>
      <c r="C2291" s="551">
        <v>1488.18</v>
      </c>
      <c r="D2291" s="555">
        <v>32679</v>
      </c>
      <c r="E2291" s="551">
        <v>779</v>
      </c>
      <c r="F2291" s="551">
        <v>1</v>
      </c>
      <c r="G2291" s="551">
        <v>18774</v>
      </c>
      <c r="H2291" s="555">
        <v>21</v>
      </c>
      <c r="I2291" s="555">
        <v>2</v>
      </c>
      <c r="J2291" s="555">
        <v>2</v>
      </c>
      <c r="K2291" s="527">
        <f t="shared" si="1303"/>
        <v>0.0238379387374155</v>
      </c>
      <c r="L2291" s="528">
        <f t="shared" si="1304"/>
        <v>1.91037227214377</v>
      </c>
      <c r="M2291" s="528">
        <f t="shared" si="1305"/>
        <v>45.5393371890205</v>
      </c>
      <c r="N2291" s="528">
        <f t="shared" si="1306"/>
        <v>12.6154094262791</v>
      </c>
      <c r="O2291" s="528">
        <f t="shared" si="1307"/>
        <v>0.00128369704749679</v>
      </c>
      <c r="P2291" s="529">
        <f t="shared" si="1308"/>
        <v>64.7034782608696</v>
      </c>
      <c r="Q2291" s="24">
        <f t="shared" si="1309"/>
        <v>23</v>
      </c>
      <c r="R2291" s="530">
        <f t="shared" si="1310"/>
        <v>0.0295250320924262</v>
      </c>
    </row>
    <row r="2292" spans="1:18">
      <c r="A2292" s="524"/>
      <c r="B2292" s="540" t="s">
        <v>100</v>
      </c>
      <c r="C2292" s="552">
        <v>0</v>
      </c>
      <c r="D2292" s="553">
        <v>0</v>
      </c>
      <c r="E2292" s="553">
        <v>0</v>
      </c>
      <c r="F2292" s="551">
        <v>0</v>
      </c>
      <c r="G2292" s="551">
        <v>0</v>
      </c>
      <c r="H2292" s="551">
        <v>0</v>
      </c>
      <c r="I2292" s="551">
        <v>0</v>
      </c>
      <c r="J2292" s="551">
        <v>0</v>
      </c>
      <c r="K2292" s="527">
        <f t="shared" si="1303"/>
        <v>0</v>
      </c>
      <c r="L2292" s="528">
        <f t="shared" si="1304"/>
        <v>0</v>
      </c>
      <c r="M2292" s="528">
        <f t="shared" si="1305"/>
        <v>0</v>
      </c>
      <c r="N2292" s="528">
        <f t="shared" si="1306"/>
        <v>0</v>
      </c>
      <c r="O2292" s="528">
        <f t="shared" si="1307"/>
        <v>0</v>
      </c>
      <c r="P2292" s="529">
        <f t="shared" si="1308"/>
        <v>0</v>
      </c>
      <c r="Q2292" s="24">
        <f t="shared" si="1309"/>
        <v>0</v>
      </c>
      <c r="R2292" s="530">
        <f t="shared" si="1310"/>
        <v>0</v>
      </c>
    </row>
    <row r="2293" spans="1:18">
      <c r="A2293" s="524"/>
      <c r="B2293" s="540" t="s">
        <v>101</v>
      </c>
      <c r="C2293" s="552">
        <v>0</v>
      </c>
      <c r="D2293" s="553">
        <v>0</v>
      </c>
      <c r="E2293" s="551">
        <v>0</v>
      </c>
      <c r="F2293" s="551">
        <v>0</v>
      </c>
      <c r="G2293" s="551">
        <v>0</v>
      </c>
      <c r="H2293" s="551">
        <v>0</v>
      </c>
      <c r="I2293" s="551">
        <v>0</v>
      </c>
      <c r="J2293" s="551">
        <v>0</v>
      </c>
      <c r="K2293" s="527">
        <f t="shared" si="1303"/>
        <v>0</v>
      </c>
      <c r="L2293" s="528">
        <f t="shared" si="1304"/>
        <v>0</v>
      </c>
      <c r="M2293" s="528">
        <f t="shared" si="1305"/>
        <v>0</v>
      </c>
      <c r="N2293" s="528">
        <f t="shared" si="1306"/>
        <v>0</v>
      </c>
      <c r="O2293" s="528">
        <f t="shared" si="1307"/>
        <v>0</v>
      </c>
      <c r="P2293" s="529">
        <f t="shared" si="1308"/>
        <v>0</v>
      </c>
      <c r="Q2293" s="24">
        <f t="shared" si="1309"/>
        <v>0</v>
      </c>
      <c r="R2293" s="530">
        <f t="shared" si="1310"/>
        <v>0</v>
      </c>
    </row>
    <row r="2294" spans="1:18">
      <c r="A2294" s="524"/>
      <c r="B2294" s="531" t="s">
        <v>96</v>
      </c>
      <c r="C2294" s="533">
        <f t="shared" ref="C2294:J2294" si="1318">SUM(C2290:C2293)</f>
        <v>2287.76</v>
      </c>
      <c r="D2294" s="533">
        <f t="shared" si="1318"/>
        <v>50893</v>
      </c>
      <c r="E2294" s="533">
        <f t="shared" si="1318"/>
        <v>1372</v>
      </c>
      <c r="F2294" s="533">
        <f t="shared" si="1318"/>
        <v>7</v>
      </c>
      <c r="G2294" s="533">
        <f t="shared" si="1318"/>
        <v>128944</v>
      </c>
      <c r="H2294" s="533">
        <f t="shared" si="1318"/>
        <v>47</v>
      </c>
      <c r="I2294" s="533">
        <f t="shared" si="1318"/>
        <v>5</v>
      </c>
      <c r="J2294" s="533">
        <f t="shared" si="1318"/>
        <v>4</v>
      </c>
      <c r="K2294" s="534">
        <f t="shared" si="1303"/>
        <v>0.0269585208181872</v>
      </c>
      <c r="L2294" s="535">
        <f t="shared" si="1304"/>
        <v>1.66746355685131</v>
      </c>
      <c r="M2294" s="535">
        <f t="shared" si="1305"/>
        <v>44.9523510109445</v>
      </c>
      <c r="N2294" s="535">
        <f t="shared" si="1306"/>
        <v>56.362555512816</v>
      </c>
      <c r="O2294" s="535">
        <f t="shared" si="1307"/>
        <v>0.00510204081632653</v>
      </c>
      <c r="P2294" s="536">
        <f t="shared" si="1308"/>
        <v>43.9953846153846</v>
      </c>
      <c r="Q2294" s="531">
        <f t="shared" si="1309"/>
        <v>52</v>
      </c>
      <c r="R2294" s="537">
        <f t="shared" si="1310"/>
        <v>0.0379008746355685</v>
      </c>
    </row>
    <row r="2295" spans="1:18">
      <c r="A2295" s="524">
        <v>45909</v>
      </c>
      <c r="B2295" s="540" t="s">
        <v>98</v>
      </c>
      <c r="C2295" s="551">
        <v>798.58</v>
      </c>
      <c r="D2295" s="553">
        <v>15771</v>
      </c>
      <c r="E2295" s="551">
        <v>616</v>
      </c>
      <c r="F2295" s="551">
        <v>2</v>
      </c>
      <c r="G2295" s="551">
        <v>18018</v>
      </c>
      <c r="H2295" s="551">
        <v>35</v>
      </c>
      <c r="I2295" s="551">
        <v>5</v>
      </c>
      <c r="J2295" s="551">
        <v>3</v>
      </c>
      <c r="K2295" s="527">
        <f t="shared" si="1303"/>
        <v>0.0390590324012428</v>
      </c>
      <c r="L2295" s="528">
        <f t="shared" si="1304"/>
        <v>1.2963961038961</v>
      </c>
      <c r="M2295" s="528">
        <f t="shared" si="1305"/>
        <v>50.6359774269228</v>
      </c>
      <c r="N2295" s="528">
        <f t="shared" si="1306"/>
        <v>22.5625485236294</v>
      </c>
      <c r="O2295" s="528">
        <f t="shared" si="1307"/>
        <v>0.00324675324675325</v>
      </c>
      <c r="P2295" s="529">
        <f t="shared" si="1308"/>
        <v>19.9645</v>
      </c>
      <c r="Q2295" s="24">
        <f t="shared" si="1309"/>
        <v>40</v>
      </c>
      <c r="R2295" s="530">
        <f t="shared" si="1310"/>
        <v>0.0649350649350649</v>
      </c>
    </row>
    <row r="2296" spans="1:18">
      <c r="A2296" s="524"/>
      <c r="B2296" s="540" t="s">
        <v>99</v>
      </c>
      <c r="C2296" s="551">
        <v>514.99</v>
      </c>
      <c r="D2296" s="555">
        <v>5102</v>
      </c>
      <c r="E2296" s="551">
        <v>227</v>
      </c>
      <c r="F2296" s="551">
        <v>0</v>
      </c>
      <c r="G2296" s="551">
        <v>0</v>
      </c>
      <c r="H2296" s="555">
        <v>6</v>
      </c>
      <c r="I2296" s="555">
        <v>1</v>
      </c>
      <c r="J2296" s="555">
        <v>2</v>
      </c>
      <c r="K2296" s="527">
        <f t="shared" si="1303"/>
        <v>0.0444923559388475</v>
      </c>
      <c r="L2296" s="528">
        <f t="shared" si="1304"/>
        <v>2.26867841409692</v>
      </c>
      <c r="M2296" s="528">
        <f t="shared" si="1305"/>
        <v>100.93884751078</v>
      </c>
      <c r="N2296" s="528">
        <f t="shared" si="1306"/>
        <v>0</v>
      </c>
      <c r="O2296" s="528">
        <f t="shared" si="1307"/>
        <v>0</v>
      </c>
      <c r="P2296" s="529">
        <f t="shared" si="1308"/>
        <v>73.57</v>
      </c>
      <c r="Q2296" s="24">
        <f t="shared" si="1309"/>
        <v>7</v>
      </c>
      <c r="R2296" s="530">
        <f t="shared" si="1310"/>
        <v>0.0308370044052863</v>
      </c>
    </row>
    <row r="2297" spans="1:18">
      <c r="A2297" s="524"/>
      <c r="B2297" s="540" t="s">
        <v>100</v>
      </c>
      <c r="C2297" s="552">
        <v>0</v>
      </c>
      <c r="D2297" s="553">
        <v>0</v>
      </c>
      <c r="E2297" s="553">
        <v>0</v>
      </c>
      <c r="F2297" s="551">
        <v>0</v>
      </c>
      <c r="G2297" s="551">
        <v>0</v>
      </c>
      <c r="H2297" s="551">
        <v>0</v>
      </c>
      <c r="I2297" s="551">
        <v>0</v>
      </c>
      <c r="J2297" s="551">
        <v>0</v>
      </c>
      <c r="K2297" s="527">
        <f t="shared" si="1303"/>
        <v>0</v>
      </c>
      <c r="L2297" s="528">
        <f t="shared" si="1304"/>
        <v>0</v>
      </c>
      <c r="M2297" s="528">
        <f t="shared" si="1305"/>
        <v>0</v>
      </c>
      <c r="N2297" s="528">
        <f t="shared" si="1306"/>
        <v>0</v>
      </c>
      <c r="O2297" s="528">
        <f t="shared" si="1307"/>
        <v>0</v>
      </c>
      <c r="P2297" s="529">
        <f t="shared" si="1308"/>
        <v>0</v>
      </c>
      <c r="Q2297" s="24">
        <f t="shared" si="1309"/>
        <v>0</v>
      </c>
      <c r="R2297" s="530">
        <f t="shared" si="1310"/>
        <v>0</v>
      </c>
    </row>
    <row r="2298" spans="1:18">
      <c r="A2298" s="524"/>
      <c r="B2298" s="540" t="s">
        <v>101</v>
      </c>
      <c r="C2298" s="552">
        <v>0</v>
      </c>
      <c r="D2298" s="553">
        <v>0</v>
      </c>
      <c r="E2298" s="551">
        <v>0</v>
      </c>
      <c r="F2298" s="551">
        <v>0</v>
      </c>
      <c r="G2298" s="551">
        <v>0</v>
      </c>
      <c r="H2298" s="551">
        <v>0</v>
      </c>
      <c r="I2298" s="551">
        <v>0</v>
      </c>
      <c r="J2298" s="551">
        <v>0</v>
      </c>
      <c r="K2298" s="527">
        <f t="shared" si="1303"/>
        <v>0</v>
      </c>
      <c r="L2298" s="528">
        <f t="shared" si="1304"/>
        <v>0</v>
      </c>
      <c r="M2298" s="528">
        <f t="shared" si="1305"/>
        <v>0</v>
      </c>
      <c r="N2298" s="528">
        <f t="shared" si="1306"/>
        <v>0</v>
      </c>
      <c r="O2298" s="528">
        <f t="shared" si="1307"/>
        <v>0</v>
      </c>
      <c r="P2298" s="529">
        <f t="shared" si="1308"/>
        <v>0</v>
      </c>
      <c r="Q2298" s="24">
        <f t="shared" si="1309"/>
        <v>0</v>
      </c>
      <c r="R2298" s="530">
        <f t="shared" si="1310"/>
        <v>0</v>
      </c>
    </row>
    <row r="2299" spans="1:18">
      <c r="A2299" s="524"/>
      <c r="B2299" s="531" t="s">
        <v>96</v>
      </c>
      <c r="C2299" s="533">
        <f t="shared" ref="C2299:J2299" si="1319">SUM(C2295:C2298)</f>
        <v>1313.57</v>
      </c>
      <c r="D2299" s="533">
        <f t="shared" si="1319"/>
        <v>20873</v>
      </c>
      <c r="E2299" s="533">
        <f t="shared" si="1319"/>
        <v>843</v>
      </c>
      <c r="F2299" s="533">
        <f t="shared" si="1319"/>
        <v>2</v>
      </c>
      <c r="G2299" s="533">
        <f t="shared" si="1319"/>
        <v>18018</v>
      </c>
      <c r="H2299" s="533">
        <f t="shared" si="1319"/>
        <v>41</v>
      </c>
      <c r="I2299" s="533">
        <f t="shared" si="1319"/>
        <v>6</v>
      </c>
      <c r="J2299" s="533">
        <f t="shared" si="1319"/>
        <v>5</v>
      </c>
      <c r="K2299" s="534">
        <f t="shared" si="1303"/>
        <v>0.0403871029559718</v>
      </c>
      <c r="L2299" s="535">
        <f t="shared" si="1304"/>
        <v>1.55820877817319</v>
      </c>
      <c r="M2299" s="535">
        <f t="shared" si="1305"/>
        <v>62.9315383509797</v>
      </c>
      <c r="N2299" s="535">
        <f t="shared" si="1306"/>
        <v>13.7168175278059</v>
      </c>
      <c r="O2299" s="535">
        <f t="shared" si="1307"/>
        <v>0.00237247924080664</v>
      </c>
      <c r="P2299" s="536">
        <f t="shared" si="1308"/>
        <v>27.9482978723404</v>
      </c>
      <c r="Q2299" s="531">
        <f t="shared" si="1309"/>
        <v>47</v>
      </c>
      <c r="R2299" s="537">
        <f t="shared" si="1310"/>
        <v>0.0557532621589561</v>
      </c>
    </row>
    <row r="2300" spans="1:18">
      <c r="A2300" s="524">
        <v>45910</v>
      </c>
      <c r="B2300" s="540" t="s">
        <v>98</v>
      </c>
      <c r="C2300" s="551">
        <v>794.41</v>
      </c>
      <c r="D2300" s="553">
        <v>17509</v>
      </c>
      <c r="E2300" s="551">
        <v>626</v>
      </c>
      <c r="F2300" s="551">
        <v>1</v>
      </c>
      <c r="G2300" s="551">
        <v>200</v>
      </c>
      <c r="H2300" s="551">
        <v>29</v>
      </c>
      <c r="I2300" s="551">
        <v>4</v>
      </c>
      <c r="J2300" s="551">
        <v>4</v>
      </c>
      <c r="K2300" s="527">
        <f t="shared" si="1303"/>
        <v>0.0357530412930493</v>
      </c>
      <c r="L2300" s="528">
        <f t="shared" si="1304"/>
        <v>1.26902555910543</v>
      </c>
      <c r="M2300" s="528">
        <f t="shared" si="1305"/>
        <v>45.3715232166314</v>
      </c>
      <c r="N2300" s="528">
        <f t="shared" si="1306"/>
        <v>0.251759167180675</v>
      </c>
      <c r="O2300" s="528">
        <f t="shared" si="1307"/>
        <v>0.00159744408945687</v>
      </c>
      <c r="P2300" s="529">
        <f t="shared" si="1308"/>
        <v>24.0730303030303</v>
      </c>
      <c r="Q2300" s="24">
        <f t="shared" si="1309"/>
        <v>33</v>
      </c>
      <c r="R2300" s="530">
        <f t="shared" si="1310"/>
        <v>0.0527156549520767</v>
      </c>
    </row>
    <row r="2301" spans="1:18">
      <c r="A2301" s="524"/>
      <c r="B2301" s="540" t="s">
        <v>99</v>
      </c>
      <c r="C2301" s="551">
        <v>2150.49</v>
      </c>
      <c r="D2301" s="555">
        <v>45548</v>
      </c>
      <c r="E2301" s="551">
        <v>1298</v>
      </c>
      <c r="F2301" s="551">
        <v>4</v>
      </c>
      <c r="G2301" s="551">
        <v>74980</v>
      </c>
      <c r="H2301" s="555">
        <v>31</v>
      </c>
      <c r="I2301" s="555">
        <v>6</v>
      </c>
      <c r="J2301" s="555">
        <v>7</v>
      </c>
      <c r="K2301" s="527">
        <f t="shared" si="1303"/>
        <v>0.0284974093264249</v>
      </c>
      <c r="L2301" s="528">
        <f t="shared" si="1304"/>
        <v>1.6567719568567</v>
      </c>
      <c r="M2301" s="528">
        <f t="shared" si="1305"/>
        <v>47.2137086150874</v>
      </c>
      <c r="N2301" s="528">
        <f t="shared" si="1306"/>
        <v>34.8664722923613</v>
      </c>
      <c r="O2301" s="528">
        <f t="shared" si="1307"/>
        <v>0.00308166409861325</v>
      </c>
      <c r="P2301" s="529">
        <f t="shared" si="1308"/>
        <v>58.1213513513513</v>
      </c>
      <c r="Q2301" s="24">
        <f t="shared" si="1309"/>
        <v>37</v>
      </c>
      <c r="R2301" s="530">
        <f t="shared" si="1310"/>
        <v>0.0285053929121726</v>
      </c>
    </row>
    <row r="2302" spans="1:18">
      <c r="A2302" s="524"/>
      <c r="B2302" s="540" t="s">
        <v>100</v>
      </c>
      <c r="C2302" s="552">
        <v>0</v>
      </c>
      <c r="D2302" s="553">
        <v>0</v>
      </c>
      <c r="E2302" s="553">
        <v>0</v>
      </c>
      <c r="F2302" s="551">
        <v>0</v>
      </c>
      <c r="G2302" s="551">
        <v>0</v>
      </c>
      <c r="H2302" s="551">
        <v>0</v>
      </c>
      <c r="I2302" s="551">
        <v>0</v>
      </c>
      <c r="J2302" s="551">
        <v>0</v>
      </c>
      <c r="K2302" s="527">
        <f t="shared" si="1303"/>
        <v>0</v>
      </c>
      <c r="L2302" s="528">
        <f t="shared" si="1304"/>
        <v>0</v>
      </c>
      <c r="M2302" s="528">
        <f t="shared" si="1305"/>
        <v>0</v>
      </c>
      <c r="N2302" s="528">
        <f t="shared" si="1306"/>
        <v>0</v>
      </c>
      <c r="O2302" s="528">
        <f t="shared" si="1307"/>
        <v>0</v>
      </c>
      <c r="P2302" s="529">
        <f t="shared" si="1308"/>
        <v>0</v>
      </c>
      <c r="Q2302" s="24">
        <f t="shared" si="1309"/>
        <v>0</v>
      </c>
      <c r="R2302" s="530">
        <f t="shared" si="1310"/>
        <v>0</v>
      </c>
    </row>
    <row r="2303" spans="1:18">
      <c r="A2303" s="524"/>
      <c r="B2303" s="540" t="s">
        <v>101</v>
      </c>
      <c r="C2303" s="552">
        <v>0</v>
      </c>
      <c r="D2303" s="553">
        <v>0</v>
      </c>
      <c r="E2303" s="551">
        <v>0</v>
      </c>
      <c r="F2303" s="551">
        <v>0</v>
      </c>
      <c r="G2303" s="551">
        <v>0</v>
      </c>
      <c r="H2303" s="551">
        <v>0</v>
      </c>
      <c r="I2303" s="551">
        <v>0</v>
      </c>
      <c r="J2303" s="551">
        <v>0</v>
      </c>
      <c r="K2303" s="527">
        <f t="shared" si="1303"/>
        <v>0</v>
      </c>
      <c r="L2303" s="528">
        <f t="shared" si="1304"/>
        <v>0</v>
      </c>
      <c r="M2303" s="528">
        <f t="shared" si="1305"/>
        <v>0</v>
      </c>
      <c r="N2303" s="528">
        <f t="shared" si="1306"/>
        <v>0</v>
      </c>
      <c r="O2303" s="528">
        <f t="shared" si="1307"/>
        <v>0</v>
      </c>
      <c r="P2303" s="529">
        <f t="shared" si="1308"/>
        <v>0</v>
      </c>
      <c r="Q2303" s="24">
        <f t="shared" si="1309"/>
        <v>0</v>
      </c>
      <c r="R2303" s="530">
        <f t="shared" si="1310"/>
        <v>0</v>
      </c>
    </row>
    <row r="2304" spans="1:18">
      <c r="A2304" s="524"/>
      <c r="B2304" s="531" t="s">
        <v>96</v>
      </c>
      <c r="C2304" s="533">
        <f t="shared" ref="C2304:J2304" si="1320">SUM(C2300:C2303)</f>
        <v>2944.9</v>
      </c>
      <c r="D2304" s="533">
        <f t="shared" si="1320"/>
        <v>63057</v>
      </c>
      <c r="E2304" s="533">
        <f t="shared" si="1320"/>
        <v>1924</v>
      </c>
      <c r="F2304" s="533">
        <f t="shared" si="1320"/>
        <v>5</v>
      </c>
      <c r="G2304" s="533">
        <f t="shared" si="1320"/>
        <v>75180</v>
      </c>
      <c r="H2304" s="533">
        <f t="shared" si="1320"/>
        <v>60</v>
      </c>
      <c r="I2304" s="533">
        <f t="shared" si="1320"/>
        <v>10</v>
      </c>
      <c r="J2304" s="533">
        <f t="shared" si="1320"/>
        <v>11</v>
      </c>
      <c r="K2304" s="534">
        <f t="shared" si="1303"/>
        <v>0.0305120763753429</v>
      </c>
      <c r="L2304" s="535">
        <f t="shared" si="1304"/>
        <v>1.53061330561331</v>
      </c>
      <c r="M2304" s="535">
        <f t="shared" si="1305"/>
        <v>46.7021900819893</v>
      </c>
      <c r="N2304" s="535">
        <f t="shared" si="1306"/>
        <v>25.5288804373663</v>
      </c>
      <c r="O2304" s="535">
        <f t="shared" si="1307"/>
        <v>0.0025987525987526</v>
      </c>
      <c r="P2304" s="536">
        <f t="shared" si="1308"/>
        <v>42.07</v>
      </c>
      <c r="Q2304" s="531">
        <f t="shared" si="1309"/>
        <v>70</v>
      </c>
      <c r="R2304" s="537">
        <f t="shared" si="1310"/>
        <v>0.0363825363825364</v>
      </c>
    </row>
    <row r="2305" spans="1:18">
      <c r="A2305" s="524">
        <v>45911</v>
      </c>
      <c r="B2305" s="540" t="s">
        <v>98</v>
      </c>
      <c r="C2305" s="551">
        <v>699.92</v>
      </c>
      <c r="D2305" s="553">
        <v>16519</v>
      </c>
      <c r="E2305" s="551">
        <v>596</v>
      </c>
      <c r="F2305" s="551">
        <v>2</v>
      </c>
      <c r="G2305" s="551">
        <v>26694</v>
      </c>
      <c r="H2305" s="551">
        <v>28</v>
      </c>
      <c r="I2305" s="551">
        <v>6</v>
      </c>
      <c r="J2305" s="551">
        <v>1</v>
      </c>
      <c r="K2305" s="527">
        <f t="shared" si="1303"/>
        <v>0.0360796658393365</v>
      </c>
      <c r="L2305" s="528">
        <f t="shared" si="1304"/>
        <v>1.17436241610738</v>
      </c>
      <c r="M2305" s="528">
        <f t="shared" si="1305"/>
        <v>42.3706035474302</v>
      </c>
      <c r="N2305" s="528">
        <f t="shared" si="1306"/>
        <v>38.1386444165047</v>
      </c>
      <c r="O2305" s="528">
        <f t="shared" si="1307"/>
        <v>0.00335570469798658</v>
      </c>
      <c r="P2305" s="529">
        <f t="shared" si="1308"/>
        <v>20.5858823529412</v>
      </c>
      <c r="Q2305" s="24">
        <f t="shared" si="1309"/>
        <v>34</v>
      </c>
      <c r="R2305" s="530">
        <f t="shared" si="1310"/>
        <v>0.0570469798657718</v>
      </c>
    </row>
    <row r="2306" spans="1:18">
      <c r="A2306" s="524"/>
      <c r="B2306" s="540" t="s">
        <v>99</v>
      </c>
      <c r="C2306" s="551">
        <v>1140.71</v>
      </c>
      <c r="D2306" s="555">
        <v>10939</v>
      </c>
      <c r="E2306" s="551">
        <v>627</v>
      </c>
      <c r="F2306" s="551">
        <v>0</v>
      </c>
      <c r="G2306" s="551">
        <v>0</v>
      </c>
      <c r="H2306" s="555">
        <v>18</v>
      </c>
      <c r="I2306" s="555">
        <v>2</v>
      </c>
      <c r="J2306" s="555">
        <v>5</v>
      </c>
      <c r="K2306" s="527">
        <f t="shared" si="1303"/>
        <v>0.0573178535515129</v>
      </c>
      <c r="L2306" s="528">
        <f t="shared" si="1304"/>
        <v>1.81931419457735</v>
      </c>
      <c r="M2306" s="528">
        <f t="shared" si="1305"/>
        <v>104.279184568973</v>
      </c>
      <c r="N2306" s="528">
        <f t="shared" si="1306"/>
        <v>0</v>
      </c>
      <c r="O2306" s="528">
        <f t="shared" si="1307"/>
        <v>0</v>
      </c>
      <c r="P2306" s="529">
        <f t="shared" si="1308"/>
        <v>57.0355</v>
      </c>
      <c r="Q2306" s="24">
        <f t="shared" si="1309"/>
        <v>20</v>
      </c>
      <c r="R2306" s="530">
        <f t="shared" si="1310"/>
        <v>0.0318979266347687</v>
      </c>
    </row>
    <row r="2307" spans="1:18">
      <c r="A2307" s="524"/>
      <c r="B2307" s="540" t="s">
        <v>100</v>
      </c>
      <c r="C2307" s="552">
        <v>0</v>
      </c>
      <c r="D2307" s="553">
        <v>0</v>
      </c>
      <c r="E2307" s="553">
        <v>0</v>
      </c>
      <c r="F2307" s="551">
        <v>0</v>
      </c>
      <c r="G2307" s="551">
        <v>0</v>
      </c>
      <c r="H2307" s="551">
        <v>0</v>
      </c>
      <c r="I2307" s="551">
        <v>0</v>
      </c>
      <c r="J2307" s="551">
        <v>0</v>
      </c>
      <c r="K2307" s="527">
        <f t="shared" si="1303"/>
        <v>0</v>
      </c>
      <c r="L2307" s="528">
        <f t="shared" si="1304"/>
        <v>0</v>
      </c>
      <c r="M2307" s="528">
        <f t="shared" si="1305"/>
        <v>0</v>
      </c>
      <c r="N2307" s="528">
        <f t="shared" si="1306"/>
        <v>0</v>
      </c>
      <c r="O2307" s="528">
        <f t="shared" si="1307"/>
        <v>0</v>
      </c>
      <c r="P2307" s="529">
        <f t="shared" si="1308"/>
        <v>0</v>
      </c>
      <c r="Q2307" s="24">
        <f t="shared" si="1309"/>
        <v>0</v>
      </c>
      <c r="R2307" s="530">
        <f t="shared" si="1310"/>
        <v>0</v>
      </c>
    </row>
    <row r="2308" spans="1:18">
      <c r="A2308" s="524"/>
      <c r="B2308" s="540" t="s">
        <v>101</v>
      </c>
      <c r="C2308" s="552">
        <v>0</v>
      </c>
      <c r="D2308" s="553">
        <v>0</v>
      </c>
      <c r="E2308" s="551">
        <v>0</v>
      </c>
      <c r="F2308" s="551">
        <v>0</v>
      </c>
      <c r="G2308" s="551">
        <v>0</v>
      </c>
      <c r="H2308" s="551">
        <v>0</v>
      </c>
      <c r="I2308" s="551">
        <v>0</v>
      </c>
      <c r="J2308" s="551">
        <v>0</v>
      </c>
      <c r="K2308" s="527">
        <f t="shared" si="1303"/>
        <v>0</v>
      </c>
      <c r="L2308" s="528">
        <f t="shared" si="1304"/>
        <v>0</v>
      </c>
      <c r="M2308" s="528">
        <f t="shared" si="1305"/>
        <v>0</v>
      </c>
      <c r="N2308" s="528">
        <f t="shared" si="1306"/>
        <v>0</v>
      </c>
      <c r="O2308" s="528">
        <f t="shared" si="1307"/>
        <v>0</v>
      </c>
      <c r="P2308" s="529">
        <f t="shared" si="1308"/>
        <v>0</v>
      </c>
      <c r="Q2308" s="24">
        <f t="shared" si="1309"/>
        <v>0</v>
      </c>
      <c r="R2308" s="530">
        <f t="shared" si="1310"/>
        <v>0</v>
      </c>
    </row>
    <row r="2309" spans="1:18">
      <c r="A2309" s="524"/>
      <c r="B2309" s="531" t="s">
        <v>96</v>
      </c>
      <c r="C2309" s="533">
        <f t="shared" ref="C2309:J2309" si="1321">SUM(C2305:C2308)</f>
        <v>1840.63</v>
      </c>
      <c r="D2309" s="533">
        <f t="shared" si="1321"/>
        <v>27458</v>
      </c>
      <c r="E2309" s="533">
        <f t="shared" si="1321"/>
        <v>1223</v>
      </c>
      <c r="F2309" s="533">
        <f t="shared" si="1321"/>
        <v>2</v>
      </c>
      <c r="G2309" s="533">
        <f t="shared" si="1321"/>
        <v>26694</v>
      </c>
      <c r="H2309" s="533">
        <f t="shared" si="1321"/>
        <v>46</v>
      </c>
      <c r="I2309" s="533">
        <f t="shared" si="1321"/>
        <v>8</v>
      </c>
      <c r="J2309" s="533">
        <f t="shared" si="1321"/>
        <v>6</v>
      </c>
      <c r="K2309" s="534">
        <f t="shared" si="1303"/>
        <v>0.0445407531502659</v>
      </c>
      <c r="L2309" s="535">
        <f t="shared" si="1304"/>
        <v>1.50501226492232</v>
      </c>
      <c r="M2309" s="535">
        <f t="shared" si="1305"/>
        <v>67.0343797800277</v>
      </c>
      <c r="N2309" s="535">
        <f t="shared" si="1306"/>
        <v>14.5026431167589</v>
      </c>
      <c r="O2309" s="535">
        <f t="shared" si="1307"/>
        <v>0.00163532297628782</v>
      </c>
      <c r="P2309" s="536">
        <f t="shared" si="1308"/>
        <v>34.0857407407407</v>
      </c>
      <c r="Q2309" s="531">
        <f t="shared" si="1309"/>
        <v>54</v>
      </c>
      <c r="R2309" s="537">
        <f t="shared" si="1310"/>
        <v>0.0441537203597711</v>
      </c>
    </row>
    <row r="2310" spans="1:18">
      <c r="A2310" s="524">
        <v>45912</v>
      </c>
      <c r="B2310" s="540" t="s">
        <v>98</v>
      </c>
      <c r="C2310" s="551">
        <v>699.24</v>
      </c>
      <c r="D2310" s="553">
        <v>23676</v>
      </c>
      <c r="E2310" s="551">
        <v>572</v>
      </c>
      <c r="F2310" s="551">
        <v>1</v>
      </c>
      <c r="G2310" s="551">
        <v>26601</v>
      </c>
      <c r="H2310" s="551">
        <v>26</v>
      </c>
      <c r="I2310" s="551">
        <v>4</v>
      </c>
      <c r="J2310" s="551">
        <v>1</v>
      </c>
      <c r="K2310" s="527">
        <f t="shared" si="1303"/>
        <v>0.0241594863997297</v>
      </c>
      <c r="L2310" s="528">
        <f t="shared" si="1304"/>
        <v>1.22244755244755</v>
      </c>
      <c r="M2310" s="528">
        <f t="shared" si="1305"/>
        <v>29.5337050177395</v>
      </c>
      <c r="N2310" s="528">
        <f t="shared" si="1306"/>
        <v>38.0427321091471</v>
      </c>
      <c r="O2310" s="528">
        <f t="shared" si="1307"/>
        <v>0.00174825174825175</v>
      </c>
      <c r="P2310" s="529">
        <f t="shared" si="1308"/>
        <v>23.308</v>
      </c>
      <c r="Q2310" s="24">
        <f t="shared" si="1309"/>
        <v>30</v>
      </c>
      <c r="R2310" s="530">
        <f t="shared" si="1310"/>
        <v>0.0524475524475524</v>
      </c>
    </row>
    <row r="2311" spans="1:18">
      <c r="A2311" s="524"/>
      <c r="B2311" s="540" t="s">
        <v>99</v>
      </c>
      <c r="C2311" s="551">
        <v>2154.69</v>
      </c>
      <c r="D2311" s="555">
        <v>41335</v>
      </c>
      <c r="E2311" s="551">
        <v>1204</v>
      </c>
      <c r="F2311" s="551">
        <v>2</v>
      </c>
      <c r="G2311" s="551">
        <v>26859</v>
      </c>
      <c r="H2311" s="555">
        <v>52</v>
      </c>
      <c r="I2311" s="555">
        <v>1</v>
      </c>
      <c r="J2311" s="555">
        <v>10</v>
      </c>
      <c r="K2311" s="527">
        <f t="shared" si="1303"/>
        <v>0.0291278577476715</v>
      </c>
      <c r="L2311" s="528">
        <f t="shared" si="1304"/>
        <v>1.7896096345515</v>
      </c>
      <c r="M2311" s="528">
        <f t="shared" si="1305"/>
        <v>52.1274948590783</v>
      </c>
      <c r="N2311" s="528">
        <f t="shared" si="1306"/>
        <v>12.4653662475809</v>
      </c>
      <c r="O2311" s="528">
        <f t="shared" si="1307"/>
        <v>0.00166112956810631</v>
      </c>
      <c r="P2311" s="529">
        <f t="shared" si="1308"/>
        <v>40.6545283018868</v>
      </c>
      <c r="Q2311" s="24">
        <f t="shared" si="1309"/>
        <v>53</v>
      </c>
      <c r="R2311" s="530">
        <f t="shared" si="1310"/>
        <v>0.0440199335548173</v>
      </c>
    </row>
    <row r="2312" spans="1:18">
      <c r="A2312" s="524"/>
      <c r="B2312" s="540" t="s">
        <v>100</v>
      </c>
      <c r="C2312" s="552">
        <v>0</v>
      </c>
      <c r="D2312" s="553">
        <v>0</v>
      </c>
      <c r="E2312" s="553">
        <v>0</v>
      </c>
      <c r="F2312" s="551">
        <v>0</v>
      </c>
      <c r="G2312" s="551">
        <v>0</v>
      </c>
      <c r="H2312" s="551">
        <v>0</v>
      </c>
      <c r="I2312" s="551">
        <v>0</v>
      </c>
      <c r="J2312" s="551">
        <v>0</v>
      </c>
      <c r="K2312" s="527">
        <f t="shared" si="1303"/>
        <v>0</v>
      </c>
      <c r="L2312" s="528">
        <f t="shared" si="1304"/>
        <v>0</v>
      </c>
      <c r="M2312" s="528">
        <f t="shared" si="1305"/>
        <v>0</v>
      </c>
      <c r="N2312" s="528">
        <f t="shared" si="1306"/>
        <v>0</v>
      </c>
      <c r="O2312" s="528">
        <f t="shared" si="1307"/>
        <v>0</v>
      </c>
      <c r="P2312" s="529">
        <f t="shared" si="1308"/>
        <v>0</v>
      </c>
      <c r="Q2312" s="24">
        <f t="shared" si="1309"/>
        <v>0</v>
      </c>
      <c r="R2312" s="530">
        <f t="shared" si="1310"/>
        <v>0</v>
      </c>
    </row>
    <row r="2313" spans="1:18">
      <c r="A2313" s="524"/>
      <c r="B2313" s="540" t="s">
        <v>101</v>
      </c>
      <c r="C2313" s="552">
        <v>0</v>
      </c>
      <c r="D2313" s="553">
        <v>0</v>
      </c>
      <c r="E2313" s="551">
        <v>0</v>
      </c>
      <c r="F2313" s="551">
        <v>0</v>
      </c>
      <c r="G2313" s="551">
        <v>0</v>
      </c>
      <c r="H2313" s="551">
        <v>0</v>
      </c>
      <c r="I2313" s="551">
        <v>0</v>
      </c>
      <c r="J2313" s="551">
        <v>0</v>
      </c>
      <c r="K2313" s="527">
        <f t="shared" si="1303"/>
        <v>0</v>
      </c>
      <c r="L2313" s="528">
        <f t="shared" si="1304"/>
        <v>0</v>
      </c>
      <c r="M2313" s="528">
        <f t="shared" si="1305"/>
        <v>0</v>
      </c>
      <c r="N2313" s="528">
        <f t="shared" si="1306"/>
        <v>0</v>
      </c>
      <c r="O2313" s="528">
        <f t="shared" si="1307"/>
        <v>0</v>
      </c>
      <c r="P2313" s="529">
        <f t="shared" si="1308"/>
        <v>0</v>
      </c>
      <c r="Q2313" s="24">
        <f t="shared" si="1309"/>
        <v>0</v>
      </c>
      <c r="R2313" s="530">
        <f t="shared" si="1310"/>
        <v>0</v>
      </c>
    </row>
    <row r="2314" spans="1:18">
      <c r="A2314" s="524"/>
      <c r="B2314" s="531" t="s">
        <v>96</v>
      </c>
      <c r="C2314" s="533">
        <f t="shared" ref="C2314:J2314" si="1322">SUM(C2310:C2313)</f>
        <v>2853.93</v>
      </c>
      <c r="D2314" s="533">
        <f t="shared" si="1322"/>
        <v>65011</v>
      </c>
      <c r="E2314" s="533">
        <f t="shared" si="1322"/>
        <v>1776</v>
      </c>
      <c r="F2314" s="533">
        <f t="shared" si="1322"/>
        <v>3</v>
      </c>
      <c r="G2314" s="533">
        <f t="shared" si="1322"/>
        <v>53460</v>
      </c>
      <c r="H2314" s="533">
        <f t="shared" si="1322"/>
        <v>78</v>
      </c>
      <c r="I2314" s="533">
        <f t="shared" si="1322"/>
        <v>5</v>
      </c>
      <c r="J2314" s="533">
        <f t="shared" si="1322"/>
        <v>11</v>
      </c>
      <c r="K2314" s="534">
        <f t="shared" si="1303"/>
        <v>0.0273184538001261</v>
      </c>
      <c r="L2314" s="535">
        <f t="shared" si="1304"/>
        <v>1.60694256756757</v>
      </c>
      <c r="M2314" s="535">
        <f t="shared" si="1305"/>
        <v>43.8991862915507</v>
      </c>
      <c r="N2314" s="535">
        <f t="shared" si="1306"/>
        <v>18.7320642061999</v>
      </c>
      <c r="O2314" s="535">
        <f t="shared" si="1307"/>
        <v>0.00168918918918919</v>
      </c>
      <c r="P2314" s="536">
        <f t="shared" si="1308"/>
        <v>34.3846987951807</v>
      </c>
      <c r="Q2314" s="531">
        <f t="shared" si="1309"/>
        <v>83</v>
      </c>
      <c r="R2314" s="537">
        <f t="shared" si="1310"/>
        <v>0.0467342342342342</v>
      </c>
    </row>
    <row r="2315" spans="1:18">
      <c r="A2315" s="524">
        <v>45913</v>
      </c>
      <c r="B2315" s="540" t="s">
        <v>98</v>
      </c>
      <c r="C2315" s="551">
        <v>700</v>
      </c>
      <c r="D2315" s="553">
        <v>25709</v>
      </c>
      <c r="E2315" s="551">
        <v>623</v>
      </c>
      <c r="F2315" s="551">
        <v>1</v>
      </c>
      <c r="G2315" s="551">
        <v>12734</v>
      </c>
      <c r="H2315" s="551">
        <v>6</v>
      </c>
      <c r="I2315" s="551">
        <v>5</v>
      </c>
      <c r="J2315" s="551">
        <v>3</v>
      </c>
      <c r="K2315" s="527">
        <f t="shared" si="1303"/>
        <v>0.0242327589560076</v>
      </c>
      <c r="L2315" s="528">
        <f t="shared" si="1304"/>
        <v>1.12359550561798</v>
      </c>
      <c r="M2315" s="528">
        <f t="shared" si="1305"/>
        <v>27.227819051694</v>
      </c>
      <c r="N2315" s="528">
        <f t="shared" si="1306"/>
        <v>18.1914285714286</v>
      </c>
      <c r="O2315" s="528">
        <f t="shared" si="1307"/>
        <v>0.00160513643659711</v>
      </c>
      <c r="P2315" s="529">
        <f t="shared" si="1308"/>
        <v>63.6363636363636</v>
      </c>
      <c r="Q2315" s="24">
        <f t="shared" si="1309"/>
        <v>11</v>
      </c>
      <c r="R2315" s="530">
        <f t="shared" si="1310"/>
        <v>0.0176565008025682</v>
      </c>
    </row>
    <row r="2316" spans="1:18">
      <c r="A2316" s="524"/>
      <c r="B2316" s="540" t="s">
        <v>99</v>
      </c>
      <c r="C2316" s="551">
        <v>2165.58</v>
      </c>
      <c r="D2316" s="555">
        <v>35932</v>
      </c>
      <c r="E2316" s="551">
        <v>1152</v>
      </c>
      <c r="F2316" s="551">
        <v>5</v>
      </c>
      <c r="G2316" s="551">
        <v>79597</v>
      </c>
      <c r="H2316" s="555">
        <v>21</v>
      </c>
      <c r="I2316" s="555">
        <v>1</v>
      </c>
      <c r="J2316" s="555">
        <v>7</v>
      </c>
      <c r="K2316" s="527">
        <f t="shared" si="1303"/>
        <v>0.0320605588333519</v>
      </c>
      <c r="L2316" s="528">
        <f t="shared" si="1304"/>
        <v>1.87984375</v>
      </c>
      <c r="M2316" s="528">
        <f t="shared" si="1305"/>
        <v>60.2688411443838</v>
      </c>
      <c r="N2316" s="528">
        <f t="shared" si="1306"/>
        <v>36.7555112256301</v>
      </c>
      <c r="O2316" s="528">
        <f t="shared" si="1307"/>
        <v>0.00434027777777778</v>
      </c>
      <c r="P2316" s="529">
        <f t="shared" si="1308"/>
        <v>98.4354545454545</v>
      </c>
      <c r="Q2316" s="24">
        <f t="shared" si="1309"/>
        <v>22</v>
      </c>
      <c r="R2316" s="530">
        <f t="shared" si="1310"/>
        <v>0.0190972222222222</v>
      </c>
    </row>
    <row r="2317" spans="1:18">
      <c r="A2317" s="524"/>
      <c r="B2317" s="540" t="s">
        <v>100</v>
      </c>
      <c r="C2317" s="552">
        <v>0</v>
      </c>
      <c r="D2317" s="553">
        <v>0</v>
      </c>
      <c r="E2317" s="553">
        <v>0</v>
      </c>
      <c r="F2317" s="551">
        <v>0</v>
      </c>
      <c r="G2317" s="551">
        <v>0</v>
      </c>
      <c r="H2317" s="551">
        <v>0</v>
      </c>
      <c r="I2317" s="551">
        <v>0</v>
      </c>
      <c r="J2317" s="551">
        <v>0</v>
      </c>
      <c r="K2317" s="527">
        <f t="shared" si="1303"/>
        <v>0</v>
      </c>
      <c r="L2317" s="528">
        <f t="shared" si="1304"/>
        <v>0</v>
      </c>
      <c r="M2317" s="528">
        <f t="shared" si="1305"/>
        <v>0</v>
      </c>
      <c r="N2317" s="528">
        <f t="shared" si="1306"/>
        <v>0</v>
      </c>
      <c r="O2317" s="528">
        <f t="shared" si="1307"/>
        <v>0</v>
      </c>
      <c r="P2317" s="529">
        <f t="shared" si="1308"/>
        <v>0</v>
      </c>
      <c r="Q2317" s="24">
        <f t="shared" si="1309"/>
        <v>0</v>
      </c>
      <c r="R2317" s="530">
        <f t="shared" si="1310"/>
        <v>0</v>
      </c>
    </row>
    <row r="2318" spans="1:18">
      <c r="A2318" s="524"/>
      <c r="B2318" s="540" t="s">
        <v>101</v>
      </c>
      <c r="C2318" s="552">
        <v>0</v>
      </c>
      <c r="D2318" s="553">
        <v>0</v>
      </c>
      <c r="E2318" s="551">
        <v>0</v>
      </c>
      <c r="F2318" s="551">
        <v>0</v>
      </c>
      <c r="G2318" s="551">
        <v>0</v>
      </c>
      <c r="H2318" s="551">
        <v>0</v>
      </c>
      <c r="I2318" s="551">
        <v>0</v>
      </c>
      <c r="J2318" s="551">
        <v>0</v>
      </c>
      <c r="K2318" s="527">
        <f t="shared" si="1303"/>
        <v>0</v>
      </c>
      <c r="L2318" s="528">
        <f t="shared" si="1304"/>
        <v>0</v>
      </c>
      <c r="M2318" s="528">
        <f t="shared" si="1305"/>
        <v>0</v>
      </c>
      <c r="N2318" s="528">
        <f t="shared" si="1306"/>
        <v>0</v>
      </c>
      <c r="O2318" s="528">
        <f t="shared" si="1307"/>
        <v>0</v>
      </c>
      <c r="P2318" s="529">
        <f t="shared" si="1308"/>
        <v>0</v>
      </c>
      <c r="Q2318" s="24">
        <f t="shared" si="1309"/>
        <v>0</v>
      </c>
      <c r="R2318" s="530">
        <f t="shared" si="1310"/>
        <v>0</v>
      </c>
    </row>
    <row r="2319" spans="1:18">
      <c r="A2319" s="524"/>
      <c r="B2319" s="531" t="s">
        <v>96</v>
      </c>
      <c r="C2319" s="533">
        <f t="shared" ref="C2319:J2319" si="1323">SUM(C2315:C2318)</f>
        <v>2865.58</v>
      </c>
      <c r="D2319" s="533">
        <f t="shared" si="1323"/>
        <v>61641</v>
      </c>
      <c r="E2319" s="533">
        <f t="shared" si="1323"/>
        <v>1775</v>
      </c>
      <c r="F2319" s="533">
        <f t="shared" si="1323"/>
        <v>6</v>
      </c>
      <c r="G2319" s="533">
        <f t="shared" si="1323"/>
        <v>92331</v>
      </c>
      <c r="H2319" s="533">
        <f t="shared" si="1323"/>
        <v>27</v>
      </c>
      <c r="I2319" s="533">
        <f t="shared" si="1323"/>
        <v>6</v>
      </c>
      <c r="J2319" s="533">
        <f t="shared" si="1323"/>
        <v>10</v>
      </c>
      <c r="K2319" s="534">
        <f t="shared" si="1303"/>
        <v>0.0287957690498207</v>
      </c>
      <c r="L2319" s="535">
        <f t="shared" si="1304"/>
        <v>1.61441126760563</v>
      </c>
      <c r="M2319" s="535">
        <f t="shared" si="1305"/>
        <v>46.4882140134002</v>
      </c>
      <c r="N2319" s="535">
        <f t="shared" si="1306"/>
        <v>32.2207022662079</v>
      </c>
      <c r="O2319" s="535">
        <f t="shared" si="1307"/>
        <v>0.00338028169014085</v>
      </c>
      <c r="P2319" s="536">
        <f t="shared" si="1308"/>
        <v>86.8357575757576</v>
      </c>
      <c r="Q2319" s="531">
        <f t="shared" si="1309"/>
        <v>33</v>
      </c>
      <c r="R2319" s="537">
        <f t="shared" si="1310"/>
        <v>0.0185915492957746</v>
      </c>
    </row>
    <row r="2320" spans="1:18">
      <c r="A2320" s="524">
        <v>45914</v>
      </c>
      <c r="B2320" s="540" t="s">
        <v>98</v>
      </c>
      <c r="C2320" s="551">
        <v>699.86</v>
      </c>
      <c r="D2320" s="553">
        <v>17655</v>
      </c>
      <c r="E2320" s="551">
        <v>637</v>
      </c>
      <c r="F2320" s="551">
        <v>3</v>
      </c>
      <c r="G2320" s="551">
        <v>27722</v>
      </c>
      <c r="H2320" s="551">
        <v>26</v>
      </c>
      <c r="I2320" s="551">
        <v>2</v>
      </c>
      <c r="J2320" s="551">
        <v>2</v>
      </c>
      <c r="K2320" s="527">
        <f t="shared" si="1303"/>
        <v>0.0360804304729538</v>
      </c>
      <c r="L2320" s="528">
        <f t="shared" si="1304"/>
        <v>1.09868131868132</v>
      </c>
      <c r="M2320" s="528">
        <f t="shared" si="1305"/>
        <v>39.6408949306146</v>
      </c>
      <c r="N2320" s="528">
        <f t="shared" si="1306"/>
        <v>39.6107792987169</v>
      </c>
      <c r="O2320" s="528">
        <f t="shared" si="1307"/>
        <v>0.00470957613814757</v>
      </c>
      <c r="P2320" s="529">
        <f t="shared" si="1308"/>
        <v>24.995</v>
      </c>
      <c r="Q2320" s="24">
        <f t="shared" si="1309"/>
        <v>28</v>
      </c>
      <c r="R2320" s="530">
        <f t="shared" si="1310"/>
        <v>0.043956043956044</v>
      </c>
    </row>
    <row r="2321" spans="1:18">
      <c r="A2321" s="524"/>
      <c r="B2321" s="540" t="s">
        <v>99</v>
      </c>
      <c r="C2321" s="551">
        <v>814.3</v>
      </c>
      <c r="D2321" s="555">
        <v>4280</v>
      </c>
      <c r="E2321" s="551">
        <v>549</v>
      </c>
      <c r="F2321" s="551">
        <v>0</v>
      </c>
      <c r="G2321" s="551">
        <v>0</v>
      </c>
      <c r="H2321" s="555">
        <v>12</v>
      </c>
      <c r="I2321" s="555">
        <v>1</v>
      </c>
      <c r="J2321" s="555">
        <v>2</v>
      </c>
      <c r="K2321" s="527">
        <f t="shared" ref="K2321:K2364" si="1324">IF(E2321=0,0,E2321/D2321)</f>
        <v>0.128271028037383</v>
      </c>
      <c r="L2321" s="528">
        <f t="shared" ref="L2321:L2364" si="1325">IF(C2321=0,0,C2321/E2321)</f>
        <v>1.48324225865209</v>
      </c>
      <c r="M2321" s="528">
        <f t="shared" ref="M2321:M2364" si="1326">IF(D2321=0,0,C2321/D2321*1000)</f>
        <v>190.257009345794</v>
      </c>
      <c r="N2321" s="528">
        <f t="shared" ref="N2321:N2364" si="1327">IF(G2321=0,0,G2321/C2321)</f>
        <v>0</v>
      </c>
      <c r="O2321" s="528">
        <f t="shared" ref="O2321:O2364" si="1328">IF(F2321=0,0,F2321/E2321)</f>
        <v>0</v>
      </c>
      <c r="P2321" s="529">
        <f t="shared" ref="P2321:P2364" si="1329">IF(H2321+I2321=0,0,C2321/(H2321+I2321))</f>
        <v>62.6384615384615</v>
      </c>
      <c r="Q2321" s="24">
        <f t="shared" ref="Q2321:Q2364" si="1330">H2321+I2321</f>
        <v>13</v>
      </c>
      <c r="R2321" s="530">
        <f t="shared" ref="R2321:R2364" si="1331">IF(Q2321=0,0,Q2321/E2321)</f>
        <v>0.0236794171220401</v>
      </c>
    </row>
    <row r="2322" spans="1:18">
      <c r="A2322" s="524"/>
      <c r="B2322" s="540" t="s">
        <v>100</v>
      </c>
      <c r="C2322" s="552">
        <v>0</v>
      </c>
      <c r="D2322" s="553">
        <v>0</v>
      </c>
      <c r="E2322" s="553">
        <v>0</v>
      </c>
      <c r="F2322" s="551">
        <v>0</v>
      </c>
      <c r="G2322" s="551">
        <v>0</v>
      </c>
      <c r="H2322" s="551">
        <v>0</v>
      </c>
      <c r="I2322" s="551">
        <v>0</v>
      </c>
      <c r="J2322" s="551">
        <v>0</v>
      </c>
      <c r="K2322" s="527">
        <f t="shared" si="1324"/>
        <v>0</v>
      </c>
      <c r="L2322" s="528">
        <f t="shared" si="1325"/>
        <v>0</v>
      </c>
      <c r="M2322" s="528">
        <f t="shared" si="1326"/>
        <v>0</v>
      </c>
      <c r="N2322" s="528">
        <f t="shared" si="1327"/>
        <v>0</v>
      </c>
      <c r="O2322" s="528">
        <f t="shared" si="1328"/>
        <v>0</v>
      </c>
      <c r="P2322" s="529">
        <f t="shared" si="1329"/>
        <v>0</v>
      </c>
      <c r="Q2322" s="24">
        <f t="shared" si="1330"/>
        <v>0</v>
      </c>
      <c r="R2322" s="530">
        <f t="shared" si="1331"/>
        <v>0</v>
      </c>
    </row>
    <row r="2323" spans="1:18">
      <c r="A2323" s="524"/>
      <c r="B2323" s="540" t="s">
        <v>101</v>
      </c>
      <c r="C2323" s="552">
        <v>0</v>
      </c>
      <c r="D2323" s="553">
        <v>0</v>
      </c>
      <c r="E2323" s="551">
        <v>0</v>
      </c>
      <c r="F2323" s="551">
        <v>0</v>
      </c>
      <c r="G2323" s="551">
        <v>0</v>
      </c>
      <c r="H2323" s="551">
        <v>0</v>
      </c>
      <c r="I2323" s="551">
        <v>0</v>
      </c>
      <c r="J2323" s="551">
        <v>0</v>
      </c>
      <c r="K2323" s="527">
        <f t="shared" si="1324"/>
        <v>0</v>
      </c>
      <c r="L2323" s="528">
        <f t="shared" si="1325"/>
        <v>0</v>
      </c>
      <c r="M2323" s="528">
        <f t="shared" si="1326"/>
        <v>0</v>
      </c>
      <c r="N2323" s="528">
        <f t="shared" si="1327"/>
        <v>0</v>
      </c>
      <c r="O2323" s="528">
        <f t="shared" si="1328"/>
        <v>0</v>
      </c>
      <c r="P2323" s="529">
        <f t="shared" si="1329"/>
        <v>0</v>
      </c>
      <c r="Q2323" s="24">
        <f t="shared" si="1330"/>
        <v>0</v>
      </c>
      <c r="R2323" s="530">
        <f t="shared" si="1331"/>
        <v>0</v>
      </c>
    </row>
    <row r="2324" spans="1:18">
      <c r="A2324" s="524"/>
      <c r="B2324" s="531" t="s">
        <v>96</v>
      </c>
      <c r="C2324" s="533">
        <f t="shared" ref="C2324:J2324" si="1332">SUM(C2320:C2323)</f>
        <v>1514.16</v>
      </c>
      <c r="D2324" s="533">
        <f t="shared" si="1332"/>
        <v>21935</v>
      </c>
      <c r="E2324" s="533">
        <f t="shared" si="1332"/>
        <v>1186</v>
      </c>
      <c r="F2324" s="533">
        <f t="shared" si="1332"/>
        <v>3</v>
      </c>
      <c r="G2324" s="533">
        <f t="shared" si="1332"/>
        <v>27722</v>
      </c>
      <c r="H2324" s="533">
        <f t="shared" si="1332"/>
        <v>38</v>
      </c>
      <c r="I2324" s="533">
        <f t="shared" si="1332"/>
        <v>3</v>
      </c>
      <c r="J2324" s="533">
        <f t="shared" si="1332"/>
        <v>4</v>
      </c>
      <c r="K2324" s="534">
        <f t="shared" si="1324"/>
        <v>0.0540688397538181</v>
      </c>
      <c r="L2324" s="535">
        <f t="shared" si="1325"/>
        <v>1.27669477234401</v>
      </c>
      <c r="M2324" s="535">
        <f t="shared" si="1326"/>
        <v>69.0294050604057</v>
      </c>
      <c r="N2324" s="535">
        <f t="shared" si="1327"/>
        <v>18.3085010831088</v>
      </c>
      <c r="O2324" s="535">
        <f t="shared" si="1328"/>
        <v>0.00252951096121417</v>
      </c>
      <c r="P2324" s="536">
        <f t="shared" si="1329"/>
        <v>36.9307317073171</v>
      </c>
      <c r="Q2324" s="531">
        <f t="shared" si="1330"/>
        <v>41</v>
      </c>
      <c r="R2324" s="537">
        <f t="shared" si="1331"/>
        <v>0.0345699831365936</v>
      </c>
    </row>
    <row r="2325" spans="1:18">
      <c r="A2325" s="524">
        <v>45915</v>
      </c>
      <c r="B2325" s="540" t="s">
        <v>98</v>
      </c>
      <c r="C2325" s="551">
        <v>700</v>
      </c>
      <c r="D2325" s="553">
        <v>17465</v>
      </c>
      <c r="E2325" s="551">
        <v>618</v>
      </c>
      <c r="F2325" s="551">
        <v>1</v>
      </c>
      <c r="G2325" s="551">
        <v>21702</v>
      </c>
      <c r="H2325" s="551">
        <v>24</v>
      </c>
      <c r="I2325" s="551">
        <v>1</v>
      </c>
      <c r="J2325" s="551">
        <v>2</v>
      </c>
      <c r="K2325" s="527">
        <f t="shared" si="1324"/>
        <v>0.0353850558259376</v>
      </c>
      <c r="L2325" s="528">
        <f t="shared" si="1325"/>
        <v>1.13268608414239</v>
      </c>
      <c r="M2325" s="528">
        <f t="shared" si="1326"/>
        <v>40.0801603206413</v>
      </c>
      <c r="N2325" s="528">
        <f t="shared" si="1327"/>
        <v>31.0028571428571</v>
      </c>
      <c r="O2325" s="528">
        <f t="shared" si="1328"/>
        <v>0.00161812297734628</v>
      </c>
      <c r="P2325" s="529">
        <f t="shared" si="1329"/>
        <v>28</v>
      </c>
      <c r="Q2325" s="24">
        <f t="shared" si="1330"/>
        <v>25</v>
      </c>
      <c r="R2325" s="530">
        <f t="shared" si="1331"/>
        <v>0.040453074433657</v>
      </c>
    </row>
    <row r="2326" spans="1:18">
      <c r="A2326" s="524"/>
      <c r="B2326" s="540" t="s">
        <v>99</v>
      </c>
      <c r="C2326" s="551">
        <v>1067.9</v>
      </c>
      <c r="D2326" s="555">
        <v>7998</v>
      </c>
      <c r="E2326" s="551">
        <v>661</v>
      </c>
      <c r="F2326" s="551">
        <v>0</v>
      </c>
      <c r="G2326" s="551">
        <v>0</v>
      </c>
      <c r="H2326" s="555">
        <v>20</v>
      </c>
      <c r="I2326" s="555">
        <v>4</v>
      </c>
      <c r="J2326" s="555">
        <v>2</v>
      </c>
      <c r="K2326" s="527">
        <f t="shared" si="1324"/>
        <v>0.0826456614153538</v>
      </c>
      <c r="L2326" s="528">
        <f t="shared" si="1325"/>
        <v>1.61558245083207</v>
      </c>
      <c r="M2326" s="528">
        <f t="shared" si="1326"/>
        <v>133.520880220055</v>
      </c>
      <c r="N2326" s="528">
        <f t="shared" si="1327"/>
        <v>0</v>
      </c>
      <c r="O2326" s="528">
        <f t="shared" si="1328"/>
        <v>0</v>
      </c>
      <c r="P2326" s="529">
        <f t="shared" si="1329"/>
        <v>44.4958333333333</v>
      </c>
      <c r="Q2326" s="24">
        <f t="shared" si="1330"/>
        <v>24</v>
      </c>
      <c r="R2326" s="530">
        <f t="shared" si="1331"/>
        <v>0.0363086232980333</v>
      </c>
    </row>
    <row r="2327" spans="1:18">
      <c r="A2327" s="524"/>
      <c r="B2327" s="540" t="s">
        <v>100</v>
      </c>
      <c r="C2327" s="552">
        <v>0</v>
      </c>
      <c r="D2327" s="553">
        <v>0</v>
      </c>
      <c r="E2327" s="553">
        <v>0</v>
      </c>
      <c r="F2327" s="551">
        <v>0</v>
      </c>
      <c r="G2327" s="551">
        <v>0</v>
      </c>
      <c r="H2327" s="551">
        <v>0</v>
      </c>
      <c r="I2327" s="551">
        <v>0</v>
      </c>
      <c r="J2327" s="551">
        <v>0</v>
      </c>
      <c r="K2327" s="527">
        <f t="shared" si="1324"/>
        <v>0</v>
      </c>
      <c r="L2327" s="528">
        <f t="shared" si="1325"/>
        <v>0</v>
      </c>
      <c r="M2327" s="528">
        <f t="shared" si="1326"/>
        <v>0</v>
      </c>
      <c r="N2327" s="528">
        <f t="shared" si="1327"/>
        <v>0</v>
      </c>
      <c r="O2327" s="528">
        <f t="shared" si="1328"/>
        <v>0</v>
      </c>
      <c r="P2327" s="529">
        <f t="shared" si="1329"/>
        <v>0</v>
      </c>
      <c r="Q2327" s="24">
        <f t="shared" si="1330"/>
        <v>0</v>
      </c>
      <c r="R2327" s="530">
        <f t="shared" si="1331"/>
        <v>0</v>
      </c>
    </row>
    <row r="2328" spans="1:18">
      <c r="A2328" s="524"/>
      <c r="B2328" s="540" t="s">
        <v>101</v>
      </c>
      <c r="C2328" s="552">
        <v>0</v>
      </c>
      <c r="D2328" s="553">
        <v>0</v>
      </c>
      <c r="E2328" s="551">
        <v>0</v>
      </c>
      <c r="F2328" s="551">
        <v>0</v>
      </c>
      <c r="G2328" s="551">
        <v>0</v>
      </c>
      <c r="H2328" s="551">
        <v>0</v>
      </c>
      <c r="I2328" s="551">
        <v>0</v>
      </c>
      <c r="J2328" s="551">
        <v>0</v>
      </c>
      <c r="K2328" s="527">
        <f t="shared" si="1324"/>
        <v>0</v>
      </c>
      <c r="L2328" s="528">
        <f t="shared" si="1325"/>
        <v>0</v>
      </c>
      <c r="M2328" s="528">
        <f t="shared" si="1326"/>
        <v>0</v>
      </c>
      <c r="N2328" s="528">
        <f t="shared" si="1327"/>
        <v>0</v>
      </c>
      <c r="O2328" s="528">
        <f t="shared" si="1328"/>
        <v>0</v>
      </c>
      <c r="P2328" s="529">
        <f t="shared" si="1329"/>
        <v>0</v>
      </c>
      <c r="Q2328" s="24">
        <f t="shared" si="1330"/>
        <v>0</v>
      </c>
      <c r="R2328" s="530">
        <f t="shared" si="1331"/>
        <v>0</v>
      </c>
    </row>
    <row r="2329" spans="1:18">
      <c r="A2329" s="524"/>
      <c r="B2329" s="531" t="s">
        <v>96</v>
      </c>
      <c r="C2329" s="533">
        <f t="shared" ref="C2329:J2329" si="1333">SUM(C2325:C2328)</f>
        <v>1767.9</v>
      </c>
      <c r="D2329" s="533">
        <f t="shared" si="1333"/>
        <v>25463</v>
      </c>
      <c r="E2329" s="533">
        <f t="shared" si="1333"/>
        <v>1279</v>
      </c>
      <c r="F2329" s="533">
        <f t="shared" si="1333"/>
        <v>1</v>
      </c>
      <c r="G2329" s="533">
        <f t="shared" si="1333"/>
        <v>21702</v>
      </c>
      <c r="H2329" s="533">
        <f t="shared" si="1333"/>
        <v>44</v>
      </c>
      <c r="I2329" s="533">
        <f t="shared" si="1333"/>
        <v>5</v>
      </c>
      <c r="J2329" s="533">
        <f t="shared" si="1333"/>
        <v>4</v>
      </c>
      <c r="K2329" s="534">
        <f t="shared" si="1324"/>
        <v>0.0502297451203707</v>
      </c>
      <c r="L2329" s="535">
        <f t="shared" si="1325"/>
        <v>1.38225175918686</v>
      </c>
      <c r="M2329" s="535">
        <f t="shared" si="1326"/>
        <v>69.4301535561403</v>
      </c>
      <c r="N2329" s="535">
        <f t="shared" si="1327"/>
        <v>12.2755811980316</v>
      </c>
      <c r="O2329" s="535">
        <f t="shared" si="1328"/>
        <v>0.000781860828772478</v>
      </c>
      <c r="P2329" s="536">
        <f t="shared" si="1329"/>
        <v>36.0795918367347</v>
      </c>
      <c r="Q2329" s="531">
        <f t="shared" si="1330"/>
        <v>49</v>
      </c>
      <c r="R2329" s="537">
        <f t="shared" si="1331"/>
        <v>0.0383111806098514</v>
      </c>
    </row>
    <row r="2330" spans="1:18">
      <c r="A2330" s="524">
        <v>45916</v>
      </c>
      <c r="B2330" s="540" t="s">
        <v>98</v>
      </c>
      <c r="C2330" s="551">
        <v>700</v>
      </c>
      <c r="D2330" s="553">
        <v>17611</v>
      </c>
      <c r="E2330" s="551">
        <v>634</v>
      </c>
      <c r="F2330" s="551">
        <v>0</v>
      </c>
      <c r="G2330" s="551">
        <v>0</v>
      </c>
      <c r="H2330" s="551">
        <v>24</v>
      </c>
      <c r="I2330" s="551">
        <v>0</v>
      </c>
      <c r="J2330" s="551">
        <v>2</v>
      </c>
      <c r="K2330" s="527">
        <f t="shared" si="1324"/>
        <v>0.0360002271307705</v>
      </c>
      <c r="L2330" s="528">
        <f t="shared" si="1325"/>
        <v>1.10410094637224</v>
      </c>
      <c r="M2330" s="528">
        <f t="shared" si="1326"/>
        <v>39.7478848446993</v>
      </c>
      <c r="N2330" s="528">
        <f t="shared" si="1327"/>
        <v>0</v>
      </c>
      <c r="O2330" s="528">
        <f t="shared" si="1328"/>
        <v>0</v>
      </c>
      <c r="P2330" s="529">
        <f t="shared" si="1329"/>
        <v>29.1666666666667</v>
      </c>
      <c r="Q2330" s="24">
        <f t="shared" si="1330"/>
        <v>24</v>
      </c>
      <c r="R2330" s="530">
        <f t="shared" si="1331"/>
        <v>0.0378548895899054</v>
      </c>
    </row>
    <row r="2331" spans="1:18">
      <c r="A2331" s="524"/>
      <c r="B2331" s="540" t="s">
        <v>99</v>
      </c>
      <c r="C2331" s="551">
        <v>941.78</v>
      </c>
      <c r="D2331" s="555">
        <v>11357</v>
      </c>
      <c r="E2331" s="551">
        <v>528</v>
      </c>
      <c r="F2331" s="551">
        <v>0</v>
      </c>
      <c r="G2331" s="551">
        <v>0</v>
      </c>
      <c r="H2331" s="555">
        <v>9</v>
      </c>
      <c r="I2331" s="555">
        <v>2</v>
      </c>
      <c r="J2331" s="555">
        <v>3</v>
      </c>
      <c r="K2331" s="527">
        <f t="shared" si="1324"/>
        <v>0.0464911508320859</v>
      </c>
      <c r="L2331" s="528">
        <f t="shared" si="1325"/>
        <v>1.78367424242424</v>
      </c>
      <c r="M2331" s="528">
        <f t="shared" si="1326"/>
        <v>82.9250682398521</v>
      </c>
      <c r="N2331" s="528">
        <f t="shared" si="1327"/>
        <v>0</v>
      </c>
      <c r="O2331" s="528">
        <f t="shared" si="1328"/>
        <v>0</v>
      </c>
      <c r="P2331" s="529">
        <f t="shared" si="1329"/>
        <v>85.6163636363636</v>
      </c>
      <c r="Q2331" s="24">
        <f t="shared" si="1330"/>
        <v>11</v>
      </c>
      <c r="R2331" s="530">
        <f t="shared" si="1331"/>
        <v>0.0208333333333333</v>
      </c>
    </row>
    <row r="2332" spans="1:18">
      <c r="A2332" s="524"/>
      <c r="B2332" s="540" t="s">
        <v>100</v>
      </c>
      <c r="C2332" s="552">
        <v>0</v>
      </c>
      <c r="D2332" s="553">
        <v>0</v>
      </c>
      <c r="E2332" s="553">
        <v>0</v>
      </c>
      <c r="F2332" s="551">
        <v>0</v>
      </c>
      <c r="G2332" s="551">
        <v>0</v>
      </c>
      <c r="H2332" s="551">
        <v>0</v>
      </c>
      <c r="I2332" s="551">
        <v>0</v>
      </c>
      <c r="J2332" s="551">
        <v>0</v>
      </c>
      <c r="K2332" s="527">
        <f t="shared" si="1324"/>
        <v>0</v>
      </c>
      <c r="L2332" s="528">
        <f t="shared" si="1325"/>
        <v>0</v>
      </c>
      <c r="M2332" s="528">
        <f t="shared" si="1326"/>
        <v>0</v>
      </c>
      <c r="N2332" s="528">
        <f t="shared" si="1327"/>
        <v>0</v>
      </c>
      <c r="O2332" s="528">
        <f t="shared" si="1328"/>
        <v>0</v>
      </c>
      <c r="P2332" s="529">
        <f t="shared" si="1329"/>
        <v>0</v>
      </c>
      <c r="Q2332" s="24">
        <f t="shared" si="1330"/>
        <v>0</v>
      </c>
      <c r="R2332" s="530">
        <f t="shared" si="1331"/>
        <v>0</v>
      </c>
    </row>
    <row r="2333" spans="1:18">
      <c r="A2333" s="524"/>
      <c r="B2333" s="540" t="s">
        <v>101</v>
      </c>
      <c r="C2333" s="552">
        <v>0</v>
      </c>
      <c r="D2333" s="553">
        <v>0</v>
      </c>
      <c r="E2333" s="551">
        <v>0</v>
      </c>
      <c r="F2333" s="551">
        <v>0</v>
      </c>
      <c r="G2333" s="551">
        <v>0</v>
      </c>
      <c r="H2333" s="551">
        <v>0</v>
      </c>
      <c r="I2333" s="551">
        <v>0</v>
      </c>
      <c r="J2333" s="551">
        <v>0</v>
      </c>
      <c r="K2333" s="527">
        <f t="shared" si="1324"/>
        <v>0</v>
      </c>
      <c r="L2333" s="528">
        <f t="shared" si="1325"/>
        <v>0</v>
      </c>
      <c r="M2333" s="528">
        <f t="shared" si="1326"/>
        <v>0</v>
      </c>
      <c r="N2333" s="528">
        <f t="shared" si="1327"/>
        <v>0</v>
      </c>
      <c r="O2333" s="528">
        <f t="shared" si="1328"/>
        <v>0</v>
      </c>
      <c r="P2333" s="529">
        <f t="shared" si="1329"/>
        <v>0</v>
      </c>
      <c r="Q2333" s="24">
        <f t="shared" si="1330"/>
        <v>0</v>
      </c>
      <c r="R2333" s="530">
        <f t="shared" si="1331"/>
        <v>0</v>
      </c>
    </row>
    <row r="2334" spans="1:18">
      <c r="A2334" s="524"/>
      <c r="B2334" s="531" t="s">
        <v>96</v>
      </c>
      <c r="C2334" s="533">
        <f t="shared" ref="C2334:J2334" si="1334">SUM(C2330:C2333)</f>
        <v>1641.78</v>
      </c>
      <c r="D2334" s="533">
        <f t="shared" si="1334"/>
        <v>28968</v>
      </c>
      <c r="E2334" s="533">
        <f t="shared" si="1334"/>
        <v>1162</v>
      </c>
      <c r="F2334" s="533">
        <f t="shared" si="1334"/>
        <v>0</v>
      </c>
      <c r="G2334" s="533">
        <f t="shared" si="1334"/>
        <v>0</v>
      </c>
      <c r="H2334" s="533">
        <f t="shared" si="1334"/>
        <v>33</v>
      </c>
      <c r="I2334" s="533">
        <f t="shared" si="1334"/>
        <v>2</v>
      </c>
      <c r="J2334" s="533">
        <f t="shared" si="1334"/>
        <v>5</v>
      </c>
      <c r="K2334" s="534">
        <f t="shared" si="1324"/>
        <v>0.0401132283899475</v>
      </c>
      <c r="L2334" s="535">
        <f t="shared" si="1325"/>
        <v>1.41289156626506</v>
      </c>
      <c r="M2334" s="535">
        <f t="shared" si="1326"/>
        <v>56.675642087821</v>
      </c>
      <c r="N2334" s="535">
        <f t="shared" si="1327"/>
        <v>0</v>
      </c>
      <c r="O2334" s="535">
        <f t="shared" si="1328"/>
        <v>0</v>
      </c>
      <c r="P2334" s="536">
        <f t="shared" si="1329"/>
        <v>46.908</v>
      </c>
      <c r="Q2334" s="531">
        <f t="shared" si="1330"/>
        <v>35</v>
      </c>
      <c r="R2334" s="537">
        <f t="shared" si="1331"/>
        <v>0.0301204819277108</v>
      </c>
    </row>
    <row r="2335" spans="1:18">
      <c r="A2335" s="524">
        <v>45917</v>
      </c>
      <c r="B2335" s="540" t="s">
        <v>98</v>
      </c>
      <c r="C2335" s="551">
        <v>697.93</v>
      </c>
      <c r="D2335" s="553">
        <v>16078</v>
      </c>
      <c r="E2335" s="551">
        <v>628</v>
      </c>
      <c r="F2335" s="551">
        <v>3</v>
      </c>
      <c r="G2335" s="551">
        <v>22205</v>
      </c>
      <c r="H2335" s="551">
        <v>11</v>
      </c>
      <c r="I2335" s="551">
        <v>4</v>
      </c>
      <c r="J2335" s="551">
        <v>0</v>
      </c>
      <c r="K2335" s="527">
        <f t="shared" si="1324"/>
        <v>0.0390595845254385</v>
      </c>
      <c r="L2335" s="528">
        <f t="shared" si="1325"/>
        <v>1.11135350318471</v>
      </c>
      <c r="M2335" s="528">
        <f t="shared" si="1326"/>
        <v>43.4090060952855</v>
      </c>
      <c r="N2335" s="528">
        <f t="shared" si="1327"/>
        <v>31.8155115842563</v>
      </c>
      <c r="O2335" s="528">
        <f t="shared" si="1328"/>
        <v>0.00477707006369427</v>
      </c>
      <c r="P2335" s="529">
        <f t="shared" si="1329"/>
        <v>46.5286666666667</v>
      </c>
      <c r="Q2335" s="24">
        <f t="shared" si="1330"/>
        <v>15</v>
      </c>
      <c r="R2335" s="530">
        <f t="shared" si="1331"/>
        <v>0.0238853503184713</v>
      </c>
    </row>
    <row r="2336" spans="1:18">
      <c r="A2336" s="524"/>
      <c r="B2336" s="540" t="s">
        <v>99</v>
      </c>
      <c r="C2336" s="551">
        <v>923.42</v>
      </c>
      <c r="D2336" s="555">
        <v>8750</v>
      </c>
      <c r="E2336" s="551">
        <v>697</v>
      </c>
      <c r="F2336" s="551">
        <v>0</v>
      </c>
      <c r="G2336" s="551">
        <v>0</v>
      </c>
      <c r="H2336" s="555">
        <v>18</v>
      </c>
      <c r="I2336" s="555">
        <v>0</v>
      </c>
      <c r="J2336" s="555">
        <v>3</v>
      </c>
      <c r="K2336" s="527">
        <f t="shared" si="1324"/>
        <v>0.0796571428571429</v>
      </c>
      <c r="L2336" s="528">
        <f t="shared" si="1325"/>
        <v>1.3248493543759</v>
      </c>
      <c r="M2336" s="528">
        <f t="shared" si="1326"/>
        <v>105.533714285714</v>
      </c>
      <c r="N2336" s="528">
        <f t="shared" si="1327"/>
        <v>0</v>
      </c>
      <c r="O2336" s="528">
        <f t="shared" si="1328"/>
        <v>0</v>
      </c>
      <c r="P2336" s="529">
        <f t="shared" si="1329"/>
        <v>51.3011111111111</v>
      </c>
      <c r="Q2336" s="24">
        <f t="shared" si="1330"/>
        <v>18</v>
      </c>
      <c r="R2336" s="530">
        <f t="shared" si="1331"/>
        <v>0.0258249641319943</v>
      </c>
    </row>
    <row r="2337" spans="1:18">
      <c r="A2337" s="524"/>
      <c r="B2337" s="540" t="s">
        <v>100</v>
      </c>
      <c r="C2337" s="552">
        <v>0</v>
      </c>
      <c r="D2337" s="553">
        <v>0</v>
      </c>
      <c r="E2337" s="553">
        <v>0</v>
      </c>
      <c r="F2337" s="551">
        <v>0</v>
      </c>
      <c r="G2337" s="551">
        <v>0</v>
      </c>
      <c r="H2337" s="551">
        <v>0</v>
      </c>
      <c r="I2337" s="551">
        <v>0</v>
      </c>
      <c r="J2337" s="551">
        <v>0</v>
      </c>
      <c r="K2337" s="527">
        <f t="shared" si="1324"/>
        <v>0</v>
      </c>
      <c r="L2337" s="528">
        <f t="shared" si="1325"/>
        <v>0</v>
      </c>
      <c r="M2337" s="528">
        <f t="shared" si="1326"/>
        <v>0</v>
      </c>
      <c r="N2337" s="528">
        <f t="shared" si="1327"/>
        <v>0</v>
      </c>
      <c r="O2337" s="528">
        <f t="shared" si="1328"/>
        <v>0</v>
      </c>
      <c r="P2337" s="529">
        <f t="shared" si="1329"/>
        <v>0</v>
      </c>
      <c r="Q2337" s="24">
        <f t="shared" si="1330"/>
        <v>0</v>
      </c>
      <c r="R2337" s="530">
        <f t="shared" si="1331"/>
        <v>0</v>
      </c>
    </row>
    <row r="2338" spans="1:18">
      <c r="A2338" s="524"/>
      <c r="B2338" s="540" t="s">
        <v>101</v>
      </c>
      <c r="C2338" s="552">
        <v>0</v>
      </c>
      <c r="D2338" s="553">
        <v>0</v>
      </c>
      <c r="E2338" s="551">
        <v>0</v>
      </c>
      <c r="F2338" s="551">
        <v>0</v>
      </c>
      <c r="G2338" s="551">
        <v>0</v>
      </c>
      <c r="H2338" s="551">
        <v>0</v>
      </c>
      <c r="I2338" s="551">
        <v>0</v>
      </c>
      <c r="J2338" s="551">
        <v>0</v>
      </c>
      <c r="K2338" s="527">
        <f t="shared" si="1324"/>
        <v>0</v>
      </c>
      <c r="L2338" s="528">
        <f t="shared" si="1325"/>
        <v>0</v>
      </c>
      <c r="M2338" s="528">
        <f t="shared" si="1326"/>
        <v>0</v>
      </c>
      <c r="N2338" s="528">
        <f t="shared" si="1327"/>
        <v>0</v>
      </c>
      <c r="O2338" s="528">
        <f t="shared" si="1328"/>
        <v>0</v>
      </c>
      <c r="P2338" s="529">
        <f t="shared" si="1329"/>
        <v>0</v>
      </c>
      <c r="Q2338" s="24">
        <f t="shared" si="1330"/>
        <v>0</v>
      </c>
      <c r="R2338" s="530">
        <f t="shared" si="1331"/>
        <v>0</v>
      </c>
    </row>
    <row r="2339" spans="1:18">
      <c r="A2339" s="524"/>
      <c r="B2339" s="531" t="s">
        <v>96</v>
      </c>
      <c r="C2339" s="533">
        <f t="shared" ref="C2339:J2339" si="1335">SUM(C2335:C2338)</f>
        <v>1621.35</v>
      </c>
      <c r="D2339" s="533">
        <f t="shared" si="1335"/>
        <v>24828</v>
      </c>
      <c r="E2339" s="533">
        <f t="shared" si="1335"/>
        <v>1325</v>
      </c>
      <c r="F2339" s="533">
        <f t="shared" si="1335"/>
        <v>3</v>
      </c>
      <c r="G2339" s="533">
        <f t="shared" si="1335"/>
        <v>22205</v>
      </c>
      <c r="H2339" s="533">
        <f t="shared" si="1335"/>
        <v>29</v>
      </c>
      <c r="I2339" s="533">
        <f t="shared" si="1335"/>
        <v>4</v>
      </c>
      <c r="J2339" s="533">
        <f t="shared" si="1335"/>
        <v>3</v>
      </c>
      <c r="K2339" s="534">
        <f t="shared" si="1324"/>
        <v>0.0533671661027872</v>
      </c>
      <c r="L2339" s="535">
        <f t="shared" si="1325"/>
        <v>1.22366037735849</v>
      </c>
      <c r="M2339" s="535">
        <f t="shared" si="1326"/>
        <v>65.3032866118898</v>
      </c>
      <c r="N2339" s="535">
        <f t="shared" si="1327"/>
        <v>13.6953773090326</v>
      </c>
      <c r="O2339" s="535">
        <f t="shared" si="1328"/>
        <v>0.00226415094339623</v>
      </c>
      <c r="P2339" s="536">
        <f t="shared" si="1329"/>
        <v>49.1318181818182</v>
      </c>
      <c r="Q2339" s="531">
        <f t="shared" si="1330"/>
        <v>33</v>
      </c>
      <c r="R2339" s="537">
        <f t="shared" si="1331"/>
        <v>0.0249056603773585</v>
      </c>
    </row>
    <row r="2340" spans="1:18">
      <c r="A2340" s="524">
        <v>45918</v>
      </c>
      <c r="B2340" s="540" t="s">
        <v>98</v>
      </c>
      <c r="C2340" s="551">
        <v>700</v>
      </c>
      <c r="D2340" s="553">
        <v>17942</v>
      </c>
      <c r="E2340" s="551">
        <v>647</v>
      </c>
      <c r="F2340" s="551">
        <v>2</v>
      </c>
      <c r="G2340" s="551">
        <v>16913</v>
      </c>
      <c r="H2340" s="551">
        <v>21</v>
      </c>
      <c r="I2340" s="551">
        <v>2</v>
      </c>
      <c r="J2340" s="551">
        <v>0</v>
      </c>
      <c r="K2340" s="527">
        <f t="shared" si="1324"/>
        <v>0.0360606398394828</v>
      </c>
      <c r="L2340" s="528">
        <f t="shared" si="1325"/>
        <v>1.08191653786708</v>
      </c>
      <c r="M2340" s="528">
        <f t="shared" si="1326"/>
        <v>39.0146026084049</v>
      </c>
      <c r="N2340" s="528">
        <f t="shared" si="1327"/>
        <v>24.1614285714286</v>
      </c>
      <c r="O2340" s="528">
        <f t="shared" si="1328"/>
        <v>0.00309119010819165</v>
      </c>
      <c r="P2340" s="529">
        <f t="shared" si="1329"/>
        <v>30.4347826086957</v>
      </c>
      <c r="Q2340" s="24">
        <f t="shared" si="1330"/>
        <v>23</v>
      </c>
      <c r="R2340" s="530">
        <f t="shared" si="1331"/>
        <v>0.035548686244204</v>
      </c>
    </row>
    <row r="2341" spans="1:18">
      <c r="A2341" s="524"/>
      <c r="B2341" s="540" t="s">
        <v>99</v>
      </c>
      <c r="C2341" s="551">
        <v>953.33</v>
      </c>
      <c r="D2341" s="555">
        <v>12876</v>
      </c>
      <c r="E2341" s="551">
        <v>544</v>
      </c>
      <c r="F2341" s="551">
        <v>0</v>
      </c>
      <c r="G2341" s="551">
        <v>0</v>
      </c>
      <c r="H2341" s="555">
        <v>7</v>
      </c>
      <c r="I2341" s="555">
        <v>0</v>
      </c>
      <c r="J2341" s="555">
        <v>2</v>
      </c>
      <c r="K2341" s="527">
        <f t="shared" si="1324"/>
        <v>0.0422491456974216</v>
      </c>
      <c r="L2341" s="528">
        <f t="shared" si="1325"/>
        <v>1.75244485294118</v>
      </c>
      <c r="M2341" s="528">
        <f t="shared" si="1326"/>
        <v>74.0392979186083</v>
      </c>
      <c r="N2341" s="528">
        <f t="shared" si="1327"/>
        <v>0</v>
      </c>
      <c r="O2341" s="528">
        <f t="shared" si="1328"/>
        <v>0</v>
      </c>
      <c r="P2341" s="529">
        <f t="shared" si="1329"/>
        <v>136.19</v>
      </c>
      <c r="Q2341" s="24">
        <f t="shared" si="1330"/>
        <v>7</v>
      </c>
      <c r="R2341" s="530">
        <f t="shared" si="1331"/>
        <v>0.0128676470588235</v>
      </c>
    </row>
    <row r="2342" spans="1:18">
      <c r="A2342" s="524"/>
      <c r="B2342" s="540" t="s">
        <v>100</v>
      </c>
      <c r="C2342" s="552">
        <v>0</v>
      </c>
      <c r="D2342" s="553">
        <v>0</v>
      </c>
      <c r="E2342" s="553">
        <v>0</v>
      </c>
      <c r="F2342" s="551">
        <v>0</v>
      </c>
      <c r="G2342" s="551">
        <v>0</v>
      </c>
      <c r="H2342" s="551">
        <v>0</v>
      </c>
      <c r="I2342" s="551">
        <v>0</v>
      </c>
      <c r="J2342" s="551">
        <v>0</v>
      </c>
      <c r="K2342" s="527">
        <f t="shared" si="1324"/>
        <v>0</v>
      </c>
      <c r="L2342" s="528">
        <f t="shared" si="1325"/>
        <v>0</v>
      </c>
      <c r="M2342" s="528">
        <f t="shared" si="1326"/>
        <v>0</v>
      </c>
      <c r="N2342" s="528">
        <f t="shared" si="1327"/>
        <v>0</v>
      </c>
      <c r="O2342" s="528">
        <f t="shared" si="1328"/>
        <v>0</v>
      </c>
      <c r="P2342" s="529">
        <f t="shared" si="1329"/>
        <v>0</v>
      </c>
      <c r="Q2342" s="24">
        <f t="shared" si="1330"/>
        <v>0</v>
      </c>
      <c r="R2342" s="530">
        <f t="shared" si="1331"/>
        <v>0</v>
      </c>
    </row>
    <row r="2343" spans="1:18">
      <c r="A2343" s="524"/>
      <c r="B2343" s="540" t="s">
        <v>101</v>
      </c>
      <c r="C2343" s="552">
        <v>0</v>
      </c>
      <c r="D2343" s="553">
        <v>0</v>
      </c>
      <c r="E2343" s="551">
        <v>0</v>
      </c>
      <c r="F2343" s="551">
        <v>0</v>
      </c>
      <c r="G2343" s="551">
        <v>0</v>
      </c>
      <c r="H2343" s="551">
        <v>0</v>
      </c>
      <c r="I2343" s="551">
        <v>0</v>
      </c>
      <c r="J2343" s="551">
        <v>0</v>
      </c>
      <c r="K2343" s="527">
        <f t="shared" si="1324"/>
        <v>0</v>
      </c>
      <c r="L2343" s="528">
        <f t="shared" si="1325"/>
        <v>0</v>
      </c>
      <c r="M2343" s="528">
        <f t="shared" si="1326"/>
        <v>0</v>
      </c>
      <c r="N2343" s="528">
        <f t="shared" si="1327"/>
        <v>0</v>
      </c>
      <c r="O2343" s="528">
        <f t="shared" si="1328"/>
        <v>0</v>
      </c>
      <c r="P2343" s="529">
        <f t="shared" si="1329"/>
        <v>0</v>
      </c>
      <c r="Q2343" s="24">
        <f t="shared" si="1330"/>
        <v>0</v>
      </c>
      <c r="R2343" s="530">
        <f t="shared" si="1331"/>
        <v>0</v>
      </c>
    </row>
    <row r="2344" spans="1:18">
      <c r="A2344" s="524"/>
      <c r="B2344" s="531" t="s">
        <v>96</v>
      </c>
      <c r="C2344" s="533">
        <f t="shared" ref="C2344:J2344" si="1336">SUM(C2340:C2343)</f>
        <v>1653.33</v>
      </c>
      <c r="D2344" s="533">
        <f t="shared" si="1336"/>
        <v>30818</v>
      </c>
      <c r="E2344" s="533">
        <f t="shared" si="1336"/>
        <v>1191</v>
      </c>
      <c r="F2344" s="533">
        <f t="shared" si="1336"/>
        <v>2</v>
      </c>
      <c r="G2344" s="533">
        <f t="shared" si="1336"/>
        <v>16913</v>
      </c>
      <c r="H2344" s="533">
        <f t="shared" si="1336"/>
        <v>28</v>
      </c>
      <c r="I2344" s="533">
        <f t="shared" si="1336"/>
        <v>2</v>
      </c>
      <c r="J2344" s="533">
        <f t="shared" si="1336"/>
        <v>2</v>
      </c>
      <c r="K2344" s="534">
        <f t="shared" si="1324"/>
        <v>0.0386462457005646</v>
      </c>
      <c r="L2344" s="535">
        <f t="shared" si="1325"/>
        <v>1.38818639798489</v>
      </c>
      <c r="M2344" s="535">
        <f t="shared" si="1326"/>
        <v>53.6481926147057</v>
      </c>
      <c r="N2344" s="535">
        <f t="shared" si="1327"/>
        <v>10.2296577210841</v>
      </c>
      <c r="O2344" s="535">
        <f t="shared" si="1328"/>
        <v>0.00167926112510495</v>
      </c>
      <c r="P2344" s="536">
        <f t="shared" si="1329"/>
        <v>55.111</v>
      </c>
      <c r="Q2344" s="531">
        <f t="shared" si="1330"/>
        <v>30</v>
      </c>
      <c r="R2344" s="537">
        <f t="shared" si="1331"/>
        <v>0.0251889168765743</v>
      </c>
    </row>
    <row r="2345" spans="1:18">
      <c r="A2345" s="524">
        <v>45919</v>
      </c>
      <c r="B2345" s="540" t="s">
        <v>98</v>
      </c>
      <c r="C2345" s="551">
        <v>700</v>
      </c>
      <c r="D2345" s="553">
        <v>15897</v>
      </c>
      <c r="E2345" s="551">
        <v>598</v>
      </c>
      <c r="F2345" s="551">
        <v>0</v>
      </c>
      <c r="G2345" s="551">
        <v>0</v>
      </c>
      <c r="H2345" s="551">
        <v>29</v>
      </c>
      <c r="I2345" s="551">
        <v>3</v>
      </c>
      <c r="J2345" s="551">
        <v>2</v>
      </c>
      <c r="K2345" s="527">
        <f t="shared" si="1324"/>
        <v>0.037617160470529</v>
      </c>
      <c r="L2345" s="528">
        <f t="shared" si="1325"/>
        <v>1.17056856187291</v>
      </c>
      <c r="M2345" s="528">
        <f t="shared" si="1326"/>
        <v>44.0334654337296</v>
      </c>
      <c r="N2345" s="528">
        <f t="shared" si="1327"/>
        <v>0</v>
      </c>
      <c r="O2345" s="528">
        <f t="shared" si="1328"/>
        <v>0</v>
      </c>
      <c r="P2345" s="529">
        <f t="shared" si="1329"/>
        <v>21.875</v>
      </c>
      <c r="Q2345" s="24">
        <f t="shared" si="1330"/>
        <v>32</v>
      </c>
      <c r="R2345" s="530">
        <f t="shared" si="1331"/>
        <v>0.0535117056856187</v>
      </c>
    </row>
    <row r="2346" spans="1:18">
      <c r="A2346" s="524"/>
      <c r="B2346" s="540" t="s">
        <v>99</v>
      </c>
      <c r="C2346" s="551">
        <v>989.93</v>
      </c>
      <c r="D2346" s="555">
        <v>17673</v>
      </c>
      <c r="E2346" s="551">
        <v>575</v>
      </c>
      <c r="F2346" s="551">
        <v>0</v>
      </c>
      <c r="G2346" s="551">
        <v>0</v>
      </c>
      <c r="H2346" s="555">
        <v>9</v>
      </c>
      <c r="I2346" s="555">
        <v>2</v>
      </c>
      <c r="J2346" s="555">
        <v>1</v>
      </c>
      <c r="K2346" s="527">
        <f t="shared" si="1324"/>
        <v>0.0325355061393085</v>
      </c>
      <c r="L2346" s="528">
        <f t="shared" si="1325"/>
        <v>1.72161739130435</v>
      </c>
      <c r="M2346" s="528">
        <f t="shared" si="1326"/>
        <v>56.013693204323</v>
      </c>
      <c r="N2346" s="528">
        <f t="shared" si="1327"/>
        <v>0</v>
      </c>
      <c r="O2346" s="528">
        <f t="shared" si="1328"/>
        <v>0</v>
      </c>
      <c r="P2346" s="529">
        <f t="shared" si="1329"/>
        <v>89.9936363636364</v>
      </c>
      <c r="Q2346" s="24">
        <f t="shared" si="1330"/>
        <v>11</v>
      </c>
      <c r="R2346" s="530">
        <f t="shared" si="1331"/>
        <v>0.0191304347826087</v>
      </c>
    </row>
    <row r="2347" spans="1:18">
      <c r="A2347" s="524"/>
      <c r="B2347" s="540" t="s">
        <v>100</v>
      </c>
      <c r="C2347" s="552">
        <v>0</v>
      </c>
      <c r="D2347" s="553">
        <v>0</v>
      </c>
      <c r="E2347" s="553">
        <v>0</v>
      </c>
      <c r="F2347" s="551">
        <v>0</v>
      </c>
      <c r="G2347" s="551">
        <v>0</v>
      </c>
      <c r="H2347" s="551">
        <v>0</v>
      </c>
      <c r="I2347" s="551">
        <v>0</v>
      </c>
      <c r="J2347" s="551">
        <v>0</v>
      </c>
      <c r="K2347" s="527">
        <f t="shared" si="1324"/>
        <v>0</v>
      </c>
      <c r="L2347" s="528">
        <f t="shared" si="1325"/>
        <v>0</v>
      </c>
      <c r="M2347" s="528">
        <f t="shared" si="1326"/>
        <v>0</v>
      </c>
      <c r="N2347" s="528">
        <f t="shared" si="1327"/>
        <v>0</v>
      </c>
      <c r="O2347" s="528">
        <f t="shared" si="1328"/>
        <v>0</v>
      </c>
      <c r="P2347" s="529">
        <f t="shared" si="1329"/>
        <v>0</v>
      </c>
      <c r="Q2347" s="24">
        <f t="shared" si="1330"/>
        <v>0</v>
      </c>
      <c r="R2347" s="530">
        <f t="shared" si="1331"/>
        <v>0</v>
      </c>
    </row>
    <row r="2348" spans="1:18">
      <c r="A2348" s="524"/>
      <c r="B2348" s="540" t="s">
        <v>101</v>
      </c>
      <c r="C2348" s="552">
        <v>0</v>
      </c>
      <c r="D2348" s="553">
        <v>0</v>
      </c>
      <c r="E2348" s="551">
        <v>0</v>
      </c>
      <c r="F2348" s="551">
        <v>0</v>
      </c>
      <c r="G2348" s="551">
        <v>0</v>
      </c>
      <c r="H2348" s="551">
        <v>0</v>
      </c>
      <c r="I2348" s="551">
        <v>0</v>
      </c>
      <c r="J2348" s="551">
        <v>0</v>
      </c>
      <c r="K2348" s="527">
        <f t="shared" si="1324"/>
        <v>0</v>
      </c>
      <c r="L2348" s="528">
        <f t="shared" si="1325"/>
        <v>0</v>
      </c>
      <c r="M2348" s="528">
        <f t="shared" si="1326"/>
        <v>0</v>
      </c>
      <c r="N2348" s="528">
        <f t="shared" si="1327"/>
        <v>0</v>
      </c>
      <c r="O2348" s="528">
        <f t="shared" si="1328"/>
        <v>0</v>
      </c>
      <c r="P2348" s="529">
        <f t="shared" si="1329"/>
        <v>0</v>
      </c>
      <c r="Q2348" s="24">
        <f t="shared" si="1330"/>
        <v>0</v>
      </c>
      <c r="R2348" s="530">
        <f t="shared" si="1331"/>
        <v>0</v>
      </c>
    </row>
    <row r="2349" spans="1:18">
      <c r="A2349" s="524"/>
      <c r="B2349" s="531" t="s">
        <v>96</v>
      </c>
      <c r="C2349" s="533">
        <f t="shared" ref="C2349:J2349" si="1337">SUM(C2345:C2348)</f>
        <v>1689.93</v>
      </c>
      <c r="D2349" s="533">
        <f t="shared" si="1337"/>
        <v>33570</v>
      </c>
      <c r="E2349" s="533">
        <f t="shared" si="1337"/>
        <v>1173</v>
      </c>
      <c r="F2349" s="533">
        <f t="shared" si="1337"/>
        <v>0</v>
      </c>
      <c r="G2349" s="533">
        <f t="shared" si="1337"/>
        <v>0</v>
      </c>
      <c r="H2349" s="533">
        <f t="shared" si="1337"/>
        <v>38</v>
      </c>
      <c r="I2349" s="533">
        <f t="shared" si="1337"/>
        <v>5</v>
      </c>
      <c r="J2349" s="533">
        <f t="shared" si="1337"/>
        <v>3</v>
      </c>
      <c r="K2349" s="534">
        <f t="shared" si="1324"/>
        <v>0.0349419124218052</v>
      </c>
      <c r="L2349" s="535">
        <f t="shared" si="1325"/>
        <v>1.4406905370844</v>
      </c>
      <c r="M2349" s="535">
        <f t="shared" si="1326"/>
        <v>50.3404825737265</v>
      </c>
      <c r="N2349" s="535">
        <f t="shared" si="1327"/>
        <v>0</v>
      </c>
      <c r="O2349" s="535">
        <f t="shared" si="1328"/>
        <v>0</v>
      </c>
      <c r="P2349" s="536">
        <f t="shared" si="1329"/>
        <v>39.3006976744186</v>
      </c>
      <c r="Q2349" s="531">
        <f t="shared" si="1330"/>
        <v>43</v>
      </c>
      <c r="R2349" s="537">
        <f t="shared" si="1331"/>
        <v>0.0366581415174766</v>
      </c>
    </row>
    <row r="2350" spans="1:18">
      <c r="A2350" s="524">
        <v>45920</v>
      </c>
      <c r="B2350" s="540" t="s">
        <v>98</v>
      </c>
      <c r="C2350" s="551">
        <v>700</v>
      </c>
      <c r="D2350" s="553">
        <v>20525</v>
      </c>
      <c r="E2350" s="551">
        <v>585</v>
      </c>
      <c r="F2350" s="551">
        <v>0</v>
      </c>
      <c r="G2350" s="551">
        <v>0</v>
      </c>
      <c r="H2350" s="551">
        <v>17</v>
      </c>
      <c r="I2350" s="551">
        <v>3</v>
      </c>
      <c r="J2350" s="551">
        <v>0</v>
      </c>
      <c r="K2350" s="527">
        <f t="shared" si="1324"/>
        <v>0.0285018270401949</v>
      </c>
      <c r="L2350" s="528">
        <f t="shared" si="1325"/>
        <v>1.1965811965812</v>
      </c>
      <c r="M2350" s="528">
        <f t="shared" si="1326"/>
        <v>34.1047503045067</v>
      </c>
      <c r="N2350" s="528">
        <f t="shared" si="1327"/>
        <v>0</v>
      </c>
      <c r="O2350" s="528">
        <f t="shared" si="1328"/>
        <v>0</v>
      </c>
      <c r="P2350" s="529">
        <f t="shared" si="1329"/>
        <v>35</v>
      </c>
      <c r="Q2350" s="24">
        <f t="shared" si="1330"/>
        <v>20</v>
      </c>
      <c r="R2350" s="530">
        <f t="shared" si="1331"/>
        <v>0.0341880341880342</v>
      </c>
    </row>
    <row r="2351" spans="1:18">
      <c r="A2351" s="524"/>
      <c r="B2351" s="540" t="s">
        <v>99</v>
      </c>
      <c r="C2351" s="551">
        <v>958.76</v>
      </c>
      <c r="D2351" s="555">
        <v>21342</v>
      </c>
      <c r="E2351" s="551">
        <v>481</v>
      </c>
      <c r="F2351" s="551">
        <v>1</v>
      </c>
      <c r="G2351" s="551">
        <v>6094</v>
      </c>
      <c r="H2351" s="555">
        <v>8</v>
      </c>
      <c r="I2351" s="555">
        <v>1</v>
      </c>
      <c r="J2351" s="555">
        <v>4</v>
      </c>
      <c r="K2351" s="527">
        <f t="shared" si="1324"/>
        <v>0.0225377190516353</v>
      </c>
      <c r="L2351" s="528">
        <f t="shared" si="1325"/>
        <v>1.99326403326403</v>
      </c>
      <c r="M2351" s="528">
        <f t="shared" si="1326"/>
        <v>44.9236247774342</v>
      </c>
      <c r="N2351" s="528">
        <f t="shared" si="1327"/>
        <v>6.35612666360716</v>
      </c>
      <c r="O2351" s="528">
        <f t="shared" si="1328"/>
        <v>0.00207900207900208</v>
      </c>
      <c r="P2351" s="529">
        <f t="shared" si="1329"/>
        <v>106.528888888889</v>
      </c>
      <c r="Q2351" s="24">
        <f t="shared" si="1330"/>
        <v>9</v>
      </c>
      <c r="R2351" s="530">
        <f t="shared" si="1331"/>
        <v>0.0187110187110187</v>
      </c>
    </row>
    <row r="2352" spans="1:18">
      <c r="A2352" s="524"/>
      <c r="B2352" s="540" t="s">
        <v>100</v>
      </c>
      <c r="C2352" s="552">
        <v>0</v>
      </c>
      <c r="D2352" s="553">
        <v>0</v>
      </c>
      <c r="E2352" s="553">
        <v>0</v>
      </c>
      <c r="F2352" s="551">
        <v>0</v>
      </c>
      <c r="G2352" s="551">
        <v>0</v>
      </c>
      <c r="H2352" s="551">
        <v>0</v>
      </c>
      <c r="I2352" s="551">
        <v>0</v>
      </c>
      <c r="J2352" s="551">
        <v>0</v>
      </c>
      <c r="K2352" s="527">
        <f t="shared" si="1324"/>
        <v>0</v>
      </c>
      <c r="L2352" s="528">
        <f t="shared" si="1325"/>
        <v>0</v>
      </c>
      <c r="M2352" s="528">
        <f t="shared" si="1326"/>
        <v>0</v>
      </c>
      <c r="N2352" s="528">
        <f t="shared" si="1327"/>
        <v>0</v>
      </c>
      <c r="O2352" s="528">
        <f t="shared" si="1328"/>
        <v>0</v>
      </c>
      <c r="P2352" s="529">
        <f t="shared" si="1329"/>
        <v>0</v>
      </c>
      <c r="Q2352" s="24">
        <f t="shared" si="1330"/>
        <v>0</v>
      </c>
      <c r="R2352" s="530">
        <f t="shared" si="1331"/>
        <v>0</v>
      </c>
    </row>
    <row r="2353" spans="1:18">
      <c r="A2353" s="524"/>
      <c r="B2353" s="540" t="s">
        <v>101</v>
      </c>
      <c r="C2353" s="552">
        <v>0</v>
      </c>
      <c r="D2353" s="553">
        <v>0</v>
      </c>
      <c r="E2353" s="551">
        <v>0</v>
      </c>
      <c r="F2353" s="551">
        <v>0</v>
      </c>
      <c r="G2353" s="551">
        <v>0</v>
      </c>
      <c r="H2353" s="551">
        <v>0</v>
      </c>
      <c r="I2353" s="551">
        <v>0</v>
      </c>
      <c r="J2353" s="551">
        <v>0</v>
      </c>
      <c r="K2353" s="527">
        <f t="shared" si="1324"/>
        <v>0</v>
      </c>
      <c r="L2353" s="528">
        <f t="shared" si="1325"/>
        <v>0</v>
      </c>
      <c r="M2353" s="528">
        <f t="shared" si="1326"/>
        <v>0</v>
      </c>
      <c r="N2353" s="528">
        <f t="shared" si="1327"/>
        <v>0</v>
      </c>
      <c r="O2353" s="528">
        <f t="shared" si="1328"/>
        <v>0</v>
      </c>
      <c r="P2353" s="529">
        <f t="shared" si="1329"/>
        <v>0</v>
      </c>
      <c r="Q2353" s="24">
        <f t="shared" si="1330"/>
        <v>0</v>
      </c>
      <c r="R2353" s="530">
        <f t="shared" si="1331"/>
        <v>0</v>
      </c>
    </row>
    <row r="2354" spans="1:18">
      <c r="A2354" s="524"/>
      <c r="B2354" s="531" t="s">
        <v>96</v>
      </c>
      <c r="C2354" s="533">
        <f t="shared" ref="C2354:J2354" si="1338">SUM(C2350:C2353)</f>
        <v>1658.76</v>
      </c>
      <c r="D2354" s="533">
        <f t="shared" si="1338"/>
        <v>41867</v>
      </c>
      <c r="E2354" s="533">
        <f t="shared" si="1338"/>
        <v>1066</v>
      </c>
      <c r="F2354" s="533">
        <f t="shared" si="1338"/>
        <v>1</v>
      </c>
      <c r="G2354" s="533">
        <f t="shared" si="1338"/>
        <v>6094</v>
      </c>
      <c r="H2354" s="533">
        <f t="shared" si="1338"/>
        <v>25</v>
      </c>
      <c r="I2354" s="533">
        <f t="shared" si="1338"/>
        <v>4</v>
      </c>
      <c r="J2354" s="533">
        <f t="shared" si="1338"/>
        <v>4</v>
      </c>
      <c r="K2354" s="534">
        <f t="shared" si="1324"/>
        <v>0.0254615807198987</v>
      </c>
      <c r="L2354" s="535">
        <f t="shared" si="1325"/>
        <v>1.55606003752345</v>
      </c>
      <c r="M2354" s="535">
        <f t="shared" si="1326"/>
        <v>39.619748250412</v>
      </c>
      <c r="N2354" s="535">
        <f t="shared" si="1327"/>
        <v>3.67382864308278</v>
      </c>
      <c r="O2354" s="535">
        <f t="shared" si="1328"/>
        <v>0.000938086303939962</v>
      </c>
      <c r="P2354" s="536">
        <f t="shared" si="1329"/>
        <v>57.1986206896552</v>
      </c>
      <c r="Q2354" s="531">
        <f t="shared" si="1330"/>
        <v>29</v>
      </c>
      <c r="R2354" s="537">
        <f t="shared" si="1331"/>
        <v>0.0272045028142589</v>
      </c>
    </row>
    <row r="2355" spans="1:18">
      <c r="A2355" s="524">
        <v>45921</v>
      </c>
      <c r="B2355" s="540" t="s">
        <v>98</v>
      </c>
      <c r="C2355" s="551">
        <v>698.94</v>
      </c>
      <c r="D2355" s="553">
        <v>20333</v>
      </c>
      <c r="E2355" s="551">
        <v>645</v>
      </c>
      <c r="F2355" s="551">
        <v>0</v>
      </c>
      <c r="G2355" s="551">
        <v>0</v>
      </c>
      <c r="H2355" s="551">
        <v>25</v>
      </c>
      <c r="I2355" s="551">
        <v>3</v>
      </c>
      <c r="J2355" s="551">
        <v>1</v>
      </c>
      <c r="K2355" s="527">
        <f t="shared" si="1324"/>
        <v>0.0317218315054345</v>
      </c>
      <c r="L2355" s="528">
        <f t="shared" si="1325"/>
        <v>1.08362790697674</v>
      </c>
      <c r="M2355" s="528">
        <f t="shared" si="1326"/>
        <v>34.3746618797029</v>
      </c>
      <c r="N2355" s="528">
        <f t="shared" si="1327"/>
        <v>0</v>
      </c>
      <c r="O2355" s="528">
        <f t="shared" si="1328"/>
        <v>0</v>
      </c>
      <c r="P2355" s="529">
        <f t="shared" si="1329"/>
        <v>24.9621428571429</v>
      </c>
      <c r="Q2355" s="24">
        <f t="shared" si="1330"/>
        <v>28</v>
      </c>
      <c r="R2355" s="530">
        <f t="shared" si="1331"/>
        <v>0.0434108527131783</v>
      </c>
    </row>
    <row r="2356" spans="1:18">
      <c r="A2356" s="524"/>
      <c r="B2356" s="540" t="s">
        <v>99</v>
      </c>
      <c r="C2356" s="551">
        <v>912.02</v>
      </c>
      <c r="D2356" s="556">
        <v>17489</v>
      </c>
      <c r="E2356" s="551">
        <v>833</v>
      </c>
      <c r="F2356" s="551">
        <v>3</v>
      </c>
      <c r="G2356" s="551">
        <v>28462</v>
      </c>
      <c r="H2356" s="555">
        <v>10</v>
      </c>
      <c r="I2356" s="555">
        <v>0</v>
      </c>
      <c r="J2356" s="555">
        <v>6</v>
      </c>
      <c r="K2356" s="527">
        <f t="shared" si="1324"/>
        <v>0.047629938818686</v>
      </c>
      <c r="L2356" s="528">
        <f t="shared" si="1325"/>
        <v>1.09486194477791</v>
      </c>
      <c r="M2356" s="528">
        <f t="shared" si="1326"/>
        <v>52.1482074446795</v>
      </c>
      <c r="N2356" s="528">
        <f t="shared" si="1327"/>
        <v>31.2076489550668</v>
      </c>
      <c r="O2356" s="528">
        <f t="shared" si="1328"/>
        <v>0.00360144057623049</v>
      </c>
      <c r="P2356" s="529">
        <f t="shared" si="1329"/>
        <v>91.202</v>
      </c>
      <c r="Q2356" s="24">
        <f t="shared" si="1330"/>
        <v>10</v>
      </c>
      <c r="R2356" s="530">
        <f t="shared" si="1331"/>
        <v>0.0120048019207683</v>
      </c>
    </row>
    <row r="2357" spans="1:18">
      <c r="A2357" s="524"/>
      <c r="B2357" s="540" t="s">
        <v>100</v>
      </c>
      <c r="C2357" s="552">
        <v>0</v>
      </c>
      <c r="D2357" s="553">
        <v>0</v>
      </c>
      <c r="E2357" s="553">
        <v>0</v>
      </c>
      <c r="F2357" s="551">
        <v>0</v>
      </c>
      <c r="G2357" s="551">
        <v>0</v>
      </c>
      <c r="H2357" s="551">
        <v>0</v>
      </c>
      <c r="I2357" s="551">
        <v>0</v>
      </c>
      <c r="J2357" s="551">
        <v>0</v>
      </c>
      <c r="K2357" s="527">
        <f t="shared" si="1324"/>
        <v>0</v>
      </c>
      <c r="L2357" s="528">
        <f t="shared" si="1325"/>
        <v>0</v>
      </c>
      <c r="M2357" s="528">
        <f t="shared" si="1326"/>
        <v>0</v>
      </c>
      <c r="N2357" s="528">
        <f t="shared" si="1327"/>
        <v>0</v>
      </c>
      <c r="O2357" s="528">
        <f t="shared" si="1328"/>
        <v>0</v>
      </c>
      <c r="P2357" s="529">
        <f t="shared" si="1329"/>
        <v>0</v>
      </c>
      <c r="Q2357" s="24">
        <f t="shared" si="1330"/>
        <v>0</v>
      </c>
      <c r="R2357" s="530">
        <f t="shared" si="1331"/>
        <v>0</v>
      </c>
    </row>
    <row r="2358" spans="1:18">
      <c r="A2358" s="524"/>
      <c r="B2358" s="540" t="s">
        <v>101</v>
      </c>
      <c r="C2358" s="552">
        <v>0</v>
      </c>
      <c r="D2358" s="553">
        <v>0</v>
      </c>
      <c r="E2358" s="551">
        <v>0</v>
      </c>
      <c r="F2358" s="551">
        <v>0</v>
      </c>
      <c r="G2358" s="551">
        <v>0</v>
      </c>
      <c r="H2358" s="551">
        <v>0</v>
      </c>
      <c r="I2358" s="551">
        <v>0</v>
      </c>
      <c r="J2358" s="551">
        <v>0</v>
      </c>
      <c r="K2358" s="527">
        <f t="shared" si="1324"/>
        <v>0</v>
      </c>
      <c r="L2358" s="528">
        <f t="shared" si="1325"/>
        <v>0</v>
      </c>
      <c r="M2358" s="528">
        <f t="shared" si="1326"/>
        <v>0</v>
      </c>
      <c r="N2358" s="528">
        <f t="shared" si="1327"/>
        <v>0</v>
      </c>
      <c r="O2358" s="528">
        <f t="shared" si="1328"/>
        <v>0</v>
      </c>
      <c r="P2358" s="529">
        <f t="shared" si="1329"/>
        <v>0</v>
      </c>
      <c r="Q2358" s="24">
        <f t="shared" si="1330"/>
        <v>0</v>
      </c>
      <c r="R2358" s="530">
        <f t="shared" si="1331"/>
        <v>0</v>
      </c>
    </row>
    <row r="2359" spans="1:18">
      <c r="A2359" s="524"/>
      <c r="B2359" s="531" t="s">
        <v>96</v>
      </c>
      <c r="C2359" s="533">
        <f t="shared" ref="C2359:J2359" si="1339">SUM(C2355:C2358)</f>
        <v>1610.96</v>
      </c>
      <c r="D2359" s="533">
        <f t="shared" si="1339"/>
        <v>37822</v>
      </c>
      <c r="E2359" s="533">
        <f t="shared" si="1339"/>
        <v>1478</v>
      </c>
      <c r="F2359" s="533">
        <f t="shared" si="1339"/>
        <v>3</v>
      </c>
      <c r="G2359" s="533">
        <f t="shared" si="1339"/>
        <v>28462</v>
      </c>
      <c r="H2359" s="533">
        <f t="shared" si="1339"/>
        <v>35</v>
      </c>
      <c r="I2359" s="533">
        <f t="shared" si="1339"/>
        <v>3</v>
      </c>
      <c r="J2359" s="533">
        <f t="shared" si="1339"/>
        <v>7</v>
      </c>
      <c r="K2359" s="534">
        <f t="shared" si="1324"/>
        <v>0.0390777854158955</v>
      </c>
      <c r="L2359" s="535">
        <f t="shared" si="1325"/>
        <v>1.08995940460081</v>
      </c>
      <c r="M2359" s="535">
        <f t="shared" si="1326"/>
        <v>42.5931997250278</v>
      </c>
      <c r="N2359" s="535">
        <f t="shared" si="1327"/>
        <v>17.6677260763768</v>
      </c>
      <c r="O2359" s="535">
        <f t="shared" si="1328"/>
        <v>0.0020297699594046</v>
      </c>
      <c r="P2359" s="536">
        <f t="shared" si="1329"/>
        <v>42.3936842105263</v>
      </c>
      <c r="Q2359" s="531">
        <f t="shared" si="1330"/>
        <v>38</v>
      </c>
      <c r="R2359" s="537">
        <f t="shared" si="1331"/>
        <v>0.0257104194857916</v>
      </c>
    </row>
    <row r="2360" spans="1:18">
      <c r="A2360" s="524">
        <v>45922</v>
      </c>
      <c r="B2360" s="540" t="s">
        <v>98</v>
      </c>
      <c r="C2360" s="551">
        <v>698.42</v>
      </c>
      <c r="D2360" s="553">
        <v>19541</v>
      </c>
      <c r="E2360" s="551">
        <v>635</v>
      </c>
      <c r="F2360" s="551">
        <v>0</v>
      </c>
      <c r="G2360" s="551">
        <v>0</v>
      </c>
      <c r="H2360" s="551">
        <v>19</v>
      </c>
      <c r="I2360" s="551">
        <v>4</v>
      </c>
      <c r="J2360" s="551">
        <v>1</v>
      </c>
      <c r="K2360" s="527">
        <f t="shared" si="1324"/>
        <v>0.0324957781075687</v>
      </c>
      <c r="L2360" s="528">
        <f t="shared" si="1325"/>
        <v>1.09987401574803</v>
      </c>
      <c r="M2360" s="528">
        <f t="shared" si="1326"/>
        <v>35.7412619620286</v>
      </c>
      <c r="N2360" s="528">
        <f t="shared" si="1327"/>
        <v>0</v>
      </c>
      <c r="O2360" s="528">
        <f t="shared" si="1328"/>
        <v>0</v>
      </c>
      <c r="P2360" s="529">
        <f t="shared" si="1329"/>
        <v>30.3660869565217</v>
      </c>
      <c r="Q2360" s="24">
        <f t="shared" si="1330"/>
        <v>23</v>
      </c>
      <c r="R2360" s="530">
        <f t="shared" si="1331"/>
        <v>0.0362204724409449</v>
      </c>
    </row>
    <row r="2361" spans="1:18">
      <c r="A2361" s="524"/>
      <c r="B2361" s="540" t="s">
        <v>99</v>
      </c>
      <c r="C2361" s="551">
        <v>960.99</v>
      </c>
      <c r="D2361" s="556">
        <v>17399</v>
      </c>
      <c r="E2361" s="551">
        <v>663</v>
      </c>
      <c r="F2361" s="551">
        <v>1</v>
      </c>
      <c r="G2361" s="551">
        <v>12752</v>
      </c>
      <c r="H2361" s="555">
        <v>3</v>
      </c>
      <c r="I2361" s="555">
        <v>1</v>
      </c>
      <c r="J2361" s="555">
        <v>1</v>
      </c>
      <c r="K2361" s="527">
        <f t="shared" si="1324"/>
        <v>0.0381056382550721</v>
      </c>
      <c r="L2361" s="528">
        <f t="shared" si="1325"/>
        <v>1.44945701357466</v>
      </c>
      <c r="M2361" s="528">
        <f t="shared" si="1326"/>
        <v>55.2324846255532</v>
      </c>
      <c r="N2361" s="528">
        <f t="shared" si="1327"/>
        <v>13.269649007794</v>
      </c>
      <c r="O2361" s="528">
        <f t="shared" si="1328"/>
        <v>0.00150829562594268</v>
      </c>
      <c r="P2361" s="529">
        <f t="shared" si="1329"/>
        <v>240.2475</v>
      </c>
      <c r="Q2361" s="24">
        <f t="shared" si="1330"/>
        <v>4</v>
      </c>
      <c r="R2361" s="530">
        <f t="shared" si="1331"/>
        <v>0.00603318250377074</v>
      </c>
    </row>
    <row r="2362" spans="1:18">
      <c r="A2362" s="524"/>
      <c r="B2362" s="540" t="s">
        <v>100</v>
      </c>
      <c r="C2362" s="552">
        <v>0</v>
      </c>
      <c r="D2362" s="553">
        <v>0</v>
      </c>
      <c r="E2362" s="553">
        <v>0</v>
      </c>
      <c r="F2362" s="551">
        <v>0</v>
      </c>
      <c r="G2362" s="551">
        <v>0</v>
      </c>
      <c r="H2362" s="551">
        <v>0</v>
      </c>
      <c r="I2362" s="551">
        <v>0</v>
      </c>
      <c r="J2362" s="551">
        <v>0</v>
      </c>
      <c r="K2362" s="527">
        <f t="shared" si="1324"/>
        <v>0</v>
      </c>
      <c r="L2362" s="528">
        <f t="shared" si="1325"/>
        <v>0</v>
      </c>
      <c r="M2362" s="528">
        <f t="shared" si="1326"/>
        <v>0</v>
      </c>
      <c r="N2362" s="528">
        <f t="shared" si="1327"/>
        <v>0</v>
      </c>
      <c r="O2362" s="528">
        <f t="shared" si="1328"/>
        <v>0</v>
      </c>
      <c r="P2362" s="529">
        <f t="shared" si="1329"/>
        <v>0</v>
      </c>
      <c r="Q2362" s="24">
        <f t="shared" si="1330"/>
        <v>0</v>
      </c>
      <c r="R2362" s="530">
        <f t="shared" si="1331"/>
        <v>0</v>
      </c>
    </row>
    <row r="2363" spans="1:18">
      <c r="A2363" s="524"/>
      <c r="B2363" s="540" t="s">
        <v>101</v>
      </c>
      <c r="C2363" s="552">
        <v>0</v>
      </c>
      <c r="D2363" s="553">
        <v>0</v>
      </c>
      <c r="E2363" s="551">
        <v>0</v>
      </c>
      <c r="F2363" s="551">
        <v>0</v>
      </c>
      <c r="G2363" s="551">
        <v>0</v>
      </c>
      <c r="H2363" s="551">
        <v>0</v>
      </c>
      <c r="I2363" s="551">
        <v>0</v>
      </c>
      <c r="J2363" s="551">
        <v>0</v>
      </c>
      <c r="K2363" s="527">
        <f t="shared" si="1324"/>
        <v>0</v>
      </c>
      <c r="L2363" s="528">
        <f t="shared" si="1325"/>
        <v>0</v>
      </c>
      <c r="M2363" s="528">
        <f t="shared" si="1326"/>
        <v>0</v>
      </c>
      <c r="N2363" s="528">
        <f t="shared" si="1327"/>
        <v>0</v>
      </c>
      <c r="O2363" s="528">
        <f t="shared" si="1328"/>
        <v>0</v>
      </c>
      <c r="P2363" s="529">
        <f t="shared" si="1329"/>
        <v>0</v>
      </c>
      <c r="Q2363" s="24">
        <f t="shared" si="1330"/>
        <v>0</v>
      </c>
      <c r="R2363" s="530">
        <f t="shared" si="1331"/>
        <v>0</v>
      </c>
    </row>
    <row r="2364" spans="1:18">
      <c r="A2364" s="524"/>
      <c r="B2364" s="531" t="s">
        <v>96</v>
      </c>
      <c r="C2364" s="533">
        <f t="shared" ref="C2364:J2364" si="1340">SUM(C2360:C2363)</f>
        <v>1659.41</v>
      </c>
      <c r="D2364" s="533">
        <f t="shared" si="1340"/>
        <v>36940</v>
      </c>
      <c r="E2364" s="533">
        <f t="shared" si="1340"/>
        <v>1298</v>
      </c>
      <c r="F2364" s="533">
        <f t="shared" si="1340"/>
        <v>1</v>
      </c>
      <c r="G2364" s="533">
        <f t="shared" si="1340"/>
        <v>12752</v>
      </c>
      <c r="H2364" s="533">
        <f t="shared" si="1340"/>
        <v>22</v>
      </c>
      <c r="I2364" s="533">
        <f t="shared" si="1340"/>
        <v>5</v>
      </c>
      <c r="J2364" s="533">
        <f t="shared" si="1340"/>
        <v>2</v>
      </c>
      <c r="K2364" s="534">
        <f t="shared" si="1324"/>
        <v>0.0351380617217109</v>
      </c>
      <c r="L2364" s="535">
        <f t="shared" si="1325"/>
        <v>1.27843605546995</v>
      </c>
      <c r="M2364" s="535">
        <f t="shared" si="1326"/>
        <v>44.9217650243638</v>
      </c>
      <c r="N2364" s="535">
        <f t="shared" si="1327"/>
        <v>7.68465900530912</v>
      </c>
      <c r="O2364" s="535">
        <f t="shared" si="1328"/>
        <v>0.000770416024653313</v>
      </c>
      <c r="P2364" s="536">
        <f t="shared" si="1329"/>
        <v>61.4596296296296</v>
      </c>
      <c r="Q2364" s="531">
        <f t="shared" si="1330"/>
        <v>27</v>
      </c>
      <c r="R2364" s="537">
        <f t="shared" si="1331"/>
        <v>0.0208012326656394</v>
      </c>
    </row>
    <row r="2365" spans="1:18">
      <c r="A2365" s="524">
        <v>45923</v>
      </c>
      <c r="B2365" s="540" t="s">
        <v>98</v>
      </c>
      <c r="C2365" s="551">
        <v>695.62</v>
      </c>
      <c r="D2365" s="553">
        <v>17707</v>
      </c>
      <c r="E2365" s="551">
        <v>610</v>
      </c>
      <c r="F2365" s="551">
        <v>0</v>
      </c>
      <c r="G2365" s="551">
        <v>0</v>
      </c>
      <c r="H2365" s="551">
        <v>25</v>
      </c>
      <c r="I2365" s="551">
        <v>3</v>
      </c>
      <c r="J2365" s="551">
        <v>1</v>
      </c>
      <c r="K2365" s="527">
        <f t="shared" ref="K2365:K2428" si="1341">IF(E2365=0,0,E2365/D2365)</f>
        <v>0.0344496526797312</v>
      </c>
      <c r="L2365" s="528">
        <f t="shared" ref="L2365:L2428" si="1342">IF(C2365=0,0,C2365/E2365)</f>
        <v>1.1403606557377</v>
      </c>
      <c r="M2365" s="528">
        <f t="shared" ref="M2365:M2428" si="1343">IF(D2365=0,0,C2365/D2365*1000)</f>
        <v>39.2850285197944</v>
      </c>
      <c r="N2365" s="528">
        <f t="shared" ref="N2365:N2428" si="1344">IF(G2365=0,0,G2365/C2365)</f>
        <v>0</v>
      </c>
      <c r="O2365" s="528">
        <f t="shared" ref="O2365:O2428" si="1345">IF(F2365=0,0,F2365/E2365)</f>
        <v>0</v>
      </c>
      <c r="P2365" s="529">
        <f t="shared" ref="P2365:P2428" si="1346">IF(H2365+I2365=0,0,C2365/(H2365+I2365))</f>
        <v>24.8435714285714</v>
      </c>
      <c r="Q2365" s="24">
        <f t="shared" ref="Q2365:Q2428" si="1347">H2365+I2365</f>
        <v>28</v>
      </c>
      <c r="R2365" s="530">
        <f t="shared" ref="R2365:R2428" si="1348">IF(Q2365=0,0,Q2365/E2365)</f>
        <v>0.0459016393442623</v>
      </c>
    </row>
    <row r="2366" spans="1:18">
      <c r="A2366" s="524"/>
      <c r="B2366" s="540" t="s">
        <v>99</v>
      </c>
      <c r="C2366" s="551">
        <v>946.17</v>
      </c>
      <c r="D2366" s="556">
        <v>17890</v>
      </c>
      <c r="E2366" s="551">
        <v>725</v>
      </c>
      <c r="F2366" s="551">
        <v>0</v>
      </c>
      <c r="G2366" s="551">
        <v>0</v>
      </c>
      <c r="H2366" s="555">
        <v>4</v>
      </c>
      <c r="I2366" s="555">
        <v>0</v>
      </c>
      <c r="J2366" s="555">
        <v>2</v>
      </c>
      <c r="K2366" s="527">
        <f t="shared" si="1341"/>
        <v>0.0405254332029066</v>
      </c>
      <c r="L2366" s="528">
        <f t="shared" si="1342"/>
        <v>1.30506206896552</v>
      </c>
      <c r="M2366" s="528">
        <f t="shared" si="1343"/>
        <v>52.8882057015092</v>
      </c>
      <c r="N2366" s="528">
        <f t="shared" si="1344"/>
        <v>0</v>
      </c>
      <c r="O2366" s="528">
        <f t="shared" si="1345"/>
        <v>0</v>
      </c>
      <c r="P2366" s="529">
        <f t="shared" si="1346"/>
        <v>236.5425</v>
      </c>
      <c r="Q2366" s="24">
        <f t="shared" si="1347"/>
        <v>4</v>
      </c>
      <c r="R2366" s="530">
        <f t="shared" si="1348"/>
        <v>0.00551724137931034</v>
      </c>
    </row>
    <row r="2367" spans="1:18">
      <c r="A2367" s="524"/>
      <c r="B2367" s="540" t="s">
        <v>100</v>
      </c>
      <c r="C2367" s="552">
        <v>0</v>
      </c>
      <c r="D2367" s="553">
        <v>0</v>
      </c>
      <c r="E2367" s="553">
        <v>0</v>
      </c>
      <c r="F2367" s="551">
        <v>0</v>
      </c>
      <c r="G2367" s="551">
        <v>0</v>
      </c>
      <c r="H2367" s="551">
        <v>0</v>
      </c>
      <c r="I2367" s="551">
        <v>0</v>
      </c>
      <c r="J2367" s="551">
        <v>0</v>
      </c>
      <c r="K2367" s="527">
        <f t="shared" si="1341"/>
        <v>0</v>
      </c>
      <c r="L2367" s="528">
        <f t="shared" si="1342"/>
        <v>0</v>
      </c>
      <c r="M2367" s="528">
        <f t="shared" si="1343"/>
        <v>0</v>
      </c>
      <c r="N2367" s="528">
        <f t="shared" si="1344"/>
        <v>0</v>
      </c>
      <c r="O2367" s="528">
        <f t="shared" si="1345"/>
        <v>0</v>
      </c>
      <c r="P2367" s="529">
        <f t="shared" si="1346"/>
        <v>0</v>
      </c>
      <c r="Q2367" s="24">
        <f t="shared" si="1347"/>
        <v>0</v>
      </c>
      <c r="R2367" s="530">
        <f t="shared" si="1348"/>
        <v>0</v>
      </c>
    </row>
    <row r="2368" spans="1:18">
      <c r="A2368" s="524"/>
      <c r="B2368" s="540" t="s">
        <v>101</v>
      </c>
      <c r="C2368" s="552">
        <v>0</v>
      </c>
      <c r="D2368" s="553">
        <v>0</v>
      </c>
      <c r="E2368" s="551">
        <v>0</v>
      </c>
      <c r="F2368" s="551">
        <v>0</v>
      </c>
      <c r="G2368" s="551">
        <v>0</v>
      </c>
      <c r="H2368" s="551">
        <v>0</v>
      </c>
      <c r="I2368" s="551">
        <v>0</v>
      </c>
      <c r="J2368" s="551">
        <v>0</v>
      </c>
      <c r="K2368" s="527">
        <f t="shared" si="1341"/>
        <v>0</v>
      </c>
      <c r="L2368" s="528">
        <f t="shared" si="1342"/>
        <v>0</v>
      </c>
      <c r="M2368" s="528">
        <f t="shared" si="1343"/>
        <v>0</v>
      </c>
      <c r="N2368" s="528">
        <f t="shared" si="1344"/>
        <v>0</v>
      </c>
      <c r="O2368" s="528">
        <f t="shared" si="1345"/>
        <v>0</v>
      </c>
      <c r="P2368" s="529">
        <f t="shared" si="1346"/>
        <v>0</v>
      </c>
      <c r="Q2368" s="24">
        <f t="shared" si="1347"/>
        <v>0</v>
      </c>
      <c r="R2368" s="530">
        <f t="shared" si="1348"/>
        <v>0</v>
      </c>
    </row>
    <row r="2369" spans="1:18">
      <c r="A2369" s="524"/>
      <c r="B2369" s="531" t="s">
        <v>96</v>
      </c>
      <c r="C2369" s="533">
        <f t="shared" ref="C2369:J2369" si="1349">SUM(C2365:C2368)</f>
        <v>1641.79</v>
      </c>
      <c r="D2369" s="533">
        <f t="shared" si="1349"/>
        <v>35597</v>
      </c>
      <c r="E2369" s="533">
        <f t="shared" si="1349"/>
        <v>1335</v>
      </c>
      <c r="F2369" s="533">
        <f t="shared" si="1349"/>
        <v>0</v>
      </c>
      <c r="G2369" s="533">
        <f t="shared" si="1349"/>
        <v>0</v>
      </c>
      <c r="H2369" s="533">
        <f t="shared" si="1349"/>
        <v>29</v>
      </c>
      <c r="I2369" s="533">
        <f t="shared" si="1349"/>
        <v>3</v>
      </c>
      <c r="J2369" s="533">
        <f t="shared" si="1349"/>
        <v>3</v>
      </c>
      <c r="K2369" s="534">
        <f t="shared" si="1341"/>
        <v>0.0375031603786836</v>
      </c>
      <c r="L2369" s="535">
        <f t="shared" si="1342"/>
        <v>1.22980524344569</v>
      </c>
      <c r="M2369" s="535">
        <f t="shared" si="1343"/>
        <v>46.1215832794898</v>
      </c>
      <c r="N2369" s="535">
        <f t="shared" si="1344"/>
        <v>0</v>
      </c>
      <c r="O2369" s="535">
        <f t="shared" si="1345"/>
        <v>0</v>
      </c>
      <c r="P2369" s="536">
        <f t="shared" si="1346"/>
        <v>51.3059375</v>
      </c>
      <c r="Q2369" s="531">
        <f t="shared" si="1347"/>
        <v>32</v>
      </c>
      <c r="R2369" s="537">
        <f t="shared" si="1348"/>
        <v>0.0239700374531835</v>
      </c>
    </row>
    <row r="2370" spans="1:18">
      <c r="A2370" s="524">
        <v>45924</v>
      </c>
      <c r="B2370" s="540" t="s">
        <v>98</v>
      </c>
      <c r="C2370" s="551">
        <v>700</v>
      </c>
      <c r="D2370" s="553">
        <v>17220</v>
      </c>
      <c r="E2370" s="551">
        <v>596</v>
      </c>
      <c r="F2370" s="551">
        <v>1</v>
      </c>
      <c r="G2370" s="551">
        <v>1</v>
      </c>
      <c r="H2370" s="551">
        <v>24</v>
      </c>
      <c r="I2370" s="551">
        <v>3</v>
      </c>
      <c r="J2370" s="551">
        <v>0</v>
      </c>
      <c r="K2370" s="527">
        <f t="shared" si="1341"/>
        <v>0.0346109175377468</v>
      </c>
      <c r="L2370" s="528">
        <f t="shared" si="1342"/>
        <v>1.1744966442953</v>
      </c>
      <c r="M2370" s="528">
        <f t="shared" si="1343"/>
        <v>40.650406504065</v>
      </c>
      <c r="N2370" s="528">
        <f t="shared" si="1344"/>
        <v>0.00142857142857143</v>
      </c>
      <c r="O2370" s="528">
        <f t="shared" si="1345"/>
        <v>0.00167785234899329</v>
      </c>
      <c r="P2370" s="529">
        <f t="shared" si="1346"/>
        <v>25.9259259259259</v>
      </c>
      <c r="Q2370" s="24">
        <f t="shared" si="1347"/>
        <v>27</v>
      </c>
      <c r="R2370" s="530">
        <f t="shared" si="1348"/>
        <v>0.0453020134228188</v>
      </c>
    </row>
    <row r="2371" spans="1:18">
      <c r="A2371" s="524"/>
      <c r="B2371" s="540" t="s">
        <v>99</v>
      </c>
      <c r="C2371" s="551">
        <v>876.37</v>
      </c>
      <c r="D2371" s="556">
        <v>19457</v>
      </c>
      <c r="E2371" s="551">
        <v>559</v>
      </c>
      <c r="F2371" s="551">
        <v>0</v>
      </c>
      <c r="G2371" s="551">
        <v>0</v>
      </c>
      <c r="H2371" s="555">
        <v>7</v>
      </c>
      <c r="I2371" s="555">
        <v>0</v>
      </c>
      <c r="J2371" s="555">
        <v>4</v>
      </c>
      <c r="K2371" s="527">
        <f t="shared" si="1341"/>
        <v>0.0287300200442</v>
      </c>
      <c r="L2371" s="528">
        <f t="shared" si="1342"/>
        <v>1.56774597495528</v>
      </c>
      <c r="M2371" s="528">
        <f t="shared" si="1343"/>
        <v>45.041373284679</v>
      </c>
      <c r="N2371" s="528">
        <f t="shared" si="1344"/>
        <v>0</v>
      </c>
      <c r="O2371" s="528">
        <f t="shared" si="1345"/>
        <v>0</v>
      </c>
      <c r="P2371" s="529">
        <f t="shared" si="1346"/>
        <v>125.195714285714</v>
      </c>
      <c r="Q2371" s="24">
        <f t="shared" si="1347"/>
        <v>7</v>
      </c>
      <c r="R2371" s="530">
        <f t="shared" si="1348"/>
        <v>0.0125223613595707</v>
      </c>
    </row>
    <row r="2372" spans="1:18">
      <c r="A2372" s="524"/>
      <c r="B2372" s="540" t="s">
        <v>100</v>
      </c>
      <c r="C2372" s="552">
        <v>0</v>
      </c>
      <c r="D2372" s="553">
        <v>0</v>
      </c>
      <c r="E2372" s="553">
        <v>0</v>
      </c>
      <c r="F2372" s="551">
        <v>0</v>
      </c>
      <c r="G2372" s="551">
        <v>0</v>
      </c>
      <c r="H2372" s="551">
        <v>0</v>
      </c>
      <c r="I2372" s="551">
        <v>0</v>
      </c>
      <c r="J2372" s="551">
        <v>0</v>
      </c>
      <c r="K2372" s="527">
        <f t="shared" si="1341"/>
        <v>0</v>
      </c>
      <c r="L2372" s="528">
        <f t="shared" si="1342"/>
        <v>0</v>
      </c>
      <c r="M2372" s="528">
        <f t="shared" si="1343"/>
        <v>0</v>
      </c>
      <c r="N2372" s="528">
        <f t="shared" si="1344"/>
        <v>0</v>
      </c>
      <c r="O2372" s="528">
        <f t="shared" si="1345"/>
        <v>0</v>
      </c>
      <c r="P2372" s="529">
        <f t="shared" si="1346"/>
        <v>0</v>
      </c>
      <c r="Q2372" s="24">
        <f t="shared" si="1347"/>
        <v>0</v>
      </c>
      <c r="R2372" s="530">
        <f t="shared" si="1348"/>
        <v>0</v>
      </c>
    </row>
    <row r="2373" spans="1:18">
      <c r="A2373" s="524"/>
      <c r="B2373" s="540" t="s">
        <v>101</v>
      </c>
      <c r="C2373" s="552">
        <v>0</v>
      </c>
      <c r="D2373" s="553">
        <v>0</v>
      </c>
      <c r="E2373" s="551">
        <v>0</v>
      </c>
      <c r="F2373" s="551">
        <v>0</v>
      </c>
      <c r="G2373" s="551">
        <v>0</v>
      </c>
      <c r="H2373" s="551">
        <v>0</v>
      </c>
      <c r="I2373" s="551">
        <v>0</v>
      </c>
      <c r="J2373" s="551">
        <v>0</v>
      </c>
      <c r="K2373" s="527">
        <f t="shared" si="1341"/>
        <v>0</v>
      </c>
      <c r="L2373" s="528">
        <f t="shared" si="1342"/>
        <v>0</v>
      </c>
      <c r="M2373" s="528">
        <f t="shared" si="1343"/>
        <v>0</v>
      </c>
      <c r="N2373" s="528">
        <f t="shared" si="1344"/>
        <v>0</v>
      </c>
      <c r="O2373" s="528">
        <f t="shared" si="1345"/>
        <v>0</v>
      </c>
      <c r="P2373" s="529">
        <f t="shared" si="1346"/>
        <v>0</v>
      </c>
      <c r="Q2373" s="24">
        <f t="shared" si="1347"/>
        <v>0</v>
      </c>
      <c r="R2373" s="530">
        <f t="shared" si="1348"/>
        <v>0</v>
      </c>
    </row>
    <row r="2374" spans="1:18">
      <c r="A2374" s="524"/>
      <c r="B2374" s="531" t="s">
        <v>96</v>
      </c>
      <c r="C2374" s="533">
        <f t="shared" ref="C2374:J2374" si="1350">SUM(C2370:C2373)</f>
        <v>1576.37</v>
      </c>
      <c r="D2374" s="533">
        <f t="shared" si="1350"/>
        <v>36677</v>
      </c>
      <c r="E2374" s="533">
        <f t="shared" si="1350"/>
        <v>1155</v>
      </c>
      <c r="F2374" s="533">
        <f t="shared" si="1350"/>
        <v>1</v>
      </c>
      <c r="G2374" s="533">
        <f t="shared" si="1350"/>
        <v>1</v>
      </c>
      <c r="H2374" s="533">
        <f t="shared" si="1350"/>
        <v>31</v>
      </c>
      <c r="I2374" s="533">
        <f t="shared" si="1350"/>
        <v>3</v>
      </c>
      <c r="J2374" s="533">
        <f t="shared" si="1350"/>
        <v>4</v>
      </c>
      <c r="K2374" s="534">
        <f t="shared" si="1341"/>
        <v>0.0314911252283447</v>
      </c>
      <c r="L2374" s="535">
        <f t="shared" si="1342"/>
        <v>1.36482251082251</v>
      </c>
      <c r="M2374" s="535">
        <f t="shared" si="1343"/>
        <v>42.9797966027756</v>
      </c>
      <c r="N2374" s="535">
        <f t="shared" si="1344"/>
        <v>0.000634368834727888</v>
      </c>
      <c r="O2374" s="535">
        <f t="shared" si="1345"/>
        <v>0.000865800865800866</v>
      </c>
      <c r="P2374" s="536">
        <f t="shared" si="1346"/>
        <v>46.3638235294118</v>
      </c>
      <c r="Q2374" s="531">
        <f t="shared" si="1347"/>
        <v>34</v>
      </c>
      <c r="R2374" s="537">
        <f t="shared" si="1348"/>
        <v>0.0294372294372294</v>
      </c>
    </row>
    <row r="2375" spans="1:18">
      <c r="A2375" s="524">
        <v>45925</v>
      </c>
      <c r="B2375" s="540" t="s">
        <v>98</v>
      </c>
      <c r="C2375" s="551">
        <v>982.15</v>
      </c>
      <c r="D2375" s="553">
        <v>14806</v>
      </c>
      <c r="E2375" s="551">
        <v>442</v>
      </c>
      <c r="F2375" s="551">
        <v>0</v>
      </c>
      <c r="G2375" s="551">
        <v>0</v>
      </c>
      <c r="H2375" s="551">
        <v>22</v>
      </c>
      <c r="I2375" s="551">
        <v>4</v>
      </c>
      <c r="J2375" s="551">
        <v>1</v>
      </c>
      <c r="K2375" s="527">
        <f t="shared" si="1341"/>
        <v>0.0298527623936242</v>
      </c>
      <c r="L2375" s="528">
        <f t="shared" si="1342"/>
        <v>2.22205882352941</v>
      </c>
      <c r="M2375" s="528">
        <f t="shared" si="1343"/>
        <v>66.3345940834797</v>
      </c>
      <c r="N2375" s="528">
        <f t="shared" si="1344"/>
        <v>0</v>
      </c>
      <c r="O2375" s="528">
        <f t="shared" si="1345"/>
        <v>0</v>
      </c>
      <c r="P2375" s="529">
        <f t="shared" si="1346"/>
        <v>37.775</v>
      </c>
      <c r="Q2375" s="24">
        <f t="shared" si="1347"/>
        <v>26</v>
      </c>
      <c r="R2375" s="530">
        <f t="shared" si="1348"/>
        <v>0.0588235294117647</v>
      </c>
    </row>
    <row r="2376" spans="1:18">
      <c r="A2376" s="524"/>
      <c r="B2376" s="540" t="s">
        <v>99</v>
      </c>
      <c r="C2376" s="551">
        <v>968.77</v>
      </c>
      <c r="D2376" s="556">
        <v>13163</v>
      </c>
      <c r="E2376" s="551">
        <v>425</v>
      </c>
      <c r="F2376" s="551">
        <v>1</v>
      </c>
      <c r="G2376" s="551">
        <v>10254</v>
      </c>
      <c r="H2376" s="555">
        <v>5</v>
      </c>
      <c r="I2376" s="555">
        <v>0</v>
      </c>
      <c r="J2376" s="555">
        <v>2</v>
      </c>
      <c r="K2376" s="527">
        <f t="shared" si="1341"/>
        <v>0.0322874724606853</v>
      </c>
      <c r="L2376" s="528">
        <f t="shared" si="1342"/>
        <v>2.27945882352941</v>
      </c>
      <c r="M2376" s="528">
        <f t="shared" si="1343"/>
        <v>73.5979639899719</v>
      </c>
      <c r="N2376" s="528">
        <f t="shared" si="1344"/>
        <v>10.5845556736893</v>
      </c>
      <c r="O2376" s="528">
        <f t="shared" si="1345"/>
        <v>0.00235294117647059</v>
      </c>
      <c r="P2376" s="529">
        <f t="shared" si="1346"/>
        <v>193.754</v>
      </c>
      <c r="Q2376" s="24">
        <f t="shared" si="1347"/>
        <v>5</v>
      </c>
      <c r="R2376" s="530">
        <f t="shared" si="1348"/>
        <v>0.0117647058823529</v>
      </c>
    </row>
    <row r="2377" spans="1:18">
      <c r="A2377" s="524"/>
      <c r="B2377" s="540" t="s">
        <v>100</v>
      </c>
      <c r="C2377" s="552">
        <v>0</v>
      </c>
      <c r="D2377" s="553">
        <v>0</v>
      </c>
      <c r="E2377" s="553">
        <v>0</v>
      </c>
      <c r="F2377" s="551">
        <v>0</v>
      </c>
      <c r="G2377" s="551">
        <v>0</v>
      </c>
      <c r="H2377" s="551">
        <v>0</v>
      </c>
      <c r="I2377" s="551">
        <v>0</v>
      </c>
      <c r="J2377" s="551">
        <v>0</v>
      </c>
      <c r="K2377" s="527">
        <f t="shared" si="1341"/>
        <v>0</v>
      </c>
      <c r="L2377" s="528">
        <f t="shared" si="1342"/>
        <v>0</v>
      </c>
      <c r="M2377" s="528">
        <f t="shared" si="1343"/>
        <v>0</v>
      </c>
      <c r="N2377" s="528">
        <f t="shared" si="1344"/>
        <v>0</v>
      </c>
      <c r="O2377" s="528">
        <f t="shared" si="1345"/>
        <v>0</v>
      </c>
      <c r="P2377" s="529">
        <f t="shared" si="1346"/>
        <v>0</v>
      </c>
      <c r="Q2377" s="24">
        <f t="shared" si="1347"/>
        <v>0</v>
      </c>
      <c r="R2377" s="530">
        <f t="shared" si="1348"/>
        <v>0</v>
      </c>
    </row>
    <row r="2378" spans="1:18">
      <c r="A2378" s="524"/>
      <c r="B2378" s="540" t="s">
        <v>101</v>
      </c>
      <c r="C2378" s="552">
        <v>0</v>
      </c>
      <c r="D2378" s="553">
        <v>0</v>
      </c>
      <c r="E2378" s="551">
        <v>0</v>
      </c>
      <c r="F2378" s="551">
        <v>0</v>
      </c>
      <c r="G2378" s="551">
        <v>0</v>
      </c>
      <c r="H2378" s="551">
        <v>0</v>
      </c>
      <c r="I2378" s="551">
        <v>0</v>
      </c>
      <c r="J2378" s="551">
        <v>0</v>
      </c>
      <c r="K2378" s="527">
        <f t="shared" si="1341"/>
        <v>0</v>
      </c>
      <c r="L2378" s="528">
        <f t="shared" si="1342"/>
        <v>0</v>
      </c>
      <c r="M2378" s="528">
        <f t="shared" si="1343"/>
        <v>0</v>
      </c>
      <c r="N2378" s="528">
        <f t="shared" si="1344"/>
        <v>0</v>
      </c>
      <c r="O2378" s="528">
        <f t="shared" si="1345"/>
        <v>0</v>
      </c>
      <c r="P2378" s="529">
        <f t="shared" si="1346"/>
        <v>0</v>
      </c>
      <c r="Q2378" s="24">
        <f t="shared" si="1347"/>
        <v>0</v>
      </c>
      <c r="R2378" s="530">
        <f t="shared" si="1348"/>
        <v>0</v>
      </c>
    </row>
    <row r="2379" spans="1:18">
      <c r="A2379" s="524"/>
      <c r="B2379" s="531" t="s">
        <v>96</v>
      </c>
      <c r="C2379" s="533">
        <f t="shared" ref="C2379:J2379" si="1351">SUM(C2375:C2378)</f>
        <v>1950.92</v>
      </c>
      <c r="D2379" s="533">
        <f t="shared" si="1351"/>
        <v>27969</v>
      </c>
      <c r="E2379" s="533">
        <f t="shared" si="1351"/>
        <v>867</v>
      </c>
      <c r="F2379" s="533">
        <f t="shared" si="1351"/>
        <v>1</v>
      </c>
      <c r="G2379" s="533">
        <f t="shared" si="1351"/>
        <v>10254</v>
      </c>
      <c r="H2379" s="533">
        <f t="shared" si="1351"/>
        <v>27</v>
      </c>
      <c r="I2379" s="533">
        <f t="shared" si="1351"/>
        <v>4</v>
      </c>
      <c r="J2379" s="533">
        <f t="shared" si="1351"/>
        <v>3</v>
      </c>
      <c r="K2379" s="534">
        <f t="shared" si="1341"/>
        <v>0.0309986055990561</v>
      </c>
      <c r="L2379" s="535">
        <f t="shared" si="1342"/>
        <v>2.25019607843137</v>
      </c>
      <c r="M2379" s="535">
        <f t="shared" si="1343"/>
        <v>69.7529407558368</v>
      </c>
      <c r="N2379" s="535">
        <f t="shared" si="1344"/>
        <v>5.25598179320526</v>
      </c>
      <c r="O2379" s="535">
        <f t="shared" si="1345"/>
        <v>0.00115340253748558</v>
      </c>
      <c r="P2379" s="536">
        <f t="shared" si="1346"/>
        <v>62.9329032258065</v>
      </c>
      <c r="Q2379" s="531">
        <f t="shared" si="1347"/>
        <v>31</v>
      </c>
      <c r="R2379" s="537">
        <f t="shared" si="1348"/>
        <v>0.0357554786620531</v>
      </c>
    </row>
    <row r="2380" spans="1:18">
      <c r="A2380" s="524">
        <v>45926</v>
      </c>
      <c r="B2380" s="540" t="s">
        <v>98</v>
      </c>
      <c r="C2380" s="551">
        <v>997.57</v>
      </c>
      <c r="D2380" s="553">
        <v>20148</v>
      </c>
      <c r="E2380" s="551">
        <v>496</v>
      </c>
      <c r="F2380" s="551">
        <v>2</v>
      </c>
      <c r="G2380" s="551">
        <v>19926</v>
      </c>
      <c r="H2380" s="551">
        <v>20</v>
      </c>
      <c r="I2380" s="551">
        <v>1</v>
      </c>
      <c r="J2380" s="551">
        <v>2</v>
      </c>
      <c r="K2380" s="527">
        <f t="shared" si="1341"/>
        <v>0.0246178280722652</v>
      </c>
      <c r="L2380" s="528">
        <f t="shared" si="1342"/>
        <v>2.01122983870968</v>
      </c>
      <c r="M2380" s="528">
        <f t="shared" si="1343"/>
        <v>49.5121103831646</v>
      </c>
      <c r="N2380" s="528">
        <f t="shared" si="1344"/>
        <v>19.9745381276502</v>
      </c>
      <c r="O2380" s="528">
        <f t="shared" si="1345"/>
        <v>0.00403225806451613</v>
      </c>
      <c r="P2380" s="529">
        <f t="shared" si="1346"/>
        <v>47.5033333333333</v>
      </c>
      <c r="Q2380" s="24">
        <f t="shared" si="1347"/>
        <v>21</v>
      </c>
      <c r="R2380" s="530">
        <f t="shared" si="1348"/>
        <v>0.0423387096774194</v>
      </c>
    </row>
    <row r="2381" spans="1:18">
      <c r="A2381" s="524"/>
      <c r="B2381" s="540" t="s">
        <v>99</v>
      </c>
      <c r="C2381" s="551">
        <v>1000</v>
      </c>
      <c r="D2381" s="556">
        <v>10532</v>
      </c>
      <c r="E2381" s="551">
        <v>493</v>
      </c>
      <c r="F2381" s="551">
        <v>0</v>
      </c>
      <c r="G2381" s="551">
        <v>0</v>
      </c>
      <c r="H2381" s="555">
        <v>6</v>
      </c>
      <c r="I2381" s="555">
        <v>1</v>
      </c>
      <c r="J2381" s="555">
        <v>1</v>
      </c>
      <c r="K2381" s="527">
        <f t="shared" si="1341"/>
        <v>0.0468097227497152</v>
      </c>
      <c r="L2381" s="528">
        <f t="shared" si="1342"/>
        <v>2.02839756592292</v>
      </c>
      <c r="M2381" s="528">
        <f t="shared" si="1343"/>
        <v>94.948727687049</v>
      </c>
      <c r="N2381" s="528">
        <f t="shared" si="1344"/>
        <v>0</v>
      </c>
      <c r="O2381" s="528">
        <f t="shared" si="1345"/>
        <v>0</v>
      </c>
      <c r="P2381" s="529">
        <f t="shared" si="1346"/>
        <v>142.857142857143</v>
      </c>
      <c r="Q2381" s="24">
        <f t="shared" si="1347"/>
        <v>7</v>
      </c>
      <c r="R2381" s="530">
        <f t="shared" si="1348"/>
        <v>0.0141987829614604</v>
      </c>
    </row>
    <row r="2382" spans="1:18">
      <c r="A2382" s="524"/>
      <c r="B2382" s="540" t="s">
        <v>100</v>
      </c>
      <c r="C2382" s="552">
        <v>0</v>
      </c>
      <c r="D2382" s="553">
        <v>0</v>
      </c>
      <c r="E2382" s="553">
        <v>0</v>
      </c>
      <c r="F2382" s="551">
        <v>0</v>
      </c>
      <c r="G2382" s="551">
        <v>0</v>
      </c>
      <c r="H2382" s="551">
        <v>0</v>
      </c>
      <c r="I2382" s="551">
        <v>0</v>
      </c>
      <c r="J2382" s="551">
        <v>0</v>
      </c>
      <c r="K2382" s="527">
        <f t="shared" si="1341"/>
        <v>0</v>
      </c>
      <c r="L2382" s="528">
        <f t="shared" si="1342"/>
        <v>0</v>
      </c>
      <c r="M2382" s="528">
        <f t="shared" si="1343"/>
        <v>0</v>
      </c>
      <c r="N2382" s="528">
        <f t="shared" si="1344"/>
        <v>0</v>
      </c>
      <c r="O2382" s="528">
        <f t="shared" si="1345"/>
        <v>0</v>
      </c>
      <c r="P2382" s="529">
        <f t="shared" si="1346"/>
        <v>0</v>
      </c>
      <c r="Q2382" s="24">
        <f t="shared" si="1347"/>
        <v>0</v>
      </c>
      <c r="R2382" s="530">
        <f t="shared" si="1348"/>
        <v>0</v>
      </c>
    </row>
    <row r="2383" spans="1:18">
      <c r="A2383" s="524"/>
      <c r="B2383" s="540" t="s">
        <v>101</v>
      </c>
      <c r="C2383" s="552">
        <v>0</v>
      </c>
      <c r="D2383" s="553">
        <v>0</v>
      </c>
      <c r="E2383" s="551">
        <v>0</v>
      </c>
      <c r="F2383" s="551">
        <v>0</v>
      </c>
      <c r="G2383" s="551">
        <v>0</v>
      </c>
      <c r="H2383" s="551">
        <v>0</v>
      </c>
      <c r="I2383" s="551">
        <v>0</v>
      </c>
      <c r="J2383" s="551">
        <v>0</v>
      </c>
      <c r="K2383" s="527">
        <f t="shared" si="1341"/>
        <v>0</v>
      </c>
      <c r="L2383" s="528">
        <f t="shared" si="1342"/>
        <v>0</v>
      </c>
      <c r="M2383" s="528">
        <f t="shared" si="1343"/>
        <v>0</v>
      </c>
      <c r="N2383" s="528">
        <f t="shared" si="1344"/>
        <v>0</v>
      </c>
      <c r="O2383" s="528">
        <f t="shared" si="1345"/>
        <v>0</v>
      </c>
      <c r="P2383" s="529">
        <f t="shared" si="1346"/>
        <v>0</v>
      </c>
      <c r="Q2383" s="24">
        <f t="shared" si="1347"/>
        <v>0</v>
      </c>
      <c r="R2383" s="530">
        <f t="shared" si="1348"/>
        <v>0</v>
      </c>
    </row>
    <row r="2384" spans="1:18">
      <c r="A2384" s="524"/>
      <c r="B2384" s="531" t="s">
        <v>96</v>
      </c>
      <c r="C2384" s="533">
        <f t="shared" ref="C2384:J2384" si="1352">SUM(C2380:C2383)</f>
        <v>1997.57</v>
      </c>
      <c r="D2384" s="533">
        <f t="shared" si="1352"/>
        <v>30680</v>
      </c>
      <c r="E2384" s="533">
        <f t="shared" si="1352"/>
        <v>989</v>
      </c>
      <c r="F2384" s="533">
        <f t="shared" si="1352"/>
        <v>2</v>
      </c>
      <c r="G2384" s="533">
        <f t="shared" si="1352"/>
        <v>19926</v>
      </c>
      <c r="H2384" s="533">
        <f t="shared" si="1352"/>
        <v>26</v>
      </c>
      <c r="I2384" s="533">
        <f t="shared" si="1352"/>
        <v>2</v>
      </c>
      <c r="J2384" s="533">
        <f t="shared" si="1352"/>
        <v>3</v>
      </c>
      <c r="K2384" s="534">
        <f t="shared" si="1341"/>
        <v>0.0322359843546284</v>
      </c>
      <c r="L2384" s="535">
        <f t="shared" si="1342"/>
        <v>2.01978766430738</v>
      </c>
      <c r="M2384" s="535">
        <f t="shared" si="1343"/>
        <v>65.1098435462842</v>
      </c>
      <c r="N2384" s="535">
        <f t="shared" si="1344"/>
        <v>9.97511977052118</v>
      </c>
      <c r="O2384" s="535">
        <f t="shared" si="1345"/>
        <v>0.00202224469160768</v>
      </c>
      <c r="P2384" s="536">
        <f t="shared" si="1346"/>
        <v>71.3417857142857</v>
      </c>
      <c r="Q2384" s="531">
        <f t="shared" si="1347"/>
        <v>28</v>
      </c>
      <c r="R2384" s="537">
        <f t="shared" si="1348"/>
        <v>0.0283114256825076</v>
      </c>
    </row>
    <row r="2385" spans="1:18">
      <c r="A2385" s="524">
        <v>45927</v>
      </c>
      <c r="B2385" s="540" t="s">
        <v>98</v>
      </c>
      <c r="C2385" s="551">
        <v>1000</v>
      </c>
      <c r="D2385" s="553">
        <v>16633</v>
      </c>
      <c r="E2385" s="551">
        <v>570</v>
      </c>
      <c r="F2385" s="551">
        <v>0</v>
      </c>
      <c r="G2385" s="551">
        <v>0</v>
      </c>
      <c r="H2385" s="551">
        <v>15</v>
      </c>
      <c r="I2385" s="551">
        <v>5</v>
      </c>
      <c r="J2385" s="551">
        <v>0</v>
      </c>
      <c r="K2385" s="527">
        <f t="shared" si="1341"/>
        <v>0.0342692238321409</v>
      </c>
      <c r="L2385" s="528">
        <f t="shared" si="1342"/>
        <v>1.75438596491228</v>
      </c>
      <c r="M2385" s="528">
        <f t="shared" si="1343"/>
        <v>60.1214453195455</v>
      </c>
      <c r="N2385" s="528">
        <f t="shared" si="1344"/>
        <v>0</v>
      </c>
      <c r="O2385" s="528">
        <f t="shared" si="1345"/>
        <v>0</v>
      </c>
      <c r="P2385" s="529">
        <f t="shared" si="1346"/>
        <v>50</v>
      </c>
      <c r="Q2385" s="24">
        <f t="shared" si="1347"/>
        <v>20</v>
      </c>
      <c r="R2385" s="530">
        <f t="shared" si="1348"/>
        <v>0.0350877192982456</v>
      </c>
    </row>
    <row r="2386" spans="1:18">
      <c r="A2386" s="524"/>
      <c r="B2386" s="540" t="s">
        <v>99</v>
      </c>
      <c r="C2386" s="551">
        <v>950.18</v>
      </c>
      <c r="D2386" s="556">
        <v>14819</v>
      </c>
      <c r="E2386" s="551">
        <v>385</v>
      </c>
      <c r="F2386" s="551">
        <v>0</v>
      </c>
      <c r="G2386" s="551">
        <v>0</v>
      </c>
      <c r="H2386" s="555">
        <v>12</v>
      </c>
      <c r="I2386" s="555">
        <v>0</v>
      </c>
      <c r="J2386" s="555">
        <v>2</v>
      </c>
      <c r="K2386" s="527">
        <f t="shared" si="1341"/>
        <v>0.0259801606046292</v>
      </c>
      <c r="L2386" s="528">
        <f t="shared" si="1342"/>
        <v>2.468</v>
      </c>
      <c r="M2386" s="528">
        <f t="shared" si="1343"/>
        <v>64.1190363722248</v>
      </c>
      <c r="N2386" s="528">
        <f t="shared" si="1344"/>
        <v>0</v>
      </c>
      <c r="O2386" s="528">
        <f t="shared" si="1345"/>
        <v>0</v>
      </c>
      <c r="P2386" s="529">
        <f t="shared" si="1346"/>
        <v>79.1816666666667</v>
      </c>
      <c r="Q2386" s="24">
        <f t="shared" si="1347"/>
        <v>12</v>
      </c>
      <c r="R2386" s="530">
        <f t="shared" si="1348"/>
        <v>0.0311688311688312</v>
      </c>
    </row>
    <row r="2387" spans="1:18">
      <c r="A2387" s="524"/>
      <c r="B2387" s="540" t="s">
        <v>100</v>
      </c>
      <c r="C2387" s="552">
        <v>0</v>
      </c>
      <c r="D2387" s="553">
        <v>0</v>
      </c>
      <c r="E2387" s="553">
        <v>0</v>
      </c>
      <c r="F2387" s="551">
        <v>0</v>
      </c>
      <c r="G2387" s="551">
        <v>0</v>
      </c>
      <c r="H2387" s="551">
        <v>0</v>
      </c>
      <c r="I2387" s="551">
        <v>0</v>
      </c>
      <c r="J2387" s="551">
        <v>0</v>
      </c>
      <c r="K2387" s="527">
        <f t="shared" si="1341"/>
        <v>0</v>
      </c>
      <c r="L2387" s="528">
        <f t="shared" si="1342"/>
        <v>0</v>
      </c>
      <c r="M2387" s="528">
        <f t="shared" si="1343"/>
        <v>0</v>
      </c>
      <c r="N2387" s="528">
        <f t="shared" si="1344"/>
        <v>0</v>
      </c>
      <c r="O2387" s="528">
        <f t="shared" si="1345"/>
        <v>0</v>
      </c>
      <c r="P2387" s="529">
        <f t="shared" si="1346"/>
        <v>0</v>
      </c>
      <c r="Q2387" s="24">
        <f t="shared" si="1347"/>
        <v>0</v>
      </c>
      <c r="R2387" s="530">
        <f t="shared" si="1348"/>
        <v>0</v>
      </c>
    </row>
    <row r="2388" spans="1:18">
      <c r="A2388" s="524"/>
      <c r="B2388" s="540" t="s">
        <v>101</v>
      </c>
      <c r="C2388" s="552">
        <v>0</v>
      </c>
      <c r="D2388" s="553">
        <v>0</v>
      </c>
      <c r="E2388" s="551">
        <v>0</v>
      </c>
      <c r="F2388" s="551">
        <v>0</v>
      </c>
      <c r="G2388" s="551">
        <v>0</v>
      </c>
      <c r="H2388" s="551">
        <v>0</v>
      </c>
      <c r="I2388" s="551">
        <v>0</v>
      </c>
      <c r="J2388" s="551">
        <v>0</v>
      </c>
      <c r="K2388" s="527">
        <f t="shared" si="1341"/>
        <v>0</v>
      </c>
      <c r="L2388" s="528">
        <f t="shared" si="1342"/>
        <v>0</v>
      </c>
      <c r="M2388" s="528">
        <f t="shared" si="1343"/>
        <v>0</v>
      </c>
      <c r="N2388" s="528">
        <f t="shared" si="1344"/>
        <v>0</v>
      </c>
      <c r="O2388" s="528">
        <f t="shared" si="1345"/>
        <v>0</v>
      </c>
      <c r="P2388" s="529">
        <f t="shared" si="1346"/>
        <v>0</v>
      </c>
      <c r="Q2388" s="24">
        <f t="shared" si="1347"/>
        <v>0</v>
      </c>
      <c r="R2388" s="530">
        <f t="shared" si="1348"/>
        <v>0</v>
      </c>
    </row>
    <row r="2389" spans="1:18">
      <c r="A2389" s="524"/>
      <c r="B2389" s="531" t="s">
        <v>96</v>
      </c>
      <c r="C2389" s="533">
        <f t="shared" ref="C2389:J2389" si="1353">SUM(C2385:C2388)</f>
        <v>1950.18</v>
      </c>
      <c r="D2389" s="533">
        <f t="shared" si="1353"/>
        <v>31452</v>
      </c>
      <c r="E2389" s="533">
        <f t="shared" si="1353"/>
        <v>955</v>
      </c>
      <c r="F2389" s="533">
        <f t="shared" si="1353"/>
        <v>0</v>
      </c>
      <c r="G2389" s="533">
        <f t="shared" si="1353"/>
        <v>0</v>
      </c>
      <c r="H2389" s="533">
        <f t="shared" si="1353"/>
        <v>27</v>
      </c>
      <c r="I2389" s="533">
        <f t="shared" si="1353"/>
        <v>5</v>
      </c>
      <c r="J2389" s="533">
        <f t="shared" si="1353"/>
        <v>2</v>
      </c>
      <c r="K2389" s="534">
        <f t="shared" si="1341"/>
        <v>0.0303637288566705</v>
      </c>
      <c r="L2389" s="535">
        <f t="shared" si="1342"/>
        <v>2.04207329842932</v>
      </c>
      <c r="M2389" s="535">
        <f t="shared" si="1343"/>
        <v>62.0049599389546</v>
      </c>
      <c r="N2389" s="535">
        <f t="shared" si="1344"/>
        <v>0</v>
      </c>
      <c r="O2389" s="535">
        <f t="shared" si="1345"/>
        <v>0</v>
      </c>
      <c r="P2389" s="536">
        <f t="shared" si="1346"/>
        <v>60.943125</v>
      </c>
      <c r="Q2389" s="531">
        <f t="shared" si="1347"/>
        <v>32</v>
      </c>
      <c r="R2389" s="537">
        <f t="shared" si="1348"/>
        <v>0.0335078534031414</v>
      </c>
    </row>
    <row r="2390" spans="1:18">
      <c r="A2390" s="524">
        <v>45928</v>
      </c>
      <c r="B2390" s="540" t="s">
        <v>98</v>
      </c>
      <c r="C2390" s="551">
        <v>999.98</v>
      </c>
      <c r="D2390" s="553">
        <v>15793</v>
      </c>
      <c r="E2390" s="551">
        <v>527</v>
      </c>
      <c r="F2390" s="551">
        <v>0</v>
      </c>
      <c r="G2390" s="551">
        <v>0</v>
      </c>
      <c r="H2390" s="551">
        <v>22</v>
      </c>
      <c r="I2390" s="551">
        <v>5</v>
      </c>
      <c r="J2390" s="551">
        <v>1</v>
      </c>
      <c r="K2390" s="527">
        <f t="shared" si="1341"/>
        <v>0.0333692142088267</v>
      </c>
      <c r="L2390" s="528">
        <f t="shared" si="1342"/>
        <v>1.89749525616698</v>
      </c>
      <c r="M2390" s="528">
        <f t="shared" si="1343"/>
        <v>63.3179256632685</v>
      </c>
      <c r="N2390" s="528">
        <f t="shared" si="1344"/>
        <v>0</v>
      </c>
      <c r="O2390" s="528">
        <f t="shared" si="1345"/>
        <v>0</v>
      </c>
      <c r="P2390" s="529">
        <f t="shared" si="1346"/>
        <v>37.0362962962963</v>
      </c>
      <c r="Q2390" s="24">
        <f t="shared" si="1347"/>
        <v>27</v>
      </c>
      <c r="R2390" s="530">
        <f t="shared" si="1348"/>
        <v>0.0512333965844402</v>
      </c>
    </row>
    <row r="2391" spans="1:18">
      <c r="A2391" s="524"/>
      <c r="B2391" s="540" t="s">
        <v>99</v>
      </c>
      <c r="C2391" s="551">
        <v>950.04</v>
      </c>
      <c r="D2391" s="556">
        <v>6302</v>
      </c>
      <c r="E2391" s="551">
        <v>485</v>
      </c>
      <c r="F2391" s="551">
        <v>0</v>
      </c>
      <c r="G2391" s="551">
        <v>0</v>
      </c>
      <c r="H2391" s="555">
        <v>12</v>
      </c>
      <c r="I2391" s="555">
        <v>0</v>
      </c>
      <c r="J2391" s="555">
        <v>0</v>
      </c>
      <c r="K2391" s="527">
        <f t="shared" si="1341"/>
        <v>0.0769596953348144</v>
      </c>
      <c r="L2391" s="528">
        <f t="shared" si="1342"/>
        <v>1.95884536082474</v>
      </c>
      <c r="M2391" s="528">
        <f t="shared" si="1343"/>
        <v>150.752142177087</v>
      </c>
      <c r="N2391" s="528">
        <f t="shared" si="1344"/>
        <v>0</v>
      </c>
      <c r="O2391" s="528">
        <f t="shared" si="1345"/>
        <v>0</v>
      </c>
      <c r="P2391" s="529">
        <f t="shared" si="1346"/>
        <v>79.17</v>
      </c>
      <c r="Q2391" s="24">
        <f t="shared" si="1347"/>
        <v>12</v>
      </c>
      <c r="R2391" s="530">
        <f t="shared" si="1348"/>
        <v>0.0247422680412371</v>
      </c>
    </row>
    <row r="2392" spans="1:18">
      <c r="A2392" s="524"/>
      <c r="B2392" s="540" t="s">
        <v>100</v>
      </c>
      <c r="C2392" s="552">
        <v>0</v>
      </c>
      <c r="D2392" s="553">
        <v>0</v>
      </c>
      <c r="E2392" s="553">
        <v>0</v>
      </c>
      <c r="F2392" s="551">
        <v>0</v>
      </c>
      <c r="G2392" s="551">
        <v>0</v>
      </c>
      <c r="H2392" s="551">
        <v>0</v>
      </c>
      <c r="I2392" s="551">
        <v>0</v>
      </c>
      <c r="J2392" s="551">
        <v>0</v>
      </c>
      <c r="K2392" s="527">
        <f t="shared" si="1341"/>
        <v>0</v>
      </c>
      <c r="L2392" s="528">
        <f t="shared" si="1342"/>
        <v>0</v>
      </c>
      <c r="M2392" s="528">
        <f t="shared" si="1343"/>
        <v>0</v>
      </c>
      <c r="N2392" s="528">
        <f t="shared" si="1344"/>
        <v>0</v>
      </c>
      <c r="O2392" s="528">
        <f t="shared" si="1345"/>
        <v>0</v>
      </c>
      <c r="P2392" s="529">
        <f t="shared" si="1346"/>
        <v>0</v>
      </c>
      <c r="Q2392" s="24">
        <f t="shared" si="1347"/>
        <v>0</v>
      </c>
      <c r="R2392" s="530">
        <f t="shared" si="1348"/>
        <v>0</v>
      </c>
    </row>
    <row r="2393" spans="1:18">
      <c r="A2393" s="524"/>
      <c r="B2393" s="540" t="s">
        <v>101</v>
      </c>
      <c r="C2393" s="552">
        <v>0</v>
      </c>
      <c r="D2393" s="553">
        <v>0</v>
      </c>
      <c r="E2393" s="551">
        <v>0</v>
      </c>
      <c r="F2393" s="551">
        <v>0</v>
      </c>
      <c r="G2393" s="551">
        <v>0</v>
      </c>
      <c r="H2393" s="551">
        <v>0</v>
      </c>
      <c r="I2393" s="551">
        <v>0</v>
      </c>
      <c r="J2393" s="551">
        <v>0</v>
      </c>
      <c r="K2393" s="527">
        <f t="shared" si="1341"/>
        <v>0</v>
      </c>
      <c r="L2393" s="528">
        <f t="shared" si="1342"/>
        <v>0</v>
      </c>
      <c r="M2393" s="528">
        <f t="shared" si="1343"/>
        <v>0</v>
      </c>
      <c r="N2393" s="528">
        <f t="shared" si="1344"/>
        <v>0</v>
      </c>
      <c r="O2393" s="528">
        <f t="shared" si="1345"/>
        <v>0</v>
      </c>
      <c r="P2393" s="529">
        <f t="shared" si="1346"/>
        <v>0</v>
      </c>
      <c r="Q2393" s="24">
        <f t="shared" si="1347"/>
        <v>0</v>
      </c>
      <c r="R2393" s="530">
        <f t="shared" si="1348"/>
        <v>0</v>
      </c>
    </row>
    <row r="2394" spans="1:18">
      <c r="A2394" s="524"/>
      <c r="B2394" s="531" t="s">
        <v>96</v>
      </c>
      <c r="C2394" s="533">
        <f t="shared" ref="C2394:J2394" si="1354">SUM(C2390:C2393)</f>
        <v>1950.02</v>
      </c>
      <c r="D2394" s="533">
        <f t="shared" si="1354"/>
        <v>22095</v>
      </c>
      <c r="E2394" s="533">
        <f t="shared" si="1354"/>
        <v>1012</v>
      </c>
      <c r="F2394" s="533">
        <f t="shared" si="1354"/>
        <v>0</v>
      </c>
      <c r="G2394" s="533">
        <f t="shared" si="1354"/>
        <v>0</v>
      </c>
      <c r="H2394" s="533">
        <f t="shared" si="1354"/>
        <v>34</v>
      </c>
      <c r="I2394" s="533">
        <f t="shared" si="1354"/>
        <v>5</v>
      </c>
      <c r="J2394" s="533">
        <f t="shared" si="1354"/>
        <v>1</v>
      </c>
      <c r="K2394" s="534">
        <f t="shared" si="1341"/>
        <v>0.0458022176963114</v>
      </c>
      <c r="L2394" s="535">
        <f t="shared" si="1342"/>
        <v>1.92689723320158</v>
      </c>
      <c r="M2394" s="535">
        <f t="shared" si="1343"/>
        <v>88.2561665535189</v>
      </c>
      <c r="N2394" s="535">
        <f t="shared" si="1344"/>
        <v>0</v>
      </c>
      <c r="O2394" s="535">
        <f t="shared" si="1345"/>
        <v>0</v>
      </c>
      <c r="P2394" s="536">
        <f t="shared" si="1346"/>
        <v>50.0005128205128</v>
      </c>
      <c r="Q2394" s="531">
        <f t="shared" si="1347"/>
        <v>39</v>
      </c>
      <c r="R2394" s="537">
        <f t="shared" si="1348"/>
        <v>0.0385375494071146</v>
      </c>
    </row>
    <row r="2395" spans="1:18">
      <c r="A2395" s="524">
        <v>45929</v>
      </c>
      <c r="B2395" s="540" t="s">
        <v>98</v>
      </c>
      <c r="C2395" s="551">
        <v>600</v>
      </c>
      <c r="D2395" s="553">
        <v>6182</v>
      </c>
      <c r="E2395" s="551">
        <v>285</v>
      </c>
      <c r="F2395" s="551">
        <v>0</v>
      </c>
      <c r="G2395" s="551">
        <v>0</v>
      </c>
      <c r="H2395" s="551">
        <v>9</v>
      </c>
      <c r="I2395" s="551">
        <v>2</v>
      </c>
      <c r="J2395" s="551">
        <v>3</v>
      </c>
      <c r="K2395" s="527">
        <f t="shared" si="1341"/>
        <v>0.0461015852474927</v>
      </c>
      <c r="L2395" s="528">
        <f t="shared" si="1342"/>
        <v>2.10526315789474</v>
      </c>
      <c r="M2395" s="528">
        <f t="shared" si="1343"/>
        <v>97.0559689420899</v>
      </c>
      <c r="N2395" s="528">
        <f t="shared" si="1344"/>
        <v>0</v>
      </c>
      <c r="O2395" s="528">
        <f t="shared" si="1345"/>
        <v>0</v>
      </c>
      <c r="P2395" s="529">
        <f t="shared" si="1346"/>
        <v>54.5454545454545</v>
      </c>
      <c r="Q2395" s="24">
        <f t="shared" si="1347"/>
        <v>11</v>
      </c>
      <c r="R2395" s="530">
        <f t="shared" si="1348"/>
        <v>0.0385964912280702</v>
      </c>
    </row>
    <row r="2396" spans="1:18">
      <c r="A2396" s="524"/>
      <c r="B2396" s="540" t="s">
        <v>99</v>
      </c>
      <c r="C2396" s="551">
        <v>705.94</v>
      </c>
      <c r="D2396" s="556">
        <v>7378</v>
      </c>
      <c r="E2396" s="551">
        <v>483</v>
      </c>
      <c r="F2396" s="551">
        <v>0</v>
      </c>
      <c r="G2396" s="551">
        <v>0</v>
      </c>
      <c r="H2396" s="555">
        <v>1</v>
      </c>
      <c r="I2396" s="555">
        <v>1</v>
      </c>
      <c r="J2396" s="555">
        <v>0</v>
      </c>
      <c r="K2396" s="527">
        <f t="shared" si="1341"/>
        <v>0.0654648956356736</v>
      </c>
      <c r="L2396" s="528">
        <f t="shared" si="1342"/>
        <v>1.4615734989648</v>
      </c>
      <c r="M2396" s="528">
        <f t="shared" si="1343"/>
        <v>95.6817565735972</v>
      </c>
      <c r="N2396" s="528">
        <f t="shared" si="1344"/>
        <v>0</v>
      </c>
      <c r="O2396" s="528">
        <f t="shared" si="1345"/>
        <v>0</v>
      </c>
      <c r="P2396" s="529">
        <f t="shared" si="1346"/>
        <v>352.97</v>
      </c>
      <c r="Q2396" s="24">
        <f t="shared" si="1347"/>
        <v>2</v>
      </c>
      <c r="R2396" s="530">
        <f t="shared" si="1348"/>
        <v>0.0041407867494824</v>
      </c>
    </row>
    <row r="2397" spans="1:18">
      <c r="A2397" s="524"/>
      <c r="B2397" s="540" t="s">
        <v>100</v>
      </c>
      <c r="C2397" s="552">
        <v>0</v>
      </c>
      <c r="D2397" s="553">
        <v>0</v>
      </c>
      <c r="E2397" s="553">
        <v>0</v>
      </c>
      <c r="F2397" s="551">
        <v>0</v>
      </c>
      <c r="G2397" s="551">
        <v>0</v>
      </c>
      <c r="H2397" s="551">
        <v>0</v>
      </c>
      <c r="I2397" s="551">
        <v>0</v>
      </c>
      <c r="J2397" s="551">
        <v>0</v>
      </c>
      <c r="K2397" s="527">
        <f t="shared" si="1341"/>
        <v>0</v>
      </c>
      <c r="L2397" s="528">
        <f t="shared" si="1342"/>
        <v>0</v>
      </c>
      <c r="M2397" s="528">
        <f t="shared" si="1343"/>
        <v>0</v>
      </c>
      <c r="N2397" s="528">
        <f t="shared" si="1344"/>
        <v>0</v>
      </c>
      <c r="O2397" s="528">
        <f t="shared" si="1345"/>
        <v>0</v>
      </c>
      <c r="P2397" s="529">
        <f t="shared" si="1346"/>
        <v>0</v>
      </c>
      <c r="Q2397" s="24">
        <f t="shared" si="1347"/>
        <v>0</v>
      </c>
      <c r="R2397" s="530">
        <f t="shared" si="1348"/>
        <v>0</v>
      </c>
    </row>
    <row r="2398" spans="1:18">
      <c r="A2398" s="524"/>
      <c r="B2398" s="540" t="s">
        <v>101</v>
      </c>
      <c r="C2398" s="552">
        <v>0</v>
      </c>
      <c r="D2398" s="553">
        <v>0</v>
      </c>
      <c r="E2398" s="551">
        <v>0</v>
      </c>
      <c r="F2398" s="551">
        <v>0</v>
      </c>
      <c r="G2398" s="551">
        <v>0</v>
      </c>
      <c r="H2398" s="551">
        <v>0</v>
      </c>
      <c r="I2398" s="551">
        <v>0</v>
      </c>
      <c r="J2398" s="551">
        <v>0</v>
      </c>
      <c r="K2398" s="527">
        <f t="shared" si="1341"/>
        <v>0</v>
      </c>
      <c r="L2398" s="528">
        <f t="shared" si="1342"/>
        <v>0</v>
      </c>
      <c r="M2398" s="528">
        <f t="shared" si="1343"/>
        <v>0</v>
      </c>
      <c r="N2398" s="528">
        <f t="shared" si="1344"/>
        <v>0</v>
      </c>
      <c r="O2398" s="528">
        <f t="shared" si="1345"/>
        <v>0</v>
      </c>
      <c r="P2398" s="529">
        <f t="shared" si="1346"/>
        <v>0</v>
      </c>
      <c r="Q2398" s="24">
        <f t="shared" si="1347"/>
        <v>0</v>
      </c>
      <c r="R2398" s="530">
        <f t="shared" si="1348"/>
        <v>0</v>
      </c>
    </row>
    <row r="2399" spans="1:18">
      <c r="A2399" s="524"/>
      <c r="B2399" s="531" t="s">
        <v>96</v>
      </c>
      <c r="C2399" s="533">
        <f t="shared" ref="C2399:J2399" si="1355">SUM(C2395:C2398)</f>
        <v>1305.94</v>
      </c>
      <c r="D2399" s="533">
        <f t="shared" si="1355"/>
        <v>13560</v>
      </c>
      <c r="E2399" s="533">
        <f t="shared" si="1355"/>
        <v>768</v>
      </c>
      <c r="F2399" s="533">
        <f t="shared" si="1355"/>
        <v>0</v>
      </c>
      <c r="G2399" s="533">
        <f t="shared" si="1355"/>
        <v>0</v>
      </c>
      <c r="H2399" s="533">
        <f t="shared" si="1355"/>
        <v>10</v>
      </c>
      <c r="I2399" s="533">
        <f t="shared" si="1355"/>
        <v>3</v>
      </c>
      <c r="J2399" s="533">
        <f t="shared" si="1355"/>
        <v>3</v>
      </c>
      <c r="K2399" s="534">
        <f t="shared" si="1341"/>
        <v>0.0566371681415929</v>
      </c>
      <c r="L2399" s="535">
        <f t="shared" si="1342"/>
        <v>1.70044270833333</v>
      </c>
      <c r="M2399" s="535">
        <f t="shared" si="1343"/>
        <v>96.3082595870206</v>
      </c>
      <c r="N2399" s="535">
        <f t="shared" si="1344"/>
        <v>0</v>
      </c>
      <c r="O2399" s="535">
        <f t="shared" si="1345"/>
        <v>0</v>
      </c>
      <c r="P2399" s="536">
        <f t="shared" si="1346"/>
        <v>100.456923076923</v>
      </c>
      <c r="Q2399" s="531">
        <f t="shared" si="1347"/>
        <v>13</v>
      </c>
      <c r="R2399" s="537">
        <f t="shared" si="1348"/>
        <v>0.0169270833333333</v>
      </c>
    </row>
    <row r="2400" spans="1:18">
      <c r="A2400" s="524">
        <v>45930</v>
      </c>
      <c r="B2400" s="540" t="s">
        <v>98</v>
      </c>
      <c r="C2400" s="551">
        <v>600</v>
      </c>
      <c r="D2400" s="553">
        <v>7826</v>
      </c>
      <c r="E2400" s="551">
        <v>322</v>
      </c>
      <c r="F2400" s="551">
        <v>2</v>
      </c>
      <c r="G2400" s="551">
        <v>18426</v>
      </c>
      <c r="H2400" s="551">
        <v>34</v>
      </c>
      <c r="I2400" s="551">
        <v>4</v>
      </c>
      <c r="J2400" s="551">
        <v>6</v>
      </c>
      <c r="K2400" s="527">
        <f t="shared" si="1341"/>
        <v>0.0411449016100179</v>
      </c>
      <c r="L2400" s="528">
        <f t="shared" si="1342"/>
        <v>1.86335403726708</v>
      </c>
      <c r="M2400" s="528">
        <f t="shared" si="1343"/>
        <v>76.6675185279836</v>
      </c>
      <c r="N2400" s="528">
        <f t="shared" si="1344"/>
        <v>30.71</v>
      </c>
      <c r="O2400" s="528">
        <f t="shared" si="1345"/>
        <v>0.0062111801242236</v>
      </c>
      <c r="P2400" s="529">
        <f t="shared" si="1346"/>
        <v>15.7894736842105</v>
      </c>
      <c r="Q2400" s="24">
        <f t="shared" si="1347"/>
        <v>38</v>
      </c>
      <c r="R2400" s="530">
        <f t="shared" si="1348"/>
        <v>0.118012422360248</v>
      </c>
    </row>
    <row r="2401" spans="1:18">
      <c r="A2401" s="524"/>
      <c r="B2401" s="540" t="s">
        <v>99</v>
      </c>
      <c r="C2401" s="551">
        <v>0</v>
      </c>
      <c r="D2401" s="556">
        <v>0</v>
      </c>
      <c r="E2401" s="551">
        <v>0</v>
      </c>
      <c r="F2401" s="551">
        <v>0</v>
      </c>
      <c r="G2401" s="551">
        <v>0</v>
      </c>
      <c r="H2401" s="555">
        <v>0</v>
      </c>
      <c r="I2401" s="555">
        <v>0</v>
      </c>
      <c r="J2401" s="555">
        <v>0</v>
      </c>
      <c r="K2401" s="527">
        <f t="shared" si="1341"/>
        <v>0</v>
      </c>
      <c r="L2401" s="528">
        <f t="shared" si="1342"/>
        <v>0</v>
      </c>
      <c r="M2401" s="528">
        <f t="shared" si="1343"/>
        <v>0</v>
      </c>
      <c r="N2401" s="528">
        <f t="shared" si="1344"/>
        <v>0</v>
      </c>
      <c r="O2401" s="528">
        <f t="shared" si="1345"/>
        <v>0</v>
      </c>
      <c r="P2401" s="529">
        <f t="shared" si="1346"/>
        <v>0</v>
      </c>
      <c r="Q2401" s="24">
        <f t="shared" si="1347"/>
        <v>0</v>
      </c>
      <c r="R2401" s="530">
        <f t="shared" si="1348"/>
        <v>0</v>
      </c>
    </row>
    <row r="2402" spans="1:18">
      <c r="A2402" s="524"/>
      <c r="B2402" s="540" t="s">
        <v>100</v>
      </c>
      <c r="C2402" s="552">
        <v>0</v>
      </c>
      <c r="D2402" s="553">
        <v>0</v>
      </c>
      <c r="E2402" s="553">
        <v>0</v>
      </c>
      <c r="F2402" s="551">
        <v>0</v>
      </c>
      <c r="G2402" s="551">
        <v>0</v>
      </c>
      <c r="H2402" s="551">
        <v>0</v>
      </c>
      <c r="I2402" s="551">
        <v>0</v>
      </c>
      <c r="J2402" s="551">
        <v>0</v>
      </c>
      <c r="K2402" s="527">
        <f t="shared" si="1341"/>
        <v>0</v>
      </c>
      <c r="L2402" s="528">
        <f t="shared" si="1342"/>
        <v>0</v>
      </c>
      <c r="M2402" s="528">
        <f t="shared" si="1343"/>
        <v>0</v>
      </c>
      <c r="N2402" s="528">
        <f t="shared" si="1344"/>
        <v>0</v>
      </c>
      <c r="O2402" s="528">
        <f t="shared" si="1345"/>
        <v>0</v>
      </c>
      <c r="P2402" s="529">
        <f t="shared" si="1346"/>
        <v>0</v>
      </c>
      <c r="Q2402" s="24">
        <f t="shared" si="1347"/>
        <v>0</v>
      </c>
      <c r="R2402" s="530">
        <f t="shared" si="1348"/>
        <v>0</v>
      </c>
    </row>
    <row r="2403" spans="1:18">
      <c r="A2403" s="524"/>
      <c r="B2403" s="540" t="s">
        <v>101</v>
      </c>
      <c r="C2403" s="552">
        <v>0</v>
      </c>
      <c r="D2403" s="553">
        <v>0</v>
      </c>
      <c r="E2403" s="551">
        <v>0</v>
      </c>
      <c r="F2403" s="551">
        <v>0</v>
      </c>
      <c r="G2403" s="551">
        <v>0</v>
      </c>
      <c r="H2403" s="551">
        <v>0</v>
      </c>
      <c r="I2403" s="551">
        <v>0</v>
      </c>
      <c r="J2403" s="551">
        <v>0</v>
      </c>
      <c r="K2403" s="527">
        <f t="shared" si="1341"/>
        <v>0</v>
      </c>
      <c r="L2403" s="528">
        <f t="shared" si="1342"/>
        <v>0</v>
      </c>
      <c r="M2403" s="528">
        <f t="shared" si="1343"/>
        <v>0</v>
      </c>
      <c r="N2403" s="528">
        <f t="shared" si="1344"/>
        <v>0</v>
      </c>
      <c r="O2403" s="528">
        <f t="shared" si="1345"/>
        <v>0</v>
      </c>
      <c r="P2403" s="529">
        <f t="shared" si="1346"/>
        <v>0</v>
      </c>
      <c r="Q2403" s="24">
        <f t="shared" si="1347"/>
        <v>0</v>
      </c>
      <c r="R2403" s="530">
        <f t="shared" si="1348"/>
        <v>0</v>
      </c>
    </row>
    <row r="2404" spans="1:18">
      <c r="A2404" s="524"/>
      <c r="B2404" s="531" t="s">
        <v>96</v>
      </c>
      <c r="C2404" s="533">
        <f t="shared" ref="C2404:J2404" si="1356">SUM(C2400:C2403)</f>
        <v>600</v>
      </c>
      <c r="D2404" s="533">
        <f t="shared" si="1356"/>
        <v>7826</v>
      </c>
      <c r="E2404" s="533">
        <f t="shared" si="1356"/>
        <v>322</v>
      </c>
      <c r="F2404" s="533">
        <f t="shared" si="1356"/>
        <v>2</v>
      </c>
      <c r="G2404" s="533">
        <f t="shared" si="1356"/>
        <v>18426</v>
      </c>
      <c r="H2404" s="533">
        <f t="shared" si="1356"/>
        <v>34</v>
      </c>
      <c r="I2404" s="533">
        <f t="shared" si="1356"/>
        <v>4</v>
      </c>
      <c r="J2404" s="533">
        <f t="shared" si="1356"/>
        <v>6</v>
      </c>
      <c r="K2404" s="534">
        <f t="shared" si="1341"/>
        <v>0.0411449016100179</v>
      </c>
      <c r="L2404" s="535">
        <f t="shared" si="1342"/>
        <v>1.86335403726708</v>
      </c>
      <c r="M2404" s="535">
        <f t="shared" si="1343"/>
        <v>76.6675185279836</v>
      </c>
      <c r="N2404" s="535">
        <f t="shared" si="1344"/>
        <v>30.71</v>
      </c>
      <c r="O2404" s="535">
        <f t="shared" si="1345"/>
        <v>0.0062111801242236</v>
      </c>
      <c r="P2404" s="536">
        <f t="shared" si="1346"/>
        <v>15.7894736842105</v>
      </c>
      <c r="Q2404" s="531">
        <f t="shared" si="1347"/>
        <v>38</v>
      </c>
      <c r="R2404" s="537">
        <f t="shared" si="1348"/>
        <v>0.118012422360248</v>
      </c>
    </row>
    <row r="2405" spans="1:18">
      <c r="A2405" s="524">
        <v>45931</v>
      </c>
      <c r="B2405" s="540" t="s">
        <v>98</v>
      </c>
      <c r="C2405" s="551">
        <v>599.24</v>
      </c>
      <c r="D2405" s="553">
        <v>12549</v>
      </c>
      <c r="E2405" s="551">
        <v>490</v>
      </c>
      <c r="F2405" s="551">
        <v>3</v>
      </c>
      <c r="G2405" s="551">
        <v>30382</v>
      </c>
      <c r="H2405" s="551">
        <v>20</v>
      </c>
      <c r="I2405" s="551">
        <v>3</v>
      </c>
      <c r="J2405" s="551">
        <v>1</v>
      </c>
      <c r="K2405" s="527">
        <f t="shared" si="1341"/>
        <v>0.0390469360108375</v>
      </c>
      <c r="L2405" s="528">
        <f t="shared" si="1342"/>
        <v>1.2229387755102</v>
      </c>
      <c r="M2405" s="528">
        <f t="shared" si="1343"/>
        <v>47.7520121125189</v>
      </c>
      <c r="N2405" s="528">
        <f t="shared" si="1344"/>
        <v>50.7008877912022</v>
      </c>
      <c r="O2405" s="528">
        <f t="shared" si="1345"/>
        <v>0.00612244897959184</v>
      </c>
      <c r="P2405" s="529">
        <f t="shared" si="1346"/>
        <v>26.0539130434783</v>
      </c>
      <c r="Q2405" s="24">
        <f t="shared" si="1347"/>
        <v>23</v>
      </c>
      <c r="R2405" s="530">
        <f t="shared" si="1348"/>
        <v>0.0469387755102041</v>
      </c>
    </row>
    <row r="2406" spans="1:18">
      <c r="A2406" s="524"/>
      <c r="B2406" s="540" t="s">
        <v>99</v>
      </c>
      <c r="C2406" s="551">
        <v>0</v>
      </c>
      <c r="D2406" s="556">
        <v>0</v>
      </c>
      <c r="E2406" s="551">
        <v>0</v>
      </c>
      <c r="F2406" s="551">
        <v>0</v>
      </c>
      <c r="G2406" s="551">
        <v>0</v>
      </c>
      <c r="H2406" s="555">
        <v>0</v>
      </c>
      <c r="I2406" s="555">
        <v>0</v>
      </c>
      <c r="J2406" s="555">
        <v>0</v>
      </c>
      <c r="K2406" s="527">
        <f t="shared" si="1341"/>
        <v>0</v>
      </c>
      <c r="L2406" s="528">
        <f t="shared" si="1342"/>
        <v>0</v>
      </c>
      <c r="M2406" s="528">
        <f t="shared" si="1343"/>
        <v>0</v>
      </c>
      <c r="N2406" s="528">
        <f t="shared" si="1344"/>
        <v>0</v>
      </c>
      <c r="O2406" s="528">
        <f t="shared" si="1345"/>
        <v>0</v>
      </c>
      <c r="P2406" s="529">
        <f t="shared" si="1346"/>
        <v>0</v>
      </c>
      <c r="Q2406" s="24">
        <f t="shared" si="1347"/>
        <v>0</v>
      </c>
      <c r="R2406" s="530">
        <f t="shared" si="1348"/>
        <v>0</v>
      </c>
    </row>
    <row r="2407" spans="1:18">
      <c r="A2407" s="524"/>
      <c r="B2407" s="540" t="s">
        <v>100</v>
      </c>
      <c r="C2407" s="552">
        <v>0</v>
      </c>
      <c r="D2407" s="553">
        <v>0</v>
      </c>
      <c r="E2407" s="553">
        <v>0</v>
      </c>
      <c r="F2407" s="551">
        <v>0</v>
      </c>
      <c r="G2407" s="551">
        <v>0</v>
      </c>
      <c r="H2407" s="551">
        <v>0</v>
      </c>
      <c r="I2407" s="551">
        <v>0</v>
      </c>
      <c r="J2407" s="551">
        <v>0</v>
      </c>
      <c r="K2407" s="527">
        <f t="shared" si="1341"/>
        <v>0</v>
      </c>
      <c r="L2407" s="528">
        <f t="shared" si="1342"/>
        <v>0</v>
      </c>
      <c r="M2407" s="528">
        <f t="shared" si="1343"/>
        <v>0</v>
      </c>
      <c r="N2407" s="528">
        <f t="shared" si="1344"/>
        <v>0</v>
      </c>
      <c r="O2407" s="528">
        <f t="shared" si="1345"/>
        <v>0</v>
      </c>
      <c r="P2407" s="529">
        <f t="shared" si="1346"/>
        <v>0</v>
      </c>
      <c r="Q2407" s="24">
        <f t="shared" si="1347"/>
        <v>0</v>
      </c>
      <c r="R2407" s="530">
        <f t="shared" si="1348"/>
        <v>0</v>
      </c>
    </row>
    <row r="2408" spans="1:18">
      <c r="A2408" s="524"/>
      <c r="B2408" s="540" t="s">
        <v>101</v>
      </c>
      <c r="C2408" s="552">
        <v>0</v>
      </c>
      <c r="D2408" s="553">
        <v>0</v>
      </c>
      <c r="E2408" s="551">
        <v>0</v>
      </c>
      <c r="F2408" s="551">
        <v>0</v>
      </c>
      <c r="G2408" s="551">
        <v>0</v>
      </c>
      <c r="H2408" s="551">
        <v>0</v>
      </c>
      <c r="I2408" s="551">
        <v>0</v>
      </c>
      <c r="J2408" s="551">
        <v>0</v>
      </c>
      <c r="K2408" s="527">
        <f t="shared" si="1341"/>
        <v>0</v>
      </c>
      <c r="L2408" s="528">
        <f t="shared" si="1342"/>
        <v>0</v>
      </c>
      <c r="M2408" s="528">
        <f t="shared" si="1343"/>
        <v>0</v>
      </c>
      <c r="N2408" s="528">
        <f t="shared" si="1344"/>
        <v>0</v>
      </c>
      <c r="O2408" s="528">
        <f t="shared" si="1345"/>
        <v>0</v>
      </c>
      <c r="P2408" s="529">
        <f t="shared" si="1346"/>
        <v>0</v>
      </c>
      <c r="Q2408" s="24">
        <f t="shared" si="1347"/>
        <v>0</v>
      </c>
      <c r="R2408" s="530">
        <f t="shared" si="1348"/>
        <v>0</v>
      </c>
    </row>
    <row r="2409" spans="1:18">
      <c r="A2409" s="524"/>
      <c r="B2409" s="531" t="s">
        <v>96</v>
      </c>
      <c r="C2409" s="533">
        <f t="shared" ref="C2409:J2409" si="1357">SUM(C2405:C2408)</f>
        <v>599.24</v>
      </c>
      <c r="D2409" s="533">
        <f t="shared" si="1357"/>
        <v>12549</v>
      </c>
      <c r="E2409" s="533">
        <f t="shared" si="1357"/>
        <v>490</v>
      </c>
      <c r="F2409" s="533">
        <f t="shared" si="1357"/>
        <v>3</v>
      </c>
      <c r="G2409" s="533">
        <f t="shared" si="1357"/>
        <v>30382</v>
      </c>
      <c r="H2409" s="533">
        <f t="shared" si="1357"/>
        <v>20</v>
      </c>
      <c r="I2409" s="533">
        <f t="shared" si="1357"/>
        <v>3</v>
      </c>
      <c r="J2409" s="533">
        <f t="shared" si="1357"/>
        <v>1</v>
      </c>
      <c r="K2409" s="534">
        <f t="shared" si="1341"/>
        <v>0.0390469360108375</v>
      </c>
      <c r="L2409" s="535">
        <f t="shared" si="1342"/>
        <v>1.2229387755102</v>
      </c>
      <c r="M2409" s="535">
        <f t="shared" si="1343"/>
        <v>47.7520121125189</v>
      </c>
      <c r="N2409" s="535">
        <f t="shared" si="1344"/>
        <v>50.7008877912022</v>
      </c>
      <c r="O2409" s="535">
        <f t="shared" si="1345"/>
        <v>0.00612244897959184</v>
      </c>
      <c r="P2409" s="536">
        <f t="shared" si="1346"/>
        <v>26.0539130434783</v>
      </c>
      <c r="Q2409" s="531">
        <f t="shared" si="1347"/>
        <v>23</v>
      </c>
      <c r="R2409" s="537">
        <f t="shared" si="1348"/>
        <v>0.0469387755102041</v>
      </c>
    </row>
    <row r="2410" spans="1:18">
      <c r="A2410" s="524">
        <v>45932</v>
      </c>
      <c r="B2410" s="540" t="s">
        <v>98</v>
      </c>
      <c r="C2410" s="551">
        <v>600</v>
      </c>
      <c r="D2410" s="553">
        <v>17166</v>
      </c>
      <c r="E2410" s="551">
        <v>511</v>
      </c>
      <c r="F2410" s="551">
        <v>0</v>
      </c>
      <c r="G2410" s="551">
        <v>0</v>
      </c>
      <c r="H2410" s="551">
        <v>12</v>
      </c>
      <c r="I2410" s="551">
        <v>3</v>
      </c>
      <c r="J2410" s="551">
        <v>4</v>
      </c>
      <c r="K2410" s="527">
        <f t="shared" si="1341"/>
        <v>0.02976814633578</v>
      </c>
      <c r="L2410" s="528">
        <f t="shared" si="1342"/>
        <v>1.17416829745597</v>
      </c>
      <c r="M2410" s="528">
        <f t="shared" si="1343"/>
        <v>34.952813701503</v>
      </c>
      <c r="N2410" s="528">
        <f t="shared" si="1344"/>
        <v>0</v>
      </c>
      <c r="O2410" s="528">
        <f t="shared" si="1345"/>
        <v>0</v>
      </c>
      <c r="P2410" s="529">
        <f t="shared" si="1346"/>
        <v>40</v>
      </c>
      <c r="Q2410" s="24">
        <f t="shared" si="1347"/>
        <v>15</v>
      </c>
      <c r="R2410" s="530">
        <f t="shared" si="1348"/>
        <v>0.0293542074363992</v>
      </c>
    </row>
    <row r="2411" spans="1:18">
      <c r="A2411" s="524"/>
      <c r="B2411" s="540" t="s">
        <v>99</v>
      </c>
      <c r="C2411" s="551">
        <v>0</v>
      </c>
      <c r="D2411" s="556">
        <v>0</v>
      </c>
      <c r="E2411" s="551">
        <v>0</v>
      </c>
      <c r="F2411" s="551">
        <v>0</v>
      </c>
      <c r="G2411" s="551">
        <v>0</v>
      </c>
      <c r="H2411" s="555">
        <v>0</v>
      </c>
      <c r="I2411" s="555">
        <v>0</v>
      </c>
      <c r="J2411" s="555">
        <v>0</v>
      </c>
      <c r="K2411" s="527">
        <f t="shared" si="1341"/>
        <v>0</v>
      </c>
      <c r="L2411" s="528">
        <f t="shared" si="1342"/>
        <v>0</v>
      </c>
      <c r="M2411" s="528">
        <f t="shared" si="1343"/>
        <v>0</v>
      </c>
      <c r="N2411" s="528">
        <f t="shared" si="1344"/>
        <v>0</v>
      </c>
      <c r="O2411" s="528">
        <f t="shared" si="1345"/>
        <v>0</v>
      </c>
      <c r="P2411" s="529">
        <f t="shared" si="1346"/>
        <v>0</v>
      </c>
      <c r="Q2411" s="24">
        <f t="shared" si="1347"/>
        <v>0</v>
      </c>
      <c r="R2411" s="530">
        <f t="shared" si="1348"/>
        <v>0</v>
      </c>
    </row>
    <row r="2412" spans="1:18">
      <c r="A2412" s="524"/>
      <c r="B2412" s="540" t="s">
        <v>100</v>
      </c>
      <c r="C2412" s="552">
        <v>0</v>
      </c>
      <c r="D2412" s="553">
        <v>0</v>
      </c>
      <c r="E2412" s="553">
        <v>0</v>
      </c>
      <c r="F2412" s="551">
        <v>0</v>
      </c>
      <c r="G2412" s="551">
        <v>0</v>
      </c>
      <c r="H2412" s="551">
        <v>0</v>
      </c>
      <c r="I2412" s="551">
        <v>0</v>
      </c>
      <c r="J2412" s="551">
        <v>0</v>
      </c>
      <c r="K2412" s="527">
        <f t="shared" si="1341"/>
        <v>0</v>
      </c>
      <c r="L2412" s="528">
        <f t="shared" si="1342"/>
        <v>0</v>
      </c>
      <c r="M2412" s="528">
        <f t="shared" si="1343"/>
        <v>0</v>
      </c>
      <c r="N2412" s="528">
        <f t="shared" si="1344"/>
        <v>0</v>
      </c>
      <c r="O2412" s="528">
        <f t="shared" si="1345"/>
        <v>0</v>
      </c>
      <c r="P2412" s="529">
        <f t="shared" si="1346"/>
        <v>0</v>
      </c>
      <c r="Q2412" s="24">
        <f t="shared" si="1347"/>
        <v>0</v>
      </c>
      <c r="R2412" s="530">
        <f t="shared" si="1348"/>
        <v>0</v>
      </c>
    </row>
    <row r="2413" spans="1:18">
      <c r="A2413" s="524"/>
      <c r="B2413" s="540" t="s">
        <v>101</v>
      </c>
      <c r="C2413" s="552">
        <v>0</v>
      </c>
      <c r="D2413" s="553">
        <v>0</v>
      </c>
      <c r="E2413" s="551">
        <v>0</v>
      </c>
      <c r="F2413" s="551">
        <v>0</v>
      </c>
      <c r="G2413" s="551">
        <v>0</v>
      </c>
      <c r="H2413" s="551">
        <v>0</v>
      </c>
      <c r="I2413" s="551">
        <v>0</v>
      </c>
      <c r="J2413" s="551">
        <v>0</v>
      </c>
      <c r="K2413" s="527">
        <f t="shared" si="1341"/>
        <v>0</v>
      </c>
      <c r="L2413" s="528">
        <f t="shared" si="1342"/>
        <v>0</v>
      </c>
      <c r="M2413" s="528">
        <f t="shared" si="1343"/>
        <v>0</v>
      </c>
      <c r="N2413" s="528">
        <f t="shared" si="1344"/>
        <v>0</v>
      </c>
      <c r="O2413" s="528">
        <f t="shared" si="1345"/>
        <v>0</v>
      </c>
      <c r="P2413" s="529">
        <f t="shared" si="1346"/>
        <v>0</v>
      </c>
      <c r="Q2413" s="24">
        <f t="shared" si="1347"/>
        <v>0</v>
      </c>
      <c r="R2413" s="530">
        <f t="shared" si="1348"/>
        <v>0</v>
      </c>
    </row>
    <row r="2414" spans="1:18">
      <c r="A2414" s="524"/>
      <c r="B2414" s="531" t="s">
        <v>96</v>
      </c>
      <c r="C2414" s="533">
        <f t="shared" ref="C2414:J2414" si="1358">SUM(C2410:C2413)</f>
        <v>600</v>
      </c>
      <c r="D2414" s="533">
        <f t="shared" si="1358"/>
        <v>17166</v>
      </c>
      <c r="E2414" s="533">
        <f t="shared" si="1358"/>
        <v>511</v>
      </c>
      <c r="F2414" s="533">
        <f t="shared" si="1358"/>
        <v>0</v>
      </c>
      <c r="G2414" s="533">
        <f t="shared" si="1358"/>
        <v>0</v>
      </c>
      <c r="H2414" s="533">
        <f t="shared" si="1358"/>
        <v>12</v>
      </c>
      <c r="I2414" s="533">
        <f t="shared" si="1358"/>
        <v>3</v>
      </c>
      <c r="J2414" s="533">
        <f t="shared" si="1358"/>
        <v>4</v>
      </c>
      <c r="K2414" s="534">
        <f t="shared" si="1341"/>
        <v>0.02976814633578</v>
      </c>
      <c r="L2414" s="535">
        <f t="shared" si="1342"/>
        <v>1.17416829745597</v>
      </c>
      <c r="M2414" s="535">
        <f t="shared" si="1343"/>
        <v>34.952813701503</v>
      </c>
      <c r="N2414" s="535">
        <f t="shared" si="1344"/>
        <v>0</v>
      </c>
      <c r="O2414" s="535">
        <f t="shared" si="1345"/>
        <v>0</v>
      </c>
      <c r="P2414" s="536">
        <f t="shared" si="1346"/>
        <v>40</v>
      </c>
      <c r="Q2414" s="531">
        <f t="shared" si="1347"/>
        <v>15</v>
      </c>
      <c r="R2414" s="537">
        <f t="shared" si="1348"/>
        <v>0.0293542074363992</v>
      </c>
    </row>
    <row r="2415" spans="1:18">
      <c r="A2415" s="524">
        <v>45933</v>
      </c>
      <c r="B2415" s="540" t="s">
        <v>98</v>
      </c>
      <c r="C2415" s="551">
        <v>796.57</v>
      </c>
      <c r="D2415" s="553">
        <v>23010</v>
      </c>
      <c r="E2415" s="551">
        <v>716</v>
      </c>
      <c r="F2415" s="551">
        <v>0</v>
      </c>
      <c r="G2415" s="551">
        <v>0</v>
      </c>
      <c r="H2415" s="551">
        <v>26</v>
      </c>
      <c r="I2415" s="551">
        <v>9</v>
      </c>
      <c r="J2415" s="551">
        <v>2</v>
      </c>
      <c r="K2415" s="527">
        <f t="shared" si="1341"/>
        <v>0.0311169056931769</v>
      </c>
      <c r="L2415" s="528">
        <f t="shared" si="1342"/>
        <v>1.11252793296089</v>
      </c>
      <c r="M2415" s="528">
        <f t="shared" si="1343"/>
        <v>34.6184267709691</v>
      </c>
      <c r="N2415" s="528">
        <f t="shared" si="1344"/>
        <v>0</v>
      </c>
      <c r="O2415" s="528">
        <f t="shared" si="1345"/>
        <v>0</v>
      </c>
      <c r="P2415" s="529">
        <f t="shared" si="1346"/>
        <v>22.7591428571429</v>
      </c>
      <c r="Q2415" s="24">
        <f t="shared" si="1347"/>
        <v>35</v>
      </c>
      <c r="R2415" s="530">
        <f t="shared" si="1348"/>
        <v>0.0488826815642458</v>
      </c>
    </row>
    <row r="2416" spans="1:18">
      <c r="A2416" s="524"/>
      <c r="B2416" s="540" t="s">
        <v>99</v>
      </c>
      <c r="C2416" s="551">
        <v>0</v>
      </c>
      <c r="D2416" s="556">
        <v>0</v>
      </c>
      <c r="E2416" s="551">
        <v>0</v>
      </c>
      <c r="F2416" s="551">
        <v>0</v>
      </c>
      <c r="G2416" s="551">
        <v>0</v>
      </c>
      <c r="H2416" s="555">
        <v>0</v>
      </c>
      <c r="I2416" s="555">
        <v>0</v>
      </c>
      <c r="J2416" s="555">
        <v>0</v>
      </c>
      <c r="K2416" s="527">
        <f t="shared" si="1341"/>
        <v>0</v>
      </c>
      <c r="L2416" s="528">
        <f t="shared" si="1342"/>
        <v>0</v>
      </c>
      <c r="M2416" s="528">
        <f t="shared" si="1343"/>
        <v>0</v>
      </c>
      <c r="N2416" s="528">
        <f t="shared" si="1344"/>
        <v>0</v>
      </c>
      <c r="O2416" s="528">
        <f t="shared" si="1345"/>
        <v>0</v>
      </c>
      <c r="P2416" s="529">
        <f t="shared" si="1346"/>
        <v>0</v>
      </c>
      <c r="Q2416" s="24">
        <f t="shared" si="1347"/>
        <v>0</v>
      </c>
      <c r="R2416" s="530">
        <f t="shared" si="1348"/>
        <v>0</v>
      </c>
    </row>
    <row r="2417" spans="1:18">
      <c r="A2417" s="524"/>
      <c r="B2417" s="540" t="s">
        <v>100</v>
      </c>
      <c r="C2417" s="552">
        <v>0</v>
      </c>
      <c r="D2417" s="553">
        <v>0</v>
      </c>
      <c r="E2417" s="553">
        <v>0</v>
      </c>
      <c r="F2417" s="551">
        <v>0</v>
      </c>
      <c r="G2417" s="551">
        <v>0</v>
      </c>
      <c r="H2417" s="551">
        <v>0</v>
      </c>
      <c r="I2417" s="551">
        <v>0</v>
      </c>
      <c r="J2417" s="551">
        <v>0</v>
      </c>
      <c r="K2417" s="527">
        <f t="shared" si="1341"/>
        <v>0</v>
      </c>
      <c r="L2417" s="528">
        <f t="shared" si="1342"/>
        <v>0</v>
      </c>
      <c r="M2417" s="528">
        <f t="shared" si="1343"/>
        <v>0</v>
      </c>
      <c r="N2417" s="528">
        <f t="shared" si="1344"/>
        <v>0</v>
      </c>
      <c r="O2417" s="528">
        <f t="shared" si="1345"/>
        <v>0</v>
      </c>
      <c r="P2417" s="529">
        <f t="shared" si="1346"/>
        <v>0</v>
      </c>
      <c r="Q2417" s="24">
        <f t="shared" si="1347"/>
        <v>0</v>
      </c>
      <c r="R2417" s="530">
        <f t="shared" si="1348"/>
        <v>0</v>
      </c>
    </row>
    <row r="2418" spans="1:18">
      <c r="A2418" s="524"/>
      <c r="B2418" s="540" t="s">
        <v>101</v>
      </c>
      <c r="C2418" s="552">
        <v>0</v>
      </c>
      <c r="D2418" s="553">
        <v>0</v>
      </c>
      <c r="E2418" s="551">
        <v>0</v>
      </c>
      <c r="F2418" s="551">
        <v>0</v>
      </c>
      <c r="G2418" s="551">
        <v>0</v>
      </c>
      <c r="H2418" s="551">
        <v>0</v>
      </c>
      <c r="I2418" s="551">
        <v>0</v>
      </c>
      <c r="J2418" s="551">
        <v>0</v>
      </c>
      <c r="K2418" s="527">
        <f t="shared" si="1341"/>
        <v>0</v>
      </c>
      <c r="L2418" s="528">
        <f t="shared" si="1342"/>
        <v>0</v>
      </c>
      <c r="M2418" s="528">
        <f t="shared" si="1343"/>
        <v>0</v>
      </c>
      <c r="N2418" s="528">
        <f t="shared" si="1344"/>
        <v>0</v>
      </c>
      <c r="O2418" s="528">
        <f t="shared" si="1345"/>
        <v>0</v>
      </c>
      <c r="P2418" s="529">
        <f t="shared" si="1346"/>
        <v>0</v>
      </c>
      <c r="Q2418" s="24">
        <f t="shared" si="1347"/>
        <v>0</v>
      </c>
      <c r="R2418" s="530">
        <f t="shared" si="1348"/>
        <v>0</v>
      </c>
    </row>
    <row r="2419" spans="1:18">
      <c r="A2419" s="524"/>
      <c r="B2419" s="531" t="s">
        <v>96</v>
      </c>
      <c r="C2419" s="533">
        <f t="shared" ref="C2419:J2419" si="1359">SUM(C2415:C2418)</f>
        <v>796.57</v>
      </c>
      <c r="D2419" s="533">
        <f t="shared" si="1359"/>
        <v>23010</v>
      </c>
      <c r="E2419" s="533">
        <f t="shared" si="1359"/>
        <v>716</v>
      </c>
      <c r="F2419" s="533">
        <f t="shared" si="1359"/>
        <v>0</v>
      </c>
      <c r="G2419" s="533">
        <f t="shared" si="1359"/>
        <v>0</v>
      </c>
      <c r="H2419" s="533">
        <f t="shared" si="1359"/>
        <v>26</v>
      </c>
      <c r="I2419" s="533">
        <f t="shared" si="1359"/>
        <v>9</v>
      </c>
      <c r="J2419" s="533">
        <f t="shared" si="1359"/>
        <v>2</v>
      </c>
      <c r="K2419" s="534">
        <f t="shared" si="1341"/>
        <v>0.0311169056931769</v>
      </c>
      <c r="L2419" s="535">
        <f t="shared" si="1342"/>
        <v>1.11252793296089</v>
      </c>
      <c r="M2419" s="535">
        <f t="shared" si="1343"/>
        <v>34.6184267709691</v>
      </c>
      <c r="N2419" s="535">
        <f t="shared" si="1344"/>
        <v>0</v>
      </c>
      <c r="O2419" s="535">
        <f t="shared" si="1345"/>
        <v>0</v>
      </c>
      <c r="P2419" s="536">
        <f t="shared" si="1346"/>
        <v>22.7591428571429</v>
      </c>
      <c r="Q2419" s="531">
        <f t="shared" si="1347"/>
        <v>35</v>
      </c>
      <c r="R2419" s="537">
        <f t="shared" si="1348"/>
        <v>0.0488826815642458</v>
      </c>
    </row>
    <row r="2420" spans="1:18">
      <c r="A2420" s="524">
        <v>45934</v>
      </c>
      <c r="B2420" s="540" t="s">
        <v>98</v>
      </c>
      <c r="C2420" s="551">
        <v>780.8</v>
      </c>
      <c r="D2420" s="553">
        <v>16860</v>
      </c>
      <c r="E2420" s="551">
        <v>618</v>
      </c>
      <c r="F2420" s="551">
        <v>0</v>
      </c>
      <c r="G2420" s="551">
        <v>0</v>
      </c>
      <c r="H2420" s="551">
        <v>48</v>
      </c>
      <c r="I2420" s="551">
        <v>15</v>
      </c>
      <c r="J2420" s="551">
        <v>4</v>
      </c>
      <c r="K2420" s="527">
        <f t="shared" si="1341"/>
        <v>0.0366548042704626</v>
      </c>
      <c r="L2420" s="528">
        <f t="shared" si="1342"/>
        <v>1.26343042071197</v>
      </c>
      <c r="M2420" s="528">
        <f t="shared" si="1343"/>
        <v>46.3107947805457</v>
      </c>
      <c r="N2420" s="528">
        <f t="shared" si="1344"/>
        <v>0</v>
      </c>
      <c r="O2420" s="528">
        <f t="shared" si="1345"/>
        <v>0</v>
      </c>
      <c r="P2420" s="529">
        <f t="shared" si="1346"/>
        <v>12.3936507936508</v>
      </c>
      <c r="Q2420" s="24">
        <f t="shared" si="1347"/>
        <v>63</v>
      </c>
      <c r="R2420" s="530">
        <f t="shared" si="1348"/>
        <v>0.101941747572816</v>
      </c>
    </row>
    <row r="2421" spans="1:18">
      <c r="A2421" s="524"/>
      <c r="B2421" s="540" t="s">
        <v>99</v>
      </c>
      <c r="C2421" s="551">
        <v>0</v>
      </c>
      <c r="D2421" s="556">
        <v>0</v>
      </c>
      <c r="E2421" s="551">
        <v>0</v>
      </c>
      <c r="F2421" s="551">
        <v>0</v>
      </c>
      <c r="G2421" s="551">
        <v>0</v>
      </c>
      <c r="H2421" s="555">
        <v>0</v>
      </c>
      <c r="I2421" s="555">
        <v>0</v>
      </c>
      <c r="J2421" s="555">
        <v>0</v>
      </c>
      <c r="K2421" s="527">
        <f t="shared" si="1341"/>
        <v>0</v>
      </c>
      <c r="L2421" s="528">
        <f t="shared" si="1342"/>
        <v>0</v>
      </c>
      <c r="M2421" s="528">
        <f t="shared" si="1343"/>
        <v>0</v>
      </c>
      <c r="N2421" s="528">
        <f t="shared" si="1344"/>
        <v>0</v>
      </c>
      <c r="O2421" s="528">
        <f t="shared" si="1345"/>
        <v>0</v>
      </c>
      <c r="P2421" s="529">
        <f t="shared" si="1346"/>
        <v>0</v>
      </c>
      <c r="Q2421" s="24">
        <f t="shared" si="1347"/>
        <v>0</v>
      </c>
      <c r="R2421" s="530">
        <f t="shared" si="1348"/>
        <v>0</v>
      </c>
    </row>
    <row r="2422" spans="1:18">
      <c r="A2422" s="524"/>
      <c r="B2422" s="540" t="s">
        <v>100</v>
      </c>
      <c r="C2422" s="552">
        <v>0</v>
      </c>
      <c r="D2422" s="553">
        <v>0</v>
      </c>
      <c r="E2422" s="553">
        <v>0</v>
      </c>
      <c r="F2422" s="551">
        <v>0</v>
      </c>
      <c r="G2422" s="551">
        <v>0</v>
      </c>
      <c r="H2422" s="551">
        <v>0</v>
      </c>
      <c r="I2422" s="551">
        <v>0</v>
      </c>
      <c r="J2422" s="551">
        <v>0</v>
      </c>
      <c r="K2422" s="527">
        <f t="shared" si="1341"/>
        <v>0</v>
      </c>
      <c r="L2422" s="528">
        <f t="shared" si="1342"/>
        <v>0</v>
      </c>
      <c r="M2422" s="528">
        <f t="shared" si="1343"/>
        <v>0</v>
      </c>
      <c r="N2422" s="528">
        <f t="shared" si="1344"/>
        <v>0</v>
      </c>
      <c r="O2422" s="528">
        <f t="shared" si="1345"/>
        <v>0</v>
      </c>
      <c r="P2422" s="529">
        <f t="shared" si="1346"/>
        <v>0</v>
      </c>
      <c r="Q2422" s="24">
        <f t="shared" si="1347"/>
        <v>0</v>
      </c>
      <c r="R2422" s="530">
        <f t="shared" si="1348"/>
        <v>0</v>
      </c>
    </row>
    <row r="2423" spans="1:18">
      <c r="A2423" s="524"/>
      <c r="B2423" s="540" t="s">
        <v>101</v>
      </c>
      <c r="C2423" s="552">
        <v>0</v>
      </c>
      <c r="D2423" s="553">
        <v>0</v>
      </c>
      <c r="E2423" s="551">
        <v>0</v>
      </c>
      <c r="F2423" s="551">
        <v>0</v>
      </c>
      <c r="G2423" s="551">
        <v>0</v>
      </c>
      <c r="H2423" s="551">
        <v>0</v>
      </c>
      <c r="I2423" s="551">
        <v>0</v>
      </c>
      <c r="J2423" s="551">
        <v>0</v>
      </c>
      <c r="K2423" s="527">
        <f t="shared" si="1341"/>
        <v>0</v>
      </c>
      <c r="L2423" s="528">
        <f t="shared" si="1342"/>
        <v>0</v>
      </c>
      <c r="M2423" s="528">
        <f t="shared" si="1343"/>
        <v>0</v>
      </c>
      <c r="N2423" s="528">
        <f t="shared" si="1344"/>
        <v>0</v>
      </c>
      <c r="O2423" s="528">
        <f t="shared" si="1345"/>
        <v>0</v>
      </c>
      <c r="P2423" s="529">
        <f t="shared" si="1346"/>
        <v>0</v>
      </c>
      <c r="Q2423" s="24">
        <f t="shared" si="1347"/>
        <v>0</v>
      </c>
      <c r="R2423" s="530">
        <f t="shared" si="1348"/>
        <v>0</v>
      </c>
    </row>
    <row r="2424" spans="1:18">
      <c r="A2424" s="524"/>
      <c r="B2424" s="531" t="s">
        <v>96</v>
      </c>
      <c r="C2424" s="533">
        <f t="shared" ref="C2424:J2424" si="1360">SUM(C2420:C2423)</f>
        <v>780.8</v>
      </c>
      <c r="D2424" s="533">
        <f t="shared" si="1360"/>
        <v>16860</v>
      </c>
      <c r="E2424" s="533">
        <f t="shared" si="1360"/>
        <v>618</v>
      </c>
      <c r="F2424" s="533">
        <f t="shared" si="1360"/>
        <v>0</v>
      </c>
      <c r="G2424" s="533">
        <f t="shared" si="1360"/>
        <v>0</v>
      </c>
      <c r="H2424" s="533">
        <f t="shared" si="1360"/>
        <v>48</v>
      </c>
      <c r="I2424" s="533">
        <f t="shared" si="1360"/>
        <v>15</v>
      </c>
      <c r="J2424" s="533">
        <f t="shared" si="1360"/>
        <v>4</v>
      </c>
      <c r="K2424" s="534">
        <f t="shared" si="1341"/>
        <v>0.0366548042704626</v>
      </c>
      <c r="L2424" s="535">
        <f t="shared" si="1342"/>
        <v>1.26343042071197</v>
      </c>
      <c r="M2424" s="535">
        <f t="shared" si="1343"/>
        <v>46.3107947805457</v>
      </c>
      <c r="N2424" s="535">
        <f t="shared" si="1344"/>
        <v>0</v>
      </c>
      <c r="O2424" s="535">
        <f t="shared" si="1345"/>
        <v>0</v>
      </c>
      <c r="P2424" s="536">
        <f t="shared" si="1346"/>
        <v>12.3936507936508</v>
      </c>
      <c r="Q2424" s="531">
        <f t="shared" si="1347"/>
        <v>63</v>
      </c>
      <c r="R2424" s="537">
        <f t="shared" si="1348"/>
        <v>0.101941747572816</v>
      </c>
    </row>
    <row r="2425" spans="1:18">
      <c r="A2425" s="524">
        <v>45935</v>
      </c>
      <c r="B2425" s="540" t="s">
        <v>98</v>
      </c>
      <c r="C2425" s="551">
        <v>793.89</v>
      </c>
      <c r="D2425" s="553">
        <v>17849</v>
      </c>
      <c r="E2425" s="551">
        <v>563</v>
      </c>
      <c r="F2425" s="551">
        <v>2</v>
      </c>
      <c r="G2425" s="551">
        <v>8241</v>
      </c>
      <c r="H2425" s="551">
        <v>39</v>
      </c>
      <c r="I2425" s="551">
        <v>6</v>
      </c>
      <c r="J2425" s="551">
        <v>3</v>
      </c>
      <c r="K2425" s="527">
        <f t="shared" si="1341"/>
        <v>0.031542383326797</v>
      </c>
      <c r="L2425" s="528">
        <f t="shared" si="1342"/>
        <v>1.41010657193606</v>
      </c>
      <c r="M2425" s="528">
        <f t="shared" si="1343"/>
        <v>44.4781220236428</v>
      </c>
      <c r="N2425" s="528">
        <f t="shared" si="1344"/>
        <v>10.3805313078638</v>
      </c>
      <c r="O2425" s="528">
        <f t="shared" si="1345"/>
        <v>0.00355239786856128</v>
      </c>
      <c r="P2425" s="529">
        <f t="shared" si="1346"/>
        <v>17.642</v>
      </c>
      <c r="Q2425" s="24">
        <f t="shared" si="1347"/>
        <v>45</v>
      </c>
      <c r="R2425" s="530">
        <f t="shared" si="1348"/>
        <v>0.0799289520426288</v>
      </c>
    </row>
    <row r="2426" spans="1:18">
      <c r="A2426" s="524"/>
      <c r="B2426" s="540" t="s">
        <v>99</v>
      </c>
      <c r="C2426" s="551">
        <v>0</v>
      </c>
      <c r="D2426" s="556">
        <v>0</v>
      </c>
      <c r="E2426" s="551">
        <v>0</v>
      </c>
      <c r="F2426" s="551">
        <v>0</v>
      </c>
      <c r="G2426" s="551">
        <v>0</v>
      </c>
      <c r="H2426" s="555">
        <v>0</v>
      </c>
      <c r="I2426" s="555">
        <v>0</v>
      </c>
      <c r="J2426" s="555">
        <v>0</v>
      </c>
      <c r="K2426" s="527">
        <f t="shared" si="1341"/>
        <v>0</v>
      </c>
      <c r="L2426" s="528">
        <f t="shared" si="1342"/>
        <v>0</v>
      </c>
      <c r="M2426" s="528">
        <f t="shared" si="1343"/>
        <v>0</v>
      </c>
      <c r="N2426" s="528">
        <f t="shared" si="1344"/>
        <v>0</v>
      </c>
      <c r="O2426" s="528">
        <f t="shared" si="1345"/>
        <v>0</v>
      </c>
      <c r="P2426" s="529">
        <f t="shared" si="1346"/>
        <v>0</v>
      </c>
      <c r="Q2426" s="24">
        <f t="shared" si="1347"/>
        <v>0</v>
      </c>
      <c r="R2426" s="530">
        <f t="shared" si="1348"/>
        <v>0</v>
      </c>
    </row>
    <row r="2427" spans="1:18">
      <c r="A2427" s="524"/>
      <c r="B2427" s="540" t="s">
        <v>100</v>
      </c>
      <c r="C2427" s="552">
        <v>0</v>
      </c>
      <c r="D2427" s="553">
        <v>0</v>
      </c>
      <c r="E2427" s="553">
        <v>0</v>
      </c>
      <c r="F2427" s="551">
        <v>0</v>
      </c>
      <c r="G2427" s="551">
        <v>0</v>
      </c>
      <c r="H2427" s="551">
        <v>0</v>
      </c>
      <c r="I2427" s="551">
        <v>0</v>
      </c>
      <c r="J2427" s="551">
        <v>0</v>
      </c>
      <c r="K2427" s="527">
        <f t="shared" si="1341"/>
        <v>0</v>
      </c>
      <c r="L2427" s="528">
        <f t="shared" si="1342"/>
        <v>0</v>
      </c>
      <c r="M2427" s="528">
        <f t="shared" si="1343"/>
        <v>0</v>
      </c>
      <c r="N2427" s="528">
        <f t="shared" si="1344"/>
        <v>0</v>
      </c>
      <c r="O2427" s="528">
        <f t="shared" si="1345"/>
        <v>0</v>
      </c>
      <c r="P2427" s="529">
        <f t="shared" si="1346"/>
        <v>0</v>
      </c>
      <c r="Q2427" s="24">
        <f t="shared" si="1347"/>
        <v>0</v>
      </c>
      <c r="R2427" s="530">
        <f t="shared" si="1348"/>
        <v>0</v>
      </c>
    </row>
    <row r="2428" spans="1:18">
      <c r="A2428" s="524"/>
      <c r="B2428" s="540" t="s">
        <v>101</v>
      </c>
      <c r="C2428" s="552">
        <v>0</v>
      </c>
      <c r="D2428" s="553">
        <v>0</v>
      </c>
      <c r="E2428" s="551">
        <v>0</v>
      </c>
      <c r="F2428" s="551">
        <v>0</v>
      </c>
      <c r="G2428" s="551">
        <v>0</v>
      </c>
      <c r="H2428" s="551">
        <v>0</v>
      </c>
      <c r="I2428" s="551">
        <v>0</v>
      </c>
      <c r="J2428" s="551">
        <v>0</v>
      </c>
      <c r="K2428" s="527">
        <f t="shared" si="1341"/>
        <v>0</v>
      </c>
      <c r="L2428" s="528">
        <f t="shared" si="1342"/>
        <v>0</v>
      </c>
      <c r="M2428" s="528">
        <f t="shared" si="1343"/>
        <v>0</v>
      </c>
      <c r="N2428" s="528">
        <f t="shared" si="1344"/>
        <v>0</v>
      </c>
      <c r="O2428" s="528">
        <f t="shared" si="1345"/>
        <v>0</v>
      </c>
      <c r="P2428" s="529">
        <f t="shared" si="1346"/>
        <v>0</v>
      </c>
      <c r="Q2428" s="24">
        <f t="shared" si="1347"/>
        <v>0</v>
      </c>
      <c r="R2428" s="530">
        <f t="shared" si="1348"/>
        <v>0</v>
      </c>
    </row>
    <row r="2429" spans="1:18">
      <c r="A2429" s="524"/>
      <c r="B2429" s="531" t="s">
        <v>96</v>
      </c>
      <c r="C2429" s="533">
        <f t="shared" ref="C2429:J2429" si="1361">SUM(C2425:C2428)</f>
        <v>793.89</v>
      </c>
      <c r="D2429" s="533">
        <f t="shared" si="1361"/>
        <v>17849</v>
      </c>
      <c r="E2429" s="533">
        <f t="shared" si="1361"/>
        <v>563</v>
      </c>
      <c r="F2429" s="533">
        <f t="shared" si="1361"/>
        <v>2</v>
      </c>
      <c r="G2429" s="533">
        <f t="shared" si="1361"/>
        <v>8241</v>
      </c>
      <c r="H2429" s="533">
        <f t="shared" si="1361"/>
        <v>39</v>
      </c>
      <c r="I2429" s="533">
        <f t="shared" si="1361"/>
        <v>6</v>
      </c>
      <c r="J2429" s="533">
        <f t="shared" si="1361"/>
        <v>3</v>
      </c>
      <c r="K2429" s="534">
        <f t="shared" ref="K2429:K2492" si="1362">IF(E2429=0,0,E2429/D2429)</f>
        <v>0.031542383326797</v>
      </c>
      <c r="L2429" s="535">
        <f t="shared" ref="L2429:L2492" si="1363">IF(C2429=0,0,C2429/E2429)</f>
        <v>1.41010657193606</v>
      </c>
      <c r="M2429" s="535">
        <f t="shared" ref="M2429:M2492" si="1364">IF(D2429=0,0,C2429/D2429*1000)</f>
        <v>44.4781220236428</v>
      </c>
      <c r="N2429" s="535">
        <f t="shared" ref="N2429:N2492" si="1365">IF(G2429=0,0,G2429/C2429)</f>
        <v>10.3805313078638</v>
      </c>
      <c r="O2429" s="535">
        <f t="shared" ref="O2429:O2492" si="1366">IF(F2429=0,0,F2429/E2429)</f>
        <v>0.00355239786856128</v>
      </c>
      <c r="P2429" s="536">
        <f t="shared" ref="P2429:P2492" si="1367">IF(H2429+I2429=0,0,C2429/(H2429+I2429))</f>
        <v>17.642</v>
      </c>
      <c r="Q2429" s="531">
        <f t="shared" ref="Q2429:Q2492" si="1368">H2429+I2429</f>
        <v>45</v>
      </c>
      <c r="R2429" s="537">
        <f t="shared" ref="R2429:R2492" si="1369">IF(Q2429=0,0,Q2429/E2429)</f>
        <v>0.0799289520426288</v>
      </c>
    </row>
    <row r="2430" spans="1:18">
      <c r="A2430" s="524">
        <v>45936</v>
      </c>
      <c r="B2430" s="540" t="s">
        <v>98</v>
      </c>
      <c r="C2430" s="551">
        <v>799.82</v>
      </c>
      <c r="D2430" s="553">
        <v>13064</v>
      </c>
      <c r="E2430" s="551">
        <v>526</v>
      </c>
      <c r="F2430" s="551">
        <v>7</v>
      </c>
      <c r="G2430" s="551">
        <v>48868</v>
      </c>
      <c r="H2430" s="551">
        <v>40</v>
      </c>
      <c r="I2430" s="551">
        <v>14</v>
      </c>
      <c r="J2430" s="551">
        <v>3</v>
      </c>
      <c r="K2430" s="527">
        <f t="shared" si="1362"/>
        <v>0.040263319044703</v>
      </c>
      <c r="L2430" s="528">
        <f t="shared" si="1363"/>
        <v>1.52057034220532</v>
      </c>
      <c r="M2430" s="528">
        <f t="shared" si="1364"/>
        <v>61.2232088181262</v>
      </c>
      <c r="N2430" s="528">
        <f t="shared" si="1365"/>
        <v>61.0987472181241</v>
      </c>
      <c r="O2430" s="528">
        <f t="shared" si="1366"/>
        <v>0.0133079847908745</v>
      </c>
      <c r="P2430" s="529">
        <f t="shared" si="1367"/>
        <v>14.8114814814815</v>
      </c>
      <c r="Q2430" s="24">
        <f t="shared" si="1368"/>
        <v>54</v>
      </c>
      <c r="R2430" s="530">
        <f t="shared" si="1369"/>
        <v>0.102661596958175</v>
      </c>
    </row>
    <row r="2431" spans="1:18">
      <c r="A2431" s="524"/>
      <c r="B2431" s="540" t="s">
        <v>99</v>
      </c>
      <c r="C2431" s="551">
        <v>0</v>
      </c>
      <c r="D2431" s="556">
        <v>0</v>
      </c>
      <c r="E2431" s="551">
        <v>0</v>
      </c>
      <c r="F2431" s="551">
        <v>0</v>
      </c>
      <c r="G2431" s="551">
        <v>0</v>
      </c>
      <c r="H2431" s="555">
        <v>0</v>
      </c>
      <c r="I2431" s="555">
        <v>0</v>
      </c>
      <c r="J2431" s="555">
        <v>0</v>
      </c>
      <c r="K2431" s="527">
        <f t="shared" si="1362"/>
        <v>0</v>
      </c>
      <c r="L2431" s="528">
        <f t="shared" si="1363"/>
        <v>0</v>
      </c>
      <c r="M2431" s="528">
        <f t="shared" si="1364"/>
        <v>0</v>
      </c>
      <c r="N2431" s="528">
        <f t="shared" si="1365"/>
        <v>0</v>
      </c>
      <c r="O2431" s="528">
        <f t="shared" si="1366"/>
        <v>0</v>
      </c>
      <c r="P2431" s="529">
        <f t="shared" si="1367"/>
        <v>0</v>
      </c>
      <c r="Q2431" s="24">
        <f t="shared" si="1368"/>
        <v>0</v>
      </c>
      <c r="R2431" s="530">
        <f t="shared" si="1369"/>
        <v>0</v>
      </c>
    </row>
    <row r="2432" spans="1:18">
      <c r="A2432" s="524"/>
      <c r="B2432" s="540" t="s">
        <v>100</v>
      </c>
      <c r="C2432" s="552">
        <v>0</v>
      </c>
      <c r="D2432" s="553">
        <v>0</v>
      </c>
      <c r="E2432" s="553">
        <v>0</v>
      </c>
      <c r="F2432" s="551">
        <v>0</v>
      </c>
      <c r="G2432" s="551">
        <v>0</v>
      </c>
      <c r="H2432" s="551">
        <v>0</v>
      </c>
      <c r="I2432" s="551">
        <v>0</v>
      </c>
      <c r="J2432" s="551">
        <v>0</v>
      </c>
      <c r="K2432" s="527">
        <f t="shared" si="1362"/>
        <v>0</v>
      </c>
      <c r="L2432" s="528">
        <f t="shared" si="1363"/>
        <v>0</v>
      </c>
      <c r="M2432" s="528">
        <f t="shared" si="1364"/>
        <v>0</v>
      </c>
      <c r="N2432" s="528">
        <f t="shared" si="1365"/>
        <v>0</v>
      </c>
      <c r="O2432" s="528">
        <f t="shared" si="1366"/>
        <v>0</v>
      </c>
      <c r="P2432" s="529">
        <f t="shared" si="1367"/>
        <v>0</v>
      </c>
      <c r="Q2432" s="24">
        <f t="shared" si="1368"/>
        <v>0</v>
      </c>
      <c r="R2432" s="530">
        <f t="shared" si="1369"/>
        <v>0</v>
      </c>
    </row>
    <row r="2433" spans="1:18">
      <c r="A2433" s="524"/>
      <c r="B2433" s="540" t="s">
        <v>101</v>
      </c>
      <c r="C2433" s="552">
        <v>0</v>
      </c>
      <c r="D2433" s="553">
        <v>0</v>
      </c>
      <c r="E2433" s="551">
        <v>0</v>
      </c>
      <c r="F2433" s="551">
        <v>0</v>
      </c>
      <c r="G2433" s="551">
        <v>0</v>
      </c>
      <c r="H2433" s="551">
        <v>0</v>
      </c>
      <c r="I2433" s="551">
        <v>0</v>
      </c>
      <c r="J2433" s="551">
        <v>0</v>
      </c>
      <c r="K2433" s="527">
        <f t="shared" si="1362"/>
        <v>0</v>
      </c>
      <c r="L2433" s="528">
        <f t="shared" si="1363"/>
        <v>0</v>
      </c>
      <c r="M2433" s="528">
        <f t="shared" si="1364"/>
        <v>0</v>
      </c>
      <c r="N2433" s="528">
        <f t="shared" si="1365"/>
        <v>0</v>
      </c>
      <c r="O2433" s="528">
        <f t="shared" si="1366"/>
        <v>0</v>
      </c>
      <c r="P2433" s="529">
        <f t="shared" si="1367"/>
        <v>0</v>
      </c>
      <c r="Q2433" s="24">
        <f t="shared" si="1368"/>
        <v>0</v>
      </c>
      <c r="R2433" s="530">
        <f t="shared" si="1369"/>
        <v>0</v>
      </c>
    </row>
    <row r="2434" spans="1:18">
      <c r="A2434" s="524"/>
      <c r="B2434" s="531" t="s">
        <v>96</v>
      </c>
      <c r="C2434" s="533">
        <f t="shared" ref="C2434:J2434" si="1370">SUM(C2430:C2433)</f>
        <v>799.82</v>
      </c>
      <c r="D2434" s="533">
        <f t="shared" si="1370"/>
        <v>13064</v>
      </c>
      <c r="E2434" s="533">
        <f t="shared" si="1370"/>
        <v>526</v>
      </c>
      <c r="F2434" s="533">
        <f t="shared" si="1370"/>
        <v>7</v>
      </c>
      <c r="G2434" s="533">
        <f t="shared" si="1370"/>
        <v>48868</v>
      </c>
      <c r="H2434" s="533">
        <f t="shared" si="1370"/>
        <v>40</v>
      </c>
      <c r="I2434" s="533">
        <f t="shared" si="1370"/>
        <v>14</v>
      </c>
      <c r="J2434" s="533">
        <f t="shared" si="1370"/>
        <v>3</v>
      </c>
      <c r="K2434" s="534">
        <f t="shared" si="1362"/>
        <v>0.040263319044703</v>
      </c>
      <c r="L2434" s="535">
        <f t="shared" si="1363"/>
        <v>1.52057034220532</v>
      </c>
      <c r="M2434" s="535">
        <f t="shared" si="1364"/>
        <v>61.2232088181262</v>
      </c>
      <c r="N2434" s="535">
        <f t="shared" si="1365"/>
        <v>61.0987472181241</v>
      </c>
      <c r="O2434" s="535">
        <f t="shared" si="1366"/>
        <v>0.0133079847908745</v>
      </c>
      <c r="P2434" s="536">
        <f t="shared" si="1367"/>
        <v>14.8114814814815</v>
      </c>
      <c r="Q2434" s="531">
        <f t="shared" si="1368"/>
        <v>54</v>
      </c>
      <c r="R2434" s="537">
        <f t="shared" si="1369"/>
        <v>0.102661596958175</v>
      </c>
    </row>
    <row r="2435" spans="1:18">
      <c r="A2435" s="524">
        <v>45937</v>
      </c>
      <c r="B2435" s="540" t="s">
        <v>98</v>
      </c>
      <c r="C2435" s="551">
        <v>797.17</v>
      </c>
      <c r="D2435" s="553">
        <v>10564</v>
      </c>
      <c r="E2435" s="551">
        <v>520</v>
      </c>
      <c r="F2435" s="551">
        <v>14</v>
      </c>
      <c r="G2435" s="552">
        <v>100899</v>
      </c>
      <c r="H2435" s="551">
        <v>45</v>
      </c>
      <c r="I2435" s="551">
        <v>9</v>
      </c>
      <c r="J2435" s="551">
        <v>4</v>
      </c>
      <c r="K2435" s="527">
        <f t="shared" si="1362"/>
        <v>0.0492237788716395</v>
      </c>
      <c r="L2435" s="528">
        <f t="shared" si="1363"/>
        <v>1.53301923076923</v>
      </c>
      <c r="M2435" s="528">
        <f t="shared" si="1364"/>
        <v>75.4609996213555</v>
      </c>
      <c r="N2435" s="528">
        <f t="shared" si="1365"/>
        <v>126.571496669468</v>
      </c>
      <c r="O2435" s="528">
        <f t="shared" si="1366"/>
        <v>0.0269230769230769</v>
      </c>
      <c r="P2435" s="529">
        <f t="shared" si="1367"/>
        <v>14.7624074074074</v>
      </c>
      <c r="Q2435" s="24">
        <f t="shared" si="1368"/>
        <v>54</v>
      </c>
      <c r="R2435" s="530">
        <f t="shared" si="1369"/>
        <v>0.103846153846154</v>
      </c>
    </row>
    <row r="2436" spans="1:18">
      <c r="A2436" s="524"/>
      <c r="B2436" s="540" t="s">
        <v>99</v>
      </c>
      <c r="C2436" s="551">
        <v>0</v>
      </c>
      <c r="D2436" s="556">
        <v>0</v>
      </c>
      <c r="E2436" s="551">
        <v>0</v>
      </c>
      <c r="F2436" s="551">
        <v>0</v>
      </c>
      <c r="G2436" s="551">
        <v>0</v>
      </c>
      <c r="H2436" s="555">
        <v>0</v>
      </c>
      <c r="I2436" s="555">
        <v>0</v>
      </c>
      <c r="J2436" s="555">
        <v>0</v>
      </c>
      <c r="K2436" s="527">
        <f t="shared" si="1362"/>
        <v>0</v>
      </c>
      <c r="L2436" s="528">
        <f t="shared" si="1363"/>
        <v>0</v>
      </c>
      <c r="M2436" s="528">
        <f t="shared" si="1364"/>
        <v>0</v>
      </c>
      <c r="N2436" s="528">
        <f t="shared" si="1365"/>
        <v>0</v>
      </c>
      <c r="O2436" s="528">
        <f t="shared" si="1366"/>
        <v>0</v>
      </c>
      <c r="P2436" s="529">
        <f t="shared" si="1367"/>
        <v>0</v>
      </c>
      <c r="Q2436" s="24">
        <f t="shared" si="1368"/>
        <v>0</v>
      </c>
      <c r="R2436" s="530">
        <f t="shared" si="1369"/>
        <v>0</v>
      </c>
    </row>
    <row r="2437" spans="1:18">
      <c r="A2437" s="524"/>
      <c r="B2437" s="540" t="s">
        <v>100</v>
      </c>
      <c r="C2437" s="552">
        <v>0</v>
      </c>
      <c r="D2437" s="553">
        <v>0</v>
      </c>
      <c r="E2437" s="553">
        <v>0</v>
      </c>
      <c r="F2437" s="551">
        <v>0</v>
      </c>
      <c r="G2437" s="551">
        <v>0</v>
      </c>
      <c r="H2437" s="551">
        <v>0</v>
      </c>
      <c r="I2437" s="551">
        <v>0</v>
      </c>
      <c r="J2437" s="551">
        <v>0</v>
      </c>
      <c r="K2437" s="527">
        <f t="shared" si="1362"/>
        <v>0</v>
      </c>
      <c r="L2437" s="528">
        <f t="shared" si="1363"/>
        <v>0</v>
      </c>
      <c r="M2437" s="528">
        <f t="shared" si="1364"/>
        <v>0</v>
      </c>
      <c r="N2437" s="528">
        <f t="shared" si="1365"/>
        <v>0</v>
      </c>
      <c r="O2437" s="528">
        <f t="shared" si="1366"/>
        <v>0</v>
      </c>
      <c r="P2437" s="529">
        <f t="shared" si="1367"/>
        <v>0</v>
      </c>
      <c r="Q2437" s="24">
        <f t="shared" si="1368"/>
        <v>0</v>
      </c>
      <c r="R2437" s="530">
        <f t="shared" si="1369"/>
        <v>0</v>
      </c>
    </row>
    <row r="2438" spans="1:18">
      <c r="A2438" s="524"/>
      <c r="B2438" s="540" t="s">
        <v>101</v>
      </c>
      <c r="C2438" s="552">
        <v>0</v>
      </c>
      <c r="D2438" s="553">
        <v>0</v>
      </c>
      <c r="E2438" s="551">
        <v>0</v>
      </c>
      <c r="F2438" s="551">
        <v>0</v>
      </c>
      <c r="G2438" s="551">
        <v>0</v>
      </c>
      <c r="H2438" s="551">
        <v>0</v>
      </c>
      <c r="I2438" s="551">
        <v>0</v>
      </c>
      <c r="J2438" s="551">
        <v>0</v>
      </c>
      <c r="K2438" s="527">
        <f t="shared" si="1362"/>
        <v>0</v>
      </c>
      <c r="L2438" s="528">
        <f t="shared" si="1363"/>
        <v>0</v>
      </c>
      <c r="M2438" s="528">
        <f t="shared" si="1364"/>
        <v>0</v>
      </c>
      <c r="N2438" s="528">
        <f t="shared" si="1365"/>
        <v>0</v>
      </c>
      <c r="O2438" s="528">
        <f t="shared" si="1366"/>
        <v>0</v>
      </c>
      <c r="P2438" s="529">
        <f t="shared" si="1367"/>
        <v>0</v>
      </c>
      <c r="Q2438" s="24">
        <f t="shared" si="1368"/>
        <v>0</v>
      </c>
      <c r="R2438" s="530">
        <f t="shared" si="1369"/>
        <v>0</v>
      </c>
    </row>
    <row r="2439" spans="1:18">
      <c r="A2439" s="524"/>
      <c r="B2439" s="531" t="s">
        <v>96</v>
      </c>
      <c r="C2439" s="533">
        <f t="shared" ref="C2439:J2439" si="1371">SUM(C2435:C2438)</f>
        <v>797.17</v>
      </c>
      <c r="D2439" s="533">
        <f t="shared" si="1371"/>
        <v>10564</v>
      </c>
      <c r="E2439" s="533">
        <f t="shared" si="1371"/>
        <v>520</v>
      </c>
      <c r="F2439" s="533">
        <f t="shared" si="1371"/>
        <v>14</v>
      </c>
      <c r="G2439" s="533">
        <f t="shared" si="1371"/>
        <v>100899</v>
      </c>
      <c r="H2439" s="533">
        <f t="shared" si="1371"/>
        <v>45</v>
      </c>
      <c r="I2439" s="533">
        <f t="shared" si="1371"/>
        <v>9</v>
      </c>
      <c r="J2439" s="533">
        <f t="shared" si="1371"/>
        <v>4</v>
      </c>
      <c r="K2439" s="534">
        <f t="shared" si="1362"/>
        <v>0.0492237788716395</v>
      </c>
      <c r="L2439" s="535">
        <f t="shared" si="1363"/>
        <v>1.53301923076923</v>
      </c>
      <c r="M2439" s="535">
        <f t="shared" si="1364"/>
        <v>75.4609996213555</v>
      </c>
      <c r="N2439" s="535">
        <f t="shared" si="1365"/>
        <v>126.571496669468</v>
      </c>
      <c r="O2439" s="535">
        <f t="shared" si="1366"/>
        <v>0.0269230769230769</v>
      </c>
      <c r="P2439" s="536">
        <f t="shared" si="1367"/>
        <v>14.7624074074074</v>
      </c>
      <c r="Q2439" s="531">
        <f t="shared" si="1368"/>
        <v>54</v>
      </c>
      <c r="R2439" s="537">
        <f t="shared" si="1369"/>
        <v>0.103846153846154</v>
      </c>
    </row>
    <row r="2440" spans="1:18">
      <c r="A2440" s="524">
        <v>45938</v>
      </c>
      <c r="B2440" s="540" t="s">
        <v>98</v>
      </c>
      <c r="C2440" s="551">
        <v>793.66</v>
      </c>
      <c r="D2440" s="553">
        <v>11371</v>
      </c>
      <c r="E2440" s="551">
        <v>517</v>
      </c>
      <c r="F2440" s="551">
        <v>6</v>
      </c>
      <c r="G2440" s="551">
        <v>52086</v>
      </c>
      <c r="H2440" s="551">
        <v>55</v>
      </c>
      <c r="I2440" s="551">
        <v>5</v>
      </c>
      <c r="J2440" s="551">
        <v>2</v>
      </c>
      <c r="K2440" s="527">
        <f t="shared" si="1362"/>
        <v>0.045466537683581</v>
      </c>
      <c r="L2440" s="528">
        <f t="shared" si="1363"/>
        <v>1.53512572533849</v>
      </c>
      <c r="M2440" s="528">
        <f t="shared" si="1364"/>
        <v>69.7968516401372</v>
      </c>
      <c r="N2440" s="528">
        <f t="shared" si="1365"/>
        <v>65.6275987198549</v>
      </c>
      <c r="O2440" s="528">
        <f t="shared" si="1366"/>
        <v>0.011605415860735</v>
      </c>
      <c r="P2440" s="529">
        <f t="shared" si="1367"/>
        <v>13.2276666666667</v>
      </c>
      <c r="Q2440" s="24">
        <f t="shared" si="1368"/>
        <v>60</v>
      </c>
      <c r="R2440" s="530">
        <f t="shared" si="1369"/>
        <v>0.11605415860735</v>
      </c>
    </row>
    <row r="2441" spans="1:18">
      <c r="A2441" s="524"/>
      <c r="B2441" s="540" t="s">
        <v>99</v>
      </c>
      <c r="C2441" s="551">
        <v>0</v>
      </c>
      <c r="D2441" s="556">
        <v>0</v>
      </c>
      <c r="E2441" s="551">
        <v>0</v>
      </c>
      <c r="F2441" s="551">
        <v>0</v>
      </c>
      <c r="G2441" s="551">
        <v>0</v>
      </c>
      <c r="H2441" s="555">
        <v>0</v>
      </c>
      <c r="I2441" s="555">
        <v>0</v>
      </c>
      <c r="J2441" s="555">
        <v>0</v>
      </c>
      <c r="K2441" s="527">
        <f t="shared" si="1362"/>
        <v>0</v>
      </c>
      <c r="L2441" s="528">
        <f t="shared" si="1363"/>
        <v>0</v>
      </c>
      <c r="M2441" s="528">
        <f t="shared" si="1364"/>
        <v>0</v>
      </c>
      <c r="N2441" s="528">
        <f t="shared" si="1365"/>
        <v>0</v>
      </c>
      <c r="O2441" s="528">
        <f t="shared" si="1366"/>
        <v>0</v>
      </c>
      <c r="P2441" s="529">
        <f t="shared" si="1367"/>
        <v>0</v>
      </c>
      <c r="Q2441" s="24">
        <f t="shared" si="1368"/>
        <v>0</v>
      </c>
      <c r="R2441" s="530">
        <f t="shared" si="1369"/>
        <v>0</v>
      </c>
    </row>
    <row r="2442" spans="1:18">
      <c r="A2442" s="524"/>
      <c r="B2442" s="540" t="s">
        <v>100</v>
      </c>
      <c r="C2442" s="552">
        <v>0</v>
      </c>
      <c r="D2442" s="553">
        <v>0</v>
      </c>
      <c r="E2442" s="553">
        <v>0</v>
      </c>
      <c r="F2442" s="551">
        <v>0</v>
      </c>
      <c r="G2442" s="551">
        <v>0</v>
      </c>
      <c r="H2442" s="551">
        <v>0</v>
      </c>
      <c r="I2442" s="551">
        <v>0</v>
      </c>
      <c r="J2442" s="551">
        <v>0</v>
      </c>
      <c r="K2442" s="527">
        <f t="shared" si="1362"/>
        <v>0</v>
      </c>
      <c r="L2442" s="528">
        <f t="shared" si="1363"/>
        <v>0</v>
      </c>
      <c r="M2442" s="528">
        <f t="shared" si="1364"/>
        <v>0</v>
      </c>
      <c r="N2442" s="528">
        <f t="shared" si="1365"/>
        <v>0</v>
      </c>
      <c r="O2442" s="528">
        <f t="shared" si="1366"/>
        <v>0</v>
      </c>
      <c r="P2442" s="529">
        <f t="shared" si="1367"/>
        <v>0</v>
      </c>
      <c r="Q2442" s="24">
        <f t="shared" si="1368"/>
        <v>0</v>
      </c>
      <c r="R2442" s="530">
        <f t="shared" si="1369"/>
        <v>0</v>
      </c>
    </row>
    <row r="2443" spans="1:18">
      <c r="A2443" s="524"/>
      <c r="B2443" s="540" t="s">
        <v>101</v>
      </c>
      <c r="C2443" s="552">
        <v>0</v>
      </c>
      <c r="D2443" s="553">
        <v>0</v>
      </c>
      <c r="E2443" s="551">
        <v>0</v>
      </c>
      <c r="F2443" s="551">
        <v>0</v>
      </c>
      <c r="G2443" s="551">
        <v>0</v>
      </c>
      <c r="H2443" s="551">
        <v>0</v>
      </c>
      <c r="I2443" s="551">
        <v>0</v>
      </c>
      <c r="J2443" s="551">
        <v>0</v>
      </c>
      <c r="K2443" s="527">
        <f t="shared" si="1362"/>
        <v>0</v>
      </c>
      <c r="L2443" s="528">
        <f t="shared" si="1363"/>
        <v>0</v>
      </c>
      <c r="M2443" s="528">
        <f t="shared" si="1364"/>
        <v>0</v>
      </c>
      <c r="N2443" s="528">
        <f t="shared" si="1365"/>
        <v>0</v>
      </c>
      <c r="O2443" s="528">
        <f t="shared" si="1366"/>
        <v>0</v>
      </c>
      <c r="P2443" s="529">
        <f t="shared" si="1367"/>
        <v>0</v>
      </c>
      <c r="Q2443" s="24">
        <f t="shared" si="1368"/>
        <v>0</v>
      </c>
      <c r="R2443" s="530">
        <f t="shared" si="1369"/>
        <v>0</v>
      </c>
    </row>
    <row r="2444" spans="1:18">
      <c r="A2444" s="524"/>
      <c r="B2444" s="531" t="s">
        <v>96</v>
      </c>
      <c r="C2444" s="533">
        <f t="shared" ref="C2444:J2444" si="1372">SUM(C2440:C2443)</f>
        <v>793.66</v>
      </c>
      <c r="D2444" s="533">
        <f t="shared" si="1372"/>
        <v>11371</v>
      </c>
      <c r="E2444" s="533">
        <f t="shared" si="1372"/>
        <v>517</v>
      </c>
      <c r="F2444" s="533">
        <f t="shared" si="1372"/>
        <v>6</v>
      </c>
      <c r="G2444" s="533">
        <f t="shared" si="1372"/>
        <v>52086</v>
      </c>
      <c r="H2444" s="533">
        <f t="shared" si="1372"/>
        <v>55</v>
      </c>
      <c r="I2444" s="533">
        <f t="shared" si="1372"/>
        <v>5</v>
      </c>
      <c r="J2444" s="533">
        <f t="shared" si="1372"/>
        <v>2</v>
      </c>
      <c r="K2444" s="534">
        <f t="shared" si="1362"/>
        <v>0.045466537683581</v>
      </c>
      <c r="L2444" s="535">
        <f t="shared" si="1363"/>
        <v>1.53512572533849</v>
      </c>
      <c r="M2444" s="535">
        <f t="shared" si="1364"/>
        <v>69.7968516401372</v>
      </c>
      <c r="N2444" s="535">
        <f t="shared" si="1365"/>
        <v>65.6275987198549</v>
      </c>
      <c r="O2444" s="535">
        <f t="shared" si="1366"/>
        <v>0.011605415860735</v>
      </c>
      <c r="P2444" s="536">
        <f t="shared" si="1367"/>
        <v>13.2276666666667</v>
      </c>
      <c r="Q2444" s="531">
        <f t="shared" si="1368"/>
        <v>60</v>
      </c>
      <c r="R2444" s="537">
        <f t="shared" si="1369"/>
        <v>0.11605415860735</v>
      </c>
    </row>
    <row r="2445" spans="1:18">
      <c r="A2445" s="524">
        <v>45939</v>
      </c>
      <c r="B2445" s="540" t="s">
        <v>98</v>
      </c>
      <c r="C2445" s="551">
        <v>800</v>
      </c>
      <c r="D2445" s="553">
        <v>9701</v>
      </c>
      <c r="E2445" s="551">
        <v>441</v>
      </c>
      <c r="F2445" s="551">
        <v>7</v>
      </c>
      <c r="G2445" s="551">
        <v>61682</v>
      </c>
      <c r="H2445" s="551">
        <v>42</v>
      </c>
      <c r="I2445" s="551">
        <v>3</v>
      </c>
      <c r="J2445" s="551">
        <v>3</v>
      </c>
      <c r="K2445" s="527">
        <f t="shared" si="1362"/>
        <v>0.0454592310071127</v>
      </c>
      <c r="L2445" s="528">
        <f t="shared" si="1363"/>
        <v>1.8140589569161</v>
      </c>
      <c r="M2445" s="528">
        <f t="shared" si="1364"/>
        <v>82.4657251829708</v>
      </c>
      <c r="N2445" s="528">
        <f t="shared" si="1365"/>
        <v>77.1025</v>
      </c>
      <c r="O2445" s="528">
        <f t="shared" si="1366"/>
        <v>0.0158730158730159</v>
      </c>
      <c r="P2445" s="529">
        <f t="shared" si="1367"/>
        <v>17.7777777777778</v>
      </c>
      <c r="Q2445" s="24">
        <f t="shared" si="1368"/>
        <v>45</v>
      </c>
      <c r="R2445" s="530">
        <f t="shared" si="1369"/>
        <v>0.102040816326531</v>
      </c>
    </row>
    <row r="2446" spans="1:18">
      <c r="A2446" s="524"/>
      <c r="B2446" s="540" t="s">
        <v>99</v>
      </c>
      <c r="C2446" s="551">
        <v>942.69</v>
      </c>
      <c r="D2446" s="556">
        <v>13122</v>
      </c>
      <c r="E2446" s="551">
        <v>436</v>
      </c>
      <c r="F2446" s="551">
        <v>5</v>
      </c>
      <c r="G2446" s="551">
        <v>35791</v>
      </c>
      <c r="H2446" s="555">
        <v>24</v>
      </c>
      <c r="I2446" s="555">
        <v>1</v>
      </c>
      <c r="J2446" s="555">
        <v>2</v>
      </c>
      <c r="K2446" s="527">
        <f t="shared" si="1362"/>
        <v>0.0332266422801402</v>
      </c>
      <c r="L2446" s="528">
        <f t="shared" si="1363"/>
        <v>2.16213302752294</v>
      </c>
      <c r="M2446" s="528">
        <f t="shared" si="1364"/>
        <v>71.8404206675812</v>
      </c>
      <c r="N2446" s="528">
        <f t="shared" si="1365"/>
        <v>37.9668820078711</v>
      </c>
      <c r="O2446" s="528">
        <f t="shared" si="1366"/>
        <v>0.0114678899082569</v>
      </c>
      <c r="P2446" s="529">
        <f t="shared" si="1367"/>
        <v>37.7076</v>
      </c>
      <c r="Q2446" s="24">
        <f t="shared" si="1368"/>
        <v>25</v>
      </c>
      <c r="R2446" s="530">
        <f t="shared" si="1369"/>
        <v>0.0573394495412844</v>
      </c>
    </row>
    <row r="2447" spans="1:18">
      <c r="A2447" s="524"/>
      <c r="B2447" s="540" t="s">
        <v>100</v>
      </c>
      <c r="C2447" s="552">
        <v>0</v>
      </c>
      <c r="D2447" s="553">
        <v>0</v>
      </c>
      <c r="E2447" s="553">
        <v>0</v>
      </c>
      <c r="F2447" s="551">
        <v>0</v>
      </c>
      <c r="G2447" s="551">
        <v>0</v>
      </c>
      <c r="H2447" s="551">
        <v>0</v>
      </c>
      <c r="I2447" s="551">
        <v>0</v>
      </c>
      <c r="J2447" s="551">
        <v>0</v>
      </c>
      <c r="K2447" s="527">
        <f t="shared" si="1362"/>
        <v>0</v>
      </c>
      <c r="L2447" s="528">
        <f t="shared" si="1363"/>
        <v>0</v>
      </c>
      <c r="M2447" s="528">
        <f t="shared" si="1364"/>
        <v>0</v>
      </c>
      <c r="N2447" s="528">
        <f t="shared" si="1365"/>
        <v>0</v>
      </c>
      <c r="O2447" s="528">
        <f t="shared" si="1366"/>
        <v>0</v>
      </c>
      <c r="P2447" s="529">
        <f t="shared" si="1367"/>
        <v>0</v>
      </c>
      <c r="Q2447" s="24">
        <f t="shared" si="1368"/>
        <v>0</v>
      </c>
      <c r="R2447" s="530">
        <f t="shared" si="1369"/>
        <v>0</v>
      </c>
    </row>
    <row r="2448" spans="1:18">
      <c r="A2448" s="524"/>
      <c r="B2448" s="540" t="s">
        <v>101</v>
      </c>
      <c r="C2448" s="552">
        <v>0</v>
      </c>
      <c r="D2448" s="553">
        <v>0</v>
      </c>
      <c r="E2448" s="551">
        <v>0</v>
      </c>
      <c r="F2448" s="551">
        <v>0</v>
      </c>
      <c r="G2448" s="551">
        <v>0</v>
      </c>
      <c r="H2448" s="551">
        <v>0</v>
      </c>
      <c r="I2448" s="551">
        <v>0</v>
      </c>
      <c r="J2448" s="551">
        <v>0</v>
      </c>
      <c r="K2448" s="527">
        <f t="shared" si="1362"/>
        <v>0</v>
      </c>
      <c r="L2448" s="528">
        <f t="shared" si="1363"/>
        <v>0</v>
      </c>
      <c r="M2448" s="528">
        <f t="shared" si="1364"/>
        <v>0</v>
      </c>
      <c r="N2448" s="528">
        <f t="shared" si="1365"/>
        <v>0</v>
      </c>
      <c r="O2448" s="528">
        <f t="shared" si="1366"/>
        <v>0</v>
      </c>
      <c r="P2448" s="529">
        <f t="shared" si="1367"/>
        <v>0</v>
      </c>
      <c r="Q2448" s="24">
        <f t="shared" si="1368"/>
        <v>0</v>
      </c>
      <c r="R2448" s="530">
        <f t="shared" si="1369"/>
        <v>0</v>
      </c>
    </row>
    <row r="2449" spans="1:18">
      <c r="A2449" s="524"/>
      <c r="B2449" s="531" t="s">
        <v>96</v>
      </c>
      <c r="C2449" s="533">
        <f t="shared" ref="C2449:J2449" si="1373">SUM(C2445:C2448)</f>
        <v>1742.69</v>
      </c>
      <c r="D2449" s="533">
        <f t="shared" si="1373"/>
        <v>22823</v>
      </c>
      <c r="E2449" s="533">
        <f t="shared" si="1373"/>
        <v>877</v>
      </c>
      <c r="F2449" s="533">
        <f t="shared" si="1373"/>
        <v>12</v>
      </c>
      <c r="G2449" s="533">
        <f t="shared" si="1373"/>
        <v>97473</v>
      </c>
      <c r="H2449" s="533">
        <f t="shared" si="1373"/>
        <v>66</v>
      </c>
      <c r="I2449" s="533">
        <f t="shared" si="1373"/>
        <v>4</v>
      </c>
      <c r="J2449" s="533">
        <f t="shared" si="1373"/>
        <v>5</v>
      </c>
      <c r="K2449" s="534">
        <f t="shared" si="1362"/>
        <v>0.0384261490601586</v>
      </c>
      <c r="L2449" s="535">
        <f t="shared" si="1363"/>
        <v>1.98710376282782</v>
      </c>
      <c r="M2449" s="535">
        <f t="shared" si="1364"/>
        <v>76.356745388424</v>
      </c>
      <c r="N2449" s="535">
        <f t="shared" si="1365"/>
        <v>55.93249516552</v>
      </c>
      <c r="O2449" s="535">
        <f t="shared" si="1366"/>
        <v>0.0136830102622577</v>
      </c>
      <c r="P2449" s="536">
        <f t="shared" si="1367"/>
        <v>24.8955714285714</v>
      </c>
      <c r="Q2449" s="531">
        <f t="shared" si="1368"/>
        <v>70</v>
      </c>
      <c r="R2449" s="537">
        <f t="shared" si="1369"/>
        <v>0.0798175598631699</v>
      </c>
    </row>
    <row r="2450" spans="1:18">
      <c r="A2450" s="524">
        <v>45940</v>
      </c>
      <c r="B2450" s="540" t="s">
        <v>98</v>
      </c>
      <c r="C2450" s="551">
        <v>800</v>
      </c>
      <c r="D2450" s="553">
        <v>7805</v>
      </c>
      <c r="E2450" s="551">
        <v>366</v>
      </c>
      <c r="F2450" s="551">
        <v>12</v>
      </c>
      <c r="G2450" s="551">
        <v>108870</v>
      </c>
      <c r="H2450" s="551">
        <v>31</v>
      </c>
      <c r="I2450" s="551">
        <v>8</v>
      </c>
      <c r="J2450" s="551">
        <v>4</v>
      </c>
      <c r="K2450" s="527">
        <f t="shared" si="1362"/>
        <v>0.0468930172966047</v>
      </c>
      <c r="L2450" s="528">
        <f t="shared" si="1363"/>
        <v>2.18579234972678</v>
      </c>
      <c r="M2450" s="528">
        <f t="shared" si="1364"/>
        <v>102.498398462524</v>
      </c>
      <c r="N2450" s="528">
        <f t="shared" si="1365"/>
        <v>136.0875</v>
      </c>
      <c r="O2450" s="528">
        <f t="shared" si="1366"/>
        <v>0.0327868852459016</v>
      </c>
      <c r="P2450" s="529">
        <f t="shared" si="1367"/>
        <v>20.5128205128205</v>
      </c>
      <c r="Q2450" s="24">
        <f t="shared" si="1368"/>
        <v>39</v>
      </c>
      <c r="R2450" s="530">
        <f t="shared" si="1369"/>
        <v>0.10655737704918</v>
      </c>
    </row>
    <row r="2451" spans="1:18">
      <c r="A2451" s="524"/>
      <c r="B2451" s="540" t="s">
        <v>99</v>
      </c>
      <c r="C2451" s="551">
        <v>695.9</v>
      </c>
      <c r="D2451" s="556">
        <v>3921</v>
      </c>
      <c r="E2451" s="551">
        <v>394</v>
      </c>
      <c r="F2451" s="551">
        <v>3</v>
      </c>
      <c r="G2451" s="551">
        <v>8075</v>
      </c>
      <c r="H2451" s="555">
        <v>17</v>
      </c>
      <c r="I2451" s="555">
        <v>2</v>
      </c>
      <c r="J2451" s="555">
        <v>3</v>
      </c>
      <c r="K2451" s="527">
        <f t="shared" si="1362"/>
        <v>0.100484570262688</v>
      </c>
      <c r="L2451" s="528">
        <f t="shared" si="1363"/>
        <v>1.76624365482234</v>
      </c>
      <c r="M2451" s="528">
        <f t="shared" si="1364"/>
        <v>177.480234634022</v>
      </c>
      <c r="N2451" s="528">
        <f t="shared" si="1365"/>
        <v>11.6036786894669</v>
      </c>
      <c r="O2451" s="528">
        <f t="shared" si="1366"/>
        <v>0.00761421319796954</v>
      </c>
      <c r="P2451" s="529">
        <f t="shared" si="1367"/>
        <v>36.6263157894737</v>
      </c>
      <c r="Q2451" s="24">
        <f t="shared" si="1368"/>
        <v>19</v>
      </c>
      <c r="R2451" s="530">
        <f t="shared" si="1369"/>
        <v>0.0482233502538071</v>
      </c>
    </row>
    <row r="2452" spans="1:18">
      <c r="A2452" s="524"/>
      <c r="B2452" s="540" t="s">
        <v>100</v>
      </c>
      <c r="C2452" s="552">
        <v>0</v>
      </c>
      <c r="D2452" s="553">
        <v>0</v>
      </c>
      <c r="E2452" s="553">
        <v>0</v>
      </c>
      <c r="F2452" s="551">
        <v>0</v>
      </c>
      <c r="G2452" s="551">
        <v>0</v>
      </c>
      <c r="H2452" s="551">
        <v>0</v>
      </c>
      <c r="I2452" s="551">
        <v>0</v>
      </c>
      <c r="J2452" s="551">
        <v>0</v>
      </c>
      <c r="K2452" s="527">
        <f t="shared" si="1362"/>
        <v>0</v>
      </c>
      <c r="L2452" s="528">
        <f t="shared" si="1363"/>
        <v>0</v>
      </c>
      <c r="M2452" s="528">
        <f t="shared" si="1364"/>
        <v>0</v>
      </c>
      <c r="N2452" s="528">
        <f t="shared" si="1365"/>
        <v>0</v>
      </c>
      <c r="O2452" s="528">
        <f t="shared" si="1366"/>
        <v>0</v>
      </c>
      <c r="P2452" s="529">
        <f t="shared" si="1367"/>
        <v>0</v>
      </c>
      <c r="Q2452" s="24">
        <f t="shared" si="1368"/>
        <v>0</v>
      </c>
      <c r="R2452" s="530">
        <f t="shared" si="1369"/>
        <v>0</v>
      </c>
    </row>
    <row r="2453" spans="1:18">
      <c r="A2453" s="524"/>
      <c r="B2453" s="540" t="s">
        <v>101</v>
      </c>
      <c r="C2453" s="552">
        <v>0</v>
      </c>
      <c r="D2453" s="553">
        <v>0</v>
      </c>
      <c r="E2453" s="551">
        <v>0</v>
      </c>
      <c r="F2453" s="551">
        <v>0</v>
      </c>
      <c r="G2453" s="551">
        <v>0</v>
      </c>
      <c r="H2453" s="551">
        <v>0</v>
      </c>
      <c r="I2453" s="551">
        <v>0</v>
      </c>
      <c r="J2453" s="551">
        <v>0</v>
      </c>
      <c r="K2453" s="527">
        <f t="shared" si="1362"/>
        <v>0</v>
      </c>
      <c r="L2453" s="528">
        <f t="shared" si="1363"/>
        <v>0</v>
      </c>
      <c r="M2453" s="528">
        <f t="shared" si="1364"/>
        <v>0</v>
      </c>
      <c r="N2453" s="528">
        <f t="shared" si="1365"/>
        <v>0</v>
      </c>
      <c r="O2453" s="528">
        <f t="shared" si="1366"/>
        <v>0</v>
      </c>
      <c r="P2453" s="529">
        <f t="shared" si="1367"/>
        <v>0</v>
      </c>
      <c r="Q2453" s="24">
        <f t="shared" si="1368"/>
        <v>0</v>
      </c>
      <c r="R2453" s="530">
        <f t="shared" si="1369"/>
        <v>0</v>
      </c>
    </row>
    <row r="2454" spans="1:18">
      <c r="A2454" s="524"/>
      <c r="B2454" s="531" t="s">
        <v>96</v>
      </c>
      <c r="C2454" s="533">
        <f t="shared" ref="C2454:J2454" si="1374">SUM(C2450:C2453)</f>
        <v>1495.9</v>
      </c>
      <c r="D2454" s="533">
        <f t="shared" si="1374"/>
        <v>11726</v>
      </c>
      <c r="E2454" s="533">
        <f t="shared" si="1374"/>
        <v>760</v>
      </c>
      <c r="F2454" s="533">
        <f t="shared" si="1374"/>
        <v>15</v>
      </c>
      <c r="G2454" s="533">
        <f t="shared" si="1374"/>
        <v>116945</v>
      </c>
      <c r="H2454" s="533">
        <f t="shared" si="1374"/>
        <v>48</v>
      </c>
      <c r="I2454" s="533">
        <f t="shared" si="1374"/>
        <v>10</v>
      </c>
      <c r="J2454" s="533">
        <f t="shared" si="1374"/>
        <v>7</v>
      </c>
      <c r="K2454" s="534">
        <f t="shared" si="1362"/>
        <v>0.0648132355449429</v>
      </c>
      <c r="L2454" s="535">
        <f t="shared" si="1363"/>
        <v>1.96828947368421</v>
      </c>
      <c r="M2454" s="535">
        <f t="shared" si="1364"/>
        <v>127.571209278526</v>
      </c>
      <c r="N2454" s="535">
        <f t="shared" si="1365"/>
        <v>78.1770171802928</v>
      </c>
      <c r="O2454" s="535">
        <f t="shared" si="1366"/>
        <v>0.0197368421052632</v>
      </c>
      <c r="P2454" s="536">
        <f t="shared" si="1367"/>
        <v>25.7913793103448</v>
      </c>
      <c r="Q2454" s="531">
        <f t="shared" si="1368"/>
        <v>58</v>
      </c>
      <c r="R2454" s="537">
        <f t="shared" si="1369"/>
        <v>0.0763157894736842</v>
      </c>
    </row>
    <row r="2455" spans="1:18">
      <c r="A2455" s="524">
        <v>45941</v>
      </c>
      <c r="B2455" s="540" t="s">
        <v>98</v>
      </c>
      <c r="C2455" s="551">
        <v>800</v>
      </c>
      <c r="D2455" s="553">
        <v>7840</v>
      </c>
      <c r="E2455" s="551">
        <v>359</v>
      </c>
      <c r="F2455" s="551">
        <v>10</v>
      </c>
      <c r="G2455" s="551">
        <v>61586</v>
      </c>
      <c r="H2455" s="551">
        <v>24</v>
      </c>
      <c r="I2455" s="551">
        <v>4</v>
      </c>
      <c r="J2455" s="551">
        <v>0</v>
      </c>
      <c r="K2455" s="527">
        <f t="shared" si="1362"/>
        <v>0.0457908163265306</v>
      </c>
      <c r="L2455" s="528">
        <f t="shared" si="1363"/>
        <v>2.22841225626741</v>
      </c>
      <c r="M2455" s="528">
        <f t="shared" si="1364"/>
        <v>102.040816326531</v>
      </c>
      <c r="N2455" s="528">
        <f t="shared" si="1365"/>
        <v>76.9825</v>
      </c>
      <c r="O2455" s="528">
        <f t="shared" si="1366"/>
        <v>0.0278551532033426</v>
      </c>
      <c r="P2455" s="529">
        <f t="shared" si="1367"/>
        <v>28.5714285714286</v>
      </c>
      <c r="Q2455" s="24">
        <f t="shared" si="1368"/>
        <v>28</v>
      </c>
      <c r="R2455" s="530">
        <f t="shared" si="1369"/>
        <v>0.0779944289693593</v>
      </c>
    </row>
    <row r="2456" spans="1:18">
      <c r="A2456" s="524"/>
      <c r="B2456" s="540" t="s">
        <v>99</v>
      </c>
      <c r="C2456" s="551">
        <v>903.54</v>
      </c>
      <c r="D2456" s="556">
        <v>9297</v>
      </c>
      <c r="E2456" s="551">
        <v>404</v>
      </c>
      <c r="F2456" s="551">
        <v>6</v>
      </c>
      <c r="G2456" s="551">
        <v>41955</v>
      </c>
      <c r="H2456" s="555">
        <v>9</v>
      </c>
      <c r="I2456" s="555">
        <v>1</v>
      </c>
      <c r="J2456" s="555">
        <v>0</v>
      </c>
      <c r="K2456" s="527">
        <f t="shared" si="1362"/>
        <v>0.0434548779176078</v>
      </c>
      <c r="L2456" s="528">
        <f t="shared" si="1363"/>
        <v>2.23648514851485</v>
      </c>
      <c r="M2456" s="528">
        <f t="shared" si="1364"/>
        <v>97.1861890932559</v>
      </c>
      <c r="N2456" s="528">
        <f t="shared" si="1365"/>
        <v>46.4340261637559</v>
      </c>
      <c r="O2456" s="528">
        <f t="shared" si="1366"/>
        <v>0.0148514851485149</v>
      </c>
      <c r="P2456" s="529">
        <f t="shared" si="1367"/>
        <v>90.354</v>
      </c>
      <c r="Q2456" s="24">
        <f t="shared" si="1368"/>
        <v>10</v>
      </c>
      <c r="R2456" s="530">
        <f t="shared" si="1369"/>
        <v>0.0247524752475248</v>
      </c>
    </row>
    <row r="2457" spans="1:18">
      <c r="A2457" s="524"/>
      <c r="B2457" s="540" t="s">
        <v>100</v>
      </c>
      <c r="C2457" s="552">
        <v>0</v>
      </c>
      <c r="D2457" s="553">
        <v>0</v>
      </c>
      <c r="E2457" s="553">
        <v>0</v>
      </c>
      <c r="F2457" s="551">
        <v>0</v>
      </c>
      <c r="G2457" s="551">
        <v>0</v>
      </c>
      <c r="H2457" s="551">
        <v>0</v>
      </c>
      <c r="I2457" s="551">
        <v>0</v>
      </c>
      <c r="J2457" s="551">
        <v>0</v>
      </c>
      <c r="K2457" s="527">
        <f t="shared" si="1362"/>
        <v>0</v>
      </c>
      <c r="L2457" s="528">
        <f t="shared" si="1363"/>
        <v>0</v>
      </c>
      <c r="M2457" s="528">
        <f t="shared" si="1364"/>
        <v>0</v>
      </c>
      <c r="N2457" s="528">
        <f t="shared" si="1365"/>
        <v>0</v>
      </c>
      <c r="O2457" s="528">
        <f t="shared" si="1366"/>
        <v>0</v>
      </c>
      <c r="P2457" s="529">
        <f t="shared" si="1367"/>
        <v>0</v>
      </c>
      <c r="Q2457" s="24">
        <f t="shared" si="1368"/>
        <v>0</v>
      </c>
      <c r="R2457" s="530">
        <f t="shared" si="1369"/>
        <v>0</v>
      </c>
    </row>
    <row r="2458" spans="1:18">
      <c r="A2458" s="524"/>
      <c r="B2458" s="540" t="s">
        <v>101</v>
      </c>
      <c r="C2458" s="552">
        <v>0</v>
      </c>
      <c r="D2458" s="553">
        <v>0</v>
      </c>
      <c r="E2458" s="551">
        <v>0</v>
      </c>
      <c r="F2458" s="551">
        <v>0</v>
      </c>
      <c r="G2458" s="551">
        <v>0</v>
      </c>
      <c r="H2458" s="551">
        <v>0</v>
      </c>
      <c r="I2458" s="551">
        <v>0</v>
      </c>
      <c r="J2458" s="551">
        <v>0</v>
      </c>
      <c r="K2458" s="527">
        <f t="shared" si="1362"/>
        <v>0</v>
      </c>
      <c r="L2458" s="528">
        <f t="shared" si="1363"/>
        <v>0</v>
      </c>
      <c r="M2458" s="528">
        <f t="shared" si="1364"/>
        <v>0</v>
      </c>
      <c r="N2458" s="528">
        <f t="shared" si="1365"/>
        <v>0</v>
      </c>
      <c r="O2458" s="528">
        <f t="shared" si="1366"/>
        <v>0</v>
      </c>
      <c r="P2458" s="529">
        <f t="shared" si="1367"/>
        <v>0</v>
      </c>
      <c r="Q2458" s="24">
        <f t="shared" si="1368"/>
        <v>0</v>
      </c>
      <c r="R2458" s="530">
        <f t="shared" si="1369"/>
        <v>0</v>
      </c>
    </row>
    <row r="2459" spans="1:18">
      <c r="A2459" s="524"/>
      <c r="B2459" s="531" t="s">
        <v>96</v>
      </c>
      <c r="C2459" s="533">
        <f t="shared" ref="C2459:J2459" si="1375">SUM(C2455:C2458)</f>
        <v>1703.54</v>
      </c>
      <c r="D2459" s="533">
        <f t="shared" si="1375"/>
        <v>17137</v>
      </c>
      <c r="E2459" s="533">
        <f t="shared" si="1375"/>
        <v>763</v>
      </c>
      <c r="F2459" s="533">
        <f t="shared" si="1375"/>
        <v>16</v>
      </c>
      <c r="G2459" s="533">
        <f t="shared" si="1375"/>
        <v>103541</v>
      </c>
      <c r="H2459" s="533">
        <f t="shared" si="1375"/>
        <v>33</v>
      </c>
      <c r="I2459" s="533">
        <f t="shared" si="1375"/>
        <v>5</v>
      </c>
      <c r="J2459" s="533">
        <f t="shared" si="1375"/>
        <v>0</v>
      </c>
      <c r="K2459" s="534">
        <f t="shared" si="1362"/>
        <v>0.0445235455447278</v>
      </c>
      <c r="L2459" s="535">
        <f t="shared" si="1363"/>
        <v>2.23268676277851</v>
      </c>
      <c r="M2459" s="535">
        <f t="shared" si="1364"/>
        <v>99.4071307696796</v>
      </c>
      <c r="N2459" s="535">
        <f t="shared" si="1365"/>
        <v>60.7799053735163</v>
      </c>
      <c r="O2459" s="535">
        <f t="shared" si="1366"/>
        <v>0.0209698558322412</v>
      </c>
      <c r="P2459" s="536">
        <f t="shared" si="1367"/>
        <v>44.83</v>
      </c>
      <c r="Q2459" s="531">
        <f t="shared" si="1368"/>
        <v>38</v>
      </c>
      <c r="R2459" s="537">
        <f t="shared" si="1369"/>
        <v>0.0498034076015727</v>
      </c>
    </row>
    <row r="2460" spans="1:18">
      <c r="A2460" s="524">
        <v>45942</v>
      </c>
      <c r="B2460" s="540" t="s">
        <v>98</v>
      </c>
      <c r="C2460" s="551">
        <v>797.71</v>
      </c>
      <c r="D2460" s="553">
        <v>7394</v>
      </c>
      <c r="E2460" s="551">
        <v>338</v>
      </c>
      <c r="F2460" s="551">
        <v>19</v>
      </c>
      <c r="G2460" s="551">
        <v>181487</v>
      </c>
      <c r="H2460" s="551">
        <v>24</v>
      </c>
      <c r="I2460" s="551">
        <v>4</v>
      </c>
      <c r="J2460" s="551">
        <v>0</v>
      </c>
      <c r="K2460" s="527">
        <f t="shared" si="1362"/>
        <v>0.0457127400595077</v>
      </c>
      <c r="L2460" s="528">
        <f t="shared" si="1363"/>
        <v>2.36008875739645</v>
      </c>
      <c r="M2460" s="528">
        <f t="shared" si="1364"/>
        <v>107.88612388423</v>
      </c>
      <c r="N2460" s="528">
        <f t="shared" si="1365"/>
        <v>227.509997367464</v>
      </c>
      <c r="O2460" s="528">
        <f t="shared" si="1366"/>
        <v>0.0562130177514793</v>
      </c>
      <c r="P2460" s="529">
        <f t="shared" si="1367"/>
        <v>28.4896428571429</v>
      </c>
      <c r="Q2460" s="24">
        <f t="shared" si="1368"/>
        <v>28</v>
      </c>
      <c r="R2460" s="530">
        <f t="shared" si="1369"/>
        <v>0.0828402366863905</v>
      </c>
    </row>
    <row r="2461" spans="1:18">
      <c r="A2461" s="524"/>
      <c r="B2461" s="540" t="s">
        <v>99</v>
      </c>
      <c r="C2461" s="551">
        <v>966.9</v>
      </c>
      <c r="D2461" s="556">
        <v>7073</v>
      </c>
      <c r="E2461" s="551">
        <v>512</v>
      </c>
      <c r="F2461" s="551">
        <v>11</v>
      </c>
      <c r="G2461" s="551">
        <v>147702</v>
      </c>
      <c r="H2461" s="555">
        <v>23</v>
      </c>
      <c r="I2461" s="555">
        <v>1</v>
      </c>
      <c r="J2461" s="555">
        <v>5</v>
      </c>
      <c r="K2461" s="527">
        <f t="shared" si="1362"/>
        <v>0.0723879541919977</v>
      </c>
      <c r="L2461" s="528">
        <f t="shared" si="1363"/>
        <v>1.8884765625</v>
      </c>
      <c r="M2461" s="528">
        <f t="shared" si="1364"/>
        <v>136.702954898911</v>
      </c>
      <c r="N2461" s="528">
        <f t="shared" si="1365"/>
        <v>152.758299720757</v>
      </c>
      <c r="O2461" s="528">
        <f t="shared" si="1366"/>
        <v>0.021484375</v>
      </c>
      <c r="P2461" s="529">
        <f t="shared" si="1367"/>
        <v>40.2875</v>
      </c>
      <c r="Q2461" s="24">
        <f t="shared" si="1368"/>
        <v>24</v>
      </c>
      <c r="R2461" s="530">
        <f t="shared" si="1369"/>
        <v>0.046875</v>
      </c>
    </row>
    <row r="2462" spans="1:18">
      <c r="A2462" s="524"/>
      <c r="B2462" s="540" t="s">
        <v>100</v>
      </c>
      <c r="C2462" s="552">
        <v>0</v>
      </c>
      <c r="D2462" s="553">
        <v>0</v>
      </c>
      <c r="E2462" s="553">
        <v>0</v>
      </c>
      <c r="F2462" s="551">
        <v>0</v>
      </c>
      <c r="G2462" s="551">
        <v>0</v>
      </c>
      <c r="H2462" s="551">
        <v>0</v>
      </c>
      <c r="I2462" s="551">
        <v>0</v>
      </c>
      <c r="J2462" s="551">
        <v>0</v>
      </c>
      <c r="K2462" s="527">
        <f t="shared" si="1362"/>
        <v>0</v>
      </c>
      <c r="L2462" s="528">
        <f t="shared" si="1363"/>
        <v>0</v>
      </c>
      <c r="M2462" s="528">
        <f t="shared" si="1364"/>
        <v>0</v>
      </c>
      <c r="N2462" s="528">
        <f t="shared" si="1365"/>
        <v>0</v>
      </c>
      <c r="O2462" s="528">
        <f t="shared" si="1366"/>
        <v>0</v>
      </c>
      <c r="P2462" s="529">
        <f t="shared" si="1367"/>
        <v>0</v>
      </c>
      <c r="Q2462" s="24">
        <f t="shared" si="1368"/>
        <v>0</v>
      </c>
      <c r="R2462" s="530">
        <f t="shared" si="1369"/>
        <v>0</v>
      </c>
    </row>
    <row r="2463" spans="1:18">
      <c r="A2463" s="524"/>
      <c r="B2463" s="540" t="s">
        <v>101</v>
      </c>
      <c r="C2463" s="552">
        <v>0</v>
      </c>
      <c r="D2463" s="553">
        <v>0</v>
      </c>
      <c r="E2463" s="551">
        <v>0</v>
      </c>
      <c r="F2463" s="551">
        <v>0</v>
      </c>
      <c r="G2463" s="551">
        <v>0</v>
      </c>
      <c r="H2463" s="551">
        <v>0</v>
      </c>
      <c r="I2463" s="551">
        <v>0</v>
      </c>
      <c r="J2463" s="551">
        <v>0</v>
      </c>
      <c r="K2463" s="527">
        <f t="shared" si="1362"/>
        <v>0</v>
      </c>
      <c r="L2463" s="528">
        <f t="shared" si="1363"/>
        <v>0</v>
      </c>
      <c r="M2463" s="528">
        <f t="shared" si="1364"/>
        <v>0</v>
      </c>
      <c r="N2463" s="528">
        <f t="shared" si="1365"/>
        <v>0</v>
      </c>
      <c r="O2463" s="528">
        <f t="shared" si="1366"/>
        <v>0</v>
      </c>
      <c r="P2463" s="529">
        <f t="shared" si="1367"/>
        <v>0</v>
      </c>
      <c r="Q2463" s="24">
        <f t="shared" si="1368"/>
        <v>0</v>
      </c>
      <c r="R2463" s="530">
        <f t="shared" si="1369"/>
        <v>0</v>
      </c>
    </row>
    <row r="2464" spans="1:18">
      <c r="A2464" s="524"/>
      <c r="B2464" s="531" t="s">
        <v>96</v>
      </c>
      <c r="C2464" s="533">
        <f t="shared" ref="C2464:J2464" si="1376">SUM(C2460:C2463)</f>
        <v>1764.61</v>
      </c>
      <c r="D2464" s="533">
        <f t="shared" si="1376"/>
        <v>14467</v>
      </c>
      <c r="E2464" s="533">
        <f t="shared" si="1376"/>
        <v>850</v>
      </c>
      <c r="F2464" s="533">
        <f t="shared" si="1376"/>
        <v>30</v>
      </c>
      <c r="G2464" s="533">
        <f t="shared" si="1376"/>
        <v>329189</v>
      </c>
      <c r="H2464" s="533">
        <f t="shared" si="1376"/>
        <v>47</v>
      </c>
      <c r="I2464" s="533">
        <f t="shared" si="1376"/>
        <v>5</v>
      </c>
      <c r="J2464" s="533">
        <f t="shared" si="1376"/>
        <v>5</v>
      </c>
      <c r="K2464" s="534">
        <f t="shared" si="1362"/>
        <v>0.0587544065804935</v>
      </c>
      <c r="L2464" s="535">
        <f t="shared" si="1363"/>
        <v>2.07601176470588</v>
      </c>
      <c r="M2464" s="535">
        <f t="shared" si="1364"/>
        <v>121.974839289417</v>
      </c>
      <c r="N2464" s="535">
        <f t="shared" si="1365"/>
        <v>186.550569247596</v>
      </c>
      <c r="O2464" s="535">
        <f t="shared" si="1366"/>
        <v>0.0352941176470588</v>
      </c>
      <c r="P2464" s="536">
        <f t="shared" si="1367"/>
        <v>33.9348076923077</v>
      </c>
      <c r="Q2464" s="531">
        <f t="shared" si="1368"/>
        <v>52</v>
      </c>
      <c r="R2464" s="537">
        <f t="shared" si="1369"/>
        <v>0.0611764705882353</v>
      </c>
    </row>
    <row r="2465" spans="1:18">
      <c r="A2465" s="524">
        <v>45943</v>
      </c>
      <c r="B2465" s="540" t="s">
        <v>98</v>
      </c>
      <c r="C2465" s="551">
        <v>800</v>
      </c>
      <c r="D2465" s="553">
        <v>6070</v>
      </c>
      <c r="E2465" s="551">
        <v>308</v>
      </c>
      <c r="F2465" s="551">
        <v>20</v>
      </c>
      <c r="G2465" s="551">
        <v>138965</v>
      </c>
      <c r="H2465" s="551">
        <v>38</v>
      </c>
      <c r="I2465" s="551">
        <v>3</v>
      </c>
      <c r="J2465" s="551">
        <v>2</v>
      </c>
      <c r="K2465" s="527">
        <f t="shared" si="1362"/>
        <v>0.0507413509060956</v>
      </c>
      <c r="L2465" s="528">
        <f t="shared" si="1363"/>
        <v>2.5974025974026</v>
      </c>
      <c r="M2465" s="528">
        <f t="shared" si="1364"/>
        <v>131.795716639209</v>
      </c>
      <c r="N2465" s="528">
        <f t="shared" si="1365"/>
        <v>173.70625</v>
      </c>
      <c r="O2465" s="528">
        <f t="shared" si="1366"/>
        <v>0.0649350649350649</v>
      </c>
      <c r="P2465" s="529">
        <f t="shared" si="1367"/>
        <v>19.5121951219512</v>
      </c>
      <c r="Q2465" s="24">
        <f t="shared" si="1368"/>
        <v>41</v>
      </c>
      <c r="R2465" s="530">
        <f t="shared" si="1369"/>
        <v>0.133116883116883</v>
      </c>
    </row>
    <row r="2466" spans="1:18">
      <c r="A2466" s="524"/>
      <c r="B2466" s="540" t="s">
        <v>99</v>
      </c>
      <c r="C2466" s="551">
        <v>957.48</v>
      </c>
      <c r="D2466" s="556">
        <v>7628</v>
      </c>
      <c r="E2466" s="551">
        <v>493</v>
      </c>
      <c r="F2466" s="551">
        <v>16</v>
      </c>
      <c r="G2466" s="551">
        <v>142106</v>
      </c>
      <c r="H2466" s="555">
        <v>43</v>
      </c>
      <c r="I2466" s="555">
        <v>0</v>
      </c>
      <c r="J2466" s="555">
        <v>7</v>
      </c>
      <c r="K2466" s="527">
        <f t="shared" si="1362"/>
        <v>0.0646303093864709</v>
      </c>
      <c r="L2466" s="528">
        <f t="shared" si="1363"/>
        <v>1.94215010141988</v>
      </c>
      <c r="M2466" s="528">
        <f t="shared" si="1364"/>
        <v>125.521761929733</v>
      </c>
      <c r="N2466" s="528">
        <f t="shared" si="1365"/>
        <v>148.416677110749</v>
      </c>
      <c r="O2466" s="528">
        <f t="shared" si="1366"/>
        <v>0.0324543610547667</v>
      </c>
      <c r="P2466" s="529">
        <f t="shared" si="1367"/>
        <v>22.266976744186</v>
      </c>
      <c r="Q2466" s="24">
        <f t="shared" si="1368"/>
        <v>43</v>
      </c>
      <c r="R2466" s="530">
        <f t="shared" si="1369"/>
        <v>0.0872210953346856</v>
      </c>
    </row>
    <row r="2467" spans="1:18">
      <c r="A2467" s="524"/>
      <c r="B2467" s="540" t="s">
        <v>100</v>
      </c>
      <c r="C2467" s="552">
        <v>0</v>
      </c>
      <c r="D2467" s="553">
        <v>0</v>
      </c>
      <c r="E2467" s="553">
        <v>0</v>
      </c>
      <c r="F2467" s="551">
        <v>0</v>
      </c>
      <c r="G2467" s="551">
        <v>0</v>
      </c>
      <c r="H2467" s="551">
        <v>0</v>
      </c>
      <c r="I2467" s="551">
        <v>0</v>
      </c>
      <c r="J2467" s="551">
        <v>0</v>
      </c>
      <c r="K2467" s="527">
        <f t="shared" si="1362"/>
        <v>0</v>
      </c>
      <c r="L2467" s="528">
        <f t="shared" si="1363"/>
        <v>0</v>
      </c>
      <c r="M2467" s="528">
        <f t="shared" si="1364"/>
        <v>0</v>
      </c>
      <c r="N2467" s="528">
        <f t="shared" si="1365"/>
        <v>0</v>
      </c>
      <c r="O2467" s="528">
        <f t="shared" si="1366"/>
        <v>0</v>
      </c>
      <c r="P2467" s="529">
        <f t="shared" si="1367"/>
        <v>0</v>
      </c>
      <c r="Q2467" s="24">
        <f t="shared" si="1368"/>
        <v>0</v>
      </c>
      <c r="R2467" s="530">
        <f t="shared" si="1369"/>
        <v>0</v>
      </c>
    </row>
    <row r="2468" spans="1:18">
      <c r="A2468" s="524"/>
      <c r="B2468" s="540" t="s">
        <v>101</v>
      </c>
      <c r="C2468" s="552">
        <v>0</v>
      </c>
      <c r="D2468" s="553">
        <v>0</v>
      </c>
      <c r="E2468" s="551">
        <v>0</v>
      </c>
      <c r="F2468" s="551">
        <v>0</v>
      </c>
      <c r="G2468" s="551">
        <v>0</v>
      </c>
      <c r="H2468" s="551">
        <v>0</v>
      </c>
      <c r="I2468" s="551">
        <v>0</v>
      </c>
      <c r="J2468" s="551">
        <v>0</v>
      </c>
      <c r="K2468" s="527">
        <f t="shared" si="1362"/>
        <v>0</v>
      </c>
      <c r="L2468" s="528">
        <f t="shared" si="1363"/>
        <v>0</v>
      </c>
      <c r="M2468" s="528">
        <f t="shared" si="1364"/>
        <v>0</v>
      </c>
      <c r="N2468" s="528">
        <f t="shared" si="1365"/>
        <v>0</v>
      </c>
      <c r="O2468" s="528">
        <f t="shared" si="1366"/>
        <v>0</v>
      </c>
      <c r="P2468" s="529">
        <f t="shared" si="1367"/>
        <v>0</v>
      </c>
      <c r="Q2468" s="24">
        <f t="shared" si="1368"/>
        <v>0</v>
      </c>
      <c r="R2468" s="530">
        <f t="shared" si="1369"/>
        <v>0</v>
      </c>
    </row>
    <row r="2469" spans="1:18">
      <c r="A2469" s="524"/>
      <c r="B2469" s="531" t="s">
        <v>96</v>
      </c>
      <c r="C2469" s="533">
        <f t="shared" ref="C2469:J2469" si="1377">SUM(C2465:C2468)</f>
        <v>1757.48</v>
      </c>
      <c r="D2469" s="533">
        <f t="shared" si="1377"/>
        <v>13698</v>
      </c>
      <c r="E2469" s="533">
        <f t="shared" si="1377"/>
        <v>801</v>
      </c>
      <c r="F2469" s="533">
        <f t="shared" si="1377"/>
        <v>36</v>
      </c>
      <c r="G2469" s="533">
        <f t="shared" si="1377"/>
        <v>281071</v>
      </c>
      <c r="H2469" s="533">
        <f t="shared" si="1377"/>
        <v>81</v>
      </c>
      <c r="I2469" s="533">
        <f t="shared" si="1377"/>
        <v>3</v>
      </c>
      <c r="J2469" s="533">
        <f t="shared" si="1377"/>
        <v>9</v>
      </c>
      <c r="K2469" s="534">
        <f t="shared" si="1362"/>
        <v>0.0584756898817346</v>
      </c>
      <c r="L2469" s="535">
        <f t="shared" si="1363"/>
        <v>2.19410736579276</v>
      </c>
      <c r="M2469" s="535">
        <f t="shared" si="1364"/>
        <v>128.301941889327</v>
      </c>
      <c r="N2469" s="535">
        <f t="shared" si="1365"/>
        <v>159.928420238068</v>
      </c>
      <c r="O2469" s="535">
        <f t="shared" si="1366"/>
        <v>0.0449438202247191</v>
      </c>
      <c r="P2469" s="536">
        <f t="shared" si="1367"/>
        <v>20.922380952381</v>
      </c>
      <c r="Q2469" s="531">
        <f t="shared" si="1368"/>
        <v>84</v>
      </c>
      <c r="R2469" s="537">
        <f t="shared" si="1369"/>
        <v>0.104868913857678</v>
      </c>
    </row>
    <row r="2470" spans="1:18">
      <c r="A2470" s="524">
        <v>45944</v>
      </c>
      <c r="B2470" s="540" t="s">
        <v>98</v>
      </c>
      <c r="C2470" s="551">
        <v>1100</v>
      </c>
      <c r="D2470" s="553">
        <v>13270</v>
      </c>
      <c r="E2470" s="551">
        <v>532</v>
      </c>
      <c r="F2470" s="551">
        <v>10</v>
      </c>
      <c r="G2470" s="551">
        <v>76580</v>
      </c>
      <c r="H2470" s="551">
        <v>60</v>
      </c>
      <c r="I2470" s="551">
        <v>13</v>
      </c>
      <c r="J2470" s="551">
        <v>5</v>
      </c>
      <c r="K2470" s="527">
        <f t="shared" si="1362"/>
        <v>0.0400904295403165</v>
      </c>
      <c r="L2470" s="528">
        <f t="shared" si="1363"/>
        <v>2.06766917293233</v>
      </c>
      <c r="M2470" s="528">
        <f t="shared" si="1364"/>
        <v>82.8937452901281</v>
      </c>
      <c r="N2470" s="528">
        <f t="shared" si="1365"/>
        <v>69.6181818181818</v>
      </c>
      <c r="O2470" s="528">
        <f t="shared" si="1366"/>
        <v>0.018796992481203</v>
      </c>
      <c r="P2470" s="529">
        <f t="shared" si="1367"/>
        <v>15.0684931506849</v>
      </c>
      <c r="Q2470" s="24">
        <f t="shared" si="1368"/>
        <v>73</v>
      </c>
      <c r="R2470" s="530">
        <f t="shared" si="1369"/>
        <v>0.137218045112782</v>
      </c>
    </row>
    <row r="2471" spans="1:18">
      <c r="A2471" s="524"/>
      <c r="B2471" s="540" t="s">
        <v>99</v>
      </c>
      <c r="C2471" s="551">
        <v>663.73</v>
      </c>
      <c r="D2471" s="556">
        <v>3895</v>
      </c>
      <c r="E2471" s="551">
        <v>275</v>
      </c>
      <c r="F2471" s="551">
        <v>4</v>
      </c>
      <c r="G2471" s="551">
        <v>41788</v>
      </c>
      <c r="H2471" s="555">
        <v>4</v>
      </c>
      <c r="I2471" s="555">
        <v>1</v>
      </c>
      <c r="J2471" s="555">
        <v>0</v>
      </c>
      <c r="K2471" s="527">
        <f t="shared" si="1362"/>
        <v>0.0706033376123235</v>
      </c>
      <c r="L2471" s="528">
        <f t="shared" si="1363"/>
        <v>2.41356363636364</v>
      </c>
      <c r="M2471" s="528">
        <f t="shared" si="1364"/>
        <v>170.405648267009</v>
      </c>
      <c r="N2471" s="528">
        <f t="shared" si="1365"/>
        <v>62.9593358745273</v>
      </c>
      <c r="O2471" s="528">
        <f t="shared" si="1366"/>
        <v>0.0145454545454545</v>
      </c>
      <c r="P2471" s="529">
        <f t="shared" si="1367"/>
        <v>132.746</v>
      </c>
      <c r="Q2471" s="24">
        <f t="shared" si="1368"/>
        <v>5</v>
      </c>
      <c r="R2471" s="530">
        <f t="shared" si="1369"/>
        <v>0.0181818181818182</v>
      </c>
    </row>
    <row r="2472" spans="1:18">
      <c r="A2472" s="524"/>
      <c r="B2472" s="540" t="s">
        <v>100</v>
      </c>
      <c r="C2472" s="552">
        <v>0</v>
      </c>
      <c r="D2472" s="553">
        <v>0</v>
      </c>
      <c r="E2472" s="553">
        <v>0</v>
      </c>
      <c r="F2472" s="551">
        <v>0</v>
      </c>
      <c r="G2472" s="551">
        <v>0</v>
      </c>
      <c r="H2472" s="551">
        <v>0</v>
      </c>
      <c r="I2472" s="551">
        <v>0</v>
      </c>
      <c r="J2472" s="551">
        <v>0</v>
      </c>
      <c r="K2472" s="527">
        <f t="shared" si="1362"/>
        <v>0</v>
      </c>
      <c r="L2472" s="528">
        <f t="shared" si="1363"/>
        <v>0</v>
      </c>
      <c r="M2472" s="528">
        <f t="shared" si="1364"/>
        <v>0</v>
      </c>
      <c r="N2472" s="528">
        <f t="shared" si="1365"/>
        <v>0</v>
      </c>
      <c r="O2472" s="528">
        <f t="shared" si="1366"/>
        <v>0</v>
      </c>
      <c r="P2472" s="529">
        <f t="shared" si="1367"/>
        <v>0</v>
      </c>
      <c r="Q2472" s="24">
        <f t="shared" si="1368"/>
        <v>0</v>
      </c>
      <c r="R2472" s="530">
        <f t="shared" si="1369"/>
        <v>0</v>
      </c>
    </row>
    <row r="2473" spans="1:18">
      <c r="A2473" s="524"/>
      <c r="B2473" s="540" t="s">
        <v>101</v>
      </c>
      <c r="C2473" s="552">
        <v>0</v>
      </c>
      <c r="D2473" s="553">
        <v>0</v>
      </c>
      <c r="E2473" s="551">
        <v>0</v>
      </c>
      <c r="F2473" s="551">
        <v>0</v>
      </c>
      <c r="G2473" s="551">
        <v>0</v>
      </c>
      <c r="H2473" s="551">
        <v>0</v>
      </c>
      <c r="I2473" s="551">
        <v>0</v>
      </c>
      <c r="J2473" s="551">
        <v>0</v>
      </c>
      <c r="K2473" s="527">
        <f t="shared" si="1362"/>
        <v>0</v>
      </c>
      <c r="L2473" s="528">
        <f t="shared" si="1363"/>
        <v>0</v>
      </c>
      <c r="M2473" s="528">
        <f t="shared" si="1364"/>
        <v>0</v>
      </c>
      <c r="N2473" s="528">
        <f t="shared" si="1365"/>
        <v>0</v>
      </c>
      <c r="O2473" s="528">
        <f t="shared" si="1366"/>
        <v>0</v>
      </c>
      <c r="P2473" s="529">
        <f t="shared" si="1367"/>
        <v>0</v>
      </c>
      <c r="Q2473" s="24">
        <f t="shared" si="1368"/>
        <v>0</v>
      </c>
      <c r="R2473" s="530">
        <f t="shared" si="1369"/>
        <v>0</v>
      </c>
    </row>
    <row r="2474" spans="1:18">
      <c r="A2474" s="524"/>
      <c r="B2474" s="531" t="s">
        <v>96</v>
      </c>
      <c r="C2474" s="533">
        <f t="shared" ref="C2474:J2474" si="1378">SUM(C2470:C2473)</f>
        <v>1763.73</v>
      </c>
      <c r="D2474" s="533">
        <f t="shared" si="1378"/>
        <v>17165</v>
      </c>
      <c r="E2474" s="533">
        <f t="shared" si="1378"/>
        <v>807</v>
      </c>
      <c r="F2474" s="533">
        <f t="shared" si="1378"/>
        <v>14</v>
      </c>
      <c r="G2474" s="533">
        <f t="shared" si="1378"/>
        <v>118368</v>
      </c>
      <c r="H2474" s="533">
        <f t="shared" si="1378"/>
        <v>64</v>
      </c>
      <c r="I2474" s="533">
        <f t="shared" si="1378"/>
        <v>14</v>
      </c>
      <c r="J2474" s="533">
        <f t="shared" si="1378"/>
        <v>5</v>
      </c>
      <c r="K2474" s="534">
        <f t="shared" si="1362"/>
        <v>0.0470142732304107</v>
      </c>
      <c r="L2474" s="535">
        <f t="shared" si="1363"/>
        <v>2.18553903345725</v>
      </c>
      <c r="M2474" s="535">
        <f t="shared" si="1364"/>
        <v>102.751529274687</v>
      </c>
      <c r="N2474" s="535">
        <f t="shared" si="1365"/>
        <v>67.1123131091494</v>
      </c>
      <c r="O2474" s="535">
        <f t="shared" si="1366"/>
        <v>0.0173482032218092</v>
      </c>
      <c r="P2474" s="536">
        <f t="shared" si="1367"/>
        <v>22.6119230769231</v>
      </c>
      <c r="Q2474" s="531">
        <f t="shared" si="1368"/>
        <v>78</v>
      </c>
      <c r="R2474" s="537">
        <f t="shared" si="1369"/>
        <v>0.0966542750929368</v>
      </c>
    </row>
    <row r="2475" spans="1:18">
      <c r="A2475" s="524">
        <v>45945</v>
      </c>
      <c r="B2475" s="540" t="s">
        <v>98</v>
      </c>
      <c r="C2475" s="551">
        <v>1200</v>
      </c>
      <c r="D2475" s="553">
        <v>8933</v>
      </c>
      <c r="E2475" s="551">
        <v>433</v>
      </c>
      <c r="F2475" s="551">
        <v>23</v>
      </c>
      <c r="G2475" s="551">
        <v>224431</v>
      </c>
      <c r="H2475" s="551">
        <v>61</v>
      </c>
      <c r="I2475" s="551">
        <v>15</v>
      </c>
      <c r="J2475" s="551">
        <v>3</v>
      </c>
      <c r="K2475" s="527">
        <f t="shared" si="1362"/>
        <v>0.0484719579088772</v>
      </c>
      <c r="L2475" s="528">
        <f t="shared" si="1363"/>
        <v>2.77136258660508</v>
      </c>
      <c r="M2475" s="528">
        <f t="shared" si="1364"/>
        <v>134.333370648159</v>
      </c>
      <c r="N2475" s="528">
        <f t="shared" si="1365"/>
        <v>187.025833333333</v>
      </c>
      <c r="O2475" s="528">
        <f t="shared" si="1366"/>
        <v>0.0531177829099307</v>
      </c>
      <c r="P2475" s="529">
        <f t="shared" si="1367"/>
        <v>15.7894736842105</v>
      </c>
      <c r="Q2475" s="24">
        <f t="shared" si="1368"/>
        <v>76</v>
      </c>
      <c r="R2475" s="530">
        <f t="shared" si="1369"/>
        <v>0.175519630484988</v>
      </c>
    </row>
    <row r="2476" spans="1:18">
      <c r="A2476" s="524"/>
      <c r="B2476" s="540" t="s">
        <v>99</v>
      </c>
      <c r="C2476" s="551">
        <v>2035.17</v>
      </c>
      <c r="D2476" s="556">
        <v>7726</v>
      </c>
      <c r="E2476" s="551">
        <v>710</v>
      </c>
      <c r="F2476" s="551">
        <v>28</v>
      </c>
      <c r="G2476" s="551">
        <v>303865</v>
      </c>
      <c r="H2476" s="555">
        <v>40</v>
      </c>
      <c r="I2476" s="555">
        <v>3</v>
      </c>
      <c r="J2476" s="555">
        <v>3</v>
      </c>
      <c r="K2476" s="527">
        <f t="shared" si="1362"/>
        <v>0.0918974889981879</v>
      </c>
      <c r="L2476" s="528">
        <f t="shared" si="1363"/>
        <v>2.86643661971831</v>
      </c>
      <c r="M2476" s="528">
        <f t="shared" si="1364"/>
        <v>263.418327724566</v>
      </c>
      <c r="N2476" s="528">
        <f t="shared" si="1365"/>
        <v>149.306937503992</v>
      </c>
      <c r="O2476" s="528">
        <f t="shared" si="1366"/>
        <v>0.0394366197183099</v>
      </c>
      <c r="P2476" s="529">
        <f t="shared" si="1367"/>
        <v>47.3295348837209</v>
      </c>
      <c r="Q2476" s="24">
        <f t="shared" si="1368"/>
        <v>43</v>
      </c>
      <c r="R2476" s="530">
        <f t="shared" si="1369"/>
        <v>0.0605633802816901</v>
      </c>
    </row>
    <row r="2477" spans="1:18">
      <c r="A2477" s="524"/>
      <c r="B2477" s="540" t="s">
        <v>100</v>
      </c>
      <c r="C2477" s="552">
        <v>0</v>
      </c>
      <c r="D2477" s="553">
        <v>0</v>
      </c>
      <c r="E2477" s="553">
        <v>0</v>
      </c>
      <c r="F2477" s="551">
        <v>0</v>
      </c>
      <c r="G2477" s="551">
        <v>0</v>
      </c>
      <c r="H2477" s="551">
        <v>0</v>
      </c>
      <c r="I2477" s="551">
        <v>0</v>
      </c>
      <c r="J2477" s="551">
        <v>0</v>
      </c>
      <c r="K2477" s="527">
        <f t="shared" si="1362"/>
        <v>0</v>
      </c>
      <c r="L2477" s="528">
        <f t="shared" si="1363"/>
        <v>0</v>
      </c>
      <c r="M2477" s="528">
        <f t="shared" si="1364"/>
        <v>0</v>
      </c>
      <c r="N2477" s="528">
        <f t="shared" si="1365"/>
        <v>0</v>
      </c>
      <c r="O2477" s="528">
        <f t="shared" si="1366"/>
        <v>0</v>
      </c>
      <c r="P2477" s="529">
        <f t="shared" si="1367"/>
        <v>0</v>
      </c>
      <c r="Q2477" s="24">
        <f t="shared" si="1368"/>
        <v>0</v>
      </c>
      <c r="R2477" s="530">
        <f t="shared" si="1369"/>
        <v>0</v>
      </c>
    </row>
    <row r="2478" spans="1:18">
      <c r="A2478" s="524"/>
      <c r="B2478" s="540" t="s">
        <v>101</v>
      </c>
      <c r="C2478" s="552">
        <v>1094.64</v>
      </c>
      <c r="D2478" s="553">
        <v>2605</v>
      </c>
      <c r="E2478" s="551">
        <v>204</v>
      </c>
      <c r="F2478" s="551">
        <v>23</v>
      </c>
      <c r="G2478" s="551">
        <v>208398</v>
      </c>
      <c r="H2478" s="551">
        <v>46</v>
      </c>
      <c r="I2478" s="551">
        <v>3</v>
      </c>
      <c r="J2478" s="551">
        <v>3</v>
      </c>
      <c r="K2478" s="527">
        <f t="shared" si="1362"/>
        <v>0.0783109404990403</v>
      </c>
      <c r="L2478" s="528">
        <f t="shared" si="1363"/>
        <v>5.36588235294118</v>
      </c>
      <c r="M2478" s="528">
        <f t="shared" si="1364"/>
        <v>420.207293666027</v>
      </c>
      <c r="N2478" s="528">
        <f t="shared" si="1365"/>
        <v>190.380399035299</v>
      </c>
      <c r="O2478" s="528">
        <f t="shared" si="1366"/>
        <v>0.112745098039216</v>
      </c>
      <c r="P2478" s="529">
        <f t="shared" si="1367"/>
        <v>22.3395918367347</v>
      </c>
      <c r="Q2478" s="24">
        <f t="shared" si="1368"/>
        <v>49</v>
      </c>
      <c r="R2478" s="530">
        <f t="shared" si="1369"/>
        <v>0.240196078431373</v>
      </c>
    </row>
    <row r="2479" spans="1:18">
      <c r="A2479" s="524"/>
      <c r="B2479" s="531" t="s">
        <v>96</v>
      </c>
      <c r="C2479" s="533">
        <f t="shared" ref="C2479:J2479" si="1379">SUM(C2475:C2478)</f>
        <v>4329.81</v>
      </c>
      <c r="D2479" s="533">
        <f t="shared" si="1379"/>
        <v>19264</v>
      </c>
      <c r="E2479" s="533">
        <f t="shared" si="1379"/>
        <v>1347</v>
      </c>
      <c r="F2479" s="533">
        <f t="shared" si="1379"/>
        <v>74</v>
      </c>
      <c r="G2479" s="533">
        <f t="shared" si="1379"/>
        <v>736694</v>
      </c>
      <c r="H2479" s="533">
        <f t="shared" si="1379"/>
        <v>147</v>
      </c>
      <c r="I2479" s="533">
        <f t="shared" si="1379"/>
        <v>21</v>
      </c>
      <c r="J2479" s="533">
        <f t="shared" si="1379"/>
        <v>9</v>
      </c>
      <c r="K2479" s="534">
        <f t="shared" si="1362"/>
        <v>0.0699231727574751</v>
      </c>
      <c r="L2479" s="535">
        <f t="shared" si="1363"/>
        <v>3.21440979955457</v>
      </c>
      <c r="M2479" s="535">
        <f t="shared" si="1364"/>
        <v>224.761731727575</v>
      </c>
      <c r="N2479" s="535">
        <f t="shared" si="1365"/>
        <v>170.14464837949</v>
      </c>
      <c r="O2479" s="535">
        <f t="shared" si="1366"/>
        <v>0.0549368968077209</v>
      </c>
      <c r="P2479" s="536">
        <f t="shared" si="1367"/>
        <v>25.7726785714286</v>
      </c>
      <c r="Q2479" s="531">
        <f t="shared" si="1368"/>
        <v>168</v>
      </c>
      <c r="R2479" s="537">
        <f t="shared" si="1369"/>
        <v>0.124721603563474</v>
      </c>
    </row>
    <row r="2480" spans="1:18">
      <c r="A2480" s="524">
        <v>45946</v>
      </c>
      <c r="B2480" s="540" t="s">
        <v>98</v>
      </c>
      <c r="C2480" s="551">
        <v>1200</v>
      </c>
      <c r="D2480" s="553">
        <v>10053</v>
      </c>
      <c r="E2480" s="551">
        <v>425</v>
      </c>
      <c r="F2480" s="551">
        <v>14</v>
      </c>
      <c r="G2480" s="551">
        <v>121482</v>
      </c>
      <c r="H2480" s="551">
        <v>48</v>
      </c>
      <c r="I2480" s="551">
        <v>6</v>
      </c>
      <c r="J2480" s="551">
        <v>6</v>
      </c>
      <c r="K2480" s="527">
        <f t="shared" si="1362"/>
        <v>0.0422759375310852</v>
      </c>
      <c r="L2480" s="528">
        <f t="shared" si="1363"/>
        <v>2.82352941176471</v>
      </c>
      <c r="M2480" s="528">
        <f t="shared" si="1364"/>
        <v>119.367353028947</v>
      </c>
      <c r="N2480" s="528">
        <f t="shared" si="1365"/>
        <v>101.235</v>
      </c>
      <c r="O2480" s="528">
        <f t="shared" si="1366"/>
        <v>0.0329411764705882</v>
      </c>
      <c r="P2480" s="529">
        <f t="shared" si="1367"/>
        <v>22.2222222222222</v>
      </c>
      <c r="Q2480" s="24">
        <f t="shared" si="1368"/>
        <v>54</v>
      </c>
      <c r="R2480" s="530">
        <f t="shared" si="1369"/>
        <v>0.127058823529412</v>
      </c>
    </row>
    <row r="2481" spans="1:18">
      <c r="A2481" s="524"/>
      <c r="B2481" s="540" t="s">
        <v>99</v>
      </c>
      <c r="C2481" s="551">
        <v>2022.33</v>
      </c>
      <c r="D2481" s="556">
        <v>19489</v>
      </c>
      <c r="E2481" s="551">
        <v>946</v>
      </c>
      <c r="F2481" s="551">
        <v>35</v>
      </c>
      <c r="G2481" s="551">
        <v>296164</v>
      </c>
      <c r="H2481" s="555">
        <v>29</v>
      </c>
      <c r="I2481" s="555">
        <v>4</v>
      </c>
      <c r="J2481" s="555">
        <v>10</v>
      </c>
      <c r="K2481" s="527">
        <f t="shared" si="1362"/>
        <v>0.048540202165324</v>
      </c>
      <c r="L2481" s="528">
        <f t="shared" si="1363"/>
        <v>2.13776955602537</v>
      </c>
      <c r="M2481" s="528">
        <f t="shared" si="1364"/>
        <v>103.767766432346</v>
      </c>
      <c r="N2481" s="528">
        <f t="shared" si="1365"/>
        <v>146.446920136674</v>
      </c>
      <c r="O2481" s="528">
        <f t="shared" si="1366"/>
        <v>0.0369978858350951</v>
      </c>
      <c r="P2481" s="529">
        <f t="shared" si="1367"/>
        <v>61.2827272727273</v>
      </c>
      <c r="Q2481" s="24">
        <f t="shared" si="1368"/>
        <v>33</v>
      </c>
      <c r="R2481" s="530">
        <f t="shared" si="1369"/>
        <v>0.0348837209302326</v>
      </c>
    </row>
    <row r="2482" spans="1:18">
      <c r="A2482" s="524"/>
      <c r="B2482" s="540" t="s">
        <v>100</v>
      </c>
      <c r="C2482" s="552">
        <v>0</v>
      </c>
      <c r="D2482" s="553">
        <v>0</v>
      </c>
      <c r="E2482" s="553">
        <v>0</v>
      </c>
      <c r="F2482" s="551">
        <v>0</v>
      </c>
      <c r="G2482" s="551">
        <v>0</v>
      </c>
      <c r="H2482" s="551">
        <v>0</v>
      </c>
      <c r="I2482" s="551">
        <v>0</v>
      </c>
      <c r="J2482" s="551">
        <v>0</v>
      </c>
      <c r="K2482" s="527">
        <f t="shared" si="1362"/>
        <v>0</v>
      </c>
      <c r="L2482" s="528">
        <f t="shared" si="1363"/>
        <v>0</v>
      </c>
      <c r="M2482" s="528">
        <f t="shared" si="1364"/>
        <v>0</v>
      </c>
      <c r="N2482" s="528">
        <f t="shared" si="1365"/>
        <v>0</v>
      </c>
      <c r="O2482" s="528">
        <f t="shared" si="1366"/>
        <v>0</v>
      </c>
      <c r="P2482" s="529">
        <f t="shared" si="1367"/>
        <v>0</v>
      </c>
      <c r="Q2482" s="24">
        <f t="shared" si="1368"/>
        <v>0</v>
      </c>
      <c r="R2482" s="530">
        <f t="shared" si="1369"/>
        <v>0</v>
      </c>
    </row>
    <row r="2483" spans="1:18">
      <c r="A2483" s="524"/>
      <c r="B2483" s="540" t="s">
        <v>101</v>
      </c>
      <c r="C2483" s="552">
        <v>1495.55</v>
      </c>
      <c r="D2483" s="553">
        <v>17439</v>
      </c>
      <c r="E2483" s="551">
        <v>614</v>
      </c>
      <c r="F2483" s="551">
        <v>45</v>
      </c>
      <c r="G2483" s="551">
        <v>379682</v>
      </c>
      <c r="H2483" s="551">
        <v>66</v>
      </c>
      <c r="I2483" s="551">
        <v>13</v>
      </c>
      <c r="J2483" s="551">
        <v>3</v>
      </c>
      <c r="K2483" s="527">
        <f t="shared" si="1362"/>
        <v>0.0352084408509662</v>
      </c>
      <c r="L2483" s="528">
        <f t="shared" si="1363"/>
        <v>2.43574918566775</v>
      </c>
      <c r="M2483" s="528">
        <f t="shared" si="1364"/>
        <v>85.7589311313722</v>
      </c>
      <c r="N2483" s="528">
        <f t="shared" si="1365"/>
        <v>253.874494333188</v>
      </c>
      <c r="O2483" s="528">
        <f t="shared" si="1366"/>
        <v>0.0732899022801303</v>
      </c>
      <c r="P2483" s="529">
        <f t="shared" si="1367"/>
        <v>18.9310126582278</v>
      </c>
      <c r="Q2483" s="24">
        <f t="shared" si="1368"/>
        <v>79</v>
      </c>
      <c r="R2483" s="530">
        <f t="shared" si="1369"/>
        <v>0.128664495114007</v>
      </c>
    </row>
    <row r="2484" spans="1:18">
      <c r="A2484" s="524"/>
      <c r="B2484" s="531" t="s">
        <v>96</v>
      </c>
      <c r="C2484" s="533">
        <f t="shared" ref="C2484:J2484" si="1380">SUM(C2480:C2483)</f>
        <v>4717.88</v>
      </c>
      <c r="D2484" s="533">
        <f t="shared" si="1380"/>
        <v>46981</v>
      </c>
      <c r="E2484" s="533">
        <f t="shared" si="1380"/>
        <v>1985</v>
      </c>
      <c r="F2484" s="533">
        <f t="shared" si="1380"/>
        <v>94</v>
      </c>
      <c r="G2484" s="533">
        <f t="shared" si="1380"/>
        <v>797328</v>
      </c>
      <c r="H2484" s="533">
        <f t="shared" si="1380"/>
        <v>143</v>
      </c>
      <c r="I2484" s="533">
        <f t="shared" si="1380"/>
        <v>23</v>
      </c>
      <c r="J2484" s="533">
        <f t="shared" si="1380"/>
        <v>19</v>
      </c>
      <c r="K2484" s="534">
        <f t="shared" si="1362"/>
        <v>0.0422511227943211</v>
      </c>
      <c r="L2484" s="535">
        <f t="shared" si="1363"/>
        <v>2.37676574307305</v>
      </c>
      <c r="M2484" s="535">
        <f t="shared" si="1364"/>
        <v>100.421021263915</v>
      </c>
      <c r="N2484" s="535">
        <f t="shared" si="1365"/>
        <v>169.001331106344</v>
      </c>
      <c r="O2484" s="535">
        <f t="shared" si="1366"/>
        <v>0.0473551637279597</v>
      </c>
      <c r="P2484" s="536">
        <f t="shared" si="1367"/>
        <v>28.4209638554217</v>
      </c>
      <c r="Q2484" s="531">
        <f t="shared" si="1368"/>
        <v>166</v>
      </c>
      <c r="R2484" s="537">
        <f t="shared" si="1369"/>
        <v>0.0836272040302267</v>
      </c>
    </row>
    <row r="2485" spans="1:18">
      <c r="A2485" s="524">
        <v>45947</v>
      </c>
      <c r="B2485" s="540" t="s">
        <v>98</v>
      </c>
      <c r="C2485" s="551">
        <v>1198.09</v>
      </c>
      <c r="D2485" s="553">
        <v>9835</v>
      </c>
      <c r="E2485" s="551">
        <v>460</v>
      </c>
      <c r="F2485" s="551">
        <v>10</v>
      </c>
      <c r="G2485" s="551">
        <v>90752</v>
      </c>
      <c r="H2485" s="551">
        <v>64</v>
      </c>
      <c r="I2485" s="551">
        <v>5</v>
      </c>
      <c r="J2485" s="551">
        <v>1</v>
      </c>
      <c r="K2485" s="527">
        <f t="shared" si="1362"/>
        <v>0.0467717336044738</v>
      </c>
      <c r="L2485" s="528">
        <f t="shared" si="1363"/>
        <v>2.60454347826087</v>
      </c>
      <c r="M2485" s="528">
        <f t="shared" si="1364"/>
        <v>121.819013726487</v>
      </c>
      <c r="N2485" s="528">
        <f t="shared" si="1365"/>
        <v>75.7472310093566</v>
      </c>
      <c r="O2485" s="528">
        <f t="shared" si="1366"/>
        <v>0.0217391304347826</v>
      </c>
      <c r="P2485" s="529">
        <f t="shared" si="1367"/>
        <v>17.3636231884058</v>
      </c>
      <c r="Q2485" s="24">
        <f t="shared" si="1368"/>
        <v>69</v>
      </c>
      <c r="R2485" s="530">
        <f t="shared" si="1369"/>
        <v>0.15</v>
      </c>
    </row>
    <row r="2486" spans="1:18">
      <c r="A2486" s="524"/>
      <c r="B2486" s="540" t="s">
        <v>99</v>
      </c>
      <c r="C2486" s="551">
        <v>2158.9</v>
      </c>
      <c r="D2486" s="556">
        <v>12570</v>
      </c>
      <c r="E2486" s="551">
        <v>911</v>
      </c>
      <c r="F2486" s="551">
        <v>12</v>
      </c>
      <c r="G2486" s="551">
        <v>86474</v>
      </c>
      <c r="H2486" s="555">
        <v>28</v>
      </c>
      <c r="I2486" s="555">
        <v>3</v>
      </c>
      <c r="J2486" s="555">
        <v>3</v>
      </c>
      <c r="K2486" s="527">
        <f t="shared" si="1362"/>
        <v>0.0724741447891806</v>
      </c>
      <c r="L2486" s="528">
        <f t="shared" si="1363"/>
        <v>2.36981339187706</v>
      </c>
      <c r="M2486" s="528">
        <f t="shared" si="1364"/>
        <v>171.750198886237</v>
      </c>
      <c r="N2486" s="528">
        <f t="shared" si="1365"/>
        <v>40.0546574644495</v>
      </c>
      <c r="O2486" s="528">
        <f t="shared" si="1366"/>
        <v>0.013172338090011</v>
      </c>
      <c r="P2486" s="529">
        <f t="shared" si="1367"/>
        <v>69.641935483871</v>
      </c>
      <c r="Q2486" s="24">
        <f t="shared" si="1368"/>
        <v>31</v>
      </c>
      <c r="R2486" s="530">
        <f t="shared" si="1369"/>
        <v>0.0340285400658617</v>
      </c>
    </row>
    <row r="2487" spans="1:18">
      <c r="A2487" s="524"/>
      <c r="B2487" s="540" t="s">
        <v>100</v>
      </c>
      <c r="C2487" s="552">
        <v>0</v>
      </c>
      <c r="D2487" s="553">
        <v>0</v>
      </c>
      <c r="E2487" s="553">
        <v>0</v>
      </c>
      <c r="F2487" s="551">
        <v>0</v>
      </c>
      <c r="G2487" s="551">
        <v>0</v>
      </c>
      <c r="H2487" s="551">
        <v>0</v>
      </c>
      <c r="I2487" s="551">
        <v>0</v>
      </c>
      <c r="J2487" s="551">
        <v>0</v>
      </c>
      <c r="K2487" s="527">
        <f t="shared" si="1362"/>
        <v>0</v>
      </c>
      <c r="L2487" s="528">
        <f t="shared" si="1363"/>
        <v>0</v>
      </c>
      <c r="M2487" s="528">
        <f t="shared" si="1364"/>
        <v>0</v>
      </c>
      <c r="N2487" s="528">
        <f t="shared" si="1365"/>
        <v>0</v>
      </c>
      <c r="O2487" s="528">
        <f t="shared" si="1366"/>
        <v>0</v>
      </c>
      <c r="P2487" s="529">
        <f t="shared" si="1367"/>
        <v>0</v>
      </c>
      <c r="Q2487" s="24">
        <f t="shared" si="1368"/>
        <v>0</v>
      </c>
      <c r="R2487" s="530">
        <f t="shared" si="1369"/>
        <v>0</v>
      </c>
    </row>
    <row r="2488" spans="1:18">
      <c r="A2488" s="524"/>
      <c r="B2488" s="540" t="s">
        <v>101</v>
      </c>
      <c r="C2488" s="552">
        <v>1478.72</v>
      </c>
      <c r="D2488" s="553">
        <v>21770</v>
      </c>
      <c r="E2488" s="551">
        <v>923</v>
      </c>
      <c r="F2488" s="551">
        <v>48</v>
      </c>
      <c r="G2488" s="551">
        <v>439461</v>
      </c>
      <c r="H2488" s="551">
        <v>110</v>
      </c>
      <c r="I2488" s="551">
        <v>17</v>
      </c>
      <c r="J2488" s="551">
        <v>10</v>
      </c>
      <c r="K2488" s="527">
        <f t="shared" si="1362"/>
        <v>0.0423977951309141</v>
      </c>
      <c r="L2488" s="528">
        <f t="shared" si="1363"/>
        <v>1.60208017334778</v>
      </c>
      <c r="M2488" s="528">
        <f t="shared" si="1364"/>
        <v>67.9246669728985</v>
      </c>
      <c r="N2488" s="528">
        <f t="shared" si="1365"/>
        <v>297.190137416144</v>
      </c>
      <c r="O2488" s="528">
        <f t="shared" si="1366"/>
        <v>0.0520043336944745</v>
      </c>
      <c r="P2488" s="529">
        <f t="shared" si="1367"/>
        <v>11.6434645669291</v>
      </c>
      <c r="Q2488" s="24">
        <f t="shared" si="1368"/>
        <v>127</v>
      </c>
      <c r="R2488" s="530">
        <f t="shared" si="1369"/>
        <v>0.137594799566631</v>
      </c>
    </row>
    <row r="2489" spans="1:18">
      <c r="A2489" s="524"/>
      <c r="B2489" s="531" t="s">
        <v>96</v>
      </c>
      <c r="C2489" s="533">
        <f t="shared" ref="C2489:J2489" si="1381">SUM(C2485:C2488)</f>
        <v>4835.71</v>
      </c>
      <c r="D2489" s="533">
        <f t="shared" si="1381"/>
        <v>44175</v>
      </c>
      <c r="E2489" s="533">
        <f t="shared" si="1381"/>
        <v>2294</v>
      </c>
      <c r="F2489" s="533">
        <f t="shared" si="1381"/>
        <v>70</v>
      </c>
      <c r="G2489" s="533">
        <f t="shared" si="1381"/>
        <v>616687</v>
      </c>
      <c r="H2489" s="533">
        <f t="shared" si="1381"/>
        <v>202</v>
      </c>
      <c r="I2489" s="533">
        <f t="shared" si="1381"/>
        <v>25</v>
      </c>
      <c r="J2489" s="533">
        <f t="shared" si="1381"/>
        <v>14</v>
      </c>
      <c r="K2489" s="534">
        <f t="shared" si="1362"/>
        <v>0.0519298245614035</v>
      </c>
      <c r="L2489" s="535">
        <f t="shared" si="1363"/>
        <v>2.10798169136879</v>
      </c>
      <c r="M2489" s="535">
        <f t="shared" si="1364"/>
        <v>109.467119411432</v>
      </c>
      <c r="N2489" s="535">
        <f t="shared" si="1365"/>
        <v>127.527705342132</v>
      </c>
      <c r="O2489" s="535">
        <f t="shared" si="1366"/>
        <v>0.030514385353095</v>
      </c>
      <c r="P2489" s="536">
        <f t="shared" si="1367"/>
        <v>21.3026872246696</v>
      </c>
      <c r="Q2489" s="531">
        <f t="shared" si="1368"/>
        <v>227</v>
      </c>
      <c r="R2489" s="537">
        <f t="shared" si="1369"/>
        <v>0.0989537925021796</v>
      </c>
    </row>
    <row r="2490" spans="1:18">
      <c r="A2490" s="524">
        <v>45948</v>
      </c>
      <c r="B2490" s="540" t="s">
        <v>98</v>
      </c>
      <c r="C2490" s="551">
        <v>1200</v>
      </c>
      <c r="D2490" s="553">
        <v>10892</v>
      </c>
      <c r="E2490" s="551">
        <v>420</v>
      </c>
      <c r="F2490" s="551">
        <v>12</v>
      </c>
      <c r="G2490" s="551">
        <v>89073</v>
      </c>
      <c r="H2490" s="551">
        <v>53</v>
      </c>
      <c r="I2490" s="551">
        <v>8</v>
      </c>
      <c r="J2490" s="551">
        <v>2</v>
      </c>
      <c r="K2490" s="527">
        <f t="shared" si="1362"/>
        <v>0.038560411311054</v>
      </c>
      <c r="L2490" s="528">
        <f t="shared" si="1363"/>
        <v>2.85714285714286</v>
      </c>
      <c r="M2490" s="528">
        <f t="shared" si="1364"/>
        <v>110.172603745869</v>
      </c>
      <c r="N2490" s="528">
        <f t="shared" si="1365"/>
        <v>74.2275</v>
      </c>
      <c r="O2490" s="528">
        <f t="shared" si="1366"/>
        <v>0.0285714285714286</v>
      </c>
      <c r="P2490" s="529">
        <f t="shared" si="1367"/>
        <v>19.672131147541</v>
      </c>
      <c r="Q2490" s="24">
        <f t="shared" si="1368"/>
        <v>61</v>
      </c>
      <c r="R2490" s="530">
        <f t="shared" si="1369"/>
        <v>0.145238095238095</v>
      </c>
    </row>
    <row r="2491" spans="1:18">
      <c r="A2491" s="524"/>
      <c r="B2491" s="540" t="s">
        <v>99</v>
      </c>
      <c r="C2491" s="551">
        <v>2145.61</v>
      </c>
      <c r="D2491" s="556">
        <v>14919</v>
      </c>
      <c r="E2491" s="551">
        <v>1104</v>
      </c>
      <c r="F2491" s="551">
        <v>19</v>
      </c>
      <c r="G2491" s="551">
        <v>174651</v>
      </c>
      <c r="H2491" s="555">
        <v>52</v>
      </c>
      <c r="I2491" s="555">
        <v>4</v>
      </c>
      <c r="J2491" s="555">
        <v>11</v>
      </c>
      <c r="K2491" s="527">
        <f t="shared" si="1362"/>
        <v>0.0739995978282727</v>
      </c>
      <c r="L2491" s="528">
        <f t="shared" si="1363"/>
        <v>1.94348731884058</v>
      </c>
      <c r="M2491" s="528">
        <f t="shared" si="1364"/>
        <v>143.817279978551</v>
      </c>
      <c r="N2491" s="528">
        <f t="shared" si="1365"/>
        <v>81.3992291236525</v>
      </c>
      <c r="O2491" s="528">
        <f t="shared" si="1366"/>
        <v>0.0172101449275362</v>
      </c>
      <c r="P2491" s="529">
        <f t="shared" si="1367"/>
        <v>38.3144642857143</v>
      </c>
      <c r="Q2491" s="24">
        <f t="shared" si="1368"/>
        <v>56</v>
      </c>
      <c r="R2491" s="530">
        <f t="shared" si="1369"/>
        <v>0.0507246376811594</v>
      </c>
    </row>
    <row r="2492" spans="1:18">
      <c r="A2492" s="524"/>
      <c r="B2492" s="540" t="s">
        <v>100</v>
      </c>
      <c r="C2492" s="552">
        <v>0</v>
      </c>
      <c r="D2492" s="553">
        <v>0</v>
      </c>
      <c r="E2492" s="553">
        <v>0</v>
      </c>
      <c r="F2492" s="551">
        <v>0</v>
      </c>
      <c r="G2492" s="551">
        <v>0</v>
      </c>
      <c r="H2492" s="551">
        <v>0</v>
      </c>
      <c r="I2492" s="551">
        <v>0</v>
      </c>
      <c r="J2492" s="551">
        <v>0</v>
      </c>
      <c r="K2492" s="527">
        <f t="shared" si="1362"/>
        <v>0</v>
      </c>
      <c r="L2492" s="528">
        <f t="shared" si="1363"/>
        <v>0</v>
      </c>
      <c r="M2492" s="528">
        <f t="shared" si="1364"/>
        <v>0</v>
      </c>
      <c r="N2492" s="528">
        <f t="shared" si="1365"/>
        <v>0</v>
      </c>
      <c r="O2492" s="528">
        <f t="shared" si="1366"/>
        <v>0</v>
      </c>
      <c r="P2492" s="529">
        <f t="shared" si="1367"/>
        <v>0</v>
      </c>
      <c r="Q2492" s="24">
        <f t="shared" si="1368"/>
        <v>0</v>
      </c>
      <c r="R2492" s="530">
        <f t="shared" si="1369"/>
        <v>0</v>
      </c>
    </row>
    <row r="2493" spans="1:18">
      <c r="A2493" s="524"/>
      <c r="B2493" s="540" t="s">
        <v>101</v>
      </c>
      <c r="C2493" s="552">
        <v>1496.41</v>
      </c>
      <c r="D2493" s="553">
        <v>39406</v>
      </c>
      <c r="E2493" s="551">
        <v>1187</v>
      </c>
      <c r="F2493" s="551">
        <v>56</v>
      </c>
      <c r="G2493" s="551">
        <v>531885</v>
      </c>
      <c r="H2493" s="551">
        <v>93</v>
      </c>
      <c r="I2493" s="551">
        <v>6</v>
      </c>
      <c r="J2493" s="551">
        <v>5</v>
      </c>
      <c r="K2493" s="527">
        <f t="shared" ref="K2493:K2556" si="1382">IF(E2493=0,0,E2493/D2493)</f>
        <v>0.030122316398518</v>
      </c>
      <c r="L2493" s="528">
        <f t="shared" ref="L2493:L2556" si="1383">IF(C2493=0,0,C2493/E2493)</f>
        <v>1.26066554338669</v>
      </c>
      <c r="M2493" s="528">
        <f t="shared" ref="M2493:M2556" si="1384">IF(D2493=0,0,C2493/D2493*1000)</f>
        <v>37.9741663706035</v>
      </c>
      <c r="N2493" s="528">
        <f t="shared" ref="N2493:N2556" si="1385">IF(G2493=0,0,G2493/C2493)</f>
        <v>355.440688046725</v>
      </c>
      <c r="O2493" s="528">
        <f t="shared" ref="O2493:O2556" si="1386">IF(F2493=0,0,F2493/E2493)</f>
        <v>0.0471777590564448</v>
      </c>
      <c r="P2493" s="529">
        <f t="shared" ref="P2493:P2556" si="1387">IF(H2493+I2493=0,0,C2493/(H2493+I2493))</f>
        <v>15.1152525252525</v>
      </c>
      <c r="Q2493" s="24">
        <f t="shared" ref="Q2493:Q2556" si="1388">H2493+I2493</f>
        <v>99</v>
      </c>
      <c r="R2493" s="530">
        <f t="shared" ref="R2493:R2556" si="1389">IF(Q2493=0,0,Q2493/E2493)</f>
        <v>0.0834035383319292</v>
      </c>
    </row>
    <row r="2494" spans="1:18">
      <c r="A2494" s="524"/>
      <c r="B2494" s="531" t="s">
        <v>96</v>
      </c>
      <c r="C2494" s="533">
        <f t="shared" ref="C2494:J2494" si="1390">SUM(C2490:C2493)</f>
        <v>4842.02</v>
      </c>
      <c r="D2494" s="533">
        <f t="shared" si="1390"/>
        <v>65217</v>
      </c>
      <c r="E2494" s="533">
        <f t="shared" si="1390"/>
        <v>2711</v>
      </c>
      <c r="F2494" s="533">
        <f t="shared" si="1390"/>
        <v>87</v>
      </c>
      <c r="G2494" s="533">
        <f t="shared" si="1390"/>
        <v>795609</v>
      </c>
      <c r="H2494" s="533">
        <f t="shared" si="1390"/>
        <v>198</v>
      </c>
      <c r="I2494" s="533">
        <f t="shared" si="1390"/>
        <v>18</v>
      </c>
      <c r="J2494" s="533">
        <f t="shared" si="1390"/>
        <v>18</v>
      </c>
      <c r="K2494" s="534">
        <f t="shared" si="1382"/>
        <v>0.0415689160801631</v>
      </c>
      <c r="L2494" s="535">
        <f t="shared" si="1383"/>
        <v>1.78606418295832</v>
      </c>
      <c r="M2494" s="535">
        <f t="shared" si="1384"/>
        <v>74.2447521351795</v>
      </c>
      <c r="N2494" s="535">
        <f t="shared" si="1385"/>
        <v>164.313447693318</v>
      </c>
      <c r="O2494" s="535">
        <f t="shared" si="1386"/>
        <v>0.0320914791589819</v>
      </c>
      <c r="P2494" s="536">
        <f t="shared" si="1387"/>
        <v>22.4167592592593</v>
      </c>
      <c r="Q2494" s="531">
        <f t="shared" si="1388"/>
        <v>216</v>
      </c>
      <c r="R2494" s="537">
        <f t="shared" si="1389"/>
        <v>0.0796753965326448</v>
      </c>
    </row>
    <row r="2495" spans="1:18">
      <c r="A2495" s="524">
        <v>45949</v>
      </c>
      <c r="B2495" s="540" t="s">
        <v>98</v>
      </c>
      <c r="C2495" s="551">
        <v>686.98</v>
      </c>
      <c r="D2495" s="553">
        <v>6233</v>
      </c>
      <c r="E2495" s="551">
        <v>234</v>
      </c>
      <c r="F2495" s="551">
        <v>9</v>
      </c>
      <c r="G2495" s="551">
        <v>65180</v>
      </c>
      <c r="H2495" s="551">
        <v>24</v>
      </c>
      <c r="I2495" s="551">
        <v>2</v>
      </c>
      <c r="J2495" s="551">
        <v>4</v>
      </c>
      <c r="K2495" s="527">
        <f t="shared" si="1382"/>
        <v>0.0375421145515803</v>
      </c>
      <c r="L2495" s="528">
        <f t="shared" si="1383"/>
        <v>2.93581196581197</v>
      </c>
      <c r="M2495" s="528">
        <f t="shared" si="1384"/>
        <v>110.216589122413</v>
      </c>
      <c r="N2495" s="528">
        <f t="shared" si="1385"/>
        <v>94.8790357797898</v>
      </c>
      <c r="O2495" s="528">
        <f t="shared" si="1386"/>
        <v>0.0384615384615385</v>
      </c>
      <c r="P2495" s="529">
        <f t="shared" si="1387"/>
        <v>26.4223076923077</v>
      </c>
      <c r="Q2495" s="24">
        <f t="shared" si="1388"/>
        <v>26</v>
      </c>
      <c r="R2495" s="530">
        <f t="shared" si="1389"/>
        <v>0.111111111111111</v>
      </c>
    </row>
    <row r="2496" spans="1:18">
      <c r="A2496" s="524"/>
      <c r="B2496" s="540" t="s">
        <v>99</v>
      </c>
      <c r="C2496" s="551">
        <v>347.97</v>
      </c>
      <c r="D2496" s="556">
        <v>3119</v>
      </c>
      <c r="E2496" s="551">
        <v>111</v>
      </c>
      <c r="F2496" s="551">
        <v>1</v>
      </c>
      <c r="G2496" s="551">
        <v>5198</v>
      </c>
      <c r="H2496" s="555">
        <v>7</v>
      </c>
      <c r="I2496" s="555">
        <v>1</v>
      </c>
      <c r="J2496" s="555">
        <v>0</v>
      </c>
      <c r="K2496" s="527">
        <f t="shared" si="1382"/>
        <v>0.0355883295928182</v>
      </c>
      <c r="L2496" s="528">
        <f t="shared" si="1383"/>
        <v>3.13486486486486</v>
      </c>
      <c r="M2496" s="528">
        <f t="shared" si="1384"/>
        <v>111.564604039756</v>
      </c>
      <c r="N2496" s="528">
        <f t="shared" si="1385"/>
        <v>14.9380693737966</v>
      </c>
      <c r="O2496" s="528">
        <f t="shared" si="1386"/>
        <v>0.00900900900900901</v>
      </c>
      <c r="P2496" s="529">
        <f t="shared" si="1387"/>
        <v>43.49625</v>
      </c>
      <c r="Q2496" s="24">
        <f t="shared" si="1388"/>
        <v>8</v>
      </c>
      <c r="R2496" s="530">
        <f t="shared" si="1389"/>
        <v>0.0720720720720721</v>
      </c>
    </row>
    <row r="2497" spans="1:18">
      <c r="A2497" s="524"/>
      <c r="B2497" s="540" t="s">
        <v>100</v>
      </c>
      <c r="C2497" s="552">
        <v>0</v>
      </c>
      <c r="D2497" s="553">
        <v>0</v>
      </c>
      <c r="E2497" s="553">
        <v>0</v>
      </c>
      <c r="F2497" s="551">
        <v>0</v>
      </c>
      <c r="G2497" s="551">
        <v>0</v>
      </c>
      <c r="H2497" s="551">
        <v>0</v>
      </c>
      <c r="I2497" s="551">
        <v>0</v>
      </c>
      <c r="J2497" s="551">
        <v>0</v>
      </c>
      <c r="K2497" s="527">
        <f t="shared" si="1382"/>
        <v>0</v>
      </c>
      <c r="L2497" s="528">
        <f t="shared" si="1383"/>
        <v>0</v>
      </c>
      <c r="M2497" s="528">
        <f t="shared" si="1384"/>
        <v>0</v>
      </c>
      <c r="N2497" s="528">
        <f t="shared" si="1385"/>
        <v>0</v>
      </c>
      <c r="O2497" s="528">
        <f t="shared" si="1386"/>
        <v>0</v>
      </c>
      <c r="P2497" s="529">
        <f t="shared" si="1387"/>
        <v>0</v>
      </c>
      <c r="Q2497" s="24">
        <f t="shared" si="1388"/>
        <v>0</v>
      </c>
      <c r="R2497" s="530">
        <f t="shared" si="1389"/>
        <v>0</v>
      </c>
    </row>
    <row r="2498" spans="1:18">
      <c r="A2498" s="524"/>
      <c r="B2498" s="540" t="s">
        <v>101</v>
      </c>
      <c r="C2498" s="552">
        <v>2074.95</v>
      </c>
      <c r="D2498" s="553">
        <v>20061</v>
      </c>
      <c r="E2498" s="551">
        <v>987</v>
      </c>
      <c r="F2498" s="551">
        <v>16</v>
      </c>
      <c r="G2498" s="551">
        <v>147555</v>
      </c>
      <c r="H2498" s="551">
        <v>28</v>
      </c>
      <c r="I2498" s="551">
        <v>4</v>
      </c>
      <c r="J2498" s="551">
        <v>1</v>
      </c>
      <c r="K2498" s="527">
        <f t="shared" si="1382"/>
        <v>0.0491999401824435</v>
      </c>
      <c r="L2498" s="528">
        <f t="shared" si="1383"/>
        <v>2.10227963525836</v>
      </c>
      <c r="M2498" s="528">
        <f t="shared" si="1384"/>
        <v>103.43203230148</v>
      </c>
      <c r="N2498" s="528">
        <f t="shared" si="1385"/>
        <v>71.1125569290826</v>
      </c>
      <c r="O2498" s="528">
        <f t="shared" si="1386"/>
        <v>0.0162107396149949</v>
      </c>
      <c r="P2498" s="529">
        <f t="shared" si="1387"/>
        <v>64.8421875</v>
      </c>
      <c r="Q2498" s="24">
        <f t="shared" si="1388"/>
        <v>32</v>
      </c>
      <c r="R2498" s="530">
        <f t="shared" si="1389"/>
        <v>0.0324214792299899</v>
      </c>
    </row>
    <row r="2499" spans="1:18">
      <c r="A2499" s="524"/>
      <c r="B2499" s="531" t="s">
        <v>96</v>
      </c>
      <c r="C2499" s="533">
        <f t="shared" ref="C2499:J2499" si="1391">SUM(C2495:C2498)</f>
        <v>3109.9</v>
      </c>
      <c r="D2499" s="533">
        <f t="shared" si="1391"/>
        <v>29413</v>
      </c>
      <c r="E2499" s="533">
        <f t="shared" si="1391"/>
        <v>1332</v>
      </c>
      <c r="F2499" s="533">
        <f t="shared" si="1391"/>
        <v>26</v>
      </c>
      <c r="G2499" s="533">
        <f t="shared" si="1391"/>
        <v>217933</v>
      </c>
      <c r="H2499" s="533">
        <f t="shared" si="1391"/>
        <v>59</v>
      </c>
      <c r="I2499" s="533">
        <f t="shared" si="1391"/>
        <v>7</v>
      </c>
      <c r="J2499" s="533">
        <f t="shared" si="1391"/>
        <v>5</v>
      </c>
      <c r="K2499" s="534">
        <f t="shared" si="1382"/>
        <v>0.0452860979838847</v>
      </c>
      <c r="L2499" s="535">
        <f t="shared" si="1383"/>
        <v>2.33475975975976</v>
      </c>
      <c r="M2499" s="535">
        <f t="shared" si="1384"/>
        <v>105.732159249312</v>
      </c>
      <c r="N2499" s="535">
        <f t="shared" si="1385"/>
        <v>70.0771728994501</v>
      </c>
      <c r="O2499" s="535">
        <f t="shared" si="1386"/>
        <v>0.0195195195195195</v>
      </c>
      <c r="P2499" s="536">
        <f t="shared" si="1387"/>
        <v>47.119696969697</v>
      </c>
      <c r="Q2499" s="531">
        <f t="shared" si="1388"/>
        <v>66</v>
      </c>
      <c r="R2499" s="537">
        <f t="shared" si="1389"/>
        <v>0.0495495495495496</v>
      </c>
    </row>
    <row r="2500" spans="1:18">
      <c r="A2500" s="524">
        <v>45950</v>
      </c>
      <c r="B2500" s="540" t="s">
        <v>98</v>
      </c>
      <c r="C2500" s="551">
        <v>1159.11</v>
      </c>
      <c r="D2500" s="553">
        <v>8704</v>
      </c>
      <c r="E2500" s="551">
        <v>349</v>
      </c>
      <c r="F2500" s="551">
        <v>9</v>
      </c>
      <c r="G2500" s="551">
        <v>85751</v>
      </c>
      <c r="H2500" s="551">
        <v>32</v>
      </c>
      <c r="I2500" s="551">
        <v>5</v>
      </c>
      <c r="J2500" s="551">
        <v>2</v>
      </c>
      <c r="K2500" s="527">
        <f t="shared" si="1382"/>
        <v>0.0400965073529412</v>
      </c>
      <c r="L2500" s="528">
        <f t="shared" si="1383"/>
        <v>3.32123209169054</v>
      </c>
      <c r="M2500" s="528">
        <f t="shared" si="1384"/>
        <v>133.169806985294</v>
      </c>
      <c r="N2500" s="528">
        <f t="shared" si="1385"/>
        <v>73.9800364072435</v>
      </c>
      <c r="O2500" s="528">
        <f t="shared" si="1386"/>
        <v>0.0257879656160458</v>
      </c>
      <c r="P2500" s="529">
        <f t="shared" si="1387"/>
        <v>31.3272972972973</v>
      </c>
      <c r="Q2500" s="24">
        <f t="shared" si="1388"/>
        <v>37</v>
      </c>
      <c r="R2500" s="530">
        <f t="shared" si="1389"/>
        <v>0.106017191977077</v>
      </c>
    </row>
    <row r="2501" spans="1:18">
      <c r="A2501" s="524"/>
      <c r="B2501" s="540" t="s">
        <v>99</v>
      </c>
      <c r="C2501" s="551">
        <v>2448.64</v>
      </c>
      <c r="D2501" s="556">
        <v>11919</v>
      </c>
      <c r="E2501" s="551">
        <v>1676</v>
      </c>
      <c r="F2501" s="551">
        <v>24</v>
      </c>
      <c r="G2501" s="551">
        <v>220735</v>
      </c>
      <c r="H2501" s="555">
        <v>75</v>
      </c>
      <c r="I2501" s="555">
        <v>5</v>
      </c>
      <c r="J2501" s="555">
        <v>7</v>
      </c>
      <c r="K2501" s="527">
        <f t="shared" si="1382"/>
        <v>0.140615823475124</v>
      </c>
      <c r="L2501" s="528">
        <f t="shared" si="1383"/>
        <v>1.46100238663484</v>
      </c>
      <c r="M2501" s="528">
        <f t="shared" si="1384"/>
        <v>205.44005369578</v>
      </c>
      <c r="N2501" s="528">
        <f t="shared" si="1385"/>
        <v>90.1459585729221</v>
      </c>
      <c r="O2501" s="528">
        <f t="shared" si="1386"/>
        <v>0.0143198090692124</v>
      </c>
      <c r="P2501" s="529">
        <f t="shared" si="1387"/>
        <v>30.608</v>
      </c>
      <c r="Q2501" s="24">
        <f t="shared" si="1388"/>
        <v>80</v>
      </c>
      <c r="R2501" s="530">
        <f t="shared" si="1389"/>
        <v>0.0477326968973747</v>
      </c>
    </row>
    <row r="2502" spans="1:18">
      <c r="A2502" s="524"/>
      <c r="B2502" s="540" t="s">
        <v>100</v>
      </c>
      <c r="C2502" s="552">
        <v>0</v>
      </c>
      <c r="D2502" s="553">
        <v>0</v>
      </c>
      <c r="E2502" s="553">
        <v>0</v>
      </c>
      <c r="F2502" s="551">
        <v>0</v>
      </c>
      <c r="G2502" s="551">
        <v>0</v>
      </c>
      <c r="H2502" s="551">
        <v>0</v>
      </c>
      <c r="I2502" s="551">
        <v>0</v>
      </c>
      <c r="J2502" s="551">
        <v>0</v>
      </c>
      <c r="K2502" s="527">
        <f t="shared" si="1382"/>
        <v>0</v>
      </c>
      <c r="L2502" s="528">
        <f t="shared" si="1383"/>
        <v>0</v>
      </c>
      <c r="M2502" s="528">
        <f t="shared" si="1384"/>
        <v>0</v>
      </c>
      <c r="N2502" s="528">
        <f t="shared" si="1385"/>
        <v>0</v>
      </c>
      <c r="O2502" s="528">
        <f t="shared" si="1386"/>
        <v>0</v>
      </c>
      <c r="P2502" s="529">
        <f t="shared" si="1387"/>
        <v>0</v>
      </c>
      <c r="Q2502" s="24">
        <f t="shared" si="1388"/>
        <v>0</v>
      </c>
      <c r="R2502" s="530">
        <f t="shared" si="1389"/>
        <v>0</v>
      </c>
    </row>
    <row r="2503" spans="1:18">
      <c r="A2503" s="524"/>
      <c r="B2503" s="540" t="s">
        <v>101</v>
      </c>
      <c r="C2503" s="552">
        <v>2380.61</v>
      </c>
      <c r="D2503" s="553">
        <v>8748</v>
      </c>
      <c r="E2503" s="551">
        <v>320</v>
      </c>
      <c r="F2503" s="551">
        <v>11</v>
      </c>
      <c r="G2503" s="551">
        <v>101288</v>
      </c>
      <c r="H2503" s="551">
        <v>26</v>
      </c>
      <c r="I2503" s="551">
        <v>2</v>
      </c>
      <c r="J2503" s="551">
        <v>3</v>
      </c>
      <c r="K2503" s="527">
        <f t="shared" si="1382"/>
        <v>0.0365797896662094</v>
      </c>
      <c r="L2503" s="528">
        <f t="shared" si="1383"/>
        <v>7.43940625</v>
      </c>
      <c r="M2503" s="528">
        <f t="shared" si="1384"/>
        <v>272.131915866484</v>
      </c>
      <c r="N2503" s="528">
        <f t="shared" si="1385"/>
        <v>42.5470782698552</v>
      </c>
      <c r="O2503" s="528">
        <f t="shared" si="1386"/>
        <v>0.034375</v>
      </c>
      <c r="P2503" s="529">
        <f t="shared" si="1387"/>
        <v>85.0217857142857</v>
      </c>
      <c r="Q2503" s="24">
        <f t="shared" si="1388"/>
        <v>28</v>
      </c>
      <c r="R2503" s="530">
        <f t="shared" si="1389"/>
        <v>0.0875</v>
      </c>
    </row>
    <row r="2504" spans="1:18">
      <c r="A2504" s="524"/>
      <c r="B2504" s="531" t="s">
        <v>96</v>
      </c>
      <c r="C2504" s="533">
        <f t="shared" ref="C2504:J2504" si="1392">SUM(C2500:C2503)</f>
        <v>5988.36</v>
      </c>
      <c r="D2504" s="533">
        <f t="shared" si="1392"/>
        <v>29371</v>
      </c>
      <c r="E2504" s="533">
        <f t="shared" si="1392"/>
        <v>2345</v>
      </c>
      <c r="F2504" s="533">
        <f t="shared" si="1392"/>
        <v>44</v>
      </c>
      <c r="G2504" s="533">
        <f t="shared" si="1392"/>
        <v>407774</v>
      </c>
      <c r="H2504" s="533">
        <f t="shared" si="1392"/>
        <v>133</v>
      </c>
      <c r="I2504" s="533">
        <f t="shared" si="1392"/>
        <v>12</v>
      </c>
      <c r="J2504" s="533">
        <f t="shared" si="1392"/>
        <v>12</v>
      </c>
      <c r="K2504" s="534">
        <f t="shared" si="1382"/>
        <v>0.0798406591535869</v>
      </c>
      <c r="L2504" s="535">
        <f t="shared" si="1383"/>
        <v>2.55367164179105</v>
      </c>
      <c r="M2504" s="535">
        <f t="shared" si="1384"/>
        <v>203.886827142419</v>
      </c>
      <c r="N2504" s="535">
        <f t="shared" si="1385"/>
        <v>68.0944365402214</v>
      </c>
      <c r="O2504" s="535">
        <f t="shared" si="1386"/>
        <v>0.0187633262260128</v>
      </c>
      <c r="P2504" s="536">
        <f t="shared" si="1387"/>
        <v>41.2990344827586</v>
      </c>
      <c r="Q2504" s="531">
        <f t="shared" si="1388"/>
        <v>145</v>
      </c>
      <c r="R2504" s="537">
        <f t="shared" si="1389"/>
        <v>0.0618336886993603</v>
      </c>
    </row>
    <row r="2505" spans="1:18">
      <c r="A2505" s="524">
        <v>45951</v>
      </c>
      <c r="B2505" s="540" t="s">
        <v>98</v>
      </c>
      <c r="C2505" s="551">
        <v>1200</v>
      </c>
      <c r="D2505" s="553">
        <v>10035</v>
      </c>
      <c r="E2505" s="551">
        <v>451</v>
      </c>
      <c r="F2505" s="551">
        <v>6</v>
      </c>
      <c r="G2505" s="551">
        <v>53582</v>
      </c>
      <c r="H2505" s="551">
        <v>54</v>
      </c>
      <c r="I2505" s="551">
        <v>5</v>
      </c>
      <c r="J2505" s="551">
        <v>1</v>
      </c>
      <c r="K2505" s="527">
        <f t="shared" si="1382"/>
        <v>0.0449427005480817</v>
      </c>
      <c r="L2505" s="528">
        <f t="shared" si="1383"/>
        <v>2.66075388026608</v>
      </c>
      <c r="M2505" s="528">
        <f t="shared" si="1384"/>
        <v>119.581464872945</v>
      </c>
      <c r="N2505" s="528">
        <f t="shared" si="1385"/>
        <v>44.6516666666667</v>
      </c>
      <c r="O2505" s="528">
        <f t="shared" si="1386"/>
        <v>0.0133037694013304</v>
      </c>
      <c r="P2505" s="529">
        <f t="shared" si="1387"/>
        <v>20.3389830508475</v>
      </c>
      <c r="Q2505" s="24">
        <f t="shared" si="1388"/>
        <v>59</v>
      </c>
      <c r="R2505" s="530">
        <f t="shared" si="1389"/>
        <v>0.130820399113082</v>
      </c>
    </row>
    <row r="2506" spans="1:18">
      <c r="A2506" s="524"/>
      <c r="B2506" s="540" t="s">
        <v>99</v>
      </c>
      <c r="C2506" s="551">
        <v>2419.43</v>
      </c>
      <c r="D2506" s="556">
        <v>15834</v>
      </c>
      <c r="E2506" s="551">
        <v>1151</v>
      </c>
      <c r="F2506" s="551">
        <v>7</v>
      </c>
      <c r="G2506" s="551">
        <v>52646</v>
      </c>
      <c r="H2506" s="555">
        <v>37</v>
      </c>
      <c r="I2506" s="555">
        <v>1</v>
      </c>
      <c r="J2506" s="555">
        <v>1</v>
      </c>
      <c r="K2506" s="527">
        <f t="shared" si="1382"/>
        <v>0.072691676139952</v>
      </c>
      <c r="L2506" s="528">
        <f t="shared" si="1383"/>
        <v>2.10202432667246</v>
      </c>
      <c r="M2506" s="528">
        <f t="shared" si="1384"/>
        <v>152.799671592775</v>
      </c>
      <c r="N2506" s="528">
        <f t="shared" si="1385"/>
        <v>21.7596706662313</v>
      </c>
      <c r="O2506" s="528">
        <f t="shared" si="1386"/>
        <v>0.00608166811468288</v>
      </c>
      <c r="P2506" s="529">
        <f t="shared" si="1387"/>
        <v>63.6692105263158</v>
      </c>
      <c r="Q2506" s="24">
        <f t="shared" si="1388"/>
        <v>38</v>
      </c>
      <c r="R2506" s="530">
        <f t="shared" si="1389"/>
        <v>0.0330147697654214</v>
      </c>
    </row>
    <row r="2507" spans="1:18">
      <c r="A2507" s="524"/>
      <c r="B2507" s="540" t="s">
        <v>100</v>
      </c>
      <c r="C2507" s="552">
        <v>0</v>
      </c>
      <c r="D2507" s="553">
        <v>0</v>
      </c>
      <c r="E2507" s="553">
        <v>0</v>
      </c>
      <c r="F2507" s="551">
        <v>0</v>
      </c>
      <c r="G2507" s="551">
        <v>0</v>
      </c>
      <c r="H2507" s="551">
        <v>0</v>
      </c>
      <c r="I2507" s="551">
        <v>0</v>
      </c>
      <c r="J2507" s="551">
        <v>0</v>
      </c>
      <c r="K2507" s="527">
        <f t="shared" si="1382"/>
        <v>0</v>
      </c>
      <c r="L2507" s="528">
        <f t="shared" si="1383"/>
        <v>0</v>
      </c>
      <c r="M2507" s="528">
        <f t="shared" si="1384"/>
        <v>0</v>
      </c>
      <c r="N2507" s="528">
        <f t="shared" si="1385"/>
        <v>0</v>
      </c>
      <c r="O2507" s="528">
        <f t="shared" si="1386"/>
        <v>0</v>
      </c>
      <c r="P2507" s="529">
        <f t="shared" si="1387"/>
        <v>0</v>
      </c>
      <c r="Q2507" s="24">
        <f t="shared" si="1388"/>
        <v>0</v>
      </c>
      <c r="R2507" s="530">
        <f t="shared" si="1389"/>
        <v>0</v>
      </c>
    </row>
    <row r="2508" spans="1:18">
      <c r="A2508" s="524"/>
      <c r="B2508" s="540" t="s">
        <v>101</v>
      </c>
      <c r="C2508" s="552">
        <v>2439.63</v>
      </c>
      <c r="D2508" s="553">
        <v>11965</v>
      </c>
      <c r="E2508" s="551">
        <v>313</v>
      </c>
      <c r="F2508" s="551">
        <v>8</v>
      </c>
      <c r="G2508" s="551">
        <v>69379</v>
      </c>
      <c r="H2508" s="551">
        <v>9</v>
      </c>
      <c r="I2508" s="551">
        <v>2</v>
      </c>
      <c r="J2508" s="551">
        <v>2</v>
      </c>
      <c r="K2508" s="527">
        <f t="shared" si="1382"/>
        <v>0.0261596322607606</v>
      </c>
      <c r="L2508" s="528">
        <f t="shared" si="1383"/>
        <v>7.79434504792332</v>
      </c>
      <c r="M2508" s="528">
        <f t="shared" si="1384"/>
        <v>203.897200167154</v>
      </c>
      <c r="N2508" s="528">
        <f t="shared" si="1385"/>
        <v>28.4383287629682</v>
      </c>
      <c r="O2508" s="528">
        <f t="shared" si="1386"/>
        <v>0.0255591054313099</v>
      </c>
      <c r="P2508" s="529">
        <f t="shared" si="1387"/>
        <v>221.784545454545</v>
      </c>
      <c r="Q2508" s="24">
        <f t="shared" si="1388"/>
        <v>11</v>
      </c>
      <c r="R2508" s="530">
        <f t="shared" si="1389"/>
        <v>0.0351437699680511</v>
      </c>
    </row>
    <row r="2509" spans="1:18">
      <c r="A2509" s="524"/>
      <c r="B2509" s="531" t="s">
        <v>96</v>
      </c>
      <c r="C2509" s="533">
        <f t="shared" ref="C2509:J2509" si="1393">SUM(C2505:C2508)</f>
        <v>6059.06</v>
      </c>
      <c r="D2509" s="533">
        <f t="shared" si="1393"/>
        <v>37834</v>
      </c>
      <c r="E2509" s="533">
        <f t="shared" si="1393"/>
        <v>1915</v>
      </c>
      <c r="F2509" s="533">
        <f t="shared" si="1393"/>
        <v>21</v>
      </c>
      <c r="G2509" s="533">
        <f t="shared" si="1393"/>
        <v>175607</v>
      </c>
      <c r="H2509" s="533">
        <f t="shared" si="1393"/>
        <v>100</v>
      </c>
      <c r="I2509" s="533">
        <f t="shared" si="1393"/>
        <v>8</v>
      </c>
      <c r="J2509" s="533">
        <f t="shared" si="1393"/>
        <v>4</v>
      </c>
      <c r="K2509" s="534">
        <f t="shared" si="1382"/>
        <v>0.0506158481788867</v>
      </c>
      <c r="L2509" s="535">
        <f t="shared" si="1383"/>
        <v>3.164</v>
      </c>
      <c r="M2509" s="535">
        <f t="shared" si="1384"/>
        <v>160.148543637998</v>
      </c>
      <c r="N2509" s="535">
        <f t="shared" si="1385"/>
        <v>28.9825484481091</v>
      </c>
      <c r="O2509" s="535">
        <f t="shared" si="1386"/>
        <v>0.0109660574412533</v>
      </c>
      <c r="P2509" s="536">
        <f t="shared" si="1387"/>
        <v>56.1024074074074</v>
      </c>
      <c r="Q2509" s="531">
        <f t="shared" si="1388"/>
        <v>108</v>
      </c>
      <c r="R2509" s="537">
        <f t="shared" si="1389"/>
        <v>0.0563968668407311</v>
      </c>
    </row>
    <row r="2510" spans="1:18">
      <c r="A2510" s="524">
        <v>45952</v>
      </c>
      <c r="B2510" s="540" t="s">
        <v>98</v>
      </c>
      <c r="C2510" s="551">
        <v>1200</v>
      </c>
      <c r="D2510" s="553">
        <v>9907</v>
      </c>
      <c r="E2510" s="551">
        <v>408</v>
      </c>
      <c r="F2510" s="551">
        <v>8</v>
      </c>
      <c r="G2510" s="551">
        <v>64105</v>
      </c>
      <c r="H2510" s="551">
        <v>33</v>
      </c>
      <c r="I2510" s="551">
        <v>4</v>
      </c>
      <c r="J2510" s="551">
        <v>4</v>
      </c>
      <c r="K2510" s="527">
        <f t="shared" si="1382"/>
        <v>0.0411830019178359</v>
      </c>
      <c r="L2510" s="528">
        <f t="shared" si="1383"/>
        <v>2.94117647058824</v>
      </c>
      <c r="M2510" s="528">
        <f t="shared" si="1384"/>
        <v>121.126476228929</v>
      </c>
      <c r="N2510" s="528">
        <f t="shared" si="1385"/>
        <v>53.4208333333333</v>
      </c>
      <c r="O2510" s="528">
        <f t="shared" si="1386"/>
        <v>0.0196078431372549</v>
      </c>
      <c r="P2510" s="529">
        <f t="shared" si="1387"/>
        <v>32.4324324324324</v>
      </c>
      <c r="Q2510" s="24">
        <f t="shared" si="1388"/>
        <v>37</v>
      </c>
      <c r="R2510" s="530">
        <f t="shared" si="1389"/>
        <v>0.0906862745098039</v>
      </c>
    </row>
    <row r="2511" spans="1:18">
      <c r="A2511" s="524"/>
      <c r="B2511" s="540" t="s">
        <v>99</v>
      </c>
      <c r="C2511" s="551">
        <v>1964.14</v>
      </c>
      <c r="D2511" s="556">
        <v>12409</v>
      </c>
      <c r="E2511" s="551">
        <v>866</v>
      </c>
      <c r="F2511" s="551">
        <v>8</v>
      </c>
      <c r="G2511" s="551">
        <v>44567</v>
      </c>
      <c r="H2511" s="555">
        <v>37</v>
      </c>
      <c r="I2511" s="555">
        <v>2</v>
      </c>
      <c r="J2511" s="555">
        <v>1</v>
      </c>
      <c r="K2511" s="527">
        <f t="shared" si="1382"/>
        <v>0.069788057055363</v>
      </c>
      <c r="L2511" s="528">
        <f t="shared" si="1383"/>
        <v>2.26806004618938</v>
      </c>
      <c r="M2511" s="528">
        <f t="shared" si="1384"/>
        <v>158.283503908454</v>
      </c>
      <c r="N2511" s="528">
        <f t="shared" si="1385"/>
        <v>22.6903377559644</v>
      </c>
      <c r="O2511" s="528">
        <f t="shared" si="1386"/>
        <v>0.0092378752886836</v>
      </c>
      <c r="P2511" s="529">
        <f t="shared" si="1387"/>
        <v>50.3625641025641</v>
      </c>
      <c r="Q2511" s="24">
        <f t="shared" si="1388"/>
        <v>39</v>
      </c>
      <c r="R2511" s="530">
        <f t="shared" si="1389"/>
        <v>0.0450346420323326</v>
      </c>
    </row>
    <row r="2512" spans="1:18">
      <c r="A2512" s="524"/>
      <c r="B2512" s="540" t="s">
        <v>100</v>
      </c>
      <c r="C2512" s="552">
        <v>0</v>
      </c>
      <c r="D2512" s="553">
        <v>0</v>
      </c>
      <c r="E2512" s="553">
        <v>0</v>
      </c>
      <c r="F2512" s="551">
        <v>0</v>
      </c>
      <c r="G2512" s="551">
        <v>0</v>
      </c>
      <c r="H2512" s="551">
        <v>0</v>
      </c>
      <c r="I2512" s="551">
        <v>0</v>
      </c>
      <c r="J2512" s="551">
        <v>0</v>
      </c>
      <c r="K2512" s="527">
        <f t="shared" si="1382"/>
        <v>0</v>
      </c>
      <c r="L2512" s="528">
        <f t="shared" si="1383"/>
        <v>0</v>
      </c>
      <c r="M2512" s="528">
        <f t="shared" si="1384"/>
        <v>0</v>
      </c>
      <c r="N2512" s="528">
        <f t="shared" si="1385"/>
        <v>0</v>
      </c>
      <c r="O2512" s="528">
        <f t="shared" si="1386"/>
        <v>0</v>
      </c>
      <c r="P2512" s="529">
        <f t="shared" si="1387"/>
        <v>0</v>
      </c>
      <c r="Q2512" s="24">
        <f t="shared" si="1388"/>
        <v>0</v>
      </c>
      <c r="R2512" s="530">
        <f t="shared" si="1389"/>
        <v>0</v>
      </c>
    </row>
    <row r="2513" spans="1:18">
      <c r="A2513" s="524"/>
      <c r="B2513" s="540" t="s">
        <v>101</v>
      </c>
      <c r="C2513" s="552">
        <v>2500</v>
      </c>
      <c r="D2513" s="553">
        <v>14047</v>
      </c>
      <c r="E2513" s="551">
        <v>439</v>
      </c>
      <c r="F2513" s="551">
        <v>11</v>
      </c>
      <c r="G2513" s="551">
        <v>81775</v>
      </c>
      <c r="H2513" s="551">
        <v>16</v>
      </c>
      <c r="I2513" s="551">
        <v>3</v>
      </c>
      <c r="J2513" s="551">
        <v>3</v>
      </c>
      <c r="K2513" s="527">
        <f t="shared" si="1382"/>
        <v>0.0312522246743077</v>
      </c>
      <c r="L2513" s="528">
        <f t="shared" si="1383"/>
        <v>5.69476082004556</v>
      </c>
      <c r="M2513" s="528">
        <f t="shared" si="1384"/>
        <v>177.973944614508</v>
      </c>
      <c r="N2513" s="528">
        <f t="shared" si="1385"/>
        <v>32.71</v>
      </c>
      <c r="O2513" s="528">
        <f t="shared" si="1386"/>
        <v>0.0250569476082005</v>
      </c>
      <c r="P2513" s="529">
        <f t="shared" si="1387"/>
        <v>131.578947368421</v>
      </c>
      <c r="Q2513" s="24">
        <f t="shared" si="1388"/>
        <v>19</v>
      </c>
      <c r="R2513" s="530">
        <f t="shared" si="1389"/>
        <v>0.0432801822323462</v>
      </c>
    </row>
    <row r="2514" spans="1:18">
      <c r="A2514" s="524"/>
      <c r="B2514" s="531" t="s">
        <v>96</v>
      </c>
      <c r="C2514" s="533">
        <f t="shared" ref="C2514:J2514" si="1394">SUM(C2510:C2513)</f>
        <v>5664.14</v>
      </c>
      <c r="D2514" s="533">
        <f t="shared" si="1394"/>
        <v>36363</v>
      </c>
      <c r="E2514" s="533">
        <f t="shared" si="1394"/>
        <v>1713</v>
      </c>
      <c r="F2514" s="533">
        <f t="shared" si="1394"/>
        <v>27</v>
      </c>
      <c r="G2514" s="533">
        <f t="shared" si="1394"/>
        <v>190447</v>
      </c>
      <c r="H2514" s="533">
        <f t="shared" si="1394"/>
        <v>86</v>
      </c>
      <c r="I2514" s="533">
        <f t="shared" si="1394"/>
        <v>9</v>
      </c>
      <c r="J2514" s="533">
        <f t="shared" si="1394"/>
        <v>8</v>
      </c>
      <c r="K2514" s="534">
        <f t="shared" si="1382"/>
        <v>0.0471083243956769</v>
      </c>
      <c r="L2514" s="535">
        <f t="shared" si="1383"/>
        <v>3.30656158785756</v>
      </c>
      <c r="M2514" s="535">
        <f t="shared" si="1384"/>
        <v>155.766575915079</v>
      </c>
      <c r="N2514" s="535">
        <f t="shared" si="1385"/>
        <v>33.6232861475882</v>
      </c>
      <c r="O2514" s="535">
        <f t="shared" si="1386"/>
        <v>0.0157618213660245</v>
      </c>
      <c r="P2514" s="536">
        <f t="shared" si="1387"/>
        <v>59.6225263157895</v>
      </c>
      <c r="Q2514" s="531">
        <f t="shared" si="1388"/>
        <v>95</v>
      </c>
      <c r="R2514" s="537">
        <f t="shared" si="1389"/>
        <v>0.0554582603619381</v>
      </c>
    </row>
    <row r="2515" spans="1:18">
      <c r="A2515" s="524">
        <v>45953</v>
      </c>
      <c r="B2515" s="540" t="s">
        <v>98</v>
      </c>
      <c r="C2515" s="551">
        <v>1200</v>
      </c>
      <c r="D2515" s="553">
        <v>11193</v>
      </c>
      <c r="E2515" s="551">
        <v>468</v>
      </c>
      <c r="F2515" s="551">
        <v>5</v>
      </c>
      <c r="G2515" s="551">
        <v>51777</v>
      </c>
      <c r="H2515" s="551">
        <v>27</v>
      </c>
      <c r="I2515" s="551">
        <v>3</v>
      </c>
      <c r="J2515" s="551">
        <v>4</v>
      </c>
      <c r="K2515" s="527">
        <f t="shared" si="1382"/>
        <v>0.0418118466898955</v>
      </c>
      <c r="L2515" s="528">
        <f t="shared" si="1383"/>
        <v>2.56410256410256</v>
      </c>
      <c r="M2515" s="528">
        <f t="shared" si="1384"/>
        <v>107.209863307424</v>
      </c>
      <c r="N2515" s="528">
        <f t="shared" si="1385"/>
        <v>43.1475</v>
      </c>
      <c r="O2515" s="528">
        <f t="shared" si="1386"/>
        <v>0.0106837606837607</v>
      </c>
      <c r="P2515" s="529">
        <f t="shared" si="1387"/>
        <v>40</v>
      </c>
      <c r="Q2515" s="24">
        <f t="shared" si="1388"/>
        <v>30</v>
      </c>
      <c r="R2515" s="530">
        <f t="shared" si="1389"/>
        <v>0.0641025641025641</v>
      </c>
    </row>
    <row r="2516" spans="1:18">
      <c r="A2516" s="524"/>
      <c r="B2516" s="540" t="s">
        <v>99</v>
      </c>
      <c r="C2516" s="551">
        <v>1960.71</v>
      </c>
      <c r="D2516" s="556">
        <v>10660</v>
      </c>
      <c r="E2516" s="551">
        <v>908</v>
      </c>
      <c r="F2516" s="551">
        <v>10</v>
      </c>
      <c r="G2516" s="551">
        <v>72927</v>
      </c>
      <c r="H2516" s="555">
        <v>42</v>
      </c>
      <c r="I2516" s="555">
        <v>3</v>
      </c>
      <c r="J2516" s="555">
        <v>8</v>
      </c>
      <c r="K2516" s="527">
        <f t="shared" si="1382"/>
        <v>0.0851782363977486</v>
      </c>
      <c r="L2516" s="528">
        <f t="shared" si="1383"/>
        <v>2.15937224669604</v>
      </c>
      <c r="M2516" s="528">
        <f t="shared" si="1384"/>
        <v>183.931519699812</v>
      </c>
      <c r="N2516" s="528">
        <f t="shared" si="1385"/>
        <v>37.1941796594091</v>
      </c>
      <c r="O2516" s="528">
        <f t="shared" si="1386"/>
        <v>0.0110132158590308</v>
      </c>
      <c r="P2516" s="529">
        <f t="shared" si="1387"/>
        <v>43.5713333333333</v>
      </c>
      <c r="Q2516" s="24">
        <f t="shared" si="1388"/>
        <v>45</v>
      </c>
      <c r="R2516" s="530">
        <f t="shared" si="1389"/>
        <v>0.0495594713656388</v>
      </c>
    </row>
    <row r="2517" spans="1:18">
      <c r="A2517" s="524"/>
      <c r="B2517" s="540" t="s">
        <v>100</v>
      </c>
      <c r="C2517" s="552">
        <v>0</v>
      </c>
      <c r="D2517" s="553">
        <v>0</v>
      </c>
      <c r="E2517" s="553">
        <v>0</v>
      </c>
      <c r="F2517" s="551">
        <v>0</v>
      </c>
      <c r="G2517" s="551">
        <v>0</v>
      </c>
      <c r="H2517" s="551">
        <v>0</v>
      </c>
      <c r="I2517" s="551">
        <v>0</v>
      </c>
      <c r="J2517" s="551">
        <v>0</v>
      </c>
      <c r="K2517" s="527">
        <f t="shared" si="1382"/>
        <v>0</v>
      </c>
      <c r="L2517" s="528">
        <f t="shared" si="1383"/>
        <v>0</v>
      </c>
      <c r="M2517" s="528">
        <f t="shared" si="1384"/>
        <v>0</v>
      </c>
      <c r="N2517" s="528">
        <f t="shared" si="1385"/>
        <v>0</v>
      </c>
      <c r="O2517" s="528">
        <f t="shared" si="1386"/>
        <v>0</v>
      </c>
      <c r="P2517" s="529">
        <f t="shared" si="1387"/>
        <v>0</v>
      </c>
      <c r="Q2517" s="24">
        <f t="shared" si="1388"/>
        <v>0</v>
      </c>
      <c r="R2517" s="530">
        <f t="shared" si="1389"/>
        <v>0</v>
      </c>
    </row>
    <row r="2518" spans="1:18">
      <c r="A2518" s="524"/>
      <c r="B2518" s="540" t="s">
        <v>101</v>
      </c>
      <c r="C2518" s="552">
        <v>2420.3</v>
      </c>
      <c r="D2518" s="553">
        <v>13948</v>
      </c>
      <c r="E2518" s="551">
        <v>595</v>
      </c>
      <c r="F2518" s="551">
        <v>10</v>
      </c>
      <c r="G2518" s="551">
        <v>102972</v>
      </c>
      <c r="H2518" s="551">
        <v>38</v>
      </c>
      <c r="I2518" s="551">
        <v>5</v>
      </c>
      <c r="J2518" s="551">
        <v>4</v>
      </c>
      <c r="K2518" s="527">
        <f t="shared" si="1382"/>
        <v>0.0426584456552911</v>
      </c>
      <c r="L2518" s="528">
        <f t="shared" si="1383"/>
        <v>4.06773109243697</v>
      </c>
      <c r="M2518" s="528">
        <f t="shared" si="1384"/>
        <v>173.523085747061</v>
      </c>
      <c r="N2518" s="528">
        <f t="shared" si="1385"/>
        <v>42.5451390323514</v>
      </c>
      <c r="O2518" s="528">
        <f t="shared" si="1386"/>
        <v>0.0168067226890756</v>
      </c>
      <c r="P2518" s="529">
        <f t="shared" si="1387"/>
        <v>56.2860465116279</v>
      </c>
      <c r="Q2518" s="24">
        <f t="shared" si="1388"/>
        <v>43</v>
      </c>
      <c r="R2518" s="530">
        <f t="shared" si="1389"/>
        <v>0.0722689075630252</v>
      </c>
    </row>
    <row r="2519" spans="1:18">
      <c r="A2519" s="524"/>
      <c r="B2519" s="531" t="s">
        <v>96</v>
      </c>
      <c r="C2519" s="533">
        <f t="shared" ref="C2519:J2519" si="1395">SUM(C2515:C2518)</f>
        <v>5581.01</v>
      </c>
      <c r="D2519" s="533">
        <f t="shared" si="1395"/>
        <v>35801</v>
      </c>
      <c r="E2519" s="533">
        <f t="shared" si="1395"/>
        <v>1971</v>
      </c>
      <c r="F2519" s="533">
        <f t="shared" si="1395"/>
        <v>25</v>
      </c>
      <c r="G2519" s="533">
        <f t="shared" si="1395"/>
        <v>227676</v>
      </c>
      <c r="H2519" s="533">
        <f t="shared" si="1395"/>
        <v>107</v>
      </c>
      <c r="I2519" s="533">
        <f t="shared" si="1395"/>
        <v>11</v>
      </c>
      <c r="J2519" s="533">
        <f t="shared" si="1395"/>
        <v>16</v>
      </c>
      <c r="K2519" s="534">
        <f t="shared" si="1382"/>
        <v>0.0550543280913941</v>
      </c>
      <c r="L2519" s="535">
        <f t="shared" si="1383"/>
        <v>2.83156265854896</v>
      </c>
      <c r="M2519" s="535">
        <f t="shared" si="1384"/>
        <v>155.889779615095</v>
      </c>
      <c r="N2519" s="535">
        <f t="shared" si="1385"/>
        <v>40.7947665386731</v>
      </c>
      <c r="O2519" s="535">
        <f t="shared" si="1386"/>
        <v>0.0126839167935058</v>
      </c>
      <c r="P2519" s="536">
        <f t="shared" si="1387"/>
        <v>47.2966949152542</v>
      </c>
      <c r="Q2519" s="531">
        <f t="shared" si="1388"/>
        <v>118</v>
      </c>
      <c r="R2519" s="537">
        <f t="shared" si="1389"/>
        <v>0.0598680872653475</v>
      </c>
    </row>
    <row r="2520" spans="1:18">
      <c r="A2520" s="524">
        <v>45954</v>
      </c>
      <c r="B2520" s="540" t="s">
        <v>98</v>
      </c>
      <c r="C2520" s="551">
        <v>1200</v>
      </c>
      <c r="D2520" s="553">
        <v>10695</v>
      </c>
      <c r="E2520" s="551">
        <v>415</v>
      </c>
      <c r="F2520" s="551">
        <v>3</v>
      </c>
      <c r="G2520" s="551">
        <v>30546</v>
      </c>
      <c r="H2520" s="551">
        <v>44</v>
      </c>
      <c r="I2520" s="551">
        <v>2</v>
      </c>
      <c r="J2520" s="551">
        <v>3</v>
      </c>
      <c r="K2520" s="527">
        <f t="shared" si="1382"/>
        <v>0.0388031790556335</v>
      </c>
      <c r="L2520" s="528">
        <f t="shared" si="1383"/>
        <v>2.89156626506024</v>
      </c>
      <c r="M2520" s="528">
        <f t="shared" si="1384"/>
        <v>112.201963534362</v>
      </c>
      <c r="N2520" s="528">
        <f t="shared" si="1385"/>
        <v>25.455</v>
      </c>
      <c r="O2520" s="528">
        <f t="shared" si="1386"/>
        <v>0.0072289156626506</v>
      </c>
      <c r="P2520" s="529">
        <f t="shared" si="1387"/>
        <v>26.0869565217391</v>
      </c>
      <c r="Q2520" s="24">
        <f t="shared" si="1388"/>
        <v>46</v>
      </c>
      <c r="R2520" s="530">
        <f t="shared" si="1389"/>
        <v>0.110843373493976</v>
      </c>
    </row>
    <row r="2521" spans="1:18">
      <c r="A2521" s="524"/>
      <c r="B2521" s="540" t="s">
        <v>99</v>
      </c>
      <c r="C2521" s="551">
        <v>1943.05</v>
      </c>
      <c r="D2521" s="556">
        <v>11909</v>
      </c>
      <c r="E2521" s="551">
        <v>982</v>
      </c>
      <c r="F2521" s="551">
        <v>3</v>
      </c>
      <c r="G2521" s="551">
        <v>11198</v>
      </c>
      <c r="H2521" s="555">
        <v>41</v>
      </c>
      <c r="I2521" s="555">
        <v>5</v>
      </c>
      <c r="J2521" s="555">
        <v>4</v>
      </c>
      <c r="K2521" s="527">
        <f t="shared" si="1382"/>
        <v>0.0824586447224788</v>
      </c>
      <c r="L2521" s="528">
        <f t="shared" si="1383"/>
        <v>1.97866598778004</v>
      </c>
      <c r="M2521" s="528">
        <f t="shared" si="1384"/>
        <v>163.158115710807</v>
      </c>
      <c r="N2521" s="528">
        <f t="shared" si="1385"/>
        <v>5.76310439772523</v>
      </c>
      <c r="O2521" s="528">
        <f t="shared" si="1386"/>
        <v>0.00305498981670061</v>
      </c>
      <c r="P2521" s="529">
        <f t="shared" si="1387"/>
        <v>42.2402173913043</v>
      </c>
      <c r="Q2521" s="24">
        <f t="shared" si="1388"/>
        <v>46</v>
      </c>
      <c r="R2521" s="530">
        <f t="shared" si="1389"/>
        <v>0.0468431771894094</v>
      </c>
    </row>
    <row r="2522" spans="1:18">
      <c r="A2522" s="524"/>
      <c r="B2522" s="540" t="s">
        <v>100</v>
      </c>
      <c r="C2522" s="552">
        <v>0</v>
      </c>
      <c r="D2522" s="553">
        <v>0</v>
      </c>
      <c r="E2522" s="553">
        <v>0</v>
      </c>
      <c r="F2522" s="551">
        <v>0</v>
      </c>
      <c r="G2522" s="551">
        <v>0</v>
      </c>
      <c r="H2522" s="551">
        <v>0</v>
      </c>
      <c r="I2522" s="551">
        <v>0</v>
      </c>
      <c r="J2522" s="551">
        <v>0</v>
      </c>
      <c r="K2522" s="527">
        <f t="shared" si="1382"/>
        <v>0</v>
      </c>
      <c r="L2522" s="528">
        <f t="shared" si="1383"/>
        <v>0</v>
      </c>
      <c r="M2522" s="528">
        <f t="shared" si="1384"/>
        <v>0</v>
      </c>
      <c r="N2522" s="528">
        <f t="shared" si="1385"/>
        <v>0</v>
      </c>
      <c r="O2522" s="528">
        <f t="shared" si="1386"/>
        <v>0</v>
      </c>
      <c r="P2522" s="529">
        <f t="shared" si="1387"/>
        <v>0</v>
      </c>
      <c r="Q2522" s="24">
        <f t="shared" si="1388"/>
        <v>0</v>
      </c>
      <c r="R2522" s="530">
        <f t="shared" si="1389"/>
        <v>0</v>
      </c>
    </row>
    <row r="2523" spans="1:18">
      <c r="A2523" s="524"/>
      <c r="B2523" s="540" t="s">
        <v>101</v>
      </c>
      <c r="C2523" s="552">
        <v>1918.79</v>
      </c>
      <c r="D2523" s="553">
        <v>34628</v>
      </c>
      <c r="E2523" s="551">
        <v>945</v>
      </c>
      <c r="F2523" s="551">
        <v>11</v>
      </c>
      <c r="G2523" s="551">
        <v>107189</v>
      </c>
      <c r="H2523" s="551">
        <v>57</v>
      </c>
      <c r="I2523" s="551">
        <v>6</v>
      </c>
      <c r="J2523" s="551">
        <v>1</v>
      </c>
      <c r="K2523" s="527">
        <f t="shared" si="1382"/>
        <v>0.0272900542913249</v>
      </c>
      <c r="L2523" s="528">
        <f t="shared" si="1383"/>
        <v>2.03046560846561</v>
      </c>
      <c r="M2523" s="528">
        <f t="shared" si="1384"/>
        <v>55.4115166916946</v>
      </c>
      <c r="N2523" s="528">
        <f t="shared" si="1385"/>
        <v>55.862809374658</v>
      </c>
      <c r="O2523" s="528">
        <f t="shared" si="1386"/>
        <v>0.0116402116402116</v>
      </c>
      <c r="P2523" s="529">
        <f t="shared" si="1387"/>
        <v>30.4569841269841</v>
      </c>
      <c r="Q2523" s="24">
        <f t="shared" si="1388"/>
        <v>63</v>
      </c>
      <c r="R2523" s="530">
        <f t="shared" si="1389"/>
        <v>0.0666666666666667</v>
      </c>
    </row>
    <row r="2524" spans="1:18">
      <c r="A2524" s="524"/>
      <c r="B2524" s="531" t="s">
        <v>96</v>
      </c>
      <c r="C2524" s="533">
        <f t="shared" ref="C2524:J2524" si="1396">SUM(C2520:C2523)</f>
        <v>5061.84</v>
      </c>
      <c r="D2524" s="533">
        <f t="shared" si="1396"/>
        <v>57232</v>
      </c>
      <c r="E2524" s="533">
        <f t="shared" si="1396"/>
        <v>2342</v>
      </c>
      <c r="F2524" s="533">
        <f t="shared" si="1396"/>
        <v>17</v>
      </c>
      <c r="G2524" s="533">
        <f t="shared" si="1396"/>
        <v>148933</v>
      </c>
      <c r="H2524" s="533">
        <f t="shared" si="1396"/>
        <v>142</v>
      </c>
      <c r="I2524" s="533">
        <f t="shared" si="1396"/>
        <v>13</v>
      </c>
      <c r="J2524" s="533">
        <f t="shared" si="1396"/>
        <v>8</v>
      </c>
      <c r="K2524" s="534">
        <f t="shared" si="1382"/>
        <v>0.0409211629857422</v>
      </c>
      <c r="L2524" s="535">
        <f t="shared" si="1383"/>
        <v>2.16133219470538</v>
      </c>
      <c r="M2524" s="535">
        <f t="shared" si="1384"/>
        <v>88.4442270058708</v>
      </c>
      <c r="N2524" s="535">
        <f t="shared" si="1385"/>
        <v>29.4227000458331</v>
      </c>
      <c r="O2524" s="535">
        <f t="shared" si="1386"/>
        <v>0.00725875320239112</v>
      </c>
      <c r="P2524" s="536">
        <f t="shared" si="1387"/>
        <v>32.6570322580645</v>
      </c>
      <c r="Q2524" s="531">
        <f t="shared" si="1388"/>
        <v>155</v>
      </c>
      <c r="R2524" s="537">
        <f t="shared" si="1389"/>
        <v>0.0661827497865073</v>
      </c>
    </row>
    <row r="2525" spans="1:18">
      <c r="A2525" s="524">
        <v>45955</v>
      </c>
      <c r="B2525" s="540" t="s">
        <v>98</v>
      </c>
      <c r="C2525" s="551">
        <v>1199.03</v>
      </c>
      <c r="D2525" s="553">
        <v>10318</v>
      </c>
      <c r="E2525" s="551">
        <v>439</v>
      </c>
      <c r="F2525" s="551">
        <v>0</v>
      </c>
      <c r="G2525" s="551">
        <v>0</v>
      </c>
      <c r="H2525" s="551">
        <v>23</v>
      </c>
      <c r="I2525" s="551">
        <v>9</v>
      </c>
      <c r="J2525" s="551">
        <v>0</v>
      </c>
      <c r="K2525" s="527">
        <f t="shared" si="1382"/>
        <v>0.0425470052335724</v>
      </c>
      <c r="L2525" s="528">
        <f t="shared" si="1383"/>
        <v>2.73127562642369</v>
      </c>
      <c r="M2525" s="528">
        <f t="shared" si="1384"/>
        <v>116.207598371777</v>
      </c>
      <c r="N2525" s="528">
        <f t="shared" si="1385"/>
        <v>0</v>
      </c>
      <c r="O2525" s="528">
        <f t="shared" si="1386"/>
        <v>0</v>
      </c>
      <c r="P2525" s="529">
        <f t="shared" si="1387"/>
        <v>37.4696875</v>
      </c>
      <c r="Q2525" s="24">
        <f t="shared" si="1388"/>
        <v>32</v>
      </c>
      <c r="R2525" s="530">
        <f t="shared" si="1389"/>
        <v>0.0728929384965831</v>
      </c>
    </row>
    <row r="2526" spans="1:18">
      <c r="A2526" s="524"/>
      <c r="B2526" s="540" t="s">
        <v>99</v>
      </c>
      <c r="C2526" s="551">
        <v>1964.1</v>
      </c>
      <c r="D2526" s="556">
        <v>14887</v>
      </c>
      <c r="E2526" s="551">
        <v>1056</v>
      </c>
      <c r="F2526" s="551">
        <v>2</v>
      </c>
      <c r="G2526" s="551">
        <v>5866</v>
      </c>
      <c r="H2526" s="555">
        <v>29</v>
      </c>
      <c r="I2526" s="555">
        <v>0</v>
      </c>
      <c r="J2526" s="555">
        <v>7</v>
      </c>
      <c r="K2526" s="527">
        <f t="shared" si="1382"/>
        <v>0.070934372271109</v>
      </c>
      <c r="L2526" s="528">
        <f t="shared" si="1383"/>
        <v>1.85994318181818</v>
      </c>
      <c r="M2526" s="528">
        <f t="shared" si="1384"/>
        <v>131.933902062202</v>
      </c>
      <c r="N2526" s="528">
        <f t="shared" si="1385"/>
        <v>2.98660964309353</v>
      </c>
      <c r="O2526" s="528">
        <f t="shared" si="1386"/>
        <v>0.00189393939393939</v>
      </c>
      <c r="P2526" s="529">
        <f t="shared" si="1387"/>
        <v>67.7275862068965</v>
      </c>
      <c r="Q2526" s="24">
        <f t="shared" si="1388"/>
        <v>29</v>
      </c>
      <c r="R2526" s="530">
        <f t="shared" si="1389"/>
        <v>0.0274621212121212</v>
      </c>
    </row>
    <row r="2527" spans="1:18">
      <c r="A2527" s="524"/>
      <c r="B2527" s="540" t="s">
        <v>100</v>
      </c>
      <c r="C2527" s="552">
        <v>0</v>
      </c>
      <c r="D2527" s="553">
        <v>0</v>
      </c>
      <c r="E2527" s="553">
        <v>0</v>
      </c>
      <c r="F2527" s="551">
        <v>0</v>
      </c>
      <c r="G2527" s="551">
        <v>0</v>
      </c>
      <c r="H2527" s="551">
        <v>0</v>
      </c>
      <c r="I2527" s="551">
        <v>0</v>
      </c>
      <c r="J2527" s="551">
        <v>0</v>
      </c>
      <c r="K2527" s="527">
        <f t="shared" si="1382"/>
        <v>0</v>
      </c>
      <c r="L2527" s="528">
        <f t="shared" si="1383"/>
        <v>0</v>
      </c>
      <c r="M2527" s="528">
        <f t="shared" si="1384"/>
        <v>0</v>
      </c>
      <c r="N2527" s="528">
        <f t="shared" si="1385"/>
        <v>0</v>
      </c>
      <c r="O2527" s="528">
        <f t="shared" si="1386"/>
        <v>0</v>
      </c>
      <c r="P2527" s="529">
        <f t="shared" si="1387"/>
        <v>0</v>
      </c>
      <c r="Q2527" s="24">
        <f t="shared" si="1388"/>
        <v>0</v>
      </c>
      <c r="R2527" s="530">
        <f t="shared" si="1389"/>
        <v>0</v>
      </c>
    </row>
    <row r="2528" spans="1:18">
      <c r="A2528" s="524"/>
      <c r="B2528" s="540" t="s">
        <v>101</v>
      </c>
      <c r="C2528" s="552">
        <v>1968.96</v>
      </c>
      <c r="D2528" s="553">
        <v>34141</v>
      </c>
      <c r="E2528" s="551">
        <v>1066</v>
      </c>
      <c r="F2528" s="551">
        <v>23</v>
      </c>
      <c r="G2528" s="551">
        <v>187110</v>
      </c>
      <c r="H2528" s="551">
        <v>50</v>
      </c>
      <c r="I2528" s="551">
        <v>11</v>
      </c>
      <c r="J2528" s="551">
        <v>3</v>
      </c>
      <c r="K2528" s="527">
        <f t="shared" si="1382"/>
        <v>0.0312234556691368</v>
      </c>
      <c r="L2528" s="528">
        <f t="shared" si="1383"/>
        <v>1.84705440900563</v>
      </c>
      <c r="M2528" s="528">
        <f t="shared" si="1384"/>
        <v>57.6714214580709</v>
      </c>
      <c r="N2528" s="528">
        <f t="shared" si="1385"/>
        <v>95.0298634812287</v>
      </c>
      <c r="O2528" s="528">
        <f t="shared" si="1386"/>
        <v>0.0215759849906191</v>
      </c>
      <c r="P2528" s="529">
        <f t="shared" si="1387"/>
        <v>32.2780327868852</v>
      </c>
      <c r="Q2528" s="24">
        <f t="shared" si="1388"/>
        <v>61</v>
      </c>
      <c r="R2528" s="530">
        <f t="shared" si="1389"/>
        <v>0.0572232645403377</v>
      </c>
    </row>
    <row r="2529" spans="1:18">
      <c r="A2529" s="524"/>
      <c r="B2529" s="531" t="s">
        <v>96</v>
      </c>
      <c r="C2529" s="533">
        <f t="shared" ref="C2529:J2529" si="1397">SUM(C2525:C2528)</f>
        <v>5132.09</v>
      </c>
      <c r="D2529" s="533">
        <f t="shared" si="1397"/>
        <v>59346</v>
      </c>
      <c r="E2529" s="533">
        <f t="shared" si="1397"/>
        <v>2561</v>
      </c>
      <c r="F2529" s="533">
        <f t="shared" si="1397"/>
        <v>25</v>
      </c>
      <c r="G2529" s="533">
        <f t="shared" si="1397"/>
        <v>192976</v>
      </c>
      <c r="H2529" s="533">
        <f t="shared" si="1397"/>
        <v>102</v>
      </c>
      <c r="I2529" s="533">
        <f t="shared" si="1397"/>
        <v>20</v>
      </c>
      <c r="J2529" s="533">
        <f t="shared" si="1397"/>
        <v>10</v>
      </c>
      <c r="K2529" s="534">
        <f t="shared" si="1382"/>
        <v>0.0431537087588043</v>
      </c>
      <c r="L2529" s="535">
        <f t="shared" si="1383"/>
        <v>2.00393986723936</v>
      </c>
      <c r="M2529" s="535">
        <f t="shared" si="1384"/>
        <v>86.4774374010043</v>
      </c>
      <c r="N2529" s="535">
        <f t="shared" si="1385"/>
        <v>37.6018347301002</v>
      </c>
      <c r="O2529" s="535">
        <f t="shared" si="1386"/>
        <v>0.00976181179226865</v>
      </c>
      <c r="P2529" s="536">
        <f t="shared" si="1387"/>
        <v>42.0663114754098</v>
      </c>
      <c r="Q2529" s="531">
        <f t="shared" si="1388"/>
        <v>122</v>
      </c>
      <c r="R2529" s="537">
        <f t="shared" si="1389"/>
        <v>0.047637641546271</v>
      </c>
    </row>
    <row r="2530" spans="1:18">
      <c r="A2530" s="524">
        <v>45956</v>
      </c>
      <c r="B2530" s="540" t="s">
        <v>98</v>
      </c>
      <c r="C2530" s="551">
        <v>1200</v>
      </c>
      <c r="D2530" s="553">
        <v>10019</v>
      </c>
      <c r="E2530" s="551">
        <v>417</v>
      </c>
      <c r="F2530" s="551">
        <v>3</v>
      </c>
      <c r="G2530" s="551">
        <v>33773</v>
      </c>
      <c r="H2530" s="551">
        <v>37</v>
      </c>
      <c r="I2530" s="551">
        <v>7</v>
      </c>
      <c r="J2530" s="551">
        <v>3</v>
      </c>
      <c r="K2530" s="527">
        <f t="shared" si="1382"/>
        <v>0.0416209202515221</v>
      </c>
      <c r="L2530" s="528">
        <f t="shared" si="1383"/>
        <v>2.87769784172662</v>
      </c>
      <c r="M2530" s="528">
        <f t="shared" si="1384"/>
        <v>119.772432378481</v>
      </c>
      <c r="N2530" s="528">
        <f t="shared" si="1385"/>
        <v>28.1441666666667</v>
      </c>
      <c r="O2530" s="528">
        <f t="shared" si="1386"/>
        <v>0.00719424460431655</v>
      </c>
      <c r="P2530" s="529">
        <f t="shared" si="1387"/>
        <v>27.2727272727273</v>
      </c>
      <c r="Q2530" s="24">
        <f t="shared" si="1388"/>
        <v>44</v>
      </c>
      <c r="R2530" s="530">
        <f t="shared" si="1389"/>
        <v>0.105515587529976</v>
      </c>
    </row>
    <row r="2531" spans="1:18">
      <c r="A2531" s="524"/>
      <c r="B2531" s="540" t="s">
        <v>99</v>
      </c>
      <c r="C2531" s="551">
        <v>1955.65</v>
      </c>
      <c r="D2531" s="556">
        <v>12825</v>
      </c>
      <c r="E2531" s="551">
        <v>896</v>
      </c>
      <c r="F2531" s="551">
        <v>3</v>
      </c>
      <c r="G2531" s="551">
        <v>31831</v>
      </c>
      <c r="H2531" s="555">
        <v>54</v>
      </c>
      <c r="I2531" s="555">
        <v>0</v>
      </c>
      <c r="J2531" s="555">
        <v>3</v>
      </c>
      <c r="K2531" s="527">
        <f t="shared" si="1382"/>
        <v>0.0698635477582846</v>
      </c>
      <c r="L2531" s="528">
        <f t="shared" si="1383"/>
        <v>2.18264508928571</v>
      </c>
      <c r="M2531" s="528">
        <f t="shared" si="1384"/>
        <v>152.487329434698</v>
      </c>
      <c r="N2531" s="528">
        <f t="shared" si="1385"/>
        <v>16.2764298315138</v>
      </c>
      <c r="O2531" s="528">
        <f t="shared" si="1386"/>
        <v>0.00334821428571429</v>
      </c>
      <c r="P2531" s="529">
        <f t="shared" si="1387"/>
        <v>36.2157407407407</v>
      </c>
      <c r="Q2531" s="24">
        <f t="shared" si="1388"/>
        <v>54</v>
      </c>
      <c r="R2531" s="530">
        <f t="shared" si="1389"/>
        <v>0.0602678571428571</v>
      </c>
    </row>
    <row r="2532" spans="1:18">
      <c r="A2532" s="524"/>
      <c r="B2532" s="540" t="s">
        <v>100</v>
      </c>
      <c r="C2532" s="552">
        <v>0</v>
      </c>
      <c r="D2532" s="553">
        <v>0</v>
      </c>
      <c r="E2532" s="553">
        <v>0</v>
      </c>
      <c r="F2532" s="551">
        <v>0</v>
      </c>
      <c r="G2532" s="551">
        <v>0</v>
      </c>
      <c r="H2532" s="551">
        <v>0</v>
      </c>
      <c r="I2532" s="551">
        <v>0</v>
      </c>
      <c r="J2532" s="551">
        <v>0</v>
      </c>
      <c r="K2532" s="527">
        <f t="shared" si="1382"/>
        <v>0</v>
      </c>
      <c r="L2532" s="528">
        <f t="shared" si="1383"/>
        <v>0</v>
      </c>
      <c r="M2532" s="528">
        <f t="shared" si="1384"/>
        <v>0</v>
      </c>
      <c r="N2532" s="528">
        <f t="shared" si="1385"/>
        <v>0</v>
      </c>
      <c r="O2532" s="528">
        <f t="shared" si="1386"/>
        <v>0</v>
      </c>
      <c r="P2532" s="529">
        <f t="shared" si="1387"/>
        <v>0</v>
      </c>
      <c r="Q2532" s="24">
        <f t="shared" si="1388"/>
        <v>0</v>
      </c>
      <c r="R2532" s="530">
        <f t="shared" si="1389"/>
        <v>0</v>
      </c>
    </row>
    <row r="2533" spans="1:18">
      <c r="A2533" s="524"/>
      <c r="B2533" s="540" t="s">
        <v>101</v>
      </c>
      <c r="C2533" s="552">
        <v>1975.4</v>
      </c>
      <c r="D2533" s="553">
        <v>43646</v>
      </c>
      <c r="E2533" s="551">
        <v>1215</v>
      </c>
      <c r="F2533" s="551">
        <v>23</v>
      </c>
      <c r="G2533" s="551">
        <v>203342</v>
      </c>
      <c r="H2533" s="551">
        <v>61</v>
      </c>
      <c r="I2533" s="551">
        <v>5</v>
      </c>
      <c r="J2533" s="551">
        <v>7</v>
      </c>
      <c r="K2533" s="527">
        <f t="shared" si="1382"/>
        <v>0.0278376025294414</v>
      </c>
      <c r="L2533" s="528">
        <f t="shared" si="1383"/>
        <v>1.62584362139918</v>
      </c>
      <c r="M2533" s="528">
        <f t="shared" si="1384"/>
        <v>45.2595885075379</v>
      </c>
      <c r="N2533" s="528">
        <f t="shared" si="1385"/>
        <v>102.937126657892</v>
      </c>
      <c r="O2533" s="528">
        <f t="shared" si="1386"/>
        <v>0.0189300411522634</v>
      </c>
      <c r="P2533" s="529">
        <f t="shared" si="1387"/>
        <v>29.930303030303</v>
      </c>
      <c r="Q2533" s="24">
        <f t="shared" si="1388"/>
        <v>66</v>
      </c>
      <c r="R2533" s="530">
        <f t="shared" si="1389"/>
        <v>0.054320987654321</v>
      </c>
    </row>
    <row r="2534" spans="1:18">
      <c r="A2534" s="524"/>
      <c r="B2534" s="531" t="s">
        <v>96</v>
      </c>
      <c r="C2534" s="533">
        <f t="shared" ref="C2534:J2534" si="1398">SUM(C2530:C2533)</f>
        <v>5131.05</v>
      </c>
      <c r="D2534" s="533">
        <f t="shared" si="1398"/>
        <v>66490</v>
      </c>
      <c r="E2534" s="533">
        <f t="shared" si="1398"/>
        <v>2528</v>
      </c>
      <c r="F2534" s="533">
        <f t="shared" si="1398"/>
        <v>29</v>
      </c>
      <c r="G2534" s="533">
        <f t="shared" si="1398"/>
        <v>268946</v>
      </c>
      <c r="H2534" s="533">
        <f t="shared" si="1398"/>
        <v>152</v>
      </c>
      <c r="I2534" s="533">
        <f t="shared" si="1398"/>
        <v>12</v>
      </c>
      <c r="J2534" s="533">
        <f t="shared" si="1398"/>
        <v>13</v>
      </c>
      <c r="K2534" s="534">
        <f t="shared" si="1382"/>
        <v>0.038020755000752</v>
      </c>
      <c r="L2534" s="535">
        <f t="shared" si="1383"/>
        <v>2.0296875</v>
      </c>
      <c r="M2534" s="535">
        <f t="shared" si="1384"/>
        <v>77.1702511655888</v>
      </c>
      <c r="N2534" s="535">
        <f t="shared" si="1385"/>
        <v>52.4153925609768</v>
      </c>
      <c r="O2534" s="535">
        <f t="shared" si="1386"/>
        <v>0.0114715189873418</v>
      </c>
      <c r="P2534" s="536">
        <f t="shared" si="1387"/>
        <v>31.2868902439024</v>
      </c>
      <c r="Q2534" s="531">
        <f t="shared" si="1388"/>
        <v>164</v>
      </c>
      <c r="R2534" s="537">
        <f t="shared" si="1389"/>
        <v>0.064873417721519</v>
      </c>
    </row>
    <row r="2535" spans="1:18">
      <c r="A2535" s="524">
        <v>45957</v>
      </c>
      <c r="B2535" s="540" t="s">
        <v>98</v>
      </c>
      <c r="C2535" s="551">
        <v>1200</v>
      </c>
      <c r="D2535" s="553">
        <v>11906</v>
      </c>
      <c r="E2535" s="551">
        <v>403</v>
      </c>
      <c r="F2535" s="551">
        <v>9</v>
      </c>
      <c r="G2535" s="551">
        <v>85703</v>
      </c>
      <c r="H2535" s="551">
        <v>37</v>
      </c>
      <c r="I2535" s="551">
        <v>5</v>
      </c>
      <c r="J2535" s="551">
        <v>2</v>
      </c>
      <c r="K2535" s="527">
        <f t="shared" si="1382"/>
        <v>0.0338484797581052</v>
      </c>
      <c r="L2535" s="528">
        <f t="shared" si="1383"/>
        <v>2.97766749379653</v>
      </c>
      <c r="M2535" s="528">
        <f t="shared" si="1384"/>
        <v>100.789517890139</v>
      </c>
      <c r="N2535" s="528">
        <f t="shared" si="1385"/>
        <v>71.4191666666667</v>
      </c>
      <c r="O2535" s="528">
        <f t="shared" si="1386"/>
        <v>0.0223325062034739</v>
      </c>
      <c r="P2535" s="529">
        <f t="shared" si="1387"/>
        <v>28.5714285714286</v>
      </c>
      <c r="Q2535" s="24">
        <f t="shared" si="1388"/>
        <v>42</v>
      </c>
      <c r="R2535" s="530">
        <f t="shared" si="1389"/>
        <v>0.104218362282878</v>
      </c>
    </row>
    <row r="2536" spans="1:18">
      <c r="A2536" s="524"/>
      <c r="B2536" s="540" t="s">
        <v>99</v>
      </c>
      <c r="C2536" s="551">
        <v>2000</v>
      </c>
      <c r="D2536" s="556">
        <v>16794</v>
      </c>
      <c r="E2536" s="551">
        <v>917</v>
      </c>
      <c r="F2536" s="551">
        <v>8</v>
      </c>
      <c r="G2536" s="551">
        <v>90551</v>
      </c>
      <c r="H2536" s="555">
        <v>22</v>
      </c>
      <c r="I2536" s="555">
        <v>2</v>
      </c>
      <c r="J2536" s="555">
        <v>7</v>
      </c>
      <c r="K2536" s="527">
        <f t="shared" si="1382"/>
        <v>0.0546028343455996</v>
      </c>
      <c r="L2536" s="528">
        <f t="shared" si="1383"/>
        <v>2.18102508178844</v>
      </c>
      <c r="M2536" s="528">
        <f t="shared" si="1384"/>
        <v>119.090151244492</v>
      </c>
      <c r="N2536" s="528">
        <f t="shared" si="1385"/>
        <v>45.2755</v>
      </c>
      <c r="O2536" s="528">
        <f t="shared" si="1386"/>
        <v>0.00872410032715376</v>
      </c>
      <c r="P2536" s="529">
        <f t="shared" si="1387"/>
        <v>83.3333333333333</v>
      </c>
      <c r="Q2536" s="24">
        <f t="shared" si="1388"/>
        <v>24</v>
      </c>
      <c r="R2536" s="530">
        <f t="shared" si="1389"/>
        <v>0.0261723009814613</v>
      </c>
    </row>
    <row r="2537" spans="1:18">
      <c r="A2537" s="524"/>
      <c r="B2537" s="540" t="s">
        <v>100</v>
      </c>
      <c r="C2537" s="552">
        <v>0</v>
      </c>
      <c r="D2537" s="553">
        <v>0</v>
      </c>
      <c r="E2537" s="553">
        <v>0</v>
      </c>
      <c r="F2537" s="551">
        <v>0</v>
      </c>
      <c r="G2537" s="551">
        <v>0</v>
      </c>
      <c r="H2537" s="551">
        <v>0</v>
      </c>
      <c r="I2537" s="551">
        <v>0</v>
      </c>
      <c r="J2537" s="551">
        <v>0</v>
      </c>
      <c r="K2537" s="527">
        <f t="shared" si="1382"/>
        <v>0</v>
      </c>
      <c r="L2537" s="528">
        <f t="shared" si="1383"/>
        <v>0</v>
      </c>
      <c r="M2537" s="528">
        <f t="shared" si="1384"/>
        <v>0</v>
      </c>
      <c r="N2537" s="528">
        <f t="shared" si="1385"/>
        <v>0</v>
      </c>
      <c r="O2537" s="528">
        <f t="shared" si="1386"/>
        <v>0</v>
      </c>
      <c r="P2537" s="529">
        <f t="shared" si="1387"/>
        <v>0</v>
      </c>
      <c r="Q2537" s="24">
        <f t="shared" si="1388"/>
        <v>0</v>
      </c>
      <c r="R2537" s="530">
        <f t="shared" si="1389"/>
        <v>0</v>
      </c>
    </row>
    <row r="2538" spans="1:18">
      <c r="A2538" s="524"/>
      <c r="B2538" s="540" t="s">
        <v>101</v>
      </c>
      <c r="C2538" s="552">
        <v>1970.87</v>
      </c>
      <c r="D2538" s="553">
        <v>39507</v>
      </c>
      <c r="E2538" s="551">
        <v>1114</v>
      </c>
      <c r="F2538" s="551">
        <v>6</v>
      </c>
      <c r="G2538" s="551">
        <v>48585</v>
      </c>
      <c r="H2538" s="551">
        <v>52</v>
      </c>
      <c r="I2538" s="551">
        <v>5</v>
      </c>
      <c r="J2538" s="551">
        <v>1</v>
      </c>
      <c r="K2538" s="527">
        <f t="shared" si="1382"/>
        <v>0.028197534614119</v>
      </c>
      <c r="L2538" s="528">
        <f t="shared" si="1383"/>
        <v>1.76918312387792</v>
      </c>
      <c r="M2538" s="528">
        <f t="shared" si="1384"/>
        <v>49.8866023742628</v>
      </c>
      <c r="N2538" s="528">
        <f t="shared" si="1385"/>
        <v>24.6515498231745</v>
      </c>
      <c r="O2538" s="528">
        <f t="shared" si="1386"/>
        <v>0.00538599640933573</v>
      </c>
      <c r="P2538" s="529">
        <f t="shared" si="1387"/>
        <v>34.5766666666667</v>
      </c>
      <c r="Q2538" s="24">
        <f t="shared" si="1388"/>
        <v>57</v>
      </c>
      <c r="R2538" s="530">
        <f t="shared" si="1389"/>
        <v>0.0511669658886894</v>
      </c>
    </row>
    <row r="2539" spans="1:18">
      <c r="A2539" s="524"/>
      <c r="B2539" s="531" t="s">
        <v>96</v>
      </c>
      <c r="C2539" s="533">
        <f t="shared" ref="C2539:J2539" si="1399">SUM(C2535:C2538)</f>
        <v>5170.87</v>
      </c>
      <c r="D2539" s="533">
        <f t="shared" si="1399"/>
        <v>68207</v>
      </c>
      <c r="E2539" s="533">
        <f t="shared" si="1399"/>
        <v>2434</v>
      </c>
      <c r="F2539" s="533">
        <f t="shared" si="1399"/>
        <v>23</v>
      </c>
      <c r="G2539" s="533">
        <f t="shared" si="1399"/>
        <v>224839</v>
      </c>
      <c r="H2539" s="533">
        <f t="shared" si="1399"/>
        <v>111</v>
      </c>
      <c r="I2539" s="533">
        <f t="shared" si="1399"/>
        <v>12</v>
      </c>
      <c r="J2539" s="533">
        <f t="shared" si="1399"/>
        <v>10</v>
      </c>
      <c r="K2539" s="534">
        <f t="shared" si="1382"/>
        <v>0.0356854868268653</v>
      </c>
      <c r="L2539" s="535">
        <f t="shared" si="1383"/>
        <v>2.12443303204601</v>
      </c>
      <c r="M2539" s="535">
        <f t="shared" si="1384"/>
        <v>75.8114269796355</v>
      </c>
      <c r="N2539" s="535">
        <f t="shared" si="1385"/>
        <v>43.4818512165264</v>
      </c>
      <c r="O2539" s="535">
        <f t="shared" si="1386"/>
        <v>0.00944946589975349</v>
      </c>
      <c r="P2539" s="536">
        <f t="shared" si="1387"/>
        <v>42.039593495935</v>
      </c>
      <c r="Q2539" s="531">
        <f t="shared" si="1388"/>
        <v>123</v>
      </c>
      <c r="R2539" s="537">
        <f t="shared" si="1389"/>
        <v>0.0505341002465078</v>
      </c>
    </row>
    <row r="2540" spans="1:18">
      <c r="A2540" s="524">
        <v>45958</v>
      </c>
      <c r="B2540" s="540" t="s">
        <v>98</v>
      </c>
      <c r="C2540" s="551">
        <v>1200</v>
      </c>
      <c r="D2540" s="553">
        <v>14511</v>
      </c>
      <c r="E2540" s="551">
        <v>428</v>
      </c>
      <c r="F2540" s="551">
        <v>7</v>
      </c>
      <c r="G2540" s="551">
        <v>23652</v>
      </c>
      <c r="H2540" s="551">
        <v>31</v>
      </c>
      <c r="I2540" s="551">
        <v>6</v>
      </c>
      <c r="J2540" s="551">
        <v>1</v>
      </c>
      <c r="K2540" s="527">
        <f t="shared" si="1382"/>
        <v>0.0294948659637516</v>
      </c>
      <c r="L2540" s="528">
        <f t="shared" si="1383"/>
        <v>2.80373831775701</v>
      </c>
      <c r="M2540" s="528">
        <f t="shared" si="1384"/>
        <v>82.6958858796775</v>
      </c>
      <c r="N2540" s="528">
        <f t="shared" si="1385"/>
        <v>19.71</v>
      </c>
      <c r="O2540" s="528">
        <f t="shared" si="1386"/>
        <v>0.0163551401869159</v>
      </c>
      <c r="P2540" s="529">
        <f t="shared" si="1387"/>
        <v>32.4324324324324</v>
      </c>
      <c r="Q2540" s="24">
        <f t="shared" si="1388"/>
        <v>37</v>
      </c>
      <c r="R2540" s="530">
        <f t="shared" si="1389"/>
        <v>0.0864485981308411</v>
      </c>
    </row>
    <row r="2541" spans="1:18">
      <c r="A2541" s="524"/>
      <c r="B2541" s="540" t="s">
        <v>99</v>
      </c>
      <c r="C2541" s="551">
        <v>1871.94</v>
      </c>
      <c r="D2541" s="556">
        <v>14504</v>
      </c>
      <c r="E2541" s="551">
        <v>1073</v>
      </c>
      <c r="F2541" s="551">
        <v>5</v>
      </c>
      <c r="G2541" s="551">
        <v>46423</v>
      </c>
      <c r="H2541" s="555">
        <v>18</v>
      </c>
      <c r="I2541" s="555">
        <v>2</v>
      </c>
      <c r="J2541" s="555">
        <v>1</v>
      </c>
      <c r="K2541" s="527">
        <f t="shared" si="1382"/>
        <v>0.0739795918367347</v>
      </c>
      <c r="L2541" s="528">
        <f t="shared" si="1383"/>
        <v>1.7445852749301</v>
      </c>
      <c r="M2541" s="528">
        <f t="shared" si="1384"/>
        <v>129.063706563707</v>
      </c>
      <c r="N2541" s="528">
        <f t="shared" si="1385"/>
        <v>24.7994059638664</v>
      </c>
      <c r="O2541" s="528">
        <f t="shared" si="1386"/>
        <v>0.00465983224603914</v>
      </c>
      <c r="P2541" s="529">
        <f t="shared" si="1387"/>
        <v>93.597</v>
      </c>
      <c r="Q2541" s="24">
        <f t="shared" si="1388"/>
        <v>20</v>
      </c>
      <c r="R2541" s="530">
        <f t="shared" si="1389"/>
        <v>0.0186393289841566</v>
      </c>
    </row>
    <row r="2542" spans="1:18">
      <c r="A2542" s="524"/>
      <c r="B2542" s="540" t="s">
        <v>100</v>
      </c>
      <c r="C2542" s="552">
        <v>0</v>
      </c>
      <c r="D2542" s="553">
        <v>0</v>
      </c>
      <c r="E2542" s="553">
        <v>0</v>
      </c>
      <c r="F2542" s="551">
        <v>0</v>
      </c>
      <c r="G2542" s="551">
        <v>0</v>
      </c>
      <c r="H2542" s="551">
        <v>0</v>
      </c>
      <c r="I2542" s="551">
        <v>0</v>
      </c>
      <c r="J2542" s="551">
        <v>0</v>
      </c>
      <c r="K2542" s="527">
        <f t="shared" si="1382"/>
        <v>0</v>
      </c>
      <c r="L2542" s="528">
        <f t="shared" si="1383"/>
        <v>0</v>
      </c>
      <c r="M2542" s="528">
        <f t="shared" si="1384"/>
        <v>0</v>
      </c>
      <c r="N2542" s="528">
        <f t="shared" si="1385"/>
        <v>0</v>
      </c>
      <c r="O2542" s="528">
        <f t="shared" si="1386"/>
        <v>0</v>
      </c>
      <c r="P2542" s="529">
        <f t="shared" si="1387"/>
        <v>0</v>
      </c>
      <c r="Q2542" s="24">
        <f t="shared" si="1388"/>
        <v>0</v>
      </c>
      <c r="R2542" s="530">
        <f t="shared" si="1389"/>
        <v>0</v>
      </c>
    </row>
    <row r="2543" spans="1:18">
      <c r="A2543" s="524"/>
      <c r="B2543" s="540" t="s">
        <v>101</v>
      </c>
      <c r="C2543" s="552">
        <v>1989.34</v>
      </c>
      <c r="D2543" s="553">
        <v>27718</v>
      </c>
      <c r="E2543" s="551">
        <v>888</v>
      </c>
      <c r="F2543" s="551">
        <v>4</v>
      </c>
      <c r="G2543" s="551">
        <v>20812</v>
      </c>
      <c r="H2543" s="551">
        <v>52</v>
      </c>
      <c r="I2543" s="551">
        <v>5</v>
      </c>
      <c r="J2543" s="551">
        <v>1</v>
      </c>
      <c r="K2543" s="527">
        <f t="shared" si="1382"/>
        <v>0.0320369435024172</v>
      </c>
      <c r="L2543" s="528">
        <f t="shared" si="1383"/>
        <v>2.24024774774775</v>
      </c>
      <c r="M2543" s="528">
        <f t="shared" si="1384"/>
        <v>71.770690526012</v>
      </c>
      <c r="N2543" s="528">
        <f t="shared" si="1385"/>
        <v>10.4617611871274</v>
      </c>
      <c r="O2543" s="528">
        <f t="shared" si="1386"/>
        <v>0.0045045045045045</v>
      </c>
      <c r="P2543" s="529">
        <f t="shared" si="1387"/>
        <v>34.900701754386</v>
      </c>
      <c r="Q2543" s="24">
        <f t="shared" si="1388"/>
        <v>57</v>
      </c>
      <c r="R2543" s="530">
        <f t="shared" si="1389"/>
        <v>0.0641891891891892</v>
      </c>
    </row>
    <row r="2544" spans="1:18">
      <c r="A2544" s="524"/>
      <c r="B2544" s="531" t="s">
        <v>96</v>
      </c>
      <c r="C2544" s="533">
        <f t="shared" ref="C2544:J2544" si="1400">SUM(C2540:C2543)</f>
        <v>5061.28</v>
      </c>
      <c r="D2544" s="533">
        <f t="shared" si="1400"/>
        <v>56733</v>
      </c>
      <c r="E2544" s="533">
        <f t="shared" si="1400"/>
        <v>2389</v>
      </c>
      <c r="F2544" s="533">
        <f t="shared" si="1400"/>
        <v>16</v>
      </c>
      <c r="G2544" s="533">
        <f t="shared" si="1400"/>
        <v>90887</v>
      </c>
      <c r="H2544" s="533">
        <f t="shared" si="1400"/>
        <v>101</v>
      </c>
      <c r="I2544" s="533">
        <f t="shared" si="1400"/>
        <v>13</v>
      </c>
      <c r="J2544" s="533">
        <f t="shared" si="1400"/>
        <v>3</v>
      </c>
      <c r="K2544" s="534">
        <f t="shared" si="1382"/>
        <v>0.0421095306082879</v>
      </c>
      <c r="L2544" s="535">
        <f t="shared" si="1383"/>
        <v>2.11857681038091</v>
      </c>
      <c r="M2544" s="535">
        <f t="shared" si="1384"/>
        <v>89.2122750427441</v>
      </c>
      <c r="N2544" s="535">
        <f t="shared" si="1385"/>
        <v>17.9573151455758</v>
      </c>
      <c r="O2544" s="535">
        <f t="shared" si="1386"/>
        <v>0.00669736291335287</v>
      </c>
      <c r="P2544" s="536">
        <f t="shared" si="1387"/>
        <v>44.3971929824561</v>
      </c>
      <c r="Q2544" s="531">
        <f t="shared" si="1388"/>
        <v>114</v>
      </c>
      <c r="R2544" s="537">
        <f t="shared" si="1389"/>
        <v>0.0477187107576392</v>
      </c>
    </row>
    <row r="2545" spans="1:18">
      <c r="A2545" s="524">
        <v>45959</v>
      </c>
      <c r="B2545" s="540" t="s">
        <v>98</v>
      </c>
      <c r="C2545" s="551">
        <v>1200</v>
      </c>
      <c r="D2545" s="553">
        <v>13710</v>
      </c>
      <c r="E2545" s="551">
        <v>466</v>
      </c>
      <c r="F2545" s="551">
        <v>3</v>
      </c>
      <c r="G2545" s="551">
        <v>23042</v>
      </c>
      <c r="H2545" s="551">
        <v>23</v>
      </c>
      <c r="I2545" s="551">
        <v>8</v>
      </c>
      <c r="J2545" s="551">
        <v>2</v>
      </c>
      <c r="K2545" s="527">
        <f t="shared" si="1382"/>
        <v>0.0339897884755653</v>
      </c>
      <c r="L2545" s="528">
        <f t="shared" si="1383"/>
        <v>2.57510729613734</v>
      </c>
      <c r="M2545" s="528">
        <f t="shared" si="1384"/>
        <v>87.527352297593</v>
      </c>
      <c r="N2545" s="528">
        <f t="shared" si="1385"/>
        <v>19.2016666666667</v>
      </c>
      <c r="O2545" s="528">
        <f t="shared" si="1386"/>
        <v>0.00643776824034335</v>
      </c>
      <c r="P2545" s="529">
        <f t="shared" si="1387"/>
        <v>38.7096774193548</v>
      </c>
      <c r="Q2545" s="24">
        <f t="shared" si="1388"/>
        <v>31</v>
      </c>
      <c r="R2545" s="530">
        <f t="shared" si="1389"/>
        <v>0.0665236051502146</v>
      </c>
    </row>
    <row r="2546" spans="1:18">
      <c r="A2546" s="524"/>
      <c r="B2546" s="540" t="s">
        <v>99</v>
      </c>
      <c r="C2546" s="551">
        <v>1879.6</v>
      </c>
      <c r="D2546" s="556">
        <v>13719</v>
      </c>
      <c r="E2546" s="551">
        <v>1268</v>
      </c>
      <c r="F2546" s="551">
        <v>3</v>
      </c>
      <c r="G2546" s="551">
        <v>19994</v>
      </c>
      <c r="H2546" s="555">
        <v>25</v>
      </c>
      <c r="I2546" s="555">
        <v>3</v>
      </c>
      <c r="J2546" s="555">
        <v>7</v>
      </c>
      <c r="K2546" s="527">
        <f t="shared" si="1382"/>
        <v>0.092426561702748</v>
      </c>
      <c r="L2546" s="528">
        <f t="shared" si="1383"/>
        <v>1.48233438485804</v>
      </c>
      <c r="M2546" s="528">
        <f t="shared" si="1384"/>
        <v>137.007070486187</v>
      </c>
      <c r="N2546" s="528">
        <f t="shared" si="1385"/>
        <v>10.6373696531177</v>
      </c>
      <c r="O2546" s="528">
        <f t="shared" si="1386"/>
        <v>0.00236593059936909</v>
      </c>
      <c r="P2546" s="529">
        <f t="shared" si="1387"/>
        <v>67.1285714285714</v>
      </c>
      <c r="Q2546" s="24">
        <f t="shared" si="1388"/>
        <v>28</v>
      </c>
      <c r="R2546" s="530">
        <f t="shared" si="1389"/>
        <v>0.0220820189274448</v>
      </c>
    </row>
    <row r="2547" spans="1:18">
      <c r="A2547" s="524"/>
      <c r="B2547" s="540" t="s">
        <v>100</v>
      </c>
      <c r="C2547" s="552">
        <v>0</v>
      </c>
      <c r="D2547" s="553">
        <v>0</v>
      </c>
      <c r="E2547" s="553">
        <v>0</v>
      </c>
      <c r="F2547" s="551">
        <v>0</v>
      </c>
      <c r="G2547" s="551">
        <v>0</v>
      </c>
      <c r="H2547" s="551">
        <v>0</v>
      </c>
      <c r="I2547" s="551">
        <v>0</v>
      </c>
      <c r="J2547" s="551">
        <v>0</v>
      </c>
      <c r="K2547" s="527">
        <f t="shared" si="1382"/>
        <v>0</v>
      </c>
      <c r="L2547" s="528">
        <f t="shared" si="1383"/>
        <v>0</v>
      </c>
      <c r="M2547" s="528">
        <f t="shared" si="1384"/>
        <v>0</v>
      </c>
      <c r="N2547" s="528">
        <f t="shared" si="1385"/>
        <v>0</v>
      </c>
      <c r="O2547" s="528">
        <f t="shared" si="1386"/>
        <v>0</v>
      </c>
      <c r="P2547" s="529">
        <f t="shared" si="1387"/>
        <v>0</v>
      </c>
      <c r="Q2547" s="24">
        <f t="shared" si="1388"/>
        <v>0</v>
      </c>
      <c r="R2547" s="530">
        <f t="shared" si="1389"/>
        <v>0</v>
      </c>
    </row>
    <row r="2548" spans="1:18">
      <c r="A2548" s="524"/>
      <c r="B2548" s="540" t="s">
        <v>101</v>
      </c>
      <c r="C2548" s="552">
        <v>1977.41</v>
      </c>
      <c r="D2548" s="553">
        <v>26524</v>
      </c>
      <c r="E2548" s="551">
        <v>922</v>
      </c>
      <c r="F2548" s="551">
        <v>7</v>
      </c>
      <c r="G2548" s="551">
        <v>57284</v>
      </c>
      <c r="H2548" s="551">
        <v>32</v>
      </c>
      <c r="I2548" s="551">
        <v>3</v>
      </c>
      <c r="J2548" s="551">
        <v>1</v>
      </c>
      <c r="K2548" s="527">
        <f t="shared" si="1382"/>
        <v>0.0347609711958981</v>
      </c>
      <c r="L2548" s="528">
        <f t="shared" si="1383"/>
        <v>2.14469631236443</v>
      </c>
      <c r="M2548" s="528">
        <f t="shared" si="1384"/>
        <v>74.5517267380486</v>
      </c>
      <c r="N2548" s="528">
        <f t="shared" si="1385"/>
        <v>28.9692071952706</v>
      </c>
      <c r="O2548" s="528">
        <f t="shared" si="1386"/>
        <v>0.00759219088937093</v>
      </c>
      <c r="P2548" s="529">
        <f t="shared" si="1387"/>
        <v>56.4974285714286</v>
      </c>
      <c r="Q2548" s="24">
        <f t="shared" si="1388"/>
        <v>35</v>
      </c>
      <c r="R2548" s="530">
        <f t="shared" si="1389"/>
        <v>0.0379609544468547</v>
      </c>
    </row>
    <row r="2549" spans="1:18">
      <c r="A2549" s="524"/>
      <c r="B2549" s="531" t="s">
        <v>96</v>
      </c>
      <c r="C2549" s="533">
        <f t="shared" ref="C2549:J2549" si="1401">SUM(C2545:C2548)</f>
        <v>5057.01</v>
      </c>
      <c r="D2549" s="533">
        <f t="shared" si="1401"/>
        <v>53953</v>
      </c>
      <c r="E2549" s="533">
        <f t="shared" si="1401"/>
        <v>2656</v>
      </c>
      <c r="F2549" s="533">
        <f t="shared" si="1401"/>
        <v>13</v>
      </c>
      <c r="G2549" s="533">
        <f t="shared" si="1401"/>
        <v>100320</v>
      </c>
      <c r="H2549" s="533">
        <f t="shared" si="1401"/>
        <v>80</v>
      </c>
      <c r="I2549" s="533">
        <f t="shared" si="1401"/>
        <v>14</v>
      </c>
      <c r="J2549" s="533">
        <f t="shared" si="1401"/>
        <v>10</v>
      </c>
      <c r="K2549" s="534">
        <f t="shared" si="1382"/>
        <v>0.0492280318054603</v>
      </c>
      <c r="L2549" s="535">
        <f t="shared" si="1383"/>
        <v>1.90399472891566</v>
      </c>
      <c r="M2549" s="535">
        <f t="shared" si="1384"/>
        <v>93.729913072489</v>
      </c>
      <c r="N2549" s="535">
        <f t="shared" si="1385"/>
        <v>19.8378092983799</v>
      </c>
      <c r="O2549" s="535">
        <f t="shared" si="1386"/>
        <v>0.00489457831325301</v>
      </c>
      <c r="P2549" s="536">
        <f t="shared" si="1387"/>
        <v>53.7979787234043</v>
      </c>
      <c r="Q2549" s="531">
        <f t="shared" si="1388"/>
        <v>94</v>
      </c>
      <c r="R2549" s="537">
        <f t="shared" si="1389"/>
        <v>0.0353915662650602</v>
      </c>
    </row>
    <row r="2550" spans="1:18">
      <c r="A2550" s="524">
        <v>45960</v>
      </c>
      <c r="B2550" s="540" t="s">
        <v>98</v>
      </c>
      <c r="C2550" s="551">
        <v>1200</v>
      </c>
      <c r="D2550" s="553">
        <v>12087</v>
      </c>
      <c r="E2550" s="551">
        <v>428</v>
      </c>
      <c r="F2550" s="551">
        <v>0</v>
      </c>
      <c r="G2550" s="551">
        <v>0</v>
      </c>
      <c r="H2550" s="551">
        <v>26</v>
      </c>
      <c r="I2550" s="551">
        <v>9</v>
      </c>
      <c r="J2550" s="551">
        <v>4</v>
      </c>
      <c r="K2550" s="527">
        <f t="shared" si="1382"/>
        <v>0.0354099445685447</v>
      </c>
      <c r="L2550" s="528">
        <f t="shared" si="1383"/>
        <v>2.80373831775701</v>
      </c>
      <c r="M2550" s="528">
        <f t="shared" si="1384"/>
        <v>99.2802184164805</v>
      </c>
      <c r="N2550" s="528">
        <f t="shared" si="1385"/>
        <v>0</v>
      </c>
      <c r="O2550" s="528">
        <f t="shared" si="1386"/>
        <v>0</v>
      </c>
      <c r="P2550" s="529">
        <f t="shared" si="1387"/>
        <v>34.2857142857143</v>
      </c>
      <c r="Q2550" s="24">
        <f t="shared" si="1388"/>
        <v>35</v>
      </c>
      <c r="R2550" s="530">
        <f t="shared" si="1389"/>
        <v>0.0817757009345794</v>
      </c>
    </row>
    <row r="2551" spans="1:18">
      <c r="A2551" s="524"/>
      <c r="B2551" s="540" t="s">
        <v>99</v>
      </c>
      <c r="C2551" s="551">
        <v>1949.18</v>
      </c>
      <c r="D2551" s="556">
        <v>12510</v>
      </c>
      <c r="E2551" s="551">
        <v>1021</v>
      </c>
      <c r="F2551" s="551">
        <v>3</v>
      </c>
      <c r="G2551" s="551">
        <v>34443</v>
      </c>
      <c r="H2551" s="555">
        <v>19</v>
      </c>
      <c r="I2551" s="555">
        <v>2</v>
      </c>
      <c r="J2551" s="555">
        <v>9</v>
      </c>
      <c r="K2551" s="527">
        <f t="shared" si="1382"/>
        <v>0.0816147082334133</v>
      </c>
      <c r="L2551" s="528">
        <f t="shared" si="1383"/>
        <v>1.90908912830558</v>
      </c>
      <c r="M2551" s="528">
        <f t="shared" si="1384"/>
        <v>155.809752198241</v>
      </c>
      <c r="N2551" s="528">
        <f t="shared" si="1385"/>
        <v>17.6705075980669</v>
      </c>
      <c r="O2551" s="528">
        <f t="shared" si="1386"/>
        <v>0.0029382957884427</v>
      </c>
      <c r="P2551" s="529">
        <f t="shared" si="1387"/>
        <v>92.8180952380952</v>
      </c>
      <c r="Q2551" s="24">
        <f t="shared" si="1388"/>
        <v>21</v>
      </c>
      <c r="R2551" s="530">
        <f t="shared" si="1389"/>
        <v>0.0205680705190989</v>
      </c>
    </row>
    <row r="2552" spans="1:18">
      <c r="A2552" s="524"/>
      <c r="B2552" s="540" t="s">
        <v>100</v>
      </c>
      <c r="C2552" s="552">
        <v>0</v>
      </c>
      <c r="D2552" s="553">
        <v>0</v>
      </c>
      <c r="E2552" s="553">
        <v>0</v>
      </c>
      <c r="F2552" s="551">
        <v>0</v>
      </c>
      <c r="G2552" s="551">
        <v>0</v>
      </c>
      <c r="H2552" s="551">
        <v>0</v>
      </c>
      <c r="I2552" s="551">
        <v>0</v>
      </c>
      <c r="J2552" s="551">
        <v>0</v>
      </c>
      <c r="K2552" s="527">
        <f t="shared" si="1382"/>
        <v>0</v>
      </c>
      <c r="L2552" s="528">
        <f t="shared" si="1383"/>
        <v>0</v>
      </c>
      <c r="M2552" s="528">
        <f t="shared" si="1384"/>
        <v>0</v>
      </c>
      <c r="N2552" s="528">
        <f t="shared" si="1385"/>
        <v>0</v>
      </c>
      <c r="O2552" s="528">
        <f t="shared" si="1386"/>
        <v>0</v>
      </c>
      <c r="P2552" s="529">
        <f t="shared" si="1387"/>
        <v>0</v>
      </c>
      <c r="Q2552" s="24">
        <f t="shared" si="1388"/>
        <v>0</v>
      </c>
      <c r="R2552" s="530">
        <f t="shared" si="1389"/>
        <v>0</v>
      </c>
    </row>
    <row r="2553" spans="1:18">
      <c r="A2553" s="524"/>
      <c r="B2553" s="540" t="s">
        <v>101</v>
      </c>
      <c r="C2553" s="552">
        <v>2476.03</v>
      </c>
      <c r="D2553" s="553">
        <v>27124</v>
      </c>
      <c r="E2553" s="551">
        <v>994</v>
      </c>
      <c r="F2553" s="551">
        <v>9</v>
      </c>
      <c r="G2553" s="551">
        <v>87876</v>
      </c>
      <c r="H2553" s="551">
        <v>41</v>
      </c>
      <c r="I2553" s="551">
        <v>3</v>
      </c>
      <c r="J2553" s="551">
        <v>4</v>
      </c>
      <c r="K2553" s="527">
        <f t="shared" si="1382"/>
        <v>0.036646512313818</v>
      </c>
      <c r="L2553" s="528">
        <f t="shared" si="1383"/>
        <v>2.49097585513078</v>
      </c>
      <c r="M2553" s="528">
        <f t="shared" si="1384"/>
        <v>91.2855773484737</v>
      </c>
      <c r="N2553" s="528">
        <f t="shared" si="1385"/>
        <v>35.4906846847575</v>
      </c>
      <c r="O2553" s="528">
        <f t="shared" si="1386"/>
        <v>0.00905432595573441</v>
      </c>
      <c r="P2553" s="529">
        <f t="shared" si="1387"/>
        <v>56.2734090909091</v>
      </c>
      <c r="Q2553" s="24">
        <f t="shared" si="1388"/>
        <v>44</v>
      </c>
      <c r="R2553" s="530">
        <f t="shared" si="1389"/>
        <v>0.0442655935613682</v>
      </c>
    </row>
    <row r="2554" spans="1:18">
      <c r="A2554" s="524"/>
      <c r="B2554" s="531" t="s">
        <v>96</v>
      </c>
      <c r="C2554" s="533">
        <f t="shared" ref="C2554:J2554" si="1402">SUM(C2550:C2553)</f>
        <v>5625.21</v>
      </c>
      <c r="D2554" s="533">
        <f t="shared" si="1402"/>
        <v>51721</v>
      </c>
      <c r="E2554" s="533">
        <f t="shared" si="1402"/>
        <v>2443</v>
      </c>
      <c r="F2554" s="533">
        <f t="shared" si="1402"/>
        <v>12</v>
      </c>
      <c r="G2554" s="533">
        <f t="shared" si="1402"/>
        <v>122319</v>
      </c>
      <c r="H2554" s="533">
        <f t="shared" si="1402"/>
        <v>86</v>
      </c>
      <c r="I2554" s="533">
        <f t="shared" si="1402"/>
        <v>14</v>
      </c>
      <c r="J2554" s="533">
        <f t="shared" si="1402"/>
        <v>17</v>
      </c>
      <c r="K2554" s="534">
        <f t="shared" si="1382"/>
        <v>0.0472341988747317</v>
      </c>
      <c r="L2554" s="535">
        <f t="shared" si="1383"/>
        <v>2.30258288988948</v>
      </c>
      <c r="M2554" s="535">
        <f t="shared" si="1384"/>
        <v>108.760658146594</v>
      </c>
      <c r="N2554" s="535">
        <f t="shared" si="1385"/>
        <v>21.7447881945741</v>
      </c>
      <c r="O2554" s="535">
        <f t="shared" si="1386"/>
        <v>0.0049119934506754</v>
      </c>
      <c r="P2554" s="536">
        <f t="shared" si="1387"/>
        <v>56.2521</v>
      </c>
      <c r="Q2554" s="531">
        <f t="shared" si="1388"/>
        <v>100</v>
      </c>
      <c r="R2554" s="537">
        <f t="shared" si="1389"/>
        <v>0.0409332787556283</v>
      </c>
    </row>
    <row r="2555" spans="1:18">
      <c r="A2555" s="524">
        <v>45961</v>
      </c>
      <c r="B2555" s="540" t="s">
        <v>98</v>
      </c>
      <c r="C2555" s="551">
        <v>1200</v>
      </c>
      <c r="D2555" s="553">
        <v>12138</v>
      </c>
      <c r="E2555" s="551">
        <v>418</v>
      </c>
      <c r="F2555" s="551">
        <v>1</v>
      </c>
      <c r="G2555" s="551">
        <v>1</v>
      </c>
      <c r="H2555" s="551">
        <v>24</v>
      </c>
      <c r="I2555" s="551">
        <v>8</v>
      </c>
      <c r="J2555" s="551">
        <v>2</v>
      </c>
      <c r="K2555" s="527">
        <f t="shared" si="1382"/>
        <v>0.0344373043334981</v>
      </c>
      <c r="L2555" s="528">
        <f t="shared" si="1383"/>
        <v>2.87081339712919</v>
      </c>
      <c r="M2555" s="528">
        <f t="shared" si="1384"/>
        <v>98.8630746416214</v>
      </c>
      <c r="N2555" s="528">
        <f t="shared" si="1385"/>
        <v>0.000833333333333333</v>
      </c>
      <c r="O2555" s="528">
        <f t="shared" si="1386"/>
        <v>0.00239234449760766</v>
      </c>
      <c r="P2555" s="529">
        <f t="shared" si="1387"/>
        <v>37.5</v>
      </c>
      <c r="Q2555" s="24">
        <f t="shared" si="1388"/>
        <v>32</v>
      </c>
      <c r="R2555" s="530">
        <f t="shared" si="1389"/>
        <v>0.076555023923445</v>
      </c>
    </row>
    <row r="2556" spans="1:18">
      <c r="A2556" s="524"/>
      <c r="B2556" s="540" t="s">
        <v>99</v>
      </c>
      <c r="C2556" s="551">
        <v>1838.58</v>
      </c>
      <c r="D2556" s="556">
        <v>7604</v>
      </c>
      <c r="E2556" s="551">
        <v>1000</v>
      </c>
      <c r="F2556" s="551">
        <v>1</v>
      </c>
      <c r="G2556" s="551">
        <v>10934</v>
      </c>
      <c r="H2556" s="555">
        <v>31</v>
      </c>
      <c r="I2556" s="555">
        <v>3</v>
      </c>
      <c r="J2556" s="555">
        <v>2</v>
      </c>
      <c r="K2556" s="527">
        <f t="shared" si="1382"/>
        <v>0.131509731720147</v>
      </c>
      <c r="L2556" s="528">
        <f t="shared" si="1383"/>
        <v>1.83858</v>
      </c>
      <c r="M2556" s="528">
        <f t="shared" si="1384"/>
        <v>241.791162546028</v>
      </c>
      <c r="N2556" s="528">
        <f t="shared" si="1385"/>
        <v>5.94698082215623</v>
      </c>
      <c r="O2556" s="528">
        <f t="shared" si="1386"/>
        <v>0.001</v>
      </c>
      <c r="P2556" s="529">
        <f t="shared" si="1387"/>
        <v>54.0758823529412</v>
      </c>
      <c r="Q2556" s="24">
        <f t="shared" si="1388"/>
        <v>34</v>
      </c>
      <c r="R2556" s="530">
        <f t="shared" si="1389"/>
        <v>0.034</v>
      </c>
    </row>
    <row r="2557" spans="1:18">
      <c r="A2557" s="524"/>
      <c r="B2557" s="540" t="s">
        <v>100</v>
      </c>
      <c r="C2557" s="552">
        <v>0</v>
      </c>
      <c r="D2557" s="553">
        <v>0</v>
      </c>
      <c r="E2557" s="553">
        <v>0</v>
      </c>
      <c r="F2557" s="551">
        <v>0</v>
      </c>
      <c r="G2557" s="551">
        <v>0</v>
      </c>
      <c r="H2557" s="551">
        <v>0</v>
      </c>
      <c r="I2557" s="551">
        <v>0</v>
      </c>
      <c r="J2557" s="551">
        <v>0</v>
      </c>
      <c r="K2557" s="527">
        <f t="shared" ref="K2557:K2620" si="1403">IF(E2557=0,0,E2557/D2557)</f>
        <v>0</v>
      </c>
      <c r="L2557" s="528">
        <f t="shared" ref="L2557:L2620" si="1404">IF(C2557=0,0,C2557/E2557)</f>
        <v>0</v>
      </c>
      <c r="M2557" s="528">
        <f t="shared" ref="M2557:M2620" si="1405">IF(D2557=0,0,C2557/D2557*1000)</f>
        <v>0</v>
      </c>
      <c r="N2557" s="528">
        <f t="shared" ref="N2557:N2620" si="1406">IF(G2557=0,0,G2557/C2557)</f>
        <v>0</v>
      </c>
      <c r="O2557" s="528">
        <f t="shared" ref="O2557:O2620" si="1407">IF(F2557=0,0,F2557/E2557)</f>
        <v>0</v>
      </c>
      <c r="P2557" s="529">
        <f t="shared" ref="P2557:P2620" si="1408">IF(H2557+I2557=0,0,C2557/(H2557+I2557))</f>
        <v>0</v>
      </c>
      <c r="Q2557" s="24">
        <f t="shared" ref="Q2557:Q2620" si="1409">H2557+I2557</f>
        <v>0</v>
      </c>
      <c r="R2557" s="530">
        <f t="shared" ref="R2557:R2620" si="1410">IF(Q2557=0,0,Q2557/E2557)</f>
        <v>0</v>
      </c>
    </row>
    <row r="2558" spans="1:18">
      <c r="A2558" s="524"/>
      <c r="B2558" s="540" t="s">
        <v>101</v>
      </c>
      <c r="C2558" s="552">
        <v>2500</v>
      </c>
      <c r="D2558" s="553">
        <v>26523</v>
      </c>
      <c r="E2558" s="551">
        <v>867</v>
      </c>
      <c r="F2558" s="551">
        <v>10</v>
      </c>
      <c r="G2558" s="551">
        <v>106927</v>
      </c>
      <c r="H2558" s="551">
        <v>34</v>
      </c>
      <c r="I2558" s="551">
        <v>9</v>
      </c>
      <c r="J2558" s="551">
        <v>4</v>
      </c>
      <c r="K2558" s="527">
        <f t="shared" si="1403"/>
        <v>0.0326886098857595</v>
      </c>
      <c r="L2558" s="528">
        <f t="shared" si="1404"/>
        <v>2.88350634371396</v>
      </c>
      <c r="M2558" s="528">
        <f t="shared" si="1405"/>
        <v>94.2578139727783</v>
      </c>
      <c r="N2558" s="528">
        <f t="shared" si="1406"/>
        <v>42.7708</v>
      </c>
      <c r="O2558" s="528">
        <f t="shared" si="1407"/>
        <v>0.0115340253748558</v>
      </c>
      <c r="P2558" s="529">
        <f t="shared" si="1408"/>
        <v>58.1395348837209</v>
      </c>
      <c r="Q2558" s="24">
        <f t="shared" si="1409"/>
        <v>43</v>
      </c>
      <c r="R2558" s="530">
        <f t="shared" si="1410"/>
        <v>0.04959630911188</v>
      </c>
    </row>
    <row r="2559" spans="1:18">
      <c r="A2559" s="524"/>
      <c r="B2559" s="531" t="s">
        <v>96</v>
      </c>
      <c r="C2559" s="533">
        <f t="shared" ref="C2559:J2559" si="1411">SUM(C2555:C2558)</f>
        <v>5538.58</v>
      </c>
      <c r="D2559" s="533">
        <f t="shared" si="1411"/>
        <v>46265</v>
      </c>
      <c r="E2559" s="533">
        <f t="shared" si="1411"/>
        <v>2285</v>
      </c>
      <c r="F2559" s="533">
        <f t="shared" si="1411"/>
        <v>12</v>
      </c>
      <c r="G2559" s="533">
        <f t="shared" si="1411"/>
        <v>117862</v>
      </c>
      <c r="H2559" s="533">
        <f t="shared" si="1411"/>
        <v>89</v>
      </c>
      <c r="I2559" s="533">
        <f t="shared" si="1411"/>
        <v>20</v>
      </c>
      <c r="J2559" s="533">
        <f t="shared" si="1411"/>
        <v>8</v>
      </c>
      <c r="K2559" s="534">
        <f t="shared" si="1403"/>
        <v>0.0493893872257646</v>
      </c>
      <c r="L2559" s="535">
        <f t="shared" si="1404"/>
        <v>2.42388621444201</v>
      </c>
      <c r="M2559" s="535">
        <f t="shared" si="1405"/>
        <v>119.714254836269</v>
      </c>
      <c r="N2559" s="535">
        <f t="shared" si="1406"/>
        <v>21.2801837294036</v>
      </c>
      <c r="O2559" s="535">
        <f t="shared" si="1407"/>
        <v>0.00525164113785558</v>
      </c>
      <c r="P2559" s="536">
        <f t="shared" si="1408"/>
        <v>50.8126605504587</v>
      </c>
      <c r="Q2559" s="531">
        <f t="shared" si="1409"/>
        <v>109</v>
      </c>
      <c r="R2559" s="537">
        <f t="shared" si="1410"/>
        <v>0.0477024070021882</v>
      </c>
    </row>
    <row r="2560" spans="1:18">
      <c r="A2560" s="524">
        <v>45962</v>
      </c>
      <c r="B2560" s="540" t="s">
        <v>98</v>
      </c>
      <c r="C2560" s="551">
        <v>1200</v>
      </c>
      <c r="D2560" s="553">
        <v>10524</v>
      </c>
      <c r="E2560" s="551">
        <v>416</v>
      </c>
      <c r="F2560" s="551">
        <v>2</v>
      </c>
      <c r="G2560" s="551">
        <v>14781</v>
      </c>
      <c r="H2560" s="551">
        <v>33</v>
      </c>
      <c r="I2560" s="551">
        <v>6</v>
      </c>
      <c r="J2560" s="551">
        <v>3</v>
      </c>
      <c r="K2560" s="527">
        <f t="shared" si="1403"/>
        <v>0.0395286963131889</v>
      </c>
      <c r="L2560" s="528">
        <f t="shared" si="1404"/>
        <v>2.88461538461538</v>
      </c>
      <c r="M2560" s="528">
        <f t="shared" si="1405"/>
        <v>114.025085518814</v>
      </c>
      <c r="N2560" s="528">
        <f t="shared" si="1406"/>
        <v>12.3175</v>
      </c>
      <c r="O2560" s="528">
        <f t="shared" si="1407"/>
        <v>0.00480769230769231</v>
      </c>
      <c r="P2560" s="529">
        <f t="shared" si="1408"/>
        <v>30.7692307692308</v>
      </c>
      <c r="Q2560" s="24">
        <f t="shared" si="1409"/>
        <v>39</v>
      </c>
      <c r="R2560" s="530">
        <f t="shared" si="1410"/>
        <v>0.09375</v>
      </c>
    </row>
    <row r="2561" spans="1:18">
      <c r="A2561" s="524"/>
      <c r="B2561" s="540" t="s">
        <v>99</v>
      </c>
      <c r="C2561" s="551">
        <v>1942.31</v>
      </c>
      <c r="D2561" s="556">
        <v>8217</v>
      </c>
      <c r="E2561" s="551">
        <v>887</v>
      </c>
      <c r="F2561" s="551">
        <v>0</v>
      </c>
      <c r="G2561" s="551">
        <v>0</v>
      </c>
      <c r="H2561" s="555">
        <v>24</v>
      </c>
      <c r="I2561" s="555">
        <v>4</v>
      </c>
      <c r="J2561" s="555">
        <v>4</v>
      </c>
      <c r="K2561" s="527">
        <f t="shared" si="1403"/>
        <v>0.10794693927224</v>
      </c>
      <c r="L2561" s="528">
        <f t="shared" si="1404"/>
        <v>2.1897519729425</v>
      </c>
      <c r="M2561" s="528">
        <f t="shared" si="1405"/>
        <v>236.377023244493</v>
      </c>
      <c r="N2561" s="528">
        <f t="shared" si="1406"/>
        <v>0</v>
      </c>
      <c r="O2561" s="528">
        <f t="shared" si="1407"/>
        <v>0</v>
      </c>
      <c r="P2561" s="529">
        <f t="shared" si="1408"/>
        <v>69.3682142857143</v>
      </c>
      <c r="Q2561" s="24">
        <f t="shared" si="1409"/>
        <v>28</v>
      </c>
      <c r="R2561" s="530">
        <f t="shared" si="1410"/>
        <v>0.0315670800450958</v>
      </c>
    </row>
    <row r="2562" spans="1:18">
      <c r="A2562" s="524"/>
      <c r="B2562" s="540" t="s">
        <v>100</v>
      </c>
      <c r="C2562" s="552">
        <v>0</v>
      </c>
      <c r="D2562" s="553">
        <v>0</v>
      </c>
      <c r="E2562" s="553">
        <v>0</v>
      </c>
      <c r="F2562" s="551">
        <v>0</v>
      </c>
      <c r="G2562" s="551">
        <v>0</v>
      </c>
      <c r="H2562" s="551">
        <v>0</v>
      </c>
      <c r="I2562" s="551">
        <v>0</v>
      </c>
      <c r="J2562" s="551">
        <v>0</v>
      </c>
      <c r="K2562" s="527">
        <f t="shared" si="1403"/>
        <v>0</v>
      </c>
      <c r="L2562" s="528">
        <f t="shared" si="1404"/>
        <v>0</v>
      </c>
      <c r="M2562" s="528">
        <f t="shared" si="1405"/>
        <v>0</v>
      </c>
      <c r="N2562" s="528">
        <f t="shared" si="1406"/>
        <v>0</v>
      </c>
      <c r="O2562" s="528">
        <f t="shared" si="1407"/>
        <v>0</v>
      </c>
      <c r="P2562" s="529">
        <f t="shared" si="1408"/>
        <v>0</v>
      </c>
      <c r="Q2562" s="24">
        <f t="shared" si="1409"/>
        <v>0</v>
      </c>
      <c r="R2562" s="530">
        <f t="shared" si="1410"/>
        <v>0</v>
      </c>
    </row>
    <row r="2563" spans="1:18">
      <c r="A2563" s="524"/>
      <c r="B2563" s="540" t="s">
        <v>101</v>
      </c>
      <c r="C2563" s="552">
        <v>2477.56</v>
      </c>
      <c r="D2563" s="553">
        <v>24899</v>
      </c>
      <c r="E2563" s="551">
        <v>921</v>
      </c>
      <c r="F2563" s="551">
        <v>12</v>
      </c>
      <c r="G2563" s="551">
        <v>94469</v>
      </c>
      <c r="H2563" s="551">
        <v>55</v>
      </c>
      <c r="I2563" s="551">
        <v>7</v>
      </c>
      <c r="J2563" s="551">
        <v>8</v>
      </c>
      <c r="K2563" s="527">
        <f t="shared" si="1403"/>
        <v>0.0369894373268003</v>
      </c>
      <c r="L2563" s="528">
        <f t="shared" si="1404"/>
        <v>2.69007600434311</v>
      </c>
      <c r="M2563" s="528">
        <f t="shared" si="1405"/>
        <v>99.5043977669786</v>
      </c>
      <c r="N2563" s="528">
        <f t="shared" si="1406"/>
        <v>38.1298535656049</v>
      </c>
      <c r="O2563" s="528">
        <f t="shared" si="1407"/>
        <v>0.0130293159609121</v>
      </c>
      <c r="P2563" s="529">
        <f t="shared" si="1408"/>
        <v>39.9606451612903</v>
      </c>
      <c r="Q2563" s="24">
        <f t="shared" si="1409"/>
        <v>62</v>
      </c>
      <c r="R2563" s="530">
        <f t="shared" si="1410"/>
        <v>0.0673181324647123</v>
      </c>
    </row>
    <row r="2564" spans="1:18">
      <c r="A2564" s="524"/>
      <c r="B2564" s="531" t="s">
        <v>96</v>
      </c>
      <c r="C2564" s="533">
        <f t="shared" ref="C2564:J2564" si="1412">SUM(C2560:C2563)</f>
        <v>5619.87</v>
      </c>
      <c r="D2564" s="533">
        <f t="shared" si="1412"/>
        <v>43640</v>
      </c>
      <c r="E2564" s="533">
        <f t="shared" si="1412"/>
        <v>2224</v>
      </c>
      <c r="F2564" s="533">
        <f t="shared" si="1412"/>
        <v>14</v>
      </c>
      <c r="G2564" s="533">
        <f t="shared" si="1412"/>
        <v>109250</v>
      </c>
      <c r="H2564" s="533">
        <f t="shared" si="1412"/>
        <v>112</v>
      </c>
      <c r="I2564" s="533">
        <f t="shared" si="1412"/>
        <v>17</v>
      </c>
      <c r="J2564" s="533">
        <f t="shared" si="1412"/>
        <v>15</v>
      </c>
      <c r="K2564" s="534">
        <f t="shared" si="1403"/>
        <v>0.0509624197983501</v>
      </c>
      <c r="L2564" s="535">
        <f t="shared" si="1404"/>
        <v>2.52691996402878</v>
      </c>
      <c r="M2564" s="535">
        <f t="shared" si="1405"/>
        <v>128.777956003666</v>
      </c>
      <c r="N2564" s="535">
        <f t="shared" si="1406"/>
        <v>19.4399514579519</v>
      </c>
      <c r="O2564" s="535">
        <f t="shared" si="1407"/>
        <v>0.00629496402877698</v>
      </c>
      <c r="P2564" s="536">
        <f t="shared" si="1408"/>
        <v>43.5648837209302</v>
      </c>
      <c r="Q2564" s="531">
        <f t="shared" si="1409"/>
        <v>129</v>
      </c>
      <c r="R2564" s="537">
        <f t="shared" si="1410"/>
        <v>0.0580035971223022</v>
      </c>
    </row>
    <row r="2565" spans="1:18">
      <c r="A2565" s="524">
        <v>45963</v>
      </c>
      <c r="B2565" s="540" t="s">
        <v>98</v>
      </c>
      <c r="C2565" s="551">
        <v>1200</v>
      </c>
      <c r="D2565" s="553">
        <v>13803</v>
      </c>
      <c r="E2565" s="551">
        <v>439</v>
      </c>
      <c r="F2565" s="551">
        <v>4</v>
      </c>
      <c r="G2565" s="551">
        <v>30593</v>
      </c>
      <c r="H2565" s="551">
        <v>31</v>
      </c>
      <c r="I2565" s="551">
        <v>5</v>
      </c>
      <c r="J2565" s="551">
        <v>1</v>
      </c>
      <c r="K2565" s="527">
        <f t="shared" si="1403"/>
        <v>0.0318046801419981</v>
      </c>
      <c r="L2565" s="528">
        <f t="shared" si="1404"/>
        <v>2.73348519362187</v>
      </c>
      <c r="M2565" s="528">
        <f t="shared" si="1405"/>
        <v>86.9376222560313</v>
      </c>
      <c r="N2565" s="528">
        <f t="shared" si="1406"/>
        <v>25.4941666666667</v>
      </c>
      <c r="O2565" s="528">
        <f t="shared" si="1407"/>
        <v>0.00911161731207289</v>
      </c>
      <c r="P2565" s="529">
        <f t="shared" si="1408"/>
        <v>33.3333333333333</v>
      </c>
      <c r="Q2565" s="24">
        <f t="shared" si="1409"/>
        <v>36</v>
      </c>
      <c r="R2565" s="530">
        <f t="shared" si="1410"/>
        <v>0.082004555808656</v>
      </c>
    </row>
    <row r="2566" spans="1:18">
      <c r="A2566" s="524"/>
      <c r="B2566" s="540" t="s">
        <v>99</v>
      </c>
      <c r="C2566" s="551">
        <v>1926.99</v>
      </c>
      <c r="D2566" s="556">
        <v>8840</v>
      </c>
      <c r="E2566" s="551">
        <v>783</v>
      </c>
      <c r="F2566" s="551">
        <v>7</v>
      </c>
      <c r="G2566" s="551">
        <v>63482</v>
      </c>
      <c r="H2566" s="555">
        <v>23</v>
      </c>
      <c r="I2566" s="555">
        <v>0</v>
      </c>
      <c r="J2566" s="555">
        <v>3</v>
      </c>
      <c r="K2566" s="527">
        <f t="shared" si="1403"/>
        <v>0.0885746606334842</v>
      </c>
      <c r="L2566" s="528">
        <f t="shared" si="1404"/>
        <v>2.46103448275862</v>
      </c>
      <c r="M2566" s="528">
        <f t="shared" si="1405"/>
        <v>217.985294117647</v>
      </c>
      <c r="N2566" s="528">
        <f t="shared" si="1406"/>
        <v>32.9436063497994</v>
      </c>
      <c r="O2566" s="528">
        <f t="shared" si="1407"/>
        <v>0.00893997445721584</v>
      </c>
      <c r="P2566" s="529">
        <f t="shared" si="1408"/>
        <v>83.7821739130435</v>
      </c>
      <c r="Q2566" s="24">
        <f t="shared" si="1409"/>
        <v>23</v>
      </c>
      <c r="R2566" s="530">
        <f t="shared" si="1410"/>
        <v>0.0293742017879949</v>
      </c>
    </row>
    <row r="2567" spans="1:18">
      <c r="A2567" s="524"/>
      <c r="B2567" s="540" t="s">
        <v>100</v>
      </c>
      <c r="C2567" s="552">
        <v>0</v>
      </c>
      <c r="D2567" s="553">
        <v>0</v>
      </c>
      <c r="E2567" s="553">
        <v>0</v>
      </c>
      <c r="F2567" s="551">
        <v>0</v>
      </c>
      <c r="G2567" s="551">
        <v>0</v>
      </c>
      <c r="H2567" s="551">
        <v>0</v>
      </c>
      <c r="I2567" s="551">
        <v>0</v>
      </c>
      <c r="J2567" s="551">
        <v>0</v>
      </c>
      <c r="K2567" s="527">
        <f t="shared" si="1403"/>
        <v>0</v>
      </c>
      <c r="L2567" s="528">
        <f t="shared" si="1404"/>
        <v>0</v>
      </c>
      <c r="M2567" s="528">
        <f t="shared" si="1405"/>
        <v>0</v>
      </c>
      <c r="N2567" s="528">
        <f t="shared" si="1406"/>
        <v>0</v>
      </c>
      <c r="O2567" s="528">
        <f t="shared" si="1407"/>
        <v>0</v>
      </c>
      <c r="P2567" s="529">
        <f t="shared" si="1408"/>
        <v>0</v>
      </c>
      <c r="Q2567" s="24">
        <f t="shared" si="1409"/>
        <v>0</v>
      </c>
      <c r="R2567" s="530">
        <f t="shared" si="1410"/>
        <v>0</v>
      </c>
    </row>
    <row r="2568" spans="1:18">
      <c r="A2568" s="524"/>
      <c r="B2568" s="540" t="s">
        <v>101</v>
      </c>
      <c r="C2568" s="552">
        <v>2481.99</v>
      </c>
      <c r="D2568" s="553">
        <v>26477</v>
      </c>
      <c r="E2568" s="551">
        <v>911</v>
      </c>
      <c r="F2568" s="551">
        <v>7</v>
      </c>
      <c r="G2568" s="551">
        <v>58183</v>
      </c>
      <c r="H2568" s="551">
        <v>38</v>
      </c>
      <c r="I2568" s="551">
        <v>5</v>
      </c>
      <c r="J2568" s="551">
        <v>1</v>
      </c>
      <c r="K2568" s="527">
        <f t="shared" si="1403"/>
        <v>0.0344072213619368</v>
      </c>
      <c r="L2568" s="528">
        <f t="shared" si="1404"/>
        <v>2.72446761800219</v>
      </c>
      <c r="M2568" s="528">
        <f t="shared" si="1405"/>
        <v>93.7413604260301</v>
      </c>
      <c r="N2568" s="528">
        <f t="shared" si="1406"/>
        <v>23.4420767206959</v>
      </c>
      <c r="O2568" s="528">
        <f t="shared" si="1407"/>
        <v>0.00768386388583974</v>
      </c>
      <c r="P2568" s="529">
        <f t="shared" si="1408"/>
        <v>57.7206976744186</v>
      </c>
      <c r="Q2568" s="24">
        <f t="shared" si="1409"/>
        <v>43</v>
      </c>
      <c r="R2568" s="530">
        <f t="shared" si="1410"/>
        <v>0.0472008781558727</v>
      </c>
    </row>
    <row r="2569" spans="1:18">
      <c r="A2569" s="524"/>
      <c r="B2569" s="531" t="s">
        <v>96</v>
      </c>
      <c r="C2569" s="533">
        <f t="shared" ref="C2569:J2569" si="1413">SUM(C2565:C2568)</f>
        <v>5608.98</v>
      </c>
      <c r="D2569" s="533">
        <f t="shared" si="1413"/>
        <v>49120</v>
      </c>
      <c r="E2569" s="533">
        <f t="shared" si="1413"/>
        <v>2133</v>
      </c>
      <c r="F2569" s="533">
        <f t="shared" si="1413"/>
        <v>18</v>
      </c>
      <c r="G2569" s="533">
        <f t="shared" si="1413"/>
        <v>152258</v>
      </c>
      <c r="H2569" s="533">
        <f t="shared" si="1413"/>
        <v>92</v>
      </c>
      <c r="I2569" s="533">
        <f t="shared" si="1413"/>
        <v>10</v>
      </c>
      <c r="J2569" s="533">
        <f t="shared" si="1413"/>
        <v>5</v>
      </c>
      <c r="K2569" s="534">
        <f t="shared" si="1403"/>
        <v>0.0434242671009772</v>
      </c>
      <c r="L2569" s="535">
        <f t="shared" si="1404"/>
        <v>2.62962025316456</v>
      </c>
      <c r="M2569" s="535">
        <f t="shared" si="1405"/>
        <v>114.189332247557</v>
      </c>
      <c r="N2569" s="535">
        <f t="shared" si="1406"/>
        <v>27.1453989851987</v>
      </c>
      <c r="O2569" s="535">
        <f t="shared" si="1407"/>
        <v>0.00843881856540084</v>
      </c>
      <c r="P2569" s="536">
        <f t="shared" si="1408"/>
        <v>54.99</v>
      </c>
      <c r="Q2569" s="531">
        <f t="shared" si="1409"/>
        <v>102</v>
      </c>
      <c r="R2569" s="537">
        <f t="shared" si="1410"/>
        <v>0.0478199718706048</v>
      </c>
    </row>
    <row r="2570" spans="1:18">
      <c r="A2570" s="524">
        <v>45964</v>
      </c>
      <c r="B2570" s="540" t="s">
        <v>98</v>
      </c>
      <c r="C2570" s="551">
        <v>1200</v>
      </c>
      <c r="D2570" s="553">
        <v>12246</v>
      </c>
      <c r="E2570" s="551">
        <v>430</v>
      </c>
      <c r="F2570" s="551">
        <v>6</v>
      </c>
      <c r="G2570" s="551">
        <v>45986</v>
      </c>
      <c r="H2570" s="551">
        <v>23</v>
      </c>
      <c r="I2570" s="551">
        <v>4</v>
      </c>
      <c r="J2570" s="551">
        <v>2</v>
      </c>
      <c r="K2570" s="527">
        <f t="shared" si="1403"/>
        <v>0.0351135064510861</v>
      </c>
      <c r="L2570" s="528">
        <f t="shared" si="1404"/>
        <v>2.7906976744186</v>
      </c>
      <c r="M2570" s="528">
        <f t="shared" si="1405"/>
        <v>97.9911807937286</v>
      </c>
      <c r="N2570" s="528">
        <f t="shared" si="1406"/>
        <v>38.3216666666667</v>
      </c>
      <c r="O2570" s="528">
        <f t="shared" si="1407"/>
        <v>0.013953488372093</v>
      </c>
      <c r="P2570" s="529">
        <f t="shared" si="1408"/>
        <v>44.4444444444444</v>
      </c>
      <c r="Q2570" s="24">
        <f t="shared" si="1409"/>
        <v>27</v>
      </c>
      <c r="R2570" s="530">
        <f t="shared" si="1410"/>
        <v>0.0627906976744186</v>
      </c>
    </row>
    <row r="2571" spans="1:18">
      <c r="A2571" s="524"/>
      <c r="B2571" s="540" t="s">
        <v>99</v>
      </c>
      <c r="C2571" s="551">
        <v>1462.65</v>
      </c>
      <c r="D2571" s="556">
        <v>7739</v>
      </c>
      <c r="E2571" s="551">
        <v>629</v>
      </c>
      <c r="F2571" s="551">
        <v>6</v>
      </c>
      <c r="G2571" s="551">
        <v>34793</v>
      </c>
      <c r="H2571" s="555">
        <v>14</v>
      </c>
      <c r="I2571" s="555">
        <v>0</v>
      </c>
      <c r="J2571" s="555">
        <v>4</v>
      </c>
      <c r="K2571" s="527">
        <f t="shared" si="1403"/>
        <v>0.0812766507300685</v>
      </c>
      <c r="L2571" s="528">
        <f t="shared" si="1404"/>
        <v>2.32535771065183</v>
      </c>
      <c r="M2571" s="528">
        <f t="shared" si="1405"/>
        <v>188.99728647112</v>
      </c>
      <c r="N2571" s="528">
        <f t="shared" si="1406"/>
        <v>23.787645711551</v>
      </c>
      <c r="O2571" s="528">
        <f t="shared" si="1407"/>
        <v>0.0095389507154213</v>
      </c>
      <c r="P2571" s="529">
        <f t="shared" si="1408"/>
        <v>104.475</v>
      </c>
      <c r="Q2571" s="24">
        <f t="shared" si="1409"/>
        <v>14</v>
      </c>
      <c r="R2571" s="530">
        <f t="shared" si="1410"/>
        <v>0.0222575516693164</v>
      </c>
    </row>
    <row r="2572" spans="1:18">
      <c r="A2572" s="524"/>
      <c r="B2572" s="540" t="s">
        <v>100</v>
      </c>
      <c r="C2572" s="552">
        <v>0</v>
      </c>
      <c r="D2572" s="553">
        <v>0</v>
      </c>
      <c r="E2572" s="553">
        <v>0</v>
      </c>
      <c r="F2572" s="551">
        <v>0</v>
      </c>
      <c r="G2572" s="551">
        <v>0</v>
      </c>
      <c r="H2572" s="551">
        <v>0</v>
      </c>
      <c r="I2572" s="551">
        <v>0</v>
      </c>
      <c r="J2572" s="551">
        <v>0</v>
      </c>
      <c r="K2572" s="527">
        <f t="shared" si="1403"/>
        <v>0</v>
      </c>
      <c r="L2572" s="528">
        <f t="shared" si="1404"/>
        <v>0</v>
      </c>
      <c r="M2572" s="528">
        <f t="shared" si="1405"/>
        <v>0</v>
      </c>
      <c r="N2572" s="528">
        <f t="shared" si="1406"/>
        <v>0</v>
      </c>
      <c r="O2572" s="528">
        <f t="shared" si="1407"/>
        <v>0</v>
      </c>
      <c r="P2572" s="529">
        <f t="shared" si="1408"/>
        <v>0</v>
      </c>
      <c r="Q2572" s="24">
        <f t="shared" si="1409"/>
        <v>0</v>
      </c>
      <c r="R2572" s="530">
        <f t="shared" si="1410"/>
        <v>0</v>
      </c>
    </row>
    <row r="2573" spans="1:18">
      <c r="A2573" s="524"/>
      <c r="B2573" s="540" t="s">
        <v>101</v>
      </c>
      <c r="C2573" s="552">
        <v>2497.12</v>
      </c>
      <c r="D2573" s="553">
        <v>26124</v>
      </c>
      <c r="E2573" s="551">
        <v>926</v>
      </c>
      <c r="F2573" s="551">
        <v>6</v>
      </c>
      <c r="G2573" s="551">
        <v>58182</v>
      </c>
      <c r="H2573" s="551">
        <v>39</v>
      </c>
      <c r="I2573" s="551">
        <v>2</v>
      </c>
      <c r="J2573" s="551">
        <v>3</v>
      </c>
      <c r="K2573" s="527">
        <f t="shared" si="1403"/>
        <v>0.0354463328739856</v>
      </c>
      <c r="L2573" s="528">
        <f t="shared" si="1404"/>
        <v>2.69667386609071</v>
      </c>
      <c r="M2573" s="528">
        <f t="shared" si="1405"/>
        <v>95.5871995100291</v>
      </c>
      <c r="N2573" s="528">
        <f t="shared" si="1406"/>
        <v>23.299641186647</v>
      </c>
      <c r="O2573" s="528">
        <f t="shared" si="1407"/>
        <v>0.00647948164146868</v>
      </c>
      <c r="P2573" s="529">
        <f t="shared" si="1408"/>
        <v>60.9053658536585</v>
      </c>
      <c r="Q2573" s="24">
        <f t="shared" si="1409"/>
        <v>41</v>
      </c>
      <c r="R2573" s="530">
        <f t="shared" si="1410"/>
        <v>0.0442764578833693</v>
      </c>
    </row>
    <row r="2574" spans="1:18">
      <c r="A2574" s="524"/>
      <c r="B2574" s="531" t="s">
        <v>96</v>
      </c>
      <c r="C2574" s="533">
        <f t="shared" ref="C2574:J2574" si="1414">SUM(C2570:C2573)</f>
        <v>5159.77</v>
      </c>
      <c r="D2574" s="533">
        <f t="shared" si="1414"/>
        <v>46109</v>
      </c>
      <c r="E2574" s="533">
        <f t="shared" si="1414"/>
        <v>1985</v>
      </c>
      <c r="F2574" s="533">
        <f t="shared" si="1414"/>
        <v>18</v>
      </c>
      <c r="G2574" s="533">
        <f t="shared" si="1414"/>
        <v>138961</v>
      </c>
      <c r="H2574" s="533">
        <f t="shared" si="1414"/>
        <v>76</v>
      </c>
      <c r="I2574" s="533">
        <f t="shared" si="1414"/>
        <v>6</v>
      </c>
      <c r="J2574" s="533">
        <f t="shared" si="1414"/>
        <v>9</v>
      </c>
      <c r="K2574" s="534">
        <f t="shared" si="1403"/>
        <v>0.0430501637424364</v>
      </c>
      <c r="L2574" s="535">
        <f t="shared" si="1404"/>
        <v>2.59938035264484</v>
      </c>
      <c r="M2574" s="535">
        <f t="shared" si="1405"/>
        <v>111.903749810232</v>
      </c>
      <c r="N2574" s="535">
        <f t="shared" si="1406"/>
        <v>26.9316267973185</v>
      </c>
      <c r="O2574" s="535">
        <f t="shared" si="1407"/>
        <v>0.00906801007556675</v>
      </c>
      <c r="P2574" s="536">
        <f t="shared" si="1408"/>
        <v>62.9240243902439</v>
      </c>
      <c r="Q2574" s="531">
        <f t="shared" si="1409"/>
        <v>82</v>
      </c>
      <c r="R2574" s="537">
        <f t="shared" si="1410"/>
        <v>0.0413098236775819</v>
      </c>
    </row>
    <row r="2575" spans="1:18">
      <c r="A2575" s="524">
        <v>45965</v>
      </c>
      <c r="B2575" s="540" t="s">
        <v>98</v>
      </c>
      <c r="C2575" s="551">
        <v>1987.05</v>
      </c>
      <c r="D2575" s="553">
        <v>27857</v>
      </c>
      <c r="E2575" s="551">
        <v>821</v>
      </c>
      <c r="F2575" s="551">
        <v>2</v>
      </c>
      <c r="G2575" s="551">
        <v>23904</v>
      </c>
      <c r="H2575" s="551">
        <v>41</v>
      </c>
      <c r="I2575" s="551">
        <v>2</v>
      </c>
      <c r="J2575" s="551">
        <v>3</v>
      </c>
      <c r="K2575" s="527">
        <f t="shared" si="1403"/>
        <v>0.0294719460099795</v>
      </c>
      <c r="L2575" s="528">
        <f t="shared" si="1404"/>
        <v>2.42028014616322</v>
      </c>
      <c r="M2575" s="528">
        <f t="shared" si="1405"/>
        <v>71.3303657967477</v>
      </c>
      <c r="N2575" s="528">
        <f t="shared" si="1406"/>
        <v>12.0298935608062</v>
      </c>
      <c r="O2575" s="528">
        <f t="shared" si="1407"/>
        <v>0.00243605359317905</v>
      </c>
      <c r="P2575" s="529">
        <f t="shared" si="1408"/>
        <v>46.2104651162791</v>
      </c>
      <c r="Q2575" s="24">
        <f t="shared" si="1409"/>
        <v>43</v>
      </c>
      <c r="R2575" s="530">
        <f t="shared" si="1410"/>
        <v>0.0523751522533496</v>
      </c>
    </row>
    <row r="2576" spans="1:18">
      <c r="A2576" s="524"/>
      <c r="B2576" s="540" t="s">
        <v>99</v>
      </c>
      <c r="C2576" s="551">
        <v>1465.98</v>
      </c>
      <c r="D2576" s="556">
        <v>7174</v>
      </c>
      <c r="E2576" s="551">
        <v>680</v>
      </c>
      <c r="F2576" s="551">
        <v>2</v>
      </c>
      <c r="G2576" s="551">
        <v>15450</v>
      </c>
      <c r="H2576" s="555">
        <v>18</v>
      </c>
      <c r="I2576" s="555">
        <v>2</v>
      </c>
      <c r="J2576" s="555">
        <v>2</v>
      </c>
      <c r="K2576" s="527">
        <f t="shared" si="1403"/>
        <v>0.0947867298578199</v>
      </c>
      <c r="L2576" s="528">
        <f t="shared" si="1404"/>
        <v>2.15585294117647</v>
      </c>
      <c r="M2576" s="528">
        <f t="shared" si="1405"/>
        <v>204.346250348481</v>
      </c>
      <c r="N2576" s="528">
        <f t="shared" si="1406"/>
        <v>10.5390250890189</v>
      </c>
      <c r="O2576" s="528">
        <f t="shared" si="1407"/>
        <v>0.00294117647058824</v>
      </c>
      <c r="P2576" s="529">
        <f t="shared" si="1408"/>
        <v>73.299</v>
      </c>
      <c r="Q2576" s="24">
        <f t="shared" si="1409"/>
        <v>20</v>
      </c>
      <c r="R2576" s="530">
        <f t="shared" si="1410"/>
        <v>0.0294117647058824</v>
      </c>
    </row>
    <row r="2577" spans="1:18">
      <c r="A2577" s="524"/>
      <c r="B2577" s="540" t="s">
        <v>100</v>
      </c>
      <c r="C2577" s="552">
        <v>0</v>
      </c>
      <c r="D2577" s="553">
        <v>0</v>
      </c>
      <c r="E2577" s="553">
        <v>0</v>
      </c>
      <c r="F2577" s="551">
        <v>0</v>
      </c>
      <c r="G2577" s="551">
        <v>0</v>
      </c>
      <c r="H2577" s="551">
        <v>0</v>
      </c>
      <c r="I2577" s="551">
        <v>0</v>
      </c>
      <c r="J2577" s="551">
        <v>0</v>
      </c>
      <c r="K2577" s="527">
        <f t="shared" si="1403"/>
        <v>0</v>
      </c>
      <c r="L2577" s="528">
        <f t="shared" si="1404"/>
        <v>0</v>
      </c>
      <c r="M2577" s="528">
        <f t="shared" si="1405"/>
        <v>0</v>
      </c>
      <c r="N2577" s="528">
        <f t="shared" si="1406"/>
        <v>0</v>
      </c>
      <c r="O2577" s="528">
        <f t="shared" si="1407"/>
        <v>0</v>
      </c>
      <c r="P2577" s="529">
        <f t="shared" si="1408"/>
        <v>0</v>
      </c>
      <c r="Q2577" s="24">
        <f t="shared" si="1409"/>
        <v>0</v>
      </c>
      <c r="R2577" s="530">
        <f t="shared" si="1410"/>
        <v>0</v>
      </c>
    </row>
    <row r="2578" spans="1:18">
      <c r="A2578" s="524"/>
      <c r="B2578" s="540" t="s">
        <v>101</v>
      </c>
      <c r="C2578" s="552">
        <v>3451.71</v>
      </c>
      <c r="D2578" s="553">
        <v>32625</v>
      </c>
      <c r="E2578" s="551">
        <v>1158</v>
      </c>
      <c r="F2578" s="551">
        <v>10</v>
      </c>
      <c r="G2578" s="551">
        <v>89372</v>
      </c>
      <c r="H2578" s="551">
        <v>31</v>
      </c>
      <c r="I2578" s="551">
        <v>6</v>
      </c>
      <c r="J2578" s="551">
        <v>5</v>
      </c>
      <c r="K2578" s="527">
        <f t="shared" si="1403"/>
        <v>0.0354942528735632</v>
      </c>
      <c r="L2578" s="528">
        <f t="shared" si="1404"/>
        <v>2.98075129533679</v>
      </c>
      <c r="M2578" s="528">
        <f t="shared" si="1405"/>
        <v>105.799540229885</v>
      </c>
      <c r="N2578" s="528">
        <f t="shared" si="1406"/>
        <v>25.8920940635221</v>
      </c>
      <c r="O2578" s="528">
        <f t="shared" si="1407"/>
        <v>0.00863557858376511</v>
      </c>
      <c r="P2578" s="529">
        <f t="shared" si="1408"/>
        <v>93.2894594594595</v>
      </c>
      <c r="Q2578" s="24">
        <f t="shared" si="1409"/>
        <v>37</v>
      </c>
      <c r="R2578" s="530">
        <f t="shared" si="1410"/>
        <v>0.0319516407599309</v>
      </c>
    </row>
    <row r="2579" spans="1:18">
      <c r="A2579" s="524"/>
      <c r="B2579" s="531" t="s">
        <v>96</v>
      </c>
      <c r="C2579" s="533">
        <f t="shared" ref="C2579:J2579" si="1415">SUM(C2575:C2578)</f>
        <v>6904.74</v>
      </c>
      <c r="D2579" s="533">
        <f t="shared" si="1415"/>
        <v>67656</v>
      </c>
      <c r="E2579" s="533">
        <f t="shared" si="1415"/>
        <v>2659</v>
      </c>
      <c r="F2579" s="533">
        <f t="shared" si="1415"/>
        <v>14</v>
      </c>
      <c r="G2579" s="533">
        <f t="shared" si="1415"/>
        <v>128726</v>
      </c>
      <c r="H2579" s="533">
        <f t="shared" si="1415"/>
        <v>90</v>
      </c>
      <c r="I2579" s="533">
        <f t="shared" si="1415"/>
        <v>10</v>
      </c>
      <c r="J2579" s="533">
        <f t="shared" si="1415"/>
        <v>10</v>
      </c>
      <c r="K2579" s="534">
        <f t="shared" si="1403"/>
        <v>0.0393017618540854</v>
      </c>
      <c r="L2579" s="535">
        <f t="shared" si="1404"/>
        <v>2.59674313651749</v>
      </c>
      <c r="M2579" s="535">
        <f t="shared" si="1405"/>
        <v>102.056580347641</v>
      </c>
      <c r="N2579" s="535">
        <f t="shared" si="1406"/>
        <v>18.6431350058076</v>
      </c>
      <c r="O2579" s="535">
        <f t="shared" si="1407"/>
        <v>0.00526513726965024</v>
      </c>
      <c r="P2579" s="536">
        <f t="shared" si="1408"/>
        <v>69.0474</v>
      </c>
      <c r="Q2579" s="531">
        <f t="shared" si="1409"/>
        <v>100</v>
      </c>
      <c r="R2579" s="537">
        <f t="shared" si="1410"/>
        <v>0.0376081233546446</v>
      </c>
    </row>
    <row r="2580" spans="1:18">
      <c r="A2580" s="524">
        <v>45966</v>
      </c>
      <c r="B2580" s="540" t="s">
        <v>98</v>
      </c>
      <c r="C2580" s="551">
        <v>2000</v>
      </c>
      <c r="D2580" s="553">
        <v>23909</v>
      </c>
      <c r="E2580" s="551">
        <v>748</v>
      </c>
      <c r="F2580" s="551">
        <v>6</v>
      </c>
      <c r="G2580" s="551">
        <v>48191</v>
      </c>
      <c r="H2580" s="551">
        <v>48</v>
      </c>
      <c r="I2580" s="551">
        <v>8</v>
      </c>
      <c r="J2580" s="551">
        <v>6</v>
      </c>
      <c r="K2580" s="527">
        <f t="shared" si="1403"/>
        <v>0.0312852900581371</v>
      </c>
      <c r="L2580" s="528">
        <f t="shared" si="1404"/>
        <v>2.67379679144385</v>
      </c>
      <c r="M2580" s="528">
        <f t="shared" si="1405"/>
        <v>83.6505081768372</v>
      </c>
      <c r="N2580" s="528">
        <f t="shared" si="1406"/>
        <v>24.0955</v>
      </c>
      <c r="O2580" s="528">
        <f t="shared" si="1407"/>
        <v>0.00802139037433155</v>
      </c>
      <c r="P2580" s="529">
        <f t="shared" si="1408"/>
        <v>35.7142857142857</v>
      </c>
      <c r="Q2580" s="24">
        <f t="shared" si="1409"/>
        <v>56</v>
      </c>
      <c r="R2580" s="530">
        <f t="shared" si="1410"/>
        <v>0.0748663101604278</v>
      </c>
    </row>
    <row r="2581" spans="1:18">
      <c r="A2581" s="524"/>
      <c r="B2581" s="540" t="s">
        <v>99</v>
      </c>
      <c r="C2581" s="551">
        <v>1177.21</v>
      </c>
      <c r="D2581" s="556">
        <v>7720</v>
      </c>
      <c r="E2581" s="551">
        <v>598</v>
      </c>
      <c r="F2581" s="551">
        <v>1</v>
      </c>
      <c r="G2581" s="551">
        <v>10497</v>
      </c>
      <c r="H2581" s="555">
        <v>18</v>
      </c>
      <c r="I2581" s="555">
        <v>1</v>
      </c>
      <c r="J2581" s="555">
        <v>3</v>
      </c>
      <c r="K2581" s="527">
        <f t="shared" si="1403"/>
        <v>0.0774611398963731</v>
      </c>
      <c r="L2581" s="528">
        <f t="shared" si="1404"/>
        <v>1.96857859531773</v>
      </c>
      <c r="M2581" s="528">
        <f t="shared" si="1405"/>
        <v>152.488341968912</v>
      </c>
      <c r="N2581" s="528">
        <f t="shared" si="1406"/>
        <v>8.91684576243831</v>
      </c>
      <c r="O2581" s="528">
        <f t="shared" si="1407"/>
        <v>0.00167224080267559</v>
      </c>
      <c r="P2581" s="529">
        <f t="shared" si="1408"/>
        <v>61.9584210526316</v>
      </c>
      <c r="Q2581" s="24">
        <f t="shared" si="1409"/>
        <v>19</v>
      </c>
      <c r="R2581" s="530">
        <f t="shared" si="1410"/>
        <v>0.0317725752508361</v>
      </c>
    </row>
    <row r="2582" spans="1:18">
      <c r="A2582" s="524"/>
      <c r="B2582" s="540" t="s">
        <v>100</v>
      </c>
      <c r="C2582" s="552">
        <v>0</v>
      </c>
      <c r="D2582" s="553">
        <v>0</v>
      </c>
      <c r="E2582" s="553">
        <v>0</v>
      </c>
      <c r="F2582" s="551">
        <v>0</v>
      </c>
      <c r="G2582" s="551">
        <v>0</v>
      </c>
      <c r="H2582" s="551">
        <v>0</v>
      </c>
      <c r="I2582" s="551">
        <v>0</v>
      </c>
      <c r="J2582" s="551">
        <v>0</v>
      </c>
      <c r="K2582" s="527">
        <f t="shared" si="1403"/>
        <v>0</v>
      </c>
      <c r="L2582" s="528">
        <f t="shared" si="1404"/>
        <v>0</v>
      </c>
      <c r="M2582" s="528">
        <f t="shared" si="1405"/>
        <v>0</v>
      </c>
      <c r="N2582" s="528">
        <f t="shared" si="1406"/>
        <v>0</v>
      </c>
      <c r="O2582" s="528">
        <f t="shared" si="1407"/>
        <v>0</v>
      </c>
      <c r="P2582" s="529">
        <f t="shared" si="1408"/>
        <v>0</v>
      </c>
      <c r="Q2582" s="24">
        <f t="shared" si="1409"/>
        <v>0</v>
      </c>
      <c r="R2582" s="530">
        <f t="shared" si="1410"/>
        <v>0</v>
      </c>
    </row>
    <row r="2583" spans="1:18">
      <c r="A2583" s="524"/>
      <c r="B2583" s="540" t="s">
        <v>101</v>
      </c>
      <c r="C2583" s="552">
        <v>3486.65</v>
      </c>
      <c r="D2583" s="553">
        <v>30613</v>
      </c>
      <c r="E2583" s="551">
        <v>1102</v>
      </c>
      <c r="F2583" s="551">
        <v>10</v>
      </c>
      <c r="G2583" s="551">
        <v>95974</v>
      </c>
      <c r="H2583" s="551">
        <v>40</v>
      </c>
      <c r="I2583" s="551">
        <v>8</v>
      </c>
      <c r="J2583" s="551">
        <v>2</v>
      </c>
      <c r="K2583" s="527">
        <f t="shared" si="1403"/>
        <v>0.0359977787214582</v>
      </c>
      <c r="L2583" s="528">
        <f t="shared" si="1404"/>
        <v>3.16392921960073</v>
      </c>
      <c r="M2583" s="528">
        <f t="shared" si="1405"/>
        <v>113.894423937543</v>
      </c>
      <c r="N2583" s="528">
        <f t="shared" si="1406"/>
        <v>27.5261354021769</v>
      </c>
      <c r="O2583" s="528">
        <f t="shared" si="1407"/>
        <v>0.00907441016333938</v>
      </c>
      <c r="P2583" s="529">
        <f t="shared" si="1408"/>
        <v>72.6385416666667</v>
      </c>
      <c r="Q2583" s="24">
        <f t="shared" si="1409"/>
        <v>48</v>
      </c>
      <c r="R2583" s="530">
        <f t="shared" si="1410"/>
        <v>0.043557168784029</v>
      </c>
    </row>
    <row r="2584" spans="1:18">
      <c r="A2584" s="524"/>
      <c r="B2584" s="531" t="s">
        <v>96</v>
      </c>
      <c r="C2584" s="533">
        <f t="shared" ref="C2584:J2584" si="1416">SUM(C2580:C2583)</f>
        <v>6663.86</v>
      </c>
      <c r="D2584" s="533">
        <f t="shared" si="1416"/>
        <v>62242</v>
      </c>
      <c r="E2584" s="533">
        <f t="shared" si="1416"/>
        <v>2448</v>
      </c>
      <c r="F2584" s="533">
        <f t="shared" si="1416"/>
        <v>17</v>
      </c>
      <c r="G2584" s="533">
        <f t="shared" si="1416"/>
        <v>154662</v>
      </c>
      <c r="H2584" s="533">
        <f t="shared" si="1416"/>
        <v>106</v>
      </c>
      <c r="I2584" s="533">
        <f t="shared" si="1416"/>
        <v>17</v>
      </c>
      <c r="J2584" s="533">
        <f t="shared" si="1416"/>
        <v>11</v>
      </c>
      <c r="K2584" s="534">
        <f t="shared" si="1403"/>
        <v>0.0393303557083641</v>
      </c>
      <c r="L2584" s="535">
        <f t="shared" si="1404"/>
        <v>2.72216503267974</v>
      </c>
      <c r="M2584" s="535">
        <f t="shared" si="1405"/>
        <v>107.063719032165</v>
      </c>
      <c r="N2584" s="535">
        <f t="shared" si="1406"/>
        <v>23.209071018899</v>
      </c>
      <c r="O2584" s="535">
        <f t="shared" si="1407"/>
        <v>0.00694444444444444</v>
      </c>
      <c r="P2584" s="536">
        <f t="shared" si="1408"/>
        <v>54.1777235772358</v>
      </c>
      <c r="Q2584" s="531">
        <f t="shared" si="1409"/>
        <v>123</v>
      </c>
      <c r="R2584" s="537">
        <f t="shared" si="1410"/>
        <v>0.0502450980392157</v>
      </c>
    </row>
    <row r="2585" spans="1:18">
      <c r="A2585" s="524">
        <v>45967</v>
      </c>
      <c r="B2585" s="540" t="s">
        <v>98</v>
      </c>
      <c r="C2585" s="551">
        <v>2000</v>
      </c>
      <c r="D2585" s="553">
        <v>29953</v>
      </c>
      <c r="E2585" s="551">
        <v>837</v>
      </c>
      <c r="F2585" s="551">
        <v>3</v>
      </c>
      <c r="G2585" s="551">
        <v>47460</v>
      </c>
      <c r="H2585" s="551">
        <v>37</v>
      </c>
      <c r="I2585" s="551">
        <v>3</v>
      </c>
      <c r="J2585" s="551">
        <v>6</v>
      </c>
      <c r="K2585" s="527">
        <f t="shared" si="1403"/>
        <v>0.0279437785864521</v>
      </c>
      <c r="L2585" s="528">
        <f t="shared" si="1404"/>
        <v>2.389486260454</v>
      </c>
      <c r="M2585" s="528">
        <f t="shared" si="1405"/>
        <v>66.7712749974961</v>
      </c>
      <c r="N2585" s="528">
        <f t="shared" si="1406"/>
        <v>23.73</v>
      </c>
      <c r="O2585" s="528">
        <f t="shared" si="1407"/>
        <v>0.003584229390681</v>
      </c>
      <c r="P2585" s="529">
        <f t="shared" si="1408"/>
        <v>50</v>
      </c>
      <c r="Q2585" s="24">
        <f t="shared" si="1409"/>
        <v>40</v>
      </c>
      <c r="R2585" s="530">
        <f t="shared" si="1410"/>
        <v>0.0477897252090801</v>
      </c>
    </row>
    <row r="2586" spans="1:18">
      <c r="A2586" s="524"/>
      <c r="B2586" s="540" t="s">
        <v>99</v>
      </c>
      <c r="C2586" s="551">
        <v>1425.56</v>
      </c>
      <c r="D2586" s="556">
        <v>11051</v>
      </c>
      <c r="E2586" s="551">
        <v>836</v>
      </c>
      <c r="F2586" s="551">
        <v>3</v>
      </c>
      <c r="G2586" s="551">
        <v>21494</v>
      </c>
      <c r="H2586" s="555">
        <v>21</v>
      </c>
      <c r="I2586" s="555">
        <v>1</v>
      </c>
      <c r="J2586" s="555">
        <v>2</v>
      </c>
      <c r="K2586" s="527">
        <f t="shared" si="1403"/>
        <v>0.0756492625101801</v>
      </c>
      <c r="L2586" s="528">
        <f t="shared" si="1404"/>
        <v>1.70521531100478</v>
      </c>
      <c r="M2586" s="528">
        <f t="shared" si="1405"/>
        <v>128.998280698579</v>
      </c>
      <c r="N2586" s="528">
        <f t="shared" si="1406"/>
        <v>15.0775835461152</v>
      </c>
      <c r="O2586" s="528">
        <f t="shared" si="1407"/>
        <v>0.00358851674641148</v>
      </c>
      <c r="P2586" s="529">
        <f t="shared" si="1408"/>
        <v>64.7981818181818</v>
      </c>
      <c r="Q2586" s="24">
        <f t="shared" si="1409"/>
        <v>22</v>
      </c>
      <c r="R2586" s="530">
        <f t="shared" si="1410"/>
        <v>0.0263157894736842</v>
      </c>
    </row>
    <row r="2587" spans="1:18">
      <c r="A2587" s="524"/>
      <c r="B2587" s="540" t="s">
        <v>100</v>
      </c>
      <c r="C2587" s="552">
        <v>0</v>
      </c>
      <c r="D2587" s="553">
        <v>0</v>
      </c>
      <c r="E2587" s="553">
        <v>0</v>
      </c>
      <c r="F2587" s="551">
        <v>0</v>
      </c>
      <c r="G2587" s="551">
        <v>0</v>
      </c>
      <c r="H2587" s="551">
        <v>0</v>
      </c>
      <c r="I2587" s="551">
        <v>0</v>
      </c>
      <c r="J2587" s="551">
        <v>0</v>
      </c>
      <c r="K2587" s="527">
        <f t="shared" si="1403"/>
        <v>0</v>
      </c>
      <c r="L2587" s="528">
        <f t="shared" si="1404"/>
        <v>0</v>
      </c>
      <c r="M2587" s="528">
        <f t="shared" si="1405"/>
        <v>0</v>
      </c>
      <c r="N2587" s="528">
        <f t="shared" si="1406"/>
        <v>0</v>
      </c>
      <c r="O2587" s="528">
        <f t="shared" si="1407"/>
        <v>0</v>
      </c>
      <c r="P2587" s="529">
        <f t="shared" si="1408"/>
        <v>0</v>
      </c>
      <c r="Q2587" s="24">
        <f t="shared" si="1409"/>
        <v>0</v>
      </c>
      <c r="R2587" s="530">
        <f t="shared" si="1410"/>
        <v>0</v>
      </c>
    </row>
    <row r="2588" spans="1:18">
      <c r="A2588" s="524"/>
      <c r="B2588" s="540" t="s">
        <v>101</v>
      </c>
      <c r="C2588" s="552">
        <v>3441.63</v>
      </c>
      <c r="D2588" s="553">
        <v>32056</v>
      </c>
      <c r="E2588" s="551">
        <v>1090</v>
      </c>
      <c r="F2588" s="551">
        <v>10</v>
      </c>
      <c r="G2588" s="551">
        <v>101181</v>
      </c>
      <c r="H2588" s="551">
        <v>29</v>
      </c>
      <c r="I2588" s="551">
        <v>6</v>
      </c>
      <c r="J2588" s="551">
        <v>1</v>
      </c>
      <c r="K2588" s="527">
        <f t="shared" si="1403"/>
        <v>0.0340029947591714</v>
      </c>
      <c r="L2588" s="528">
        <f t="shared" si="1404"/>
        <v>3.15745871559633</v>
      </c>
      <c r="M2588" s="528">
        <f t="shared" si="1405"/>
        <v>107.363052158722</v>
      </c>
      <c r="N2588" s="528">
        <f t="shared" si="1406"/>
        <v>29.3991509836909</v>
      </c>
      <c r="O2588" s="528">
        <f t="shared" si="1407"/>
        <v>0.00917431192660551</v>
      </c>
      <c r="P2588" s="529">
        <f t="shared" si="1408"/>
        <v>98.3322857142857</v>
      </c>
      <c r="Q2588" s="24">
        <f t="shared" si="1409"/>
        <v>35</v>
      </c>
      <c r="R2588" s="530">
        <f t="shared" si="1410"/>
        <v>0.0321100917431193</v>
      </c>
    </row>
    <row r="2589" spans="1:18">
      <c r="A2589" s="524"/>
      <c r="B2589" s="531" t="s">
        <v>96</v>
      </c>
      <c r="C2589" s="533">
        <f t="shared" ref="C2589:J2589" si="1417">SUM(C2585:C2588)</f>
        <v>6867.19</v>
      </c>
      <c r="D2589" s="533">
        <f t="shared" si="1417"/>
        <v>73060</v>
      </c>
      <c r="E2589" s="533">
        <f t="shared" si="1417"/>
        <v>2763</v>
      </c>
      <c r="F2589" s="533">
        <f t="shared" si="1417"/>
        <v>16</v>
      </c>
      <c r="G2589" s="533">
        <f t="shared" si="1417"/>
        <v>170135</v>
      </c>
      <c r="H2589" s="533">
        <f t="shared" si="1417"/>
        <v>87</v>
      </c>
      <c r="I2589" s="533">
        <f t="shared" si="1417"/>
        <v>10</v>
      </c>
      <c r="J2589" s="533">
        <f t="shared" si="1417"/>
        <v>9</v>
      </c>
      <c r="K2589" s="534">
        <f t="shared" si="1403"/>
        <v>0.0378182315904736</v>
      </c>
      <c r="L2589" s="535">
        <f t="shared" si="1404"/>
        <v>2.48541078537821</v>
      </c>
      <c r="M2589" s="535">
        <f t="shared" si="1405"/>
        <v>93.9938406788941</v>
      </c>
      <c r="N2589" s="535">
        <f t="shared" si="1406"/>
        <v>24.7750535517439</v>
      </c>
      <c r="O2589" s="535">
        <f t="shared" si="1407"/>
        <v>0.00579080709373869</v>
      </c>
      <c r="P2589" s="536">
        <f t="shared" si="1408"/>
        <v>70.7957731958763</v>
      </c>
      <c r="Q2589" s="531">
        <f t="shared" si="1409"/>
        <v>97</v>
      </c>
      <c r="R2589" s="537">
        <f t="shared" si="1410"/>
        <v>0.0351067680057908</v>
      </c>
    </row>
    <row r="2590" spans="1:18">
      <c r="A2590" s="524">
        <v>45968</v>
      </c>
      <c r="B2590" s="540" t="s">
        <v>98</v>
      </c>
      <c r="C2590" s="551">
        <v>2000</v>
      </c>
      <c r="D2590" s="553">
        <v>19805</v>
      </c>
      <c r="E2590" s="551">
        <v>679</v>
      </c>
      <c r="F2590" s="551">
        <v>4</v>
      </c>
      <c r="G2590" s="551">
        <v>26866</v>
      </c>
      <c r="H2590" s="551">
        <v>17</v>
      </c>
      <c r="I2590" s="551">
        <v>5</v>
      </c>
      <c r="J2590" s="551">
        <v>3</v>
      </c>
      <c r="K2590" s="527">
        <f t="shared" si="1403"/>
        <v>0.0342842716485736</v>
      </c>
      <c r="L2590" s="528">
        <f t="shared" si="1404"/>
        <v>2.94550810014728</v>
      </c>
      <c r="M2590" s="528">
        <f t="shared" si="1405"/>
        <v>100.984599848523</v>
      </c>
      <c r="N2590" s="528">
        <f t="shared" si="1406"/>
        <v>13.433</v>
      </c>
      <c r="O2590" s="528">
        <f t="shared" si="1407"/>
        <v>0.00589101620029455</v>
      </c>
      <c r="P2590" s="529">
        <f t="shared" si="1408"/>
        <v>90.9090909090909</v>
      </c>
      <c r="Q2590" s="24">
        <f t="shared" si="1409"/>
        <v>22</v>
      </c>
      <c r="R2590" s="530">
        <f t="shared" si="1410"/>
        <v>0.03240058910162</v>
      </c>
    </row>
    <row r="2591" spans="1:18">
      <c r="A2591" s="524"/>
      <c r="B2591" s="540" t="s">
        <v>99</v>
      </c>
      <c r="C2591" s="551">
        <v>1074.89</v>
      </c>
      <c r="D2591" s="556">
        <v>6673</v>
      </c>
      <c r="E2591" s="551">
        <v>660</v>
      </c>
      <c r="F2591" s="551">
        <v>4</v>
      </c>
      <c r="G2591" s="551">
        <v>35667</v>
      </c>
      <c r="H2591" s="555">
        <v>15</v>
      </c>
      <c r="I2591" s="555">
        <v>1</v>
      </c>
      <c r="J2591" s="555">
        <v>4</v>
      </c>
      <c r="K2591" s="527">
        <f t="shared" si="1403"/>
        <v>0.0989060392627004</v>
      </c>
      <c r="L2591" s="528">
        <f t="shared" si="1404"/>
        <v>1.62862121212121</v>
      </c>
      <c r="M2591" s="528">
        <f t="shared" si="1405"/>
        <v>161.080473550127</v>
      </c>
      <c r="N2591" s="528">
        <f t="shared" si="1406"/>
        <v>33.1820000186066</v>
      </c>
      <c r="O2591" s="528">
        <f t="shared" si="1407"/>
        <v>0.00606060606060606</v>
      </c>
      <c r="P2591" s="529">
        <f t="shared" si="1408"/>
        <v>67.180625</v>
      </c>
      <c r="Q2591" s="24">
        <f t="shared" si="1409"/>
        <v>16</v>
      </c>
      <c r="R2591" s="530">
        <f t="shared" si="1410"/>
        <v>0.0242424242424242</v>
      </c>
    </row>
    <row r="2592" spans="1:18">
      <c r="A2592" s="524"/>
      <c r="B2592" s="540" t="s">
        <v>100</v>
      </c>
      <c r="C2592" s="552">
        <v>0</v>
      </c>
      <c r="D2592" s="553">
        <v>0</v>
      </c>
      <c r="E2592" s="553">
        <v>0</v>
      </c>
      <c r="F2592" s="551">
        <v>0</v>
      </c>
      <c r="G2592" s="551">
        <v>0</v>
      </c>
      <c r="H2592" s="551">
        <v>0</v>
      </c>
      <c r="I2592" s="551">
        <v>0</v>
      </c>
      <c r="J2592" s="551">
        <v>0</v>
      </c>
      <c r="K2592" s="527">
        <f t="shared" si="1403"/>
        <v>0</v>
      </c>
      <c r="L2592" s="528">
        <f t="shared" si="1404"/>
        <v>0</v>
      </c>
      <c r="M2592" s="528">
        <f t="shared" si="1405"/>
        <v>0</v>
      </c>
      <c r="N2592" s="528">
        <f t="shared" si="1406"/>
        <v>0</v>
      </c>
      <c r="O2592" s="528">
        <f t="shared" si="1407"/>
        <v>0</v>
      </c>
      <c r="P2592" s="529">
        <f t="shared" si="1408"/>
        <v>0</v>
      </c>
      <c r="Q2592" s="24">
        <f t="shared" si="1409"/>
        <v>0</v>
      </c>
      <c r="R2592" s="530">
        <f t="shared" si="1410"/>
        <v>0</v>
      </c>
    </row>
    <row r="2593" spans="1:18">
      <c r="A2593" s="524"/>
      <c r="B2593" s="540" t="s">
        <v>101</v>
      </c>
      <c r="C2593" s="552">
        <v>3360.72</v>
      </c>
      <c r="D2593" s="553">
        <v>56654</v>
      </c>
      <c r="E2593" s="551">
        <v>1665</v>
      </c>
      <c r="F2593" s="551">
        <v>12</v>
      </c>
      <c r="G2593" s="551">
        <v>103368</v>
      </c>
      <c r="H2593" s="551">
        <v>30</v>
      </c>
      <c r="I2593" s="551">
        <v>4</v>
      </c>
      <c r="J2593" s="551">
        <v>4</v>
      </c>
      <c r="K2593" s="527">
        <f t="shared" si="1403"/>
        <v>0.0293889222296749</v>
      </c>
      <c r="L2593" s="528">
        <f t="shared" si="1404"/>
        <v>2.01845045045045</v>
      </c>
      <c r="M2593" s="528">
        <f t="shared" si="1405"/>
        <v>59.3200833127405</v>
      </c>
      <c r="N2593" s="528">
        <f t="shared" si="1406"/>
        <v>30.7576947796901</v>
      </c>
      <c r="O2593" s="528">
        <f t="shared" si="1407"/>
        <v>0.00720720720720721</v>
      </c>
      <c r="P2593" s="529">
        <f t="shared" si="1408"/>
        <v>98.8447058823529</v>
      </c>
      <c r="Q2593" s="24">
        <f t="shared" si="1409"/>
        <v>34</v>
      </c>
      <c r="R2593" s="530">
        <f t="shared" si="1410"/>
        <v>0.0204204204204204</v>
      </c>
    </row>
    <row r="2594" spans="1:18">
      <c r="A2594" s="524"/>
      <c r="B2594" s="531" t="s">
        <v>96</v>
      </c>
      <c r="C2594" s="533">
        <f t="shared" ref="C2594:J2594" si="1418">SUM(C2590:C2593)</f>
        <v>6435.61</v>
      </c>
      <c r="D2594" s="533">
        <f t="shared" si="1418"/>
        <v>83132</v>
      </c>
      <c r="E2594" s="533">
        <f t="shared" si="1418"/>
        <v>3004</v>
      </c>
      <c r="F2594" s="533">
        <f t="shared" si="1418"/>
        <v>20</v>
      </c>
      <c r="G2594" s="533">
        <f t="shared" si="1418"/>
        <v>165901</v>
      </c>
      <c r="H2594" s="533">
        <f t="shared" si="1418"/>
        <v>62</v>
      </c>
      <c r="I2594" s="533">
        <f t="shared" si="1418"/>
        <v>10</v>
      </c>
      <c r="J2594" s="533">
        <f t="shared" si="1418"/>
        <v>11</v>
      </c>
      <c r="K2594" s="534">
        <f t="shared" si="1403"/>
        <v>0.0361353028917866</v>
      </c>
      <c r="L2594" s="535">
        <f t="shared" si="1404"/>
        <v>2.14234687083888</v>
      </c>
      <c r="M2594" s="535">
        <f t="shared" si="1405"/>
        <v>77.4143530770341</v>
      </c>
      <c r="N2594" s="535">
        <f t="shared" si="1406"/>
        <v>25.778597522224</v>
      </c>
      <c r="O2594" s="535">
        <f t="shared" si="1407"/>
        <v>0.0066577896138482</v>
      </c>
      <c r="P2594" s="536">
        <f t="shared" si="1408"/>
        <v>89.3834722222222</v>
      </c>
      <c r="Q2594" s="531">
        <f t="shared" si="1409"/>
        <v>72</v>
      </c>
      <c r="R2594" s="537">
        <f t="shared" si="1410"/>
        <v>0.0239680426098535</v>
      </c>
    </row>
    <row r="2595" spans="1:18">
      <c r="A2595" s="524">
        <v>45969</v>
      </c>
      <c r="B2595" s="540" t="s">
        <v>98</v>
      </c>
      <c r="C2595" s="551">
        <v>1994.03</v>
      </c>
      <c r="D2595" s="553">
        <v>19093</v>
      </c>
      <c r="E2595" s="551">
        <v>692</v>
      </c>
      <c r="F2595" s="551">
        <v>8</v>
      </c>
      <c r="G2595" s="551">
        <v>77253</v>
      </c>
      <c r="H2595" s="551">
        <v>24</v>
      </c>
      <c r="I2595" s="551">
        <v>10</v>
      </c>
      <c r="J2595" s="551">
        <v>3</v>
      </c>
      <c r="K2595" s="527">
        <f t="shared" si="1403"/>
        <v>0.0362436495050542</v>
      </c>
      <c r="L2595" s="528">
        <f t="shared" si="1404"/>
        <v>2.88154624277457</v>
      </c>
      <c r="M2595" s="528">
        <f t="shared" si="1405"/>
        <v>104.437752055727</v>
      </c>
      <c r="N2595" s="528">
        <f t="shared" si="1406"/>
        <v>38.7421453037316</v>
      </c>
      <c r="O2595" s="528">
        <f t="shared" si="1407"/>
        <v>0.0115606936416185</v>
      </c>
      <c r="P2595" s="529">
        <f t="shared" si="1408"/>
        <v>58.6479411764706</v>
      </c>
      <c r="Q2595" s="24">
        <f t="shared" si="1409"/>
        <v>34</v>
      </c>
      <c r="R2595" s="530">
        <f t="shared" si="1410"/>
        <v>0.0491329479768786</v>
      </c>
    </row>
    <row r="2596" spans="1:18">
      <c r="A2596" s="524"/>
      <c r="B2596" s="540" t="s">
        <v>99</v>
      </c>
      <c r="C2596" s="551">
        <v>1025.54</v>
      </c>
      <c r="D2596" s="556">
        <v>5956</v>
      </c>
      <c r="E2596" s="551">
        <v>690</v>
      </c>
      <c r="F2596" s="551">
        <v>2</v>
      </c>
      <c r="G2596" s="551">
        <v>8297</v>
      </c>
      <c r="H2596" s="555">
        <v>10</v>
      </c>
      <c r="I2596" s="555">
        <v>1</v>
      </c>
      <c r="J2596" s="555">
        <v>1</v>
      </c>
      <c r="K2596" s="527">
        <f t="shared" si="1403"/>
        <v>0.115849563465413</v>
      </c>
      <c r="L2596" s="528">
        <f t="shared" si="1404"/>
        <v>1.48628985507246</v>
      </c>
      <c r="M2596" s="528">
        <f t="shared" si="1405"/>
        <v>172.186030893217</v>
      </c>
      <c r="N2596" s="528">
        <f t="shared" si="1406"/>
        <v>8.09037190163231</v>
      </c>
      <c r="O2596" s="528">
        <f t="shared" si="1407"/>
        <v>0.00289855072463768</v>
      </c>
      <c r="P2596" s="529">
        <f t="shared" si="1408"/>
        <v>93.2309090909091</v>
      </c>
      <c r="Q2596" s="24">
        <f t="shared" si="1409"/>
        <v>11</v>
      </c>
      <c r="R2596" s="530">
        <f t="shared" si="1410"/>
        <v>0.0159420289855072</v>
      </c>
    </row>
    <row r="2597" spans="1:18">
      <c r="A2597" s="524"/>
      <c r="B2597" s="540" t="s">
        <v>100</v>
      </c>
      <c r="C2597" s="552">
        <v>0</v>
      </c>
      <c r="D2597" s="553">
        <v>0</v>
      </c>
      <c r="E2597" s="553">
        <v>0</v>
      </c>
      <c r="F2597" s="551">
        <v>0</v>
      </c>
      <c r="G2597" s="551">
        <v>0</v>
      </c>
      <c r="H2597" s="551">
        <v>0</v>
      </c>
      <c r="I2597" s="551">
        <v>0</v>
      </c>
      <c r="J2597" s="551">
        <v>0</v>
      </c>
      <c r="K2597" s="527">
        <f t="shared" si="1403"/>
        <v>0</v>
      </c>
      <c r="L2597" s="528">
        <f t="shared" si="1404"/>
        <v>0</v>
      </c>
      <c r="M2597" s="528">
        <f t="shared" si="1405"/>
        <v>0</v>
      </c>
      <c r="N2597" s="528">
        <f t="shared" si="1406"/>
        <v>0</v>
      </c>
      <c r="O2597" s="528">
        <f t="shared" si="1407"/>
        <v>0</v>
      </c>
      <c r="P2597" s="529">
        <f t="shared" si="1408"/>
        <v>0</v>
      </c>
      <c r="Q2597" s="24">
        <f t="shared" si="1409"/>
        <v>0</v>
      </c>
      <c r="R2597" s="530">
        <f t="shared" si="1410"/>
        <v>0</v>
      </c>
    </row>
    <row r="2598" spans="1:18">
      <c r="A2598" s="524"/>
      <c r="B2598" s="540" t="s">
        <v>101</v>
      </c>
      <c r="C2598" s="552">
        <v>3477.07</v>
      </c>
      <c r="D2598" s="553">
        <v>68927</v>
      </c>
      <c r="E2598" s="551">
        <v>1806</v>
      </c>
      <c r="F2598" s="551">
        <v>14</v>
      </c>
      <c r="G2598" s="551">
        <v>127761</v>
      </c>
      <c r="H2598" s="551">
        <v>46</v>
      </c>
      <c r="I2598" s="551">
        <v>2</v>
      </c>
      <c r="J2598" s="551">
        <v>3</v>
      </c>
      <c r="K2598" s="527">
        <f t="shared" si="1403"/>
        <v>0.0262016336123725</v>
      </c>
      <c r="L2598" s="528">
        <f t="shared" si="1404"/>
        <v>1.92528792912514</v>
      </c>
      <c r="M2598" s="528">
        <f t="shared" si="1405"/>
        <v>50.4456889172603</v>
      </c>
      <c r="N2598" s="528">
        <f t="shared" si="1406"/>
        <v>36.7438676816975</v>
      </c>
      <c r="O2598" s="528">
        <f t="shared" si="1407"/>
        <v>0.00775193798449612</v>
      </c>
      <c r="P2598" s="529">
        <f t="shared" si="1408"/>
        <v>72.4389583333333</v>
      </c>
      <c r="Q2598" s="24">
        <f t="shared" si="1409"/>
        <v>48</v>
      </c>
      <c r="R2598" s="530">
        <f t="shared" si="1410"/>
        <v>0.026578073089701</v>
      </c>
    </row>
    <row r="2599" spans="1:18">
      <c r="A2599" s="524"/>
      <c r="B2599" s="531" t="s">
        <v>96</v>
      </c>
      <c r="C2599" s="533">
        <f t="shared" ref="C2599:J2599" si="1419">SUM(C2595:C2598)</f>
        <v>6496.64</v>
      </c>
      <c r="D2599" s="533">
        <f t="shared" si="1419"/>
        <v>93976</v>
      </c>
      <c r="E2599" s="533">
        <f t="shared" si="1419"/>
        <v>3188</v>
      </c>
      <c r="F2599" s="533">
        <f t="shared" si="1419"/>
        <v>24</v>
      </c>
      <c r="G2599" s="533">
        <f t="shared" si="1419"/>
        <v>213311</v>
      </c>
      <c r="H2599" s="533">
        <f t="shared" si="1419"/>
        <v>80</v>
      </c>
      <c r="I2599" s="533">
        <f t="shared" si="1419"/>
        <v>13</v>
      </c>
      <c r="J2599" s="533">
        <f t="shared" si="1419"/>
        <v>7</v>
      </c>
      <c r="K2599" s="534">
        <f t="shared" si="1403"/>
        <v>0.0339235549502001</v>
      </c>
      <c r="L2599" s="535">
        <f t="shared" si="1404"/>
        <v>2.03784190715182</v>
      </c>
      <c r="M2599" s="535">
        <f t="shared" si="1405"/>
        <v>69.1308419170852</v>
      </c>
      <c r="N2599" s="535">
        <f t="shared" si="1406"/>
        <v>32.8340496010245</v>
      </c>
      <c r="O2599" s="535">
        <f t="shared" si="1407"/>
        <v>0.00752823086574655</v>
      </c>
      <c r="P2599" s="536">
        <f t="shared" si="1408"/>
        <v>69.8563440860215</v>
      </c>
      <c r="Q2599" s="531">
        <f t="shared" si="1409"/>
        <v>93</v>
      </c>
      <c r="R2599" s="537">
        <f t="shared" si="1410"/>
        <v>0.0291718946047679</v>
      </c>
    </row>
    <row r="2600" spans="1:18">
      <c r="A2600" s="524">
        <v>45970</v>
      </c>
      <c r="B2600" s="540" t="s">
        <v>98</v>
      </c>
      <c r="C2600" s="551">
        <v>2000</v>
      </c>
      <c r="D2600" s="553">
        <v>15506</v>
      </c>
      <c r="E2600" s="551">
        <v>665</v>
      </c>
      <c r="F2600" s="551">
        <v>7</v>
      </c>
      <c r="G2600" s="551">
        <v>48294</v>
      </c>
      <c r="H2600" s="551">
        <v>34</v>
      </c>
      <c r="I2600" s="551">
        <v>2</v>
      </c>
      <c r="J2600" s="551">
        <v>2</v>
      </c>
      <c r="K2600" s="527">
        <f t="shared" si="1403"/>
        <v>0.0428866245324391</v>
      </c>
      <c r="L2600" s="528">
        <f t="shared" si="1404"/>
        <v>3.00751879699248</v>
      </c>
      <c r="M2600" s="528">
        <f t="shared" si="1405"/>
        <v>128.982329420869</v>
      </c>
      <c r="N2600" s="528">
        <f t="shared" si="1406"/>
        <v>24.147</v>
      </c>
      <c r="O2600" s="528">
        <f t="shared" si="1407"/>
        <v>0.0105263157894737</v>
      </c>
      <c r="P2600" s="529">
        <f t="shared" si="1408"/>
        <v>55.5555555555556</v>
      </c>
      <c r="Q2600" s="24">
        <f t="shared" si="1409"/>
        <v>36</v>
      </c>
      <c r="R2600" s="530">
        <f t="shared" si="1410"/>
        <v>0.0541353383458647</v>
      </c>
    </row>
    <row r="2601" spans="1:18">
      <c r="A2601" s="524"/>
      <c r="B2601" s="540" t="s">
        <v>99</v>
      </c>
      <c r="C2601" s="551">
        <v>1096.18</v>
      </c>
      <c r="D2601" s="556">
        <v>3509</v>
      </c>
      <c r="E2601" s="551">
        <v>1200</v>
      </c>
      <c r="F2601" s="551">
        <v>3</v>
      </c>
      <c r="G2601" s="551">
        <v>34647</v>
      </c>
      <c r="H2601" s="555">
        <v>19</v>
      </c>
      <c r="I2601" s="555">
        <v>1</v>
      </c>
      <c r="J2601" s="555">
        <v>2</v>
      </c>
      <c r="K2601" s="527">
        <f t="shared" si="1403"/>
        <v>0.341977771444856</v>
      </c>
      <c r="L2601" s="528">
        <f t="shared" si="1404"/>
        <v>0.913483333333333</v>
      </c>
      <c r="M2601" s="528">
        <f t="shared" si="1405"/>
        <v>312.390994585352</v>
      </c>
      <c r="N2601" s="528">
        <f t="shared" si="1406"/>
        <v>31.6070353409112</v>
      </c>
      <c r="O2601" s="528">
        <f t="shared" si="1407"/>
        <v>0.0025</v>
      </c>
      <c r="P2601" s="529">
        <f t="shared" si="1408"/>
        <v>54.809</v>
      </c>
      <c r="Q2601" s="24">
        <f t="shared" si="1409"/>
        <v>20</v>
      </c>
      <c r="R2601" s="530">
        <f t="shared" si="1410"/>
        <v>0.0166666666666667</v>
      </c>
    </row>
    <row r="2602" spans="1:18">
      <c r="A2602" s="524"/>
      <c r="B2602" s="540" t="s">
        <v>100</v>
      </c>
      <c r="C2602" s="552">
        <v>0</v>
      </c>
      <c r="D2602" s="553">
        <v>0</v>
      </c>
      <c r="E2602" s="553">
        <v>0</v>
      </c>
      <c r="F2602" s="551">
        <v>0</v>
      </c>
      <c r="G2602" s="551">
        <v>0</v>
      </c>
      <c r="H2602" s="551">
        <v>0</v>
      </c>
      <c r="I2602" s="551">
        <v>0</v>
      </c>
      <c r="J2602" s="551">
        <v>0</v>
      </c>
      <c r="K2602" s="527">
        <f t="shared" si="1403"/>
        <v>0</v>
      </c>
      <c r="L2602" s="528">
        <f t="shared" si="1404"/>
        <v>0</v>
      </c>
      <c r="M2602" s="528">
        <f t="shared" si="1405"/>
        <v>0</v>
      </c>
      <c r="N2602" s="528">
        <f t="shared" si="1406"/>
        <v>0</v>
      </c>
      <c r="O2602" s="528">
        <f t="shared" si="1407"/>
        <v>0</v>
      </c>
      <c r="P2602" s="529">
        <f t="shared" si="1408"/>
        <v>0</v>
      </c>
      <c r="Q2602" s="24">
        <f t="shared" si="1409"/>
        <v>0</v>
      </c>
      <c r="R2602" s="530">
        <f t="shared" si="1410"/>
        <v>0</v>
      </c>
    </row>
    <row r="2603" spans="1:18">
      <c r="A2603" s="524"/>
      <c r="B2603" s="540" t="s">
        <v>101</v>
      </c>
      <c r="C2603" s="552">
        <v>3475.86</v>
      </c>
      <c r="D2603" s="553">
        <v>50512</v>
      </c>
      <c r="E2603" s="551">
        <v>2572</v>
      </c>
      <c r="F2603" s="551">
        <v>31</v>
      </c>
      <c r="G2603" s="551">
        <v>278226</v>
      </c>
      <c r="H2603" s="551">
        <v>152</v>
      </c>
      <c r="I2603" s="551">
        <v>19</v>
      </c>
      <c r="J2603" s="551">
        <v>6</v>
      </c>
      <c r="K2603" s="527">
        <f t="shared" si="1403"/>
        <v>0.0509185936015204</v>
      </c>
      <c r="L2603" s="528">
        <f t="shared" si="1404"/>
        <v>1.35142301710731</v>
      </c>
      <c r="M2603" s="528">
        <f t="shared" si="1405"/>
        <v>68.8125593918277</v>
      </c>
      <c r="N2603" s="528">
        <f t="shared" si="1406"/>
        <v>80.0452262173966</v>
      </c>
      <c r="O2603" s="528">
        <f t="shared" si="1407"/>
        <v>0.0120528771384137</v>
      </c>
      <c r="P2603" s="529">
        <f t="shared" si="1408"/>
        <v>20.3266666666667</v>
      </c>
      <c r="Q2603" s="24">
        <f t="shared" si="1409"/>
        <v>171</v>
      </c>
      <c r="R2603" s="530">
        <f t="shared" si="1410"/>
        <v>0.0664852255054432</v>
      </c>
    </row>
    <row r="2604" spans="1:18">
      <c r="A2604" s="524"/>
      <c r="B2604" s="531" t="s">
        <v>96</v>
      </c>
      <c r="C2604" s="533">
        <f t="shared" ref="C2604:J2604" si="1420">SUM(C2600:C2603)</f>
        <v>6572.04</v>
      </c>
      <c r="D2604" s="533">
        <f t="shared" si="1420"/>
        <v>69527</v>
      </c>
      <c r="E2604" s="533">
        <f t="shared" si="1420"/>
        <v>4437</v>
      </c>
      <c r="F2604" s="533">
        <f t="shared" si="1420"/>
        <v>41</v>
      </c>
      <c r="G2604" s="533">
        <f t="shared" si="1420"/>
        <v>361167</v>
      </c>
      <c r="H2604" s="533">
        <f t="shared" si="1420"/>
        <v>205</v>
      </c>
      <c r="I2604" s="533">
        <f t="shared" si="1420"/>
        <v>22</v>
      </c>
      <c r="J2604" s="533">
        <f t="shared" si="1420"/>
        <v>10</v>
      </c>
      <c r="K2604" s="534">
        <f t="shared" si="1403"/>
        <v>0.0638169344283516</v>
      </c>
      <c r="L2604" s="535">
        <f t="shared" si="1404"/>
        <v>1.48118999323867</v>
      </c>
      <c r="M2604" s="535">
        <f t="shared" si="1405"/>
        <v>94.525004674443</v>
      </c>
      <c r="N2604" s="535">
        <f t="shared" si="1406"/>
        <v>54.9550824401556</v>
      </c>
      <c r="O2604" s="535">
        <f t="shared" si="1407"/>
        <v>0.00924047780031553</v>
      </c>
      <c r="P2604" s="536">
        <f t="shared" si="1408"/>
        <v>28.951718061674</v>
      </c>
      <c r="Q2604" s="531">
        <f t="shared" si="1409"/>
        <v>227</v>
      </c>
      <c r="R2604" s="537">
        <f t="shared" si="1410"/>
        <v>0.0511606941627226</v>
      </c>
    </row>
    <row r="2605" spans="1:18">
      <c r="A2605" s="524">
        <v>45971</v>
      </c>
      <c r="B2605" s="540" t="s">
        <v>98</v>
      </c>
      <c r="C2605" s="551">
        <v>1997.36</v>
      </c>
      <c r="D2605" s="553">
        <v>11759</v>
      </c>
      <c r="E2605" s="551">
        <v>579</v>
      </c>
      <c r="F2605" s="551">
        <v>2</v>
      </c>
      <c r="G2605" s="551">
        <v>22392</v>
      </c>
      <c r="H2605" s="551">
        <v>29</v>
      </c>
      <c r="I2605" s="551">
        <v>3</v>
      </c>
      <c r="J2605" s="551">
        <v>2</v>
      </c>
      <c r="K2605" s="527">
        <f t="shared" si="1403"/>
        <v>0.0492388808572157</v>
      </c>
      <c r="L2605" s="528">
        <f t="shared" si="1404"/>
        <v>3.44967184801382</v>
      </c>
      <c r="M2605" s="528">
        <f t="shared" si="1405"/>
        <v>169.857981120844</v>
      </c>
      <c r="N2605" s="528">
        <f t="shared" si="1406"/>
        <v>11.2107982536949</v>
      </c>
      <c r="O2605" s="528">
        <f t="shared" si="1407"/>
        <v>0.00345423143350604</v>
      </c>
      <c r="P2605" s="529">
        <f t="shared" si="1408"/>
        <v>62.4175</v>
      </c>
      <c r="Q2605" s="24">
        <f t="shared" si="1409"/>
        <v>32</v>
      </c>
      <c r="R2605" s="530">
        <f t="shared" si="1410"/>
        <v>0.0552677029360967</v>
      </c>
    </row>
    <row r="2606" spans="1:18">
      <c r="A2606" s="524"/>
      <c r="B2606" s="540" t="s">
        <v>99</v>
      </c>
      <c r="C2606" s="551">
        <v>1597.38</v>
      </c>
      <c r="D2606" s="556">
        <v>8905</v>
      </c>
      <c r="E2606" s="551">
        <v>739</v>
      </c>
      <c r="F2606" s="551">
        <v>11</v>
      </c>
      <c r="G2606" s="551">
        <v>82080</v>
      </c>
      <c r="H2606" s="555">
        <v>19</v>
      </c>
      <c r="I2606" s="555">
        <v>1</v>
      </c>
      <c r="J2606" s="555">
        <v>8</v>
      </c>
      <c r="K2606" s="527">
        <f t="shared" si="1403"/>
        <v>0.0829870859067939</v>
      </c>
      <c r="L2606" s="528">
        <f t="shared" si="1404"/>
        <v>2.16154262516915</v>
      </c>
      <c r="M2606" s="528">
        <f t="shared" si="1405"/>
        <v>179.380123526109</v>
      </c>
      <c r="N2606" s="528">
        <f t="shared" si="1406"/>
        <v>51.3841415317583</v>
      </c>
      <c r="O2606" s="528">
        <f t="shared" si="1407"/>
        <v>0.0148849797023004</v>
      </c>
      <c r="P2606" s="529">
        <f t="shared" si="1408"/>
        <v>79.869</v>
      </c>
      <c r="Q2606" s="24">
        <f t="shared" si="1409"/>
        <v>20</v>
      </c>
      <c r="R2606" s="530">
        <f t="shared" si="1410"/>
        <v>0.027063599458728</v>
      </c>
    </row>
    <row r="2607" spans="1:18">
      <c r="A2607" s="524"/>
      <c r="B2607" s="540" t="s">
        <v>100</v>
      </c>
      <c r="C2607" s="552">
        <v>0</v>
      </c>
      <c r="D2607" s="553">
        <v>0</v>
      </c>
      <c r="E2607" s="553">
        <v>0</v>
      </c>
      <c r="F2607" s="551">
        <v>0</v>
      </c>
      <c r="G2607" s="551">
        <v>0</v>
      </c>
      <c r="H2607" s="551">
        <v>0</v>
      </c>
      <c r="I2607" s="551">
        <v>0</v>
      </c>
      <c r="J2607" s="551">
        <v>0</v>
      </c>
      <c r="K2607" s="527">
        <f t="shared" si="1403"/>
        <v>0</v>
      </c>
      <c r="L2607" s="528">
        <f t="shared" si="1404"/>
        <v>0</v>
      </c>
      <c r="M2607" s="528">
        <f t="shared" si="1405"/>
        <v>0</v>
      </c>
      <c r="N2607" s="528">
        <f t="shared" si="1406"/>
        <v>0</v>
      </c>
      <c r="O2607" s="528">
        <f t="shared" si="1407"/>
        <v>0</v>
      </c>
      <c r="P2607" s="529">
        <f t="shared" si="1408"/>
        <v>0</v>
      </c>
      <c r="Q2607" s="24">
        <f t="shared" si="1409"/>
        <v>0</v>
      </c>
      <c r="R2607" s="530">
        <f t="shared" si="1410"/>
        <v>0</v>
      </c>
    </row>
    <row r="2608" spans="1:18">
      <c r="A2608" s="524"/>
      <c r="B2608" s="540" t="s">
        <v>101</v>
      </c>
      <c r="C2608" s="552">
        <v>6500</v>
      </c>
      <c r="D2608" s="553">
        <v>101007</v>
      </c>
      <c r="E2608" s="551">
        <v>2909</v>
      </c>
      <c r="F2608" s="551">
        <v>49</v>
      </c>
      <c r="G2608" s="551">
        <v>467174</v>
      </c>
      <c r="H2608" s="551">
        <v>111</v>
      </c>
      <c r="I2608" s="551">
        <v>15</v>
      </c>
      <c r="J2608" s="551">
        <v>8</v>
      </c>
      <c r="K2608" s="527">
        <f t="shared" si="1403"/>
        <v>0.0287999841595137</v>
      </c>
      <c r="L2608" s="528">
        <f t="shared" si="1404"/>
        <v>2.23444482640082</v>
      </c>
      <c r="M2608" s="528">
        <f t="shared" si="1405"/>
        <v>64.3519756056511</v>
      </c>
      <c r="N2608" s="528">
        <f t="shared" si="1406"/>
        <v>71.8729230769231</v>
      </c>
      <c r="O2608" s="528">
        <f t="shared" si="1407"/>
        <v>0.016844276383637</v>
      </c>
      <c r="P2608" s="529">
        <f t="shared" si="1408"/>
        <v>51.5873015873016</v>
      </c>
      <c r="Q2608" s="24">
        <f t="shared" si="1409"/>
        <v>126</v>
      </c>
      <c r="R2608" s="530">
        <f t="shared" si="1410"/>
        <v>0.0433138535579237</v>
      </c>
    </row>
    <row r="2609" spans="1:18">
      <c r="A2609" s="524"/>
      <c r="B2609" s="531" t="s">
        <v>96</v>
      </c>
      <c r="C2609" s="533">
        <f t="shared" ref="C2609:J2609" si="1421">SUM(C2605:C2608)</f>
        <v>10094.74</v>
      </c>
      <c r="D2609" s="533">
        <f t="shared" si="1421"/>
        <v>121671</v>
      </c>
      <c r="E2609" s="533">
        <f t="shared" si="1421"/>
        <v>4227</v>
      </c>
      <c r="F2609" s="533">
        <f t="shared" si="1421"/>
        <v>62</v>
      </c>
      <c r="G2609" s="533">
        <f t="shared" si="1421"/>
        <v>571646</v>
      </c>
      <c r="H2609" s="533">
        <f t="shared" si="1421"/>
        <v>159</v>
      </c>
      <c r="I2609" s="533">
        <f t="shared" si="1421"/>
        <v>19</v>
      </c>
      <c r="J2609" s="533">
        <f t="shared" si="1421"/>
        <v>18</v>
      </c>
      <c r="K2609" s="534">
        <f t="shared" si="1403"/>
        <v>0.0347412283946051</v>
      </c>
      <c r="L2609" s="535">
        <f t="shared" si="1404"/>
        <v>2.38815708540336</v>
      </c>
      <c r="M2609" s="535">
        <f t="shared" si="1405"/>
        <v>82.9675107461926</v>
      </c>
      <c r="N2609" s="535">
        <f t="shared" si="1406"/>
        <v>56.6281053301026</v>
      </c>
      <c r="O2609" s="535">
        <f t="shared" si="1407"/>
        <v>0.0146676129642773</v>
      </c>
      <c r="P2609" s="536">
        <f t="shared" si="1408"/>
        <v>56.7120224719101</v>
      </c>
      <c r="Q2609" s="531">
        <f t="shared" si="1409"/>
        <v>178</v>
      </c>
      <c r="R2609" s="537">
        <f t="shared" si="1410"/>
        <v>0.0421102436716347</v>
      </c>
    </row>
    <row r="2610" spans="1:18">
      <c r="A2610" s="524">
        <v>45972</v>
      </c>
      <c r="B2610" s="540" t="s">
        <v>98</v>
      </c>
      <c r="C2610" s="551">
        <v>1998.93</v>
      </c>
      <c r="D2610" s="553">
        <v>13840</v>
      </c>
      <c r="E2610" s="551">
        <v>549</v>
      </c>
      <c r="F2610" s="551">
        <v>5</v>
      </c>
      <c r="G2610" s="551">
        <v>31278</v>
      </c>
      <c r="H2610" s="551">
        <v>60</v>
      </c>
      <c r="I2610" s="551">
        <v>7</v>
      </c>
      <c r="J2610" s="551">
        <v>1</v>
      </c>
      <c r="K2610" s="527">
        <f t="shared" si="1403"/>
        <v>0.0396676300578035</v>
      </c>
      <c r="L2610" s="528">
        <f t="shared" si="1404"/>
        <v>3.64103825136612</v>
      </c>
      <c r="M2610" s="528">
        <f t="shared" si="1405"/>
        <v>144.431358381503</v>
      </c>
      <c r="N2610" s="528">
        <f t="shared" si="1406"/>
        <v>15.6473713436689</v>
      </c>
      <c r="O2610" s="528">
        <f t="shared" si="1407"/>
        <v>0.00910746812386157</v>
      </c>
      <c r="P2610" s="529">
        <f t="shared" si="1408"/>
        <v>29.834776119403</v>
      </c>
      <c r="Q2610" s="24">
        <f t="shared" si="1409"/>
        <v>67</v>
      </c>
      <c r="R2610" s="530">
        <f t="shared" si="1410"/>
        <v>0.122040072859745</v>
      </c>
    </row>
    <row r="2611" spans="1:18">
      <c r="A2611" s="524"/>
      <c r="B2611" s="540" t="s">
        <v>99</v>
      </c>
      <c r="C2611" s="551">
        <v>2092.51</v>
      </c>
      <c r="D2611" s="556">
        <v>8535</v>
      </c>
      <c r="E2611" s="551">
        <v>1065</v>
      </c>
      <c r="F2611" s="551">
        <v>6</v>
      </c>
      <c r="G2611" s="551">
        <v>73578</v>
      </c>
      <c r="H2611" s="555">
        <v>17</v>
      </c>
      <c r="I2611" s="555">
        <v>2</v>
      </c>
      <c r="J2611" s="555">
        <v>9</v>
      </c>
      <c r="K2611" s="527">
        <f t="shared" si="1403"/>
        <v>0.124780316344464</v>
      </c>
      <c r="L2611" s="528">
        <f t="shared" si="1404"/>
        <v>1.96479812206573</v>
      </c>
      <c r="M2611" s="528">
        <f t="shared" si="1405"/>
        <v>245.16813122437</v>
      </c>
      <c r="N2611" s="528">
        <f t="shared" si="1406"/>
        <v>35.1625559734481</v>
      </c>
      <c r="O2611" s="528">
        <f t="shared" si="1407"/>
        <v>0.00563380281690141</v>
      </c>
      <c r="P2611" s="529">
        <f t="shared" si="1408"/>
        <v>110.132105263158</v>
      </c>
      <c r="Q2611" s="24">
        <f t="shared" si="1409"/>
        <v>19</v>
      </c>
      <c r="R2611" s="530">
        <f t="shared" si="1410"/>
        <v>0.0178403755868545</v>
      </c>
    </row>
    <row r="2612" spans="1:18">
      <c r="A2612" s="524"/>
      <c r="B2612" s="540" t="s">
        <v>100</v>
      </c>
      <c r="C2612" s="552">
        <v>0</v>
      </c>
      <c r="D2612" s="553">
        <v>0</v>
      </c>
      <c r="E2612" s="553">
        <v>0</v>
      </c>
      <c r="F2612" s="551">
        <v>0</v>
      </c>
      <c r="G2612" s="551">
        <v>0</v>
      </c>
      <c r="H2612" s="551">
        <v>0</v>
      </c>
      <c r="I2612" s="551">
        <v>0</v>
      </c>
      <c r="J2612" s="551">
        <v>0</v>
      </c>
      <c r="K2612" s="527">
        <f t="shared" si="1403"/>
        <v>0</v>
      </c>
      <c r="L2612" s="528">
        <f t="shared" si="1404"/>
        <v>0</v>
      </c>
      <c r="M2612" s="528">
        <f t="shared" si="1405"/>
        <v>0</v>
      </c>
      <c r="N2612" s="528">
        <f t="shared" si="1406"/>
        <v>0</v>
      </c>
      <c r="O2612" s="528">
        <f t="shared" si="1407"/>
        <v>0</v>
      </c>
      <c r="P2612" s="529">
        <f t="shared" si="1408"/>
        <v>0</v>
      </c>
      <c r="Q2612" s="24">
        <f t="shared" si="1409"/>
        <v>0</v>
      </c>
      <c r="R2612" s="530">
        <f t="shared" si="1410"/>
        <v>0</v>
      </c>
    </row>
    <row r="2613" spans="1:18">
      <c r="A2613" s="524"/>
      <c r="B2613" s="540" t="s">
        <v>101</v>
      </c>
      <c r="C2613" s="552">
        <v>4987.27</v>
      </c>
      <c r="D2613" s="553">
        <v>89598</v>
      </c>
      <c r="E2613" s="551">
        <v>2256</v>
      </c>
      <c r="F2613" s="551">
        <v>33</v>
      </c>
      <c r="G2613" s="551">
        <v>274625</v>
      </c>
      <c r="H2613" s="551">
        <v>74</v>
      </c>
      <c r="I2613" s="551">
        <v>10</v>
      </c>
      <c r="J2613" s="551">
        <v>3</v>
      </c>
      <c r="K2613" s="527">
        <f t="shared" si="1403"/>
        <v>0.0251791334628005</v>
      </c>
      <c r="L2613" s="528">
        <f t="shared" si="1404"/>
        <v>2.21066932624113</v>
      </c>
      <c r="M2613" s="528">
        <f t="shared" si="1405"/>
        <v>55.6627380075448</v>
      </c>
      <c r="N2613" s="528">
        <f t="shared" si="1406"/>
        <v>55.065195988988</v>
      </c>
      <c r="O2613" s="528">
        <f t="shared" si="1407"/>
        <v>0.0146276595744681</v>
      </c>
      <c r="P2613" s="529">
        <f t="shared" si="1408"/>
        <v>59.3722619047619</v>
      </c>
      <c r="Q2613" s="24">
        <f t="shared" si="1409"/>
        <v>84</v>
      </c>
      <c r="R2613" s="530">
        <f t="shared" si="1410"/>
        <v>0.0372340425531915</v>
      </c>
    </row>
    <row r="2614" spans="1:18">
      <c r="A2614" s="524"/>
      <c r="B2614" s="531" t="s">
        <v>96</v>
      </c>
      <c r="C2614" s="533">
        <f t="shared" ref="C2614:J2614" si="1422">SUM(C2610:C2613)</f>
        <v>9078.71</v>
      </c>
      <c r="D2614" s="533">
        <f t="shared" si="1422"/>
        <v>111973</v>
      </c>
      <c r="E2614" s="533">
        <f t="shared" si="1422"/>
        <v>3870</v>
      </c>
      <c r="F2614" s="533">
        <f t="shared" si="1422"/>
        <v>44</v>
      </c>
      <c r="G2614" s="533">
        <f t="shared" si="1422"/>
        <v>379481</v>
      </c>
      <c r="H2614" s="533">
        <f t="shared" si="1422"/>
        <v>151</v>
      </c>
      <c r="I2614" s="533">
        <f t="shared" si="1422"/>
        <v>19</v>
      </c>
      <c r="J2614" s="533">
        <f t="shared" si="1422"/>
        <v>13</v>
      </c>
      <c r="K2614" s="534">
        <f t="shared" si="1403"/>
        <v>0.034561903315978</v>
      </c>
      <c r="L2614" s="535">
        <f t="shared" si="1404"/>
        <v>2.34591989664083</v>
      </c>
      <c r="M2614" s="535">
        <f t="shared" si="1405"/>
        <v>81.0794566547293</v>
      </c>
      <c r="N2614" s="535">
        <f t="shared" si="1406"/>
        <v>41.7990000782049</v>
      </c>
      <c r="O2614" s="535">
        <f t="shared" si="1407"/>
        <v>0.0113695090439276</v>
      </c>
      <c r="P2614" s="536">
        <f t="shared" si="1408"/>
        <v>53.4041764705882</v>
      </c>
      <c r="Q2614" s="531">
        <f t="shared" si="1409"/>
        <v>170</v>
      </c>
      <c r="R2614" s="537">
        <f t="shared" si="1410"/>
        <v>0.0439276485788114</v>
      </c>
    </row>
    <row r="2615" spans="1:18">
      <c r="A2615" s="524">
        <v>45973</v>
      </c>
      <c r="B2615" s="540" t="s">
        <v>98</v>
      </c>
      <c r="C2615" s="551">
        <v>1990.04</v>
      </c>
      <c r="D2615" s="553">
        <v>17715</v>
      </c>
      <c r="E2615" s="551">
        <v>637</v>
      </c>
      <c r="F2615" s="551">
        <v>4</v>
      </c>
      <c r="G2615" s="551">
        <v>18751</v>
      </c>
      <c r="H2615" s="551">
        <v>36</v>
      </c>
      <c r="I2615" s="551">
        <v>4</v>
      </c>
      <c r="J2615" s="551">
        <v>2</v>
      </c>
      <c r="K2615" s="527">
        <f t="shared" si="1403"/>
        <v>0.035958227490827</v>
      </c>
      <c r="L2615" s="528">
        <f t="shared" si="1404"/>
        <v>3.12408163265306</v>
      </c>
      <c r="M2615" s="528">
        <f t="shared" si="1405"/>
        <v>112.336438046853</v>
      </c>
      <c r="N2615" s="528">
        <f t="shared" si="1406"/>
        <v>9.42242366987598</v>
      </c>
      <c r="O2615" s="528">
        <f t="shared" si="1407"/>
        <v>0.00627943485086342</v>
      </c>
      <c r="P2615" s="529">
        <f t="shared" si="1408"/>
        <v>49.751</v>
      </c>
      <c r="Q2615" s="24">
        <f t="shared" si="1409"/>
        <v>40</v>
      </c>
      <c r="R2615" s="530">
        <f t="shared" si="1410"/>
        <v>0.0627943485086342</v>
      </c>
    </row>
    <row r="2616" spans="1:18">
      <c r="A2616" s="524"/>
      <c r="B2616" s="540" t="s">
        <v>99</v>
      </c>
      <c r="C2616" s="551">
        <v>1963.59</v>
      </c>
      <c r="D2616" s="556">
        <v>8273</v>
      </c>
      <c r="E2616" s="551">
        <v>933</v>
      </c>
      <c r="F2616" s="551">
        <v>6</v>
      </c>
      <c r="G2616" s="551">
        <v>37090</v>
      </c>
      <c r="H2616" s="555">
        <v>22</v>
      </c>
      <c r="I2616" s="555">
        <v>0</v>
      </c>
      <c r="J2616" s="555">
        <v>2</v>
      </c>
      <c r="K2616" s="527">
        <f t="shared" si="1403"/>
        <v>0.112776501873565</v>
      </c>
      <c r="L2616" s="528">
        <f t="shared" si="1404"/>
        <v>2.10459807073955</v>
      </c>
      <c r="M2616" s="528">
        <f t="shared" si="1405"/>
        <v>237.349208267859</v>
      </c>
      <c r="N2616" s="528">
        <f t="shared" si="1406"/>
        <v>18.8888719131794</v>
      </c>
      <c r="O2616" s="528">
        <f t="shared" si="1407"/>
        <v>0.00643086816720257</v>
      </c>
      <c r="P2616" s="529">
        <f t="shared" si="1408"/>
        <v>89.2540909090909</v>
      </c>
      <c r="Q2616" s="24">
        <f t="shared" si="1409"/>
        <v>22</v>
      </c>
      <c r="R2616" s="530">
        <f t="shared" si="1410"/>
        <v>0.0235798499464094</v>
      </c>
    </row>
    <row r="2617" spans="1:18">
      <c r="A2617" s="524"/>
      <c r="B2617" s="540" t="s">
        <v>100</v>
      </c>
      <c r="C2617" s="552">
        <v>0</v>
      </c>
      <c r="D2617" s="553">
        <v>0</v>
      </c>
      <c r="E2617" s="553">
        <v>0</v>
      </c>
      <c r="F2617" s="551">
        <v>0</v>
      </c>
      <c r="G2617" s="551">
        <v>0</v>
      </c>
      <c r="H2617" s="551">
        <v>0</v>
      </c>
      <c r="I2617" s="551">
        <v>0</v>
      </c>
      <c r="J2617" s="551">
        <v>0</v>
      </c>
      <c r="K2617" s="527">
        <f t="shared" si="1403"/>
        <v>0</v>
      </c>
      <c r="L2617" s="528">
        <f t="shared" si="1404"/>
        <v>0</v>
      </c>
      <c r="M2617" s="528">
        <f t="shared" si="1405"/>
        <v>0</v>
      </c>
      <c r="N2617" s="528">
        <f t="shared" si="1406"/>
        <v>0</v>
      </c>
      <c r="O2617" s="528">
        <f t="shared" si="1407"/>
        <v>0</v>
      </c>
      <c r="P2617" s="529">
        <f t="shared" si="1408"/>
        <v>0</v>
      </c>
      <c r="Q2617" s="24">
        <f t="shared" si="1409"/>
        <v>0</v>
      </c>
      <c r="R2617" s="530">
        <f t="shared" si="1410"/>
        <v>0</v>
      </c>
    </row>
    <row r="2618" spans="1:18">
      <c r="A2618" s="524"/>
      <c r="B2618" s="540" t="s">
        <v>101</v>
      </c>
      <c r="C2618" s="552">
        <v>4897.61</v>
      </c>
      <c r="D2618" s="553">
        <v>100232</v>
      </c>
      <c r="E2618" s="551">
        <v>3208</v>
      </c>
      <c r="F2618" s="551">
        <v>36</v>
      </c>
      <c r="G2618" s="551">
        <v>304874</v>
      </c>
      <c r="H2618" s="551">
        <v>66</v>
      </c>
      <c r="I2618" s="551">
        <v>12</v>
      </c>
      <c r="J2618" s="551">
        <v>3</v>
      </c>
      <c r="K2618" s="527">
        <f t="shared" si="1403"/>
        <v>0.0320057466677309</v>
      </c>
      <c r="L2618" s="528">
        <f t="shared" si="1404"/>
        <v>1.52668640897756</v>
      </c>
      <c r="M2618" s="528">
        <f t="shared" si="1405"/>
        <v>48.8627384468034</v>
      </c>
      <c r="N2618" s="528">
        <f t="shared" si="1406"/>
        <v>62.2495462072317</v>
      </c>
      <c r="O2618" s="528">
        <f t="shared" si="1407"/>
        <v>0.0112219451371571</v>
      </c>
      <c r="P2618" s="529">
        <f t="shared" si="1408"/>
        <v>62.7898717948718</v>
      </c>
      <c r="Q2618" s="24">
        <f t="shared" si="1409"/>
        <v>78</v>
      </c>
      <c r="R2618" s="530">
        <f t="shared" si="1410"/>
        <v>0.0243142144638404</v>
      </c>
    </row>
    <row r="2619" spans="1:18">
      <c r="A2619" s="524"/>
      <c r="B2619" s="531" t="s">
        <v>96</v>
      </c>
      <c r="C2619" s="533">
        <f t="shared" ref="C2619:J2619" si="1423">SUM(C2615:C2618)</f>
        <v>8851.24</v>
      </c>
      <c r="D2619" s="533">
        <f t="shared" si="1423"/>
        <v>126220</v>
      </c>
      <c r="E2619" s="533">
        <f t="shared" si="1423"/>
        <v>4778</v>
      </c>
      <c r="F2619" s="533">
        <f t="shared" si="1423"/>
        <v>46</v>
      </c>
      <c r="G2619" s="533">
        <f t="shared" si="1423"/>
        <v>360715</v>
      </c>
      <c r="H2619" s="533">
        <f t="shared" si="1423"/>
        <v>124</v>
      </c>
      <c r="I2619" s="533">
        <f t="shared" si="1423"/>
        <v>16</v>
      </c>
      <c r="J2619" s="533">
        <f t="shared" si="1423"/>
        <v>7</v>
      </c>
      <c r="K2619" s="534">
        <f t="shared" si="1403"/>
        <v>0.0378545396926002</v>
      </c>
      <c r="L2619" s="535">
        <f t="shared" si="1404"/>
        <v>1.85249895353704</v>
      </c>
      <c r="M2619" s="535">
        <f t="shared" si="1405"/>
        <v>70.1254951671684</v>
      </c>
      <c r="N2619" s="535">
        <f t="shared" si="1406"/>
        <v>40.7530470306985</v>
      </c>
      <c r="O2619" s="535">
        <f t="shared" si="1407"/>
        <v>0.00962745918794475</v>
      </c>
      <c r="P2619" s="536">
        <f t="shared" si="1408"/>
        <v>63.2231428571429</v>
      </c>
      <c r="Q2619" s="531">
        <f t="shared" si="1409"/>
        <v>140</v>
      </c>
      <c r="R2619" s="537">
        <f t="shared" si="1410"/>
        <v>0.0293009627459188</v>
      </c>
    </row>
    <row r="2620" spans="1:18">
      <c r="A2620" s="524">
        <v>45974</v>
      </c>
      <c r="B2620" s="540" t="s">
        <v>98</v>
      </c>
      <c r="C2620" s="551">
        <v>2000</v>
      </c>
      <c r="D2620" s="553">
        <v>20083</v>
      </c>
      <c r="E2620" s="551">
        <v>690</v>
      </c>
      <c r="F2620" s="551">
        <v>4</v>
      </c>
      <c r="G2620" s="551">
        <v>22394</v>
      </c>
      <c r="H2620" s="551">
        <v>36</v>
      </c>
      <c r="I2620" s="551">
        <v>7</v>
      </c>
      <c r="J2620" s="551">
        <v>4</v>
      </c>
      <c r="K2620" s="527">
        <f t="shared" si="1403"/>
        <v>0.0343574167206095</v>
      </c>
      <c r="L2620" s="528">
        <f t="shared" si="1404"/>
        <v>2.89855072463768</v>
      </c>
      <c r="M2620" s="528">
        <f t="shared" si="1405"/>
        <v>99.5867151322014</v>
      </c>
      <c r="N2620" s="528">
        <f t="shared" si="1406"/>
        <v>11.197</v>
      </c>
      <c r="O2620" s="528">
        <f t="shared" si="1407"/>
        <v>0.00579710144927536</v>
      </c>
      <c r="P2620" s="529">
        <f t="shared" si="1408"/>
        <v>46.5116279069767</v>
      </c>
      <c r="Q2620" s="24">
        <f t="shared" si="1409"/>
        <v>43</v>
      </c>
      <c r="R2620" s="530">
        <f t="shared" si="1410"/>
        <v>0.0623188405797101</v>
      </c>
    </row>
    <row r="2621" spans="1:18">
      <c r="A2621" s="524"/>
      <c r="B2621" s="540" t="s">
        <v>99</v>
      </c>
      <c r="C2621" s="551">
        <v>1975.06</v>
      </c>
      <c r="D2621" s="556">
        <v>10334</v>
      </c>
      <c r="E2621" s="551">
        <v>1051</v>
      </c>
      <c r="F2621" s="551">
        <v>1</v>
      </c>
      <c r="G2621" s="551">
        <v>1</v>
      </c>
      <c r="H2621" s="555">
        <v>18</v>
      </c>
      <c r="I2621" s="555">
        <v>3</v>
      </c>
      <c r="J2621" s="555">
        <v>2</v>
      </c>
      <c r="K2621" s="527">
        <f t="shared" ref="K2621:K2649" si="1424">IF(E2621=0,0,E2621/D2621)</f>
        <v>0.101703115928005</v>
      </c>
      <c r="L2621" s="528">
        <f t="shared" ref="L2621:L2649" si="1425">IF(C2621=0,0,C2621/E2621)</f>
        <v>1.87921979067555</v>
      </c>
      <c r="M2621" s="528">
        <f t="shared" ref="M2621:M2649" si="1426">IF(D2621=0,0,C2621/D2621*1000)</f>
        <v>191.122508225276</v>
      </c>
      <c r="N2621" s="528">
        <f t="shared" ref="N2621:N2649" si="1427">IF(G2621=0,0,G2621/C2621)</f>
        <v>0.000506313732241046</v>
      </c>
      <c r="O2621" s="528">
        <f t="shared" ref="O2621:O2649" si="1428">IF(F2621=0,0,F2621/E2621)</f>
        <v>0.000951474785918173</v>
      </c>
      <c r="P2621" s="529">
        <f t="shared" ref="P2621:P2649" si="1429">IF(H2621+I2621=0,0,C2621/(H2621+I2621))</f>
        <v>94.0504761904762</v>
      </c>
      <c r="Q2621" s="24">
        <f t="shared" ref="Q2621:Q2649" si="1430">H2621+I2621</f>
        <v>21</v>
      </c>
      <c r="R2621" s="530">
        <f t="shared" ref="R2621:R2649" si="1431">IF(Q2621=0,0,Q2621/E2621)</f>
        <v>0.0199809705042816</v>
      </c>
    </row>
    <row r="2622" spans="1:18">
      <c r="A2622" s="524"/>
      <c r="B2622" s="540" t="s">
        <v>100</v>
      </c>
      <c r="C2622" s="552">
        <v>0</v>
      </c>
      <c r="D2622" s="553">
        <v>0</v>
      </c>
      <c r="E2622" s="553">
        <v>0</v>
      </c>
      <c r="F2622" s="551">
        <v>0</v>
      </c>
      <c r="G2622" s="551">
        <v>0</v>
      </c>
      <c r="H2622" s="551">
        <v>0</v>
      </c>
      <c r="I2622" s="551">
        <v>0</v>
      </c>
      <c r="J2622" s="551">
        <v>0</v>
      </c>
      <c r="K2622" s="527">
        <f t="shared" si="1424"/>
        <v>0</v>
      </c>
      <c r="L2622" s="528">
        <f t="shared" si="1425"/>
        <v>0</v>
      </c>
      <c r="M2622" s="528">
        <f t="shared" si="1426"/>
        <v>0</v>
      </c>
      <c r="N2622" s="528">
        <f t="shared" si="1427"/>
        <v>0</v>
      </c>
      <c r="O2622" s="528">
        <f t="shared" si="1428"/>
        <v>0</v>
      </c>
      <c r="P2622" s="529">
        <f t="shared" si="1429"/>
        <v>0</v>
      </c>
      <c r="Q2622" s="24">
        <f t="shared" si="1430"/>
        <v>0</v>
      </c>
      <c r="R2622" s="530">
        <f t="shared" si="1431"/>
        <v>0</v>
      </c>
    </row>
    <row r="2623" spans="1:18">
      <c r="A2623" s="524"/>
      <c r="B2623" s="540" t="s">
        <v>101</v>
      </c>
      <c r="C2623" s="552">
        <v>4889.37</v>
      </c>
      <c r="D2623" s="553">
        <v>127624</v>
      </c>
      <c r="E2623" s="551">
        <v>4181</v>
      </c>
      <c r="F2623" s="551">
        <v>26</v>
      </c>
      <c r="G2623" s="551">
        <v>226940</v>
      </c>
      <c r="H2623" s="551">
        <v>85</v>
      </c>
      <c r="I2623" s="551">
        <v>7</v>
      </c>
      <c r="J2623" s="551">
        <v>6</v>
      </c>
      <c r="K2623" s="527">
        <f t="shared" si="1424"/>
        <v>0.0327602958691155</v>
      </c>
      <c r="L2623" s="528">
        <f t="shared" si="1425"/>
        <v>1.16942597464721</v>
      </c>
      <c r="M2623" s="528">
        <f t="shared" si="1426"/>
        <v>38.3107409264715</v>
      </c>
      <c r="N2623" s="528">
        <f t="shared" si="1427"/>
        <v>46.4149777987757</v>
      </c>
      <c r="O2623" s="528">
        <f t="shared" si="1428"/>
        <v>0.00621860798851949</v>
      </c>
      <c r="P2623" s="529">
        <f t="shared" si="1429"/>
        <v>53.1453260869565</v>
      </c>
      <c r="Q2623" s="24">
        <f t="shared" si="1430"/>
        <v>92</v>
      </c>
      <c r="R2623" s="530">
        <f t="shared" si="1431"/>
        <v>0.0220043051901459</v>
      </c>
    </row>
    <row r="2624" spans="1:18">
      <c r="A2624" s="524"/>
      <c r="B2624" s="531" t="s">
        <v>96</v>
      </c>
      <c r="C2624" s="533">
        <f t="shared" ref="C2624:J2624" si="1432">SUM(C2620:C2623)</f>
        <v>8864.43</v>
      </c>
      <c r="D2624" s="533">
        <f t="shared" si="1432"/>
        <v>158041</v>
      </c>
      <c r="E2624" s="533">
        <f t="shared" si="1432"/>
        <v>5922</v>
      </c>
      <c r="F2624" s="533">
        <f t="shared" si="1432"/>
        <v>31</v>
      </c>
      <c r="G2624" s="533">
        <f t="shared" si="1432"/>
        <v>249335</v>
      </c>
      <c r="H2624" s="533">
        <f t="shared" si="1432"/>
        <v>139</v>
      </c>
      <c r="I2624" s="533">
        <f t="shared" si="1432"/>
        <v>17</v>
      </c>
      <c r="J2624" s="533">
        <f t="shared" si="1432"/>
        <v>12</v>
      </c>
      <c r="K2624" s="534">
        <f t="shared" si="1424"/>
        <v>0.0374712890958675</v>
      </c>
      <c r="L2624" s="535">
        <f t="shared" si="1425"/>
        <v>1.49686423505572</v>
      </c>
      <c r="M2624" s="535">
        <f t="shared" si="1426"/>
        <v>56.0894324890377</v>
      </c>
      <c r="N2624" s="535">
        <f t="shared" si="1427"/>
        <v>28.1275840634987</v>
      </c>
      <c r="O2624" s="535">
        <f t="shared" si="1428"/>
        <v>0.00523471800067545</v>
      </c>
      <c r="P2624" s="536">
        <f t="shared" si="1429"/>
        <v>56.8232692307692</v>
      </c>
      <c r="Q2624" s="531">
        <f t="shared" si="1430"/>
        <v>156</v>
      </c>
      <c r="R2624" s="537">
        <f t="shared" si="1431"/>
        <v>0.0263424518743668</v>
      </c>
    </row>
    <row r="2625" spans="1:18">
      <c r="A2625" s="524">
        <v>45975</v>
      </c>
      <c r="B2625" s="540" t="s">
        <v>98</v>
      </c>
      <c r="C2625" s="551">
        <v>2000</v>
      </c>
      <c r="D2625" s="553">
        <v>16848</v>
      </c>
      <c r="E2625" s="551">
        <v>644</v>
      </c>
      <c r="F2625" s="551">
        <v>2</v>
      </c>
      <c r="G2625" s="551">
        <v>10498</v>
      </c>
      <c r="H2625" s="551">
        <v>25</v>
      </c>
      <c r="I2625" s="551">
        <v>8</v>
      </c>
      <c r="J2625" s="551">
        <v>5</v>
      </c>
      <c r="K2625" s="527">
        <f t="shared" si="1424"/>
        <v>0.0382241215574549</v>
      </c>
      <c r="L2625" s="528">
        <f t="shared" si="1425"/>
        <v>3.1055900621118</v>
      </c>
      <c r="M2625" s="528">
        <f t="shared" si="1426"/>
        <v>118.708452041785</v>
      </c>
      <c r="N2625" s="528">
        <f t="shared" si="1427"/>
        <v>5.249</v>
      </c>
      <c r="O2625" s="528">
        <f t="shared" si="1428"/>
        <v>0.0031055900621118</v>
      </c>
      <c r="P2625" s="529">
        <f t="shared" si="1429"/>
        <v>60.6060606060606</v>
      </c>
      <c r="Q2625" s="24">
        <f t="shared" si="1430"/>
        <v>33</v>
      </c>
      <c r="R2625" s="530">
        <f t="shared" si="1431"/>
        <v>0.0512422360248447</v>
      </c>
    </row>
    <row r="2626" spans="1:18">
      <c r="A2626" s="524"/>
      <c r="B2626" s="540" t="s">
        <v>99</v>
      </c>
      <c r="C2626" s="551">
        <v>1975.06</v>
      </c>
      <c r="D2626" s="556">
        <v>10334</v>
      </c>
      <c r="E2626" s="551">
        <v>1051</v>
      </c>
      <c r="F2626" s="551">
        <v>2</v>
      </c>
      <c r="G2626" s="551">
        <v>9599</v>
      </c>
      <c r="H2626" s="555">
        <v>18</v>
      </c>
      <c r="I2626" s="555">
        <v>3</v>
      </c>
      <c r="J2626" s="555">
        <v>2</v>
      </c>
      <c r="K2626" s="527">
        <f t="shared" si="1424"/>
        <v>0.101703115928005</v>
      </c>
      <c r="L2626" s="528">
        <f t="shared" si="1425"/>
        <v>1.87921979067555</v>
      </c>
      <c r="M2626" s="528">
        <f t="shared" si="1426"/>
        <v>191.122508225276</v>
      </c>
      <c r="N2626" s="528">
        <f t="shared" si="1427"/>
        <v>4.8601055157818</v>
      </c>
      <c r="O2626" s="528">
        <f t="shared" si="1428"/>
        <v>0.00190294957183635</v>
      </c>
      <c r="P2626" s="529">
        <f t="shared" si="1429"/>
        <v>94.0504761904762</v>
      </c>
      <c r="Q2626" s="24">
        <f t="shared" si="1430"/>
        <v>21</v>
      </c>
      <c r="R2626" s="530">
        <f t="shared" si="1431"/>
        <v>0.0199809705042816</v>
      </c>
    </row>
    <row r="2627" spans="1:18">
      <c r="A2627" s="524"/>
      <c r="B2627" s="540" t="s">
        <v>100</v>
      </c>
      <c r="C2627" s="552">
        <v>0</v>
      </c>
      <c r="D2627" s="553">
        <v>0</v>
      </c>
      <c r="E2627" s="553">
        <v>0</v>
      </c>
      <c r="F2627" s="551">
        <v>0</v>
      </c>
      <c r="G2627" s="551">
        <v>0</v>
      </c>
      <c r="H2627" s="551">
        <v>0</v>
      </c>
      <c r="I2627" s="551">
        <v>0</v>
      </c>
      <c r="J2627" s="551">
        <v>0</v>
      </c>
      <c r="K2627" s="527">
        <f t="shared" si="1424"/>
        <v>0</v>
      </c>
      <c r="L2627" s="528">
        <f t="shared" si="1425"/>
        <v>0</v>
      </c>
      <c r="M2627" s="528">
        <f t="shared" si="1426"/>
        <v>0</v>
      </c>
      <c r="N2627" s="528">
        <f t="shared" si="1427"/>
        <v>0</v>
      </c>
      <c r="O2627" s="528">
        <f t="shared" si="1428"/>
        <v>0</v>
      </c>
      <c r="P2627" s="529">
        <f t="shared" si="1429"/>
        <v>0</v>
      </c>
      <c r="Q2627" s="24">
        <f t="shared" si="1430"/>
        <v>0</v>
      </c>
      <c r="R2627" s="530">
        <f t="shared" si="1431"/>
        <v>0</v>
      </c>
    </row>
    <row r="2628" spans="1:18">
      <c r="A2628" s="524"/>
      <c r="B2628" s="540" t="s">
        <v>101</v>
      </c>
      <c r="C2628" s="552">
        <v>4889.37</v>
      </c>
      <c r="D2628" s="553">
        <v>127624</v>
      </c>
      <c r="E2628" s="551">
        <v>4181</v>
      </c>
      <c r="F2628" s="551">
        <v>22</v>
      </c>
      <c r="G2628" s="551">
        <v>202192</v>
      </c>
      <c r="H2628" s="551">
        <v>85</v>
      </c>
      <c r="I2628" s="551">
        <v>7</v>
      </c>
      <c r="J2628" s="551">
        <v>6</v>
      </c>
      <c r="K2628" s="527">
        <f t="shared" si="1424"/>
        <v>0.0327602958691155</v>
      </c>
      <c r="L2628" s="528">
        <f t="shared" si="1425"/>
        <v>1.16942597464721</v>
      </c>
      <c r="M2628" s="528">
        <f t="shared" si="1426"/>
        <v>38.3107409264715</v>
      </c>
      <c r="N2628" s="528">
        <f t="shared" si="1427"/>
        <v>41.353384996431</v>
      </c>
      <c r="O2628" s="528">
        <f t="shared" si="1428"/>
        <v>0.0052618990672088</v>
      </c>
      <c r="P2628" s="529">
        <f t="shared" si="1429"/>
        <v>53.1453260869565</v>
      </c>
      <c r="Q2628" s="24">
        <f t="shared" si="1430"/>
        <v>92</v>
      </c>
      <c r="R2628" s="530">
        <f t="shared" si="1431"/>
        <v>0.0220043051901459</v>
      </c>
    </row>
    <row r="2629" spans="1:18">
      <c r="A2629" s="524"/>
      <c r="B2629" s="531" t="s">
        <v>96</v>
      </c>
      <c r="C2629" s="533">
        <f t="shared" ref="C2629:J2629" si="1433">SUM(C2625:C2628)</f>
        <v>8864.43</v>
      </c>
      <c r="D2629" s="533">
        <f t="shared" si="1433"/>
        <v>154806</v>
      </c>
      <c r="E2629" s="533">
        <f t="shared" si="1433"/>
        <v>5876</v>
      </c>
      <c r="F2629" s="533">
        <f t="shared" si="1433"/>
        <v>26</v>
      </c>
      <c r="G2629" s="533">
        <f t="shared" si="1433"/>
        <v>222289</v>
      </c>
      <c r="H2629" s="533">
        <f t="shared" si="1433"/>
        <v>128</v>
      </c>
      <c r="I2629" s="533">
        <f t="shared" si="1433"/>
        <v>18</v>
      </c>
      <c r="J2629" s="533">
        <f t="shared" si="1433"/>
        <v>13</v>
      </c>
      <c r="K2629" s="534">
        <f t="shared" si="1424"/>
        <v>0.0379571851220237</v>
      </c>
      <c r="L2629" s="535">
        <f t="shared" si="1425"/>
        <v>1.50858236895848</v>
      </c>
      <c r="M2629" s="535">
        <f t="shared" si="1426"/>
        <v>57.2615402503779</v>
      </c>
      <c r="N2629" s="535">
        <f t="shared" si="1427"/>
        <v>25.0765136619049</v>
      </c>
      <c r="O2629" s="535">
        <f t="shared" si="1428"/>
        <v>0.00442477876106195</v>
      </c>
      <c r="P2629" s="536">
        <f t="shared" si="1429"/>
        <v>60.7152739726027</v>
      </c>
      <c r="Q2629" s="531">
        <f t="shared" si="1430"/>
        <v>146</v>
      </c>
      <c r="R2629" s="537">
        <f t="shared" si="1431"/>
        <v>0.0248468345813479</v>
      </c>
    </row>
    <row r="2630" spans="1:18">
      <c r="A2630" s="524">
        <v>45976</v>
      </c>
      <c r="B2630" s="540" t="s">
        <v>98</v>
      </c>
      <c r="C2630" s="551">
        <v>583.01</v>
      </c>
      <c r="D2630" s="553">
        <v>4507</v>
      </c>
      <c r="E2630" s="551">
        <v>272</v>
      </c>
      <c r="F2630" s="551">
        <v>0</v>
      </c>
      <c r="G2630" s="551">
        <v>0</v>
      </c>
      <c r="H2630" s="551">
        <v>18</v>
      </c>
      <c r="I2630" s="551">
        <v>2</v>
      </c>
      <c r="J2630" s="551">
        <v>2</v>
      </c>
      <c r="K2630" s="527">
        <f t="shared" si="1424"/>
        <v>0.0603505657865542</v>
      </c>
      <c r="L2630" s="528">
        <f t="shared" si="1425"/>
        <v>2.14341911764706</v>
      </c>
      <c r="M2630" s="528">
        <f t="shared" si="1426"/>
        <v>129.356556467717</v>
      </c>
      <c r="N2630" s="528">
        <f t="shared" si="1427"/>
        <v>0</v>
      </c>
      <c r="O2630" s="528">
        <f t="shared" si="1428"/>
        <v>0</v>
      </c>
      <c r="P2630" s="529">
        <f t="shared" si="1429"/>
        <v>29.1505</v>
      </c>
      <c r="Q2630" s="24">
        <f t="shared" si="1430"/>
        <v>20</v>
      </c>
      <c r="R2630" s="530">
        <f t="shared" si="1431"/>
        <v>0.0735294117647059</v>
      </c>
    </row>
    <row r="2631" spans="1:18">
      <c r="A2631" s="524"/>
      <c r="B2631" s="540" t="s">
        <v>99</v>
      </c>
      <c r="C2631" s="551">
        <v>1746.94</v>
      </c>
      <c r="D2631" s="556">
        <v>10556</v>
      </c>
      <c r="E2631" s="551">
        <v>920</v>
      </c>
      <c r="F2631" s="551">
        <v>0</v>
      </c>
      <c r="G2631" s="551">
        <v>0</v>
      </c>
      <c r="H2631" s="555">
        <v>18</v>
      </c>
      <c r="I2631" s="555">
        <v>4</v>
      </c>
      <c r="J2631" s="555">
        <v>5</v>
      </c>
      <c r="K2631" s="527">
        <f t="shared" si="1424"/>
        <v>0.0871542250852596</v>
      </c>
      <c r="L2631" s="528">
        <f t="shared" si="1425"/>
        <v>1.89884782608696</v>
      </c>
      <c r="M2631" s="528">
        <f t="shared" si="1426"/>
        <v>165.492610837438</v>
      </c>
      <c r="N2631" s="528">
        <f t="shared" si="1427"/>
        <v>0</v>
      </c>
      <c r="O2631" s="528">
        <f t="shared" si="1428"/>
        <v>0</v>
      </c>
      <c r="P2631" s="529">
        <f t="shared" si="1429"/>
        <v>79.4063636363636</v>
      </c>
      <c r="Q2631" s="24">
        <f t="shared" si="1430"/>
        <v>22</v>
      </c>
      <c r="R2631" s="530">
        <f t="shared" si="1431"/>
        <v>0.0239130434782609</v>
      </c>
    </row>
    <row r="2632" spans="1:18">
      <c r="A2632" s="524"/>
      <c r="B2632" s="540" t="s">
        <v>100</v>
      </c>
      <c r="C2632" s="552">
        <v>0</v>
      </c>
      <c r="D2632" s="553">
        <v>0</v>
      </c>
      <c r="E2632" s="553">
        <v>0</v>
      </c>
      <c r="F2632" s="551">
        <v>0</v>
      </c>
      <c r="G2632" s="551">
        <v>0</v>
      </c>
      <c r="H2632" s="551">
        <v>0</v>
      </c>
      <c r="I2632" s="551">
        <v>0</v>
      </c>
      <c r="J2632" s="551">
        <v>0</v>
      </c>
      <c r="K2632" s="527">
        <f t="shared" si="1424"/>
        <v>0</v>
      </c>
      <c r="L2632" s="528">
        <f t="shared" si="1425"/>
        <v>0</v>
      </c>
      <c r="M2632" s="528">
        <f t="shared" si="1426"/>
        <v>0</v>
      </c>
      <c r="N2632" s="528">
        <f t="shared" si="1427"/>
        <v>0</v>
      </c>
      <c r="O2632" s="528">
        <f t="shared" si="1428"/>
        <v>0</v>
      </c>
      <c r="P2632" s="529">
        <f t="shared" si="1429"/>
        <v>0</v>
      </c>
      <c r="Q2632" s="24">
        <f t="shared" si="1430"/>
        <v>0</v>
      </c>
      <c r="R2632" s="530">
        <f t="shared" si="1431"/>
        <v>0</v>
      </c>
    </row>
    <row r="2633" spans="1:18">
      <c r="A2633" s="524"/>
      <c r="B2633" s="540" t="s">
        <v>101</v>
      </c>
      <c r="C2633" s="552">
        <v>16.68</v>
      </c>
      <c r="D2633" s="553">
        <v>229</v>
      </c>
      <c r="E2633" s="551">
        <v>11</v>
      </c>
      <c r="F2633" s="551">
        <v>0</v>
      </c>
      <c r="G2633" s="551">
        <v>0</v>
      </c>
      <c r="H2633" s="551">
        <v>0</v>
      </c>
      <c r="I2633" s="551">
        <v>0</v>
      </c>
      <c r="J2633" s="551">
        <v>0</v>
      </c>
      <c r="K2633" s="527">
        <f t="shared" si="1424"/>
        <v>0.0480349344978166</v>
      </c>
      <c r="L2633" s="528">
        <f t="shared" si="1425"/>
        <v>1.51636363636364</v>
      </c>
      <c r="M2633" s="528">
        <f t="shared" si="1426"/>
        <v>72.8384279475982</v>
      </c>
      <c r="N2633" s="528">
        <f t="shared" si="1427"/>
        <v>0</v>
      </c>
      <c r="O2633" s="528">
        <f t="shared" si="1428"/>
        <v>0</v>
      </c>
      <c r="P2633" s="529">
        <f t="shared" si="1429"/>
        <v>0</v>
      </c>
      <c r="Q2633" s="24">
        <f t="shared" si="1430"/>
        <v>0</v>
      </c>
      <c r="R2633" s="530">
        <f t="shared" si="1431"/>
        <v>0</v>
      </c>
    </row>
    <row r="2634" spans="1:18">
      <c r="A2634" s="524"/>
      <c r="B2634" s="531" t="s">
        <v>96</v>
      </c>
      <c r="C2634" s="533">
        <f t="shared" ref="C2634:J2634" si="1434">SUM(C2630:C2633)</f>
        <v>2346.63</v>
      </c>
      <c r="D2634" s="533">
        <f t="shared" si="1434"/>
        <v>15292</v>
      </c>
      <c r="E2634" s="533">
        <f t="shared" si="1434"/>
        <v>1203</v>
      </c>
      <c r="F2634" s="533">
        <f t="shared" si="1434"/>
        <v>0</v>
      </c>
      <c r="G2634" s="533">
        <f t="shared" si="1434"/>
        <v>0</v>
      </c>
      <c r="H2634" s="533">
        <f t="shared" si="1434"/>
        <v>36</v>
      </c>
      <c r="I2634" s="533">
        <f t="shared" si="1434"/>
        <v>6</v>
      </c>
      <c r="J2634" s="533">
        <f t="shared" si="1434"/>
        <v>7</v>
      </c>
      <c r="K2634" s="534">
        <f t="shared" si="1424"/>
        <v>0.0786685848809835</v>
      </c>
      <c r="L2634" s="535">
        <f t="shared" si="1425"/>
        <v>1.95064837905237</v>
      </c>
      <c r="M2634" s="535">
        <f t="shared" si="1426"/>
        <v>153.454747580434</v>
      </c>
      <c r="N2634" s="535">
        <f t="shared" si="1427"/>
        <v>0</v>
      </c>
      <c r="O2634" s="535">
        <f t="shared" si="1428"/>
        <v>0</v>
      </c>
      <c r="P2634" s="536">
        <f t="shared" si="1429"/>
        <v>55.8721428571428</v>
      </c>
      <c r="Q2634" s="531">
        <f t="shared" si="1430"/>
        <v>42</v>
      </c>
      <c r="R2634" s="537">
        <f t="shared" si="1431"/>
        <v>0.0349127182044888</v>
      </c>
    </row>
    <row r="2635" spans="1:18">
      <c r="A2635" s="524">
        <v>45977</v>
      </c>
      <c r="B2635" s="540" t="s">
        <v>98</v>
      </c>
      <c r="C2635" s="551">
        <v>499.79</v>
      </c>
      <c r="D2635" s="553">
        <v>4611</v>
      </c>
      <c r="E2635" s="551">
        <v>240</v>
      </c>
      <c r="F2635" s="551">
        <v>0</v>
      </c>
      <c r="G2635" s="551">
        <v>0</v>
      </c>
      <c r="H2635" s="551">
        <v>10</v>
      </c>
      <c r="I2635" s="551">
        <v>3</v>
      </c>
      <c r="J2635" s="551">
        <v>2</v>
      </c>
      <c r="K2635" s="527">
        <f t="shared" si="1424"/>
        <v>0.0520494469746259</v>
      </c>
      <c r="L2635" s="528">
        <f t="shared" si="1425"/>
        <v>2.08245833333333</v>
      </c>
      <c r="M2635" s="528">
        <f t="shared" si="1426"/>
        <v>108.390804597701</v>
      </c>
      <c r="N2635" s="528">
        <f t="shared" si="1427"/>
        <v>0</v>
      </c>
      <c r="O2635" s="528">
        <f t="shared" si="1428"/>
        <v>0</v>
      </c>
      <c r="P2635" s="529">
        <f t="shared" si="1429"/>
        <v>38.4453846153846</v>
      </c>
      <c r="Q2635" s="24">
        <f t="shared" si="1430"/>
        <v>13</v>
      </c>
      <c r="R2635" s="530">
        <f t="shared" si="1431"/>
        <v>0.0541666666666667</v>
      </c>
    </row>
    <row r="2636" spans="1:18">
      <c r="A2636" s="524"/>
      <c r="B2636" s="540" t="s">
        <v>99</v>
      </c>
      <c r="C2636" s="551">
        <v>1766.43</v>
      </c>
      <c r="D2636" s="556">
        <v>14785</v>
      </c>
      <c r="E2636" s="551">
        <v>849</v>
      </c>
      <c r="F2636" s="551">
        <v>0</v>
      </c>
      <c r="G2636" s="551">
        <v>0</v>
      </c>
      <c r="H2636" s="555">
        <v>10</v>
      </c>
      <c r="I2636" s="555">
        <v>0</v>
      </c>
      <c r="J2636" s="555">
        <v>0</v>
      </c>
      <c r="K2636" s="527">
        <f t="shared" si="1424"/>
        <v>0.0574230639161312</v>
      </c>
      <c r="L2636" s="528">
        <f t="shared" si="1425"/>
        <v>2.08060070671378</v>
      </c>
      <c r="M2636" s="528">
        <f t="shared" si="1426"/>
        <v>119.474467365573</v>
      </c>
      <c r="N2636" s="528">
        <f t="shared" si="1427"/>
        <v>0</v>
      </c>
      <c r="O2636" s="528">
        <f t="shared" si="1428"/>
        <v>0</v>
      </c>
      <c r="P2636" s="529">
        <f t="shared" si="1429"/>
        <v>176.643</v>
      </c>
      <c r="Q2636" s="24">
        <f t="shared" si="1430"/>
        <v>10</v>
      </c>
      <c r="R2636" s="530">
        <f t="shared" si="1431"/>
        <v>0.0117785630153121</v>
      </c>
    </row>
    <row r="2637" spans="1:18">
      <c r="A2637" s="524"/>
      <c r="B2637" s="540" t="s">
        <v>100</v>
      </c>
      <c r="C2637" s="552">
        <v>0</v>
      </c>
      <c r="D2637" s="553">
        <v>0</v>
      </c>
      <c r="E2637" s="553">
        <v>0</v>
      </c>
      <c r="F2637" s="551">
        <v>0</v>
      </c>
      <c r="G2637" s="551">
        <v>0</v>
      </c>
      <c r="H2637" s="551">
        <v>0</v>
      </c>
      <c r="I2637" s="551">
        <v>0</v>
      </c>
      <c r="J2637" s="551">
        <v>0</v>
      </c>
      <c r="K2637" s="527">
        <f t="shared" si="1424"/>
        <v>0</v>
      </c>
      <c r="L2637" s="528">
        <f t="shared" si="1425"/>
        <v>0</v>
      </c>
      <c r="M2637" s="528">
        <f t="shared" si="1426"/>
        <v>0</v>
      </c>
      <c r="N2637" s="528">
        <f t="shared" si="1427"/>
        <v>0</v>
      </c>
      <c r="O2637" s="528">
        <f t="shared" si="1428"/>
        <v>0</v>
      </c>
      <c r="P2637" s="529">
        <f t="shared" si="1429"/>
        <v>0</v>
      </c>
      <c r="Q2637" s="24">
        <f t="shared" si="1430"/>
        <v>0</v>
      </c>
      <c r="R2637" s="530">
        <f t="shared" si="1431"/>
        <v>0</v>
      </c>
    </row>
    <row r="2638" spans="1:18">
      <c r="A2638" s="524"/>
      <c r="B2638" s="540" t="s">
        <v>101</v>
      </c>
      <c r="C2638" s="552">
        <v>0</v>
      </c>
      <c r="D2638" s="553">
        <v>0</v>
      </c>
      <c r="E2638" s="551">
        <v>0</v>
      </c>
      <c r="F2638" s="551">
        <v>0</v>
      </c>
      <c r="G2638" s="551">
        <v>0</v>
      </c>
      <c r="H2638" s="551">
        <v>0</v>
      </c>
      <c r="I2638" s="551">
        <v>0</v>
      </c>
      <c r="J2638" s="551">
        <v>0</v>
      </c>
      <c r="K2638" s="527">
        <f t="shared" si="1424"/>
        <v>0</v>
      </c>
      <c r="L2638" s="528">
        <f t="shared" si="1425"/>
        <v>0</v>
      </c>
      <c r="M2638" s="528">
        <f t="shared" si="1426"/>
        <v>0</v>
      </c>
      <c r="N2638" s="528">
        <f t="shared" si="1427"/>
        <v>0</v>
      </c>
      <c r="O2638" s="528">
        <f t="shared" si="1428"/>
        <v>0</v>
      </c>
      <c r="P2638" s="529">
        <f t="shared" si="1429"/>
        <v>0</v>
      </c>
      <c r="Q2638" s="24">
        <f t="shared" si="1430"/>
        <v>0</v>
      </c>
      <c r="R2638" s="530">
        <f t="shared" si="1431"/>
        <v>0</v>
      </c>
    </row>
    <row r="2639" spans="1:18">
      <c r="A2639" s="524"/>
      <c r="B2639" s="531" t="s">
        <v>96</v>
      </c>
      <c r="C2639" s="533">
        <f t="shared" ref="C2639:J2639" si="1435">SUM(C2635:C2638)</f>
        <v>2266.22</v>
      </c>
      <c r="D2639" s="533">
        <f t="shared" si="1435"/>
        <v>19396</v>
      </c>
      <c r="E2639" s="533">
        <f t="shared" si="1435"/>
        <v>1089</v>
      </c>
      <c r="F2639" s="533">
        <f t="shared" si="1435"/>
        <v>0</v>
      </c>
      <c r="G2639" s="533">
        <f t="shared" si="1435"/>
        <v>0</v>
      </c>
      <c r="H2639" s="533">
        <f t="shared" si="1435"/>
        <v>20</v>
      </c>
      <c r="I2639" s="533">
        <f t="shared" si="1435"/>
        <v>3</v>
      </c>
      <c r="J2639" s="533">
        <f t="shared" si="1435"/>
        <v>2</v>
      </c>
      <c r="K2639" s="534">
        <f t="shared" si="1424"/>
        <v>0.0561455970303155</v>
      </c>
      <c r="L2639" s="535">
        <f t="shared" si="1425"/>
        <v>2.0810101010101</v>
      </c>
      <c r="M2639" s="535">
        <f t="shared" si="1426"/>
        <v>116.839554547329</v>
      </c>
      <c r="N2639" s="535">
        <f t="shared" si="1427"/>
        <v>0</v>
      </c>
      <c r="O2639" s="535">
        <f t="shared" si="1428"/>
        <v>0</v>
      </c>
      <c r="P2639" s="536">
        <f t="shared" si="1429"/>
        <v>98.5313043478261</v>
      </c>
      <c r="Q2639" s="531">
        <f t="shared" si="1430"/>
        <v>23</v>
      </c>
      <c r="R2639" s="537">
        <f t="shared" si="1431"/>
        <v>0.0211202938475666</v>
      </c>
    </row>
    <row r="2640" spans="1:18">
      <c r="A2640" s="524">
        <v>45978</v>
      </c>
      <c r="B2640" s="540" t="s">
        <v>98</v>
      </c>
      <c r="C2640" s="551">
        <v>500</v>
      </c>
      <c r="D2640" s="553">
        <v>5413</v>
      </c>
      <c r="E2640" s="551">
        <v>226</v>
      </c>
      <c r="F2640" s="551">
        <v>0</v>
      </c>
      <c r="G2640" s="551">
        <v>0</v>
      </c>
      <c r="H2640" s="551">
        <v>15</v>
      </c>
      <c r="I2640" s="551">
        <v>4</v>
      </c>
      <c r="J2640" s="551">
        <v>0</v>
      </c>
      <c r="K2640" s="527">
        <f t="shared" si="1424"/>
        <v>0.0417513393681877</v>
      </c>
      <c r="L2640" s="528">
        <f t="shared" si="1425"/>
        <v>2.21238938053097</v>
      </c>
      <c r="M2640" s="528">
        <f t="shared" si="1426"/>
        <v>92.3702198411232</v>
      </c>
      <c r="N2640" s="528">
        <f t="shared" si="1427"/>
        <v>0</v>
      </c>
      <c r="O2640" s="528">
        <f t="shared" si="1428"/>
        <v>0</v>
      </c>
      <c r="P2640" s="529">
        <f t="shared" si="1429"/>
        <v>26.3157894736842</v>
      </c>
      <c r="Q2640" s="24">
        <f t="shared" si="1430"/>
        <v>19</v>
      </c>
      <c r="R2640" s="530">
        <f t="shared" si="1431"/>
        <v>0.084070796460177</v>
      </c>
    </row>
    <row r="2641" spans="1:18">
      <c r="A2641" s="524"/>
      <c r="B2641" s="540" t="s">
        <v>99</v>
      </c>
      <c r="C2641" s="551">
        <v>354.98</v>
      </c>
      <c r="D2641" s="556">
        <v>2664</v>
      </c>
      <c r="E2641" s="551">
        <v>123</v>
      </c>
      <c r="F2641" s="551">
        <v>0</v>
      </c>
      <c r="G2641" s="551">
        <v>0</v>
      </c>
      <c r="H2641" s="555">
        <v>3</v>
      </c>
      <c r="I2641" s="555">
        <v>1</v>
      </c>
      <c r="J2641" s="555">
        <v>0</v>
      </c>
      <c r="K2641" s="527">
        <f t="shared" si="1424"/>
        <v>0.0461711711711712</v>
      </c>
      <c r="L2641" s="528">
        <f t="shared" si="1425"/>
        <v>2.8860162601626</v>
      </c>
      <c r="M2641" s="528">
        <f t="shared" si="1426"/>
        <v>133.250750750751</v>
      </c>
      <c r="N2641" s="528">
        <f t="shared" si="1427"/>
        <v>0</v>
      </c>
      <c r="O2641" s="528">
        <f t="shared" si="1428"/>
        <v>0</v>
      </c>
      <c r="P2641" s="529">
        <f t="shared" si="1429"/>
        <v>88.745</v>
      </c>
      <c r="Q2641" s="24">
        <f t="shared" si="1430"/>
        <v>4</v>
      </c>
      <c r="R2641" s="530">
        <f t="shared" si="1431"/>
        <v>0.032520325203252</v>
      </c>
    </row>
    <row r="2642" spans="1:18">
      <c r="A2642" s="524"/>
      <c r="B2642" s="540" t="s">
        <v>100</v>
      </c>
      <c r="C2642" s="552">
        <v>0</v>
      </c>
      <c r="D2642" s="553">
        <v>0</v>
      </c>
      <c r="E2642" s="553">
        <v>0</v>
      </c>
      <c r="F2642" s="551">
        <v>0</v>
      </c>
      <c r="G2642" s="551">
        <v>0</v>
      </c>
      <c r="H2642" s="551">
        <v>0</v>
      </c>
      <c r="I2642" s="551">
        <v>0</v>
      </c>
      <c r="J2642" s="551">
        <v>0</v>
      </c>
      <c r="K2642" s="527">
        <f t="shared" si="1424"/>
        <v>0</v>
      </c>
      <c r="L2642" s="528">
        <f t="shared" si="1425"/>
        <v>0</v>
      </c>
      <c r="M2642" s="528">
        <f t="shared" si="1426"/>
        <v>0</v>
      </c>
      <c r="N2642" s="528">
        <f t="shared" si="1427"/>
        <v>0</v>
      </c>
      <c r="O2642" s="528">
        <f t="shared" si="1428"/>
        <v>0</v>
      </c>
      <c r="P2642" s="529">
        <f t="shared" si="1429"/>
        <v>0</v>
      </c>
      <c r="Q2642" s="24">
        <f t="shared" si="1430"/>
        <v>0</v>
      </c>
      <c r="R2642" s="530">
        <f t="shared" si="1431"/>
        <v>0</v>
      </c>
    </row>
    <row r="2643" spans="1:18">
      <c r="A2643" s="524"/>
      <c r="B2643" s="540" t="s">
        <v>101</v>
      </c>
      <c r="C2643" s="552">
        <v>0</v>
      </c>
      <c r="D2643" s="553">
        <v>0</v>
      </c>
      <c r="E2643" s="551">
        <v>0</v>
      </c>
      <c r="F2643" s="551">
        <v>0</v>
      </c>
      <c r="G2643" s="551">
        <v>0</v>
      </c>
      <c r="H2643" s="551">
        <v>0</v>
      </c>
      <c r="I2643" s="551">
        <v>0</v>
      </c>
      <c r="J2643" s="551">
        <v>0</v>
      </c>
      <c r="K2643" s="527">
        <f t="shared" si="1424"/>
        <v>0</v>
      </c>
      <c r="L2643" s="528">
        <f t="shared" si="1425"/>
        <v>0</v>
      </c>
      <c r="M2643" s="528">
        <f t="shared" si="1426"/>
        <v>0</v>
      </c>
      <c r="N2643" s="528">
        <f t="shared" si="1427"/>
        <v>0</v>
      </c>
      <c r="O2643" s="528">
        <f t="shared" si="1428"/>
        <v>0</v>
      </c>
      <c r="P2643" s="529">
        <f t="shared" si="1429"/>
        <v>0</v>
      </c>
      <c r="Q2643" s="24">
        <f t="shared" si="1430"/>
        <v>0</v>
      </c>
      <c r="R2643" s="530">
        <f t="shared" si="1431"/>
        <v>0</v>
      </c>
    </row>
    <row r="2644" spans="1:18">
      <c r="A2644" s="524"/>
      <c r="B2644" s="531" t="s">
        <v>96</v>
      </c>
      <c r="C2644" s="533">
        <f t="shared" ref="C2644:J2644" si="1436">SUM(C2640:C2643)</f>
        <v>854.98</v>
      </c>
      <c r="D2644" s="533">
        <f t="shared" si="1436"/>
        <v>8077</v>
      </c>
      <c r="E2644" s="533">
        <f t="shared" si="1436"/>
        <v>349</v>
      </c>
      <c r="F2644" s="533">
        <f t="shared" si="1436"/>
        <v>0</v>
      </c>
      <c r="G2644" s="533">
        <f t="shared" si="1436"/>
        <v>0</v>
      </c>
      <c r="H2644" s="533">
        <f t="shared" si="1436"/>
        <v>18</v>
      </c>
      <c r="I2644" s="533">
        <f t="shared" si="1436"/>
        <v>5</v>
      </c>
      <c r="J2644" s="533">
        <f t="shared" si="1436"/>
        <v>0</v>
      </c>
      <c r="K2644" s="534">
        <f t="shared" si="1424"/>
        <v>0.0432091122941686</v>
      </c>
      <c r="L2644" s="535">
        <f t="shared" si="1425"/>
        <v>2.4497994269341</v>
      </c>
      <c r="M2644" s="535">
        <f t="shared" si="1426"/>
        <v>105.853658536585</v>
      </c>
      <c r="N2644" s="535">
        <f t="shared" si="1427"/>
        <v>0</v>
      </c>
      <c r="O2644" s="535">
        <f t="shared" si="1428"/>
        <v>0</v>
      </c>
      <c r="P2644" s="536">
        <f t="shared" si="1429"/>
        <v>37.1730434782609</v>
      </c>
      <c r="Q2644" s="531">
        <f t="shared" si="1430"/>
        <v>23</v>
      </c>
      <c r="R2644" s="537">
        <f t="shared" si="1431"/>
        <v>0.0659025787965616</v>
      </c>
    </row>
    <row r="2645" spans="1:18">
      <c r="A2645" s="524">
        <v>45979</v>
      </c>
      <c r="B2645" s="540" t="s">
        <v>98</v>
      </c>
      <c r="C2645" s="551">
        <v>495.93</v>
      </c>
      <c r="D2645" s="553">
        <v>6107</v>
      </c>
      <c r="E2645" s="551">
        <v>232</v>
      </c>
      <c r="F2645" s="551">
        <v>0</v>
      </c>
      <c r="G2645" s="551">
        <v>0</v>
      </c>
      <c r="H2645" s="551">
        <v>8</v>
      </c>
      <c r="I2645" s="551">
        <v>2</v>
      </c>
      <c r="J2645" s="551">
        <v>1</v>
      </c>
      <c r="K2645" s="527">
        <f t="shared" si="1424"/>
        <v>0.0379891927296545</v>
      </c>
      <c r="L2645" s="528">
        <f t="shared" si="1425"/>
        <v>2.13762931034483</v>
      </c>
      <c r="M2645" s="528">
        <f t="shared" si="1426"/>
        <v>81.2068118552481</v>
      </c>
      <c r="N2645" s="528">
        <f t="shared" si="1427"/>
        <v>0</v>
      </c>
      <c r="O2645" s="528">
        <f t="shared" si="1428"/>
        <v>0</v>
      </c>
      <c r="P2645" s="529">
        <f t="shared" si="1429"/>
        <v>49.593</v>
      </c>
      <c r="Q2645" s="24">
        <f t="shared" si="1430"/>
        <v>10</v>
      </c>
      <c r="R2645" s="530">
        <f t="shared" si="1431"/>
        <v>0.0431034482758621</v>
      </c>
    </row>
    <row r="2646" spans="1:18">
      <c r="A2646" s="524"/>
      <c r="B2646" s="540" t="s">
        <v>99</v>
      </c>
      <c r="C2646" s="551">
        <v>0</v>
      </c>
      <c r="D2646" s="556">
        <v>0</v>
      </c>
      <c r="E2646" s="551">
        <v>0</v>
      </c>
      <c r="F2646" s="551">
        <v>0</v>
      </c>
      <c r="G2646" s="551">
        <v>0</v>
      </c>
      <c r="H2646" s="555">
        <v>0</v>
      </c>
      <c r="I2646" s="555">
        <v>0</v>
      </c>
      <c r="J2646" s="555">
        <v>0</v>
      </c>
      <c r="K2646" s="527">
        <f t="shared" si="1424"/>
        <v>0</v>
      </c>
      <c r="L2646" s="528">
        <f t="shared" si="1425"/>
        <v>0</v>
      </c>
      <c r="M2646" s="528">
        <f t="shared" si="1426"/>
        <v>0</v>
      </c>
      <c r="N2646" s="528">
        <f t="shared" si="1427"/>
        <v>0</v>
      </c>
      <c r="O2646" s="528">
        <f t="shared" si="1428"/>
        <v>0</v>
      </c>
      <c r="P2646" s="529">
        <f t="shared" si="1429"/>
        <v>0</v>
      </c>
      <c r="Q2646" s="24">
        <f t="shared" si="1430"/>
        <v>0</v>
      </c>
      <c r="R2646" s="530">
        <f t="shared" si="1431"/>
        <v>0</v>
      </c>
    </row>
    <row r="2647" spans="1:18">
      <c r="A2647" s="524"/>
      <c r="B2647" s="540" t="s">
        <v>100</v>
      </c>
      <c r="C2647" s="552">
        <v>0</v>
      </c>
      <c r="D2647" s="553">
        <v>0</v>
      </c>
      <c r="E2647" s="553">
        <v>0</v>
      </c>
      <c r="F2647" s="551">
        <v>0</v>
      </c>
      <c r="G2647" s="551">
        <v>0</v>
      </c>
      <c r="H2647" s="551">
        <v>0</v>
      </c>
      <c r="I2647" s="551">
        <v>0</v>
      </c>
      <c r="J2647" s="551">
        <v>0</v>
      </c>
      <c r="K2647" s="527">
        <f t="shared" si="1424"/>
        <v>0</v>
      </c>
      <c r="L2647" s="528">
        <f t="shared" si="1425"/>
        <v>0</v>
      </c>
      <c r="M2647" s="528">
        <f t="shared" si="1426"/>
        <v>0</v>
      </c>
      <c r="N2647" s="528">
        <f t="shared" si="1427"/>
        <v>0</v>
      </c>
      <c r="O2647" s="528">
        <f t="shared" si="1428"/>
        <v>0</v>
      </c>
      <c r="P2647" s="529">
        <f t="shared" si="1429"/>
        <v>0</v>
      </c>
      <c r="Q2647" s="24">
        <f t="shared" si="1430"/>
        <v>0</v>
      </c>
      <c r="R2647" s="530">
        <f t="shared" si="1431"/>
        <v>0</v>
      </c>
    </row>
    <row r="2648" spans="1:18">
      <c r="A2648" s="524"/>
      <c r="B2648" s="540" t="s">
        <v>101</v>
      </c>
      <c r="C2648" s="552">
        <v>0</v>
      </c>
      <c r="D2648" s="553">
        <v>0</v>
      </c>
      <c r="E2648" s="551">
        <v>0</v>
      </c>
      <c r="F2648" s="551">
        <v>0</v>
      </c>
      <c r="G2648" s="551">
        <v>0</v>
      </c>
      <c r="H2648" s="551">
        <v>0</v>
      </c>
      <c r="I2648" s="551">
        <v>0</v>
      </c>
      <c r="J2648" s="551">
        <v>0</v>
      </c>
      <c r="K2648" s="527">
        <f t="shared" si="1424"/>
        <v>0</v>
      </c>
      <c r="L2648" s="528">
        <f t="shared" si="1425"/>
        <v>0</v>
      </c>
      <c r="M2648" s="528">
        <f t="shared" si="1426"/>
        <v>0</v>
      </c>
      <c r="N2648" s="528">
        <f t="shared" si="1427"/>
        <v>0</v>
      </c>
      <c r="O2648" s="528">
        <f t="shared" si="1428"/>
        <v>0</v>
      </c>
      <c r="P2648" s="529">
        <f t="shared" si="1429"/>
        <v>0</v>
      </c>
      <c r="Q2648" s="24">
        <f t="shared" si="1430"/>
        <v>0</v>
      </c>
      <c r="R2648" s="530">
        <f t="shared" si="1431"/>
        <v>0</v>
      </c>
    </row>
    <row r="2649" spans="1:18">
      <c r="A2649" s="524"/>
      <c r="B2649" s="531" t="s">
        <v>96</v>
      </c>
      <c r="C2649" s="533">
        <f t="shared" ref="C2649:J2649" si="1437">SUM(C2645:C2648)</f>
        <v>495.93</v>
      </c>
      <c r="D2649" s="533">
        <f t="shared" si="1437"/>
        <v>6107</v>
      </c>
      <c r="E2649" s="533">
        <f t="shared" si="1437"/>
        <v>232</v>
      </c>
      <c r="F2649" s="533">
        <f t="shared" si="1437"/>
        <v>0</v>
      </c>
      <c r="G2649" s="533">
        <f t="shared" si="1437"/>
        <v>0</v>
      </c>
      <c r="H2649" s="533">
        <f t="shared" si="1437"/>
        <v>8</v>
      </c>
      <c r="I2649" s="533">
        <f t="shared" si="1437"/>
        <v>2</v>
      </c>
      <c r="J2649" s="533">
        <f t="shared" si="1437"/>
        <v>1</v>
      </c>
      <c r="K2649" s="534">
        <f t="shared" si="1424"/>
        <v>0.0379891927296545</v>
      </c>
      <c r="L2649" s="535">
        <f t="shared" si="1425"/>
        <v>2.13762931034483</v>
      </c>
      <c r="M2649" s="535">
        <f t="shared" si="1426"/>
        <v>81.2068118552481</v>
      </c>
      <c r="N2649" s="535">
        <f t="shared" si="1427"/>
        <v>0</v>
      </c>
      <c r="O2649" s="535">
        <f t="shared" si="1428"/>
        <v>0</v>
      </c>
      <c r="P2649" s="536">
        <f t="shared" si="1429"/>
        <v>49.593</v>
      </c>
      <c r="Q2649" s="531">
        <f t="shared" si="1430"/>
        <v>10</v>
      </c>
      <c r="R2649" s="537">
        <f t="shared" si="1431"/>
        <v>0.0431034482758621</v>
      </c>
    </row>
    <row r="2650" spans="1:18">
      <c r="A2650" s="524">
        <v>45980</v>
      </c>
      <c r="B2650" s="540" t="s">
        <v>98</v>
      </c>
      <c r="C2650" s="551">
        <v>397.04</v>
      </c>
      <c r="D2650" s="553">
        <v>3535</v>
      </c>
      <c r="E2650" s="551">
        <v>190</v>
      </c>
      <c r="F2650" s="551">
        <v>1</v>
      </c>
      <c r="G2650" s="551">
        <v>10816</v>
      </c>
      <c r="H2650" s="551">
        <v>11</v>
      </c>
      <c r="I2650" s="551">
        <v>2</v>
      </c>
      <c r="J2650" s="551">
        <v>1</v>
      </c>
      <c r="K2650" s="527">
        <f t="shared" ref="K2650:K2654" si="1438">IF(E2650=0,0,E2650/D2650)</f>
        <v>0.0537482319660538</v>
      </c>
      <c r="L2650" s="528">
        <f t="shared" ref="L2650:L2654" si="1439">IF(C2650=0,0,C2650/E2650)</f>
        <v>2.08968421052632</v>
      </c>
      <c r="M2650" s="528">
        <f t="shared" ref="M2650:M2654" si="1440">IF(D2650=0,0,C2650/D2650*1000)</f>
        <v>112.316831683168</v>
      </c>
      <c r="N2650" s="528">
        <f t="shared" ref="N2650:N2654" si="1441">IF(G2650=0,0,G2650/C2650)</f>
        <v>27.2415877493452</v>
      </c>
      <c r="O2650" s="528">
        <f t="shared" ref="O2650:O2654" si="1442">IF(F2650=0,0,F2650/E2650)</f>
        <v>0.00526315789473684</v>
      </c>
      <c r="P2650" s="529">
        <f t="shared" ref="P2650:P2654" si="1443">IF(H2650+I2650=0,0,C2650/(H2650+I2650))</f>
        <v>30.5415384615385</v>
      </c>
      <c r="Q2650" s="24">
        <f t="shared" ref="Q2650:Q2654" si="1444">H2650+I2650</f>
        <v>13</v>
      </c>
      <c r="R2650" s="530">
        <f t="shared" ref="R2650:R2654" si="1445">IF(Q2650=0,0,Q2650/E2650)</f>
        <v>0.068421052631579</v>
      </c>
    </row>
    <row r="2651" spans="1:18">
      <c r="A2651" s="524"/>
      <c r="B2651" s="540" t="s">
        <v>99</v>
      </c>
      <c r="C2651" s="551">
        <v>0</v>
      </c>
      <c r="D2651" s="556">
        <v>0</v>
      </c>
      <c r="E2651" s="551">
        <v>0</v>
      </c>
      <c r="F2651" s="551">
        <v>0</v>
      </c>
      <c r="G2651" s="551">
        <v>0</v>
      </c>
      <c r="H2651" s="555">
        <v>0</v>
      </c>
      <c r="I2651" s="555">
        <v>0</v>
      </c>
      <c r="J2651" s="555">
        <v>0</v>
      </c>
      <c r="K2651" s="527">
        <f t="shared" si="1438"/>
        <v>0</v>
      </c>
      <c r="L2651" s="528">
        <f t="shared" si="1439"/>
        <v>0</v>
      </c>
      <c r="M2651" s="528">
        <f t="shared" si="1440"/>
        <v>0</v>
      </c>
      <c r="N2651" s="528">
        <f t="shared" si="1441"/>
        <v>0</v>
      </c>
      <c r="O2651" s="528">
        <f t="shared" si="1442"/>
        <v>0</v>
      </c>
      <c r="P2651" s="529">
        <f t="shared" si="1443"/>
        <v>0</v>
      </c>
      <c r="Q2651" s="24">
        <f t="shared" si="1444"/>
        <v>0</v>
      </c>
      <c r="R2651" s="530">
        <f t="shared" si="1445"/>
        <v>0</v>
      </c>
    </row>
    <row r="2652" spans="1:18">
      <c r="A2652" s="524"/>
      <c r="B2652" s="540" t="s">
        <v>100</v>
      </c>
      <c r="C2652" s="552">
        <v>0</v>
      </c>
      <c r="D2652" s="553">
        <v>0</v>
      </c>
      <c r="E2652" s="553">
        <v>0</v>
      </c>
      <c r="F2652" s="551">
        <v>0</v>
      </c>
      <c r="G2652" s="551">
        <v>0</v>
      </c>
      <c r="H2652" s="551">
        <v>0</v>
      </c>
      <c r="I2652" s="551">
        <v>0</v>
      </c>
      <c r="J2652" s="551">
        <v>0</v>
      </c>
      <c r="K2652" s="527">
        <f t="shared" si="1438"/>
        <v>0</v>
      </c>
      <c r="L2652" s="528">
        <f t="shared" si="1439"/>
        <v>0</v>
      </c>
      <c r="M2652" s="528">
        <f t="shared" si="1440"/>
        <v>0</v>
      </c>
      <c r="N2652" s="528">
        <f t="shared" si="1441"/>
        <v>0</v>
      </c>
      <c r="O2652" s="528">
        <f t="shared" si="1442"/>
        <v>0</v>
      </c>
      <c r="P2652" s="529">
        <f t="shared" si="1443"/>
        <v>0</v>
      </c>
      <c r="Q2652" s="24">
        <f t="shared" si="1444"/>
        <v>0</v>
      </c>
      <c r="R2652" s="530">
        <f t="shared" si="1445"/>
        <v>0</v>
      </c>
    </row>
    <row r="2653" spans="1:18">
      <c r="A2653" s="524"/>
      <c r="B2653" s="540" t="s">
        <v>101</v>
      </c>
      <c r="C2653" s="552">
        <v>0</v>
      </c>
      <c r="D2653" s="553">
        <v>0</v>
      </c>
      <c r="E2653" s="551">
        <v>0</v>
      </c>
      <c r="F2653" s="551">
        <v>0</v>
      </c>
      <c r="G2653" s="551">
        <v>0</v>
      </c>
      <c r="H2653" s="551">
        <v>0</v>
      </c>
      <c r="I2653" s="551">
        <v>0</v>
      </c>
      <c r="J2653" s="551">
        <v>0</v>
      </c>
      <c r="K2653" s="527">
        <f t="shared" si="1438"/>
        <v>0</v>
      </c>
      <c r="L2653" s="528">
        <f t="shared" si="1439"/>
        <v>0</v>
      </c>
      <c r="M2653" s="528">
        <f t="shared" si="1440"/>
        <v>0</v>
      </c>
      <c r="N2653" s="528">
        <f t="shared" si="1441"/>
        <v>0</v>
      </c>
      <c r="O2653" s="528">
        <f t="shared" si="1442"/>
        <v>0</v>
      </c>
      <c r="P2653" s="529">
        <f t="shared" si="1443"/>
        <v>0</v>
      </c>
      <c r="Q2653" s="24">
        <f t="shared" si="1444"/>
        <v>0</v>
      </c>
      <c r="R2653" s="530">
        <f t="shared" si="1445"/>
        <v>0</v>
      </c>
    </row>
    <row r="2654" spans="1:18">
      <c r="A2654" s="524"/>
      <c r="B2654" s="531" t="s">
        <v>96</v>
      </c>
      <c r="C2654" s="533">
        <f t="shared" ref="C2654:J2654" si="1446">SUM(C2650:C2653)</f>
        <v>397.04</v>
      </c>
      <c r="D2654" s="533">
        <f t="shared" si="1446"/>
        <v>3535</v>
      </c>
      <c r="E2654" s="533">
        <f t="shared" si="1446"/>
        <v>190</v>
      </c>
      <c r="F2654" s="533">
        <f t="shared" si="1446"/>
        <v>1</v>
      </c>
      <c r="G2654" s="533">
        <f t="shared" si="1446"/>
        <v>10816</v>
      </c>
      <c r="H2654" s="533">
        <f t="shared" si="1446"/>
        <v>11</v>
      </c>
      <c r="I2654" s="533">
        <f t="shared" si="1446"/>
        <v>2</v>
      </c>
      <c r="J2654" s="533">
        <f t="shared" si="1446"/>
        <v>1</v>
      </c>
      <c r="K2654" s="534">
        <f t="shared" si="1438"/>
        <v>0.0537482319660538</v>
      </c>
      <c r="L2654" s="535">
        <f t="shared" si="1439"/>
        <v>2.08968421052632</v>
      </c>
      <c r="M2654" s="535">
        <f t="shared" si="1440"/>
        <v>112.316831683168</v>
      </c>
      <c r="N2654" s="535">
        <f t="shared" si="1441"/>
        <v>27.2415877493452</v>
      </c>
      <c r="O2654" s="535">
        <f t="shared" si="1442"/>
        <v>0.00526315789473684</v>
      </c>
      <c r="P2654" s="536">
        <f t="shared" si="1443"/>
        <v>30.5415384615385</v>
      </c>
      <c r="Q2654" s="531">
        <f t="shared" si="1444"/>
        <v>13</v>
      </c>
      <c r="R2654" s="537">
        <f t="shared" si="1445"/>
        <v>0.068421052631579</v>
      </c>
    </row>
    <row r="2655" spans="1:18">
      <c r="A2655" s="524">
        <v>45981</v>
      </c>
      <c r="B2655" s="540" t="s">
        <v>98</v>
      </c>
      <c r="C2655" s="551">
        <v>383.1</v>
      </c>
      <c r="D2655" s="553">
        <v>2074</v>
      </c>
      <c r="E2655" s="551">
        <v>156</v>
      </c>
      <c r="F2655" s="551">
        <v>0</v>
      </c>
      <c r="G2655" s="551">
        <v>0</v>
      </c>
      <c r="H2655" s="551">
        <v>5</v>
      </c>
      <c r="I2655" s="551">
        <v>2</v>
      </c>
      <c r="J2655" s="551">
        <v>0</v>
      </c>
      <c r="K2655" s="527">
        <f t="shared" ref="K2655:K2659" si="1447">IF(E2655=0,0,E2655/D2655)</f>
        <v>0.0752169720347155</v>
      </c>
      <c r="L2655" s="528">
        <f t="shared" ref="L2655:L2659" si="1448">IF(C2655=0,0,C2655/E2655)</f>
        <v>2.45576923076923</v>
      </c>
      <c r="M2655" s="528">
        <f t="shared" ref="M2655:M2659" si="1449">IF(D2655=0,0,C2655/D2655*1000)</f>
        <v>184.715525554484</v>
      </c>
      <c r="N2655" s="528">
        <f t="shared" ref="N2655:N2659" si="1450">IF(G2655=0,0,G2655/C2655)</f>
        <v>0</v>
      </c>
      <c r="O2655" s="528">
        <f t="shared" ref="O2655:O2659" si="1451">IF(F2655=0,0,F2655/E2655)</f>
        <v>0</v>
      </c>
      <c r="P2655" s="529">
        <f t="shared" ref="P2655:P2659" si="1452">IF(H2655+I2655=0,0,C2655/(H2655+I2655))</f>
        <v>54.7285714285714</v>
      </c>
      <c r="Q2655" s="24">
        <f t="shared" ref="Q2655:Q2659" si="1453">H2655+I2655</f>
        <v>7</v>
      </c>
      <c r="R2655" s="530">
        <f t="shared" ref="R2655:R2659" si="1454">IF(Q2655=0,0,Q2655/E2655)</f>
        <v>0.0448717948717949</v>
      </c>
    </row>
    <row r="2656" spans="1:18">
      <c r="A2656" s="524"/>
      <c r="B2656" s="540" t="s">
        <v>99</v>
      </c>
      <c r="C2656" s="551">
        <v>0</v>
      </c>
      <c r="D2656" s="556">
        <v>0</v>
      </c>
      <c r="E2656" s="551">
        <v>0</v>
      </c>
      <c r="F2656" s="551">
        <v>0</v>
      </c>
      <c r="G2656" s="551">
        <v>0</v>
      </c>
      <c r="H2656" s="555">
        <v>0</v>
      </c>
      <c r="I2656" s="555">
        <v>0</v>
      </c>
      <c r="J2656" s="555">
        <v>0</v>
      </c>
      <c r="K2656" s="527">
        <f t="shared" si="1447"/>
        <v>0</v>
      </c>
      <c r="L2656" s="528">
        <f t="shared" si="1448"/>
        <v>0</v>
      </c>
      <c r="M2656" s="528">
        <f t="shared" si="1449"/>
        <v>0</v>
      </c>
      <c r="N2656" s="528">
        <f t="shared" si="1450"/>
        <v>0</v>
      </c>
      <c r="O2656" s="528">
        <f t="shared" si="1451"/>
        <v>0</v>
      </c>
      <c r="P2656" s="529">
        <f t="shared" si="1452"/>
        <v>0</v>
      </c>
      <c r="Q2656" s="24">
        <f t="shared" si="1453"/>
        <v>0</v>
      </c>
      <c r="R2656" s="530">
        <f t="shared" si="1454"/>
        <v>0</v>
      </c>
    </row>
    <row r="2657" spans="1:18">
      <c r="A2657" s="524"/>
      <c r="B2657" s="540" t="s">
        <v>100</v>
      </c>
      <c r="C2657" s="552">
        <v>0</v>
      </c>
      <c r="D2657" s="553">
        <v>0</v>
      </c>
      <c r="E2657" s="553">
        <v>0</v>
      </c>
      <c r="F2657" s="551">
        <v>0</v>
      </c>
      <c r="G2657" s="551">
        <v>0</v>
      </c>
      <c r="H2657" s="551">
        <v>0</v>
      </c>
      <c r="I2657" s="551">
        <v>0</v>
      </c>
      <c r="J2657" s="551">
        <v>0</v>
      </c>
      <c r="K2657" s="527">
        <f t="shared" si="1447"/>
        <v>0</v>
      </c>
      <c r="L2657" s="528">
        <f t="shared" si="1448"/>
        <v>0</v>
      </c>
      <c r="M2657" s="528">
        <f t="shared" si="1449"/>
        <v>0</v>
      </c>
      <c r="N2657" s="528">
        <f t="shared" si="1450"/>
        <v>0</v>
      </c>
      <c r="O2657" s="528">
        <f t="shared" si="1451"/>
        <v>0</v>
      </c>
      <c r="P2657" s="529">
        <f t="shared" si="1452"/>
        <v>0</v>
      </c>
      <c r="Q2657" s="24">
        <f t="shared" si="1453"/>
        <v>0</v>
      </c>
      <c r="R2657" s="530">
        <f t="shared" si="1454"/>
        <v>0</v>
      </c>
    </row>
    <row r="2658" spans="1:18">
      <c r="A2658" s="524"/>
      <c r="B2658" s="540" t="s">
        <v>101</v>
      </c>
      <c r="C2658" s="552">
        <v>0</v>
      </c>
      <c r="D2658" s="553">
        <v>0</v>
      </c>
      <c r="E2658" s="551">
        <v>0</v>
      </c>
      <c r="F2658" s="551">
        <v>0</v>
      </c>
      <c r="G2658" s="551">
        <v>0</v>
      </c>
      <c r="H2658" s="551">
        <v>0</v>
      </c>
      <c r="I2658" s="551">
        <v>0</v>
      </c>
      <c r="J2658" s="551">
        <v>0</v>
      </c>
      <c r="K2658" s="527">
        <f t="shared" si="1447"/>
        <v>0</v>
      </c>
      <c r="L2658" s="528">
        <f t="shared" si="1448"/>
        <v>0</v>
      </c>
      <c r="M2658" s="528">
        <f t="shared" si="1449"/>
        <v>0</v>
      </c>
      <c r="N2658" s="528">
        <f t="shared" si="1450"/>
        <v>0</v>
      </c>
      <c r="O2658" s="528">
        <f t="shared" si="1451"/>
        <v>0</v>
      </c>
      <c r="P2658" s="529">
        <f t="shared" si="1452"/>
        <v>0</v>
      </c>
      <c r="Q2658" s="24">
        <f t="shared" si="1453"/>
        <v>0</v>
      </c>
      <c r="R2658" s="530">
        <f t="shared" si="1454"/>
        <v>0</v>
      </c>
    </row>
    <row r="2659" spans="1:18">
      <c r="A2659" s="524"/>
      <c r="B2659" s="531" t="s">
        <v>96</v>
      </c>
      <c r="C2659" s="533">
        <f t="shared" ref="C2659:J2659" si="1455">SUM(C2655:C2658)</f>
        <v>383.1</v>
      </c>
      <c r="D2659" s="533">
        <f t="shared" si="1455"/>
        <v>2074</v>
      </c>
      <c r="E2659" s="533">
        <f t="shared" si="1455"/>
        <v>156</v>
      </c>
      <c r="F2659" s="533">
        <f t="shared" si="1455"/>
        <v>0</v>
      </c>
      <c r="G2659" s="533">
        <f t="shared" si="1455"/>
        <v>0</v>
      </c>
      <c r="H2659" s="533">
        <f t="shared" si="1455"/>
        <v>5</v>
      </c>
      <c r="I2659" s="533">
        <f t="shared" si="1455"/>
        <v>2</v>
      </c>
      <c r="J2659" s="533">
        <f t="shared" si="1455"/>
        <v>0</v>
      </c>
      <c r="K2659" s="534">
        <f t="shared" si="1447"/>
        <v>0.0752169720347155</v>
      </c>
      <c r="L2659" s="535">
        <f t="shared" si="1448"/>
        <v>2.45576923076923</v>
      </c>
      <c r="M2659" s="535">
        <f t="shared" si="1449"/>
        <v>184.715525554484</v>
      </c>
      <c r="N2659" s="535">
        <f t="shared" si="1450"/>
        <v>0</v>
      </c>
      <c r="O2659" s="535">
        <f t="shared" si="1451"/>
        <v>0</v>
      </c>
      <c r="P2659" s="536">
        <f t="shared" si="1452"/>
        <v>54.7285714285714</v>
      </c>
      <c r="Q2659" s="531">
        <f t="shared" si="1453"/>
        <v>7</v>
      </c>
      <c r="R2659" s="537">
        <f t="shared" si="1454"/>
        <v>0.0448717948717949</v>
      </c>
    </row>
    <row r="2660" spans="1:18">
      <c r="A2660" s="524">
        <v>45982</v>
      </c>
      <c r="B2660" s="540" t="s">
        <v>98</v>
      </c>
      <c r="C2660" s="551">
        <v>497.48</v>
      </c>
      <c r="D2660" s="553">
        <v>1971</v>
      </c>
      <c r="E2660" s="551">
        <v>173</v>
      </c>
      <c r="F2660" s="551">
        <v>2</v>
      </c>
      <c r="G2660" s="551">
        <v>31092</v>
      </c>
      <c r="H2660" s="551">
        <v>8</v>
      </c>
      <c r="I2660" s="551">
        <v>0</v>
      </c>
      <c r="J2660" s="551">
        <v>1</v>
      </c>
      <c r="K2660" s="527">
        <f t="shared" ref="K2660:K2664" si="1456">IF(E2660=0,0,E2660/D2660)</f>
        <v>0.0877727042110604</v>
      </c>
      <c r="L2660" s="528">
        <f t="shared" ref="L2660:L2664" si="1457">IF(C2660=0,0,C2660/E2660)</f>
        <v>2.87560693641618</v>
      </c>
      <c r="M2660" s="528">
        <f t="shared" ref="M2660:M2664" si="1458">IF(D2660=0,0,C2660/D2660*1000)</f>
        <v>252.399797057331</v>
      </c>
      <c r="N2660" s="528">
        <f t="shared" ref="N2660:N2664" si="1459">IF(G2660=0,0,G2660/C2660)</f>
        <v>62.4989949344697</v>
      </c>
      <c r="O2660" s="528">
        <f t="shared" ref="O2660:O2664" si="1460">IF(F2660=0,0,F2660/E2660)</f>
        <v>0.0115606936416185</v>
      </c>
      <c r="P2660" s="529">
        <f t="shared" ref="P2660:P2664" si="1461">IF(H2660+I2660=0,0,C2660/(H2660+I2660))</f>
        <v>62.185</v>
      </c>
      <c r="Q2660" s="24">
        <f t="shared" ref="Q2660:Q2664" si="1462">H2660+I2660</f>
        <v>8</v>
      </c>
      <c r="R2660" s="530">
        <f t="shared" ref="R2660:R2664" si="1463">IF(Q2660=0,0,Q2660/E2660)</f>
        <v>0.046242774566474</v>
      </c>
    </row>
    <row r="2661" spans="1:18">
      <c r="A2661" s="524"/>
      <c r="B2661" s="540" t="s">
        <v>99</v>
      </c>
      <c r="C2661" s="551">
        <v>0</v>
      </c>
      <c r="D2661" s="556">
        <v>0</v>
      </c>
      <c r="E2661" s="551">
        <v>0</v>
      </c>
      <c r="F2661" s="551">
        <v>0</v>
      </c>
      <c r="G2661" s="551">
        <v>0</v>
      </c>
      <c r="H2661" s="555">
        <v>0</v>
      </c>
      <c r="I2661" s="555">
        <v>0</v>
      </c>
      <c r="J2661" s="555">
        <v>0</v>
      </c>
      <c r="K2661" s="527">
        <f t="shared" si="1456"/>
        <v>0</v>
      </c>
      <c r="L2661" s="528">
        <f t="shared" si="1457"/>
        <v>0</v>
      </c>
      <c r="M2661" s="528">
        <f t="shared" si="1458"/>
        <v>0</v>
      </c>
      <c r="N2661" s="528">
        <f t="shared" si="1459"/>
        <v>0</v>
      </c>
      <c r="O2661" s="528">
        <f t="shared" si="1460"/>
        <v>0</v>
      </c>
      <c r="P2661" s="529">
        <f t="shared" si="1461"/>
        <v>0</v>
      </c>
      <c r="Q2661" s="24">
        <f t="shared" si="1462"/>
        <v>0</v>
      </c>
      <c r="R2661" s="530">
        <f t="shared" si="1463"/>
        <v>0</v>
      </c>
    </row>
    <row r="2662" spans="1:18">
      <c r="A2662" s="524"/>
      <c r="B2662" s="540" t="s">
        <v>100</v>
      </c>
      <c r="C2662" s="552">
        <v>0</v>
      </c>
      <c r="D2662" s="553">
        <v>0</v>
      </c>
      <c r="E2662" s="553">
        <v>0</v>
      </c>
      <c r="F2662" s="551">
        <v>0</v>
      </c>
      <c r="G2662" s="551">
        <v>0</v>
      </c>
      <c r="H2662" s="551">
        <v>0</v>
      </c>
      <c r="I2662" s="551">
        <v>0</v>
      </c>
      <c r="J2662" s="551">
        <v>0</v>
      </c>
      <c r="K2662" s="527">
        <f t="shared" si="1456"/>
        <v>0</v>
      </c>
      <c r="L2662" s="528">
        <f t="shared" si="1457"/>
        <v>0</v>
      </c>
      <c r="M2662" s="528">
        <f t="shared" si="1458"/>
        <v>0</v>
      </c>
      <c r="N2662" s="528">
        <f t="shared" si="1459"/>
        <v>0</v>
      </c>
      <c r="O2662" s="528">
        <f t="shared" si="1460"/>
        <v>0</v>
      </c>
      <c r="P2662" s="529">
        <f t="shared" si="1461"/>
        <v>0</v>
      </c>
      <c r="Q2662" s="24">
        <f t="shared" si="1462"/>
        <v>0</v>
      </c>
      <c r="R2662" s="530">
        <f t="shared" si="1463"/>
        <v>0</v>
      </c>
    </row>
    <row r="2663" spans="1:18">
      <c r="A2663" s="524"/>
      <c r="B2663" s="540" t="s">
        <v>101</v>
      </c>
      <c r="C2663" s="552">
        <v>0</v>
      </c>
      <c r="D2663" s="553">
        <v>0</v>
      </c>
      <c r="E2663" s="551">
        <v>0</v>
      </c>
      <c r="F2663" s="551">
        <v>0</v>
      </c>
      <c r="G2663" s="551">
        <v>0</v>
      </c>
      <c r="H2663" s="551">
        <v>0</v>
      </c>
      <c r="I2663" s="551">
        <v>0</v>
      </c>
      <c r="J2663" s="551">
        <v>0</v>
      </c>
      <c r="K2663" s="527">
        <f t="shared" si="1456"/>
        <v>0</v>
      </c>
      <c r="L2663" s="528">
        <f t="shared" si="1457"/>
        <v>0</v>
      </c>
      <c r="M2663" s="528">
        <f t="shared" si="1458"/>
        <v>0</v>
      </c>
      <c r="N2663" s="528">
        <f t="shared" si="1459"/>
        <v>0</v>
      </c>
      <c r="O2663" s="528">
        <f t="shared" si="1460"/>
        <v>0</v>
      </c>
      <c r="P2663" s="529">
        <f t="shared" si="1461"/>
        <v>0</v>
      </c>
      <c r="Q2663" s="24">
        <f t="shared" si="1462"/>
        <v>0</v>
      </c>
      <c r="R2663" s="530">
        <f t="shared" si="1463"/>
        <v>0</v>
      </c>
    </row>
    <row r="2664" spans="1:18">
      <c r="A2664" s="524"/>
      <c r="B2664" s="531" t="s">
        <v>96</v>
      </c>
      <c r="C2664" s="533">
        <f t="shared" ref="C2664:J2664" si="1464">SUM(C2660:C2663)</f>
        <v>497.48</v>
      </c>
      <c r="D2664" s="533">
        <f t="shared" si="1464"/>
        <v>1971</v>
      </c>
      <c r="E2664" s="533">
        <f t="shared" si="1464"/>
        <v>173</v>
      </c>
      <c r="F2664" s="533">
        <f t="shared" si="1464"/>
        <v>2</v>
      </c>
      <c r="G2664" s="533">
        <f t="shared" si="1464"/>
        <v>31092</v>
      </c>
      <c r="H2664" s="533">
        <f t="shared" si="1464"/>
        <v>8</v>
      </c>
      <c r="I2664" s="533">
        <f t="shared" si="1464"/>
        <v>0</v>
      </c>
      <c r="J2664" s="533">
        <f t="shared" si="1464"/>
        <v>1</v>
      </c>
      <c r="K2664" s="534">
        <f t="shared" si="1456"/>
        <v>0.0877727042110604</v>
      </c>
      <c r="L2664" s="535">
        <f t="shared" si="1457"/>
        <v>2.87560693641618</v>
      </c>
      <c r="M2664" s="535">
        <f t="shared" si="1458"/>
        <v>252.399797057331</v>
      </c>
      <c r="N2664" s="535">
        <f t="shared" si="1459"/>
        <v>62.4989949344697</v>
      </c>
      <c r="O2664" s="535">
        <f t="shared" si="1460"/>
        <v>0.0115606936416185</v>
      </c>
      <c r="P2664" s="536">
        <f t="shared" si="1461"/>
        <v>62.185</v>
      </c>
      <c r="Q2664" s="531">
        <f t="shared" si="1462"/>
        <v>8</v>
      </c>
      <c r="R2664" s="537">
        <f t="shared" si="1463"/>
        <v>0.046242774566474</v>
      </c>
    </row>
    <row r="2665" spans="1:18">
      <c r="A2665" s="524">
        <v>45983</v>
      </c>
      <c r="B2665" s="540" t="s">
        <v>98</v>
      </c>
      <c r="C2665" s="551">
        <v>499.91</v>
      </c>
      <c r="D2665" s="553">
        <v>4416</v>
      </c>
      <c r="E2665" s="551">
        <v>223</v>
      </c>
      <c r="F2665" s="551">
        <v>0</v>
      </c>
      <c r="G2665" s="551">
        <v>0</v>
      </c>
      <c r="H2665" s="551">
        <v>8</v>
      </c>
      <c r="I2665" s="551">
        <v>1</v>
      </c>
      <c r="J2665" s="551">
        <v>4</v>
      </c>
      <c r="K2665" s="527">
        <f t="shared" ref="K2665:K2669" si="1465">IF(E2665=0,0,E2665/D2665)</f>
        <v>0.0504981884057971</v>
      </c>
      <c r="L2665" s="528">
        <f t="shared" ref="L2665:L2669" si="1466">IF(C2665=0,0,C2665/E2665)</f>
        <v>2.24174887892377</v>
      </c>
      <c r="M2665" s="528">
        <f t="shared" ref="M2665:M2669" si="1467">IF(D2665=0,0,C2665/D2665*1000)</f>
        <v>113.204257246377</v>
      </c>
      <c r="N2665" s="528">
        <f t="shared" ref="N2665:N2669" si="1468">IF(G2665=0,0,G2665/C2665)</f>
        <v>0</v>
      </c>
      <c r="O2665" s="528">
        <f t="shared" ref="O2665:O2669" si="1469">IF(F2665=0,0,F2665/E2665)</f>
        <v>0</v>
      </c>
      <c r="P2665" s="529">
        <f t="shared" ref="P2665:P2669" si="1470">IF(H2665+I2665=0,0,C2665/(H2665+I2665))</f>
        <v>55.5455555555556</v>
      </c>
      <c r="Q2665" s="24">
        <f t="shared" ref="Q2665:Q2669" si="1471">H2665+I2665</f>
        <v>9</v>
      </c>
      <c r="R2665" s="530">
        <f t="shared" ref="R2665:R2669" si="1472">IF(Q2665=0,0,Q2665/E2665)</f>
        <v>0.0403587443946188</v>
      </c>
    </row>
    <row r="2666" spans="1:18">
      <c r="A2666" s="524"/>
      <c r="B2666" s="540" t="s">
        <v>99</v>
      </c>
      <c r="C2666" s="551">
        <v>0</v>
      </c>
      <c r="D2666" s="556">
        <v>0</v>
      </c>
      <c r="E2666" s="551">
        <v>0</v>
      </c>
      <c r="F2666" s="551">
        <v>0</v>
      </c>
      <c r="G2666" s="551">
        <v>0</v>
      </c>
      <c r="H2666" s="555">
        <v>0</v>
      </c>
      <c r="I2666" s="555">
        <v>0</v>
      </c>
      <c r="J2666" s="555">
        <v>0</v>
      </c>
      <c r="K2666" s="527">
        <f t="shared" si="1465"/>
        <v>0</v>
      </c>
      <c r="L2666" s="528">
        <f t="shared" si="1466"/>
        <v>0</v>
      </c>
      <c r="M2666" s="528">
        <f t="shared" si="1467"/>
        <v>0</v>
      </c>
      <c r="N2666" s="528">
        <f t="shared" si="1468"/>
        <v>0</v>
      </c>
      <c r="O2666" s="528">
        <f t="shared" si="1469"/>
        <v>0</v>
      </c>
      <c r="P2666" s="529">
        <f t="shared" si="1470"/>
        <v>0</v>
      </c>
      <c r="Q2666" s="24">
        <f t="shared" si="1471"/>
        <v>0</v>
      </c>
      <c r="R2666" s="530">
        <f t="shared" si="1472"/>
        <v>0</v>
      </c>
    </row>
    <row r="2667" spans="1:18">
      <c r="A2667" s="524"/>
      <c r="B2667" s="540" t="s">
        <v>100</v>
      </c>
      <c r="C2667" s="552">
        <v>0</v>
      </c>
      <c r="D2667" s="553">
        <v>0</v>
      </c>
      <c r="E2667" s="553">
        <v>0</v>
      </c>
      <c r="F2667" s="551">
        <v>0</v>
      </c>
      <c r="G2667" s="551">
        <v>0</v>
      </c>
      <c r="H2667" s="551">
        <v>0</v>
      </c>
      <c r="I2667" s="551">
        <v>0</v>
      </c>
      <c r="J2667" s="551">
        <v>0</v>
      </c>
      <c r="K2667" s="527">
        <f t="shared" si="1465"/>
        <v>0</v>
      </c>
      <c r="L2667" s="528">
        <f t="shared" si="1466"/>
        <v>0</v>
      </c>
      <c r="M2667" s="528">
        <f t="shared" si="1467"/>
        <v>0</v>
      </c>
      <c r="N2667" s="528">
        <f t="shared" si="1468"/>
        <v>0</v>
      </c>
      <c r="O2667" s="528">
        <f t="shared" si="1469"/>
        <v>0</v>
      </c>
      <c r="P2667" s="529">
        <f t="shared" si="1470"/>
        <v>0</v>
      </c>
      <c r="Q2667" s="24">
        <f t="shared" si="1471"/>
        <v>0</v>
      </c>
      <c r="R2667" s="530">
        <f t="shared" si="1472"/>
        <v>0</v>
      </c>
    </row>
    <row r="2668" spans="1:18">
      <c r="A2668" s="524"/>
      <c r="B2668" s="540" t="s">
        <v>101</v>
      </c>
      <c r="C2668" s="552">
        <v>0</v>
      </c>
      <c r="D2668" s="553">
        <v>0</v>
      </c>
      <c r="E2668" s="551">
        <v>0</v>
      </c>
      <c r="F2668" s="551">
        <v>0</v>
      </c>
      <c r="G2668" s="551">
        <v>0</v>
      </c>
      <c r="H2668" s="551">
        <v>0</v>
      </c>
      <c r="I2668" s="551">
        <v>0</v>
      </c>
      <c r="J2668" s="551">
        <v>0</v>
      </c>
      <c r="K2668" s="527">
        <f t="shared" si="1465"/>
        <v>0</v>
      </c>
      <c r="L2668" s="528">
        <f t="shared" si="1466"/>
        <v>0</v>
      </c>
      <c r="M2668" s="528">
        <f t="shared" si="1467"/>
        <v>0</v>
      </c>
      <c r="N2668" s="528">
        <f t="shared" si="1468"/>
        <v>0</v>
      </c>
      <c r="O2668" s="528">
        <f t="shared" si="1469"/>
        <v>0</v>
      </c>
      <c r="P2668" s="529">
        <f t="shared" si="1470"/>
        <v>0</v>
      </c>
      <c r="Q2668" s="24">
        <f t="shared" si="1471"/>
        <v>0</v>
      </c>
      <c r="R2668" s="530">
        <f t="shared" si="1472"/>
        <v>0</v>
      </c>
    </row>
    <row r="2669" spans="1:18">
      <c r="A2669" s="524"/>
      <c r="B2669" s="531" t="s">
        <v>96</v>
      </c>
      <c r="C2669" s="533">
        <f t="shared" ref="C2669:J2669" si="1473">SUM(C2665:C2668)</f>
        <v>499.91</v>
      </c>
      <c r="D2669" s="533">
        <f t="shared" si="1473"/>
        <v>4416</v>
      </c>
      <c r="E2669" s="533">
        <f t="shared" si="1473"/>
        <v>223</v>
      </c>
      <c r="F2669" s="533">
        <f t="shared" si="1473"/>
        <v>0</v>
      </c>
      <c r="G2669" s="533">
        <f t="shared" si="1473"/>
        <v>0</v>
      </c>
      <c r="H2669" s="533">
        <f t="shared" si="1473"/>
        <v>8</v>
      </c>
      <c r="I2669" s="533">
        <f t="shared" si="1473"/>
        <v>1</v>
      </c>
      <c r="J2669" s="533">
        <f t="shared" si="1473"/>
        <v>4</v>
      </c>
      <c r="K2669" s="534">
        <f t="shared" si="1465"/>
        <v>0.0504981884057971</v>
      </c>
      <c r="L2669" s="535">
        <f t="shared" si="1466"/>
        <v>2.24174887892377</v>
      </c>
      <c r="M2669" s="535">
        <f t="shared" si="1467"/>
        <v>113.204257246377</v>
      </c>
      <c r="N2669" s="535">
        <f t="shared" si="1468"/>
        <v>0</v>
      </c>
      <c r="O2669" s="535">
        <f t="shared" si="1469"/>
        <v>0</v>
      </c>
      <c r="P2669" s="536">
        <f t="shared" si="1470"/>
        <v>55.5455555555556</v>
      </c>
      <c r="Q2669" s="531">
        <f t="shared" si="1471"/>
        <v>9</v>
      </c>
      <c r="R2669" s="537">
        <f t="shared" si="1472"/>
        <v>0.0403587443946188</v>
      </c>
    </row>
    <row r="2670" spans="1:18">
      <c r="A2670" s="524">
        <v>45984</v>
      </c>
      <c r="B2670" s="540" t="s">
        <v>98</v>
      </c>
      <c r="C2670" s="551">
        <v>500</v>
      </c>
      <c r="D2670" s="553">
        <v>2881</v>
      </c>
      <c r="E2670" s="551">
        <v>182</v>
      </c>
      <c r="F2670" s="551">
        <v>0</v>
      </c>
      <c r="G2670" s="551">
        <v>0</v>
      </c>
      <c r="H2670" s="551">
        <v>7</v>
      </c>
      <c r="I2670" s="551">
        <v>1</v>
      </c>
      <c r="J2670" s="551">
        <v>1</v>
      </c>
      <c r="K2670" s="527">
        <f t="shared" ref="K2670:K2674" si="1474">IF(E2670=0,0,E2670/D2670)</f>
        <v>0.0631725095452968</v>
      </c>
      <c r="L2670" s="528">
        <f t="shared" ref="L2670:L2674" si="1475">IF(C2670=0,0,C2670/E2670)</f>
        <v>2.74725274725275</v>
      </c>
      <c r="M2670" s="528">
        <f t="shared" ref="M2670:M2674" si="1476">IF(D2670=0,0,C2670/D2670*1000)</f>
        <v>173.550850399167</v>
      </c>
      <c r="N2670" s="528">
        <f t="shared" ref="N2670:N2674" si="1477">IF(G2670=0,0,G2670/C2670)</f>
        <v>0</v>
      </c>
      <c r="O2670" s="528">
        <f t="shared" ref="O2670:O2674" si="1478">IF(F2670=0,0,F2670/E2670)</f>
        <v>0</v>
      </c>
      <c r="P2670" s="529">
        <f t="shared" ref="P2670:P2674" si="1479">IF(H2670+I2670=0,0,C2670/(H2670+I2670))</f>
        <v>62.5</v>
      </c>
      <c r="Q2670" s="24">
        <f t="shared" ref="Q2670:Q2674" si="1480">H2670+I2670</f>
        <v>8</v>
      </c>
      <c r="R2670" s="530">
        <f t="shared" ref="R2670:R2674" si="1481">IF(Q2670=0,0,Q2670/E2670)</f>
        <v>0.043956043956044</v>
      </c>
    </row>
    <row r="2671" spans="1:18">
      <c r="A2671" s="524"/>
      <c r="B2671" s="540" t="s">
        <v>99</v>
      </c>
      <c r="C2671" s="551">
        <v>0</v>
      </c>
      <c r="D2671" s="556">
        <v>0</v>
      </c>
      <c r="E2671" s="551">
        <v>0</v>
      </c>
      <c r="F2671" s="551">
        <v>0</v>
      </c>
      <c r="G2671" s="551">
        <v>0</v>
      </c>
      <c r="H2671" s="555">
        <v>0</v>
      </c>
      <c r="I2671" s="555">
        <v>0</v>
      </c>
      <c r="J2671" s="555">
        <v>0</v>
      </c>
      <c r="K2671" s="527">
        <f t="shared" si="1474"/>
        <v>0</v>
      </c>
      <c r="L2671" s="528">
        <f t="shared" si="1475"/>
        <v>0</v>
      </c>
      <c r="M2671" s="528">
        <f t="shared" si="1476"/>
        <v>0</v>
      </c>
      <c r="N2671" s="528">
        <f t="shared" si="1477"/>
        <v>0</v>
      </c>
      <c r="O2671" s="528">
        <f t="shared" si="1478"/>
        <v>0</v>
      </c>
      <c r="P2671" s="529">
        <f t="shared" si="1479"/>
        <v>0</v>
      </c>
      <c r="Q2671" s="24">
        <f t="shared" si="1480"/>
        <v>0</v>
      </c>
      <c r="R2671" s="530">
        <f t="shared" si="1481"/>
        <v>0</v>
      </c>
    </row>
    <row r="2672" spans="1:18">
      <c r="A2672" s="524"/>
      <c r="B2672" s="540" t="s">
        <v>100</v>
      </c>
      <c r="C2672" s="552">
        <v>0</v>
      </c>
      <c r="D2672" s="553">
        <v>0</v>
      </c>
      <c r="E2672" s="553">
        <v>0</v>
      </c>
      <c r="F2672" s="551">
        <v>0</v>
      </c>
      <c r="G2672" s="551">
        <v>0</v>
      </c>
      <c r="H2672" s="551">
        <v>0</v>
      </c>
      <c r="I2672" s="551">
        <v>0</v>
      </c>
      <c r="J2672" s="551">
        <v>0</v>
      </c>
      <c r="K2672" s="527">
        <f t="shared" si="1474"/>
        <v>0</v>
      </c>
      <c r="L2672" s="528">
        <f t="shared" si="1475"/>
        <v>0</v>
      </c>
      <c r="M2672" s="528">
        <f t="shared" si="1476"/>
        <v>0</v>
      </c>
      <c r="N2672" s="528">
        <f t="shared" si="1477"/>
        <v>0</v>
      </c>
      <c r="O2672" s="528">
        <f t="shared" si="1478"/>
        <v>0</v>
      </c>
      <c r="P2672" s="529">
        <f t="shared" si="1479"/>
        <v>0</v>
      </c>
      <c r="Q2672" s="24">
        <f t="shared" si="1480"/>
        <v>0</v>
      </c>
      <c r="R2672" s="530">
        <f t="shared" si="1481"/>
        <v>0</v>
      </c>
    </row>
    <row r="2673" spans="1:18">
      <c r="A2673" s="524"/>
      <c r="B2673" s="540" t="s">
        <v>101</v>
      </c>
      <c r="C2673" s="552">
        <v>0</v>
      </c>
      <c r="D2673" s="553">
        <v>0</v>
      </c>
      <c r="E2673" s="551">
        <v>0</v>
      </c>
      <c r="F2673" s="551">
        <v>0</v>
      </c>
      <c r="G2673" s="551">
        <v>0</v>
      </c>
      <c r="H2673" s="551">
        <v>0</v>
      </c>
      <c r="I2673" s="551">
        <v>0</v>
      </c>
      <c r="J2673" s="551">
        <v>0</v>
      </c>
      <c r="K2673" s="527">
        <f t="shared" si="1474"/>
        <v>0</v>
      </c>
      <c r="L2673" s="528">
        <f t="shared" si="1475"/>
        <v>0</v>
      </c>
      <c r="M2673" s="528">
        <f t="shared" si="1476"/>
        <v>0</v>
      </c>
      <c r="N2673" s="528">
        <f t="shared" si="1477"/>
        <v>0</v>
      </c>
      <c r="O2673" s="528">
        <f t="shared" si="1478"/>
        <v>0</v>
      </c>
      <c r="P2673" s="529">
        <f t="shared" si="1479"/>
        <v>0</v>
      </c>
      <c r="Q2673" s="24">
        <f t="shared" si="1480"/>
        <v>0</v>
      </c>
      <c r="R2673" s="530">
        <f t="shared" si="1481"/>
        <v>0</v>
      </c>
    </row>
    <row r="2674" spans="1:18">
      <c r="A2674" s="524"/>
      <c r="B2674" s="531" t="s">
        <v>96</v>
      </c>
      <c r="C2674" s="533">
        <f t="shared" ref="C2674:J2674" si="1482">SUM(C2670:C2673)</f>
        <v>500</v>
      </c>
      <c r="D2674" s="533">
        <f t="shared" si="1482"/>
        <v>2881</v>
      </c>
      <c r="E2674" s="533">
        <f t="shared" si="1482"/>
        <v>182</v>
      </c>
      <c r="F2674" s="533">
        <f t="shared" si="1482"/>
        <v>0</v>
      </c>
      <c r="G2674" s="533">
        <f t="shared" si="1482"/>
        <v>0</v>
      </c>
      <c r="H2674" s="533">
        <f t="shared" si="1482"/>
        <v>7</v>
      </c>
      <c r="I2674" s="533">
        <f t="shared" si="1482"/>
        <v>1</v>
      </c>
      <c r="J2674" s="533">
        <f t="shared" si="1482"/>
        <v>1</v>
      </c>
      <c r="K2674" s="534">
        <f t="shared" si="1474"/>
        <v>0.0631725095452968</v>
      </c>
      <c r="L2674" s="535">
        <f t="shared" si="1475"/>
        <v>2.74725274725275</v>
      </c>
      <c r="M2674" s="535">
        <f t="shared" si="1476"/>
        <v>173.550850399167</v>
      </c>
      <c r="N2674" s="535">
        <f t="shared" si="1477"/>
        <v>0</v>
      </c>
      <c r="O2674" s="535">
        <f t="shared" si="1478"/>
        <v>0</v>
      </c>
      <c r="P2674" s="536">
        <f t="shared" si="1479"/>
        <v>62.5</v>
      </c>
      <c r="Q2674" s="531">
        <f t="shared" si="1480"/>
        <v>8</v>
      </c>
      <c r="R2674" s="537">
        <f t="shared" si="1481"/>
        <v>0.043956043956044</v>
      </c>
    </row>
    <row r="2675" spans="1:18">
      <c r="A2675" s="524">
        <v>45985</v>
      </c>
      <c r="B2675" s="540" t="s">
        <v>98</v>
      </c>
      <c r="C2675" s="551">
        <v>498.97</v>
      </c>
      <c r="D2675" s="553">
        <v>4562</v>
      </c>
      <c r="E2675" s="551">
        <v>208</v>
      </c>
      <c r="F2675" s="551">
        <v>0</v>
      </c>
      <c r="G2675" s="551">
        <v>0</v>
      </c>
      <c r="H2675" s="551">
        <v>14</v>
      </c>
      <c r="I2675" s="551">
        <v>4</v>
      </c>
      <c r="J2675" s="551">
        <v>1</v>
      </c>
      <c r="K2675" s="527">
        <f t="shared" ref="K2675:K2679" si="1483">IF(E2675=0,0,E2675/D2675)</f>
        <v>0.0455940377027619</v>
      </c>
      <c r="L2675" s="528">
        <f t="shared" ref="L2675:L2679" si="1484">IF(C2675=0,0,C2675/E2675)</f>
        <v>2.39889423076923</v>
      </c>
      <c r="M2675" s="528">
        <f t="shared" ref="M2675:M2679" si="1485">IF(D2675=0,0,C2675/D2675*1000)</f>
        <v>109.37527400263</v>
      </c>
      <c r="N2675" s="528">
        <f t="shared" ref="N2675:N2679" si="1486">IF(G2675=0,0,G2675/C2675)</f>
        <v>0</v>
      </c>
      <c r="O2675" s="528">
        <f t="shared" ref="O2675:O2679" si="1487">IF(F2675=0,0,F2675/E2675)</f>
        <v>0</v>
      </c>
      <c r="P2675" s="529">
        <f t="shared" ref="P2675:P2679" si="1488">IF(H2675+I2675=0,0,C2675/(H2675+I2675))</f>
        <v>27.7205555555556</v>
      </c>
      <c r="Q2675" s="24">
        <f t="shared" ref="Q2675:Q2679" si="1489">H2675+I2675</f>
        <v>18</v>
      </c>
      <c r="R2675" s="530">
        <f t="shared" ref="R2675:R2679" si="1490">IF(Q2675=0,0,Q2675/E2675)</f>
        <v>0.0865384615384615</v>
      </c>
    </row>
    <row r="2676" spans="1:18">
      <c r="A2676" s="524"/>
      <c r="B2676" s="540" t="s">
        <v>99</v>
      </c>
      <c r="C2676" s="551">
        <v>990.02</v>
      </c>
      <c r="D2676" s="556">
        <v>10102</v>
      </c>
      <c r="E2676" s="551">
        <v>698</v>
      </c>
      <c r="F2676" s="551">
        <v>0</v>
      </c>
      <c r="G2676" s="551">
        <v>0</v>
      </c>
      <c r="H2676" s="555">
        <v>10</v>
      </c>
      <c r="I2676" s="555">
        <v>1</v>
      </c>
      <c r="J2676" s="555">
        <v>1</v>
      </c>
      <c r="K2676" s="527">
        <f t="shared" si="1483"/>
        <v>0.0690952286675906</v>
      </c>
      <c r="L2676" s="528">
        <f t="shared" si="1484"/>
        <v>1.41836676217765</v>
      </c>
      <c r="M2676" s="528">
        <f t="shared" si="1485"/>
        <v>98.0023757671748</v>
      </c>
      <c r="N2676" s="528">
        <f t="shared" si="1486"/>
        <v>0</v>
      </c>
      <c r="O2676" s="528">
        <f t="shared" si="1487"/>
        <v>0</v>
      </c>
      <c r="P2676" s="529">
        <f t="shared" si="1488"/>
        <v>90.0018181818182</v>
      </c>
      <c r="Q2676" s="24">
        <f t="shared" si="1489"/>
        <v>11</v>
      </c>
      <c r="R2676" s="530">
        <f t="shared" si="1490"/>
        <v>0.0157593123209169</v>
      </c>
    </row>
    <row r="2677" spans="1:18">
      <c r="A2677" s="524"/>
      <c r="B2677" s="540" t="s">
        <v>100</v>
      </c>
      <c r="C2677" s="552">
        <v>0</v>
      </c>
      <c r="D2677" s="553">
        <v>0</v>
      </c>
      <c r="E2677" s="553">
        <v>0</v>
      </c>
      <c r="F2677" s="551">
        <v>0</v>
      </c>
      <c r="G2677" s="551">
        <v>0</v>
      </c>
      <c r="H2677" s="551">
        <v>0</v>
      </c>
      <c r="I2677" s="551">
        <v>0</v>
      </c>
      <c r="J2677" s="551">
        <v>0</v>
      </c>
      <c r="K2677" s="527">
        <f t="shared" si="1483"/>
        <v>0</v>
      </c>
      <c r="L2677" s="528">
        <f t="shared" si="1484"/>
        <v>0</v>
      </c>
      <c r="M2677" s="528">
        <f t="shared" si="1485"/>
        <v>0</v>
      </c>
      <c r="N2677" s="528">
        <f t="shared" si="1486"/>
        <v>0</v>
      </c>
      <c r="O2677" s="528">
        <f t="shared" si="1487"/>
        <v>0</v>
      </c>
      <c r="P2677" s="529">
        <f t="shared" si="1488"/>
        <v>0</v>
      </c>
      <c r="Q2677" s="24">
        <f t="shared" si="1489"/>
        <v>0</v>
      </c>
      <c r="R2677" s="530">
        <f t="shared" si="1490"/>
        <v>0</v>
      </c>
    </row>
    <row r="2678" spans="1:18">
      <c r="A2678" s="524"/>
      <c r="B2678" s="540" t="s">
        <v>101</v>
      </c>
      <c r="C2678" s="552">
        <v>0</v>
      </c>
      <c r="D2678" s="553">
        <v>0</v>
      </c>
      <c r="E2678" s="551">
        <v>0</v>
      </c>
      <c r="F2678" s="551">
        <v>0</v>
      </c>
      <c r="G2678" s="551">
        <v>0</v>
      </c>
      <c r="H2678" s="551">
        <v>0</v>
      </c>
      <c r="I2678" s="551">
        <v>0</v>
      </c>
      <c r="J2678" s="551">
        <v>0</v>
      </c>
      <c r="K2678" s="527">
        <f t="shared" si="1483"/>
        <v>0</v>
      </c>
      <c r="L2678" s="528">
        <f t="shared" si="1484"/>
        <v>0</v>
      </c>
      <c r="M2678" s="528">
        <f t="shared" si="1485"/>
        <v>0</v>
      </c>
      <c r="N2678" s="528">
        <f t="shared" si="1486"/>
        <v>0</v>
      </c>
      <c r="O2678" s="528">
        <f t="shared" si="1487"/>
        <v>0</v>
      </c>
      <c r="P2678" s="529">
        <f t="shared" si="1488"/>
        <v>0</v>
      </c>
      <c r="Q2678" s="24">
        <f t="shared" si="1489"/>
        <v>0</v>
      </c>
      <c r="R2678" s="530">
        <f t="shared" si="1490"/>
        <v>0</v>
      </c>
    </row>
    <row r="2679" spans="1:18">
      <c r="A2679" s="524"/>
      <c r="B2679" s="531" t="s">
        <v>96</v>
      </c>
      <c r="C2679" s="533">
        <f t="shared" ref="C2679:J2679" si="1491">SUM(C2675:C2678)</f>
        <v>1488.99</v>
      </c>
      <c r="D2679" s="533">
        <f t="shared" si="1491"/>
        <v>14664</v>
      </c>
      <c r="E2679" s="533">
        <f t="shared" si="1491"/>
        <v>906</v>
      </c>
      <c r="F2679" s="533">
        <f t="shared" si="1491"/>
        <v>0</v>
      </c>
      <c r="G2679" s="533">
        <f t="shared" si="1491"/>
        <v>0</v>
      </c>
      <c r="H2679" s="533">
        <f t="shared" si="1491"/>
        <v>24</v>
      </c>
      <c r="I2679" s="533">
        <f t="shared" si="1491"/>
        <v>5</v>
      </c>
      <c r="J2679" s="533">
        <f t="shared" si="1491"/>
        <v>2</v>
      </c>
      <c r="K2679" s="534">
        <f t="shared" si="1483"/>
        <v>0.0617839607201309</v>
      </c>
      <c r="L2679" s="535">
        <f t="shared" si="1484"/>
        <v>1.64347682119205</v>
      </c>
      <c r="M2679" s="535">
        <f t="shared" si="1485"/>
        <v>101.540507364975</v>
      </c>
      <c r="N2679" s="535">
        <f t="shared" si="1486"/>
        <v>0</v>
      </c>
      <c r="O2679" s="535">
        <f t="shared" si="1487"/>
        <v>0</v>
      </c>
      <c r="P2679" s="536">
        <f t="shared" si="1488"/>
        <v>51.3444827586207</v>
      </c>
      <c r="Q2679" s="531">
        <f t="shared" si="1489"/>
        <v>29</v>
      </c>
      <c r="R2679" s="537">
        <f t="shared" si="1490"/>
        <v>0.0320088300220751</v>
      </c>
    </row>
    <row r="2680" spans="1:18">
      <c r="A2680" s="524">
        <v>45986</v>
      </c>
      <c r="B2680" s="540" t="s">
        <v>98</v>
      </c>
      <c r="C2680" s="551">
        <v>500</v>
      </c>
      <c r="D2680" s="553">
        <v>3839</v>
      </c>
      <c r="E2680" s="551">
        <v>198</v>
      </c>
      <c r="F2680" s="551">
        <v>0</v>
      </c>
      <c r="G2680" s="551">
        <v>0</v>
      </c>
      <c r="H2680" s="551">
        <v>9</v>
      </c>
      <c r="I2680" s="551">
        <v>3</v>
      </c>
      <c r="J2680" s="551">
        <v>0</v>
      </c>
      <c r="K2680" s="527">
        <f t="shared" ref="K2680:K2684" si="1492">IF(E2680=0,0,E2680/D2680)</f>
        <v>0.0515759312320917</v>
      </c>
      <c r="L2680" s="528">
        <f t="shared" ref="L2680:L2684" si="1493">IF(C2680=0,0,C2680/E2680)</f>
        <v>2.52525252525252</v>
      </c>
      <c r="M2680" s="528">
        <f t="shared" ref="M2680:M2684" si="1494">IF(D2680=0,0,C2680/D2680*1000)</f>
        <v>130.24225058609</v>
      </c>
      <c r="N2680" s="528">
        <f t="shared" ref="N2680:N2684" si="1495">IF(G2680=0,0,G2680/C2680)</f>
        <v>0</v>
      </c>
      <c r="O2680" s="528">
        <f t="shared" ref="O2680:O2684" si="1496">IF(F2680=0,0,F2680/E2680)</f>
        <v>0</v>
      </c>
      <c r="P2680" s="529">
        <f t="shared" ref="P2680:P2684" si="1497">IF(H2680+I2680=0,0,C2680/(H2680+I2680))</f>
        <v>41.6666666666667</v>
      </c>
      <c r="Q2680" s="24">
        <f t="shared" ref="Q2680:Q2684" si="1498">H2680+I2680</f>
        <v>12</v>
      </c>
      <c r="R2680" s="530">
        <f t="shared" ref="R2680:R2684" si="1499">IF(Q2680=0,0,Q2680/E2680)</f>
        <v>0.0606060606060606</v>
      </c>
    </row>
    <row r="2681" spans="1:18">
      <c r="A2681" s="524"/>
      <c r="B2681" s="540" t="s">
        <v>99</v>
      </c>
      <c r="C2681" s="551">
        <v>0</v>
      </c>
      <c r="D2681" s="556">
        <v>0</v>
      </c>
      <c r="E2681" s="551">
        <v>0</v>
      </c>
      <c r="F2681" s="551">
        <v>0</v>
      </c>
      <c r="G2681" s="551">
        <v>0</v>
      </c>
      <c r="H2681" s="555">
        <v>0</v>
      </c>
      <c r="I2681" s="555">
        <v>0</v>
      </c>
      <c r="J2681" s="555">
        <v>0</v>
      </c>
      <c r="K2681" s="527">
        <f t="shared" si="1492"/>
        <v>0</v>
      </c>
      <c r="L2681" s="528">
        <f t="shared" si="1493"/>
        <v>0</v>
      </c>
      <c r="M2681" s="528">
        <f t="shared" si="1494"/>
        <v>0</v>
      </c>
      <c r="N2681" s="528">
        <f t="shared" si="1495"/>
        <v>0</v>
      </c>
      <c r="O2681" s="528">
        <f t="shared" si="1496"/>
        <v>0</v>
      </c>
      <c r="P2681" s="529">
        <f t="shared" si="1497"/>
        <v>0</v>
      </c>
      <c r="Q2681" s="24">
        <f t="shared" si="1498"/>
        <v>0</v>
      </c>
      <c r="R2681" s="530">
        <f t="shared" si="1499"/>
        <v>0</v>
      </c>
    </row>
    <row r="2682" spans="1:18">
      <c r="A2682" s="524"/>
      <c r="B2682" s="540" t="s">
        <v>100</v>
      </c>
      <c r="C2682" s="552">
        <v>0</v>
      </c>
      <c r="D2682" s="553">
        <v>0</v>
      </c>
      <c r="E2682" s="553">
        <v>0</v>
      </c>
      <c r="F2682" s="551">
        <v>0</v>
      </c>
      <c r="G2682" s="551">
        <v>0</v>
      </c>
      <c r="H2682" s="551">
        <v>0</v>
      </c>
      <c r="I2682" s="551">
        <v>0</v>
      </c>
      <c r="J2682" s="551">
        <v>0</v>
      </c>
      <c r="K2682" s="527">
        <f t="shared" si="1492"/>
        <v>0</v>
      </c>
      <c r="L2682" s="528">
        <f t="shared" si="1493"/>
        <v>0</v>
      </c>
      <c r="M2682" s="528">
        <f t="shared" si="1494"/>
        <v>0</v>
      </c>
      <c r="N2682" s="528">
        <f t="shared" si="1495"/>
        <v>0</v>
      </c>
      <c r="O2682" s="528">
        <f t="shared" si="1496"/>
        <v>0</v>
      </c>
      <c r="P2682" s="529">
        <f t="shared" si="1497"/>
        <v>0</v>
      </c>
      <c r="Q2682" s="24">
        <f t="shared" si="1498"/>
        <v>0</v>
      </c>
      <c r="R2682" s="530">
        <f t="shared" si="1499"/>
        <v>0</v>
      </c>
    </row>
    <row r="2683" spans="1:18">
      <c r="A2683" s="524"/>
      <c r="B2683" s="540" t="s">
        <v>101</v>
      </c>
      <c r="C2683" s="552">
        <v>0</v>
      </c>
      <c r="D2683" s="553">
        <v>0</v>
      </c>
      <c r="E2683" s="551">
        <v>0</v>
      </c>
      <c r="F2683" s="551">
        <v>0</v>
      </c>
      <c r="G2683" s="551">
        <v>0</v>
      </c>
      <c r="H2683" s="551">
        <v>0</v>
      </c>
      <c r="I2683" s="551">
        <v>0</v>
      </c>
      <c r="J2683" s="551">
        <v>0</v>
      </c>
      <c r="K2683" s="527">
        <f t="shared" si="1492"/>
        <v>0</v>
      </c>
      <c r="L2683" s="528">
        <f t="shared" si="1493"/>
        <v>0</v>
      </c>
      <c r="M2683" s="528">
        <f t="shared" si="1494"/>
        <v>0</v>
      </c>
      <c r="N2683" s="528">
        <f t="shared" si="1495"/>
        <v>0</v>
      </c>
      <c r="O2683" s="528">
        <f t="shared" si="1496"/>
        <v>0</v>
      </c>
      <c r="P2683" s="529">
        <f t="shared" si="1497"/>
        <v>0</v>
      </c>
      <c r="Q2683" s="24">
        <f t="shared" si="1498"/>
        <v>0</v>
      </c>
      <c r="R2683" s="530">
        <f t="shared" si="1499"/>
        <v>0</v>
      </c>
    </row>
    <row r="2684" spans="1:18">
      <c r="A2684" s="524"/>
      <c r="B2684" s="531" t="s">
        <v>96</v>
      </c>
      <c r="C2684" s="533">
        <f t="shared" ref="C2684:J2684" si="1500">SUM(C2680:C2683)</f>
        <v>500</v>
      </c>
      <c r="D2684" s="533">
        <f t="shared" si="1500"/>
        <v>3839</v>
      </c>
      <c r="E2684" s="533">
        <f t="shared" si="1500"/>
        <v>198</v>
      </c>
      <c r="F2684" s="533">
        <f t="shared" si="1500"/>
        <v>0</v>
      </c>
      <c r="G2684" s="533">
        <f t="shared" si="1500"/>
        <v>0</v>
      </c>
      <c r="H2684" s="533">
        <f t="shared" si="1500"/>
        <v>9</v>
      </c>
      <c r="I2684" s="533">
        <f t="shared" si="1500"/>
        <v>3</v>
      </c>
      <c r="J2684" s="533">
        <f t="shared" si="1500"/>
        <v>0</v>
      </c>
      <c r="K2684" s="534">
        <f t="shared" si="1492"/>
        <v>0.0515759312320917</v>
      </c>
      <c r="L2684" s="535">
        <f t="shared" si="1493"/>
        <v>2.52525252525252</v>
      </c>
      <c r="M2684" s="535">
        <f t="shared" si="1494"/>
        <v>130.24225058609</v>
      </c>
      <c r="N2684" s="535">
        <f t="shared" si="1495"/>
        <v>0</v>
      </c>
      <c r="O2684" s="535">
        <f t="shared" si="1496"/>
        <v>0</v>
      </c>
      <c r="P2684" s="536">
        <f t="shared" si="1497"/>
        <v>41.6666666666667</v>
      </c>
      <c r="Q2684" s="531">
        <f t="shared" si="1498"/>
        <v>12</v>
      </c>
      <c r="R2684" s="537">
        <f t="shared" si="1499"/>
        <v>0.0606060606060606</v>
      </c>
    </row>
    <row r="2685" spans="1:18">
      <c r="A2685" s="524">
        <v>45987</v>
      </c>
      <c r="B2685" s="540" t="s">
        <v>98</v>
      </c>
      <c r="C2685" s="551">
        <v>498.02</v>
      </c>
      <c r="D2685" s="553">
        <v>2153</v>
      </c>
      <c r="E2685" s="551">
        <v>165</v>
      </c>
      <c r="F2685" s="551">
        <v>0</v>
      </c>
      <c r="G2685" s="551">
        <v>0</v>
      </c>
      <c r="H2685" s="551">
        <v>14</v>
      </c>
      <c r="I2685" s="551">
        <v>2</v>
      </c>
      <c r="J2685" s="551">
        <v>2</v>
      </c>
      <c r="K2685" s="527">
        <f t="shared" ref="K2685:K2689" si="1501">IF(E2685=0,0,E2685/D2685)</f>
        <v>0.0766372503483511</v>
      </c>
      <c r="L2685" s="528">
        <f t="shared" ref="L2685:L2689" si="1502">IF(C2685=0,0,C2685/E2685)</f>
        <v>3.01830303030303</v>
      </c>
      <c r="M2685" s="528">
        <f t="shared" ref="M2685:M2689" si="1503">IF(D2685=0,0,C2685/D2685*1000)</f>
        <v>231.31444496052</v>
      </c>
      <c r="N2685" s="528">
        <f t="shared" ref="N2685:N2689" si="1504">IF(G2685=0,0,G2685/C2685)</f>
        <v>0</v>
      </c>
      <c r="O2685" s="528">
        <f t="shared" ref="O2685:O2689" si="1505">IF(F2685=0,0,F2685/E2685)</f>
        <v>0</v>
      </c>
      <c r="P2685" s="529">
        <f t="shared" ref="P2685:P2689" si="1506">IF(H2685+I2685=0,0,C2685/(H2685+I2685))</f>
        <v>31.12625</v>
      </c>
      <c r="Q2685" s="24">
        <f t="shared" ref="Q2685:Q2689" si="1507">H2685+I2685</f>
        <v>16</v>
      </c>
      <c r="R2685" s="530">
        <f t="shared" ref="R2685:R2689" si="1508">IF(Q2685=0,0,Q2685/E2685)</f>
        <v>0.096969696969697</v>
      </c>
    </row>
    <row r="2686" spans="1:18">
      <c r="A2686" s="524"/>
      <c r="B2686" s="540" t="s">
        <v>99</v>
      </c>
      <c r="C2686" s="551">
        <v>278.69</v>
      </c>
      <c r="D2686" s="556">
        <v>1795</v>
      </c>
      <c r="E2686" s="551">
        <v>116</v>
      </c>
      <c r="F2686" s="551">
        <v>1</v>
      </c>
      <c r="G2686" s="551">
        <v>14663</v>
      </c>
      <c r="H2686" s="555">
        <v>3</v>
      </c>
      <c r="I2686" s="555">
        <v>0</v>
      </c>
      <c r="J2686" s="555">
        <v>1</v>
      </c>
      <c r="K2686" s="527">
        <f t="shared" si="1501"/>
        <v>0.0646239554317549</v>
      </c>
      <c r="L2686" s="528">
        <f t="shared" si="1502"/>
        <v>2.4025</v>
      </c>
      <c r="M2686" s="528">
        <f t="shared" si="1503"/>
        <v>155.259052924791</v>
      </c>
      <c r="N2686" s="528">
        <f t="shared" si="1504"/>
        <v>52.6140155728587</v>
      </c>
      <c r="O2686" s="528">
        <f t="shared" si="1505"/>
        <v>0.00862068965517241</v>
      </c>
      <c r="P2686" s="529">
        <f t="shared" si="1506"/>
        <v>92.8966666666667</v>
      </c>
      <c r="Q2686" s="24">
        <f t="shared" si="1507"/>
        <v>3</v>
      </c>
      <c r="R2686" s="530">
        <f t="shared" si="1508"/>
        <v>0.0258620689655172</v>
      </c>
    </row>
    <row r="2687" spans="1:18">
      <c r="A2687" s="524"/>
      <c r="B2687" s="540" t="s">
        <v>100</v>
      </c>
      <c r="C2687" s="552">
        <v>0</v>
      </c>
      <c r="D2687" s="553">
        <v>0</v>
      </c>
      <c r="E2687" s="553">
        <v>0</v>
      </c>
      <c r="F2687" s="551">
        <v>0</v>
      </c>
      <c r="G2687" s="551">
        <v>0</v>
      </c>
      <c r="H2687" s="551">
        <v>0</v>
      </c>
      <c r="I2687" s="551">
        <v>0</v>
      </c>
      <c r="J2687" s="551">
        <v>0</v>
      </c>
      <c r="K2687" s="527">
        <f t="shared" si="1501"/>
        <v>0</v>
      </c>
      <c r="L2687" s="528">
        <f t="shared" si="1502"/>
        <v>0</v>
      </c>
      <c r="M2687" s="528">
        <f t="shared" si="1503"/>
        <v>0</v>
      </c>
      <c r="N2687" s="528">
        <f t="shared" si="1504"/>
        <v>0</v>
      </c>
      <c r="O2687" s="528">
        <f t="shared" si="1505"/>
        <v>0</v>
      </c>
      <c r="P2687" s="529">
        <f t="shared" si="1506"/>
        <v>0</v>
      </c>
      <c r="Q2687" s="24">
        <f t="shared" si="1507"/>
        <v>0</v>
      </c>
      <c r="R2687" s="530">
        <f t="shared" si="1508"/>
        <v>0</v>
      </c>
    </row>
    <row r="2688" spans="1:18">
      <c r="A2688" s="524"/>
      <c r="B2688" s="540" t="s">
        <v>101</v>
      </c>
      <c r="C2688" s="552">
        <v>0</v>
      </c>
      <c r="D2688" s="553">
        <v>0</v>
      </c>
      <c r="E2688" s="551">
        <v>0</v>
      </c>
      <c r="F2688" s="551">
        <v>0</v>
      </c>
      <c r="G2688" s="551">
        <v>0</v>
      </c>
      <c r="H2688" s="551">
        <v>0</v>
      </c>
      <c r="I2688" s="551">
        <v>0</v>
      </c>
      <c r="J2688" s="551">
        <v>0</v>
      </c>
      <c r="K2688" s="527">
        <f t="shared" si="1501"/>
        <v>0</v>
      </c>
      <c r="L2688" s="528">
        <f t="shared" si="1502"/>
        <v>0</v>
      </c>
      <c r="M2688" s="528">
        <f t="shared" si="1503"/>
        <v>0</v>
      </c>
      <c r="N2688" s="528">
        <f t="shared" si="1504"/>
        <v>0</v>
      </c>
      <c r="O2688" s="528">
        <f t="shared" si="1505"/>
        <v>0</v>
      </c>
      <c r="P2688" s="529">
        <f t="shared" si="1506"/>
        <v>0</v>
      </c>
      <c r="Q2688" s="24">
        <f t="shared" si="1507"/>
        <v>0</v>
      </c>
      <c r="R2688" s="530">
        <f t="shared" si="1508"/>
        <v>0</v>
      </c>
    </row>
    <row r="2689" spans="1:18">
      <c r="A2689" s="524"/>
      <c r="B2689" s="531" t="s">
        <v>96</v>
      </c>
      <c r="C2689" s="533">
        <f t="shared" ref="C2689:J2689" si="1509">SUM(C2685:C2688)</f>
        <v>776.71</v>
      </c>
      <c r="D2689" s="533">
        <f t="shared" si="1509"/>
        <v>3948</v>
      </c>
      <c r="E2689" s="533">
        <f t="shared" si="1509"/>
        <v>281</v>
      </c>
      <c r="F2689" s="533">
        <f t="shared" si="1509"/>
        <v>1</v>
      </c>
      <c r="G2689" s="533">
        <f t="shared" si="1509"/>
        <v>14663</v>
      </c>
      <c r="H2689" s="533">
        <f t="shared" si="1509"/>
        <v>17</v>
      </c>
      <c r="I2689" s="533">
        <f t="shared" si="1509"/>
        <v>2</v>
      </c>
      <c r="J2689" s="533">
        <f t="shared" si="1509"/>
        <v>3</v>
      </c>
      <c r="K2689" s="534">
        <f t="shared" si="1501"/>
        <v>0.0711752786220871</v>
      </c>
      <c r="L2689" s="535">
        <f t="shared" si="1502"/>
        <v>2.76409252669039</v>
      </c>
      <c r="M2689" s="535">
        <f t="shared" si="1503"/>
        <v>196.735055724417</v>
      </c>
      <c r="N2689" s="535">
        <f t="shared" si="1504"/>
        <v>18.878345843365</v>
      </c>
      <c r="O2689" s="535">
        <f t="shared" si="1505"/>
        <v>0.00355871886120996</v>
      </c>
      <c r="P2689" s="536">
        <f t="shared" si="1506"/>
        <v>40.8794736842105</v>
      </c>
      <c r="Q2689" s="531">
        <f t="shared" si="1507"/>
        <v>19</v>
      </c>
      <c r="R2689" s="537">
        <f t="shared" si="1508"/>
        <v>0.0676156583629893</v>
      </c>
    </row>
    <row r="2690" spans="1:18">
      <c r="A2690" s="524">
        <v>45988</v>
      </c>
      <c r="B2690" s="540" t="s">
        <v>98</v>
      </c>
      <c r="C2690" s="551">
        <v>500</v>
      </c>
      <c r="D2690" s="553">
        <v>2852</v>
      </c>
      <c r="E2690" s="551">
        <v>179</v>
      </c>
      <c r="F2690" s="551">
        <v>0</v>
      </c>
      <c r="G2690" s="551">
        <v>0</v>
      </c>
      <c r="H2690" s="551">
        <v>9</v>
      </c>
      <c r="I2690" s="551">
        <v>3</v>
      </c>
      <c r="J2690" s="551">
        <v>1</v>
      </c>
      <c r="K2690" s="527">
        <f t="shared" ref="K2690:K2694" si="1510">IF(E2690=0,0,E2690/D2690)</f>
        <v>0.0627629733520337</v>
      </c>
      <c r="L2690" s="528">
        <f t="shared" ref="L2690:L2694" si="1511">IF(C2690=0,0,C2690/E2690)</f>
        <v>2.79329608938547</v>
      </c>
      <c r="M2690" s="528">
        <f t="shared" ref="M2690:M2694" si="1512">IF(D2690=0,0,C2690/D2690*1000)</f>
        <v>175.31556802244</v>
      </c>
      <c r="N2690" s="528">
        <f t="shared" ref="N2690:N2694" si="1513">IF(G2690=0,0,G2690/C2690)</f>
        <v>0</v>
      </c>
      <c r="O2690" s="528">
        <f t="shared" ref="O2690:O2694" si="1514">IF(F2690=0,0,F2690/E2690)</f>
        <v>0</v>
      </c>
      <c r="P2690" s="529">
        <f t="shared" ref="P2690:P2694" si="1515">IF(H2690+I2690=0,0,C2690/(H2690+I2690))</f>
        <v>41.6666666666667</v>
      </c>
      <c r="Q2690" s="24">
        <f t="shared" ref="Q2690:Q2694" si="1516">H2690+I2690</f>
        <v>12</v>
      </c>
      <c r="R2690" s="530">
        <f t="shared" ref="R2690:R2694" si="1517">IF(Q2690=0,0,Q2690/E2690)</f>
        <v>0.0670391061452514</v>
      </c>
    </row>
    <row r="2691" spans="1:18">
      <c r="A2691" s="524"/>
      <c r="B2691" s="540" t="s">
        <v>99</v>
      </c>
      <c r="C2691" s="551">
        <v>760.65</v>
      </c>
      <c r="D2691" s="556">
        <v>2884</v>
      </c>
      <c r="E2691" s="551">
        <v>230</v>
      </c>
      <c r="F2691" s="551">
        <v>0</v>
      </c>
      <c r="G2691" s="551">
        <v>0</v>
      </c>
      <c r="H2691" s="555">
        <v>5</v>
      </c>
      <c r="I2691" s="555">
        <v>1</v>
      </c>
      <c r="J2691" s="555">
        <v>0</v>
      </c>
      <c r="K2691" s="527">
        <f t="shared" si="1510"/>
        <v>0.079750346740638</v>
      </c>
      <c r="L2691" s="528">
        <f t="shared" si="1511"/>
        <v>3.30717391304348</v>
      </c>
      <c r="M2691" s="528">
        <f t="shared" si="1512"/>
        <v>263.74826629681</v>
      </c>
      <c r="N2691" s="528">
        <f t="shared" si="1513"/>
        <v>0</v>
      </c>
      <c r="O2691" s="528">
        <f t="shared" si="1514"/>
        <v>0</v>
      </c>
      <c r="P2691" s="529">
        <f t="shared" si="1515"/>
        <v>126.775</v>
      </c>
      <c r="Q2691" s="24">
        <f t="shared" si="1516"/>
        <v>6</v>
      </c>
      <c r="R2691" s="530">
        <f t="shared" si="1517"/>
        <v>0.0260869565217391</v>
      </c>
    </row>
    <row r="2692" spans="1:18">
      <c r="A2692" s="524"/>
      <c r="B2692" s="540" t="s">
        <v>100</v>
      </c>
      <c r="C2692" s="552">
        <v>0</v>
      </c>
      <c r="D2692" s="553">
        <v>0</v>
      </c>
      <c r="E2692" s="553">
        <v>0</v>
      </c>
      <c r="F2692" s="551">
        <v>0</v>
      </c>
      <c r="G2692" s="551">
        <v>0</v>
      </c>
      <c r="H2692" s="551">
        <v>0</v>
      </c>
      <c r="I2692" s="551">
        <v>0</v>
      </c>
      <c r="J2692" s="551">
        <v>0</v>
      </c>
      <c r="K2692" s="527">
        <f t="shared" si="1510"/>
        <v>0</v>
      </c>
      <c r="L2692" s="528">
        <f t="shared" si="1511"/>
        <v>0</v>
      </c>
      <c r="M2692" s="528">
        <f t="shared" si="1512"/>
        <v>0</v>
      </c>
      <c r="N2692" s="528">
        <f t="shared" si="1513"/>
        <v>0</v>
      </c>
      <c r="O2692" s="528">
        <f t="shared" si="1514"/>
        <v>0</v>
      </c>
      <c r="P2692" s="529">
        <f t="shared" si="1515"/>
        <v>0</v>
      </c>
      <c r="Q2692" s="24">
        <f t="shared" si="1516"/>
        <v>0</v>
      </c>
      <c r="R2692" s="530">
        <f t="shared" si="1517"/>
        <v>0</v>
      </c>
    </row>
    <row r="2693" spans="1:18">
      <c r="A2693" s="524"/>
      <c r="B2693" s="540" t="s">
        <v>101</v>
      </c>
      <c r="C2693" s="552">
        <v>0</v>
      </c>
      <c r="D2693" s="553">
        <v>0</v>
      </c>
      <c r="E2693" s="551">
        <v>0</v>
      </c>
      <c r="F2693" s="551">
        <v>0</v>
      </c>
      <c r="G2693" s="551">
        <v>0</v>
      </c>
      <c r="H2693" s="551">
        <v>0</v>
      </c>
      <c r="I2693" s="551">
        <v>0</v>
      </c>
      <c r="J2693" s="551">
        <v>0</v>
      </c>
      <c r="K2693" s="527">
        <f t="shared" si="1510"/>
        <v>0</v>
      </c>
      <c r="L2693" s="528">
        <f t="shared" si="1511"/>
        <v>0</v>
      </c>
      <c r="M2693" s="528">
        <f t="shared" si="1512"/>
        <v>0</v>
      </c>
      <c r="N2693" s="528">
        <f t="shared" si="1513"/>
        <v>0</v>
      </c>
      <c r="O2693" s="528">
        <f t="shared" si="1514"/>
        <v>0</v>
      </c>
      <c r="P2693" s="529">
        <f t="shared" si="1515"/>
        <v>0</v>
      </c>
      <c r="Q2693" s="24">
        <f t="shared" si="1516"/>
        <v>0</v>
      </c>
      <c r="R2693" s="530">
        <f t="shared" si="1517"/>
        <v>0</v>
      </c>
    </row>
    <row r="2694" spans="1:18">
      <c r="A2694" s="524"/>
      <c r="B2694" s="531" t="s">
        <v>96</v>
      </c>
      <c r="C2694" s="533">
        <f t="shared" ref="C2694:J2694" si="1518">SUM(C2690:C2693)</f>
        <v>1260.65</v>
      </c>
      <c r="D2694" s="533">
        <f t="shared" si="1518"/>
        <v>5736</v>
      </c>
      <c r="E2694" s="533">
        <f t="shared" si="1518"/>
        <v>409</v>
      </c>
      <c r="F2694" s="533">
        <f t="shared" si="1518"/>
        <v>0</v>
      </c>
      <c r="G2694" s="533">
        <f t="shared" si="1518"/>
        <v>0</v>
      </c>
      <c r="H2694" s="533">
        <f t="shared" si="1518"/>
        <v>14</v>
      </c>
      <c r="I2694" s="533">
        <f t="shared" si="1518"/>
        <v>4</v>
      </c>
      <c r="J2694" s="533">
        <f t="shared" si="1518"/>
        <v>1</v>
      </c>
      <c r="K2694" s="534">
        <f t="shared" si="1510"/>
        <v>0.0713040446304045</v>
      </c>
      <c r="L2694" s="535">
        <f t="shared" si="1511"/>
        <v>3.08227383863081</v>
      </c>
      <c r="M2694" s="535">
        <f t="shared" si="1512"/>
        <v>219.778591352859</v>
      </c>
      <c r="N2694" s="535">
        <f t="shared" si="1513"/>
        <v>0</v>
      </c>
      <c r="O2694" s="535">
        <f t="shared" si="1514"/>
        <v>0</v>
      </c>
      <c r="P2694" s="536">
        <f t="shared" si="1515"/>
        <v>70.0361111111111</v>
      </c>
      <c r="Q2694" s="531">
        <f t="shared" si="1516"/>
        <v>18</v>
      </c>
      <c r="R2694" s="537">
        <f t="shared" si="1517"/>
        <v>0.0440097799511002</v>
      </c>
    </row>
    <row r="2695" spans="1:18">
      <c r="A2695" s="524">
        <v>45989</v>
      </c>
      <c r="B2695" s="540" t="s">
        <v>98</v>
      </c>
      <c r="C2695" s="551">
        <v>497.37</v>
      </c>
      <c r="D2695" s="553">
        <v>2720</v>
      </c>
      <c r="E2695" s="551">
        <v>179</v>
      </c>
      <c r="F2695" s="551">
        <v>0</v>
      </c>
      <c r="G2695" s="551">
        <v>0</v>
      </c>
      <c r="H2695" s="551">
        <v>4</v>
      </c>
      <c r="I2695" s="551">
        <v>0</v>
      </c>
      <c r="J2695" s="551">
        <v>0</v>
      </c>
      <c r="K2695" s="527">
        <f t="shared" ref="K2695:K2709" si="1519">IF(E2695=0,0,E2695/D2695)</f>
        <v>0.0658088235294118</v>
      </c>
      <c r="L2695" s="528">
        <f t="shared" ref="L2695:L2709" si="1520">IF(C2695=0,0,C2695/E2695)</f>
        <v>2.77860335195531</v>
      </c>
      <c r="M2695" s="528">
        <f t="shared" ref="M2695:M2709" si="1521">IF(D2695=0,0,C2695/D2695*1000)</f>
        <v>182.856617647059</v>
      </c>
      <c r="N2695" s="528">
        <f t="shared" ref="N2695:N2709" si="1522">IF(G2695=0,0,G2695/C2695)</f>
        <v>0</v>
      </c>
      <c r="O2695" s="528">
        <f t="shared" ref="O2695:O2709" si="1523">IF(F2695=0,0,F2695/E2695)</f>
        <v>0</v>
      </c>
      <c r="P2695" s="529">
        <f t="shared" ref="P2695:P2709" si="1524">IF(H2695+I2695=0,0,C2695/(H2695+I2695))</f>
        <v>124.3425</v>
      </c>
      <c r="Q2695" s="24">
        <f t="shared" ref="Q2695:Q2709" si="1525">H2695+I2695</f>
        <v>4</v>
      </c>
      <c r="R2695" s="530">
        <f t="shared" ref="R2695:R2709" si="1526">IF(Q2695=0,0,Q2695/E2695)</f>
        <v>0.0223463687150838</v>
      </c>
    </row>
    <row r="2696" spans="1:18">
      <c r="A2696" s="524"/>
      <c r="B2696" s="540" t="s">
        <v>99</v>
      </c>
      <c r="C2696" s="551">
        <v>817.26</v>
      </c>
      <c r="D2696" s="556">
        <v>3322</v>
      </c>
      <c r="E2696" s="551">
        <v>294</v>
      </c>
      <c r="F2696" s="551">
        <v>0</v>
      </c>
      <c r="G2696" s="551">
        <v>0</v>
      </c>
      <c r="H2696" s="555">
        <v>2</v>
      </c>
      <c r="I2696" s="555">
        <v>0</v>
      </c>
      <c r="J2696" s="555">
        <v>1</v>
      </c>
      <c r="K2696" s="527">
        <f t="shared" si="1519"/>
        <v>0.0885009030704395</v>
      </c>
      <c r="L2696" s="528">
        <f t="shared" si="1520"/>
        <v>2.77979591836735</v>
      </c>
      <c r="M2696" s="528">
        <f t="shared" si="1521"/>
        <v>246.014449127032</v>
      </c>
      <c r="N2696" s="528">
        <f t="shared" si="1522"/>
        <v>0</v>
      </c>
      <c r="O2696" s="528">
        <f t="shared" si="1523"/>
        <v>0</v>
      </c>
      <c r="P2696" s="529">
        <f t="shared" si="1524"/>
        <v>408.63</v>
      </c>
      <c r="Q2696" s="24">
        <f t="shared" si="1525"/>
        <v>2</v>
      </c>
      <c r="R2696" s="530">
        <f t="shared" si="1526"/>
        <v>0.00680272108843537</v>
      </c>
    </row>
    <row r="2697" spans="1:18">
      <c r="A2697" s="524"/>
      <c r="B2697" s="540" t="s">
        <v>100</v>
      </c>
      <c r="C2697" s="552">
        <v>0</v>
      </c>
      <c r="D2697" s="553">
        <v>0</v>
      </c>
      <c r="E2697" s="553">
        <v>0</v>
      </c>
      <c r="F2697" s="551">
        <v>0</v>
      </c>
      <c r="G2697" s="551">
        <v>0</v>
      </c>
      <c r="H2697" s="551">
        <v>0</v>
      </c>
      <c r="I2697" s="551">
        <v>0</v>
      </c>
      <c r="J2697" s="551">
        <v>0</v>
      </c>
      <c r="K2697" s="527">
        <f t="shared" si="1519"/>
        <v>0</v>
      </c>
      <c r="L2697" s="528">
        <f t="shared" si="1520"/>
        <v>0</v>
      </c>
      <c r="M2697" s="528">
        <f t="shared" si="1521"/>
        <v>0</v>
      </c>
      <c r="N2697" s="528">
        <f t="shared" si="1522"/>
        <v>0</v>
      </c>
      <c r="O2697" s="528">
        <f t="shared" si="1523"/>
        <v>0</v>
      </c>
      <c r="P2697" s="529">
        <f t="shared" si="1524"/>
        <v>0</v>
      </c>
      <c r="Q2697" s="24">
        <f t="shared" si="1525"/>
        <v>0</v>
      </c>
      <c r="R2697" s="530">
        <f t="shared" si="1526"/>
        <v>0</v>
      </c>
    </row>
    <row r="2698" spans="1:18">
      <c r="A2698" s="524"/>
      <c r="B2698" s="540" t="s">
        <v>101</v>
      </c>
      <c r="C2698" s="552">
        <v>0</v>
      </c>
      <c r="D2698" s="553">
        <v>0</v>
      </c>
      <c r="E2698" s="551">
        <v>0</v>
      </c>
      <c r="F2698" s="551">
        <v>0</v>
      </c>
      <c r="G2698" s="551">
        <v>0</v>
      </c>
      <c r="H2698" s="551">
        <v>0</v>
      </c>
      <c r="I2698" s="551">
        <v>0</v>
      </c>
      <c r="J2698" s="551">
        <v>0</v>
      </c>
      <c r="K2698" s="527">
        <f t="shared" si="1519"/>
        <v>0</v>
      </c>
      <c r="L2698" s="528">
        <f t="shared" si="1520"/>
        <v>0</v>
      </c>
      <c r="M2698" s="528">
        <f t="shared" si="1521"/>
        <v>0</v>
      </c>
      <c r="N2698" s="528">
        <f t="shared" si="1522"/>
        <v>0</v>
      </c>
      <c r="O2698" s="528">
        <f t="shared" si="1523"/>
        <v>0</v>
      </c>
      <c r="P2698" s="529">
        <f t="shared" si="1524"/>
        <v>0</v>
      </c>
      <c r="Q2698" s="24">
        <f t="shared" si="1525"/>
        <v>0</v>
      </c>
      <c r="R2698" s="530">
        <f t="shared" si="1526"/>
        <v>0</v>
      </c>
    </row>
    <row r="2699" spans="1:18">
      <c r="A2699" s="524"/>
      <c r="B2699" s="531" t="s">
        <v>96</v>
      </c>
      <c r="C2699" s="533">
        <f t="shared" ref="C2699:J2699" si="1527">SUM(C2695:C2698)</f>
        <v>1314.63</v>
      </c>
      <c r="D2699" s="533">
        <f t="shared" si="1527"/>
        <v>6042</v>
      </c>
      <c r="E2699" s="533">
        <f t="shared" si="1527"/>
        <v>473</v>
      </c>
      <c r="F2699" s="533">
        <f t="shared" si="1527"/>
        <v>0</v>
      </c>
      <c r="G2699" s="533">
        <f t="shared" si="1527"/>
        <v>0</v>
      </c>
      <c r="H2699" s="533">
        <f t="shared" si="1527"/>
        <v>6</v>
      </c>
      <c r="I2699" s="533">
        <f t="shared" si="1527"/>
        <v>0</v>
      </c>
      <c r="J2699" s="533">
        <f t="shared" si="1527"/>
        <v>1</v>
      </c>
      <c r="K2699" s="534">
        <f t="shared" si="1519"/>
        <v>0.0782853359814631</v>
      </c>
      <c r="L2699" s="535">
        <f t="shared" si="1520"/>
        <v>2.77934460887949</v>
      </c>
      <c r="M2699" s="535">
        <f t="shared" si="1521"/>
        <v>217.581926514399</v>
      </c>
      <c r="N2699" s="535">
        <f t="shared" si="1522"/>
        <v>0</v>
      </c>
      <c r="O2699" s="535">
        <f t="shared" si="1523"/>
        <v>0</v>
      </c>
      <c r="P2699" s="536">
        <f t="shared" si="1524"/>
        <v>219.105</v>
      </c>
      <c r="Q2699" s="531">
        <f t="shared" si="1525"/>
        <v>6</v>
      </c>
      <c r="R2699" s="537">
        <f t="shared" si="1526"/>
        <v>0.0126849894291755</v>
      </c>
    </row>
    <row r="2700" spans="1:18">
      <c r="A2700" s="524">
        <v>45990</v>
      </c>
      <c r="B2700" s="540" t="s">
        <v>98</v>
      </c>
      <c r="C2700" s="551">
        <v>496.46</v>
      </c>
      <c r="D2700" s="553">
        <v>3709</v>
      </c>
      <c r="E2700" s="551">
        <v>221</v>
      </c>
      <c r="F2700" s="551">
        <v>0</v>
      </c>
      <c r="G2700" s="551">
        <v>0</v>
      </c>
      <c r="H2700" s="551">
        <v>7</v>
      </c>
      <c r="I2700" s="551">
        <v>1</v>
      </c>
      <c r="J2700" s="551">
        <v>3</v>
      </c>
      <c r="K2700" s="527">
        <f t="shared" si="1519"/>
        <v>0.0595847937449447</v>
      </c>
      <c r="L2700" s="528">
        <f t="shared" si="1520"/>
        <v>2.24642533936652</v>
      </c>
      <c r="M2700" s="528">
        <f t="shared" si="1521"/>
        <v>133.852790509571</v>
      </c>
      <c r="N2700" s="528">
        <f t="shared" si="1522"/>
        <v>0</v>
      </c>
      <c r="O2700" s="528">
        <f t="shared" si="1523"/>
        <v>0</v>
      </c>
      <c r="P2700" s="529">
        <f t="shared" si="1524"/>
        <v>62.0575</v>
      </c>
      <c r="Q2700" s="24">
        <f t="shared" si="1525"/>
        <v>8</v>
      </c>
      <c r="R2700" s="530">
        <f t="shared" si="1526"/>
        <v>0.0361990950226244</v>
      </c>
    </row>
    <row r="2701" spans="1:18">
      <c r="A2701" s="524"/>
      <c r="B2701" s="540" t="s">
        <v>99</v>
      </c>
      <c r="C2701" s="551">
        <v>0</v>
      </c>
      <c r="D2701" s="556">
        <v>0</v>
      </c>
      <c r="E2701" s="551">
        <v>0</v>
      </c>
      <c r="F2701" s="551">
        <v>0</v>
      </c>
      <c r="G2701" s="551">
        <v>0</v>
      </c>
      <c r="H2701" s="555">
        <v>0</v>
      </c>
      <c r="I2701" s="555">
        <v>0</v>
      </c>
      <c r="J2701" s="555">
        <v>0</v>
      </c>
      <c r="K2701" s="527">
        <f t="shared" si="1519"/>
        <v>0</v>
      </c>
      <c r="L2701" s="528">
        <f t="shared" si="1520"/>
        <v>0</v>
      </c>
      <c r="M2701" s="528">
        <f t="shared" si="1521"/>
        <v>0</v>
      </c>
      <c r="N2701" s="528">
        <f t="shared" si="1522"/>
        <v>0</v>
      </c>
      <c r="O2701" s="528">
        <f t="shared" si="1523"/>
        <v>0</v>
      </c>
      <c r="P2701" s="529">
        <f t="shared" si="1524"/>
        <v>0</v>
      </c>
      <c r="Q2701" s="24">
        <f t="shared" si="1525"/>
        <v>0</v>
      </c>
      <c r="R2701" s="530">
        <f t="shared" si="1526"/>
        <v>0</v>
      </c>
    </row>
    <row r="2702" spans="1:18">
      <c r="A2702" s="524"/>
      <c r="B2702" s="540" t="s">
        <v>100</v>
      </c>
      <c r="C2702" s="552">
        <v>0</v>
      </c>
      <c r="D2702" s="553">
        <v>0</v>
      </c>
      <c r="E2702" s="553">
        <v>0</v>
      </c>
      <c r="F2702" s="551">
        <v>0</v>
      </c>
      <c r="G2702" s="551">
        <v>0</v>
      </c>
      <c r="H2702" s="551">
        <v>0</v>
      </c>
      <c r="I2702" s="551">
        <v>0</v>
      </c>
      <c r="J2702" s="551">
        <v>0</v>
      </c>
      <c r="K2702" s="527">
        <f t="shared" si="1519"/>
        <v>0</v>
      </c>
      <c r="L2702" s="528">
        <f t="shared" si="1520"/>
        <v>0</v>
      </c>
      <c r="M2702" s="528">
        <f t="shared" si="1521"/>
        <v>0</v>
      </c>
      <c r="N2702" s="528">
        <f t="shared" si="1522"/>
        <v>0</v>
      </c>
      <c r="O2702" s="528">
        <f t="shared" si="1523"/>
        <v>0</v>
      </c>
      <c r="P2702" s="529">
        <f t="shared" si="1524"/>
        <v>0</v>
      </c>
      <c r="Q2702" s="24">
        <f t="shared" si="1525"/>
        <v>0</v>
      </c>
      <c r="R2702" s="530">
        <f t="shared" si="1526"/>
        <v>0</v>
      </c>
    </row>
    <row r="2703" spans="1:18">
      <c r="A2703" s="524"/>
      <c r="B2703" s="540" t="s">
        <v>101</v>
      </c>
      <c r="C2703" s="552">
        <v>0</v>
      </c>
      <c r="D2703" s="553">
        <v>0</v>
      </c>
      <c r="E2703" s="551">
        <v>0</v>
      </c>
      <c r="F2703" s="551">
        <v>0</v>
      </c>
      <c r="G2703" s="551">
        <v>0</v>
      </c>
      <c r="H2703" s="551">
        <v>0</v>
      </c>
      <c r="I2703" s="551">
        <v>0</v>
      </c>
      <c r="J2703" s="551">
        <v>0</v>
      </c>
      <c r="K2703" s="527">
        <f t="shared" si="1519"/>
        <v>0</v>
      </c>
      <c r="L2703" s="528">
        <f t="shared" si="1520"/>
        <v>0</v>
      </c>
      <c r="M2703" s="528">
        <f t="shared" si="1521"/>
        <v>0</v>
      </c>
      <c r="N2703" s="528">
        <f t="shared" si="1522"/>
        <v>0</v>
      </c>
      <c r="O2703" s="528">
        <f t="shared" si="1523"/>
        <v>0</v>
      </c>
      <c r="P2703" s="529">
        <f t="shared" si="1524"/>
        <v>0</v>
      </c>
      <c r="Q2703" s="24">
        <f t="shared" si="1525"/>
        <v>0</v>
      </c>
      <c r="R2703" s="530">
        <f t="shared" si="1526"/>
        <v>0</v>
      </c>
    </row>
    <row r="2704" spans="1:18">
      <c r="A2704" s="524"/>
      <c r="B2704" s="531" t="s">
        <v>96</v>
      </c>
      <c r="C2704" s="533">
        <f t="shared" ref="C2704:J2704" si="1528">SUM(C2700:C2703)</f>
        <v>496.46</v>
      </c>
      <c r="D2704" s="533">
        <f t="shared" si="1528"/>
        <v>3709</v>
      </c>
      <c r="E2704" s="533">
        <f t="shared" si="1528"/>
        <v>221</v>
      </c>
      <c r="F2704" s="533">
        <f t="shared" si="1528"/>
        <v>0</v>
      </c>
      <c r="G2704" s="533">
        <f t="shared" si="1528"/>
        <v>0</v>
      </c>
      <c r="H2704" s="533">
        <f t="shared" si="1528"/>
        <v>7</v>
      </c>
      <c r="I2704" s="533">
        <f t="shared" si="1528"/>
        <v>1</v>
      </c>
      <c r="J2704" s="533">
        <f t="shared" si="1528"/>
        <v>3</v>
      </c>
      <c r="K2704" s="534">
        <f t="shared" si="1519"/>
        <v>0.0595847937449447</v>
      </c>
      <c r="L2704" s="535">
        <f t="shared" si="1520"/>
        <v>2.24642533936652</v>
      </c>
      <c r="M2704" s="535">
        <f t="shared" si="1521"/>
        <v>133.852790509571</v>
      </c>
      <c r="N2704" s="535">
        <f t="shared" si="1522"/>
        <v>0</v>
      </c>
      <c r="O2704" s="535">
        <f t="shared" si="1523"/>
        <v>0</v>
      </c>
      <c r="P2704" s="536">
        <f t="shared" si="1524"/>
        <v>62.0575</v>
      </c>
      <c r="Q2704" s="531">
        <f t="shared" si="1525"/>
        <v>8</v>
      </c>
      <c r="R2704" s="537">
        <f t="shared" si="1526"/>
        <v>0.0361990950226244</v>
      </c>
    </row>
    <row r="2705" spans="1:18">
      <c r="A2705" s="524">
        <v>45991</v>
      </c>
      <c r="B2705" s="540" t="s">
        <v>98</v>
      </c>
      <c r="C2705" s="551">
        <v>500</v>
      </c>
      <c r="D2705" s="553">
        <v>3150</v>
      </c>
      <c r="E2705" s="551">
        <v>229</v>
      </c>
      <c r="F2705" s="551">
        <v>0</v>
      </c>
      <c r="G2705" s="551">
        <v>0</v>
      </c>
      <c r="H2705" s="551">
        <v>14</v>
      </c>
      <c r="I2705" s="551">
        <v>3</v>
      </c>
      <c r="J2705" s="551">
        <v>1</v>
      </c>
      <c r="K2705" s="527">
        <f t="shared" si="1519"/>
        <v>0.0726984126984127</v>
      </c>
      <c r="L2705" s="528">
        <f t="shared" si="1520"/>
        <v>2.18340611353712</v>
      </c>
      <c r="M2705" s="528">
        <f t="shared" si="1521"/>
        <v>158.730158730159</v>
      </c>
      <c r="N2705" s="528">
        <f t="shared" si="1522"/>
        <v>0</v>
      </c>
      <c r="O2705" s="528">
        <f t="shared" si="1523"/>
        <v>0</v>
      </c>
      <c r="P2705" s="529">
        <f t="shared" si="1524"/>
        <v>29.4117647058824</v>
      </c>
      <c r="Q2705" s="24">
        <f t="shared" si="1525"/>
        <v>17</v>
      </c>
      <c r="R2705" s="530">
        <f t="shared" si="1526"/>
        <v>0.074235807860262</v>
      </c>
    </row>
    <row r="2706" spans="1:18">
      <c r="A2706" s="524"/>
      <c r="B2706" s="540" t="s">
        <v>99</v>
      </c>
      <c r="C2706" s="551">
        <v>0</v>
      </c>
      <c r="D2706" s="556">
        <v>0</v>
      </c>
      <c r="E2706" s="551">
        <v>0</v>
      </c>
      <c r="F2706" s="551">
        <v>0</v>
      </c>
      <c r="G2706" s="551">
        <v>0</v>
      </c>
      <c r="H2706" s="555">
        <v>0</v>
      </c>
      <c r="I2706" s="555">
        <v>0</v>
      </c>
      <c r="J2706" s="555">
        <v>0</v>
      </c>
      <c r="K2706" s="527">
        <f t="shared" si="1519"/>
        <v>0</v>
      </c>
      <c r="L2706" s="528">
        <f t="shared" si="1520"/>
        <v>0</v>
      </c>
      <c r="M2706" s="528">
        <f t="shared" si="1521"/>
        <v>0</v>
      </c>
      <c r="N2706" s="528">
        <f t="shared" si="1522"/>
        <v>0</v>
      </c>
      <c r="O2706" s="528">
        <f t="shared" si="1523"/>
        <v>0</v>
      </c>
      <c r="P2706" s="529">
        <f t="shared" si="1524"/>
        <v>0</v>
      </c>
      <c r="Q2706" s="24">
        <f t="shared" si="1525"/>
        <v>0</v>
      </c>
      <c r="R2706" s="530">
        <f t="shared" si="1526"/>
        <v>0</v>
      </c>
    </row>
    <row r="2707" spans="1:18">
      <c r="A2707" s="524"/>
      <c r="B2707" s="540" t="s">
        <v>100</v>
      </c>
      <c r="C2707" s="552">
        <v>0</v>
      </c>
      <c r="D2707" s="553">
        <v>0</v>
      </c>
      <c r="E2707" s="553">
        <v>0</v>
      </c>
      <c r="F2707" s="551">
        <v>0</v>
      </c>
      <c r="G2707" s="551">
        <v>0</v>
      </c>
      <c r="H2707" s="551">
        <v>0</v>
      </c>
      <c r="I2707" s="551">
        <v>0</v>
      </c>
      <c r="J2707" s="551">
        <v>0</v>
      </c>
      <c r="K2707" s="527">
        <f t="shared" si="1519"/>
        <v>0</v>
      </c>
      <c r="L2707" s="528">
        <f t="shared" si="1520"/>
        <v>0</v>
      </c>
      <c r="M2707" s="528">
        <f t="shared" si="1521"/>
        <v>0</v>
      </c>
      <c r="N2707" s="528">
        <f t="shared" si="1522"/>
        <v>0</v>
      </c>
      <c r="O2707" s="528">
        <f t="shared" si="1523"/>
        <v>0</v>
      </c>
      <c r="P2707" s="529">
        <f t="shared" si="1524"/>
        <v>0</v>
      </c>
      <c r="Q2707" s="24">
        <f t="shared" si="1525"/>
        <v>0</v>
      </c>
      <c r="R2707" s="530">
        <f t="shared" si="1526"/>
        <v>0</v>
      </c>
    </row>
    <row r="2708" spans="1:18">
      <c r="A2708" s="524"/>
      <c r="B2708" s="540" t="s">
        <v>101</v>
      </c>
      <c r="C2708" s="552">
        <v>0</v>
      </c>
      <c r="D2708" s="553">
        <v>0</v>
      </c>
      <c r="E2708" s="551">
        <v>0</v>
      </c>
      <c r="F2708" s="551">
        <v>0</v>
      </c>
      <c r="G2708" s="551">
        <v>0</v>
      </c>
      <c r="H2708" s="551">
        <v>0</v>
      </c>
      <c r="I2708" s="551">
        <v>0</v>
      </c>
      <c r="J2708" s="551">
        <v>0</v>
      </c>
      <c r="K2708" s="527">
        <f t="shared" si="1519"/>
        <v>0</v>
      </c>
      <c r="L2708" s="528">
        <f t="shared" si="1520"/>
        <v>0</v>
      </c>
      <c r="M2708" s="528">
        <f t="shared" si="1521"/>
        <v>0</v>
      </c>
      <c r="N2708" s="528">
        <f t="shared" si="1522"/>
        <v>0</v>
      </c>
      <c r="O2708" s="528">
        <f t="shared" si="1523"/>
        <v>0</v>
      </c>
      <c r="P2708" s="529">
        <f t="shared" si="1524"/>
        <v>0</v>
      </c>
      <c r="Q2708" s="24">
        <f t="shared" si="1525"/>
        <v>0</v>
      </c>
      <c r="R2708" s="530">
        <f t="shared" si="1526"/>
        <v>0</v>
      </c>
    </row>
    <row r="2709" spans="1:18">
      <c r="A2709" s="524"/>
      <c r="B2709" s="531" t="s">
        <v>96</v>
      </c>
      <c r="C2709" s="533">
        <f t="shared" ref="C2709:J2709" si="1529">SUM(C2705:C2708)</f>
        <v>500</v>
      </c>
      <c r="D2709" s="533">
        <f t="shared" si="1529"/>
        <v>3150</v>
      </c>
      <c r="E2709" s="533">
        <f t="shared" si="1529"/>
        <v>229</v>
      </c>
      <c r="F2709" s="533">
        <f t="shared" si="1529"/>
        <v>0</v>
      </c>
      <c r="G2709" s="533">
        <f t="shared" si="1529"/>
        <v>0</v>
      </c>
      <c r="H2709" s="533">
        <f t="shared" si="1529"/>
        <v>14</v>
      </c>
      <c r="I2709" s="533">
        <f t="shared" si="1529"/>
        <v>3</v>
      </c>
      <c r="J2709" s="533">
        <f t="shared" si="1529"/>
        <v>1</v>
      </c>
      <c r="K2709" s="534">
        <f t="shared" si="1519"/>
        <v>0.0726984126984127</v>
      </c>
      <c r="L2709" s="535">
        <f t="shared" si="1520"/>
        <v>2.18340611353712</v>
      </c>
      <c r="M2709" s="535">
        <f t="shared" si="1521"/>
        <v>158.730158730159</v>
      </c>
      <c r="N2709" s="535">
        <f t="shared" si="1522"/>
        <v>0</v>
      </c>
      <c r="O2709" s="535">
        <f t="shared" si="1523"/>
        <v>0</v>
      </c>
      <c r="P2709" s="536">
        <f t="shared" si="1524"/>
        <v>29.4117647058824</v>
      </c>
      <c r="Q2709" s="531">
        <f t="shared" si="1525"/>
        <v>17</v>
      </c>
      <c r="R2709" s="537">
        <f t="shared" si="1526"/>
        <v>0.074235807860262</v>
      </c>
    </row>
    <row r="2710" spans="1:18">
      <c r="A2710" s="524">
        <v>45992</v>
      </c>
      <c r="B2710" s="540" t="s">
        <v>98</v>
      </c>
      <c r="C2710" s="551">
        <v>500</v>
      </c>
      <c r="D2710" s="553">
        <v>3372</v>
      </c>
      <c r="E2710" s="551">
        <v>230</v>
      </c>
      <c r="F2710" s="551">
        <v>0</v>
      </c>
      <c r="G2710" s="551">
        <v>0</v>
      </c>
      <c r="H2710" s="551">
        <v>8</v>
      </c>
      <c r="I2710" s="551">
        <v>2</v>
      </c>
      <c r="J2710" s="551">
        <v>0</v>
      </c>
      <c r="K2710" s="527">
        <f t="shared" ref="K2710:K2714" si="1530">IF(E2710=0,0,E2710/D2710)</f>
        <v>0.068208778173191</v>
      </c>
      <c r="L2710" s="528">
        <f t="shared" ref="L2710:L2714" si="1531">IF(C2710=0,0,C2710/E2710)</f>
        <v>2.17391304347826</v>
      </c>
      <c r="M2710" s="528">
        <f t="shared" ref="M2710:M2714" si="1532">IF(D2710=0,0,C2710/D2710*1000)</f>
        <v>148.279952550415</v>
      </c>
      <c r="N2710" s="528">
        <f t="shared" ref="N2710:N2714" si="1533">IF(G2710=0,0,G2710/C2710)</f>
        <v>0</v>
      </c>
      <c r="O2710" s="528">
        <f t="shared" ref="O2710:O2714" si="1534">IF(F2710=0,0,F2710/E2710)</f>
        <v>0</v>
      </c>
      <c r="P2710" s="529">
        <f t="shared" ref="P2710:P2714" si="1535">IF(H2710+I2710=0,0,C2710/(H2710+I2710))</f>
        <v>50</v>
      </c>
      <c r="Q2710" s="24">
        <f t="shared" ref="Q2710:Q2714" si="1536">H2710+I2710</f>
        <v>10</v>
      </c>
      <c r="R2710" s="530">
        <f t="shared" ref="R2710:R2714" si="1537">IF(Q2710=0,0,Q2710/E2710)</f>
        <v>0.0434782608695652</v>
      </c>
    </row>
    <row r="2711" spans="1:18">
      <c r="A2711" s="524"/>
      <c r="B2711" s="540" t="s">
        <v>99</v>
      </c>
      <c r="C2711" s="551">
        <v>1000</v>
      </c>
      <c r="D2711" s="556">
        <v>6618</v>
      </c>
      <c r="E2711" s="551">
        <v>354</v>
      </c>
      <c r="F2711" s="551">
        <v>0</v>
      </c>
      <c r="G2711" s="551">
        <v>0</v>
      </c>
      <c r="H2711" s="555">
        <v>9</v>
      </c>
      <c r="I2711" s="555">
        <v>2</v>
      </c>
      <c r="J2711" s="555">
        <v>0</v>
      </c>
      <c r="K2711" s="527">
        <f t="shared" si="1530"/>
        <v>0.0534904805077063</v>
      </c>
      <c r="L2711" s="528">
        <f t="shared" si="1531"/>
        <v>2.82485875706215</v>
      </c>
      <c r="M2711" s="528">
        <f t="shared" si="1532"/>
        <v>151.103052281656</v>
      </c>
      <c r="N2711" s="528">
        <f t="shared" si="1533"/>
        <v>0</v>
      </c>
      <c r="O2711" s="528">
        <f t="shared" si="1534"/>
        <v>0</v>
      </c>
      <c r="P2711" s="529">
        <f t="shared" si="1535"/>
        <v>90.9090909090909</v>
      </c>
      <c r="Q2711" s="24">
        <f t="shared" si="1536"/>
        <v>11</v>
      </c>
      <c r="R2711" s="530">
        <f t="shared" si="1537"/>
        <v>0.0310734463276836</v>
      </c>
    </row>
    <row r="2712" spans="1:18">
      <c r="A2712" s="524"/>
      <c r="B2712" s="540" t="s">
        <v>100</v>
      </c>
      <c r="C2712" s="552">
        <v>0</v>
      </c>
      <c r="D2712" s="553">
        <v>0</v>
      </c>
      <c r="E2712" s="553">
        <v>0</v>
      </c>
      <c r="F2712" s="551">
        <v>0</v>
      </c>
      <c r="G2712" s="551">
        <v>0</v>
      </c>
      <c r="H2712" s="551">
        <v>0</v>
      </c>
      <c r="I2712" s="551">
        <v>0</v>
      </c>
      <c r="J2712" s="551">
        <v>0</v>
      </c>
      <c r="K2712" s="527">
        <f t="shared" si="1530"/>
        <v>0</v>
      </c>
      <c r="L2712" s="528">
        <f t="shared" si="1531"/>
        <v>0</v>
      </c>
      <c r="M2712" s="528">
        <f t="shared" si="1532"/>
        <v>0</v>
      </c>
      <c r="N2712" s="528">
        <f t="shared" si="1533"/>
        <v>0</v>
      </c>
      <c r="O2712" s="528">
        <f t="shared" si="1534"/>
        <v>0</v>
      </c>
      <c r="P2712" s="529">
        <f t="shared" si="1535"/>
        <v>0</v>
      </c>
      <c r="Q2712" s="24">
        <f t="shared" si="1536"/>
        <v>0</v>
      </c>
      <c r="R2712" s="530">
        <f t="shared" si="1537"/>
        <v>0</v>
      </c>
    </row>
    <row r="2713" spans="1:18">
      <c r="A2713" s="524"/>
      <c r="B2713" s="540" t="s">
        <v>101</v>
      </c>
      <c r="C2713" s="552">
        <v>0</v>
      </c>
      <c r="D2713" s="553">
        <v>0</v>
      </c>
      <c r="E2713" s="551">
        <v>0</v>
      </c>
      <c r="F2713" s="551">
        <v>0</v>
      </c>
      <c r="G2713" s="551">
        <v>0</v>
      </c>
      <c r="H2713" s="551">
        <v>0</v>
      </c>
      <c r="I2713" s="551">
        <v>0</v>
      </c>
      <c r="J2713" s="551">
        <v>0</v>
      </c>
      <c r="K2713" s="527">
        <f t="shared" si="1530"/>
        <v>0</v>
      </c>
      <c r="L2713" s="528">
        <f t="shared" si="1531"/>
        <v>0</v>
      </c>
      <c r="M2713" s="528">
        <f t="shared" si="1532"/>
        <v>0</v>
      </c>
      <c r="N2713" s="528">
        <f t="shared" si="1533"/>
        <v>0</v>
      </c>
      <c r="O2713" s="528">
        <f t="shared" si="1534"/>
        <v>0</v>
      </c>
      <c r="P2713" s="529">
        <f t="shared" si="1535"/>
        <v>0</v>
      </c>
      <c r="Q2713" s="24">
        <f t="shared" si="1536"/>
        <v>0</v>
      </c>
      <c r="R2713" s="530">
        <f t="shared" si="1537"/>
        <v>0</v>
      </c>
    </row>
    <row r="2714" spans="1:18">
      <c r="A2714" s="524"/>
      <c r="B2714" s="531" t="s">
        <v>96</v>
      </c>
      <c r="C2714" s="533">
        <f t="shared" ref="C2714:J2714" si="1538">SUM(C2710:C2713)</f>
        <v>1500</v>
      </c>
      <c r="D2714" s="533">
        <f t="shared" si="1538"/>
        <v>9990</v>
      </c>
      <c r="E2714" s="533">
        <f t="shared" si="1538"/>
        <v>584</v>
      </c>
      <c r="F2714" s="533">
        <f t="shared" si="1538"/>
        <v>0</v>
      </c>
      <c r="G2714" s="533">
        <f t="shared" si="1538"/>
        <v>0</v>
      </c>
      <c r="H2714" s="533">
        <f t="shared" si="1538"/>
        <v>17</v>
      </c>
      <c r="I2714" s="533">
        <f t="shared" si="1538"/>
        <v>4</v>
      </c>
      <c r="J2714" s="533">
        <f t="shared" si="1538"/>
        <v>0</v>
      </c>
      <c r="K2714" s="534">
        <f t="shared" si="1530"/>
        <v>0.0584584584584585</v>
      </c>
      <c r="L2714" s="535">
        <f t="shared" si="1531"/>
        <v>2.56849315068493</v>
      </c>
      <c r="M2714" s="535">
        <f t="shared" si="1532"/>
        <v>150.15015015015</v>
      </c>
      <c r="N2714" s="535">
        <f t="shared" si="1533"/>
        <v>0</v>
      </c>
      <c r="O2714" s="535">
        <f t="shared" si="1534"/>
        <v>0</v>
      </c>
      <c r="P2714" s="536">
        <f t="shared" si="1535"/>
        <v>71.4285714285714</v>
      </c>
      <c r="Q2714" s="531">
        <f t="shared" si="1536"/>
        <v>21</v>
      </c>
      <c r="R2714" s="537">
        <f t="shared" si="1537"/>
        <v>0.035958904109589</v>
      </c>
    </row>
    <row r="2715" spans="1:18">
      <c r="A2715" s="524">
        <v>45993</v>
      </c>
      <c r="B2715" s="540" t="s">
        <v>98</v>
      </c>
      <c r="C2715" s="551">
        <v>989.08</v>
      </c>
      <c r="D2715" s="553">
        <v>5988</v>
      </c>
      <c r="E2715" s="551">
        <v>361</v>
      </c>
      <c r="F2715" s="551">
        <v>0</v>
      </c>
      <c r="G2715" s="551">
        <v>0</v>
      </c>
      <c r="H2715" s="551">
        <v>20</v>
      </c>
      <c r="I2715" s="551">
        <v>4</v>
      </c>
      <c r="J2715" s="551">
        <v>3</v>
      </c>
      <c r="K2715" s="527">
        <f t="shared" ref="K2715:K2719" si="1539">IF(E2715=0,0,E2715/D2715)</f>
        <v>0.0602872411489646</v>
      </c>
      <c r="L2715" s="528">
        <f t="shared" ref="L2715:L2719" si="1540">IF(C2715=0,0,C2715/E2715)</f>
        <v>2.73983379501385</v>
      </c>
      <c r="M2715" s="528">
        <f t="shared" ref="M2715:M2719" si="1541">IF(D2715=0,0,C2715/D2715*1000)</f>
        <v>165.177020708083</v>
      </c>
      <c r="N2715" s="528">
        <f t="shared" ref="N2715:N2719" si="1542">IF(G2715=0,0,G2715/C2715)</f>
        <v>0</v>
      </c>
      <c r="O2715" s="528">
        <f t="shared" ref="O2715:O2719" si="1543">IF(F2715=0,0,F2715/E2715)</f>
        <v>0</v>
      </c>
      <c r="P2715" s="529">
        <f t="shared" ref="P2715:P2719" si="1544">IF(H2715+I2715=0,0,C2715/(H2715+I2715))</f>
        <v>41.2116666666667</v>
      </c>
      <c r="Q2715" s="24">
        <f t="shared" ref="Q2715:Q2719" si="1545">H2715+I2715</f>
        <v>24</v>
      </c>
      <c r="R2715" s="530">
        <f t="shared" ref="R2715:R2719" si="1546">IF(Q2715=0,0,Q2715/E2715)</f>
        <v>0.0664819944598338</v>
      </c>
    </row>
    <row r="2716" spans="1:18">
      <c r="A2716" s="524"/>
      <c r="B2716" s="540" t="s">
        <v>99</v>
      </c>
      <c r="C2716" s="551">
        <v>0</v>
      </c>
      <c r="D2716" s="556">
        <v>0</v>
      </c>
      <c r="E2716" s="551">
        <v>0</v>
      </c>
      <c r="F2716" s="551">
        <v>0</v>
      </c>
      <c r="G2716" s="551">
        <v>0</v>
      </c>
      <c r="H2716" s="555">
        <v>0</v>
      </c>
      <c r="I2716" s="555">
        <v>0</v>
      </c>
      <c r="J2716" s="555">
        <v>0</v>
      </c>
      <c r="K2716" s="527">
        <f t="shared" si="1539"/>
        <v>0</v>
      </c>
      <c r="L2716" s="528">
        <f t="shared" si="1540"/>
        <v>0</v>
      </c>
      <c r="M2716" s="528">
        <f t="shared" si="1541"/>
        <v>0</v>
      </c>
      <c r="N2716" s="528">
        <f t="shared" si="1542"/>
        <v>0</v>
      </c>
      <c r="O2716" s="528">
        <f t="shared" si="1543"/>
        <v>0</v>
      </c>
      <c r="P2716" s="529">
        <f t="shared" si="1544"/>
        <v>0</v>
      </c>
      <c r="Q2716" s="24">
        <f t="shared" si="1545"/>
        <v>0</v>
      </c>
      <c r="R2716" s="530">
        <f t="shared" si="1546"/>
        <v>0</v>
      </c>
    </row>
    <row r="2717" spans="1:18">
      <c r="A2717" s="524"/>
      <c r="B2717" s="540" t="s">
        <v>100</v>
      </c>
      <c r="C2717" s="552">
        <v>0</v>
      </c>
      <c r="D2717" s="553">
        <v>0</v>
      </c>
      <c r="E2717" s="553">
        <v>0</v>
      </c>
      <c r="F2717" s="551">
        <v>0</v>
      </c>
      <c r="G2717" s="551">
        <v>0</v>
      </c>
      <c r="H2717" s="551">
        <v>0</v>
      </c>
      <c r="I2717" s="551">
        <v>0</v>
      </c>
      <c r="J2717" s="551">
        <v>0</v>
      </c>
      <c r="K2717" s="527">
        <f t="shared" si="1539"/>
        <v>0</v>
      </c>
      <c r="L2717" s="528">
        <f t="shared" si="1540"/>
        <v>0</v>
      </c>
      <c r="M2717" s="528">
        <f t="shared" si="1541"/>
        <v>0</v>
      </c>
      <c r="N2717" s="528">
        <f t="shared" si="1542"/>
        <v>0</v>
      </c>
      <c r="O2717" s="528">
        <f t="shared" si="1543"/>
        <v>0</v>
      </c>
      <c r="P2717" s="529">
        <f t="shared" si="1544"/>
        <v>0</v>
      </c>
      <c r="Q2717" s="24">
        <f t="shared" si="1545"/>
        <v>0</v>
      </c>
      <c r="R2717" s="530">
        <f t="shared" si="1546"/>
        <v>0</v>
      </c>
    </row>
    <row r="2718" spans="1:18">
      <c r="A2718" s="524"/>
      <c r="B2718" s="540" t="s">
        <v>101</v>
      </c>
      <c r="C2718" s="552">
        <v>0</v>
      </c>
      <c r="D2718" s="553">
        <v>0</v>
      </c>
      <c r="E2718" s="551">
        <v>0</v>
      </c>
      <c r="F2718" s="551">
        <v>0</v>
      </c>
      <c r="G2718" s="551">
        <v>0</v>
      </c>
      <c r="H2718" s="551">
        <v>0</v>
      </c>
      <c r="I2718" s="551">
        <v>0</v>
      </c>
      <c r="J2718" s="551">
        <v>0</v>
      </c>
      <c r="K2718" s="527">
        <f t="shared" si="1539"/>
        <v>0</v>
      </c>
      <c r="L2718" s="528">
        <f t="shared" si="1540"/>
        <v>0</v>
      </c>
      <c r="M2718" s="528">
        <f t="shared" si="1541"/>
        <v>0</v>
      </c>
      <c r="N2718" s="528">
        <f t="shared" si="1542"/>
        <v>0</v>
      </c>
      <c r="O2718" s="528">
        <f t="shared" si="1543"/>
        <v>0</v>
      </c>
      <c r="P2718" s="529">
        <f t="shared" si="1544"/>
        <v>0</v>
      </c>
      <c r="Q2718" s="24">
        <f t="shared" si="1545"/>
        <v>0</v>
      </c>
      <c r="R2718" s="530">
        <f t="shared" si="1546"/>
        <v>0</v>
      </c>
    </row>
    <row r="2719" spans="1:18">
      <c r="A2719" s="524"/>
      <c r="B2719" s="531" t="s">
        <v>96</v>
      </c>
      <c r="C2719" s="533">
        <f t="shared" ref="C2719:J2719" si="1547">SUM(C2715:C2718)</f>
        <v>989.08</v>
      </c>
      <c r="D2719" s="533">
        <f t="shared" si="1547"/>
        <v>5988</v>
      </c>
      <c r="E2719" s="533">
        <f t="shared" si="1547"/>
        <v>361</v>
      </c>
      <c r="F2719" s="533">
        <f t="shared" si="1547"/>
        <v>0</v>
      </c>
      <c r="G2719" s="533">
        <f t="shared" si="1547"/>
        <v>0</v>
      </c>
      <c r="H2719" s="533">
        <f t="shared" si="1547"/>
        <v>20</v>
      </c>
      <c r="I2719" s="533">
        <f t="shared" si="1547"/>
        <v>4</v>
      </c>
      <c r="J2719" s="533">
        <f t="shared" si="1547"/>
        <v>3</v>
      </c>
      <c r="K2719" s="534">
        <f t="shared" si="1539"/>
        <v>0.0602872411489646</v>
      </c>
      <c r="L2719" s="535">
        <f t="shared" si="1540"/>
        <v>2.73983379501385</v>
      </c>
      <c r="M2719" s="535">
        <f t="shared" si="1541"/>
        <v>165.177020708083</v>
      </c>
      <c r="N2719" s="535">
        <f t="shared" si="1542"/>
        <v>0</v>
      </c>
      <c r="O2719" s="535">
        <f t="shared" si="1543"/>
        <v>0</v>
      </c>
      <c r="P2719" s="536">
        <f t="shared" si="1544"/>
        <v>41.2116666666667</v>
      </c>
      <c r="Q2719" s="531">
        <f t="shared" si="1545"/>
        <v>24</v>
      </c>
      <c r="R2719" s="537">
        <f t="shared" si="1546"/>
        <v>0.0664819944598338</v>
      </c>
    </row>
    <row r="2720" spans="1:18">
      <c r="A2720" s="524">
        <v>45994</v>
      </c>
      <c r="B2720" s="540" t="s">
        <v>98</v>
      </c>
      <c r="C2720" s="551">
        <v>998.42</v>
      </c>
      <c r="D2720" s="553">
        <v>8002</v>
      </c>
      <c r="E2720" s="551">
        <v>397</v>
      </c>
      <c r="F2720" s="551">
        <v>0</v>
      </c>
      <c r="G2720" s="551">
        <v>0</v>
      </c>
      <c r="H2720" s="551">
        <v>33</v>
      </c>
      <c r="I2720" s="551">
        <v>4</v>
      </c>
      <c r="J2720" s="551">
        <v>0</v>
      </c>
      <c r="K2720" s="527">
        <f t="shared" ref="K2720:K2724" si="1548">IF(E2720=0,0,E2720/D2720)</f>
        <v>0.0496125968507873</v>
      </c>
      <c r="L2720" s="528">
        <f t="shared" ref="L2720:L2724" si="1549">IF(C2720=0,0,C2720/E2720)</f>
        <v>2.51491183879093</v>
      </c>
      <c r="M2720" s="528">
        <f t="shared" ref="M2720:M2724" si="1550">IF(D2720=0,0,C2720/D2720*1000)</f>
        <v>124.771307173207</v>
      </c>
      <c r="N2720" s="528">
        <f t="shared" ref="N2720:N2724" si="1551">IF(G2720=0,0,G2720/C2720)</f>
        <v>0</v>
      </c>
      <c r="O2720" s="528">
        <f t="shared" ref="O2720:O2724" si="1552">IF(F2720=0,0,F2720/E2720)</f>
        <v>0</v>
      </c>
      <c r="P2720" s="529">
        <f t="shared" ref="P2720:P2724" si="1553">IF(H2720+I2720=0,0,C2720/(H2720+I2720))</f>
        <v>26.9843243243243</v>
      </c>
      <c r="Q2720" s="24">
        <f t="shared" ref="Q2720:Q2724" si="1554">H2720+I2720</f>
        <v>37</v>
      </c>
      <c r="R2720" s="530">
        <f t="shared" ref="R2720:R2724" si="1555">IF(Q2720=0,0,Q2720/E2720)</f>
        <v>0.0931989924433249</v>
      </c>
    </row>
    <row r="2721" spans="1:18">
      <c r="A2721" s="524"/>
      <c r="B2721" s="540" t="s">
        <v>99</v>
      </c>
      <c r="C2721" s="551">
        <v>0</v>
      </c>
      <c r="D2721" s="556">
        <v>0</v>
      </c>
      <c r="E2721" s="551">
        <v>0</v>
      </c>
      <c r="F2721" s="551">
        <v>0</v>
      </c>
      <c r="G2721" s="551">
        <v>0</v>
      </c>
      <c r="H2721" s="555">
        <v>0</v>
      </c>
      <c r="I2721" s="555">
        <v>0</v>
      </c>
      <c r="J2721" s="555">
        <v>0</v>
      </c>
      <c r="K2721" s="527">
        <f t="shared" si="1548"/>
        <v>0</v>
      </c>
      <c r="L2721" s="528">
        <f t="shared" si="1549"/>
        <v>0</v>
      </c>
      <c r="M2721" s="528">
        <f t="shared" si="1550"/>
        <v>0</v>
      </c>
      <c r="N2721" s="528">
        <f t="shared" si="1551"/>
        <v>0</v>
      </c>
      <c r="O2721" s="528">
        <f t="shared" si="1552"/>
        <v>0</v>
      </c>
      <c r="P2721" s="529">
        <f t="shared" si="1553"/>
        <v>0</v>
      </c>
      <c r="Q2721" s="24">
        <f t="shared" si="1554"/>
        <v>0</v>
      </c>
      <c r="R2721" s="530">
        <f t="shared" si="1555"/>
        <v>0</v>
      </c>
    </row>
    <row r="2722" spans="1:18">
      <c r="A2722" s="524"/>
      <c r="B2722" s="540" t="s">
        <v>100</v>
      </c>
      <c r="C2722" s="552">
        <v>0</v>
      </c>
      <c r="D2722" s="553">
        <v>0</v>
      </c>
      <c r="E2722" s="553">
        <v>0</v>
      </c>
      <c r="F2722" s="551">
        <v>0</v>
      </c>
      <c r="G2722" s="551">
        <v>0</v>
      </c>
      <c r="H2722" s="551">
        <v>0</v>
      </c>
      <c r="I2722" s="551">
        <v>0</v>
      </c>
      <c r="J2722" s="551">
        <v>0</v>
      </c>
      <c r="K2722" s="527">
        <f t="shared" si="1548"/>
        <v>0</v>
      </c>
      <c r="L2722" s="528">
        <f t="shared" si="1549"/>
        <v>0</v>
      </c>
      <c r="M2722" s="528">
        <f t="shared" si="1550"/>
        <v>0</v>
      </c>
      <c r="N2722" s="528">
        <f t="shared" si="1551"/>
        <v>0</v>
      </c>
      <c r="O2722" s="528">
        <f t="shared" si="1552"/>
        <v>0</v>
      </c>
      <c r="P2722" s="529">
        <f t="shared" si="1553"/>
        <v>0</v>
      </c>
      <c r="Q2722" s="24">
        <f t="shared" si="1554"/>
        <v>0</v>
      </c>
      <c r="R2722" s="530">
        <f t="shared" si="1555"/>
        <v>0</v>
      </c>
    </row>
    <row r="2723" spans="1:18">
      <c r="A2723" s="524"/>
      <c r="B2723" s="540" t="s">
        <v>101</v>
      </c>
      <c r="C2723" s="552">
        <v>0</v>
      </c>
      <c r="D2723" s="553">
        <v>0</v>
      </c>
      <c r="E2723" s="551">
        <v>0</v>
      </c>
      <c r="F2723" s="551">
        <v>0</v>
      </c>
      <c r="G2723" s="551">
        <v>0</v>
      </c>
      <c r="H2723" s="551">
        <v>0</v>
      </c>
      <c r="I2723" s="551">
        <v>0</v>
      </c>
      <c r="J2723" s="551">
        <v>0</v>
      </c>
      <c r="K2723" s="527">
        <f t="shared" si="1548"/>
        <v>0</v>
      </c>
      <c r="L2723" s="528">
        <f t="shared" si="1549"/>
        <v>0</v>
      </c>
      <c r="M2723" s="528">
        <f t="shared" si="1550"/>
        <v>0</v>
      </c>
      <c r="N2723" s="528">
        <f t="shared" si="1551"/>
        <v>0</v>
      </c>
      <c r="O2723" s="528">
        <f t="shared" si="1552"/>
        <v>0</v>
      </c>
      <c r="P2723" s="529">
        <f t="shared" si="1553"/>
        <v>0</v>
      </c>
      <c r="Q2723" s="24">
        <f t="shared" si="1554"/>
        <v>0</v>
      </c>
      <c r="R2723" s="530">
        <f t="shared" si="1555"/>
        <v>0</v>
      </c>
    </row>
    <row r="2724" spans="1:18">
      <c r="A2724" s="524"/>
      <c r="B2724" s="531" t="s">
        <v>96</v>
      </c>
      <c r="C2724" s="533">
        <f t="shared" ref="C2724:J2724" si="1556">SUM(C2720:C2723)</f>
        <v>998.42</v>
      </c>
      <c r="D2724" s="533">
        <f t="shared" si="1556"/>
        <v>8002</v>
      </c>
      <c r="E2724" s="533">
        <f t="shared" si="1556"/>
        <v>397</v>
      </c>
      <c r="F2724" s="533">
        <f t="shared" si="1556"/>
        <v>0</v>
      </c>
      <c r="G2724" s="533">
        <f t="shared" si="1556"/>
        <v>0</v>
      </c>
      <c r="H2724" s="533">
        <f t="shared" si="1556"/>
        <v>33</v>
      </c>
      <c r="I2724" s="533">
        <f t="shared" si="1556"/>
        <v>4</v>
      </c>
      <c r="J2724" s="533">
        <f t="shared" si="1556"/>
        <v>0</v>
      </c>
      <c r="K2724" s="534">
        <f t="shared" si="1548"/>
        <v>0.0496125968507873</v>
      </c>
      <c r="L2724" s="535">
        <f t="shared" si="1549"/>
        <v>2.51491183879093</v>
      </c>
      <c r="M2724" s="535">
        <f t="shared" si="1550"/>
        <v>124.771307173207</v>
      </c>
      <c r="N2724" s="535">
        <f t="shared" si="1551"/>
        <v>0</v>
      </c>
      <c r="O2724" s="535">
        <f t="shared" si="1552"/>
        <v>0</v>
      </c>
      <c r="P2724" s="536">
        <f t="shared" si="1553"/>
        <v>26.9843243243243</v>
      </c>
      <c r="Q2724" s="531">
        <f t="shared" si="1554"/>
        <v>37</v>
      </c>
      <c r="R2724" s="537">
        <f t="shared" si="1555"/>
        <v>0.0931989924433249</v>
      </c>
    </row>
    <row r="2725" spans="1:18">
      <c r="A2725" s="524">
        <v>45995</v>
      </c>
      <c r="B2725" s="540" t="s">
        <v>98</v>
      </c>
      <c r="C2725" s="551">
        <v>993.12</v>
      </c>
      <c r="D2725" s="553">
        <v>8800</v>
      </c>
      <c r="E2725" s="551">
        <v>403</v>
      </c>
      <c r="F2725" s="551">
        <v>3</v>
      </c>
      <c r="G2725" s="551">
        <v>20786</v>
      </c>
      <c r="H2725" s="551">
        <v>16</v>
      </c>
      <c r="I2725" s="551">
        <v>2</v>
      </c>
      <c r="J2725" s="551">
        <v>1</v>
      </c>
      <c r="K2725" s="527">
        <f t="shared" ref="K2725:K2729" si="1557">IF(E2725=0,0,E2725/D2725)</f>
        <v>0.0457954545454545</v>
      </c>
      <c r="L2725" s="528">
        <f t="shared" ref="L2725:L2729" si="1558">IF(C2725=0,0,C2725/E2725)</f>
        <v>2.464317617866</v>
      </c>
      <c r="M2725" s="528">
        <f t="shared" ref="M2725:M2729" si="1559">IF(D2725=0,0,C2725/D2725*1000)</f>
        <v>112.854545454545</v>
      </c>
      <c r="N2725" s="528">
        <f t="shared" ref="N2725:N2729" si="1560">IF(G2725=0,0,G2725/C2725)</f>
        <v>20.9299983889157</v>
      </c>
      <c r="O2725" s="528">
        <f t="shared" ref="O2725:O2729" si="1561">IF(F2725=0,0,F2725/E2725)</f>
        <v>0.00744416873449132</v>
      </c>
      <c r="P2725" s="529">
        <f t="shared" ref="P2725:P2729" si="1562">IF(H2725+I2725=0,0,C2725/(H2725+I2725))</f>
        <v>55.1733333333333</v>
      </c>
      <c r="Q2725" s="24">
        <f t="shared" ref="Q2725:Q2729" si="1563">H2725+I2725</f>
        <v>18</v>
      </c>
      <c r="R2725" s="530">
        <f t="shared" ref="R2725:R2729" si="1564">IF(Q2725=0,0,Q2725/E2725)</f>
        <v>0.0446650124069479</v>
      </c>
    </row>
    <row r="2726" spans="1:18">
      <c r="A2726" s="524"/>
      <c r="B2726" s="540" t="s">
        <v>99</v>
      </c>
      <c r="C2726" s="551">
        <v>0</v>
      </c>
      <c r="D2726" s="556">
        <v>0</v>
      </c>
      <c r="E2726" s="551">
        <v>0</v>
      </c>
      <c r="F2726" s="551">
        <v>0</v>
      </c>
      <c r="G2726" s="551">
        <v>0</v>
      </c>
      <c r="H2726" s="555">
        <v>0</v>
      </c>
      <c r="I2726" s="555">
        <v>0</v>
      </c>
      <c r="J2726" s="555">
        <v>0</v>
      </c>
      <c r="K2726" s="527">
        <f t="shared" si="1557"/>
        <v>0</v>
      </c>
      <c r="L2726" s="528">
        <f t="shared" si="1558"/>
        <v>0</v>
      </c>
      <c r="M2726" s="528">
        <f t="shared" si="1559"/>
        <v>0</v>
      </c>
      <c r="N2726" s="528">
        <f t="shared" si="1560"/>
        <v>0</v>
      </c>
      <c r="O2726" s="528">
        <f t="shared" si="1561"/>
        <v>0</v>
      </c>
      <c r="P2726" s="529">
        <f t="shared" si="1562"/>
        <v>0</v>
      </c>
      <c r="Q2726" s="24">
        <f t="shared" si="1563"/>
        <v>0</v>
      </c>
      <c r="R2726" s="530">
        <f t="shared" si="1564"/>
        <v>0</v>
      </c>
    </row>
    <row r="2727" spans="1:18">
      <c r="A2727" s="524"/>
      <c r="B2727" s="540" t="s">
        <v>100</v>
      </c>
      <c r="C2727" s="552">
        <v>0</v>
      </c>
      <c r="D2727" s="553">
        <v>0</v>
      </c>
      <c r="E2727" s="553">
        <v>0</v>
      </c>
      <c r="F2727" s="551">
        <v>0</v>
      </c>
      <c r="G2727" s="551">
        <v>0</v>
      </c>
      <c r="H2727" s="551">
        <v>0</v>
      </c>
      <c r="I2727" s="551">
        <v>0</v>
      </c>
      <c r="J2727" s="551">
        <v>0</v>
      </c>
      <c r="K2727" s="527">
        <f t="shared" si="1557"/>
        <v>0</v>
      </c>
      <c r="L2727" s="528">
        <f t="shared" si="1558"/>
        <v>0</v>
      </c>
      <c r="M2727" s="528">
        <f t="shared" si="1559"/>
        <v>0</v>
      </c>
      <c r="N2727" s="528">
        <f t="shared" si="1560"/>
        <v>0</v>
      </c>
      <c r="O2727" s="528">
        <f t="shared" si="1561"/>
        <v>0</v>
      </c>
      <c r="P2727" s="529">
        <f t="shared" si="1562"/>
        <v>0</v>
      </c>
      <c r="Q2727" s="24">
        <f t="shared" si="1563"/>
        <v>0</v>
      </c>
      <c r="R2727" s="530">
        <f t="shared" si="1564"/>
        <v>0</v>
      </c>
    </row>
    <row r="2728" spans="1:18">
      <c r="A2728" s="524"/>
      <c r="B2728" s="540" t="s">
        <v>101</v>
      </c>
      <c r="C2728" s="552">
        <v>0</v>
      </c>
      <c r="D2728" s="553">
        <v>0</v>
      </c>
      <c r="E2728" s="551">
        <v>0</v>
      </c>
      <c r="F2728" s="551">
        <v>0</v>
      </c>
      <c r="G2728" s="551">
        <v>0</v>
      </c>
      <c r="H2728" s="551">
        <v>0</v>
      </c>
      <c r="I2728" s="551">
        <v>0</v>
      </c>
      <c r="J2728" s="551">
        <v>0</v>
      </c>
      <c r="K2728" s="527">
        <f t="shared" si="1557"/>
        <v>0</v>
      </c>
      <c r="L2728" s="528">
        <f t="shared" si="1558"/>
        <v>0</v>
      </c>
      <c r="M2728" s="528">
        <f t="shared" si="1559"/>
        <v>0</v>
      </c>
      <c r="N2728" s="528">
        <f t="shared" si="1560"/>
        <v>0</v>
      </c>
      <c r="O2728" s="528">
        <f t="shared" si="1561"/>
        <v>0</v>
      </c>
      <c r="P2728" s="529">
        <f t="shared" si="1562"/>
        <v>0</v>
      </c>
      <c r="Q2728" s="24">
        <f t="shared" si="1563"/>
        <v>0</v>
      </c>
      <c r="R2728" s="530">
        <f t="shared" si="1564"/>
        <v>0</v>
      </c>
    </row>
    <row r="2729" spans="1:18">
      <c r="A2729" s="524"/>
      <c r="B2729" s="531" t="s">
        <v>96</v>
      </c>
      <c r="C2729" s="533">
        <f t="shared" ref="C2729:J2729" si="1565">SUM(C2725:C2728)</f>
        <v>993.12</v>
      </c>
      <c r="D2729" s="533">
        <f t="shared" si="1565"/>
        <v>8800</v>
      </c>
      <c r="E2729" s="533">
        <f t="shared" si="1565"/>
        <v>403</v>
      </c>
      <c r="F2729" s="533">
        <f t="shared" si="1565"/>
        <v>3</v>
      </c>
      <c r="G2729" s="533">
        <f t="shared" si="1565"/>
        <v>20786</v>
      </c>
      <c r="H2729" s="533">
        <f t="shared" si="1565"/>
        <v>16</v>
      </c>
      <c r="I2729" s="533">
        <f t="shared" si="1565"/>
        <v>2</v>
      </c>
      <c r="J2729" s="533">
        <f t="shared" si="1565"/>
        <v>1</v>
      </c>
      <c r="K2729" s="534">
        <f t="shared" si="1557"/>
        <v>0.0457954545454545</v>
      </c>
      <c r="L2729" s="535">
        <f t="shared" si="1558"/>
        <v>2.464317617866</v>
      </c>
      <c r="M2729" s="535">
        <f t="shared" si="1559"/>
        <v>112.854545454545</v>
      </c>
      <c r="N2729" s="535">
        <f t="shared" si="1560"/>
        <v>20.9299983889157</v>
      </c>
      <c r="O2729" s="535">
        <f t="shared" si="1561"/>
        <v>0.00744416873449132</v>
      </c>
      <c r="P2729" s="536">
        <f t="shared" si="1562"/>
        <v>55.1733333333333</v>
      </c>
      <c r="Q2729" s="531">
        <f t="shared" si="1563"/>
        <v>18</v>
      </c>
      <c r="R2729" s="537">
        <f t="shared" si="1564"/>
        <v>0.0446650124069479</v>
      </c>
    </row>
    <row r="2730" spans="1:18">
      <c r="A2730" s="524">
        <v>45996</v>
      </c>
      <c r="B2730" s="540" t="s">
        <v>98</v>
      </c>
      <c r="C2730" s="551">
        <v>999.54</v>
      </c>
      <c r="D2730" s="553">
        <v>8606</v>
      </c>
      <c r="E2730" s="551">
        <v>335</v>
      </c>
      <c r="F2730" s="551">
        <v>0</v>
      </c>
      <c r="G2730" s="551">
        <v>0</v>
      </c>
      <c r="H2730" s="551">
        <v>12</v>
      </c>
      <c r="I2730" s="551">
        <v>3</v>
      </c>
      <c r="J2730" s="551">
        <v>0</v>
      </c>
      <c r="K2730" s="527">
        <f t="shared" ref="K2730:K2734" si="1566">IF(E2730=0,0,E2730/D2730)</f>
        <v>0.038926330467116</v>
      </c>
      <c r="L2730" s="528">
        <f t="shared" ref="L2730:L2734" si="1567">IF(C2730=0,0,C2730/E2730)</f>
        <v>2.98370149253731</v>
      </c>
      <c r="M2730" s="528">
        <f t="shared" ref="M2730:M2734" si="1568">IF(D2730=0,0,C2730/D2730*1000)</f>
        <v>116.144550313735</v>
      </c>
      <c r="N2730" s="528">
        <f t="shared" ref="N2730:N2734" si="1569">IF(G2730=0,0,G2730/C2730)</f>
        <v>0</v>
      </c>
      <c r="O2730" s="528">
        <f t="shared" ref="O2730:O2734" si="1570">IF(F2730=0,0,F2730/E2730)</f>
        <v>0</v>
      </c>
      <c r="P2730" s="529">
        <f t="shared" ref="P2730:P2734" si="1571">IF(H2730+I2730=0,0,C2730/(H2730+I2730))</f>
        <v>66.636</v>
      </c>
      <c r="Q2730" s="24">
        <f t="shared" ref="Q2730:Q2734" si="1572">H2730+I2730</f>
        <v>15</v>
      </c>
      <c r="R2730" s="530">
        <f t="shared" ref="R2730:R2734" si="1573">IF(Q2730=0,0,Q2730/E2730)</f>
        <v>0.0447761194029851</v>
      </c>
    </row>
    <row r="2731" spans="1:18">
      <c r="A2731" s="524"/>
      <c r="B2731" s="540" t="s">
        <v>99</v>
      </c>
      <c r="C2731" s="551">
        <v>0</v>
      </c>
      <c r="D2731" s="556">
        <v>0</v>
      </c>
      <c r="E2731" s="551">
        <v>0</v>
      </c>
      <c r="F2731" s="551">
        <v>0</v>
      </c>
      <c r="G2731" s="551">
        <v>0</v>
      </c>
      <c r="H2731" s="555">
        <v>0</v>
      </c>
      <c r="I2731" s="555">
        <v>0</v>
      </c>
      <c r="J2731" s="555">
        <v>0</v>
      </c>
      <c r="K2731" s="527">
        <f t="shared" si="1566"/>
        <v>0</v>
      </c>
      <c r="L2731" s="528">
        <f t="shared" si="1567"/>
        <v>0</v>
      </c>
      <c r="M2731" s="528">
        <f t="shared" si="1568"/>
        <v>0</v>
      </c>
      <c r="N2731" s="528">
        <f t="shared" si="1569"/>
        <v>0</v>
      </c>
      <c r="O2731" s="528">
        <f t="shared" si="1570"/>
        <v>0</v>
      </c>
      <c r="P2731" s="529">
        <f t="shared" si="1571"/>
        <v>0</v>
      </c>
      <c r="Q2731" s="24">
        <f t="shared" si="1572"/>
        <v>0</v>
      </c>
      <c r="R2731" s="530">
        <f t="shared" si="1573"/>
        <v>0</v>
      </c>
    </row>
    <row r="2732" spans="1:18">
      <c r="A2732" s="524"/>
      <c r="B2732" s="540" t="s">
        <v>100</v>
      </c>
      <c r="C2732" s="552">
        <v>0</v>
      </c>
      <c r="D2732" s="553">
        <v>0</v>
      </c>
      <c r="E2732" s="553">
        <v>0</v>
      </c>
      <c r="F2732" s="551">
        <v>0</v>
      </c>
      <c r="G2732" s="551">
        <v>0</v>
      </c>
      <c r="H2732" s="551">
        <v>0</v>
      </c>
      <c r="I2732" s="551">
        <v>0</v>
      </c>
      <c r="J2732" s="551">
        <v>0</v>
      </c>
      <c r="K2732" s="527">
        <f t="shared" si="1566"/>
        <v>0</v>
      </c>
      <c r="L2732" s="528">
        <f t="shared" si="1567"/>
        <v>0</v>
      </c>
      <c r="M2732" s="528">
        <f t="shared" si="1568"/>
        <v>0</v>
      </c>
      <c r="N2732" s="528">
        <f t="shared" si="1569"/>
        <v>0</v>
      </c>
      <c r="O2732" s="528">
        <f t="shared" si="1570"/>
        <v>0</v>
      </c>
      <c r="P2732" s="529">
        <f t="shared" si="1571"/>
        <v>0</v>
      </c>
      <c r="Q2732" s="24">
        <f t="shared" si="1572"/>
        <v>0</v>
      </c>
      <c r="R2732" s="530">
        <f t="shared" si="1573"/>
        <v>0</v>
      </c>
    </row>
    <row r="2733" spans="1:18">
      <c r="A2733" s="524"/>
      <c r="B2733" s="540" t="s">
        <v>101</v>
      </c>
      <c r="C2733" s="552">
        <v>0</v>
      </c>
      <c r="D2733" s="553">
        <v>0</v>
      </c>
      <c r="E2733" s="551">
        <v>0</v>
      </c>
      <c r="F2733" s="551">
        <v>0</v>
      </c>
      <c r="G2733" s="551">
        <v>0</v>
      </c>
      <c r="H2733" s="551">
        <v>0</v>
      </c>
      <c r="I2733" s="551">
        <v>0</v>
      </c>
      <c r="J2733" s="551">
        <v>0</v>
      </c>
      <c r="K2733" s="527">
        <f t="shared" si="1566"/>
        <v>0</v>
      </c>
      <c r="L2733" s="528">
        <f t="shared" si="1567"/>
        <v>0</v>
      </c>
      <c r="M2733" s="528">
        <f t="shared" si="1568"/>
        <v>0</v>
      </c>
      <c r="N2733" s="528">
        <f t="shared" si="1569"/>
        <v>0</v>
      </c>
      <c r="O2733" s="528">
        <f t="shared" si="1570"/>
        <v>0</v>
      </c>
      <c r="P2733" s="529">
        <f t="shared" si="1571"/>
        <v>0</v>
      </c>
      <c r="Q2733" s="24">
        <f t="shared" si="1572"/>
        <v>0</v>
      </c>
      <c r="R2733" s="530">
        <f t="shared" si="1573"/>
        <v>0</v>
      </c>
    </row>
    <row r="2734" spans="1:18">
      <c r="A2734" s="524"/>
      <c r="B2734" s="531" t="s">
        <v>96</v>
      </c>
      <c r="C2734" s="533">
        <f t="shared" ref="C2734:J2734" si="1574">SUM(C2730:C2733)</f>
        <v>999.54</v>
      </c>
      <c r="D2734" s="533">
        <f t="shared" si="1574"/>
        <v>8606</v>
      </c>
      <c r="E2734" s="533">
        <f t="shared" si="1574"/>
        <v>335</v>
      </c>
      <c r="F2734" s="533">
        <f t="shared" si="1574"/>
        <v>0</v>
      </c>
      <c r="G2734" s="533">
        <f t="shared" si="1574"/>
        <v>0</v>
      </c>
      <c r="H2734" s="533">
        <f t="shared" si="1574"/>
        <v>12</v>
      </c>
      <c r="I2734" s="533">
        <f t="shared" si="1574"/>
        <v>3</v>
      </c>
      <c r="J2734" s="533">
        <f t="shared" si="1574"/>
        <v>0</v>
      </c>
      <c r="K2734" s="534">
        <f t="shared" si="1566"/>
        <v>0.038926330467116</v>
      </c>
      <c r="L2734" s="535">
        <f t="shared" si="1567"/>
        <v>2.98370149253731</v>
      </c>
      <c r="M2734" s="535">
        <f t="shared" si="1568"/>
        <v>116.144550313735</v>
      </c>
      <c r="N2734" s="535">
        <f t="shared" si="1569"/>
        <v>0</v>
      </c>
      <c r="O2734" s="535">
        <f t="shared" si="1570"/>
        <v>0</v>
      </c>
      <c r="P2734" s="536">
        <f t="shared" si="1571"/>
        <v>66.636</v>
      </c>
      <c r="Q2734" s="531">
        <f t="shared" si="1572"/>
        <v>15</v>
      </c>
      <c r="R2734" s="537">
        <f t="shared" si="1573"/>
        <v>0.0447761194029851</v>
      </c>
    </row>
    <row r="2735" spans="1:18">
      <c r="A2735" s="524">
        <v>45997</v>
      </c>
      <c r="B2735" s="540" t="s">
        <v>98</v>
      </c>
      <c r="C2735" s="551">
        <v>1000</v>
      </c>
      <c r="D2735" s="553">
        <v>10317</v>
      </c>
      <c r="E2735" s="551">
        <v>494</v>
      </c>
      <c r="F2735" s="551">
        <v>0</v>
      </c>
      <c r="G2735" s="551">
        <v>0</v>
      </c>
      <c r="H2735" s="551">
        <v>25</v>
      </c>
      <c r="I2735" s="551">
        <v>6</v>
      </c>
      <c r="J2735" s="551">
        <v>2</v>
      </c>
      <c r="K2735" s="527">
        <f t="shared" ref="K2735:K2739" si="1575">IF(E2735=0,0,E2735/D2735)</f>
        <v>0.0478821362799263</v>
      </c>
      <c r="L2735" s="528">
        <f t="shared" ref="L2735:L2739" si="1576">IF(C2735=0,0,C2735/E2735)</f>
        <v>2.02429149797571</v>
      </c>
      <c r="M2735" s="528">
        <f t="shared" ref="M2735:M2739" si="1577">IF(D2735=0,0,C2735/D2735*1000)</f>
        <v>96.9274013763691</v>
      </c>
      <c r="N2735" s="528">
        <f t="shared" ref="N2735:N2739" si="1578">IF(G2735=0,0,G2735/C2735)</f>
        <v>0</v>
      </c>
      <c r="O2735" s="528">
        <f t="shared" ref="O2735:O2739" si="1579">IF(F2735=0,0,F2735/E2735)</f>
        <v>0</v>
      </c>
      <c r="P2735" s="529">
        <f t="shared" ref="P2735:P2739" si="1580">IF(H2735+I2735=0,0,C2735/(H2735+I2735))</f>
        <v>32.258064516129</v>
      </c>
      <c r="Q2735" s="24">
        <f t="shared" ref="Q2735:Q2739" si="1581">H2735+I2735</f>
        <v>31</v>
      </c>
      <c r="R2735" s="530">
        <f t="shared" ref="R2735:R2739" si="1582">IF(Q2735=0,0,Q2735/E2735)</f>
        <v>0.062753036437247</v>
      </c>
    </row>
    <row r="2736" spans="1:18">
      <c r="A2736" s="524"/>
      <c r="B2736" s="540" t="s">
        <v>99</v>
      </c>
      <c r="C2736" s="551">
        <v>0</v>
      </c>
      <c r="D2736" s="556">
        <v>0</v>
      </c>
      <c r="E2736" s="551">
        <v>0</v>
      </c>
      <c r="F2736" s="551">
        <v>0</v>
      </c>
      <c r="G2736" s="551">
        <v>0</v>
      </c>
      <c r="H2736" s="555">
        <v>0</v>
      </c>
      <c r="I2736" s="555">
        <v>0</v>
      </c>
      <c r="J2736" s="555">
        <v>0</v>
      </c>
      <c r="K2736" s="527">
        <f t="shared" si="1575"/>
        <v>0</v>
      </c>
      <c r="L2736" s="528">
        <f t="shared" si="1576"/>
        <v>0</v>
      </c>
      <c r="M2736" s="528">
        <f t="shared" si="1577"/>
        <v>0</v>
      </c>
      <c r="N2736" s="528">
        <f t="shared" si="1578"/>
        <v>0</v>
      </c>
      <c r="O2736" s="528">
        <f t="shared" si="1579"/>
        <v>0</v>
      </c>
      <c r="P2736" s="529">
        <f t="shared" si="1580"/>
        <v>0</v>
      </c>
      <c r="Q2736" s="24">
        <f t="shared" si="1581"/>
        <v>0</v>
      </c>
      <c r="R2736" s="530">
        <f t="shared" si="1582"/>
        <v>0</v>
      </c>
    </row>
    <row r="2737" spans="1:18">
      <c r="A2737" s="524"/>
      <c r="B2737" s="540" t="s">
        <v>100</v>
      </c>
      <c r="C2737" s="552">
        <v>0</v>
      </c>
      <c r="D2737" s="553">
        <v>0</v>
      </c>
      <c r="E2737" s="553">
        <v>0</v>
      </c>
      <c r="F2737" s="551">
        <v>0</v>
      </c>
      <c r="G2737" s="551">
        <v>0</v>
      </c>
      <c r="H2737" s="551">
        <v>0</v>
      </c>
      <c r="I2737" s="551">
        <v>0</v>
      </c>
      <c r="J2737" s="551">
        <v>0</v>
      </c>
      <c r="K2737" s="527">
        <f t="shared" si="1575"/>
        <v>0</v>
      </c>
      <c r="L2737" s="528">
        <f t="shared" si="1576"/>
        <v>0</v>
      </c>
      <c r="M2737" s="528">
        <f t="shared" si="1577"/>
        <v>0</v>
      </c>
      <c r="N2737" s="528">
        <f t="shared" si="1578"/>
        <v>0</v>
      </c>
      <c r="O2737" s="528">
        <f t="shared" si="1579"/>
        <v>0</v>
      </c>
      <c r="P2737" s="529">
        <f t="shared" si="1580"/>
        <v>0</v>
      </c>
      <c r="Q2737" s="24">
        <f t="shared" si="1581"/>
        <v>0</v>
      </c>
      <c r="R2737" s="530">
        <f t="shared" si="1582"/>
        <v>0</v>
      </c>
    </row>
    <row r="2738" spans="1:18">
      <c r="A2738" s="524"/>
      <c r="B2738" s="540" t="s">
        <v>101</v>
      </c>
      <c r="C2738" s="552">
        <v>0</v>
      </c>
      <c r="D2738" s="553">
        <v>0</v>
      </c>
      <c r="E2738" s="551">
        <v>0</v>
      </c>
      <c r="F2738" s="551">
        <v>0</v>
      </c>
      <c r="G2738" s="551">
        <v>0</v>
      </c>
      <c r="H2738" s="551">
        <v>0</v>
      </c>
      <c r="I2738" s="551">
        <v>0</v>
      </c>
      <c r="J2738" s="551">
        <v>0</v>
      </c>
      <c r="K2738" s="527">
        <f t="shared" si="1575"/>
        <v>0</v>
      </c>
      <c r="L2738" s="528">
        <f t="shared" si="1576"/>
        <v>0</v>
      </c>
      <c r="M2738" s="528">
        <f t="shared" si="1577"/>
        <v>0</v>
      </c>
      <c r="N2738" s="528">
        <f t="shared" si="1578"/>
        <v>0</v>
      </c>
      <c r="O2738" s="528">
        <f t="shared" si="1579"/>
        <v>0</v>
      </c>
      <c r="P2738" s="529">
        <f t="shared" si="1580"/>
        <v>0</v>
      </c>
      <c r="Q2738" s="24">
        <f t="shared" si="1581"/>
        <v>0</v>
      </c>
      <c r="R2738" s="530">
        <f t="shared" si="1582"/>
        <v>0</v>
      </c>
    </row>
    <row r="2739" spans="1:18">
      <c r="A2739" s="524"/>
      <c r="B2739" s="531" t="s">
        <v>96</v>
      </c>
      <c r="C2739" s="533">
        <f t="shared" ref="C2739:J2739" si="1583">SUM(C2735:C2738)</f>
        <v>1000</v>
      </c>
      <c r="D2739" s="533">
        <f t="shared" si="1583"/>
        <v>10317</v>
      </c>
      <c r="E2739" s="533">
        <f t="shared" si="1583"/>
        <v>494</v>
      </c>
      <c r="F2739" s="533">
        <f t="shared" si="1583"/>
        <v>0</v>
      </c>
      <c r="G2739" s="533">
        <f t="shared" si="1583"/>
        <v>0</v>
      </c>
      <c r="H2739" s="533">
        <f t="shared" si="1583"/>
        <v>25</v>
      </c>
      <c r="I2739" s="533">
        <f t="shared" si="1583"/>
        <v>6</v>
      </c>
      <c r="J2739" s="533">
        <f t="shared" si="1583"/>
        <v>2</v>
      </c>
      <c r="K2739" s="534">
        <f t="shared" si="1575"/>
        <v>0.0478821362799263</v>
      </c>
      <c r="L2739" s="535">
        <f t="shared" si="1576"/>
        <v>2.02429149797571</v>
      </c>
      <c r="M2739" s="535">
        <f t="shared" si="1577"/>
        <v>96.9274013763691</v>
      </c>
      <c r="N2739" s="535">
        <f t="shared" si="1578"/>
        <v>0</v>
      </c>
      <c r="O2739" s="535">
        <f t="shared" si="1579"/>
        <v>0</v>
      </c>
      <c r="P2739" s="536">
        <f t="shared" si="1580"/>
        <v>32.258064516129</v>
      </c>
      <c r="Q2739" s="531">
        <f t="shared" si="1581"/>
        <v>31</v>
      </c>
      <c r="R2739" s="537">
        <f t="shared" si="1582"/>
        <v>0.062753036437247</v>
      </c>
    </row>
    <row r="2740" spans="1:18">
      <c r="A2740" s="524">
        <v>45998</v>
      </c>
      <c r="B2740" s="540" t="s">
        <v>98</v>
      </c>
      <c r="C2740" s="551">
        <v>1000</v>
      </c>
      <c r="D2740" s="553">
        <v>11585</v>
      </c>
      <c r="E2740" s="551">
        <v>452</v>
      </c>
      <c r="F2740" s="551">
        <v>0</v>
      </c>
      <c r="G2740" s="551">
        <v>0</v>
      </c>
      <c r="H2740" s="551">
        <v>18</v>
      </c>
      <c r="I2740" s="551">
        <v>4</v>
      </c>
      <c r="J2740" s="551">
        <v>2</v>
      </c>
      <c r="K2740" s="527">
        <f t="shared" ref="K2740:K2744" si="1584">IF(E2740=0,0,E2740/D2740)</f>
        <v>0.0390159689253345</v>
      </c>
      <c r="L2740" s="528">
        <f t="shared" ref="L2740:L2744" si="1585">IF(C2740=0,0,C2740/E2740)</f>
        <v>2.21238938053097</v>
      </c>
      <c r="M2740" s="528">
        <f t="shared" ref="M2740:M2744" si="1586">IF(D2740=0,0,C2740/D2740*1000)</f>
        <v>86.3185153215365</v>
      </c>
      <c r="N2740" s="528">
        <f t="shared" ref="N2740:N2744" si="1587">IF(G2740=0,0,G2740/C2740)</f>
        <v>0</v>
      </c>
      <c r="O2740" s="528">
        <f t="shared" ref="O2740:O2744" si="1588">IF(F2740=0,0,F2740/E2740)</f>
        <v>0</v>
      </c>
      <c r="P2740" s="529">
        <f t="shared" ref="P2740:P2744" si="1589">IF(H2740+I2740=0,0,C2740/(H2740+I2740))</f>
        <v>45.4545454545455</v>
      </c>
      <c r="Q2740" s="24">
        <f t="shared" ref="Q2740:Q2744" si="1590">H2740+I2740</f>
        <v>22</v>
      </c>
      <c r="R2740" s="530">
        <f t="shared" ref="R2740:R2744" si="1591">IF(Q2740=0,0,Q2740/E2740)</f>
        <v>0.0486725663716814</v>
      </c>
    </row>
    <row r="2741" spans="1:18">
      <c r="A2741" s="524"/>
      <c r="B2741" s="540" t="s">
        <v>99</v>
      </c>
      <c r="C2741" s="551">
        <v>0</v>
      </c>
      <c r="D2741" s="556">
        <v>0</v>
      </c>
      <c r="E2741" s="551">
        <v>0</v>
      </c>
      <c r="F2741" s="551">
        <v>0</v>
      </c>
      <c r="G2741" s="551">
        <v>0</v>
      </c>
      <c r="H2741" s="555">
        <v>0</v>
      </c>
      <c r="I2741" s="555">
        <v>0</v>
      </c>
      <c r="J2741" s="555">
        <v>0</v>
      </c>
      <c r="K2741" s="527">
        <f t="shared" si="1584"/>
        <v>0</v>
      </c>
      <c r="L2741" s="528">
        <f t="shared" si="1585"/>
        <v>0</v>
      </c>
      <c r="M2741" s="528">
        <f t="shared" si="1586"/>
        <v>0</v>
      </c>
      <c r="N2741" s="528">
        <f t="shared" si="1587"/>
        <v>0</v>
      </c>
      <c r="O2741" s="528">
        <f t="shared" si="1588"/>
        <v>0</v>
      </c>
      <c r="P2741" s="529">
        <f t="shared" si="1589"/>
        <v>0</v>
      </c>
      <c r="Q2741" s="24">
        <f t="shared" si="1590"/>
        <v>0</v>
      </c>
      <c r="R2741" s="530">
        <f t="shared" si="1591"/>
        <v>0</v>
      </c>
    </row>
    <row r="2742" spans="1:18">
      <c r="A2742" s="524"/>
      <c r="B2742" s="540" t="s">
        <v>100</v>
      </c>
      <c r="C2742" s="552">
        <v>0</v>
      </c>
      <c r="D2742" s="553">
        <v>0</v>
      </c>
      <c r="E2742" s="553">
        <v>0</v>
      </c>
      <c r="F2742" s="551">
        <v>0</v>
      </c>
      <c r="G2742" s="551">
        <v>0</v>
      </c>
      <c r="H2742" s="551">
        <v>0</v>
      </c>
      <c r="I2742" s="551">
        <v>0</v>
      </c>
      <c r="J2742" s="551">
        <v>0</v>
      </c>
      <c r="K2742" s="527">
        <f t="shared" si="1584"/>
        <v>0</v>
      </c>
      <c r="L2742" s="528">
        <f t="shared" si="1585"/>
        <v>0</v>
      </c>
      <c r="M2742" s="528">
        <f t="shared" si="1586"/>
        <v>0</v>
      </c>
      <c r="N2742" s="528">
        <f t="shared" si="1587"/>
        <v>0</v>
      </c>
      <c r="O2742" s="528">
        <f t="shared" si="1588"/>
        <v>0</v>
      </c>
      <c r="P2742" s="529">
        <f t="shared" si="1589"/>
        <v>0</v>
      </c>
      <c r="Q2742" s="24">
        <f t="shared" si="1590"/>
        <v>0</v>
      </c>
      <c r="R2742" s="530">
        <f t="shared" si="1591"/>
        <v>0</v>
      </c>
    </row>
    <row r="2743" spans="1:18">
      <c r="A2743" s="524"/>
      <c r="B2743" s="540" t="s">
        <v>101</v>
      </c>
      <c r="C2743" s="552">
        <v>0</v>
      </c>
      <c r="D2743" s="553">
        <v>0</v>
      </c>
      <c r="E2743" s="551">
        <v>0</v>
      </c>
      <c r="F2743" s="551">
        <v>0</v>
      </c>
      <c r="G2743" s="551">
        <v>0</v>
      </c>
      <c r="H2743" s="551">
        <v>0</v>
      </c>
      <c r="I2743" s="551">
        <v>0</v>
      </c>
      <c r="J2743" s="551">
        <v>0</v>
      </c>
      <c r="K2743" s="527">
        <f t="shared" si="1584"/>
        <v>0</v>
      </c>
      <c r="L2743" s="528">
        <f t="shared" si="1585"/>
        <v>0</v>
      </c>
      <c r="M2743" s="528">
        <f t="shared" si="1586"/>
        <v>0</v>
      </c>
      <c r="N2743" s="528">
        <f t="shared" si="1587"/>
        <v>0</v>
      </c>
      <c r="O2743" s="528">
        <f t="shared" si="1588"/>
        <v>0</v>
      </c>
      <c r="P2743" s="529">
        <f t="shared" si="1589"/>
        <v>0</v>
      </c>
      <c r="Q2743" s="24">
        <f t="shared" si="1590"/>
        <v>0</v>
      </c>
      <c r="R2743" s="530">
        <f t="shared" si="1591"/>
        <v>0</v>
      </c>
    </row>
    <row r="2744" spans="1:18">
      <c r="A2744" s="524"/>
      <c r="B2744" s="531" t="s">
        <v>96</v>
      </c>
      <c r="C2744" s="533">
        <f t="shared" ref="C2744:J2744" si="1592">SUM(C2740:C2743)</f>
        <v>1000</v>
      </c>
      <c r="D2744" s="533">
        <f t="shared" si="1592"/>
        <v>11585</v>
      </c>
      <c r="E2744" s="533">
        <f t="shared" si="1592"/>
        <v>452</v>
      </c>
      <c r="F2744" s="533">
        <f t="shared" si="1592"/>
        <v>0</v>
      </c>
      <c r="G2744" s="533">
        <f t="shared" si="1592"/>
        <v>0</v>
      </c>
      <c r="H2744" s="533">
        <f t="shared" si="1592"/>
        <v>18</v>
      </c>
      <c r="I2744" s="533">
        <f t="shared" si="1592"/>
        <v>4</v>
      </c>
      <c r="J2744" s="533">
        <f t="shared" si="1592"/>
        <v>2</v>
      </c>
      <c r="K2744" s="534">
        <f t="shared" si="1584"/>
        <v>0.0390159689253345</v>
      </c>
      <c r="L2744" s="535">
        <f t="shared" si="1585"/>
        <v>2.21238938053097</v>
      </c>
      <c r="M2744" s="535">
        <f t="shared" si="1586"/>
        <v>86.3185153215365</v>
      </c>
      <c r="N2744" s="535">
        <f t="shared" si="1587"/>
        <v>0</v>
      </c>
      <c r="O2744" s="535">
        <f t="shared" si="1588"/>
        <v>0</v>
      </c>
      <c r="P2744" s="536">
        <f t="shared" si="1589"/>
        <v>45.4545454545455</v>
      </c>
      <c r="Q2744" s="531">
        <f t="shared" si="1590"/>
        <v>22</v>
      </c>
      <c r="R2744" s="537">
        <f t="shared" si="1591"/>
        <v>0.0486725663716814</v>
      </c>
    </row>
    <row r="2745" spans="1:18">
      <c r="A2745" s="524">
        <v>45999</v>
      </c>
      <c r="B2745" s="540" t="s">
        <v>98</v>
      </c>
      <c r="C2745" s="551">
        <v>992.33</v>
      </c>
      <c r="D2745" s="553">
        <v>12319</v>
      </c>
      <c r="E2745" s="551">
        <v>476</v>
      </c>
      <c r="F2745" s="551">
        <v>0</v>
      </c>
      <c r="G2745" s="551">
        <v>0</v>
      </c>
      <c r="H2745" s="551">
        <v>22</v>
      </c>
      <c r="I2745" s="551">
        <v>5</v>
      </c>
      <c r="J2745" s="551">
        <v>2</v>
      </c>
      <c r="K2745" s="527">
        <f t="shared" ref="K2745:K2749" si="1593">IF(E2745=0,0,E2745/D2745)</f>
        <v>0.0386394999594123</v>
      </c>
      <c r="L2745" s="528">
        <f t="shared" ref="L2745:L2749" si="1594">IF(C2745=0,0,C2745/E2745)</f>
        <v>2.0847268907563</v>
      </c>
      <c r="M2745" s="528">
        <f t="shared" ref="M2745:M2749" si="1595">IF(D2745=0,0,C2745/D2745*1000)</f>
        <v>80.5528046107639</v>
      </c>
      <c r="N2745" s="528">
        <f t="shared" ref="N2745:N2749" si="1596">IF(G2745=0,0,G2745/C2745)</f>
        <v>0</v>
      </c>
      <c r="O2745" s="528">
        <f t="shared" ref="O2745:O2749" si="1597">IF(F2745=0,0,F2745/E2745)</f>
        <v>0</v>
      </c>
      <c r="P2745" s="529">
        <f t="shared" ref="P2745:P2749" si="1598">IF(H2745+I2745=0,0,C2745/(H2745+I2745))</f>
        <v>36.752962962963</v>
      </c>
      <c r="Q2745" s="24">
        <f t="shared" ref="Q2745:Q2749" si="1599">H2745+I2745</f>
        <v>27</v>
      </c>
      <c r="R2745" s="530">
        <f t="shared" ref="R2745:R2749" si="1600">IF(Q2745=0,0,Q2745/E2745)</f>
        <v>0.0567226890756303</v>
      </c>
    </row>
    <row r="2746" spans="1:18">
      <c r="A2746" s="524"/>
      <c r="B2746" s="540" t="s">
        <v>99</v>
      </c>
      <c r="C2746" s="551">
        <v>0</v>
      </c>
      <c r="D2746" s="556">
        <v>0</v>
      </c>
      <c r="E2746" s="551">
        <v>0</v>
      </c>
      <c r="F2746" s="551">
        <v>0</v>
      </c>
      <c r="G2746" s="551">
        <v>0</v>
      </c>
      <c r="H2746" s="555">
        <v>0</v>
      </c>
      <c r="I2746" s="555">
        <v>0</v>
      </c>
      <c r="J2746" s="555">
        <v>0</v>
      </c>
      <c r="K2746" s="527">
        <f t="shared" si="1593"/>
        <v>0</v>
      </c>
      <c r="L2746" s="528">
        <f t="shared" si="1594"/>
        <v>0</v>
      </c>
      <c r="M2746" s="528">
        <f t="shared" si="1595"/>
        <v>0</v>
      </c>
      <c r="N2746" s="528">
        <f t="shared" si="1596"/>
        <v>0</v>
      </c>
      <c r="O2746" s="528">
        <f t="shared" si="1597"/>
        <v>0</v>
      </c>
      <c r="P2746" s="529">
        <f t="shared" si="1598"/>
        <v>0</v>
      </c>
      <c r="Q2746" s="24">
        <f t="shared" si="1599"/>
        <v>0</v>
      </c>
      <c r="R2746" s="530">
        <f t="shared" si="1600"/>
        <v>0</v>
      </c>
    </row>
    <row r="2747" spans="1:18">
      <c r="A2747" s="524"/>
      <c r="B2747" s="540" t="s">
        <v>100</v>
      </c>
      <c r="C2747" s="552">
        <v>0</v>
      </c>
      <c r="D2747" s="553">
        <v>0</v>
      </c>
      <c r="E2747" s="553">
        <v>0</v>
      </c>
      <c r="F2747" s="551">
        <v>0</v>
      </c>
      <c r="G2747" s="551">
        <v>0</v>
      </c>
      <c r="H2747" s="551">
        <v>0</v>
      </c>
      <c r="I2747" s="551">
        <v>0</v>
      </c>
      <c r="J2747" s="551">
        <v>0</v>
      </c>
      <c r="K2747" s="527">
        <f t="shared" si="1593"/>
        <v>0</v>
      </c>
      <c r="L2747" s="528">
        <f t="shared" si="1594"/>
        <v>0</v>
      </c>
      <c r="M2747" s="528">
        <f t="shared" si="1595"/>
        <v>0</v>
      </c>
      <c r="N2747" s="528">
        <f t="shared" si="1596"/>
        <v>0</v>
      </c>
      <c r="O2747" s="528">
        <f t="shared" si="1597"/>
        <v>0</v>
      </c>
      <c r="P2747" s="529">
        <f t="shared" si="1598"/>
        <v>0</v>
      </c>
      <c r="Q2747" s="24">
        <f t="shared" si="1599"/>
        <v>0</v>
      </c>
      <c r="R2747" s="530">
        <f t="shared" si="1600"/>
        <v>0</v>
      </c>
    </row>
    <row r="2748" spans="1:18">
      <c r="A2748" s="524"/>
      <c r="B2748" s="540" t="s">
        <v>101</v>
      </c>
      <c r="C2748" s="552">
        <v>0</v>
      </c>
      <c r="D2748" s="553">
        <v>0</v>
      </c>
      <c r="E2748" s="551">
        <v>0</v>
      </c>
      <c r="F2748" s="551">
        <v>0</v>
      </c>
      <c r="G2748" s="551">
        <v>0</v>
      </c>
      <c r="H2748" s="551">
        <v>0</v>
      </c>
      <c r="I2748" s="551">
        <v>0</v>
      </c>
      <c r="J2748" s="551">
        <v>0</v>
      </c>
      <c r="K2748" s="527">
        <f t="shared" si="1593"/>
        <v>0</v>
      </c>
      <c r="L2748" s="528">
        <f t="shared" si="1594"/>
        <v>0</v>
      </c>
      <c r="M2748" s="528">
        <f t="shared" si="1595"/>
        <v>0</v>
      </c>
      <c r="N2748" s="528">
        <f t="shared" si="1596"/>
        <v>0</v>
      </c>
      <c r="O2748" s="528">
        <f t="shared" si="1597"/>
        <v>0</v>
      </c>
      <c r="P2748" s="529">
        <f t="shared" si="1598"/>
        <v>0</v>
      </c>
      <c r="Q2748" s="24">
        <f t="shared" si="1599"/>
        <v>0</v>
      </c>
      <c r="R2748" s="530">
        <f t="shared" si="1600"/>
        <v>0</v>
      </c>
    </row>
    <row r="2749" spans="1:18">
      <c r="A2749" s="524"/>
      <c r="B2749" s="531" t="s">
        <v>96</v>
      </c>
      <c r="C2749" s="533">
        <f t="shared" ref="C2749:J2749" si="1601">SUM(C2745:C2748)</f>
        <v>992.33</v>
      </c>
      <c r="D2749" s="533">
        <f t="shared" si="1601"/>
        <v>12319</v>
      </c>
      <c r="E2749" s="533">
        <f t="shared" si="1601"/>
        <v>476</v>
      </c>
      <c r="F2749" s="533">
        <f t="shared" si="1601"/>
        <v>0</v>
      </c>
      <c r="G2749" s="533">
        <f t="shared" si="1601"/>
        <v>0</v>
      </c>
      <c r="H2749" s="533">
        <f t="shared" si="1601"/>
        <v>22</v>
      </c>
      <c r="I2749" s="533">
        <f t="shared" si="1601"/>
        <v>5</v>
      </c>
      <c r="J2749" s="533">
        <f t="shared" si="1601"/>
        <v>2</v>
      </c>
      <c r="K2749" s="534">
        <f t="shared" si="1593"/>
        <v>0.0386394999594123</v>
      </c>
      <c r="L2749" s="535">
        <f t="shared" si="1594"/>
        <v>2.0847268907563</v>
      </c>
      <c r="M2749" s="535">
        <f t="shared" si="1595"/>
        <v>80.5528046107639</v>
      </c>
      <c r="N2749" s="535">
        <f t="shared" si="1596"/>
        <v>0</v>
      </c>
      <c r="O2749" s="535">
        <f t="shared" si="1597"/>
        <v>0</v>
      </c>
      <c r="P2749" s="536">
        <f t="shared" si="1598"/>
        <v>36.752962962963</v>
      </c>
      <c r="Q2749" s="531">
        <f t="shared" si="1599"/>
        <v>27</v>
      </c>
      <c r="R2749" s="537">
        <f t="shared" si="1600"/>
        <v>0.0567226890756303</v>
      </c>
    </row>
    <row r="2750" spans="1:18">
      <c r="A2750" s="524">
        <v>46000</v>
      </c>
      <c r="B2750" s="540" t="s">
        <v>98</v>
      </c>
      <c r="C2750" s="551">
        <v>994.58</v>
      </c>
      <c r="D2750" s="553">
        <v>9510</v>
      </c>
      <c r="E2750" s="551">
        <v>460</v>
      </c>
      <c r="F2750" s="551">
        <v>1</v>
      </c>
      <c r="G2750" s="551">
        <v>7422</v>
      </c>
      <c r="H2750" s="551">
        <v>18</v>
      </c>
      <c r="I2750" s="551">
        <v>0</v>
      </c>
      <c r="J2750" s="551">
        <v>0</v>
      </c>
      <c r="K2750" s="527">
        <f t="shared" ref="K2750:K2754" si="1602">IF(E2750=0,0,E2750/D2750)</f>
        <v>0.0483701366982124</v>
      </c>
      <c r="L2750" s="528">
        <f t="shared" ref="L2750:L2754" si="1603">IF(C2750=0,0,C2750/E2750)</f>
        <v>2.16213043478261</v>
      </c>
      <c r="M2750" s="528">
        <f t="shared" ref="M2750:M2754" si="1604">IF(D2750=0,0,C2750/D2750*1000)</f>
        <v>104.5825446898</v>
      </c>
      <c r="N2750" s="528">
        <f t="shared" ref="N2750:N2754" si="1605">IF(G2750=0,0,G2750/C2750)</f>
        <v>7.46244645981218</v>
      </c>
      <c r="O2750" s="528">
        <f t="shared" ref="O2750:O2754" si="1606">IF(F2750=0,0,F2750/E2750)</f>
        <v>0.00217391304347826</v>
      </c>
      <c r="P2750" s="529">
        <f t="shared" ref="P2750:P2754" si="1607">IF(H2750+I2750=0,0,C2750/(H2750+I2750))</f>
        <v>55.2544444444444</v>
      </c>
      <c r="Q2750" s="24">
        <f t="shared" ref="Q2750:Q2754" si="1608">H2750+I2750</f>
        <v>18</v>
      </c>
      <c r="R2750" s="530">
        <f t="shared" ref="R2750:R2754" si="1609">IF(Q2750=0,0,Q2750/E2750)</f>
        <v>0.0391304347826087</v>
      </c>
    </row>
    <row r="2751" spans="1:18">
      <c r="A2751" s="524"/>
      <c r="B2751" s="540" t="s">
        <v>99</v>
      </c>
      <c r="C2751" s="551">
        <v>698.78</v>
      </c>
      <c r="D2751" s="556">
        <v>3348</v>
      </c>
      <c r="E2751" s="551">
        <v>263</v>
      </c>
      <c r="F2751" s="551">
        <v>1</v>
      </c>
      <c r="G2751" s="551">
        <v>31968</v>
      </c>
      <c r="H2751" s="555">
        <v>7</v>
      </c>
      <c r="I2751" s="555">
        <v>1</v>
      </c>
      <c r="J2751" s="555">
        <v>2</v>
      </c>
      <c r="K2751" s="527">
        <f t="shared" si="1602"/>
        <v>0.0785543608124253</v>
      </c>
      <c r="L2751" s="528">
        <f t="shared" si="1603"/>
        <v>2.65695817490494</v>
      </c>
      <c r="M2751" s="528">
        <f t="shared" si="1604"/>
        <v>208.715651135006</v>
      </c>
      <c r="N2751" s="528">
        <f t="shared" si="1605"/>
        <v>45.7483041872979</v>
      </c>
      <c r="O2751" s="528">
        <f t="shared" si="1606"/>
        <v>0.00380228136882129</v>
      </c>
      <c r="P2751" s="529">
        <f t="shared" si="1607"/>
        <v>87.3475</v>
      </c>
      <c r="Q2751" s="24">
        <f t="shared" si="1608"/>
        <v>8</v>
      </c>
      <c r="R2751" s="530">
        <f t="shared" si="1609"/>
        <v>0.0304182509505703</v>
      </c>
    </row>
    <row r="2752" spans="1:18">
      <c r="A2752" s="524"/>
      <c r="B2752" s="540" t="s">
        <v>100</v>
      </c>
      <c r="C2752" s="552">
        <v>0</v>
      </c>
      <c r="D2752" s="553">
        <v>0</v>
      </c>
      <c r="E2752" s="553">
        <v>0</v>
      </c>
      <c r="F2752" s="551">
        <v>0</v>
      </c>
      <c r="G2752" s="551">
        <v>0</v>
      </c>
      <c r="H2752" s="551">
        <v>0</v>
      </c>
      <c r="I2752" s="551">
        <v>0</v>
      </c>
      <c r="J2752" s="551">
        <v>0</v>
      </c>
      <c r="K2752" s="527">
        <f t="shared" si="1602"/>
        <v>0</v>
      </c>
      <c r="L2752" s="528">
        <f t="shared" si="1603"/>
        <v>0</v>
      </c>
      <c r="M2752" s="528">
        <f t="shared" si="1604"/>
        <v>0</v>
      </c>
      <c r="N2752" s="528">
        <f t="shared" si="1605"/>
        <v>0</v>
      </c>
      <c r="O2752" s="528">
        <f t="shared" si="1606"/>
        <v>0</v>
      </c>
      <c r="P2752" s="529">
        <f t="shared" si="1607"/>
        <v>0</v>
      </c>
      <c r="Q2752" s="24">
        <f t="shared" si="1608"/>
        <v>0</v>
      </c>
      <c r="R2752" s="530">
        <f t="shared" si="1609"/>
        <v>0</v>
      </c>
    </row>
    <row r="2753" spans="1:18">
      <c r="A2753" s="524"/>
      <c r="B2753" s="540" t="s">
        <v>101</v>
      </c>
      <c r="C2753" s="552">
        <v>0</v>
      </c>
      <c r="D2753" s="553">
        <v>0</v>
      </c>
      <c r="E2753" s="551">
        <v>0</v>
      </c>
      <c r="F2753" s="551">
        <v>0</v>
      </c>
      <c r="G2753" s="551">
        <v>0</v>
      </c>
      <c r="H2753" s="551">
        <v>0</v>
      </c>
      <c r="I2753" s="551">
        <v>0</v>
      </c>
      <c r="J2753" s="551">
        <v>0</v>
      </c>
      <c r="K2753" s="527">
        <f t="shared" si="1602"/>
        <v>0</v>
      </c>
      <c r="L2753" s="528">
        <f t="shared" si="1603"/>
        <v>0</v>
      </c>
      <c r="M2753" s="528">
        <f t="shared" si="1604"/>
        <v>0</v>
      </c>
      <c r="N2753" s="528">
        <f t="shared" si="1605"/>
        <v>0</v>
      </c>
      <c r="O2753" s="528">
        <f t="shared" si="1606"/>
        <v>0</v>
      </c>
      <c r="P2753" s="529">
        <f t="shared" si="1607"/>
        <v>0</v>
      </c>
      <c r="Q2753" s="24">
        <f t="shared" si="1608"/>
        <v>0</v>
      </c>
      <c r="R2753" s="530">
        <f t="shared" si="1609"/>
        <v>0</v>
      </c>
    </row>
    <row r="2754" spans="1:18">
      <c r="A2754" s="524"/>
      <c r="B2754" s="531" t="s">
        <v>96</v>
      </c>
      <c r="C2754" s="533">
        <f t="shared" ref="C2754:J2754" si="1610">SUM(C2750:C2753)</f>
        <v>1693.36</v>
      </c>
      <c r="D2754" s="533">
        <f t="shared" si="1610"/>
        <v>12858</v>
      </c>
      <c r="E2754" s="533">
        <f t="shared" si="1610"/>
        <v>723</v>
      </c>
      <c r="F2754" s="533">
        <f t="shared" si="1610"/>
        <v>2</v>
      </c>
      <c r="G2754" s="533">
        <f t="shared" si="1610"/>
        <v>39390</v>
      </c>
      <c r="H2754" s="533">
        <f t="shared" si="1610"/>
        <v>25</v>
      </c>
      <c r="I2754" s="533">
        <f t="shared" si="1610"/>
        <v>1</v>
      </c>
      <c r="J2754" s="533">
        <f t="shared" si="1610"/>
        <v>2</v>
      </c>
      <c r="K2754" s="534">
        <f t="shared" si="1602"/>
        <v>0.0562295846943537</v>
      </c>
      <c r="L2754" s="535">
        <f t="shared" si="1603"/>
        <v>2.34213001383126</v>
      </c>
      <c r="M2754" s="535">
        <f t="shared" si="1604"/>
        <v>131.696997977913</v>
      </c>
      <c r="N2754" s="535">
        <f t="shared" si="1605"/>
        <v>23.2614447016582</v>
      </c>
      <c r="O2754" s="535">
        <f t="shared" si="1606"/>
        <v>0.00276625172890733</v>
      </c>
      <c r="P2754" s="536">
        <f t="shared" si="1607"/>
        <v>65.1292307692308</v>
      </c>
      <c r="Q2754" s="531">
        <f t="shared" si="1608"/>
        <v>26</v>
      </c>
      <c r="R2754" s="537">
        <f t="shared" si="1609"/>
        <v>0.0359612724757953</v>
      </c>
    </row>
    <row r="2755" spans="1:18">
      <c r="A2755" s="524">
        <v>46001</v>
      </c>
      <c r="B2755" s="540" t="s">
        <v>98</v>
      </c>
      <c r="C2755" s="551">
        <v>996.34</v>
      </c>
      <c r="D2755" s="553">
        <v>10293</v>
      </c>
      <c r="E2755" s="551">
        <v>444</v>
      </c>
      <c r="F2755" s="551">
        <v>2</v>
      </c>
      <c r="G2755" s="551">
        <v>14378</v>
      </c>
      <c r="H2755" s="551">
        <v>27</v>
      </c>
      <c r="I2755" s="551">
        <v>6</v>
      </c>
      <c r="J2755" s="551">
        <v>0</v>
      </c>
      <c r="K2755" s="527">
        <f t="shared" ref="K2755:K2759" si="1611">IF(E2755=0,0,E2755/D2755)</f>
        <v>0.0431361119207228</v>
      </c>
      <c r="L2755" s="528">
        <f t="shared" ref="L2755:L2759" si="1612">IF(C2755=0,0,C2755/E2755)</f>
        <v>2.24400900900901</v>
      </c>
      <c r="M2755" s="528">
        <f t="shared" ref="M2755:M2759" si="1613">IF(D2755=0,0,C2755/D2755*1000)</f>
        <v>96.7978237637229</v>
      </c>
      <c r="N2755" s="528">
        <f t="shared" ref="N2755:N2759" si="1614">IF(G2755=0,0,G2755/C2755)</f>
        <v>14.4308167894494</v>
      </c>
      <c r="O2755" s="528">
        <f t="shared" ref="O2755:O2759" si="1615">IF(F2755=0,0,F2755/E2755)</f>
        <v>0.0045045045045045</v>
      </c>
      <c r="P2755" s="529">
        <f t="shared" ref="P2755:P2759" si="1616">IF(H2755+I2755=0,0,C2755/(H2755+I2755))</f>
        <v>30.1921212121212</v>
      </c>
      <c r="Q2755" s="24">
        <f t="shared" ref="Q2755:Q2759" si="1617">H2755+I2755</f>
        <v>33</v>
      </c>
      <c r="R2755" s="530">
        <f t="shared" ref="R2755:R2759" si="1618">IF(Q2755=0,0,Q2755/E2755)</f>
        <v>0.0743243243243243</v>
      </c>
    </row>
    <row r="2756" spans="1:18">
      <c r="A2756" s="524"/>
      <c r="B2756" s="540" t="s">
        <v>99</v>
      </c>
      <c r="C2756" s="551">
        <v>775.11</v>
      </c>
      <c r="D2756" s="556">
        <v>3753</v>
      </c>
      <c r="E2756" s="551">
        <v>351</v>
      </c>
      <c r="F2756" s="551">
        <v>0</v>
      </c>
      <c r="G2756" s="551">
        <v>0</v>
      </c>
      <c r="H2756" s="555">
        <v>3</v>
      </c>
      <c r="I2756" s="555">
        <v>0</v>
      </c>
      <c r="J2756" s="555">
        <v>0</v>
      </c>
      <c r="K2756" s="527">
        <f t="shared" si="1611"/>
        <v>0.0935251798561151</v>
      </c>
      <c r="L2756" s="528">
        <f t="shared" si="1612"/>
        <v>2.2082905982906</v>
      </c>
      <c r="M2756" s="528">
        <f t="shared" si="1613"/>
        <v>206.530775379696</v>
      </c>
      <c r="N2756" s="528">
        <f t="shared" si="1614"/>
        <v>0</v>
      </c>
      <c r="O2756" s="528">
        <f t="shared" si="1615"/>
        <v>0</v>
      </c>
      <c r="P2756" s="529">
        <f t="shared" si="1616"/>
        <v>258.37</v>
      </c>
      <c r="Q2756" s="24">
        <f t="shared" si="1617"/>
        <v>3</v>
      </c>
      <c r="R2756" s="530">
        <f t="shared" si="1618"/>
        <v>0.00854700854700855</v>
      </c>
    </row>
    <row r="2757" spans="1:18">
      <c r="A2757" s="524"/>
      <c r="B2757" s="540" t="s">
        <v>100</v>
      </c>
      <c r="C2757" s="552">
        <v>0</v>
      </c>
      <c r="D2757" s="553">
        <v>0</v>
      </c>
      <c r="E2757" s="553">
        <v>0</v>
      </c>
      <c r="F2757" s="551">
        <v>0</v>
      </c>
      <c r="G2757" s="551">
        <v>0</v>
      </c>
      <c r="H2757" s="551">
        <v>0</v>
      </c>
      <c r="I2757" s="551">
        <v>0</v>
      </c>
      <c r="J2757" s="551">
        <v>0</v>
      </c>
      <c r="K2757" s="527">
        <f t="shared" si="1611"/>
        <v>0</v>
      </c>
      <c r="L2757" s="528">
        <f t="shared" si="1612"/>
        <v>0</v>
      </c>
      <c r="M2757" s="528">
        <f t="shared" si="1613"/>
        <v>0</v>
      </c>
      <c r="N2757" s="528">
        <f t="shared" si="1614"/>
        <v>0</v>
      </c>
      <c r="O2757" s="528">
        <f t="shared" si="1615"/>
        <v>0</v>
      </c>
      <c r="P2757" s="529">
        <f t="shared" si="1616"/>
        <v>0</v>
      </c>
      <c r="Q2757" s="24">
        <f t="shared" si="1617"/>
        <v>0</v>
      </c>
      <c r="R2757" s="530">
        <f t="shared" si="1618"/>
        <v>0</v>
      </c>
    </row>
    <row r="2758" spans="1:18">
      <c r="A2758" s="524"/>
      <c r="B2758" s="540" t="s">
        <v>101</v>
      </c>
      <c r="C2758" s="552">
        <v>0</v>
      </c>
      <c r="D2758" s="553">
        <v>0</v>
      </c>
      <c r="E2758" s="551">
        <v>0</v>
      </c>
      <c r="F2758" s="551">
        <v>0</v>
      </c>
      <c r="G2758" s="551">
        <v>0</v>
      </c>
      <c r="H2758" s="551">
        <v>0</v>
      </c>
      <c r="I2758" s="551">
        <v>0</v>
      </c>
      <c r="J2758" s="551">
        <v>0</v>
      </c>
      <c r="K2758" s="527">
        <f t="shared" si="1611"/>
        <v>0</v>
      </c>
      <c r="L2758" s="528">
        <f t="shared" si="1612"/>
        <v>0</v>
      </c>
      <c r="M2758" s="528">
        <f t="shared" si="1613"/>
        <v>0</v>
      </c>
      <c r="N2758" s="528">
        <f t="shared" si="1614"/>
        <v>0</v>
      </c>
      <c r="O2758" s="528">
        <f t="shared" si="1615"/>
        <v>0</v>
      </c>
      <c r="P2758" s="529">
        <f t="shared" si="1616"/>
        <v>0</v>
      </c>
      <c r="Q2758" s="24">
        <f t="shared" si="1617"/>
        <v>0</v>
      </c>
      <c r="R2758" s="530">
        <f t="shared" si="1618"/>
        <v>0</v>
      </c>
    </row>
    <row r="2759" spans="1:18">
      <c r="A2759" s="524"/>
      <c r="B2759" s="531" t="s">
        <v>96</v>
      </c>
      <c r="C2759" s="533">
        <f t="shared" ref="C2759:J2759" si="1619">SUM(C2755:C2758)</f>
        <v>1771.45</v>
      </c>
      <c r="D2759" s="533">
        <f t="shared" si="1619"/>
        <v>14046</v>
      </c>
      <c r="E2759" s="533">
        <f t="shared" si="1619"/>
        <v>795</v>
      </c>
      <c r="F2759" s="533">
        <f t="shared" si="1619"/>
        <v>2</v>
      </c>
      <c r="G2759" s="533">
        <f t="shared" si="1619"/>
        <v>14378</v>
      </c>
      <c r="H2759" s="533">
        <f t="shared" si="1619"/>
        <v>30</v>
      </c>
      <c r="I2759" s="533">
        <f t="shared" si="1619"/>
        <v>6</v>
      </c>
      <c r="J2759" s="533">
        <f t="shared" si="1619"/>
        <v>0</v>
      </c>
      <c r="K2759" s="534">
        <f t="shared" si="1611"/>
        <v>0.0565997436992738</v>
      </c>
      <c r="L2759" s="535">
        <f t="shared" si="1612"/>
        <v>2.22823899371069</v>
      </c>
      <c r="M2759" s="535">
        <f t="shared" si="1613"/>
        <v>126.117755944753</v>
      </c>
      <c r="N2759" s="535">
        <f t="shared" si="1614"/>
        <v>8.11651471958</v>
      </c>
      <c r="O2759" s="535">
        <f t="shared" si="1615"/>
        <v>0.00251572327044025</v>
      </c>
      <c r="P2759" s="536">
        <f t="shared" si="1616"/>
        <v>49.2069444444444</v>
      </c>
      <c r="Q2759" s="531">
        <f t="shared" si="1617"/>
        <v>36</v>
      </c>
      <c r="R2759" s="537">
        <f t="shared" si="1618"/>
        <v>0.0452830188679245</v>
      </c>
    </row>
    <row r="2760" spans="1:18">
      <c r="A2760" s="524">
        <v>46002</v>
      </c>
      <c r="B2760" s="540" t="s">
        <v>98</v>
      </c>
      <c r="C2760" s="551">
        <v>998.57</v>
      </c>
      <c r="D2760" s="553">
        <v>12850</v>
      </c>
      <c r="E2760" s="551">
        <v>557</v>
      </c>
      <c r="F2760" s="551">
        <v>0</v>
      </c>
      <c r="G2760" s="551">
        <v>0</v>
      </c>
      <c r="H2760" s="551">
        <v>13</v>
      </c>
      <c r="I2760" s="551">
        <v>2</v>
      </c>
      <c r="J2760" s="551">
        <v>3</v>
      </c>
      <c r="K2760" s="527">
        <f t="shared" ref="K2760:K2764" si="1620">IF(E2760=0,0,E2760/D2760)</f>
        <v>0.0433463035019455</v>
      </c>
      <c r="L2760" s="528">
        <f t="shared" ref="L2760:L2764" si="1621">IF(C2760=0,0,C2760/E2760)</f>
        <v>1.79276481149013</v>
      </c>
      <c r="M2760" s="528">
        <f t="shared" ref="M2760:M2764" si="1622">IF(D2760=0,0,C2760/D2760*1000)</f>
        <v>77.7097276264592</v>
      </c>
      <c r="N2760" s="528">
        <f t="shared" ref="N2760:N2764" si="1623">IF(G2760=0,0,G2760/C2760)</f>
        <v>0</v>
      </c>
      <c r="O2760" s="528">
        <f t="shared" ref="O2760:O2764" si="1624">IF(F2760=0,0,F2760/E2760)</f>
        <v>0</v>
      </c>
      <c r="P2760" s="529">
        <f t="shared" ref="P2760:P2764" si="1625">IF(H2760+I2760=0,0,C2760/(H2760+I2760))</f>
        <v>66.5713333333333</v>
      </c>
      <c r="Q2760" s="24">
        <f t="shared" ref="Q2760:Q2764" si="1626">H2760+I2760</f>
        <v>15</v>
      </c>
      <c r="R2760" s="530">
        <f t="shared" ref="R2760:R2764" si="1627">IF(Q2760=0,0,Q2760/E2760)</f>
        <v>0.0269299820466786</v>
      </c>
    </row>
    <row r="2761" spans="1:18">
      <c r="A2761" s="524"/>
      <c r="B2761" s="540" t="s">
        <v>99</v>
      </c>
      <c r="C2761" s="551">
        <v>1255.7</v>
      </c>
      <c r="D2761" s="556">
        <v>9234</v>
      </c>
      <c r="E2761" s="551">
        <v>413</v>
      </c>
      <c r="F2761" s="551">
        <v>0</v>
      </c>
      <c r="G2761" s="551">
        <v>0</v>
      </c>
      <c r="H2761" s="555">
        <v>8</v>
      </c>
      <c r="I2761" s="555">
        <v>1</v>
      </c>
      <c r="J2761" s="555">
        <v>3</v>
      </c>
      <c r="K2761" s="527">
        <f t="shared" si="1620"/>
        <v>0.0447260125622699</v>
      </c>
      <c r="L2761" s="528">
        <f t="shared" si="1621"/>
        <v>3.04043583535109</v>
      </c>
      <c r="M2761" s="528">
        <f t="shared" si="1622"/>
        <v>135.986571366688</v>
      </c>
      <c r="N2761" s="528">
        <f t="shared" si="1623"/>
        <v>0</v>
      </c>
      <c r="O2761" s="528">
        <f t="shared" si="1624"/>
        <v>0</v>
      </c>
      <c r="P2761" s="529">
        <f t="shared" si="1625"/>
        <v>139.522222222222</v>
      </c>
      <c r="Q2761" s="24">
        <f t="shared" si="1626"/>
        <v>9</v>
      </c>
      <c r="R2761" s="530">
        <f t="shared" si="1627"/>
        <v>0.0217917675544794</v>
      </c>
    </row>
    <row r="2762" spans="1:18">
      <c r="A2762" s="524"/>
      <c r="B2762" s="540" t="s">
        <v>100</v>
      </c>
      <c r="C2762" s="552">
        <v>0</v>
      </c>
      <c r="D2762" s="553">
        <v>0</v>
      </c>
      <c r="E2762" s="553">
        <v>0</v>
      </c>
      <c r="F2762" s="551">
        <v>0</v>
      </c>
      <c r="G2762" s="551">
        <v>0</v>
      </c>
      <c r="H2762" s="551">
        <v>0</v>
      </c>
      <c r="I2762" s="551">
        <v>0</v>
      </c>
      <c r="J2762" s="551">
        <v>0</v>
      </c>
      <c r="K2762" s="527">
        <f t="shared" si="1620"/>
        <v>0</v>
      </c>
      <c r="L2762" s="528">
        <f t="shared" si="1621"/>
        <v>0</v>
      </c>
      <c r="M2762" s="528">
        <f t="shared" si="1622"/>
        <v>0</v>
      </c>
      <c r="N2762" s="528">
        <f t="shared" si="1623"/>
        <v>0</v>
      </c>
      <c r="O2762" s="528">
        <f t="shared" si="1624"/>
        <v>0</v>
      </c>
      <c r="P2762" s="529">
        <f t="shared" si="1625"/>
        <v>0</v>
      </c>
      <c r="Q2762" s="24">
        <f t="shared" si="1626"/>
        <v>0</v>
      </c>
      <c r="R2762" s="530">
        <f t="shared" si="1627"/>
        <v>0</v>
      </c>
    </row>
    <row r="2763" spans="1:18">
      <c r="A2763" s="524"/>
      <c r="B2763" s="540" t="s">
        <v>101</v>
      </c>
      <c r="C2763" s="552">
        <v>0</v>
      </c>
      <c r="D2763" s="553">
        <v>0</v>
      </c>
      <c r="E2763" s="551">
        <v>0</v>
      </c>
      <c r="F2763" s="551">
        <v>0</v>
      </c>
      <c r="G2763" s="551">
        <v>0</v>
      </c>
      <c r="H2763" s="551">
        <v>0</v>
      </c>
      <c r="I2763" s="551">
        <v>0</v>
      </c>
      <c r="J2763" s="551">
        <v>0</v>
      </c>
      <c r="K2763" s="527">
        <f t="shared" si="1620"/>
        <v>0</v>
      </c>
      <c r="L2763" s="528">
        <f t="shared" si="1621"/>
        <v>0</v>
      </c>
      <c r="M2763" s="528">
        <f t="shared" si="1622"/>
        <v>0</v>
      </c>
      <c r="N2763" s="528">
        <f t="shared" si="1623"/>
        <v>0</v>
      </c>
      <c r="O2763" s="528">
        <f t="shared" si="1624"/>
        <v>0</v>
      </c>
      <c r="P2763" s="529">
        <f t="shared" si="1625"/>
        <v>0</v>
      </c>
      <c r="Q2763" s="24">
        <f t="shared" si="1626"/>
        <v>0</v>
      </c>
      <c r="R2763" s="530">
        <f t="shared" si="1627"/>
        <v>0</v>
      </c>
    </row>
    <row r="2764" spans="1:18">
      <c r="A2764" s="524"/>
      <c r="B2764" s="531" t="s">
        <v>96</v>
      </c>
      <c r="C2764" s="533">
        <f t="shared" ref="C2764:J2764" si="1628">SUM(C2760:C2763)</f>
        <v>2254.27</v>
      </c>
      <c r="D2764" s="533">
        <f t="shared" si="1628"/>
        <v>22084</v>
      </c>
      <c r="E2764" s="533">
        <f t="shared" si="1628"/>
        <v>970</v>
      </c>
      <c r="F2764" s="533">
        <f t="shared" si="1628"/>
        <v>0</v>
      </c>
      <c r="G2764" s="533">
        <f t="shared" si="1628"/>
        <v>0</v>
      </c>
      <c r="H2764" s="533">
        <f t="shared" si="1628"/>
        <v>21</v>
      </c>
      <c r="I2764" s="533">
        <f t="shared" si="1628"/>
        <v>3</v>
      </c>
      <c r="J2764" s="533">
        <f t="shared" si="1628"/>
        <v>6</v>
      </c>
      <c r="K2764" s="534">
        <f t="shared" si="1620"/>
        <v>0.0439232023184206</v>
      </c>
      <c r="L2764" s="535">
        <f t="shared" si="1621"/>
        <v>2.32398969072165</v>
      </c>
      <c r="M2764" s="535">
        <f t="shared" si="1622"/>
        <v>102.077069371491</v>
      </c>
      <c r="N2764" s="535">
        <f t="shared" si="1623"/>
        <v>0</v>
      </c>
      <c r="O2764" s="535">
        <f t="shared" si="1624"/>
        <v>0</v>
      </c>
      <c r="P2764" s="536">
        <f t="shared" si="1625"/>
        <v>93.9279166666667</v>
      </c>
      <c r="Q2764" s="531">
        <f t="shared" si="1626"/>
        <v>24</v>
      </c>
      <c r="R2764" s="537">
        <f t="shared" si="1627"/>
        <v>0.0247422680412371</v>
      </c>
    </row>
    <row r="2765" spans="1:18">
      <c r="A2765" s="524">
        <v>46003</v>
      </c>
      <c r="B2765" s="540" t="s">
        <v>98</v>
      </c>
      <c r="C2765" s="551">
        <v>1000</v>
      </c>
      <c r="D2765" s="553">
        <v>13922</v>
      </c>
      <c r="E2765" s="551">
        <v>555</v>
      </c>
      <c r="F2765" s="551">
        <v>4</v>
      </c>
      <c r="G2765" s="551">
        <v>36932</v>
      </c>
      <c r="H2765" s="551">
        <v>22</v>
      </c>
      <c r="I2765" s="551">
        <v>2</v>
      </c>
      <c r="J2765" s="551">
        <v>1</v>
      </c>
      <c r="K2765" s="527">
        <f t="shared" ref="K2765:K2769" si="1629">IF(E2765=0,0,E2765/D2765)</f>
        <v>0.0398649619307571</v>
      </c>
      <c r="L2765" s="528">
        <f t="shared" ref="L2765:L2769" si="1630">IF(C2765=0,0,C2765/E2765)</f>
        <v>1.8018018018018</v>
      </c>
      <c r="M2765" s="528">
        <f t="shared" ref="M2765:M2769" si="1631">IF(D2765=0,0,C2765/D2765*1000)</f>
        <v>71.8287602355983</v>
      </c>
      <c r="N2765" s="528">
        <f t="shared" ref="N2765:N2769" si="1632">IF(G2765=0,0,G2765/C2765)</f>
        <v>36.932</v>
      </c>
      <c r="O2765" s="528">
        <f t="shared" ref="O2765:O2769" si="1633">IF(F2765=0,0,F2765/E2765)</f>
        <v>0.00720720720720721</v>
      </c>
      <c r="P2765" s="529">
        <f t="shared" ref="P2765:P2769" si="1634">IF(H2765+I2765=0,0,C2765/(H2765+I2765))</f>
        <v>41.6666666666667</v>
      </c>
      <c r="Q2765" s="24">
        <f t="shared" ref="Q2765:Q2769" si="1635">H2765+I2765</f>
        <v>24</v>
      </c>
      <c r="R2765" s="530">
        <f t="shared" ref="R2765:R2769" si="1636">IF(Q2765=0,0,Q2765/E2765)</f>
        <v>0.0432432432432432</v>
      </c>
    </row>
    <row r="2766" spans="1:18">
      <c r="A2766" s="524"/>
      <c r="B2766" s="540" t="s">
        <v>99</v>
      </c>
      <c r="C2766" s="551">
        <v>1972.87</v>
      </c>
      <c r="D2766" s="556">
        <v>9498</v>
      </c>
      <c r="E2766" s="551">
        <v>685</v>
      </c>
      <c r="F2766" s="551">
        <v>0</v>
      </c>
      <c r="G2766" s="551">
        <v>0</v>
      </c>
      <c r="H2766" s="555">
        <v>22</v>
      </c>
      <c r="I2766" s="555">
        <v>1</v>
      </c>
      <c r="J2766" s="555">
        <v>2</v>
      </c>
      <c r="K2766" s="527">
        <f t="shared" si="1629"/>
        <v>0.0721204464097705</v>
      </c>
      <c r="L2766" s="528">
        <f t="shared" si="1630"/>
        <v>2.88010218978102</v>
      </c>
      <c r="M2766" s="528">
        <f t="shared" si="1631"/>
        <v>207.714255632765</v>
      </c>
      <c r="N2766" s="528">
        <f t="shared" si="1632"/>
        <v>0</v>
      </c>
      <c r="O2766" s="528">
        <f t="shared" si="1633"/>
        <v>0</v>
      </c>
      <c r="P2766" s="529">
        <f t="shared" si="1634"/>
        <v>85.7769565217391</v>
      </c>
      <c r="Q2766" s="24">
        <f t="shared" si="1635"/>
        <v>23</v>
      </c>
      <c r="R2766" s="530">
        <f t="shared" si="1636"/>
        <v>0.0335766423357664</v>
      </c>
    </row>
    <row r="2767" spans="1:18">
      <c r="A2767" s="524"/>
      <c r="B2767" s="540" t="s">
        <v>100</v>
      </c>
      <c r="C2767" s="552">
        <v>0</v>
      </c>
      <c r="D2767" s="553">
        <v>0</v>
      </c>
      <c r="E2767" s="553">
        <v>0</v>
      </c>
      <c r="F2767" s="551">
        <v>0</v>
      </c>
      <c r="G2767" s="551">
        <v>0</v>
      </c>
      <c r="H2767" s="551">
        <v>0</v>
      </c>
      <c r="I2767" s="551">
        <v>0</v>
      </c>
      <c r="J2767" s="551">
        <v>0</v>
      </c>
      <c r="K2767" s="527">
        <f t="shared" si="1629"/>
        <v>0</v>
      </c>
      <c r="L2767" s="528">
        <f t="shared" si="1630"/>
        <v>0</v>
      </c>
      <c r="M2767" s="528">
        <f t="shared" si="1631"/>
        <v>0</v>
      </c>
      <c r="N2767" s="528">
        <f t="shared" si="1632"/>
        <v>0</v>
      </c>
      <c r="O2767" s="528">
        <f t="shared" si="1633"/>
        <v>0</v>
      </c>
      <c r="P2767" s="529">
        <f t="shared" si="1634"/>
        <v>0</v>
      </c>
      <c r="Q2767" s="24">
        <f t="shared" si="1635"/>
        <v>0</v>
      </c>
      <c r="R2767" s="530">
        <f t="shared" si="1636"/>
        <v>0</v>
      </c>
    </row>
    <row r="2768" spans="1:18">
      <c r="A2768" s="524"/>
      <c r="B2768" s="540" t="s">
        <v>101</v>
      </c>
      <c r="C2768" s="552">
        <v>0</v>
      </c>
      <c r="D2768" s="553">
        <v>0</v>
      </c>
      <c r="E2768" s="551">
        <v>0</v>
      </c>
      <c r="F2768" s="551">
        <v>0</v>
      </c>
      <c r="G2768" s="551">
        <v>0</v>
      </c>
      <c r="H2768" s="551">
        <v>0</v>
      </c>
      <c r="I2768" s="551">
        <v>0</v>
      </c>
      <c r="J2768" s="551">
        <v>0</v>
      </c>
      <c r="K2768" s="527">
        <f t="shared" si="1629"/>
        <v>0</v>
      </c>
      <c r="L2768" s="528">
        <f t="shared" si="1630"/>
        <v>0</v>
      </c>
      <c r="M2768" s="528">
        <f t="shared" si="1631"/>
        <v>0</v>
      </c>
      <c r="N2768" s="528">
        <f t="shared" si="1632"/>
        <v>0</v>
      </c>
      <c r="O2768" s="528">
        <f t="shared" si="1633"/>
        <v>0</v>
      </c>
      <c r="P2768" s="529">
        <f t="shared" si="1634"/>
        <v>0</v>
      </c>
      <c r="Q2768" s="24">
        <f t="shared" si="1635"/>
        <v>0</v>
      </c>
      <c r="R2768" s="530">
        <f t="shared" si="1636"/>
        <v>0</v>
      </c>
    </row>
    <row r="2769" spans="1:18">
      <c r="A2769" s="524"/>
      <c r="B2769" s="531" t="s">
        <v>96</v>
      </c>
      <c r="C2769" s="533">
        <f t="shared" ref="C2769:J2769" si="1637">SUM(C2765:C2768)</f>
        <v>2972.87</v>
      </c>
      <c r="D2769" s="533">
        <f t="shared" si="1637"/>
        <v>23420</v>
      </c>
      <c r="E2769" s="533">
        <f t="shared" si="1637"/>
        <v>1240</v>
      </c>
      <c r="F2769" s="533">
        <f t="shared" si="1637"/>
        <v>4</v>
      </c>
      <c r="G2769" s="533">
        <f t="shared" si="1637"/>
        <v>36932</v>
      </c>
      <c r="H2769" s="533">
        <f t="shared" si="1637"/>
        <v>44</v>
      </c>
      <c r="I2769" s="533">
        <f t="shared" si="1637"/>
        <v>3</v>
      </c>
      <c r="J2769" s="533">
        <f t="shared" si="1637"/>
        <v>3</v>
      </c>
      <c r="K2769" s="534">
        <f t="shared" si="1629"/>
        <v>0.0529461998292058</v>
      </c>
      <c r="L2769" s="535">
        <f t="shared" si="1630"/>
        <v>2.39747580645161</v>
      </c>
      <c r="M2769" s="535">
        <f t="shared" si="1631"/>
        <v>126.937233134073</v>
      </c>
      <c r="N2769" s="535">
        <f t="shared" si="1632"/>
        <v>12.4230121061466</v>
      </c>
      <c r="O2769" s="535">
        <f t="shared" si="1633"/>
        <v>0.0032258064516129</v>
      </c>
      <c r="P2769" s="536">
        <f t="shared" si="1634"/>
        <v>63.2525531914894</v>
      </c>
      <c r="Q2769" s="531">
        <f t="shared" si="1635"/>
        <v>47</v>
      </c>
      <c r="R2769" s="537">
        <f t="shared" si="1636"/>
        <v>0.0379032258064516</v>
      </c>
    </row>
    <row r="2770" spans="1:18">
      <c r="A2770" s="524">
        <v>46004</v>
      </c>
      <c r="B2770" s="540" t="s">
        <v>98</v>
      </c>
      <c r="C2770" s="551">
        <v>1000</v>
      </c>
      <c r="D2770" s="553">
        <v>15723</v>
      </c>
      <c r="E2770" s="551">
        <v>614</v>
      </c>
      <c r="F2770" s="551">
        <v>0</v>
      </c>
      <c r="G2770" s="551">
        <v>0</v>
      </c>
      <c r="H2770" s="551">
        <v>33</v>
      </c>
      <c r="I2770" s="551">
        <v>4</v>
      </c>
      <c r="J2770" s="551">
        <v>1</v>
      </c>
      <c r="K2770" s="527">
        <f t="shared" ref="K2770:K2774" si="1638">IF(E2770=0,0,E2770/D2770)</f>
        <v>0.0390510716784329</v>
      </c>
      <c r="L2770" s="528">
        <f t="shared" ref="L2770:L2774" si="1639">IF(C2770=0,0,C2770/E2770)</f>
        <v>1.62866449511401</v>
      </c>
      <c r="M2770" s="528">
        <f t="shared" ref="M2770:M2774" si="1640">IF(D2770=0,0,C2770/D2770*1000)</f>
        <v>63.6010939388157</v>
      </c>
      <c r="N2770" s="528">
        <f t="shared" ref="N2770:N2774" si="1641">IF(G2770=0,0,G2770/C2770)</f>
        <v>0</v>
      </c>
      <c r="O2770" s="528">
        <f t="shared" ref="O2770:O2774" si="1642">IF(F2770=0,0,F2770/E2770)</f>
        <v>0</v>
      </c>
      <c r="P2770" s="529">
        <f t="shared" ref="P2770:P2774" si="1643">IF(H2770+I2770=0,0,C2770/(H2770+I2770))</f>
        <v>27.027027027027</v>
      </c>
      <c r="Q2770" s="24">
        <f t="shared" ref="Q2770:Q2774" si="1644">H2770+I2770</f>
        <v>37</v>
      </c>
      <c r="R2770" s="530">
        <f t="shared" ref="R2770:R2774" si="1645">IF(Q2770=0,0,Q2770/E2770)</f>
        <v>0.0602605863192182</v>
      </c>
    </row>
    <row r="2771" spans="1:18">
      <c r="A2771" s="524"/>
      <c r="B2771" s="540" t="s">
        <v>99</v>
      </c>
      <c r="C2771" s="551">
        <v>1958.42</v>
      </c>
      <c r="D2771" s="556">
        <v>14206</v>
      </c>
      <c r="E2771" s="551">
        <v>1159</v>
      </c>
      <c r="F2771" s="551">
        <v>2</v>
      </c>
      <c r="G2771" s="551">
        <v>17076</v>
      </c>
      <c r="H2771" s="555">
        <v>25</v>
      </c>
      <c r="I2771" s="555">
        <v>1</v>
      </c>
      <c r="J2771" s="555">
        <v>2</v>
      </c>
      <c r="K2771" s="527">
        <f t="shared" si="1638"/>
        <v>0.0815852456708433</v>
      </c>
      <c r="L2771" s="528">
        <f t="shared" si="1639"/>
        <v>1.68974978429681</v>
      </c>
      <c r="M2771" s="528">
        <f t="shared" si="1640"/>
        <v>137.85865127411</v>
      </c>
      <c r="N2771" s="528">
        <f t="shared" si="1641"/>
        <v>8.71927370022773</v>
      </c>
      <c r="O2771" s="528">
        <f t="shared" si="1642"/>
        <v>0.00172562553925798</v>
      </c>
      <c r="P2771" s="529">
        <f t="shared" si="1643"/>
        <v>75.3238461538462</v>
      </c>
      <c r="Q2771" s="24">
        <f t="shared" si="1644"/>
        <v>26</v>
      </c>
      <c r="R2771" s="530">
        <f t="shared" si="1645"/>
        <v>0.0224331320103538</v>
      </c>
    </row>
    <row r="2772" spans="1:18">
      <c r="A2772" s="524"/>
      <c r="B2772" s="540" t="s">
        <v>100</v>
      </c>
      <c r="C2772" s="552">
        <v>0</v>
      </c>
      <c r="D2772" s="553">
        <v>0</v>
      </c>
      <c r="E2772" s="553">
        <v>0</v>
      </c>
      <c r="F2772" s="551">
        <v>0</v>
      </c>
      <c r="G2772" s="551">
        <v>0</v>
      </c>
      <c r="H2772" s="551">
        <v>0</v>
      </c>
      <c r="I2772" s="551">
        <v>0</v>
      </c>
      <c r="J2772" s="551">
        <v>0</v>
      </c>
      <c r="K2772" s="527">
        <f t="shared" si="1638"/>
        <v>0</v>
      </c>
      <c r="L2772" s="528">
        <f t="shared" si="1639"/>
        <v>0</v>
      </c>
      <c r="M2772" s="528">
        <f t="shared" si="1640"/>
        <v>0</v>
      </c>
      <c r="N2772" s="528">
        <f t="shared" si="1641"/>
        <v>0</v>
      </c>
      <c r="O2772" s="528">
        <f t="shared" si="1642"/>
        <v>0</v>
      </c>
      <c r="P2772" s="529">
        <f t="shared" si="1643"/>
        <v>0</v>
      </c>
      <c r="Q2772" s="24">
        <f t="shared" si="1644"/>
        <v>0</v>
      </c>
      <c r="R2772" s="530">
        <f t="shared" si="1645"/>
        <v>0</v>
      </c>
    </row>
    <row r="2773" spans="1:18">
      <c r="A2773" s="524"/>
      <c r="B2773" s="540" t="s">
        <v>101</v>
      </c>
      <c r="C2773" s="552">
        <v>0</v>
      </c>
      <c r="D2773" s="553">
        <v>0</v>
      </c>
      <c r="E2773" s="551">
        <v>0</v>
      </c>
      <c r="F2773" s="551">
        <v>0</v>
      </c>
      <c r="G2773" s="551">
        <v>0</v>
      </c>
      <c r="H2773" s="551">
        <v>0</v>
      </c>
      <c r="I2773" s="551">
        <v>0</v>
      </c>
      <c r="J2773" s="551">
        <v>0</v>
      </c>
      <c r="K2773" s="527">
        <f t="shared" si="1638"/>
        <v>0</v>
      </c>
      <c r="L2773" s="528">
        <f t="shared" si="1639"/>
        <v>0</v>
      </c>
      <c r="M2773" s="528">
        <f t="shared" si="1640"/>
        <v>0</v>
      </c>
      <c r="N2773" s="528">
        <f t="shared" si="1641"/>
        <v>0</v>
      </c>
      <c r="O2773" s="528">
        <f t="shared" si="1642"/>
        <v>0</v>
      </c>
      <c r="P2773" s="529">
        <f t="shared" si="1643"/>
        <v>0</v>
      </c>
      <c r="Q2773" s="24">
        <f t="shared" si="1644"/>
        <v>0</v>
      </c>
      <c r="R2773" s="530">
        <f t="shared" si="1645"/>
        <v>0</v>
      </c>
    </row>
    <row r="2774" spans="1:18">
      <c r="A2774" s="524"/>
      <c r="B2774" s="531" t="s">
        <v>96</v>
      </c>
      <c r="C2774" s="533">
        <f t="shared" ref="C2774:J2774" si="1646">SUM(C2770:C2773)</f>
        <v>2958.42</v>
      </c>
      <c r="D2774" s="533">
        <f t="shared" si="1646"/>
        <v>29929</v>
      </c>
      <c r="E2774" s="533">
        <f t="shared" si="1646"/>
        <v>1773</v>
      </c>
      <c r="F2774" s="533">
        <f t="shared" si="1646"/>
        <v>2</v>
      </c>
      <c r="G2774" s="533">
        <f t="shared" si="1646"/>
        <v>17076</v>
      </c>
      <c r="H2774" s="533">
        <f t="shared" si="1646"/>
        <v>58</v>
      </c>
      <c r="I2774" s="533">
        <f t="shared" si="1646"/>
        <v>5</v>
      </c>
      <c r="J2774" s="533">
        <f t="shared" si="1646"/>
        <v>3</v>
      </c>
      <c r="K2774" s="534">
        <f t="shared" si="1638"/>
        <v>0.0592402018109526</v>
      </c>
      <c r="L2774" s="535">
        <f t="shared" si="1639"/>
        <v>1.66859560067682</v>
      </c>
      <c r="M2774" s="535">
        <f t="shared" si="1640"/>
        <v>98.8479401249624</v>
      </c>
      <c r="N2774" s="535">
        <f t="shared" si="1641"/>
        <v>5.77199991887562</v>
      </c>
      <c r="O2774" s="535">
        <f t="shared" si="1642"/>
        <v>0.00112803158488438</v>
      </c>
      <c r="P2774" s="536">
        <f t="shared" si="1643"/>
        <v>46.9590476190476</v>
      </c>
      <c r="Q2774" s="531">
        <f t="shared" si="1644"/>
        <v>63</v>
      </c>
      <c r="R2774" s="537">
        <f t="shared" si="1645"/>
        <v>0.0355329949238579</v>
      </c>
    </row>
    <row r="2775" spans="1:18">
      <c r="A2775" s="524">
        <v>46005</v>
      </c>
      <c r="B2775" s="540" t="s">
        <v>98</v>
      </c>
      <c r="C2775" s="551">
        <v>1000</v>
      </c>
      <c r="D2775" s="553">
        <v>15337</v>
      </c>
      <c r="E2775" s="551">
        <v>536</v>
      </c>
      <c r="F2775" s="551">
        <v>2</v>
      </c>
      <c r="G2775" s="551">
        <v>18648</v>
      </c>
      <c r="H2775" s="551">
        <v>18</v>
      </c>
      <c r="I2775" s="551">
        <v>7</v>
      </c>
      <c r="J2775" s="551">
        <v>1</v>
      </c>
      <c r="K2775" s="527">
        <f t="shared" ref="K2775:K2779" si="1647">IF(E2775=0,0,E2775/D2775)</f>
        <v>0.0349481645693421</v>
      </c>
      <c r="L2775" s="528">
        <f t="shared" ref="L2775:L2779" si="1648">IF(C2775=0,0,C2775/E2775)</f>
        <v>1.86567164179104</v>
      </c>
      <c r="M2775" s="528">
        <f t="shared" ref="M2775:M2779" si="1649">IF(D2775=0,0,C2775/D2775*1000)</f>
        <v>65.2017995696681</v>
      </c>
      <c r="N2775" s="528">
        <f t="shared" ref="N2775:N2779" si="1650">IF(G2775=0,0,G2775/C2775)</f>
        <v>18.648</v>
      </c>
      <c r="O2775" s="528">
        <f t="shared" ref="O2775:O2779" si="1651">IF(F2775=0,0,F2775/E2775)</f>
        <v>0.00373134328358209</v>
      </c>
      <c r="P2775" s="529">
        <f t="shared" ref="P2775:P2779" si="1652">IF(H2775+I2775=0,0,C2775/(H2775+I2775))</f>
        <v>40</v>
      </c>
      <c r="Q2775" s="24">
        <f t="shared" ref="Q2775:Q2779" si="1653">H2775+I2775</f>
        <v>25</v>
      </c>
      <c r="R2775" s="530">
        <f t="shared" ref="R2775:R2779" si="1654">IF(Q2775=0,0,Q2775/E2775)</f>
        <v>0.0466417910447761</v>
      </c>
    </row>
    <row r="2776" spans="1:18">
      <c r="A2776" s="524"/>
      <c r="B2776" s="540" t="s">
        <v>99</v>
      </c>
      <c r="C2776" s="551">
        <v>1670.39</v>
      </c>
      <c r="D2776" s="556">
        <v>9822</v>
      </c>
      <c r="E2776" s="551">
        <v>638</v>
      </c>
      <c r="F2776" s="551">
        <v>0</v>
      </c>
      <c r="G2776" s="551">
        <v>0</v>
      </c>
      <c r="H2776" s="555">
        <v>12</v>
      </c>
      <c r="I2776" s="555">
        <v>0</v>
      </c>
      <c r="J2776" s="555">
        <v>0</v>
      </c>
      <c r="K2776" s="527">
        <f t="shared" si="1647"/>
        <v>0.0649562207289758</v>
      </c>
      <c r="L2776" s="528">
        <f t="shared" si="1648"/>
        <v>2.61816614420063</v>
      </c>
      <c r="M2776" s="528">
        <f t="shared" si="1649"/>
        <v>170.066177967827</v>
      </c>
      <c r="N2776" s="528">
        <f t="shared" si="1650"/>
        <v>0</v>
      </c>
      <c r="O2776" s="528">
        <f t="shared" si="1651"/>
        <v>0</v>
      </c>
      <c r="P2776" s="529">
        <f t="shared" si="1652"/>
        <v>139.199166666667</v>
      </c>
      <c r="Q2776" s="24">
        <f t="shared" si="1653"/>
        <v>12</v>
      </c>
      <c r="R2776" s="530">
        <f t="shared" si="1654"/>
        <v>0.0188087774294671</v>
      </c>
    </row>
    <row r="2777" spans="1:18">
      <c r="A2777" s="524"/>
      <c r="B2777" s="540" t="s">
        <v>100</v>
      </c>
      <c r="C2777" s="552">
        <v>0</v>
      </c>
      <c r="D2777" s="553">
        <v>0</v>
      </c>
      <c r="E2777" s="553">
        <v>0</v>
      </c>
      <c r="F2777" s="551">
        <v>0</v>
      </c>
      <c r="G2777" s="551">
        <v>0</v>
      </c>
      <c r="H2777" s="551">
        <v>0</v>
      </c>
      <c r="I2777" s="551">
        <v>0</v>
      </c>
      <c r="J2777" s="551">
        <v>0</v>
      </c>
      <c r="K2777" s="527">
        <f t="shared" si="1647"/>
        <v>0</v>
      </c>
      <c r="L2777" s="528">
        <f t="shared" si="1648"/>
        <v>0</v>
      </c>
      <c r="M2777" s="528">
        <f t="shared" si="1649"/>
        <v>0</v>
      </c>
      <c r="N2777" s="528">
        <f t="shared" si="1650"/>
        <v>0</v>
      </c>
      <c r="O2777" s="528">
        <f t="shared" si="1651"/>
        <v>0</v>
      </c>
      <c r="P2777" s="529">
        <f t="shared" si="1652"/>
        <v>0</v>
      </c>
      <c r="Q2777" s="24">
        <f t="shared" si="1653"/>
        <v>0</v>
      </c>
      <c r="R2777" s="530">
        <f t="shared" si="1654"/>
        <v>0</v>
      </c>
    </row>
    <row r="2778" spans="1:18">
      <c r="A2778" s="524"/>
      <c r="B2778" s="540" t="s">
        <v>101</v>
      </c>
      <c r="C2778" s="552">
        <v>0</v>
      </c>
      <c r="D2778" s="553">
        <v>0</v>
      </c>
      <c r="E2778" s="551">
        <v>0</v>
      </c>
      <c r="F2778" s="551">
        <v>0</v>
      </c>
      <c r="G2778" s="551">
        <v>0</v>
      </c>
      <c r="H2778" s="551">
        <v>0</v>
      </c>
      <c r="I2778" s="551">
        <v>0</v>
      </c>
      <c r="J2778" s="551">
        <v>0</v>
      </c>
      <c r="K2778" s="527">
        <f t="shared" si="1647"/>
        <v>0</v>
      </c>
      <c r="L2778" s="528">
        <f t="shared" si="1648"/>
        <v>0</v>
      </c>
      <c r="M2778" s="528">
        <f t="shared" si="1649"/>
        <v>0</v>
      </c>
      <c r="N2778" s="528">
        <f t="shared" si="1650"/>
        <v>0</v>
      </c>
      <c r="O2778" s="528">
        <f t="shared" si="1651"/>
        <v>0</v>
      </c>
      <c r="P2778" s="529">
        <f t="shared" si="1652"/>
        <v>0</v>
      </c>
      <c r="Q2778" s="24">
        <f t="shared" si="1653"/>
        <v>0</v>
      </c>
      <c r="R2778" s="530">
        <f t="shared" si="1654"/>
        <v>0</v>
      </c>
    </row>
    <row r="2779" spans="1:18">
      <c r="A2779" s="524"/>
      <c r="B2779" s="531" t="s">
        <v>96</v>
      </c>
      <c r="C2779" s="533">
        <f t="shared" ref="C2779:J2779" si="1655">SUM(C2775:C2778)</f>
        <v>2670.39</v>
      </c>
      <c r="D2779" s="533">
        <f t="shared" si="1655"/>
        <v>25159</v>
      </c>
      <c r="E2779" s="533">
        <f t="shared" si="1655"/>
        <v>1174</v>
      </c>
      <c r="F2779" s="533">
        <f t="shared" si="1655"/>
        <v>2</v>
      </c>
      <c r="G2779" s="533">
        <f t="shared" si="1655"/>
        <v>18648</v>
      </c>
      <c r="H2779" s="533">
        <f t="shared" si="1655"/>
        <v>30</v>
      </c>
      <c r="I2779" s="533">
        <f t="shared" si="1655"/>
        <v>7</v>
      </c>
      <c r="J2779" s="533">
        <f t="shared" si="1655"/>
        <v>1</v>
      </c>
      <c r="K2779" s="534">
        <f t="shared" si="1647"/>
        <v>0.0466632219086609</v>
      </c>
      <c r="L2779" s="535">
        <f t="shared" si="1648"/>
        <v>2.27460817717206</v>
      </c>
      <c r="M2779" s="535">
        <f t="shared" si="1649"/>
        <v>106.140546126635</v>
      </c>
      <c r="N2779" s="535">
        <f t="shared" si="1650"/>
        <v>6.98324963769337</v>
      </c>
      <c r="O2779" s="535">
        <f t="shared" si="1651"/>
        <v>0.00170357751277683</v>
      </c>
      <c r="P2779" s="536">
        <f t="shared" si="1652"/>
        <v>72.1727027027027</v>
      </c>
      <c r="Q2779" s="531">
        <f t="shared" si="1653"/>
        <v>37</v>
      </c>
      <c r="R2779" s="537">
        <f t="shared" si="1654"/>
        <v>0.0315161839863714</v>
      </c>
    </row>
    <row r="2780" spans="1:18">
      <c r="A2780" s="524">
        <v>46006</v>
      </c>
      <c r="B2780" s="540" t="s">
        <v>98</v>
      </c>
      <c r="C2780" s="551">
        <v>996.37</v>
      </c>
      <c r="D2780" s="553">
        <v>8565</v>
      </c>
      <c r="E2780" s="551">
        <v>355</v>
      </c>
      <c r="F2780" s="551">
        <v>0</v>
      </c>
      <c r="G2780" s="551">
        <v>0</v>
      </c>
      <c r="H2780" s="551">
        <v>19</v>
      </c>
      <c r="I2780" s="551">
        <v>2</v>
      </c>
      <c r="J2780" s="551">
        <v>2</v>
      </c>
      <c r="K2780" s="527">
        <f t="shared" ref="K2780:K2784" si="1656">IF(E2780=0,0,E2780/D2780)</f>
        <v>0.0414477524810274</v>
      </c>
      <c r="L2780" s="528">
        <f t="shared" ref="L2780:L2784" si="1657">IF(C2780=0,0,C2780/E2780)</f>
        <v>2.80667605633803</v>
      </c>
      <c r="M2780" s="528">
        <f t="shared" ref="M2780:M2784" si="1658">IF(D2780=0,0,C2780/D2780*1000)</f>
        <v>116.330414477525</v>
      </c>
      <c r="N2780" s="528">
        <f t="shared" ref="N2780:N2784" si="1659">IF(G2780=0,0,G2780/C2780)</f>
        <v>0</v>
      </c>
      <c r="O2780" s="528">
        <f t="shared" ref="O2780:O2784" si="1660">IF(F2780=0,0,F2780/E2780)</f>
        <v>0</v>
      </c>
      <c r="P2780" s="529">
        <f t="shared" ref="P2780:P2784" si="1661">IF(H2780+I2780=0,0,C2780/(H2780+I2780))</f>
        <v>47.4461904761905</v>
      </c>
      <c r="Q2780" s="24">
        <f t="shared" ref="Q2780:Q2784" si="1662">H2780+I2780</f>
        <v>21</v>
      </c>
      <c r="R2780" s="530">
        <f t="shared" ref="R2780:R2784" si="1663">IF(Q2780=0,0,Q2780/E2780)</f>
        <v>0.0591549295774648</v>
      </c>
    </row>
    <row r="2781" spans="1:18">
      <c r="A2781" s="524"/>
      <c r="B2781" s="540" t="s">
        <v>99</v>
      </c>
      <c r="C2781" s="551">
        <v>1043.17</v>
      </c>
      <c r="D2781" s="556">
        <v>8673</v>
      </c>
      <c r="E2781" s="551">
        <v>414</v>
      </c>
      <c r="F2781" s="551">
        <v>1</v>
      </c>
      <c r="G2781" s="551">
        <v>10262</v>
      </c>
      <c r="H2781" s="555">
        <v>11</v>
      </c>
      <c r="I2781" s="555">
        <v>0</v>
      </c>
      <c r="J2781" s="555">
        <v>3</v>
      </c>
      <c r="K2781" s="527">
        <f t="shared" si="1656"/>
        <v>0.0477343479764787</v>
      </c>
      <c r="L2781" s="528">
        <f t="shared" si="1657"/>
        <v>2.51973429951691</v>
      </c>
      <c r="M2781" s="528">
        <f t="shared" si="1658"/>
        <v>120.277873861409</v>
      </c>
      <c r="N2781" s="528">
        <f t="shared" si="1659"/>
        <v>9.83732277577001</v>
      </c>
      <c r="O2781" s="528">
        <f t="shared" si="1660"/>
        <v>0.00241545893719807</v>
      </c>
      <c r="P2781" s="529">
        <f t="shared" si="1661"/>
        <v>94.8336363636364</v>
      </c>
      <c r="Q2781" s="24">
        <f t="shared" si="1662"/>
        <v>11</v>
      </c>
      <c r="R2781" s="530">
        <f t="shared" si="1663"/>
        <v>0.0265700483091787</v>
      </c>
    </row>
    <row r="2782" spans="1:18">
      <c r="A2782" s="524"/>
      <c r="B2782" s="540" t="s">
        <v>100</v>
      </c>
      <c r="C2782" s="552">
        <v>0</v>
      </c>
      <c r="D2782" s="553">
        <v>0</v>
      </c>
      <c r="E2782" s="553">
        <v>0</v>
      </c>
      <c r="F2782" s="551">
        <v>0</v>
      </c>
      <c r="G2782" s="551">
        <v>0</v>
      </c>
      <c r="H2782" s="551">
        <v>0</v>
      </c>
      <c r="I2782" s="551">
        <v>0</v>
      </c>
      <c r="J2782" s="551">
        <v>0</v>
      </c>
      <c r="K2782" s="527">
        <f t="shared" si="1656"/>
        <v>0</v>
      </c>
      <c r="L2782" s="528">
        <f t="shared" si="1657"/>
        <v>0</v>
      </c>
      <c r="M2782" s="528">
        <f t="shared" si="1658"/>
        <v>0</v>
      </c>
      <c r="N2782" s="528">
        <f t="shared" si="1659"/>
        <v>0</v>
      </c>
      <c r="O2782" s="528">
        <f t="shared" si="1660"/>
        <v>0</v>
      </c>
      <c r="P2782" s="529">
        <f t="shared" si="1661"/>
        <v>0</v>
      </c>
      <c r="Q2782" s="24">
        <f t="shared" si="1662"/>
        <v>0</v>
      </c>
      <c r="R2782" s="530">
        <f t="shared" si="1663"/>
        <v>0</v>
      </c>
    </row>
    <row r="2783" spans="1:18">
      <c r="A2783" s="524"/>
      <c r="B2783" s="540" t="s">
        <v>101</v>
      </c>
      <c r="C2783" s="552">
        <v>0</v>
      </c>
      <c r="D2783" s="553">
        <v>0</v>
      </c>
      <c r="E2783" s="551">
        <v>0</v>
      </c>
      <c r="F2783" s="551">
        <v>0</v>
      </c>
      <c r="G2783" s="551">
        <v>0</v>
      </c>
      <c r="H2783" s="551">
        <v>0</v>
      </c>
      <c r="I2783" s="551">
        <v>0</v>
      </c>
      <c r="J2783" s="551">
        <v>0</v>
      </c>
      <c r="K2783" s="527">
        <f t="shared" si="1656"/>
        <v>0</v>
      </c>
      <c r="L2783" s="528">
        <f t="shared" si="1657"/>
        <v>0</v>
      </c>
      <c r="M2783" s="528">
        <f t="shared" si="1658"/>
        <v>0</v>
      </c>
      <c r="N2783" s="528">
        <f t="shared" si="1659"/>
        <v>0</v>
      </c>
      <c r="O2783" s="528">
        <f t="shared" si="1660"/>
        <v>0</v>
      </c>
      <c r="P2783" s="529">
        <f t="shared" si="1661"/>
        <v>0</v>
      </c>
      <c r="Q2783" s="24">
        <f t="shared" si="1662"/>
        <v>0</v>
      </c>
      <c r="R2783" s="530">
        <f t="shared" si="1663"/>
        <v>0</v>
      </c>
    </row>
    <row r="2784" spans="1:18">
      <c r="A2784" s="524"/>
      <c r="B2784" s="531" t="s">
        <v>96</v>
      </c>
      <c r="C2784" s="533">
        <f t="shared" ref="C2784:J2784" si="1664">SUM(C2780:C2783)</f>
        <v>2039.54</v>
      </c>
      <c r="D2784" s="533">
        <f t="shared" si="1664"/>
        <v>17238</v>
      </c>
      <c r="E2784" s="533">
        <f t="shared" si="1664"/>
        <v>769</v>
      </c>
      <c r="F2784" s="533">
        <f t="shared" si="1664"/>
        <v>1</v>
      </c>
      <c r="G2784" s="533">
        <f t="shared" si="1664"/>
        <v>10262</v>
      </c>
      <c r="H2784" s="533">
        <f t="shared" si="1664"/>
        <v>30</v>
      </c>
      <c r="I2784" s="533">
        <f t="shared" si="1664"/>
        <v>2</v>
      </c>
      <c r="J2784" s="533">
        <f t="shared" si="1664"/>
        <v>5</v>
      </c>
      <c r="K2784" s="534">
        <f t="shared" si="1656"/>
        <v>0.0446107437057663</v>
      </c>
      <c r="L2784" s="535">
        <f t="shared" si="1657"/>
        <v>2.65219765929779</v>
      </c>
      <c r="M2784" s="535">
        <f t="shared" si="1658"/>
        <v>118.316510035967</v>
      </c>
      <c r="N2784" s="535">
        <f t="shared" si="1659"/>
        <v>5.03152671680869</v>
      </c>
      <c r="O2784" s="535">
        <f t="shared" si="1660"/>
        <v>0.00130039011703511</v>
      </c>
      <c r="P2784" s="536">
        <f t="shared" si="1661"/>
        <v>63.735625</v>
      </c>
      <c r="Q2784" s="531">
        <f t="shared" si="1662"/>
        <v>32</v>
      </c>
      <c r="R2784" s="537">
        <f t="shared" si="1663"/>
        <v>0.0416124837451235</v>
      </c>
    </row>
    <row r="2785" spans="1:18">
      <c r="A2785" s="524">
        <v>46007</v>
      </c>
      <c r="B2785" s="540" t="s">
        <v>98</v>
      </c>
      <c r="C2785" s="551">
        <v>1000</v>
      </c>
      <c r="D2785" s="553">
        <v>9578</v>
      </c>
      <c r="E2785" s="551">
        <v>356</v>
      </c>
      <c r="F2785" s="551">
        <v>1</v>
      </c>
      <c r="G2785" s="551">
        <v>10617</v>
      </c>
      <c r="H2785" s="551">
        <v>13</v>
      </c>
      <c r="I2785" s="551">
        <v>5</v>
      </c>
      <c r="J2785" s="551">
        <v>1</v>
      </c>
      <c r="K2785" s="527">
        <f t="shared" ref="K2785:K2789" si="1665">IF(E2785=0,0,E2785/D2785)</f>
        <v>0.0371685111714345</v>
      </c>
      <c r="L2785" s="528">
        <f t="shared" ref="L2785:L2789" si="1666">IF(C2785=0,0,C2785/E2785)</f>
        <v>2.80898876404494</v>
      </c>
      <c r="M2785" s="528">
        <f t="shared" ref="M2785:M2789" si="1667">IF(D2785=0,0,C2785/D2785*1000)</f>
        <v>104.405930256839</v>
      </c>
      <c r="N2785" s="528">
        <f t="shared" ref="N2785:N2789" si="1668">IF(G2785=0,0,G2785/C2785)</f>
        <v>10.617</v>
      </c>
      <c r="O2785" s="528">
        <f t="shared" ref="O2785:O2789" si="1669">IF(F2785=0,0,F2785/E2785)</f>
        <v>0.00280898876404494</v>
      </c>
      <c r="P2785" s="529">
        <f t="shared" ref="P2785:P2789" si="1670">IF(H2785+I2785=0,0,C2785/(H2785+I2785))</f>
        <v>55.5555555555556</v>
      </c>
      <c r="Q2785" s="24">
        <f t="shared" ref="Q2785:Q2789" si="1671">H2785+I2785</f>
        <v>18</v>
      </c>
      <c r="R2785" s="530">
        <f t="shared" ref="R2785:R2789" si="1672">IF(Q2785=0,0,Q2785/E2785)</f>
        <v>0.050561797752809</v>
      </c>
    </row>
    <row r="2786" spans="1:18">
      <c r="A2786" s="524"/>
      <c r="B2786" s="540" t="s">
        <v>99</v>
      </c>
      <c r="C2786" s="551">
        <v>1464.74</v>
      </c>
      <c r="D2786" s="556">
        <v>7538</v>
      </c>
      <c r="E2786" s="551">
        <v>613</v>
      </c>
      <c r="F2786" s="551">
        <v>0</v>
      </c>
      <c r="G2786" s="551">
        <v>0</v>
      </c>
      <c r="H2786" s="555">
        <v>16</v>
      </c>
      <c r="I2786" s="555">
        <v>1</v>
      </c>
      <c r="J2786" s="555">
        <v>1</v>
      </c>
      <c r="K2786" s="527">
        <f t="shared" si="1665"/>
        <v>0.081321305386044</v>
      </c>
      <c r="L2786" s="528">
        <f t="shared" si="1666"/>
        <v>2.3894616639478</v>
      </c>
      <c r="M2786" s="528">
        <f t="shared" si="1667"/>
        <v>194.314141682144</v>
      </c>
      <c r="N2786" s="528">
        <f t="shared" si="1668"/>
        <v>0</v>
      </c>
      <c r="O2786" s="528">
        <f t="shared" si="1669"/>
        <v>0</v>
      </c>
      <c r="P2786" s="529">
        <f t="shared" si="1670"/>
        <v>86.1611764705882</v>
      </c>
      <c r="Q2786" s="24">
        <f t="shared" si="1671"/>
        <v>17</v>
      </c>
      <c r="R2786" s="530">
        <f t="shared" si="1672"/>
        <v>0.0277324632952692</v>
      </c>
    </row>
    <row r="2787" spans="1:18">
      <c r="A2787" s="524"/>
      <c r="B2787" s="540" t="s">
        <v>100</v>
      </c>
      <c r="C2787" s="552">
        <v>0</v>
      </c>
      <c r="D2787" s="553">
        <v>0</v>
      </c>
      <c r="E2787" s="553">
        <v>0</v>
      </c>
      <c r="F2787" s="551">
        <v>0</v>
      </c>
      <c r="G2787" s="551">
        <v>0</v>
      </c>
      <c r="H2787" s="551">
        <v>0</v>
      </c>
      <c r="I2787" s="551">
        <v>0</v>
      </c>
      <c r="J2787" s="551">
        <v>0</v>
      </c>
      <c r="K2787" s="527">
        <f t="shared" si="1665"/>
        <v>0</v>
      </c>
      <c r="L2787" s="528">
        <f t="shared" si="1666"/>
        <v>0</v>
      </c>
      <c r="M2787" s="528">
        <f t="shared" si="1667"/>
        <v>0</v>
      </c>
      <c r="N2787" s="528">
        <f t="shared" si="1668"/>
        <v>0</v>
      </c>
      <c r="O2787" s="528">
        <f t="shared" si="1669"/>
        <v>0</v>
      </c>
      <c r="P2787" s="529">
        <f t="shared" si="1670"/>
        <v>0</v>
      </c>
      <c r="Q2787" s="24">
        <f t="shared" si="1671"/>
        <v>0</v>
      </c>
      <c r="R2787" s="530">
        <f t="shared" si="1672"/>
        <v>0</v>
      </c>
    </row>
    <row r="2788" spans="1:18">
      <c r="A2788" s="524"/>
      <c r="B2788" s="540" t="s">
        <v>101</v>
      </c>
      <c r="C2788" s="552">
        <v>0</v>
      </c>
      <c r="D2788" s="553">
        <v>0</v>
      </c>
      <c r="E2788" s="551">
        <v>0</v>
      </c>
      <c r="F2788" s="551">
        <v>0</v>
      </c>
      <c r="G2788" s="551">
        <v>0</v>
      </c>
      <c r="H2788" s="551">
        <v>0</v>
      </c>
      <c r="I2788" s="551">
        <v>0</v>
      </c>
      <c r="J2788" s="551">
        <v>0</v>
      </c>
      <c r="K2788" s="527">
        <f t="shared" si="1665"/>
        <v>0</v>
      </c>
      <c r="L2788" s="528">
        <f t="shared" si="1666"/>
        <v>0</v>
      </c>
      <c r="M2788" s="528">
        <f t="shared" si="1667"/>
        <v>0</v>
      </c>
      <c r="N2788" s="528">
        <f t="shared" si="1668"/>
        <v>0</v>
      </c>
      <c r="O2788" s="528">
        <f t="shared" si="1669"/>
        <v>0</v>
      </c>
      <c r="P2788" s="529">
        <f t="shared" si="1670"/>
        <v>0</v>
      </c>
      <c r="Q2788" s="24">
        <f t="shared" si="1671"/>
        <v>0</v>
      </c>
      <c r="R2788" s="530">
        <f t="shared" si="1672"/>
        <v>0</v>
      </c>
    </row>
    <row r="2789" spans="1:18">
      <c r="A2789" s="524"/>
      <c r="B2789" s="531" t="s">
        <v>96</v>
      </c>
      <c r="C2789" s="533">
        <f t="shared" ref="C2789:J2789" si="1673">SUM(C2785:C2788)</f>
        <v>2464.74</v>
      </c>
      <c r="D2789" s="533">
        <f t="shared" si="1673"/>
        <v>17116</v>
      </c>
      <c r="E2789" s="533">
        <f t="shared" si="1673"/>
        <v>969</v>
      </c>
      <c r="F2789" s="533">
        <f t="shared" si="1673"/>
        <v>1</v>
      </c>
      <c r="G2789" s="533">
        <f t="shared" si="1673"/>
        <v>10617</v>
      </c>
      <c r="H2789" s="533">
        <f t="shared" si="1673"/>
        <v>29</v>
      </c>
      <c r="I2789" s="533">
        <f t="shared" si="1673"/>
        <v>6</v>
      </c>
      <c r="J2789" s="533">
        <f t="shared" si="1673"/>
        <v>2</v>
      </c>
      <c r="K2789" s="534">
        <f t="shared" si="1665"/>
        <v>0.056613694788502</v>
      </c>
      <c r="L2789" s="535">
        <f t="shared" si="1666"/>
        <v>2.54359133126935</v>
      </c>
      <c r="M2789" s="535">
        <f t="shared" si="1667"/>
        <v>144.002103295162</v>
      </c>
      <c r="N2789" s="535">
        <f t="shared" si="1668"/>
        <v>4.30755373791962</v>
      </c>
      <c r="O2789" s="535">
        <f t="shared" si="1669"/>
        <v>0.00103199174406605</v>
      </c>
      <c r="P2789" s="536">
        <f t="shared" si="1670"/>
        <v>70.4211428571429</v>
      </c>
      <c r="Q2789" s="531">
        <f t="shared" si="1671"/>
        <v>35</v>
      </c>
      <c r="R2789" s="537">
        <f t="shared" si="1672"/>
        <v>0.0361197110423117</v>
      </c>
    </row>
    <row r="2790" spans="1:18">
      <c r="A2790" s="524">
        <v>46008</v>
      </c>
      <c r="B2790" s="540" t="s">
        <v>98</v>
      </c>
      <c r="C2790" s="551">
        <v>1003.52</v>
      </c>
      <c r="D2790" s="553">
        <v>19040</v>
      </c>
      <c r="E2790" s="551">
        <v>722</v>
      </c>
      <c r="F2790" s="551">
        <v>2</v>
      </c>
      <c r="G2790" s="551">
        <v>38715</v>
      </c>
      <c r="H2790" s="551">
        <v>13</v>
      </c>
      <c r="I2790" s="551">
        <v>8</v>
      </c>
      <c r="J2790" s="551">
        <v>4</v>
      </c>
      <c r="K2790" s="527">
        <f t="shared" ref="K2790:K2794" si="1674">IF(E2790=0,0,E2790/D2790)</f>
        <v>0.0379201680672269</v>
      </c>
      <c r="L2790" s="528">
        <f t="shared" ref="L2790:L2794" si="1675">IF(C2790=0,0,C2790/E2790)</f>
        <v>1.38991689750693</v>
      </c>
      <c r="M2790" s="528">
        <f t="shared" ref="M2790:M2794" si="1676">IF(D2790=0,0,C2790/D2790*1000)</f>
        <v>52.7058823529412</v>
      </c>
      <c r="N2790" s="528">
        <f t="shared" ref="N2790:N2794" si="1677">IF(G2790=0,0,G2790/C2790)</f>
        <v>38.5792012117347</v>
      </c>
      <c r="O2790" s="528">
        <f t="shared" ref="O2790:O2794" si="1678">IF(F2790=0,0,F2790/E2790)</f>
        <v>0.00277008310249307</v>
      </c>
      <c r="P2790" s="529">
        <f t="shared" ref="P2790:P2794" si="1679">IF(H2790+I2790=0,0,C2790/(H2790+I2790))</f>
        <v>47.7866666666667</v>
      </c>
      <c r="Q2790" s="24">
        <f t="shared" ref="Q2790:Q2794" si="1680">H2790+I2790</f>
        <v>21</v>
      </c>
      <c r="R2790" s="530">
        <f t="shared" ref="R2790:R2794" si="1681">IF(Q2790=0,0,Q2790/E2790)</f>
        <v>0.0290858725761773</v>
      </c>
    </row>
    <row r="2791" spans="1:18">
      <c r="A2791" s="524"/>
      <c r="B2791" s="540" t="s">
        <v>99</v>
      </c>
      <c r="C2791" s="551">
        <v>1392.78</v>
      </c>
      <c r="D2791" s="556">
        <v>7764</v>
      </c>
      <c r="E2791" s="551">
        <v>587</v>
      </c>
      <c r="F2791" s="551">
        <v>0</v>
      </c>
      <c r="G2791" s="551">
        <v>0</v>
      </c>
      <c r="H2791" s="555">
        <v>9</v>
      </c>
      <c r="I2791" s="555">
        <v>3</v>
      </c>
      <c r="J2791" s="555">
        <v>2</v>
      </c>
      <c r="K2791" s="527">
        <f t="shared" si="1674"/>
        <v>0.0756053580628542</v>
      </c>
      <c r="L2791" s="528">
        <f t="shared" si="1675"/>
        <v>2.37270868824532</v>
      </c>
      <c r="M2791" s="528">
        <f t="shared" si="1676"/>
        <v>179.389489953632</v>
      </c>
      <c r="N2791" s="528">
        <f t="shared" si="1677"/>
        <v>0</v>
      </c>
      <c r="O2791" s="528">
        <f t="shared" si="1678"/>
        <v>0</v>
      </c>
      <c r="P2791" s="529">
        <f t="shared" si="1679"/>
        <v>116.065</v>
      </c>
      <c r="Q2791" s="24">
        <f t="shared" si="1680"/>
        <v>12</v>
      </c>
      <c r="R2791" s="530">
        <f t="shared" si="1681"/>
        <v>0.020442930153322</v>
      </c>
    </row>
    <row r="2792" spans="1:18">
      <c r="A2792" s="524"/>
      <c r="B2792" s="540" t="s">
        <v>100</v>
      </c>
      <c r="C2792" s="552">
        <v>0</v>
      </c>
      <c r="D2792" s="553">
        <v>0</v>
      </c>
      <c r="E2792" s="553">
        <v>0</v>
      </c>
      <c r="F2792" s="551">
        <v>0</v>
      </c>
      <c r="G2792" s="551">
        <v>0</v>
      </c>
      <c r="H2792" s="551">
        <v>0</v>
      </c>
      <c r="I2792" s="551">
        <v>0</v>
      </c>
      <c r="J2792" s="551">
        <v>0</v>
      </c>
      <c r="K2792" s="527">
        <f t="shared" si="1674"/>
        <v>0</v>
      </c>
      <c r="L2792" s="528">
        <f t="shared" si="1675"/>
        <v>0</v>
      </c>
      <c r="M2792" s="528">
        <f t="shared" si="1676"/>
        <v>0</v>
      </c>
      <c r="N2792" s="528">
        <f t="shared" si="1677"/>
        <v>0</v>
      </c>
      <c r="O2792" s="528">
        <f t="shared" si="1678"/>
        <v>0</v>
      </c>
      <c r="P2792" s="529">
        <f t="shared" si="1679"/>
        <v>0</v>
      </c>
      <c r="Q2792" s="24">
        <f t="shared" si="1680"/>
        <v>0</v>
      </c>
      <c r="R2792" s="530">
        <f t="shared" si="1681"/>
        <v>0</v>
      </c>
    </row>
    <row r="2793" spans="1:18">
      <c r="A2793" s="524"/>
      <c r="B2793" s="540" t="s">
        <v>101</v>
      </c>
      <c r="C2793" s="552">
        <v>0</v>
      </c>
      <c r="D2793" s="553">
        <v>0</v>
      </c>
      <c r="E2793" s="551">
        <v>0</v>
      </c>
      <c r="F2793" s="551">
        <v>0</v>
      </c>
      <c r="G2793" s="551">
        <v>0</v>
      </c>
      <c r="H2793" s="551">
        <v>0</v>
      </c>
      <c r="I2793" s="551">
        <v>0</v>
      </c>
      <c r="J2793" s="551">
        <v>0</v>
      </c>
      <c r="K2793" s="527">
        <f t="shared" si="1674"/>
        <v>0</v>
      </c>
      <c r="L2793" s="528">
        <f t="shared" si="1675"/>
        <v>0</v>
      </c>
      <c r="M2793" s="528">
        <f t="shared" si="1676"/>
        <v>0</v>
      </c>
      <c r="N2793" s="528">
        <f t="shared" si="1677"/>
        <v>0</v>
      </c>
      <c r="O2793" s="528">
        <f t="shared" si="1678"/>
        <v>0</v>
      </c>
      <c r="P2793" s="529">
        <f t="shared" si="1679"/>
        <v>0</v>
      </c>
      <c r="Q2793" s="24">
        <f t="shared" si="1680"/>
        <v>0</v>
      </c>
      <c r="R2793" s="530">
        <f t="shared" si="1681"/>
        <v>0</v>
      </c>
    </row>
    <row r="2794" spans="1:18">
      <c r="A2794" s="524"/>
      <c r="B2794" s="531" t="s">
        <v>96</v>
      </c>
      <c r="C2794" s="533">
        <f t="shared" ref="C2794:J2794" si="1682">SUM(C2790:C2793)</f>
        <v>2396.3</v>
      </c>
      <c r="D2794" s="533">
        <f t="shared" si="1682"/>
        <v>26804</v>
      </c>
      <c r="E2794" s="533">
        <f t="shared" si="1682"/>
        <v>1309</v>
      </c>
      <c r="F2794" s="533">
        <f t="shared" si="1682"/>
        <v>2</v>
      </c>
      <c r="G2794" s="533">
        <f t="shared" si="1682"/>
        <v>38715</v>
      </c>
      <c r="H2794" s="533">
        <f t="shared" si="1682"/>
        <v>22</v>
      </c>
      <c r="I2794" s="533">
        <f t="shared" si="1682"/>
        <v>11</v>
      </c>
      <c r="J2794" s="533">
        <f t="shared" si="1682"/>
        <v>6</v>
      </c>
      <c r="K2794" s="534">
        <f t="shared" si="1674"/>
        <v>0.0488359946276675</v>
      </c>
      <c r="L2794" s="535">
        <f t="shared" si="1675"/>
        <v>1.83063407181054</v>
      </c>
      <c r="M2794" s="535">
        <f t="shared" si="1676"/>
        <v>89.4008356961648</v>
      </c>
      <c r="N2794" s="535">
        <f t="shared" si="1677"/>
        <v>16.1561574093394</v>
      </c>
      <c r="O2794" s="535">
        <f t="shared" si="1678"/>
        <v>0.00152788388082506</v>
      </c>
      <c r="P2794" s="536">
        <f t="shared" si="1679"/>
        <v>72.6151515151515</v>
      </c>
      <c r="Q2794" s="531">
        <f t="shared" si="1680"/>
        <v>33</v>
      </c>
      <c r="R2794" s="537">
        <f t="shared" si="1681"/>
        <v>0.0252100840336134</v>
      </c>
    </row>
    <row r="2795" spans="1:18">
      <c r="A2795" s="524">
        <v>46009</v>
      </c>
      <c r="B2795" s="540" t="s">
        <v>98</v>
      </c>
      <c r="C2795" s="551">
        <v>1013</v>
      </c>
      <c r="D2795" s="553">
        <v>16857</v>
      </c>
      <c r="E2795" s="551">
        <v>722</v>
      </c>
      <c r="F2795" s="551">
        <v>4</v>
      </c>
      <c r="G2795" s="551">
        <v>31917</v>
      </c>
      <c r="H2795" s="551">
        <v>14</v>
      </c>
      <c r="I2795" s="551">
        <v>11</v>
      </c>
      <c r="J2795" s="551">
        <v>3</v>
      </c>
      <c r="K2795" s="527">
        <f t="shared" ref="K2795:K2799" si="1683">IF(E2795=0,0,E2795/D2795)</f>
        <v>0.0428308714480631</v>
      </c>
      <c r="L2795" s="528">
        <f t="shared" ref="L2795:L2799" si="1684">IF(C2795=0,0,C2795/E2795)</f>
        <v>1.40304709141274</v>
      </c>
      <c r="M2795" s="528">
        <f t="shared" ref="M2795:M2799" si="1685">IF(D2795=0,0,C2795/D2795*1000)</f>
        <v>60.093729607878</v>
      </c>
      <c r="N2795" s="528">
        <f t="shared" ref="N2795:N2799" si="1686">IF(G2795=0,0,G2795/C2795)</f>
        <v>31.507403751234</v>
      </c>
      <c r="O2795" s="528">
        <f t="shared" ref="O2795:O2799" si="1687">IF(F2795=0,0,F2795/E2795)</f>
        <v>0.00554016620498615</v>
      </c>
      <c r="P2795" s="529">
        <f t="shared" ref="P2795:P2799" si="1688">IF(H2795+I2795=0,0,C2795/(H2795+I2795))</f>
        <v>40.52</v>
      </c>
      <c r="Q2795" s="24">
        <f t="shared" ref="Q2795:Q2799" si="1689">H2795+I2795</f>
        <v>25</v>
      </c>
      <c r="R2795" s="530">
        <f t="shared" ref="R2795:R2799" si="1690">IF(Q2795=0,0,Q2795/E2795)</f>
        <v>0.0346260387811634</v>
      </c>
    </row>
    <row r="2796" spans="1:18">
      <c r="A2796" s="524"/>
      <c r="B2796" s="540" t="s">
        <v>99</v>
      </c>
      <c r="C2796" s="551">
        <v>1456.28</v>
      </c>
      <c r="D2796" s="556">
        <v>11503</v>
      </c>
      <c r="E2796" s="551">
        <v>530</v>
      </c>
      <c r="F2796" s="551">
        <v>2</v>
      </c>
      <c r="G2796" s="551">
        <v>16606</v>
      </c>
      <c r="H2796" s="555">
        <v>8</v>
      </c>
      <c r="I2796" s="555">
        <v>0</v>
      </c>
      <c r="J2796" s="555">
        <v>1</v>
      </c>
      <c r="K2796" s="527">
        <f t="shared" si="1683"/>
        <v>0.0460749369729636</v>
      </c>
      <c r="L2796" s="528">
        <f t="shared" si="1684"/>
        <v>2.74769811320755</v>
      </c>
      <c r="M2796" s="528">
        <f t="shared" si="1685"/>
        <v>126.600017386769</v>
      </c>
      <c r="N2796" s="528">
        <f t="shared" si="1686"/>
        <v>11.4030268904332</v>
      </c>
      <c r="O2796" s="528">
        <f t="shared" si="1687"/>
        <v>0.00377358490566038</v>
      </c>
      <c r="P2796" s="529">
        <f t="shared" si="1688"/>
        <v>182.035</v>
      </c>
      <c r="Q2796" s="24">
        <f t="shared" si="1689"/>
        <v>8</v>
      </c>
      <c r="R2796" s="530">
        <f t="shared" si="1690"/>
        <v>0.0150943396226415</v>
      </c>
    </row>
    <row r="2797" spans="1:18">
      <c r="A2797" s="524"/>
      <c r="B2797" s="540" t="s">
        <v>100</v>
      </c>
      <c r="C2797" s="552">
        <v>0</v>
      </c>
      <c r="D2797" s="553">
        <v>0</v>
      </c>
      <c r="E2797" s="553">
        <v>0</v>
      </c>
      <c r="F2797" s="551">
        <v>0</v>
      </c>
      <c r="G2797" s="551">
        <v>0</v>
      </c>
      <c r="H2797" s="551">
        <v>0</v>
      </c>
      <c r="I2797" s="551">
        <v>0</v>
      </c>
      <c r="J2797" s="551">
        <v>0</v>
      </c>
      <c r="K2797" s="527">
        <f t="shared" si="1683"/>
        <v>0</v>
      </c>
      <c r="L2797" s="528">
        <f t="shared" si="1684"/>
        <v>0</v>
      </c>
      <c r="M2797" s="528">
        <f t="shared" si="1685"/>
        <v>0</v>
      </c>
      <c r="N2797" s="528">
        <f t="shared" si="1686"/>
        <v>0</v>
      </c>
      <c r="O2797" s="528">
        <f t="shared" si="1687"/>
        <v>0</v>
      </c>
      <c r="P2797" s="529">
        <f t="shared" si="1688"/>
        <v>0</v>
      </c>
      <c r="Q2797" s="24">
        <f t="shared" si="1689"/>
        <v>0</v>
      </c>
      <c r="R2797" s="530">
        <f t="shared" si="1690"/>
        <v>0</v>
      </c>
    </row>
    <row r="2798" spans="1:18">
      <c r="A2798" s="524"/>
      <c r="B2798" s="540" t="s">
        <v>101</v>
      </c>
      <c r="C2798" s="552">
        <v>0</v>
      </c>
      <c r="D2798" s="553">
        <v>0</v>
      </c>
      <c r="E2798" s="551">
        <v>0</v>
      </c>
      <c r="F2798" s="551">
        <v>0</v>
      </c>
      <c r="G2798" s="551">
        <v>0</v>
      </c>
      <c r="H2798" s="551">
        <v>0</v>
      </c>
      <c r="I2798" s="551">
        <v>0</v>
      </c>
      <c r="J2798" s="551">
        <v>0</v>
      </c>
      <c r="K2798" s="527">
        <f t="shared" si="1683"/>
        <v>0</v>
      </c>
      <c r="L2798" s="528">
        <f t="shared" si="1684"/>
        <v>0</v>
      </c>
      <c r="M2798" s="528">
        <f t="shared" si="1685"/>
        <v>0</v>
      </c>
      <c r="N2798" s="528">
        <f t="shared" si="1686"/>
        <v>0</v>
      </c>
      <c r="O2798" s="528">
        <f t="shared" si="1687"/>
        <v>0</v>
      </c>
      <c r="P2798" s="529">
        <f t="shared" si="1688"/>
        <v>0</v>
      </c>
      <c r="Q2798" s="24">
        <f t="shared" si="1689"/>
        <v>0</v>
      </c>
      <c r="R2798" s="530">
        <f t="shared" si="1690"/>
        <v>0</v>
      </c>
    </row>
    <row r="2799" spans="1:18">
      <c r="A2799" s="524"/>
      <c r="B2799" s="531" t="s">
        <v>96</v>
      </c>
      <c r="C2799" s="533">
        <f t="shared" ref="C2799:J2799" si="1691">SUM(C2795:C2798)</f>
        <v>2469.28</v>
      </c>
      <c r="D2799" s="533">
        <f t="shared" si="1691"/>
        <v>28360</v>
      </c>
      <c r="E2799" s="533">
        <f t="shared" si="1691"/>
        <v>1252</v>
      </c>
      <c r="F2799" s="533">
        <f t="shared" si="1691"/>
        <v>6</v>
      </c>
      <c r="G2799" s="533">
        <f t="shared" si="1691"/>
        <v>48523</v>
      </c>
      <c r="H2799" s="533">
        <f t="shared" si="1691"/>
        <v>22</v>
      </c>
      <c r="I2799" s="533">
        <f t="shared" si="1691"/>
        <v>11</v>
      </c>
      <c r="J2799" s="533">
        <f t="shared" si="1691"/>
        <v>4</v>
      </c>
      <c r="K2799" s="534">
        <f t="shared" si="1683"/>
        <v>0.0441466854724965</v>
      </c>
      <c r="L2799" s="535">
        <f t="shared" si="1684"/>
        <v>1.97226837060703</v>
      </c>
      <c r="M2799" s="535">
        <f t="shared" si="1685"/>
        <v>87.0691114245416</v>
      </c>
      <c r="N2799" s="535">
        <f t="shared" si="1686"/>
        <v>19.6506674010238</v>
      </c>
      <c r="O2799" s="535">
        <f t="shared" si="1687"/>
        <v>0.00479233226837061</v>
      </c>
      <c r="P2799" s="536">
        <f t="shared" si="1688"/>
        <v>74.8266666666667</v>
      </c>
      <c r="Q2799" s="531">
        <f t="shared" si="1689"/>
        <v>33</v>
      </c>
      <c r="R2799" s="537">
        <f t="shared" si="1690"/>
        <v>0.0263578274760383</v>
      </c>
    </row>
    <row r="2800" spans="1:18">
      <c r="A2800" s="524">
        <v>46010</v>
      </c>
      <c r="B2800" s="540" t="s">
        <v>98</v>
      </c>
      <c r="C2800" s="551">
        <v>1200</v>
      </c>
      <c r="D2800" s="553">
        <v>7840</v>
      </c>
      <c r="E2800" s="551">
        <v>401</v>
      </c>
      <c r="F2800" s="551">
        <v>0</v>
      </c>
      <c r="G2800" s="551">
        <v>0</v>
      </c>
      <c r="H2800" s="551">
        <v>8</v>
      </c>
      <c r="I2800" s="551">
        <v>5</v>
      </c>
      <c r="J2800" s="551">
        <v>3</v>
      </c>
      <c r="K2800" s="527">
        <f t="shared" ref="K2800:K2804" si="1692">IF(E2800=0,0,E2800/D2800)</f>
        <v>0.0511479591836735</v>
      </c>
      <c r="L2800" s="528">
        <f t="shared" ref="L2800:L2804" si="1693">IF(C2800=0,0,C2800/E2800)</f>
        <v>2.9925187032419</v>
      </c>
      <c r="M2800" s="528">
        <f t="shared" ref="M2800:M2804" si="1694">IF(D2800=0,0,C2800/D2800*1000)</f>
        <v>153.061224489796</v>
      </c>
      <c r="N2800" s="528">
        <f t="shared" ref="N2800:N2804" si="1695">IF(G2800=0,0,G2800/C2800)</f>
        <v>0</v>
      </c>
      <c r="O2800" s="528">
        <f t="shared" ref="O2800:O2804" si="1696">IF(F2800=0,0,F2800/E2800)</f>
        <v>0</v>
      </c>
      <c r="P2800" s="529">
        <f t="shared" ref="P2800:P2804" si="1697">IF(H2800+I2800=0,0,C2800/(H2800+I2800))</f>
        <v>92.3076923076923</v>
      </c>
      <c r="Q2800" s="24">
        <f t="shared" ref="Q2800:Q2804" si="1698">H2800+I2800</f>
        <v>13</v>
      </c>
      <c r="R2800" s="530">
        <f t="shared" ref="R2800:R2804" si="1699">IF(Q2800=0,0,Q2800/E2800)</f>
        <v>0.0324189526184539</v>
      </c>
    </row>
    <row r="2801" spans="1:18">
      <c r="A2801" s="524"/>
      <c r="B2801" s="540" t="s">
        <v>99</v>
      </c>
      <c r="C2801" s="551">
        <v>0</v>
      </c>
      <c r="D2801" s="556">
        <v>0</v>
      </c>
      <c r="E2801" s="551">
        <v>0</v>
      </c>
      <c r="F2801" s="551">
        <v>0</v>
      </c>
      <c r="G2801" s="551">
        <v>0</v>
      </c>
      <c r="H2801" s="555">
        <v>0</v>
      </c>
      <c r="I2801" s="555">
        <v>0</v>
      </c>
      <c r="J2801" s="555">
        <v>0</v>
      </c>
      <c r="K2801" s="527">
        <f t="shared" si="1692"/>
        <v>0</v>
      </c>
      <c r="L2801" s="528">
        <f t="shared" si="1693"/>
        <v>0</v>
      </c>
      <c r="M2801" s="528">
        <f t="shared" si="1694"/>
        <v>0</v>
      </c>
      <c r="N2801" s="528">
        <f t="shared" si="1695"/>
        <v>0</v>
      </c>
      <c r="O2801" s="528">
        <f t="shared" si="1696"/>
        <v>0</v>
      </c>
      <c r="P2801" s="529">
        <f t="shared" si="1697"/>
        <v>0</v>
      </c>
      <c r="Q2801" s="24">
        <f t="shared" si="1698"/>
        <v>0</v>
      </c>
      <c r="R2801" s="530">
        <f t="shared" si="1699"/>
        <v>0</v>
      </c>
    </row>
    <row r="2802" spans="1:18">
      <c r="A2802" s="524"/>
      <c r="B2802" s="540" t="s">
        <v>100</v>
      </c>
      <c r="C2802" s="552">
        <v>0</v>
      </c>
      <c r="D2802" s="553">
        <v>0</v>
      </c>
      <c r="E2802" s="553">
        <v>0</v>
      </c>
      <c r="F2802" s="551">
        <v>0</v>
      </c>
      <c r="G2802" s="551">
        <v>0</v>
      </c>
      <c r="H2802" s="551">
        <v>0</v>
      </c>
      <c r="I2802" s="551">
        <v>0</v>
      </c>
      <c r="J2802" s="551">
        <v>0</v>
      </c>
      <c r="K2802" s="527">
        <f t="shared" si="1692"/>
        <v>0</v>
      </c>
      <c r="L2802" s="528">
        <f t="shared" si="1693"/>
        <v>0</v>
      </c>
      <c r="M2802" s="528">
        <f t="shared" si="1694"/>
        <v>0</v>
      </c>
      <c r="N2802" s="528">
        <f t="shared" si="1695"/>
        <v>0</v>
      </c>
      <c r="O2802" s="528">
        <f t="shared" si="1696"/>
        <v>0</v>
      </c>
      <c r="P2802" s="529">
        <f t="shared" si="1697"/>
        <v>0</v>
      </c>
      <c r="Q2802" s="24">
        <f t="shared" si="1698"/>
        <v>0</v>
      </c>
      <c r="R2802" s="530">
        <f t="shared" si="1699"/>
        <v>0</v>
      </c>
    </row>
    <row r="2803" spans="1:18">
      <c r="A2803" s="524"/>
      <c r="B2803" s="540" t="s">
        <v>101</v>
      </c>
      <c r="C2803" s="552">
        <v>0</v>
      </c>
      <c r="D2803" s="553">
        <v>0</v>
      </c>
      <c r="E2803" s="551">
        <v>0</v>
      </c>
      <c r="F2803" s="551">
        <v>0</v>
      </c>
      <c r="G2803" s="551">
        <v>0</v>
      </c>
      <c r="H2803" s="551">
        <v>0</v>
      </c>
      <c r="I2803" s="551">
        <v>0</v>
      </c>
      <c r="J2803" s="551">
        <v>0</v>
      </c>
      <c r="K2803" s="527">
        <f t="shared" si="1692"/>
        <v>0</v>
      </c>
      <c r="L2803" s="528">
        <f t="shared" si="1693"/>
        <v>0</v>
      </c>
      <c r="M2803" s="528">
        <f t="shared" si="1694"/>
        <v>0</v>
      </c>
      <c r="N2803" s="528">
        <f t="shared" si="1695"/>
        <v>0</v>
      </c>
      <c r="O2803" s="528">
        <f t="shared" si="1696"/>
        <v>0</v>
      </c>
      <c r="P2803" s="529">
        <f t="shared" si="1697"/>
        <v>0</v>
      </c>
      <c r="Q2803" s="24">
        <f t="shared" si="1698"/>
        <v>0</v>
      </c>
      <c r="R2803" s="530">
        <f t="shared" si="1699"/>
        <v>0</v>
      </c>
    </row>
    <row r="2804" spans="1:18">
      <c r="A2804" s="524"/>
      <c r="B2804" s="531" t="s">
        <v>96</v>
      </c>
      <c r="C2804" s="533">
        <f t="shared" ref="C2804:J2804" si="1700">SUM(C2800:C2803)</f>
        <v>1200</v>
      </c>
      <c r="D2804" s="533">
        <f t="shared" si="1700"/>
        <v>7840</v>
      </c>
      <c r="E2804" s="533">
        <f t="shared" si="1700"/>
        <v>401</v>
      </c>
      <c r="F2804" s="533">
        <f t="shared" si="1700"/>
        <v>0</v>
      </c>
      <c r="G2804" s="533">
        <f t="shared" si="1700"/>
        <v>0</v>
      </c>
      <c r="H2804" s="533">
        <f t="shared" si="1700"/>
        <v>8</v>
      </c>
      <c r="I2804" s="533">
        <f t="shared" si="1700"/>
        <v>5</v>
      </c>
      <c r="J2804" s="533">
        <f t="shared" si="1700"/>
        <v>3</v>
      </c>
      <c r="K2804" s="534">
        <f t="shared" si="1692"/>
        <v>0.0511479591836735</v>
      </c>
      <c r="L2804" s="535">
        <f t="shared" si="1693"/>
        <v>2.9925187032419</v>
      </c>
      <c r="M2804" s="535">
        <f t="shared" si="1694"/>
        <v>153.061224489796</v>
      </c>
      <c r="N2804" s="535">
        <f t="shared" si="1695"/>
        <v>0</v>
      </c>
      <c r="O2804" s="535">
        <f t="shared" si="1696"/>
        <v>0</v>
      </c>
      <c r="P2804" s="536">
        <f t="shared" si="1697"/>
        <v>92.3076923076923</v>
      </c>
      <c r="Q2804" s="531">
        <f t="shared" si="1698"/>
        <v>13</v>
      </c>
      <c r="R2804" s="537">
        <f t="shared" si="1699"/>
        <v>0.0324189526184539</v>
      </c>
    </row>
    <row r="2805" spans="1:18">
      <c r="A2805" s="524">
        <v>46011</v>
      </c>
      <c r="B2805" s="540" t="s">
        <v>98</v>
      </c>
      <c r="C2805" s="551">
        <v>1196.38</v>
      </c>
      <c r="D2805" s="553">
        <v>19490</v>
      </c>
      <c r="E2805" s="551">
        <v>558</v>
      </c>
      <c r="F2805" s="551">
        <v>1</v>
      </c>
      <c r="G2805" s="551">
        <v>9052</v>
      </c>
      <c r="H2805" s="551">
        <v>20</v>
      </c>
      <c r="I2805" s="551">
        <v>6</v>
      </c>
      <c r="J2805" s="551">
        <v>2</v>
      </c>
      <c r="K2805" s="527">
        <f t="shared" ref="K2805:K2809" si="1701">IF(E2805=0,0,E2805/D2805)</f>
        <v>0.0286300667008722</v>
      </c>
      <c r="L2805" s="528">
        <f t="shared" ref="L2805:L2809" si="1702">IF(C2805=0,0,C2805/E2805)</f>
        <v>2.14405017921147</v>
      </c>
      <c r="M2805" s="528">
        <f t="shared" ref="M2805:M2809" si="1703">IF(D2805=0,0,C2805/D2805*1000)</f>
        <v>61.3842996408415</v>
      </c>
      <c r="N2805" s="528">
        <f t="shared" ref="N2805:N2809" si="1704">IF(G2805=0,0,G2805/C2805)</f>
        <v>7.56615790969424</v>
      </c>
      <c r="O2805" s="528">
        <f t="shared" ref="O2805:O2809" si="1705">IF(F2805=0,0,F2805/E2805)</f>
        <v>0.0017921146953405</v>
      </c>
      <c r="P2805" s="529">
        <f t="shared" ref="P2805:P2809" si="1706">IF(H2805+I2805=0,0,C2805/(H2805+I2805))</f>
        <v>46.0146153846154</v>
      </c>
      <c r="Q2805" s="24">
        <f t="shared" ref="Q2805:Q2809" si="1707">H2805+I2805</f>
        <v>26</v>
      </c>
      <c r="R2805" s="530">
        <f t="shared" ref="R2805:R2809" si="1708">IF(Q2805=0,0,Q2805/E2805)</f>
        <v>0.046594982078853</v>
      </c>
    </row>
    <row r="2806" spans="1:18">
      <c r="A2806" s="524"/>
      <c r="B2806" s="540" t="s">
        <v>99</v>
      </c>
      <c r="C2806" s="551">
        <v>0</v>
      </c>
      <c r="D2806" s="556">
        <v>0</v>
      </c>
      <c r="E2806" s="551">
        <v>0</v>
      </c>
      <c r="F2806" s="551">
        <v>0</v>
      </c>
      <c r="G2806" s="551">
        <v>0</v>
      </c>
      <c r="H2806" s="555">
        <v>0</v>
      </c>
      <c r="I2806" s="555">
        <v>0</v>
      </c>
      <c r="J2806" s="555">
        <v>0</v>
      </c>
      <c r="K2806" s="527">
        <f t="shared" si="1701"/>
        <v>0</v>
      </c>
      <c r="L2806" s="528">
        <f t="shared" si="1702"/>
        <v>0</v>
      </c>
      <c r="M2806" s="528">
        <f t="shared" si="1703"/>
        <v>0</v>
      </c>
      <c r="N2806" s="528">
        <f t="shared" si="1704"/>
        <v>0</v>
      </c>
      <c r="O2806" s="528">
        <f t="shared" si="1705"/>
        <v>0</v>
      </c>
      <c r="P2806" s="529">
        <f t="shared" si="1706"/>
        <v>0</v>
      </c>
      <c r="Q2806" s="24">
        <f t="shared" si="1707"/>
        <v>0</v>
      </c>
      <c r="R2806" s="530">
        <f t="shared" si="1708"/>
        <v>0</v>
      </c>
    </row>
    <row r="2807" spans="1:18">
      <c r="A2807" s="524"/>
      <c r="B2807" s="540" t="s">
        <v>100</v>
      </c>
      <c r="C2807" s="552">
        <v>0</v>
      </c>
      <c r="D2807" s="553">
        <v>0</v>
      </c>
      <c r="E2807" s="553">
        <v>0</v>
      </c>
      <c r="F2807" s="551">
        <v>0</v>
      </c>
      <c r="G2807" s="551">
        <v>0</v>
      </c>
      <c r="H2807" s="551">
        <v>0</v>
      </c>
      <c r="I2807" s="551">
        <v>0</v>
      </c>
      <c r="J2807" s="551">
        <v>0</v>
      </c>
      <c r="K2807" s="527">
        <f t="shared" si="1701"/>
        <v>0</v>
      </c>
      <c r="L2807" s="528">
        <f t="shared" si="1702"/>
        <v>0</v>
      </c>
      <c r="M2807" s="528">
        <f t="shared" si="1703"/>
        <v>0</v>
      </c>
      <c r="N2807" s="528">
        <f t="shared" si="1704"/>
        <v>0</v>
      </c>
      <c r="O2807" s="528">
        <f t="shared" si="1705"/>
        <v>0</v>
      </c>
      <c r="P2807" s="529">
        <f t="shared" si="1706"/>
        <v>0</v>
      </c>
      <c r="Q2807" s="24">
        <f t="shared" si="1707"/>
        <v>0</v>
      </c>
      <c r="R2807" s="530">
        <f t="shared" si="1708"/>
        <v>0</v>
      </c>
    </row>
    <row r="2808" spans="1:18">
      <c r="A2808" s="524"/>
      <c r="B2808" s="540" t="s">
        <v>101</v>
      </c>
      <c r="C2808" s="552">
        <v>0</v>
      </c>
      <c r="D2808" s="553">
        <v>0</v>
      </c>
      <c r="E2808" s="551">
        <v>0</v>
      </c>
      <c r="F2808" s="551">
        <v>0</v>
      </c>
      <c r="G2808" s="551">
        <v>0</v>
      </c>
      <c r="H2808" s="551">
        <v>0</v>
      </c>
      <c r="I2808" s="551">
        <v>0</v>
      </c>
      <c r="J2808" s="551">
        <v>0</v>
      </c>
      <c r="K2808" s="527">
        <f t="shared" si="1701"/>
        <v>0</v>
      </c>
      <c r="L2808" s="528">
        <f t="shared" si="1702"/>
        <v>0</v>
      </c>
      <c r="M2808" s="528">
        <f t="shared" si="1703"/>
        <v>0</v>
      </c>
      <c r="N2808" s="528">
        <f t="shared" si="1704"/>
        <v>0</v>
      </c>
      <c r="O2808" s="528">
        <f t="shared" si="1705"/>
        <v>0</v>
      </c>
      <c r="P2808" s="529">
        <f t="shared" si="1706"/>
        <v>0</v>
      </c>
      <c r="Q2808" s="24">
        <f t="shared" si="1707"/>
        <v>0</v>
      </c>
      <c r="R2808" s="530">
        <f t="shared" si="1708"/>
        <v>0</v>
      </c>
    </row>
    <row r="2809" spans="1:18">
      <c r="A2809" s="524"/>
      <c r="B2809" s="531" t="s">
        <v>96</v>
      </c>
      <c r="C2809" s="533">
        <f t="shared" ref="C2809:J2809" si="1709">SUM(C2805:C2808)</f>
        <v>1196.38</v>
      </c>
      <c r="D2809" s="533">
        <f t="shared" si="1709"/>
        <v>19490</v>
      </c>
      <c r="E2809" s="533">
        <f t="shared" si="1709"/>
        <v>558</v>
      </c>
      <c r="F2809" s="533">
        <f t="shared" si="1709"/>
        <v>1</v>
      </c>
      <c r="G2809" s="533">
        <f t="shared" si="1709"/>
        <v>9052</v>
      </c>
      <c r="H2809" s="533">
        <f t="shared" si="1709"/>
        <v>20</v>
      </c>
      <c r="I2809" s="533">
        <f t="shared" si="1709"/>
        <v>6</v>
      </c>
      <c r="J2809" s="533">
        <f t="shared" si="1709"/>
        <v>2</v>
      </c>
      <c r="K2809" s="534">
        <f t="shared" si="1701"/>
        <v>0.0286300667008722</v>
      </c>
      <c r="L2809" s="535">
        <f t="shared" si="1702"/>
        <v>2.14405017921147</v>
      </c>
      <c r="M2809" s="535">
        <f t="shared" si="1703"/>
        <v>61.3842996408415</v>
      </c>
      <c r="N2809" s="535">
        <f t="shared" si="1704"/>
        <v>7.56615790969424</v>
      </c>
      <c r="O2809" s="535">
        <f t="shared" si="1705"/>
        <v>0.0017921146953405</v>
      </c>
      <c r="P2809" s="536">
        <f t="shared" si="1706"/>
        <v>46.0146153846154</v>
      </c>
      <c r="Q2809" s="531">
        <f t="shared" si="1707"/>
        <v>26</v>
      </c>
      <c r="R2809" s="537">
        <f t="shared" si="1708"/>
        <v>0.046594982078853</v>
      </c>
    </row>
    <row r="2810" spans="1:18">
      <c r="A2810" s="524">
        <v>46012</v>
      </c>
      <c r="B2810" s="540" t="s">
        <v>98</v>
      </c>
      <c r="C2810" s="551">
        <v>1200</v>
      </c>
      <c r="D2810" s="553">
        <v>15924</v>
      </c>
      <c r="E2810" s="551">
        <v>553</v>
      </c>
      <c r="F2810" s="551">
        <v>1</v>
      </c>
      <c r="G2810" s="551">
        <v>9052</v>
      </c>
      <c r="H2810" s="551">
        <v>28</v>
      </c>
      <c r="I2810" s="551">
        <v>6</v>
      </c>
      <c r="J2810" s="551">
        <v>3</v>
      </c>
      <c r="K2810" s="527">
        <f t="shared" ref="K2810:K2814" si="1710">IF(E2810=0,0,E2810/D2810)</f>
        <v>0.0347274554132128</v>
      </c>
      <c r="L2810" s="528">
        <f t="shared" ref="L2810:L2814" si="1711">IF(C2810=0,0,C2810/E2810)</f>
        <v>2.16998191681736</v>
      </c>
      <c r="M2810" s="528">
        <f t="shared" ref="M2810:M2814" si="1712">IF(D2810=0,0,C2810/D2810*1000)</f>
        <v>75.3579502637528</v>
      </c>
      <c r="N2810" s="528">
        <f t="shared" ref="N2810:N2814" si="1713">IF(G2810=0,0,G2810/C2810)</f>
        <v>7.54333333333333</v>
      </c>
      <c r="O2810" s="528">
        <f t="shared" ref="O2810:O2814" si="1714">IF(F2810=0,0,F2810/E2810)</f>
        <v>0.00180831826401447</v>
      </c>
      <c r="P2810" s="529">
        <f t="shared" ref="P2810:P2814" si="1715">IF(H2810+I2810=0,0,C2810/(H2810+I2810))</f>
        <v>35.2941176470588</v>
      </c>
      <c r="Q2810" s="24">
        <f t="shared" ref="Q2810:Q2814" si="1716">H2810+I2810</f>
        <v>34</v>
      </c>
      <c r="R2810" s="530">
        <f t="shared" ref="R2810:R2814" si="1717">IF(Q2810=0,0,Q2810/E2810)</f>
        <v>0.0614828209764919</v>
      </c>
    </row>
    <row r="2811" spans="1:18">
      <c r="A2811" s="524"/>
      <c r="B2811" s="540" t="s">
        <v>99</v>
      </c>
      <c r="C2811" s="551">
        <v>1439.07</v>
      </c>
      <c r="D2811" s="556">
        <v>9304</v>
      </c>
      <c r="E2811" s="551">
        <v>638</v>
      </c>
      <c r="F2811" s="551">
        <v>0</v>
      </c>
      <c r="G2811" s="551">
        <v>0</v>
      </c>
      <c r="H2811" s="555">
        <v>6</v>
      </c>
      <c r="I2811" s="555">
        <v>1</v>
      </c>
      <c r="J2811" s="555">
        <v>0</v>
      </c>
      <c r="K2811" s="527">
        <f t="shared" si="1710"/>
        <v>0.0685726569217541</v>
      </c>
      <c r="L2811" s="528">
        <f t="shared" si="1711"/>
        <v>2.25559561128527</v>
      </c>
      <c r="M2811" s="528">
        <f t="shared" si="1712"/>
        <v>154.672184006879</v>
      </c>
      <c r="N2811" s="528">
        <f t="shared" si="1713"/>
        <v>0</v>
      </c>
      <c r="O2811" s="528">
        <f t="shared" si="1714"/>
        <v>0</v>
      </c>
      <c r="P2811" s="529">
        <f t="shared" si="1715"/>
        <v>205.581428571429</v>
      </c>
      <c r="Q2811" s="24">
        <f t="shared" si="1716"/>
        <v>7</v>
      </c>
      <c r="R2811" s="530">
        <f t="shared" si="1717"/>
        <v>0.0109717868338558</v>
      </c>
    </row>
    <row r="2812" spans="1:18">
      <c r="A2812" s="524"/>
      <c r="B2812" s="540" t="s">
        <v>100</v>
      </c>
      <c r="C2812" s="552">
        <v>0</v>
      </c>
      <c r="D2812" s="553">
        <v>0</v>
      </c>
      <c r="E2812" s="553">
        <v>0</v>
      </c>
      <c r="F2812" s="551">
        <v>0</v>
      </c>
      <c r="G2812" s="551">
        <v>0</v>
      </c>
      <c r="H2812" s="551">
        <v>0</v>
      </c>
      <c r="I2812" s="551">
        <v>0</v>
      </c>
      <c r="J2812" s="551">
        <v>0</v>
      </c>
      <c r="K2812" s="527">
        <f t="shared" si="1710"/>
        <v>0</v>
      </c>
      <c r="L2812" s="528">
        <f t="shared" si="1711"/>
        <v>0</v>
      </c>
      <c r="M2812" s="528">
        <f t="shared" si="1712"/>
        <v>0</v>
      </c>
      <c r="N2812" s="528">
        <f t="shared" si="1713"/>
        <v>0</v>
      </c>
      <c r="O2812" s="528">
        <f t="shared" si="1714"/>
        <v>0</v>
      </c>
      <c r="P2812" s="529">
        <f t="shared" si="1715"/>
        <v>0</v>
      </c>
      <c r="Q2812" s="24">
        <f t="shared" si="1716"/>
        <v>0</v>
      </c>
      <c r="R2812" s="530">
        <f t="shared" si="1717"/>
        <v>0</v>
      </c>
    </row>
    <row r="2813" spans="1:18">
      <c r="A2813" s="524"/>
      <c r="B2813" s="540" t="s">
        <v>101</v>
      </c>
      <c r="C2813" s="552">
        <v>0</v>
      </c>
      <c r="D2813" s="553">
        <v>0</v>
      </c>
      <c r="E2813" s="551">
        <v>0</v>
      </c>
      <c r="F2813" s="551">
        <v>0</v>
      </c>
      <c r="G2813" s="551">
        <v>0</v>
      </c>
      <c r="H2813" s="551">
        <v>0</v>
      </c>
      <c r="I2813" s="551">
        <v>0</v>
      </c>
      <c r="J2813" s="551">
        <v>0</v>
      </c>
      <c r="K2813" s="527">
        <f t="shared" si="1710"/>
        <v>0</v>
      </c>
      <c r="L2813" s="528">
        <f t="shared" si="1711"/>
        <v>0</v>
      </c>
      <c r="M2813" s="528">
        <f t="shared" si="1712"/>
        <v>0</v>
      </c>
      <c r="N2813" s="528">
        <f t="shared" si="1713"/>
        <v>0</v>
      </c>
      <c r="O2813" s="528">
        <f t="shared" si="1714"/>
        <v>0</v>
      </c>
      <c r="P2813" s="529">
        <f t="shared" si="1715"/>
        <v>0</v>
      </c>
      <c r="Q2813" s="24">
        <f t="shared" si="1716"/>
        <v>0</v>
      </c>
      <c r="R2813" s="530">
        <f t="shared" si="1717"/>
        <v>0</v>
      </c>
    </row>
    <row r="2814" spans="1:18">
      <c r="A2814" s="524"/>
      <c r="B2814" s="531" t="s">
        <v>96</v>
      </c>
      <c r="C2814" s="533">
        <f t="shared" ref="C2814:J2814" si="1718">SUM(C2810:C2813)</f>
        <v>2639.07</v>
      </c>
      <c r="D2814" s="533">
        <f t="shared" si="1718"/>
        <v>25228</v>
      </c>
      <c r="E2814" s="533">
        <f t="shared" si="1718"/>
        <v>1191</v>
      </c>
      <c r="F2814" s="533">
        <f t="shared" si="1718"/>
        <v>1</v>
      </c>
      <c r="G2814" s="533">
        <f t="shared" si="1718"/>
        <v>9052</v>
      </c>
      <c r="H2814" s="533">
        <f t="shared" si="1718"/>
        <v>34</v>
      </c>
      <c r="I2814" s="533">
        <f t="shared" si="1718"/>
        <v>7</v>
      </c>
      <c r="J2814" s="533">
        <f t="shared" si="1718"/>
        <v>3</v>
      </c>
      <c r="K2814" s="534">
        <f t="shared" si="1710"/>
        <v>0.0472094498176629</v>
      </c>
      <c r="L2814" s="535">
        <f t="shared" si="1711"/>
        <v>2.21584382871536</v>
      </c>
      <c r="M2814" s="535">
        <f t="shared" si="1712"/>
        <v>104.608768035516</v>
      </c>
      <c r="N2814" s="535">
        <f t="shared" si="1713"/>
        <v>3.42999617289424</v>
      </c>
      <c r="O2814" s="535">
        <f t="shared" si="1714"/>
        <v>0.000839630562552477</v>
      </c>
      <c r="P2814" s="536">
        <f t="shared" si="1715"/>
        <v>64.3675609756097</v>
      </c>
      <c r="Q2814" s="531">
        <f t="shared" si="1716"/>
        <v>41</v>
      </c>
      <c r="R2814" s="537">
        <f t="shared" si="1717"/>
        <v>0.0344248530646516</v>
      </c>
    </row>
    <row r="2815" spans="1:18">
      <c r="A2815" s="524">
        <v>46013</v>
      </c>
      <c r="B2815" s="540" t="s">
        <v>98</v>
      </c>
      <c r="C2815" s="551">
        <v>1000</v>
      </c>
      <c r="D2815" s="553">
        <v>10067</v>
      </c>
      <c r="E2815" s="551">
        <v>405</v>
      </c>
      <c r="F2815" s="551">
        <v>0</v>
      </c>
      <c r="G2815" s="551">
        <v>0</v>
      </c>
      <c r="H2815" s="551">
        <v>13</v>
      </c>
      <c r="I2815" s="551">
        <v>2</v>
      </c>
      <c r="J2815" s="551">
        <v>4</v>
      </c>
      <c r="K2815" s="527">
        <f t="shared" ref="K2815:K2819" si="1719">IF(E2815=0,0,E2815/D2815)</f>
        <v>0.0402304559451674</v>
      </c>
      <c r="L2815" s="528">
        <f t="shared" ref="L2815:L2819" si="1720">IF(C2815=0,0,C2815/E2815)</f>
        <v>2.46913580246914</v>
      </c>
      <c r="M2815" s="528">
        <f t="shared" ref="M2815:M2819" si="1721">IF(D2815=0,0,C2815/D2815*1000)</f>
        <v>99.3344591238701</v>
      </c>
      <c r="N2815" s="528">
        <f t="shared" ref="N2815:N2819" si="1722">IF(G2815=0,0,G2815/C2815)</f>
        <v>0</v>
      </c>
      <c r="O2815" s="528">
        <f t="shared" ref="O2815:O2819" si="1723">IF(F2815=0,0,F2815/E2815)</f>
        <v>0</v>
      </c>
      <c r="P2815" s="529">
        <f t="shared" ref="P2815:P2819" si="1724">IF(H2815+I2815=0,0,C2815/(H2815+I2815))</f>
        <v>66.6666666666667</v>
      </c>
      <c r="Q2815" s="24">
        <f t="shared" ref="Q2815:Q2819" si="1725">H2815+I2815</f>
        <v>15</v>
      </c>
      <c r="R2815" s="530">
        <f t="shared" ref="R2815:R2819" si="1726">IF(Q2815=0,0,Q2815/E2815)</f>
        <v>0.037037037037037</v>
      </c>
    </row>
    <row r="2816" spans="1:18">
      <c r="A2816" s="524"/>
      <c r="B2816" s="540" t="s">
        <v>99</v>
      </c>
      <c r="C2816" s="551">
        <v>0</v>
      </c>
      <c r="D2816" s="556">
        <v>0</v>
      </c>
      <c r="E2816" s="551">
        <v>0</v>
      </c>
      <c r="F2816" s="551">
        <v>0</v>
      </c>
      <c r="G2816" s="551">
        <v>0</v>
      </c>
      <c r="H2816" s="555">
        <v>0</v>
      </c>
      <c r="I2816" s="555">
        <v>0</v>
      </c>
      <c r="J2816" s="555">
        <v>0</v>
      </c>
      <c r="K2816" s="527">
        <f t="shared" si="1719"/>
        <v>0</v>
      </c>
      <c r="L2816" s="528">
        <f t="shared" si="1720"/>
        <v>0</v>
      </c>
      <c r="M2816" s="528">
        <f t="shared" si="1721"/>
        <v>0</v>
      </c>
      <c r="N2816" s="528">
        <f t="shared" si="1722"/>
        <v>0</v>
      </c>
      <c r="O2816" s="528">
        <f t="shared" si="1723"/>
        <v>0</v>
      </c>
      <c r="P2816" s="529">
        <f t="shared" si="1724"/>
        <v>0</v>
      </c>
      <c r="Q2816" s="24">
        <f t="shared" si="1725"/>
        <v>0</v>
      </c>
      <c r="R2816" s="530">
        <f t="shared" si="1726"/>
        <v>0</v>
      </c>
    </row>
    <row r="2817" spans="1:18">
      <c r="A2817" s="524"/>
      <c r="B2817" s="540" t="s">
        <v>100</v>
      </c>
      <c r="C2817" s="552">
        <v>0</v>
      </c>
      <c r="D2817" s="553">
        <v>0</v>
      </c>
      <c r="E2817" s="553">
        <v>0</v>
      </c>
      <c r="F2817" s="551">
        <v>0</v>
      </c>
      <c r="G2817" s="551">
        <v>0</v>
      </c>
      <c r="H2817" s="551">
        <v>0</v>
      </c>
      <c r="I2817" s="551">
        <v>0</v>
      </c>
      <c r="J2817" s="551">
        <v>0</v>
      </c>
      <c r="K2817" s="527">
        <f t="shared" si="1719"/>
        <v>0</v>
      </c>
      <c r="L2817" s="528">
        <f t="shared" si="1720"/>
        <v>0</v>
      </c>
      <c r="M2817" s="528">
        <f t="shared" si="1721"/>
        <v>0</v>
      </c>
      <c r="N2817" s="528">
        <f t="shared" si="1722"/>
        <v>0</v>
      </c>
      <c r="O2817" s="528">
        <f t="shared" si="1723"/>
        <v>0</v>
      </c>
      <c r="P2817" s="529">
        <f t="shared" si="1724"/>
        <v>0</v>
      </c>
      <c r="Q2817" s="24">
        <f t="shared" si="1725"/>
        <v>0</v>
      </c>
      <c r="R2817" s="530">
        <f t="shared" si="1726"/>
        <v>0</v>
      </c>
    </row>
    <row r="2818" spans="1:18">
      <c r="A2818" s="524"/>
      <c r="B2818" s="540" t="s">
        <v>101</v>
      </c>
      <c r="C2818" s="552">
        <v>0</v>
      </c>
      <c r="D2818" s="553">
        <v>0</v>
      </c>
      <c r="E2818" s="551">
        <v>0</v>
      </c>
      <c r="F2818" s="551">
        <v>0</v>
      </c>
      <c r="G2818" s="551">
        <v>0</v>
      </c>
      <c r="H2818" s="551">
        <v>0</v>
      </c>
      <c r="I2818" s="551">
        <v>0</v>
      </c>
      <c r="J2818" s="551">
        <v>0</v>
      </c>
      <c r="K2818" s="527">
        <f t="shared" si="1719"/>
        <v>0</v>
      </c>
      <c r="L2818" s="528">
        <f t="shared" si="1720"/>
        <v>0</v>
      </c>
      <c r="M2818" s="528">
        <f t="shared" si="1721"/>
        <v>0</v>
      </c>
      <c r="N2818" s="528">
        <f t="shared" si="1722"/>
        <v>0</v>
      </c>
      <c r="O2818" s="528">
        <f t="shared" si="1723"/>
        <v>0</v>
      </c>
      <c r="P2818" s="529">
        <f t="shared" si="1724"/>
        <v>0</v>
      </c>
      <c r="Q2818" s="24">
        <f t="shared" si="1725"/>
        <v>0</v>
      </c>
      <c r="R2818" s="530">
        <f t="shared" si="1726"/>
        <v>0</v>
      </c>
    </row>
    <row r="2819" spans="1:18">
      <c r="A2819" s="524"/>
      <c r="B2819" s="531" t="s">
        <v>96</v>
      </c>
      <c r="C2819" s="533">
        <f t="shared" ref="C2819:J2819" si="1727">SUM(C2815:C2818)</f>
        <v>1000</v>
      </c>
      <c r="D2819" s="533">
        <f t="shared" si="1727"/>
        <v>10067</v>
      </c>
      <c r="E2819" s="533">
        <f t="shared" si="1727"/>
        <v>405</v>
      </c>
      <c r="F2819" s="533">
        <f t="shared" si="1727"/>
        <v>0</v>
      </c>
      <c r="G2819" s="533">
        <f t="shared" si="1727"/>
        <v>0</v>
      </c>
      <c r="H2819" s="533">
        <f t="shared" si="1727"/>
        <v>13</v>
      </c>
      <c r="I2819" s="533">
        <f t="shared" si="1727"/>
        <v>2</v>
      </c>
      <c r="J2819" s="533">
        <f t="shared" si="1727"/>
        <v>4</v>
      </c>
      <c r="K2819" s="534">
        <f t="shared" si="1719"/>
        <v>0.0402304559451674</v>
      </c>
      <c r="L2819" s="535">
        <f t="shared" si="1720"/>
        <v>2.46913580246914</v>
      </c>
      <c r="M2819" s="535">
        <f t="shared" si="1721"/>
        <v>99.3344591238701</v>
      </c>
      <c r="N2819" s="535">
        <f t="shared" si="1722"/>
        <v>0</v>
      </c>
      <c r="O2819" s="535">
        <f t="shared" si="1723"/>
        <v>0</v>
      </c>
      <c r="P2819" s="536">
        <f t="shared" si="1724"/>
        <v>66.6666666666667</v>
      </c>
      <c r="Q2819" s="531">
        <f t="shared" si="1725"/>
        <v>15</v>
      </c>
      <c r="R2819" s="537">
        <f t="shared" si="1726"/>
        <v>0.037037037037037</v>
      </c>
    </row>
    <row r="2820" spans="1:18">
      <c r="A2820" s="524">
        <v>46014</v>
      </c>
      <c r="B2820" s="540" t="s">
        <v>98</v>
      </c>
      <c r="C2820" s="551">
        <v>1500</v>
      </c>
      <c r="D2820" s="553">
        <v>14592</v>
      </c>
      <c r="E2820" s="551">
        <v>566</v>
      </c>
      <c r="F2820" s="551">
        <v>0</v>
      </c>
      <c r="G2820" s="551">
        <v>0</v>
      </c>
      <c r="H2820" s="551">
        <v>20</v>
      </c>
      <c r="I2820" s="551">
        <v>7</v>
      </c>
      <c r="J2820" s="551">
        <v>6</v>
      </c>
      <c r="K2820" s="527">
        <f t="shared" ref="K2820:K2824" si="1728">IF(E2820=0,0,E2820/D2820)</f>
        <v>0.0387883771929825</v>
      </c>
      <c r="L2820" s="528">
        <f t="shared" ref="L2820:L2824" si="1729">IF(C2820=0,0,C2820/E2820)</f>
        <v>2.65017667844523</v>
      </c>
      <c r="M2820" s="528">
        <f t="shared" ref="M2820:M2824" si="1730">IF(D2820=0,0,C2820/D2820*1000)</f>
        <v>102.796052631579</v>
      </c>
      <c r="N2820" s="528">
        <f t="shared" ref="N2820:N2824" si="1731">IF(G2820=0,0,G2820/C2820)</f>
        <v>0</v>
      </c>
      <c r="O2820" s="528">
        <f t="shared" ref="O2820:O2824" si="1732">IF(F2820=0,0,F2820/E2820)</f>
        <v>0</v>
      </c>
      <c r="P2820" s="529">
        <f t="shared" ref="P2820:P2824" si="1733">IF(H2820+I2820=0,0,C2820/(H2820+I2820))</f>
        <v>55.5555555555556</v>
      </c>
      <c r="Q2820" s="24">
        <f t="shared" ref="Q2820:Q2824" si="1734">H2820+I2820</f>
        <v>27</v>
      </c>
      <c r="R2820" s="530">
        <f t="shared" ref="R2820:R2824" si="1735">IF(Q2820=0,0,Q2820/E2820)</f>
        <v>0.0477031802120141</v>
      </c>
    </row>
    <row r="2821" spans="1:18">
      <c r="A2821" s="524"/>
      <c r="B2821" s="540" t="s">
        <v>99</v>
      </c>
      <c r="C2821" s="551">
        <v>0</v>
      </c>
      <c r="D2821" s="556">
        <v>0</v>
      </c>
      <c r="E2821" s="551">
        <v>0</v>
      </c>
      <c r="F2821" s="551">
        <v>0</v>
      </c>
      <c r="G2821" s="551">
        <v>0</v>
      </c>
      <c r="H2821" s="555">
        <v>0</v>
      </c>
      <c r="I2821" s="555">
        <v>0</v>
      </c>
      <c r="J2821" s="555">
        <v>0</v>
      </c>
      <c r="K2821" s="527">
        <f t="shared" si="1728"/>
        <v>0</v>
      </c>
      <c r="L2821" s="528">
        <f t="shared" si="1729"/>
        <v>0</v>
      </c>
      <c r="M2821" s="528">
        <f t="shared" si="1730"/>
        <v>0</v>
      </c>
      <c r="N2821" s="528">
        <f t="shared" si="1731"/>
        <v>0</v>
      </c>
      <c r="O2821" s="528">
        <f t="shared" si="1732"/>
        <v>0</v>
      </c>
      <c r="P2821" s="529">
        <f t="shared" si="1733"/>
        <v>0</v>
      </c>
      <c r="Q2821" s="24">
        <f t="shared" si="1734"/>
        <v>0</v>
      </c>
      <c r="R2821" s="530">
        <f t="shared" si="1735"/>
        <v>0</v>
      </c>
    </row>
    <row r="2822" spans="1:18">
      <c r="A2822" s="524"/>
      <c r="B2822" s="540" t="s">
        <v>100</v>
      </c>
      <c r="C2822" s="552">
        <v>0</v>
      </c>
      <c r="D2822" s="553">
        <v>0</v>
      </c>
      <c r="E2822" s="553">
        <v>0</v>
      </c>
      <c r="F2822" s="551">
        <v>0</v>
      </c>
      <c r="G2822" s="551">
        <v>0</v>
      </c>
      <c r="H2822" s="551">
        <v>0</v>
      </c>
      <c r="I2822" s="551">
        <v>0</v>
      </c>
      <c r="J2822" s="551">
        <v>0</v>
      </c>
      <c r="K2822" s="527">
        <f t="shared" si="1728"/>
        <v>0</v>
      </c>
      <c r="L2822" s="528">
        <f t="shared" si="1729"/>
        <v>0</v>
      </c>
      <c r="M2822" s="528">
        <f t="shared" si="1730"/>
        <v>0</v>
      </c>
      <c r="N2822" s="528">
        <f t="shared" si="1731"/>
        <v>0</v>
      </c>
      <c r="O2822" s="528">
        <f t="shared" si="1732"/>
        <v>0</v>
      </c>
      <c r="P2822" s="529">
        <f t="shared" si="1733"/>
        <v>0</v>
      </c>
      <c r="Q2822" s="24">
        <f t="shared" si="1734"/>
        <v>0</v>
      </c>
      <c r="R2822" s="530">
        <f t="shared" si="1735"/>
        <v>0</v>
      </c>
    </row>
    <row r="2823" spans="1:18">
      <c r="A2823" s="524"/>
      <c r="B2823" s="540" t="s">
        <v>101</v>
      </c>
      <c r="C2823" s="552">
        <v>0</v>
      </c>
      <c r="D2823" s="553">
        <v>0</v>
      </c>
      <c r="E2823" s="551">
        <v>0</v>
      </c>
      <c r="F2823" s="551">
        <v>0</v>
      </c>
      <c r="G2823" s="551">
        <v>0</v>
      </c>
      <c r="H2823" s="551">
        <v>0</v>
      </c>
      <c r="I2823" s="551">
        <v>0</v>
      </c>
      <c r="J2823" s="551">
        <v>0</v>
      </c>
      <c r="K2823" s="527">
        <f t="shared" si="1728"/>
        <v>0</v>
      </c>
      <c r="L2823" s="528">
        <f t="shared" si="1729"/>
        <v>0</v>
      </c>
      <c r="M2823" s="528">
        <f t="shared" si="1730"/>
        <v>0</v>
      </c>
      <c r="N2823" s="528">
        <f t="shared" si="1731"/>
        <v>0</v>
      </c>
      <c r="O2823" s="528">
        <f t="shared" si="1732"/>
        <v>0</v>
      </c>
      <c r="P2823" s="529">
        <f t="shared" si="1733"/>
        <v>0</v>
      </c>
      <c r="Q2823" s="24">
        <f t="shared" si="1734"/>
        <v>0</v>
      </c>
      <c r="R2823" s="530">
        <f t="shared" si="1735"/>
        <v>0</v>
      </c>
    </row>
    <row r="2824" spans="1:18">
      <c r="A2824" s="524"/>
      <c r="B2824" s="531" t="s">
        <v>96</v>
      </c>
      <c r="C2824" s="533">
        <f t="shared" ref="C2824:J2824" si="1736">SUM(C2820:C2823)</f>
        <v>1500</v>
      </c>
      <c r="D2824" s="533">
        <f t="shared" si="1736"/>
        <v>14592</v>
      </c>
      <c r="E2824" s="533">
        <f t="shared" si="1736"/>
        <v>566</v>
      </c>
      <c r="F2824" s="533">
        <f t="shared" si="1736"/>
        <v>0</v>
      </c>
      <c r="G2824" s="533">
        <f t="shared" si="1736"/>
        <v>0</v>
      </c>
      <c r="H2824" s="533">
        <f t="shared" si="1736"/>
        <v>20</v>
      </c>
      <c r="I2824" s="533">
        <f t="shared" si="1736"/>
        <v>7</v>
      </c>
      <c r="J2824" s="533">
        <f t="shared" si="1736"/>
        <v>6</v>
      </c>
      <c r="K2824" s="534">
        <f t="shared" si="1728"/>
        <v>0.0387883771929825</v>
      </c>
      <c r="L2824" s="535">
        <f t="shared" si="1729"/>
        <v>2.65017667844523</v>
      </c>
      <c r="M2824" s="535">
        <f t="shared" si="1730"/>
        <v>102.796052631579</v>
      </c>
      <c r="N2824" s="535">
        <f t="shared" si="1731"/>
        <v>0</v>
      </c>
      <c r="O2824" s="535">
        <f t="shared" si="1732"/>
        <v>0</v>
      </c>
      <c r="P2824" s="536">
        <f t="shared" si="1733"/>
        <v>55.5555555555556</v>
      </c>
      <c r="Q2824" s="531">
        <f t="shared" si="1734"/>
        <v>27</v>
      </c>
      <c r="R2824" s="537">
        <f t="shared" si="1735"/>
        <v>0.0477031802120141</v>
      </c>
    </row>
    <row r="2825" spans="1:18">
      <c r="A2825" s="524">
        <v>46015</v>
      </c>
      <c r="B2825" s="540" t="s">
        <v>98</v>
      </c>
      <c r="C2825" s="551">
        <v>1500</v>
      </c>
      <c r="D2825" s="553">
        <v>18974</v>
      </c>
      <c r="E2825" s="551">
        <v>673</v>
      </c>
      <c r="F2825" s="551">
        <v>0</v>
      </c>
      <c r="G2825" s="551">
        <v>0</v>
      </c>
      <c r="H2825" s="551">
        <v>16</v>
      </c>
      <c r="I2825" s="551">
        <v>8</v>
      </c>
      <c r="J2825" s="551">
        <v>5</v>
      </c>
      <c r="K2825" s="527">
        <f t="shared" ref="K2825:K2829" si="1737">IF(E2825=0,0,E2825/D2825)</f>
        <v>0.0354695899652156</v>
      </c>
      <c r="L2825" s="528">
        <f t="shared" ref="L2825:L2829" si="1738">IF(C2825=0,0,C2825/E2825)</f>
        <v>2.22882615156018</v>
      </c>
      <c r="M2825" s="528">
        <f t="shared" ref="M2825:M2829" si="1739">IF(D2825=0,0,C2825/D2825*1000)</f>
        <v>79.0555496995889</v>
      </c>
      <c r="N2825" s="528">
        <f t="shared" ref="N2825:N2829" si="1740">IF(G2825=0,0,G2825/C2825)</f>
        <v>0</v>
      </c>
      <c r="O2825" s="528">
        <f t="shared" ref="O2825:O2829" si="1741">IF(F2825=0,0,F2825/E2825)</f>
        <v>0</v>
      </c>
      <c r="P2825" s="529">
        <f t="shared" ref="P2825:P2829" si="1742">IF(H2825+I2825=0,0,C2825/(H2825+I2825))</f>
        <v>62.5</v>
      </c>
      <c r="Q2825" s="24">
        <f t="shared" ref="Q2825:Q2829" si="1743">H2825+I2825</f>
        <v>24</v>
      </c>
      <c r="R2825" s="530">
        <f t="shared" ref="R2825:R2829" si="1744">IF(Q2825=0,0,Q2825/E2825)</f>
        <v>0.0356612184249629</v>
      </c>
    </row>
    <row r="2826" spans="1:18">
      <c r="A2826" s="524"/>
      <c r="B2826" s="540" t="s">
        <v>99</v>
      </c>
      <c r="C2826" s="551">
        <v>0</v>
      </c>
      <c r="D2826" s="556">
        <v>0</v>
      </c>
      <c r="E2826" s="551">
        <v>0</v>
      </c>
      <c r="F2826" s="551">
        <v>0</v>
      </c>
      <c r="G2826" s="551">
        <v>0</v>
      </c>
      <c r="H2826" s="555">
        <v>0</v>
      </c>
      <c r="I2826" s="555">
        <v>0</v>
      </c>
      <c r="J2826" s="555">
        <v>0</v>
      </c>
      <c r="K2826" s="527">
        <f t="shared" si="1737"/>
        <v>0</v>
      </c>
      <c r="L2826" s="528">
        <f t="shared" si="1738"/>
        <v>0</v>
      </c>
      <c r="M2826" s="528">
        <f t="shared" si="1739"/>
        <v>0</v>
      </c>
      <c r="N2826" s="528">
        <f t="shared" si="1740"/>
        <v>0</v>
      </c>
      <c r="O2826" s="528">
        <f t="shared" si="1741"/>
        <v>0</v>
      </c>
      <c r="P2826" s="529">
        <f t="shared" si="1742"/>
        <v>0</v>
      </c>
      <c r="Q2826" s="24">
        <f t="shared" si="1743"/>
        <v>0</v>
      </c>
      <c r="R2826" s="530">
        <f t="shared" si="1744"/>
        <v>0</v>
      </c>
    </row>
    <row r="2827" spans="1:18">
      <c r="A2827" s="524"/>
      <c r="B2827" s="540" t="s">
        <v>100</v>
      </c>
      <c r="C2827" s="552">
        <v>0</v>
      </c>
      <c r="D2827" s="553">
        <v>0</v>
      </c>
      <c r="E2827" s="553">
        <v>0</v>
      </c>
      <c r="F2827" s="551">
        <v>0</v>
      </c>
      <c r="G2827" s="551">
        <v>0</v>
      </c>
      <c r="H2827" s="551">
        <v>0</v>
      </c>
      <c r="I2827" s="551">
        <v>0</v>
      </c>
      <c r="J2827" s="551">
        <v>0</v>
      </c>
      <c r="K2827" s="527">
        <f t="shared" si="1737"/>
        <v>0</v>
      </c>
      <c r="L2827" s="528">
        <f t="shared" si="1738"/>
        <v>0</v>
      </c>
      <c r="M2827" s="528">
        <f t="shared" si="1739"/>
        <v>0</v>
      </c>
      <c r="N2827" s="528">
        <f t="shared" si="1740"/>
        <v>0</v>
      </c>
      <c r="O2827" s="528">
        <f t="shared" si="1741"/>
        <v>0</v>
      </c>
      <c r="P2827" s="529">
        <f t="shared" si="1742"/>
        <v>0</v>
      </c>
      <c r="Q2827" s="24">
        <f t="shared" si="1743"/>
        <v>0</v>
      </c>
      <c r="R2827" s="530">
        <f t="shared" si="1744"/>
        <v>0</v>
      </c>
    </row>
    <row r="2828" spans="1:18">
      <c r="A2828" s="524"/>
      <c r="B2828" s="540" t="s">
        <v>101</v>
      </c>
      <c r="C2828" s="552">
        <v>0</v>
      </c>
      <c r="D2828" s="553">
        <v>0</v>
      </c>
      <c r="E2828" s="551">
        <v>0</v>
      </c>
      <c r="F2828" s="551">
        <v>0</v>
      </c>
      <c r="G2828" s="551">
        <v>0</v>
      </c>
      <c r="H2828" s="551">
        <v>0</v>
      </c>
      <c r="I2828" s="551">
        <v>0</v>
      </c>
      <c r="J2828" s="551">
        <v>0</v>
      </c>
      <c r="K2828" s="527">
        <f t="shared" si="1737"/>
        <v>0</v>
      </c>
      <c r="L2828" s="528">
        <f t="shared" si="1738"/>
        <v>0</v>
      </c>
      <c r="M2828" s="528">
        <f t="shared" si="1739"/>
        <v>0</v>
      </c>
      <c r="N2828" s="528">
        <f t="shared" si="1740"/>
        <v>0</v>
      </c>
      <c r="O2828" s="528">
        <f t="shared" si="1741"/>
        <v>0</v>
      </c>
      <c r="P2828" s="529">
        <f t="shared" si="1742"/>
        <v>0</v>
      </c>
      <c r="Q2828" s="24">
        <f t="shared" si="1743"/>
        <v>0</v>
      </c>
      <c r="R2828" s="530">
        <f t="shared" si="1744"/>
        <v>0</v>
      </c>
    </row>
    <row r="2829" spans="1:18">
      <c r="A2829" s="524"/>
      <c r="B2829" s="531" t="s">
        <v>96</v>
      </c>
      <c r="C2829" s="533">
        <f t="shared" ref="C2829:J2829" si="1745">SUM(C2825:C2828)</f>
        <v>1500</v>
      </c>
      <c r="D2829" s="533">
        <f t="shared" si="1745"/>
        <v>18974</v>
      </c>
      <c r="E2829" s="533">
        <f t="shared" si="1745"/>
        <v>673</v>
      </c>
      <c r="F2829" s="533">
        <f t="shared" si="1745"/>
        <v>0</v>
      </c>
      <c r="G2829" s="533">
        <f t="shared" si="1745"/>
        <v>0</v>
      </c>
      <c r="H2829" s="533">
        <f t="shared" si="1745"/>
        <v>16</v>
      </c>
      <c r="I2829" s="533">
        <f t="shared" si="1745"/>
        <v>8</v>
      </c>
      <c r="J2829" s="533">
        <f t="shared" si="1745"/>
        <v>5</v>
      </c>
      <c r="K2829" s="534">
        <f t="shared" si="1737"/>
        <v>0.0354695899652156</v>
      </c>
      <c r="L2829" s="535">
        <f t="shared" si="1738"/>
        <v>2.22882615156018</v>
      </c>
      <c r="M2829" s="535">
        <f t="shared" si="1739"/>
        <v>79.0555496995889</v>
      </c>
      <c r="N2829" s="535">
        <f t="shared" si="1740"/>
        <v>0</v>
      </c>
      <c r="O2829" s="535">
        <f t="shared" si="1741"/>
        <v>0</v>
      </c>
      <c r="P2829" s="536">
        <f t="shared" si="1742"/>
        <v>62.5</v>
      </c>
      <c r="Q2829" s="531">
        <f t="shared" si="1743"/>
        <v>24</v>
      </c>
      <c r="R2829" s="537">
        <f t="shared" si="1744"/>
        <v>0.0356612184249629</v>
      </c>
    </row>
    <row r="2830" spans="1:18">
      <c r="A2830" s="524">
        <v>46016</v>
      </c>
      <c r="B2830" s="540" t="s">
        <v>98</v>
      </c>
      <c r="C2830" s="551">
        <v>1483.59</v>
      </c>
      <c r="D2830" s="553">
        <v>22666</v>
      </c>
      <c r="E2830" s="551">
        <v>798</v>
      </c>
      <c r="F2830" s="551">
        <v>0</v>
      </c>
      <c r="G2830" s="551">
        <v>0</v>
      </c>
      <c r="H2830" s="551">
        <v>25</v>
      </c>
      <c r="I2830" s="551">
        <v>12</v>
      </c>
      <c r="J2830" s="551">
        <v>1</v>
      </c>
      <c r="K2830" s="527">
        <f t="shared" ref="K2830:K2834" si="1746">IF(E2830=0,0,E2830/D2830)</f>
        <v>0.035206917850525</v>
      </c>
      <c r="L2830" s="528">
        <f t="shared" ref="L2830:L2834" si="1747">IF(C2830=0,0,C2830/E2830)</f>
        <v>1.85913533834586</v>
      </c>
      <c r="M2830" s="528">
        <f t="shared" ref="M2830:M2834" si="1748">IF(D2830=0,0,C2830/D2830*1000)</f>
        <v>65.4544251301509</v>
      </c>
      <c r="N2830" s="528">
        <f t="shared" ref="N2830:N2834" si="1749">IF(G2830=0,0,G2830/C2830)</f>
        <v>0</v>
      </c>
      <c r="O2830" s="528">
        <f t="shared" ref="O2830:O2834" si="1750">IF(F2830=0,0,F2830/E2830)</f>
        <v>0</v>
      </c>
      <c r="P2830" s="529">
        <f t="shared" ref="P2830:P2834" si="1751">IF(H2830+I2830=0,0,C2830/(H2830+I2830))</f>
        <v>40.097027027027</v>
      </c>
      <c r="Q2830" s="24">
        <f t="shared" ref="Q2830:Q2834" si="1752">H2830+I2830</f>
        <v>37</v>
      </c>
      <c r="R2830" s="530">
        <f t="shared" ref="R2830:R2834" si="1753">IF(Q2830=0,0,Q2830/E2830)</f>
        <v>0.0463659147869674</v>
      </c>
    </row>
    <row r="2831" spans="1:18">
      <c r="A2831" s="524"/>
      <c r="B2831" s="540" t="s">
        <v>99</v>
      </c>
      <c r="C2831" s="551">
        <v>1528.39</v>
      </c>
      <c r="D2831" s="556">
        <v>16340</v>
      </c>
      <c r="E2831" s="551">
        <v>583</v>
      </c>
      <c r="F2831" s="551">
        <v>0</v>
      </c>
      <c r="G2831" s="551">
        <v>0</v>
      </c>
      <c r="H2831" s="555">
        <v>6</v>
      </c>
      <c r="I2831" s="555">
        <v>0</v>
      </c>
      <c r="J2831" s="555">
        <v>2</v>
      </c>
      <c r="K2831" s="527">
        <f t="shared" si="1746"/>
        <v>0.0356793145654835</v>
      </c>
      <c r="L2831" s="528">
        <f t="shared" si="1747"/>
        <v>2.62159519725557</v>
      </c>
      <c r="M2831" s="528">
        <f t="shared" si="1748"/>
        <v>93.5367197062424</v>
      </c>
      <c r="N2831" s="528">
        <f t="shared" si="1749"/>
        <v>0</v>
      </c>
      <c r="O2831" s="528">
        <f t="shared" si="1750"/>
        <v>0</v>
      </c>
      <c r="P2831" s="529">
        <f t="shared" si="1751"/>
        <v>254.731666666667</v>
      </c>
      <c r="Q2831" s="24">
        <f t="shared" si="1752"/>
        <v>6</v>
      </c>
      <c r="R2831" s="530">
        <f t="shared" si="1753"/>
        <v>0.0102915951972556</v>
      </c>
    </row>
    <row r="2832" spans="1:18">
      <c r="A2832" s="524"/>
      <c r="B2832" s="540" t="s">
        <v>100</v>
      </c>
      <c r="C2832" s="552">
        <v>0</v>
      </c>
      <c r="D2832" s="553">
        <v>0</v>
      </c>
      <c r="E2832" s="553">
        <v>0</v>
      </c>
      <c r="F2832" s="551">
        <v>0</v>
      </c>
      <c r="G2832" s="551">
        <v>0</v>
      </c>
      <c r="H2832" s="551">
        <v>0</v>
      </c>
      <c r="I2832" s="551">
        <v>0</v>
      </c>
      <c r="J2832" s="551">
        <v>0</v>
      </c>
      <c r="K2832" s="527">
        <f t="shared" si="1746"/>
        <v>0</v>
      </c>
      <c r="L2832" s="528">
        <f t="shared" si="1747"/>
        <v>0</v>
      </c>
      <c r="M2832" s="528">
        <f t="shared" si="1748"/>
        <v>0</v>
      </c>
      <c r="N2832" s="528">
        <f t="shared" si="1749"/>
        <v>0</v>
      </c>
      <c r="O2832" s="528">
        <f t="shared" si="1750"/>
        <v>0</v>
      </c>
      <c r="P2832" s="529">
        <f t="shared" si="1751"/>
        <v>0</v>
      </c>
      <c r="Q2832" s="24">
        <f t="shared" si="1752"/>
        <v>0</v>
      </c>
      <c r="R2832" s="530">
        <f t="shared" si="1753"/>
        <v>0</v>
      </c>
    </row>
    <row r="2833" spans="1:18">
      <c r="A2833" s="524"/>
      <c r="B2833" s="540" t="s">
        <v>101</v>
      </c>
      <c r="C2833" s="552">
        <v>0</v>
      </c>
      <c r="D2833" s="553">
        <v>0</v>
      </c>
      <c r="E2833" s="551">
        <v>0</v>
      </c>
      <c r="F2833" s="551">
        <v>0</v>
      </c>
      <c r="G2833" s="551">
        <v>0</v>
      </c>
      <c r="H2833" s="551">
        <v>0</v>
      </c>
      <c r="I2833" s="551">
        <v>0</v>
      </c>
      <c r="J2833" s="551">
        <v>0</v>
      </c>
      <c r="K2833" s="527">
        <f t="shared" si="1746"/>
        <v>0</v>
      </c>
      <c r="L2833" s="528">
        <f t="shared" si="1747"/>
        <v>0</v>
      </c>
      <c r="M2833" s="528">
        <f t="shared" si="1748"/>
        <v>0</v>
      </c>
      <c r="N2833" s="528">
        <f t="shared" si="1749"/>
        <v>0</v>
      </c>
      <c r="O2833" s="528">
        <f t="shared" si="1750"/>
        <v>0</v>
      </c>
      <c r="P2833" s="529">
        <f t="shared" si="1751"/>
        <v>0</v>
      </c>
      <c r="Q2833" s="24">
        <f t="shared" si="1752"/>
        <v>0</v>
      </c>
      <c r="R2833" s="530">
        <f t="shared" si="1753"/>
        <v>0</v>
      </c>
    </row>
    <row r="2834" spans="1:18">
      <c r="A2834" s="524"/>
      <c r="B2834" s="531" t="s">
        <v>96</v>
      </c>
      <c r="C2834" s="533">
        <f t="shared" ref="C2834:J2834" si="1754">SUM(C2830:C2833)</f>
        <v>3011.98</v>
      </c>
      <c r="D2834" s="533">
        <f t="shared" si="1754"/>
        <v>39006</v>
      </c>
      <c r="E2834" s="533">
        <f t="shared" si="1754"/>
        <v>1381</v>
      </c>
      <c r="F2834" s="533">
        <f t="shared" si="1754"/>
        <v>0</v>
      </c>
      <c r="G2834" s="533">
        <f t="shared" si="1754"/>
        <v>0</v>
      </c>
      <c r="H2834" s="533">
        <f t="shared" si="1754"/>
        <v>31</v>
      </c>
      <c r="I2834" s="533">
        <f t="shared" si="1754"/>
        <v>12</v>
      </c>
      <c r="J2834" s="533">
        <f t="shared" si="1754"/>
        <v>3</v>
      </c>
      <c r="K2834" s="534">
        <f t="shared" si="1746"/>
        <v>0.0354048095164846</v>
      </c>
      <c r="L2834" s="535">
        <f t="shared" si="1747"/>
        <v>2.18101375814627</v>
      </c>
      <c r="M2834" s="535">
        <f t="shared" si="1748"/>
        <v>77.218376660001</v>
      </c>
      <c r="N2834" s="535">
        <f t="shared" si="1749"/>
        <v>0</v>
      </c>
      <c r="O2834" s="535">
        <f t="shared" si="1750"/>
        <v>0</v>
      </c>
      <c r="P2834" s="536">
        <f t="shared" si="1751"/>
        <v>70.0460465116279</v>
      </c>
      <c r="Q2834" s="531">
        <f t="shared" si="1752"/>
        <v>43</v>
      </c>
      <c r="R2834" s="537">
        <f t="shared" si="1753"/>
        <v>0.0311368573497466</v>
      </c>
    </row>
    <row r="2835" spans="1:18">
      <c r="A2835" s="524">
        <v>46017</v>
      </c>
      <c r="B2835" s="540" t="s">
        <v>98</v>
      </c>
      <c r="C2835" s="551">
        <v>1500</v>
      </c>
      <c r="D2835" s="553">
        <v>23876</v>
      </c>
      <c r="E2835" s="551">
        <v>798</v>
      </c>
      <c r="F2835" s="551">
        <v>1</v>
      </c>
      <c r="G2835" s="551">
        <v>5293.01</v>
      </c>
      <c r="H2835" s="551">
        <v>19</v>
      </c>
      <c r="I2835" s="551">
        <v>9</v>
      </c>
      <c r="J2835" s="551">
        <v>7</v>
      </c>
      <c r="K2835" s="527">
        <f t="shared" ref="K2835:K2839" si="1755">IF(E2835=0,0,E2835/D2835)</f>
        <v>0.0334226838666443</v>
      </c>
      <c r="L2835" s="528">
        <f t="shared" ref="L2835:L2839" si="1756">IF(C2835=0,0,C2835/E2835)</f>
        <v>1.8796992481203</v>
      </c>
      <c r="M2835" s="528">
        <f t="shared" ref="M2835:M2839" si="1757">IF(D2835=0,0,C2835/D2835*1000)</f>
        <v>62.8245937342938</v>
      </c>
      <c r="N2835" s="528">
        <f t="shared" ref="N2835:N2839" si="1758">IF(G2835=0,0,G2835/C2835)</f>
        <v>3.52867333333333</v>
      </c>
      <c r="O2835" s="528">
        <f t="shared" ref="O2835:O2839" si="1759">IF(F2835=0,0,F2835/E2835)</f>
        <v>0.0012531328320802</v>
      </c>
      <c r="P2835" s="529">
        <f t="shared" ref="P2835:P2839" si="1760">IF(H2835+I2835=0,0,C2835/(H2835+I2835))</f>
        <v>53.5714285714286</v>
      </c>
      <c r="Q2835" s="24">
        <f t="shared" ref="Q2835:Q2839" si="1761">H2835+I2835</f>
        <v>28</v>
      </c>
      <c r="R2835" s="530">
        <f t="shared" ref="R2835:R2839" si="1762">IF(Q2835=0,0,Q2835/E2835)</f>
        <v>0.0350877192982456</v>
      </c>
    </row>
    <row r="2836" spans="1:18">
      <c r="A2836" s="524"/>
      <c r="B2836" s="540" t="s">
        <v>99</v>
      </c>
      <c r="C2836" s="551">
        <v>0</v>
      </c>
      <c r="D2836" s="556">
        <v>0</v>
      </c>
      <c r="E2836" s="551">
        <v>0</v>
      </c>
      <c r="F2836" s="551">
        <v>0</v>
      </c>
      <c r="G2836" s="551">
        <v>0</v>
      </c>
      <c r="H2836" s="555">
        <v>0</v>
      </c>
      <c r="I2836" s="555">
        <v>0</v>
      </c>
      <c r="J2836" s="555">
        <v>0</v>
      </c>
      <c r="K2836" s="527">
        <f t="shared" si="1755"/>
        <v>0</v>
      </c>
      <c r="L2836" s="528">
        <f t="shared" si="1756"/>
        <v>0</v>
      </c>
      <c r="M2836" s="528">
        <f t="shared" si="1757"/>
        <v>0</v>
      </c>
      <c r="N2836" s="528">
        <f t="shared" si="1758"/>
        <v>0</v>
      </c>
      <c r="O2836" s="528">
        <f t="shared" si="1759"/>
        <v>0</v>
      </c>
      <c r="P2836" s="529">
        <f t="shared" si="1760"/>
        <v>0</v>
      </c>
      <c r="Q2836" s="24">
        <f t="shared" si="1761"/>
        <v>0</v>
      </c>
      <c r="R2836" s="530">
        <f t="shared" si="1762"/>
        <v>0</v>
      </c>
    </row>
    <row r="2837" spans="1:18">
      <c r="A2837" s="524"/>
      <c r="B2837" s="540" t="s">
        <v>100</v>
      </c>
      <c r="C2837" s="552">
        <v>0</v>
      </c>
      <c r="D2837" s="553">
        <v>0</v>
      </c>
      <c r="E2837" s="553">
        <v>0</v>
      </c>
      <c r="F2837" s="551">
        <v>0</v>
      </c>
      <c r="G2837" s="551">
        <v>0</v>
      </c>
      <c r="H2837" s="551">
        <v>0</v>
      </c>
      <c r="I2837" s="551">
        <v>0</v>
      </c>
      <c r="J2837" s="551">
        <v>0</v>
      </c>
      <c r="K2837" s="527">
        <f t="shared" si="1755"/>
        <v>0</v>
      </c>
      <c r="L2837" s="528">
        <f t="shared" si="1756"/>
        <v>0</v>
      </c>
      <c r="M2837" s="528">
        <f t="shared" si="1757"/>
        <v>0</v>
      </c>
      <c r="N2837" s="528">
        <f t="shared" si="1758"/>
        <v>0</v>
      </c>
      <c r="O2837" s="528">
        <f t="shared" si="1759"/>
        <v>0</v>
      </c>
      <c r="P2837" s="529">
        <f t="shared" si="1760"/>
        <v>0</v>
      </c>
      <c r="Q2837" s="24">
        <f t="shared" si="1761"/>
        <v>0</v>
      </c>
      <c r="R2837" s="530">
        <f t="shared" si="1762"/>
        <v>0</v>
      </c>
    </row>
    <row r="2838" spans="1:18">
      <c r="A2838" s="524"/>
      <c r="B2838" s="540" t="s">
        <v>101</v>
      </c>
      <c r="C2838" s="552">
        <v>0</v>
      </c>
      <c r="D2838" s="553">
        <v>0</v>
      </c>
      <c r="E2838" s="551">
        <v>0</v>
      </c>
      <c r="F2838" s="551">
        <v>0</v>
      </c>
      <c r="G2838" s="551">
        <v>0</v>
      </c>
      <c r="H2838" s="551">
        <v>0</v>
      </c>
      <c r="I2838" s="551">
        <v>0</v>
      </c>
      <c r="J2838" s="551">
        <v>0</v>
      </c>
      <c r="K2838" s="527">
        <f t="shared" si="1755"/>
        <v>0</v>
      </c>
      <c r="L2838" s="528">
        <f t="shared" si="1756"/>
        <v>0</v>
      </c>
      <c r="M2838" s="528">
        <f t="shared" si="1757"/>
        <v>0</v>
      </c>
      <c r="N2838" s="528">
        <f t="shared" si="1758"/>
        <v>0</v>
      </c>
      <c r="O2838" s="528">
        <f t="shared" si="1759"/>
        <v>0</v>
      </c>
      <c r="P2838" s="529">
        <f t="shared" si="1760"/>
        <v>0</v>
      </c>
      <c r="Q2838" s="24">
        <f t="shared" si="1761"/>
        <v>0</v>
      </c>
      <c r="R2838" s="530">
        <f t="shared" si="1762"/>
        <v>0</v>
      </c>
    </row>
    <row r="2839" spans="1:18">
      <c r="A2839" s="524"/>
      <c r="B2839" s="531" t="s">
        <v>96</v>
      </c>
      <c r="C2839" s="533">
        <f t="shared" ref="C2839:J2839" si="1763">SUM(C2835:C2838)</f>
        <v>1500</v>
      </c>
      <c r="D2839" s="533">
        <f t="shared" si="1763"/>
        <v>23876</v>
      </c>
      <c r="E2839" s="533">
        <f t="shared" si="1763"/>
        <v>798</v>
      </c>
      <c r="F2839" s="533">
        <f t="shared" si="1763"/>
        <v>1</v>
      </c>
      <c r="G2839" s="533">
        <f t="shared" si="1763"/>
        <v>5293.01</v>
      </c>
      <c r="H2839" s="533">
        <f t="shared" si="1763"/>
        <v>19</v>
      </c>
      <c r="I2839" s="533">
        <f t="shared" si="1763"/>
        <v>9</v>
      </c>
      <c r="J2839" s="533">
        <f t="shared" si="1763"/>
        <v>7</v>
      </c>
      <c r="K2839" s="534">
        <f t="shared" si="1755"/>
        <v>0.0334226838666443</v>
      </c>
      <c r="L2839" s="535">
        <f t="shared" si="1756"/>
        <v>1.8796992481203</v>
      </c>
      <c r="M2839" s="535">
        <f t="shared" si="1757"/>
        <v>62.8245937342938</v>
      </c>
      <c r="N2839" s="535">
        <f t="shared" si="1758"/>
        <v>3.52867333333333</v>
      </c>
      <c r="O2839" s="535">
        <f t="shared" si="1759"/>
        <v>0.0012531328320802</v>
      </c>
      <c r="P2839" s="536">
        <f t="shared" si="1760"/>
        <v>53.5714285714286</v>
      </c>
      <c r="Q2839" s="531">
        <f t="shared" si="1761"/>
        <v>28</v>
      </c>
      <c r="R2839" s="537">
        <f t="shared" si="1762"/>
        <v>0.0350877192982456</v>
      </c>
    </row>
    <row r="2840" spans="1:18">
      <c r="A2840" s="524">
        <v>46018</v>
      </c>
      <c r="B2840" s="540" t="s">
        <v>98</v>
      </c>
      <c r="C2840" s="551">
        <v>1495.58</v>
      </c>
      <c r="D2840" s="553">
        <v>17870</v>
      </c>
      <c r="E2840" s="551">
        <v>692</v>
      </c>
      <c r="F2840" s="551">
        <v>2</v>
      </c>
      <c r="G2840" s="551">
        <v>23078</v>
      </c>
      <c r="H2840" s="551">
        <v>15</v>
      </c>
      <c r="I2840" s="551">
        <v>7</v>
      </c>
      <c r="J2840" s="551">
        <v>4</v>
      </c>
      <c r="K2840" s="527">
        <f t="shared" ref="K2840:K2844" si="1764">IF(E2840=0,0,E2840/D2840)</f>
        <v>0.0387241186345831</v>
      </c>
      <c r="L2840" s="528">
        <f t="shared" ref="L2840:L2844" si="1765">IF(C2840=0,0,C2840/E2840)</f>
        <v>2.16124277456647</v>
      </c>
      <c r="M2840" s="528">
        <f t="shared" ref="M2840:M2844" si="1766">IF(D2840=0,0,C2840/D2840*1000)</f>
        <v>83.6922216004477</v>
      </c>
      <c r="N2840" s="528">
        <f t="shared" ref="N2840:N2844" si="1767">IF(G2840=0,0,G2840/C2840)</f>
        <v>15.4308027654823</v>
      </c>
      <c r="O2840" s="528">
        <f t="shared" ref="O2840:O2844" si="1768">IF(F2840=0,0,F2840/E2840)</f>
        <v>0.00289017341040462</v>
      </c>
      <c r="P2840" s="529">
        <f t="shared" ref="P2840:P2844" si="1769">IF(H2840+I2840=0,0,C2840/(H2840+I2840))</f>
        <v>67.9809090909091</v>
      </c>
      <c r="Q2840" s="24">
        <f t="shared" ref="Q2840:Q2844" si="1770">H2840+I2840</f>
        <v>22</v>
      </c>
      <c r="R2840" s="530">
        <f t="shared" ref="R2840:R2844" si="1771">IF(Q2840=0,0,Q2840/E2840)</f>
        <v>0.0317919075144509</v>
      </c>
    </row>
    <row r="2841" spans="1:18">
      <c r="A2841" s="524"/>
      <c r="B2841" s="540" t="s">
        <v>99</v>
      </c>
      <c r="C2841" s="551">
        <v>0</v>
      </c>
      <c r="D2841" s="556">
        <v>0</v>
      </c>
      <c r="E2841" s="551">
        <v>0</v>
      </c>
      <c r="F2841" s="551">
        <v>0</v>
      </c>
      <c r="G2841" s="551">
        <v>0</v>
      </c>
      <c r="H2841" s="555">
        <v>0</v>
      </c>
      <c r="I2841" s="555">
        <v>0</v>
      </c>
      <c r="J2841" s="555">
        <v>0</v>
      </c>
      <c r="K2841" s="527">
        <f t="shared" si="1764"/>
        <v>0</v>
      </c>
      <c r="L2841" s="528">
        <f t="shared" si="1765"/>
        <v>0</v>
      </c>
      <c r="M2841" s="528">
        <f t="shared" si="1766"/>
        <v>0</v>
      </c>
      <c r="N2841" s="528">
        <f t="shared" si="1767"/>
        <v>0</v>
      </c>
      <c r="O2841" s="528">
        <f t="shared" si="1768"/>
        <v>0</v>
      </c>
      <c r="P2841" s="529">
        <f t="shared" si="1769"/>
        <v>0</v>
      </c>
      <c r="Q2841" s="24">
        <f t="shared" si="1770"/>
        <v>0</v>
      </c>
      <c r="R2841" s="530">
        <f t="shared" si="1771"/>
        <v>0</v>
      </c>
    </row>
    <row r="2842" spans="1:18">
      <c r="A2842" s="524"/>
      <c r="B2842" s="540" t="s">
        <v>100</v>
      </c>
      <c r="C2842" s="552">
        <v>0</v>
      </c>
      <c r="D2842" s="553">
        <v>0</v>
      </c>
      <c r="E2842" s="553">
        <v>0</v>
      </c>
      <c r="F2842" s="551">
        <v>0</v>
      </c>
      <c r="G2842" s="551">
        <v>0</v>
      </c>
      <c r="H2842" s="551">
        <v>0</v>
      </c>
      <c r="I2842" s="551">
        <v>0</v>
      </c>
      <c r="J2842" s="551">
        <v>0</v>
      </c>
      <c r="K2842" s="527">
        <f t="shared" si="1764"/>
        <v>0</v>
      </c>
      <c r="L2842" s="528">
        <f t="shared" si="1765"/>
        <v>0</v>
      </c>
      <c r="M2842" s="528">
        <f t="shared" si="1766"/>
        <v>0</v>
      </c>
      <c r="N2842" s="528">
        <f t="shared" si="1767"/>
        <v>0</v>
      </c>
      <c r="O2842" s="528">
        <f t="shared" si="1768"/>
        <v>0</v>
      </c>
      <c r="P2842" s="529">
        <f t="shared" si="1769"/>
        <v>0</v>
      </c>
      <c r="Q2842" s="24">
        <f t="shared" si="1770"/>
        <v>0</v>
      </c>
      <c r="R2842" s="530">
        <f t="shared" si="1771"/>
        <v>0</v>
      </c>
    </row>
    <row r="2843" spans="1:18">
      <c r="A2843" s="524"/>
      <c r="B2843" s="540" t="s">
        <v>101</v>
      </c>
      <c r="C2843" s="552">
        <v>0</v>
      </c>
      <c r="D2843" s="553">
        <v>0</v>
      </c>
      <c r="E2843" s="551">
        <v>0</v>
      </c>
      <c r="F2843" s="551">
        <v>0</v>
      </c>
      <c r="G2843" s="551">
        <v>0</v>
      </c>
      <c r="H2843" s="551">
        <v>0</v>
      </c>
      <c r="I2843" s="551">
        <v>0</v>
      </c>
      <c r="J2843" s="551">
        <v>0</v>
      </c>
      <c r="K2843" s="527">
        <f t="shared" si="1764"/>
        <v>0</v>
      </c>
      <c r="L2843" s="528">
        <f t="shared" si="1765"/>
        <v>0</v>
      </c>
      <c r="M2843" s="528">
        <f t="shared" si="1766"/>
        <v>0</v>
      </c>
      <c r="N2843" s="528">
        <f t="shared" si="1767"/>
        <v>0</v>
      </c>
      <c r="O2843" s="528">
        <f t="shared" si="1768"/>
        <v>0</v>
      </c>
      <c r="P2843" s="529">
        <f t="shared" si="1769"/>
        <v>0</v>
      </c>
      <c r="Q2843" s="24">
        <f t="shared" si="1770"/>
        <v>0</v>
      </c>
      <c r="R2843" s="530">
        <f t="shared" si="1771"/>
        <v>0</v>
      </c>
    </row>
    <row r="2844" spans="1:18">
      <c r="A2844" s="524"/>
      <c r="B2844" s="531" t="s">
        <v>96</v>
      </c>
      <c r="C2844" s="533">
        <f t="shared" ref="C2844:J2844" si="1772">SUM(C2840:C2843)</f>
        <v>1495.58</v>
      </c>
      <c r="D2844" s="533">
        <f t="shared" si="1772"/>
        <v>17870</v>
      </c>
      <c r="E2844" s="533">
        <f t="shared" si="1772"/>
        <v>692</v>
      </c>
      <c r="F2844" s="533">
        <f t="shared" si="1772"/>
        <v>2</v>
      </c>
      <c r="G2844" s="533">
        <f t="shared" si="1772"/>
        <v>23078</v>
      </c>
      <c r="H2844" s="533">
        <f t="shared" si="1772"/>
        <v>15</v>
      </c>
      <c r="I2844" s="533">
        <f t="shared" si="1772"/>
        <v>7</v>
      </c>
      <c r="J2844" s="533">
        <f t="shared" si="1772"/>
        <v>4</v>
      </c>
      <c r="K2844" s="534">
        <f t="shared" si="1764"/>
        <v>0.0387241186345831</v>
      </c>
      <c r="L2844" s="535">
        <f t="shared" si="1765"/>
        <v>2.16124277456647</v>
      </c>
      <c r="M2844" s="535">
        <f t="shared" si="1766"/>
        <v>83.6922216004477</v>
      </c>
      <c r="N2844" s="535">
        <f t="shared" si="1767"/>
        <v>15.4308027654823</v>
      </c>
      <c r="O2844" s="535">
        <f t="shared" si="1768"/>
        <v>0.00289017341040462</v>
      </c>
      <c r="P2844" s="536">
        <f t="shared" si="1769"/>
        <v>67.9809090909091</v>
      </c>
      <c r="Q2844" s="531">
        <f t="shared" si="1770"/>
        <v>22</v>
      </c>
      <c r="R2844" s="537">
        <f t="shared" si="1771"/>
        <v>0.0317919075144509</v>
      </c>
    </row>
    <row r="2845" spans="1:18">
      <c r="A2845" s="524">
        <v>46019</v>
      </c>
      <c r="B2845" s="540" t="s">
        <v>98</v>
      </c>
      <c r="C2845" s="551">
        <v>1499.9</v>
      </c>
      <c r="D2845" s="553">
        <v>19805</v>
      </c>
      <c r="E2845" s="551">
        <v>769</v>
      </c>
      <c r="F2845" s="551">
        <v>0</v>
      </c>
      <c r="G2845" s="551">
        <v>0</v>
      </c>
      <c r="H2845" s="551">
        <v>31</v>
      </c>
      <c r="I2845" s="551">
        <v>5</v>
      </c>
      <c r="J2845" s="551">
        <v>3</v>
      </c>
      <c r="K2845" s="527">
        <f t="shared" ref="K2845:K2849" si="1773">IF(E2845=0,0,E2845/D2845)</f>
        <v>0.0388285786417571</v>
      </c>
      <c r="L2845" s="528">
        <f t="shared" ref="L2845:L2849" si="1774">IF(C2845=0,0,C2845/E2845)</f>
        <v>1.95045513654096</v>
      </c>
      <c r="M2845" s="528">
        <f t="shared" ref="M2845:M2849" si="1775">IF(D2845=0,0,C2845/D2845*1000)</f>
        <v>75.7334006563999</v>
      </c>
      <c r="N2845" s="528">
        <f t="shared" ref="N2845:N2849" si="1776">IF(G2845=0,0,G2845/C2845)</f>
        <v>0</v>
      </c>
      <c r="O2845" s="528">
        <f t="shared" ref="O2845:O2849" si="1777">IF(F2845=0,0,F2845/E2845)</f>
        <v>0</v>
      </c>
      <c r="P2845" s="529">
        <f t="shared" ref="P2845:P2849" si="1778">IF(H2845+I2845=0,0,C2845/(H2845+I2845))</f>
        <v>41.6638888888889</v>
      </c>
      <c r="Q2845" s="24">
        <f t="shared" ref="Q2845:Q2849" si="1779">H2845+I2845</f>
        <v>36</v>
      </c>
      <c r="R2845" s="530">
        <f t="shared" ref="R2845:R2849" si="1780">IF(Q2845=0,0,Q2845/E2845)</f>
        <v>0.046814044213264</v>
      </c>
    </row>
    <row r="2846" spans="1:18">
      <c r="A2846" s="524"/>
      <c r="B2846" s="540" t="s">
        <v>99</v>
      </c>
      <c r="C2846" s="551">
        <v>1478.36</v>
      </c>
      <c r="D2846" s="556">
        <v>13899</v>
      </c>
      <c r="E2846" s="551">
        <v>575</v>
      </c>
      <c r="F2846" s="551">
        <v>0</v>
      </c>
      <c r="G2846" s="551">
        <v>0</v>
      </c>
      <c r="H2846" s="555">
        <v>7</v>
      </c>
      <c r="I2846" s="555">
        <v>0</v>
      </c>
      <c r="J2846" s="555">
        <v>3</v>
      </c>
      <c r="K2846" s="527">
        <f t="shared" si="1773"/>
        <v>0.0413698827253759</v>
      </c>
      <c r="L2846" s="528">
        <f t="shared" si="1774"/>
        <v>2.57106086956522</v>
      </c>
      <c r="M2846" s="528">
        <f t="shared" si="1775"/>
        <v>106.364486653716</v>
      </c>
      <c r="N2846" s="528">
        <f t="shared" si="1776"/>
        <v>0</v>
      </c>
      <c r="O2846" s="528">
        <f t="shared" si="1777"/>
        <v>0</v>
      </c>
      <c r="P2846" s="529">
        <f t="shared" si="1778"/>
        <v>211.194285714286</v>
      </c>
      <c r="Q2846" s="24">
        <f t="shared" si="1779"/>
        <v>7</v>
      </c>
      <c r="R2846" s="530">
        <f t="shared" si="1780"/>
        <v>0.0121739130434783</v>
      </c>
    </row>
    <row r="2847" spans="1:18">
      <c r="A2847" s="524"/>
      <c r="B2847" s="540" t="s">
        <v>100</v>
      </c>
      <c r="C2847" s="552">
        <v>0</v>
      </c>
      <c r="D2847" s="553">
        <v>0</v>
      </c>
      <c r="E2847" s="553">
        <v>0</v>
      </c>
      <c r="F2847" s="551">
        <v>0</v>
      </c>
      <c r="G2847" s="551">
        <v>0</v>
      </c>
      <c r="H2847" s="551">
        <v>0</v>
      </c>
      <c r="I2847" s="551">
        <v>0</v>
      </c>
      <c r="J2847" s="551">
        <v>0</v>
      </c>
      <c r="K2847" s="527">
        <f t="shared" si="1773"/>
        <v>0</v>
      </c>
      <c r="L2847" s="528">
        <f t="shared" si="1774"/>
        <v>0</v>
      </c>
      <c r="M2847" s="528">
        <f t="shared" si="1775"/>
        <v>0</v>
      </c>
      <c r="N2847" s="528">
        <f t="shared" si="1776"/>
        <v>0</v>
      </c>
      <c r="O2847" s="528">
        <f t="shared" si="1777"/>
        <v>0</v>
      </c>
      <c r="P2847" s="529">
        <f t="shared" si="1778"/>
        <v>0</v>
      </c>
      <c r="Q2847" s="24">
        <f t="shared" si="1779"/>
        <v>0</v>
      </c>
      <c r="R2847" s="530">
        <f t="shared" si="1780"/>
        <v>0</v>
      </c>
    </row>
    <row r="2848" spans="1:18">
      <c r="A2848" s="524"/>
      <c r="B2848" s="540" t="s">
        <v>101</v>
      </c>
      <c r="C2848" s="552">
        <v>0</v>
      </c>
      <c r="D2848" s="553">
        <v>0</v>
      </c>
      <c r="E2848" s="551">
        <v>0</v>
      </c>
      <c r="F2848" s="551">
        <v>0</v>
      </c>
      <c r="G2848" s="551">
        <v>0</v>
      </c>
      <c r="H2848" s="551">
        <v>0</v>
      </c>
      <c r="I2848" s="551">
        <v>0</v>
      </c>
      <c r="J2848" s="551">
        <v>0</v>
      </c>
      <c r="K2848" s="527">
        <f t="shared" si="1773"/>
        <v>0</v>
      </c>
      <c r="L2848" s="528">
        <f t="shared" si="1774"/>
        <v>0</v>
      </c>
      <c r="M2848" s="528">
        <f t="shared" si="1775"/>
        <v>0</v>
      </c>
      <c r="N2848" s="528">
        <f t="shared" si="1776"/>
        <v>0</v>
      </c>
      <c r="O2848" s="528">
        <f t="shared" si="1777"/>
        <v>0</v>
      </c>
      <c r="P2848" s="529">
        <f t="shared" si="1778"/>
        <v>0</v>
      </c>
      <c r="Q2848" s="24">
        <f t="shared" si="1779"/>
        <v>0</v>
      </c>
      <c r="R2848" s="530">
        <f t="shared" si="1780"/>
        <v>0</v>
      </c>
    </row>
    <row r="2849" spans="1:18">
      <c r="A2849" s="524"/>
      <c r="B2849" s="531" t="s">
        <v>96</v>
      </c>
      <c r="C2849" s="533">
        <f t="shared" ref="C2849:J2849" si="1781">SUM(C2845:C2848)</f>
        <v>2978.26</v>
      </c>
      <c r="D2849" s="533">
        <f t="shared" si="1781"/>
        <v>33704</v>
      </c>
      <c r="E2849" s="533">
        <f t="shared" si="1781"/>
        <v>1344</v>
      </c>
      <c r="F2849" s="533">
        <f t="shared" si="1781"/>
        <v>0</v>
      </c>
      <c r="G2849" s="533">
        <f t="shared" si="1781"/>
        <v>0</v>
      </c>
      <c r="H2849" s="533">
        <f t="shared" si="1781"/>
        <v>38</v>
      </c>
      <c r="I2849" s="533">
        <f t="shared" si="1781"/>
        <v>5</v>
      </c>
      <c r="J2849" s="533">
        <f t="shared" si="1781"/>
        <v>6</v>
      </c>
      <c r="K2849" s="534">
        <f t="shared" si="1773"/>
        <v>0.0398765725136482</v>
      </c>
      <c r="L2849" s="535">
        <f t="shared" si="1774"/>
        <v>2.21596726190476</v>
      </c>
      <c r="M2849" s="535">
        <f t="shared" si="1775"/>
        <v>88.3651792072158</v>
      </c>
      <c r="N2849" s="535">
        <f t="shared" si="1776"/>
        <v>0</v>
      </c>
      <c r="O2849" s="535">
        <f t="shared" si="1777"/>
        <v>0</v>
      </c>
      <c r="P2849" s="536">
        <f t="shared" si="1778"/>
        <v>69.2618604651163</v>
      </c>
      <c r="Q2849" s="531">
        <f t="shared" si="1779"/>
        <v>43</v>
      </c>
      <c r="R2849" s="537">
        <f t="shared" si="1780"/>
        <v>0.0319940476190476</v>
      </c>
    </row>
    <row r="2850" spans="1:18">
      <c r="A2850" s="524">
        <v>46020</v>
      </c>
      <c r="B2850" s="540" t="s">
        <v>98</v>
      </c>
      <c r="C2850" s="551">
        <v>1494.18</v>
      </c>
      <c r="D2850" s="553">
        <v>12881</v>
      </c>
      <c r="E2850" s="551">
        <v>556</v>
      </c>
      <c r="F2850" s="551">
        <v>1</v>
      </c>
      <c r="G2850" s="551">
        <v>22214</v>
      </c>
      <c r="H2850" s="551">
        <v>20</v>
      </c>
      <c r="I2850" s="551">
        <v>4</v>
      </c>
      <c r="J2850" s="551">
        <v>4</v>
      </c>
      <c r="K2850" s="527">
        <f t="shared" ref="K2850:K2854" si="1782">IF(E2850=0,0,E2850/D2850)</f>
        <v>0.043164350593898</v>
      </c>
      <c r="L2850" s="528">
        <f t="shared" ref="L2850:L2854" si="1783">IF(C2850=0,0,C2850/E2850)</f>
        <v>2.68737410071942</v>
      </c>
      <c r="M2850" s="528">
        <f t="shared" ref="M2850:M2854" si="1784">IF(D2850=0,0,C2850/D2850*1000)</f>
        <v>115.998757860415</v>
      </c>
      <c r="N2850" s="528">
        <f t="shared" ref="N2850:N2854" si="1785">IF(G2850=0,0,G2850/C2850)</f>
        <v>14.8670173606928</v>
      </c>
      <c r="O2850" s="528">
        <f t="shared" ref="O2850:O2854" si="1786">IF(F2850=0,0,F2850/E2850)</f>
        <v>0.00179856115107914</v>
      </c>
      <c r="P2850" s="529">
        <f t="shared" ref="P2850:P2854" si="1787">IF(H2850+I2850=0,0,C2850/(H2850+I2850))</f>
        <v>62.2575</v>
      </c>
      <c r="Q2850" s="24">
        <f t="shared" ref="Q2850:Q2854" si="1788">H2850+I2850</f>
        <v>24</v>
      </c>
      <c r="R2850" s="530">
        <f t="shared" ref="R2850:R2854" si="1789">IF(Q2850=0,0,Q2850/E2850)</f>
        <v>0.0431654676258993</v>
      </c>
    </row>
    <row r="2851" spans="1:18">
      <c r="A2851" s="524"/>
      <c r="B2851" s="540" t="s">
        <v>99</v>
      </c>
      <c r="C2851" s="551">
        <v>1500</v>
      </c>
      <c r="D2851" s="556">
        <v>11706</v>
      </c>
      <c r="E2851" s="551">
        <v>783</v>
      </c>
      <c r="F2851" s="551">
        <v>0</v>
      </c>
      <c r="G2851" s="551">
        <v>0</v>
      </c>
      <c r="H2851" s="555">
        <v>4</v>
      </c>
      <c r="I2851" s="555">
        <v>0</v>
      </c>
      <c r="J2851" s="555">
        <v>5</v>
      </c>
      <c r="K2851" s="527">
        <f t="shared" si="1782"/>
        <v>0.0668887749871861</v>
      </c>
      <c r="L2851" s="528">
        <f t="shared" si="1783"/>
        <v>1.91570881226054</v>
      </c>
      <c r="M2851" s="528">
        <f t="shared" si="1784"/>
        <v>128.139415684264</v>
      </c>
      <c r="N2851" s="528">
        <f t="shared" si="1785"/>
        <v>0</v>
      </c>
      <c r="O2851" s="528">
        <f t="shared" si="1786"/>
        <v>0</v>
      </c>
      <c r="P2851" s="529">
        <f t="shared" si="1787"/>
        <v>375</v>
      </c>
      <c r="Q2851" s="24">
        <f t="shared" si="1788"/>
        <v>4</v>
      </c>
      <c r="R2851" s="530">
        <f t="shared" si="1789"/>
        <v>0.00510855683269476</v>
      </c>
    </row>
    <row r="2852" spans="1:18">
      <c r="A2852" s="524"/>
      <c r="B2852" s="540" t="s">
        <v>100</v>
      </c>
      <c r="C2852" s="552">
        <v>0</v>
      </c>
      <c r="D2852" s="553">
        <v>0</v>
      </c>
      <c r="E2852" s="553">
        <v>0</v>
      </c>
      <c r="F2852" s="551">
        <v>0</v>
      </c>
      <c r="G2852" s="551">
        <v>0</v>
      </c>
      <c r="H2852" s="551">
        <v>0</v>
      </c>
      <c r="I2852" s="551">
        <v>0</v>
      </c>
      <c r="J2852" s="551">
        <v>0</v>
      </c>
      <c r="K2852" s="527">
        <f t="shared" si="1782"/>
        <v>0</v>
      </c>
      <c r="L2852" s="528">
        <f t="shared" si="1783"/>
        <v>0</v>
      </c>
      <c r="M2852" s="528">
        <f t="shared" si="1784"/>
        <v>0</v>
      </c>
      <c r="N2852" s="528">
        <f t="shared" si="1785"/>
        <v>0</v>
      </c>
      <c r="O2852" s="528">
        <f t="shared" si="1786"/>
        <v>0</v>
      </c>
      <c r="P2852" s="529">
        <f t="shared" si="1787"/>
        <v>0</v>
      </c>
      <c r="Q2852" s="24">
        <f t="shared" si="1788"/>
        <v>0</v>
      </c>
      <c r="R2852" s="530">
        <f t="shared" si="1789"/>
        <v>0</v>
      </c>
    </row>
    <row r="2853" spans="1:18">
      <c r="A2853" s="524"/>
      <c r="B2853" s="540" t="s">
        <v>101</v>
      </c>
      <c r="C2853" s="552">
        <v>0</v>
      </c>
      <c r="D2853" s="553">
        <v>0</v>
      </c>
      <c r="E2853" s="551">
        <v>0</v>
      </c>
      <c r="F2853" s="551">
        <v>0</v>
      </c>
      <c r="G2853" s="551">
        <v>0</v>
      </c>
      <c r="H2853" s="551">
        <v>0</v>
      </c>
      <c r="I2853" s="551">
        <v>0</v>
      </c>
      <c r="J2853" s="551">
        <v>0</v>
      </c>
      <c r="K2853" s="527">
        <f t="shared" si="1782"/>
        <v>0</v>
      </c>
      <c r="L2853" s="528">
        <f t="shared" si="1783"/>
        <v>0</v>
      </c>
      <c r="M2853" s="528">
        <f t="shared" si="1784"/>
        <v>0</v>
      </c>
      <c r="N2853" s="528">
        <f t="shared" si="1785"/>
        <v>0</v>
      </c>
      <c r="O2853" s="528">
        <f t="shared" si="1786"/>
        <v>0</v>
      </c>
      <c r="P2853" s="529">
        <f t="shared" si="1787"/>
        <v>0</v>
      </c>
      <c r="Q2853" s="24">
        <f t="shared" si="1788"/>
        <v>0</v>
      </c>
      <c r="R2853" s="530">
        <f t="shared" si="1789"/>
        <v>0</v>
      </c>
    </row>
    <row r="2854" spans="1:18">
      <c r="A2854" s="524"/>
      <c r="B2854" s="531" t="s">
        <v>96</v>
      </c>
      <c r="C2854" s="533">
        <f t="shared" ref="C2854:J2854" si="1790">SUM(C2850:C2853)</f>
        <v>2994.18</v>
      </c>
      <c r="D2854" s="533">
        <f t="shared" si="1790"/>
        <v>24587</v>
      </c>
      <c r="E2854" s="533">
        <f t="shared" si="1790"/>
        <v>1339</v>
      </c>
      <c r="F2854" s="533">
        <f t="shared" si="1790"/>
        <v>1</v>
      </c>
      <c r="G2854" s="533">
        <f t="shared" si="1790"/>
        <v>22214</v>
      </c>
      <c r="H2854" s="533">
        <f t="shared" si="1790"/>
        <v>24</v>
      </c>
      <c r="I2854" s="533">
        <f t="shared" si="1790"/>
        <v>4</v>
      </c>
      <c r="J2854" s="533">
        <f t="shared" si="1790"/>
        <v>9</v>
      </c>
      <c r="K2854" s="534">
        <f t="shared" si="1782"/>
        <v>0.0544596738113637</v>
      </c>
      <c r="L2854" s="535">
        <f t="shared" si="1783"/>
        <v>2.23613144137416</v>
      </c>
      <c r="M2854" s="535">
        <f t="shared" si="1784"/>
        <v>121.778988896571</v>
      </c>
      <c r="N2854" s="535">
        <f t="shared" si="1785"/>
        <v>7.41905964237287</v>
      </c>
      <c r="O2854" s="535">
        <f t="shared" si="1786"/>
        <v>0.000746825989544436</v>
      </c>
      <c r="P2854" s="536">
        <f t="shared" si="1787"/>
        <v>106.935</v>
      </c>
      <c r="Q2854" s="531">
        <f t="shared" si="1788"/>
        <v>28</v>
      </c>
      <c r="R2854" s="537">
        <f t="shared" si="1789"/>
        <v>0.0209111277072442</v>
      </c>
    </row>
    <row r="2855" spans="1:18">
      <c r="A2855" s="524">
        <v>46021</v>
      </c>
      <c r="B2855" s="540" t="s">
        <v>98</v>
      </c>
      <c r="C2855" s="551">
        <v>1487.8</v>
      </c>
      <c r="D2855" s="553">
        <v>13031</v>
      </c>
      <c r="E2855" s="551">
        <v>551</v>
      </c>
      <c r="F2855" s="551">
        <v>2</v>
      </c>
      <c r="G2855" s="551">
        <v>30346</v>
      </c>
      <c r="H2855" s="551">
        <v>27</v>
      </c>
      <c r="I2855" s="551">
        <v>1</v>
      </c>
      <c r="J2855" s="551">
        <v>4</v>
      </c>
      <c r="K2855" s="527">
        <f t="shared" ref="K2855:K2859" si="1791">IF(E2855=0,0,E2855/D2855)</f>
        <v>0.0422837848208119</v>
      </c>
      <c r="L2855" s="528">
        <f t="shared" ref="L2855:L2859" si="1792">IF(C2855=0,0,C2855/E2855)</f>
        <v>2.70018148820327</v>
      </c>
      <c r="M2855" s="528">
        <f t="shared" ref="M2855:M2859" si="1793">IF(D2855=0,0,C2855/D2855*1000)</f>
        <v>114.173893024327</v>
      </c>
      <c r="N2855" s="528">
        <f t="shared" ref="N2855:N2859" si="1794">IF(G2855=0,0,G2855/C2855)</f>
        <v>20.3965586772416</v>
      </c>
      <c r="O2855" s="528">
        <f t="shared" ref="O2855:O2859" si="1795">IF(F2855=0,0,F2855/E2855)</f>
        <v>0.00362976406533575</v>
      </c>
      <c r="P2855" s="529">
        <f t="shared" ref="P2855:P2859" si="1796">IF(H2855+I2855=0,0,C2855/(H2855+I2855))</f>
        <v>53.1357142857143</v>
      </c>
      <c r="Q2855" s="24">
        <f t="shared" ref="Q2855:Q2859" si="1797">H2855+I2855</f>
        <v>28</v>
      </c>
      <c r="R2855" s="530">
        <f t="shared" ref="R2855:R2859" si="1798">IF(Q2855=0,0,Q2855/E2855)</f>
        <v>0.0508166969147005</v>
      </c>
    </row>
    <row r="2856" spans="1:18">
      <c r="A2856" s="524"/>
      <c r="B2856" s="540" t="s">
        <v>99</v>
      </c>
      <c r="C2856" s="551">
        <v>0</v>
      </c>
      <c r="D2856" s="556">
        <v>0</v>
      </c>
      <c r="E2856" s="551">
        <v>0</v>
      </c>
      <c r="F2856" s="551">
        <v>0</v>
      </c>
      <c r="G2856" s="551">
        <v>0</v>
      </c>
      <c r="H2856" s="555">
        <v>0</v>
      </c>
      <c r="I2856" s="555">
        <v>0</v>
      </c>
      <c r="J2856" s="555">
        <v>0</v>
      </c>
      <c r="K2856" s="527">
        <f t="shared" si="1791"/>
        <v>0</v>
      </c>
      <c r="L2856" s="528">
        <f t="shared" si="1792"/>
        <v>0</v>
      </c>
      <c r="M2856" s="528">
        <f t="shared" si="1793"/>
        <v>0</v>
      </c>
      <c r="N2856" s="528">
        <f t="shared" si="1794"/>
        <v>0</v>
      </c>
      <c r="O2856" s="528">
        <f t="shared" si="1795"/>
        <v>0</v>
      </c>
      <c r="P2856" s="529">
        <f t="shared" si="1796"/>
        <v>0</v>
      </c>
      <c r="Q2856" s="24">
        <f t="shared" si="1797"/>
        <v>0</v>
      </c>
      <c r="R2856" s="530">
        <f t="shared" si="1798"/>
        <v>0</v>
      </c>
    </row>
    <row r="2857" spans="1:18">
      <c r="A2857" s="524"/>
      <c r="B2857" s="540" t="s">
        <v>100</v>
      </c>
      <c r="C2857" s="552">
        <v>0</v>
      </c>
      <c r="D2857" s="553">
        <v>0</v>
      </c>
      <c r="E2857" s="553">
        <v>0</v>
      </c>
      <c r="F2857" s="551">
        <v>0</v>
      </c>
      <c r="G2857" s="551">
        <v>0</v>
      </c>
      <c r="H2857" s="551">
        <v>0</v>
      </c>
      <c r="I2857" s="551">
        <v>0</v>
      </c>
      <c r="J2857" s="551">
        <v>0</v>
      </c>
      <c r="K2857" s="527">
        <f t="shared" si="1791"/>
        <v>0</v>
      </c>
      <c r="L2857" s="528">
        <f t="shared" si="1792"/>
        <v>0</v>
      </c>
      <c r="M2857" s="528">
        <f t="shared" si="1793"/>
        <v>0</v>
      </c>
      <c r="N2857" s="528">
        <f t="shared" si="1794"/>
        <v>0</v>
      </c>
      <c r="O2857" s="528">
        <f t="shared" si="1795"/>
        <v>0</v>
      </c>
      <c r="P2857" s="529">
        <f t="shared" si="1796"/>
        <v>0</v>
      </c>
      <c r="Q2857" s="24">
        <f t="shared" si="1797"/>
        <v>0</v>
      </c>
      <c r="R2857" s="530">
        <f t="shared" si="1798"/>
        <v>0</v>
      </c>
    </row>
    <row r="2858" spans="1:18">
      <c r="A2858" s="524"/>
      <c r="B2858" s="540" t="s">
        <v>101</v>
      </c>
      <c r="C2858" s="552">
        <v>362.3</v>
      </c>
      <c r="D2858" s="553">
        <v>1244</v>
      </c>
      <c r="E2858" s="551">
        <v>73</v>
      </c>
      <c r="F2858" s="551">
        <v>0</v>
      </c>
      <c r="G2858" s="551">
        <v>0</v>
      </c>
      <c r="H2858" s="551">
        <v>4</v>
      </c>
      <c r="I2858" s="551">
        <v>0</v>
      </c>
      <c r="J2858" s="551">
        <v>1</v>
      </c>
      <c r="K2858" s="527">
        <f t="shared" si="1791"/>
        <v>0.0586816720257235</v>
      </c>
      <c r="L2858" s="528">
        <f t="shared" si="1792"/>
        <v>4.96301369863014</v>
      </c>
      <c r="M2858" s="528">
        <f t="shared" si="1793"/>
        <v>291.237942122186</v>
      </c>
      <c r="N2858" s="528">
        <f t="shared" si="1794"/>
        <v>0</v>
      </c>
      <c r="O2858" s="528">
        <f t="shared" si="1795"/>
        <v>0</v>
      </c>
      <c r="P2858" s="529">
        <f t="shared" si="1796"/>
        <v>90.575</v>
      </c>
      <c r="Q2858" s="24">
        <f t="shared" si="1797"/>
        <v>4</v>
      </c>
      <c r="R2858" s="530">
        <f t="shared" si="1798"/>
        <v>0.0547945205479452</v>
      </c>
    </row>
    <row r="2859" spans="1:18">
      <c r="A2859" s="524"/>
      <c r="B2859" s="531" t="s">
        <v>96</v>
      </c>
      <c r="C2859" s="533">
        <f t="shared" ref="C2859:J2859" si="1799">SUM(C2855:C2858)</f>
        <v>1850.1</v>
      </c>
      <c r="D2859" s="533">
        <f t="shared" si="1799"/>
        <v>14275</v>
      </c>
      <c r="E2859" s="533">
        <f t="shared" si="1799"/>
        <v>624</v>
      </c>
      <c r="F2859" s="533">
        <f t="shared" si="1799"/>
        <v>2</v>
      </c>
      <c r="G2859" s="533">
        <f t="shared" si="1799"/>
        <v>30346</v>
      </c>
      <c r="H2859" s="533">
        <f t="shared" si="1799"/>
        <v>31</v>
      </c>
      <c r="I2859" s="533">
        <f t="shared" si="1799"/>
        <v>1</v>
      </c>
      <c r="J2859" s="533">
        <f t="shared" si="1799"/>
        <v>5</v>
      </c>
      <c r="K2859" s="534">
        <f t="shared" si="1791"/>
        <v>0.0437127845884413</v>
      </c>
      <c r="L2859" s="535">
        <f t="shared" si="1792"/>
        <v>2.96490384615385</v>
      </c>
      <c r="M2859" s="535">
        <f t="shared" si="1793"/>
        <v>129.604203152364</v>
      </c>
      <c r="N2859" s="535">
        <f t="shared" si="1794"/>
        <v>16.4023566293714</v>
      </c>
      <c r="O2859" s="535">
        <f t="shared" si="1795"/>
        <v>0.00320512820512821</v>
      </c>
      <c r="P2859" s="536">
        <f t="shared" si="1796"/>
        <v>57.815625</v>
      </c>
      <c r="Q2859" s="531">
        <f t="shared" si="1797"/>
        <v>32</v>
      </c>
      <c r="R2859" s="537">
        <f t="shared" si="1798"/>
        <v>0.0512820512820513</v>
      </c>
    </row>
    <row r="2860" spans="1:18">
      <c r="A2860" s="524">
        <v>46022</v>
      </c>
      <c r="B2860" s="540" t="s">
        <v>98</v>
      </c>
      <c r="C2860" s="551">
        <v>1500</v>
      </c>
      <c r="D2860" s="553">
        <v>13909</v>
      </c>
      <c r="E2860" s="551">
        <v>571</v>
      </c>
      <c r="F2860" s="551">
        <v>0</v>
      </c>
      <c r="G2860" s="551">
        <v>0</v>
      </c>
      <c r="H2860" s="551">
        <v>20</v>
      </c>
      <c r="I2860" s="551">
        <v>4</v>
      </c>
      <c r="J2860" s="551">
        <v>1</v>
      </c>
      <c r="K2860" s="527">
        <f t="shared" ref="K2860:K2864" si="1800">IF(E2860=0,0,E2860/D2860)</f>
        <v>0.0410525558990582</v>
      </c>
      <c r="L2860" s="528">
        <f t="shared" ref="L2860:L2864" si="1801">IF(C2860=0,0,C2860/E2860)</f>
        <v>2.62697022767075</v>
      </c>
      <c r="M2860" s="528">
        <f t="shared" ref="M2860:M2864" si="1802">IF(D2860=0,0,C2860/D2860*1000)</f>
        <v>107.843842116615</v>
      </c>
      <c r="N2860" s="528">
        <f t="shared" ref="N2860:N2864" si="1803">IF(G2860=0,0,G2860/C2860)</f>
        <v>0</v>
      </c>
      <c r="O2860" s="528">
        <f t="shared" ref="O2860:O2864" si="1804">IF(F2860=0,0,F2860/E2860)</f>
        <v>0</v>
      </c>
      <c r="P2860" s="529">
        <f t="shared" ref="P2860:P2864" si="1805">IF(H2860+I2860=0,0,C2860/(H2860+I2860))</f>
        <v>62.5</v>
      </c>
      <c r="Q2860" s="24">
        <f t="shared" ref="Q2860:Q2864" si="1806">H2860+I2860</f>
        <v>24</v>
      </c>
      <c r="R2860" s="530">
        <f t="shared" ref="R2860:R2864" si="1807">IF(Q2860=0,0,Q2860/E2860)</f>
        <v>0.042031523642732</v>
      </c>
    </row>
    <row r="2861" spans="1:18">
      <c r="A2861" s="524"/>
      <c r="B2861" s="540" t="s">
        <v>99</v>
      </c>
      <c r="C2861" s="551">
        <v>0</v>
      </c>
      <c r="D2861" s="556">
        <v>0</v>
      </c>
      <c r="E2861" s="551">
        <v>0</v>
      </c>
      <c r="F2861" s="551">
        <v>0</v>
      </c>
      <c r="G2861" s="551">
        <v>0</v>
      </c>
      <c r="H2861" s="555">
        <v>0</v>
      </c>
      <c r="I2861" s="555">
        <v>0</v>
      </c>
      <c r="J2861" s="555">
        <v>0</v>
      </c>
      <c r="K2861" s="527">
        <f t="shared" si="1800"/>
        <v>0</v>
      </c>
      <c r="L2861" s="528">
        <f t="shared" si="1801"/>
        <v>0</v>
      </c>
      <c r="M2861" s="528">
        <f t="shared" si="1802"/>
        <v>0</v>
      </c>
      <c r="N2861" s="528">
        <f t="shared" si="1803"/>
        <v>0</v>
      </c>
      <c r="O2861" s="528">
        <f t="shared" si="1804"/>
        <v>0</v>
      </c>
      <c r="P2861" s="529">
        <f t="shared" si="1805"/>
        <v>0</v>
      </c>
      <c r="Q2861" s="24">
        <f t="shared" si="1806"/>
        <v>0</v>
      </c>
      <c r="R2861" s="530">
        <f t="shared" si="1807"/>
        <v>0</v>
      </c>
    </row>
    <row r="2862" spans="1:18">
      <c r="A2862" s="524"/>
      <c r="B2862" s="540" t="s">
        <v>100</v>
      </c>
      <c r="C2862" s="552">
        <v>0</v>
      </c>
      <c r="D2862" s="553">
        <v>0</v>
      </c>
      <c r="E2862" s="553">
        <v>0</v>
      </c>
      <c r="F2862" s="551">
        <v>0</v>
      </c>
      <c r="G2862" s="551">
        <v>0</v>
      </c>
      <c r="H2862" s="551">
        <v>0</v>
      </c>
      <c r="I2862" s="551">
        <v>0</v>
      </c>
      <c r="J2862" s="551">
        <v>0</v>
      </c>
      <c r="K2862" s="527">
        <f t="shared" si="1800"/>
        <v>0</v>
      </c>
      <c r="L2862" s="528">
        <f t="shared" si="1801"/>
        <v>0</v>
      </c>
      <c r="M2862" s="528">
        <f t="shared" si="1802"/>
        <v>0</v>
      </c>
      <c r="N2862" s="528">
        <f t="shared" si="1803"/>
        <v>0</v>
      </c>
      <c r="O2862" s="528">
        <f t="shared" si="1804"/>
        <v>0</v>
      </c>
      <c r="P2862" s="529">
        <f t="shared" si="1805"/>
        <v>0</v>
      </c>
      <c r="Q2862" s="24">
        <f t="shared" si="1806"/>
        <v>0</v>
      </c>
      <c r="R2862" s="530">
        <f t="shared" si="1807"/>
        <v>0</v>
      </c>
    </row>
    <row r="2863" spans="1:18">
      <c r="A2863" s="524"/>
      <c r="B2863" s="540" t="s">
        <v>101</v>
      </c>
      <c r="C2863" s="552">
        <v>496.3</v>
      </c>
      <c r="D2863" s="553">
        <v>60353</v>
      </c>
      <c r="E2863" s="551">
        <v>377</v>
      </c>
      <c r="F2863" s="551">
        <v>0</v>
      </c>
      <c r="G2863" s="551">
        <v>0</v>
      </c>
      <c r="H2863" s="551">
        <v>8</v>
      </c>
      <c r="I2863" s="551">
        <v>0</v>
      </c>
      <c r="J2863" s="551">
        <v>0</v>
      </c>
      <c r="K2863" s="527">
        <f t="shared" si="1800"/>
        <v>0.00624658260566997</v>
      </c>
      <c r="L2863" s="528">
        <f t="shared" si="1801"/>
        <v>1.31644562334218</v>
      </c>
      <c r="M2863" s="528">
        <f t="shared" si="1802"/>
        <v>8.2232863320796</v>
      </c>
      <c r="N2863" s="528">
        <f t="shared" si="1803"/>
        <v>0</v>
      </c>
      <c r="O2863" s="528">
        <f t="shared" si="1804"/>
        <v>0</v>
      </c>
      <c r="P2863" s="529">
        <f t="shared" si="1805"/>
        <v>62.0375</v>
      </c>
      <c r="Q2863" s="24">
        <f t="shared" si="1806"/>
        <v>8</v>
      </c>
      <c r="R2863" s="530">
        <f t="shared" si="1807"/>
        <v>0.0212201591511936</v>
      </c>
    </row>
    <row r="2864" spans="1:18">
      <c r="A2864" s="524"/>
      <c r="B2864" s="531" t="s">
        <v>96</v>
      </c>
      <c r="C2864" s="533">
        <f t="shared" ref="C2864:J2864" si="1808">SUM(C2860:C2863)</f>
        <v>1996.3</v>
      </c>
      <c r="D2864" s="533">
        <f t="shared" si="1808"/>
        <v>74262</v>
      </c>
      <c r="E2864" s="533">
        <f t="shared" si="1808"/>
        <v>948</v>
      </c>
      <c r="F2864" s="533">
        <f t="shared" si="1808"/>
        <v>0</v>
      </c>
      <c r="G2864" s="533">
        <f t="shared" si="1808"/>
        <v>0</v>
      </c>
      <c r="H2864" s="533">
        <f t="shared" si="1808"/>
        <v>28</v>
      </c>
      <c r="I2864" s="533">
        <f t="shared" si="1808"/>
        <v>4</v>
      </c>
      <c r="J2864" s="533">
        <f t="shared" si="1808"/>
        <v>1</v>
      </c>
      <c r="K2864" s="534">
        <f t="shared" si="1800"/>
        <v>0.0127656136381999</v>
      </c>
      <c r="L2864" s="535">
        <f t="shared" si="1801"/>
        <v>2.10580168776371</v>
      </c>
      <c r="M2864" s="535">
        <f t="shared" si="1802"/>
        <v>26.8818507446608</v>
      </c>
      <c r="N2864" s="535">
        <f t="shared" si="1803"/>
        <v>0</v>
      </c>
      <c r="O2864" s="535">
        <f t="shared" si="1804"/>
        <v>0</v>
      </c>
      <c r="P2864" s="536">
        <f t="shared" si="1805"/>
        <v>62.384375</v>
      </c>
      <c r="Q2864" s="531">
        <f t="shared" si="1806"/>
        <v>32</v>
      </c>
      <c r="R2864" s="537">
        <f t="shared" si="1807"/>
        <v>0.0337552742616034</v>
      </c>
    </row>
    <row r="2865" spans="1:18">
      <c r="A2865" s="524">
        <v>46023</v>
      </c>
      <c r="B2865" s="540" t="s">
        <v>98</v>
      </c>
      <c r="C2865" s="551">
        <v>1489.01</v>
      </c>
      <c r="D2865" s="553">
        <v>14558</v>
      </c>
      <c r="E2865" s="551">
        <v>622</v>
      </c>
      <c r="F2865" s="551">
        <v>1</v>
      </c>
      <c r="G2865" s="551">
        <v>6093.02</v>
      </c>
      <c r="H2865" s="551">
        <v>15</v>
      </c>
      <c r="I2865" s="551">
        <v>4</v>
      </c>
      <c r="J2865" s="551">
        <v>3</v>
      </c>
      <c r="K2865" s="527">
        <f t="shared" ref="K2865:K2869" si="1809">IF(E2865=0,0,E2865/D2865)</f>
        <v>0.0427256491276274</v>
      </c>
      <c r="L2865" s="528">
        <f t="shared" ref="L2865:L2869" si="1810">IF(C2865=0,0,C2865/E2865)</f>
        <v>2.39390675241158</v>
      </c>
      <c r="M2865" s="528">
        <f t="shared" ref="M2865:M2869" si="1811">IF(D2865=0,0,C2865/D2865*1000)</f>
        <v>102.281219947795</v>
      </c>
      <c r="N2865" s="528">
        <f t="shared" ref="N2865:N2869" si="1812">IF(G2865=0,0,G2865/C2865)</f>
        <v>4.09199400944252</v>
      </c>
      <c r="O2865" s="528">
        <f t="shared" ref="O2865:O2869" si="1813">IF(F2865=0,0,F2865/E2865)</f>
        <v>0.00160771704180064</v>
      </c>
      <c r="P2865" s="529">
        <f t="shared" ref="P2865:P2869" si="1814">IF(H2865+I2865=0,0,C2865/(H2865+I2865))</f>
        <v>78.368947368421</v>
      </c>
      <c r="Q2865" s="24">
        <f t="shared" ref="Q2865:Q2869" si="1815">H2865+I2865</f>
        <v>19</v>
      </c>
      <c r="R2865" s="530">
        <f t="shared" ref="R2865:R2869" si="1816">IF(Q2865=0,0,Q2865/E2865)</f>
        <v>0.0305466237942122</v>
      </c>
    </row>
    <row r="2866" spans="1:18">
      <c r="A2866" s="524"/>
      <c r="B2866" s="540" t="s">
        <v>99</v>
      </c>
      <c r="C2866" s="551">
        <v>0</v>
      </c>
      <c r="D2866" s="556">
        <v>0</v>
      </c>
      <c r="E2866" s="551">
        <v>0</v>
      </c>
      <c r="F2866" s="551">
        <v>0</v>
      </c>
      <c r="G2866" s="551">
        <v>0</v>
      </c>
      <c r="H2866" s="555">
        <v>0</v>
      </c>
      <c r="I2866" s="555">
        <v>0</v>
      </c>
      <c r="J2866" s="555">
        <v>0</v>
      </c>
      <c r="K2866" s="527">
        <f t="shared" si="1809"/>
        <v>0</v>
      </c>
      <c r="L2866" s="528">
        <f t="shared" si="1810"/>
        <v>0</v>
      </c>
      <c r="M2866" s="528">
        <f t="shared" si="1811"/>
        <v>0</v>
      </c>
      <c r="N2866" s="528">
        <f t="shared" si="1812"/>
        <v>0</v>
      </c>
      <c r="O2866" s="528">
        <f t="shared" si="1813"/>
        <v>0</v>
      </c>
      <c r="P2866" s="529">
        <f t="shared" si="1814"/>
        <v>0</v>
      </c>
      <c r="Q2866" s="24">
        <f t="shared" si="1815"/>
        <v>0</v>
      </c>
      <c r="R2866" s="530">
        <f t="shared" si="1816"/>
        <v>0</v>
      </c>
    </row>
    <row r="2867" spans="1:18">
      <c r="A2867" s="524"/>
      <c r="B2867" s="540" t="s">
        <v>100</v>
      </c>
      <c r="C2867" s="552">
        <v>0</v>
      </c>
      <c r="D2867" s="553">
        <v>0</v>
      </c>
      <c r="E2867" s="553">
        <v>0</v>
      </c>
      <c r="F2867" s="551">
        <v>0</v>
      </c>
      <c r="G2867" s="551">
        <v>0</v>
      </c>
      <c r="H2867" s="551">
        <v>0</v>
      </c>
      <c r="I2867" s="551">
        <v>0</v>
      </c>
      <c r="J2867" s="551">
        <v>0</v>
      </c>
      <c r="K2867" s="527">
        <f t="shared" si="1809"/>
        <v>0</v>
      </c>
      <c r="L2867" s="528">
        <f t="shared" si="1810"/>
        <v>0</v>
      </c>
      <c r="M2867" s="528">
        <f t="shared" si="1811"/>
        <v>0</v>
      </c>
      <c r="N2867" s="528">
        <f t="shared" si="1812"/>
        <v>0</v>
      </c>
      <c r="O2867" s="528">
        <f t="shared" si="1813"/>
        <v>0</v>
      </c>
      <c r="P2867" s="529">
        <f t="shared" si="1814"/>
        <v>0</v>
      </c>
      <c r="Q2867" s="24">
        <f t="shared" si="1815"/>
        <v>0</v>
      </c>
      <c r="R2867" s="530">
        <f t="shared" si="1816"/>
        <v>0</v>
      </c>
    </row>
    <row r="2868" spans="1:18">
      <c r="A2868" s="524"/>
      <c r="B2868" s="540" t="s">
        <v>101</v>
      </c>
      <c r="C2868" s="552">
        <v>155.88</v>
      </c>
      <c r="D2868" s="553">
        <v>21364</v>
      </c>
      <c r="E2868" s="551">
        <v>165</v>
      </c>
      <c r="F2868" s="551">
        <v>1</v>
      </c>
      <c r="G2868" s="551">
        <v>9336</v>
      </c>
      <c r="H2868" s="551">
        <v>4</v>
      </c>
      <c r="I2868" s="551">
        <v>0</v>
      </c>
      <c r="J2868" s="551">
        <v>0</v>
      </c>
      <c r="K2868" s="527">
        <f t="shared" si="1809"/>
        <v>0.00772327279535667</v>
      </c>
      <c r="L2868" s="528">
        <f t="shared" si="1810"/>
        <v>0.944727272727273</v>
      </c>
      <c r="M2868" s="528">
        <f t="shared" si="1811"/>
        <v>7.29638644448605</v>
      </c>
      <c r="N2868" s="528">
        <f t="shared" si="1812"/>
        <v>59.8922247882987</v>
      </c>
      <c r="O2868" s="528">
        <f t="shared" si="1813"/>
        <v>0.00606060606060606</v>
      </c>
      <c r="P2868" s="529">
        <f t="shared" si="1814"/>
        <v>38.97</v>
      </c>
      <c r="Q2868" s="24">
        <f t="shared" si="1815"/>
        <v>4</v>
      </c>
      <c r="R2868" s="530">
        <f t="shared" si="1816"/>
        <v>0.0242424242424242</v>
      </c>
    </row>
    <row r="2869" spans="1:18">
      <c r="A2869" s="524"/>
      <c r="B2869" s="531" t="s">
        <v>96</v>
      </c>
      <c r="C2869" s="533">
        <f t="shared" ref="C2869:J2869" si="1817">SUM(C2865:C2868)</f>
        <v>1644.89</v>
      </c>
      <c r="D2869" s="533">
        <f t="shared" si="1817"/>
        <v>35922</v>
      </c>
      <c r="E2869" s="533">
        <f t="shared" si="1817"/>
        <v>787</v>
      </c>
      <c r="F2869" s="533">
        <f t="shared" si="1817"/>
        <v>2</v>
      </c>
      <c r="G2869" s="533">
        <f t="shared" si="1817"/>
        <v>15429.02</v>
      </c>
      <c r="H2869" s="533">
        <f t="shared" si="1817"/>
        <v>19</v>
      </c>
      <c r="I2869" s="533">
        <f t="shared" si="1817"/>
        <v>4</v>
      </c>
      <c r="J2869" s="533">
        <f t="shared" si="1817"/>
        <v>3</v>
      </c>
      <c r="K2869" s="534">
        <f t="shared" si="1809"/>
        <v>0.0219085797004621</v>
      </c>
      <c r="L2869" s="535">
        <f t="shared" si="1810"/>
        <v>2.09007623888183</v>
      </c>
      <c r="M2869" s="535">
        <f t="shared" si="1811"/>
        <v>45.7906018595847</v>
      </c>
      <c r="N2869" s="535">
        <f t="shared" si="1812"/>
        <v>9.37997069712868</v>
      </c>
      <c r="O2869" s="535">
        <f t="shared" si="1813"/>
        <v>0.00254129606099111</v>
      </c>
      <c r="P2869" s="536">
        <f t="shared" si="1814"/>
        <v>71.5169565217391</v>
      </c>
      <c r="Q2869" s="531">
        <f t="shared" si="1815"/>
        <v>23</v>
      </c>
      <c r="R2869" s="537">
        <f t="shared" si="1816"/>
        <v>0.0292249047013977</v>
      </c>
    </row>
    <row r="2870" spans="1:18">
      <c r="A2870" s="524">
        <v>46024</v>
      </c>
      <c r="B2870" s="540" t="s">
        <v>98</v>
      </c>
      <c r="C2870" s="551">
        <v>1486.33</v>
      </c>
      <c r="D2870" s="553">
        <v>12974</v>
      </c>
      <c r="E2870" s="551">
        <v>575</v>
      </c>
      <c r="F2870" s="551">
        <v>0</v>
      </c>
      <c r="G2870" s="551">
        <v>0</v>
      </c>
      <c r="H2870" s="551">
        <v>20</v>
      </c>
      <c r="I2870" s="551">
        <v>6</v>
      </c>
      <c r="J2870" s="551">
        <v>7</v>
      </c>
      <c r="K2870" s="527">
        <f t="shared" ref="K2870:K2874" si="1818">IF(E2870=0,0,E2870/D2870)</f>
        <v>0.044319408046863</v>
      </c>
      <c r="L2870" s="528">
        <f t="shared" ref="L2870:L2874" si="1819">IF(C2870=0,0,C2870/E2870)</f>
        <v>2.58492173913043</v>
      </c>
      <c r="M2870" s="528">
        <f t="shared" ref="M2870:M2874" si="1820">IF(D2870=0,0,C2870/D2870*1000)</f>
        <v>114.562201325728</v>
      </c>
      <c r="N2870" s="528">
        <f t="shared" ref="N2870:N2874" si="1821">IF(G2870=0,0,G2870/C2870)</f>
        <v>0</v>
      </c>
      <c r="O2870" s="528">
        <f t="shared" ref="O2870:O2874" si="1822">IF(F2870=0,0,F2870/E2870)</f>
        <v>0</v>
      </c>
      <c r="P2870" s="529">
        <f t="shared" ref="P2870:P2874" si="1823">IF(H2870+I2870=0,0,C2870/(H2870+I2870))</f>
        <v>57.1665384615385</v>
      </c>
      <c r="Q2870" s="24">
        <f t="shared" ref="Q2870:Q2874" si="1824">H2870+I2870</f>
        <v>26</v>
      </c>
      <c r="R2870" s="530">
        <f t="shared" ref="R2870:R2874" si="1825">IF(Q2870=0,0,Q2870/E2870)</f>
        <v>0.0452173913043478</v>
      </c>
    </row>
    <row r="2871" spans="1:18">
      <c r="A2871" s="524"/>
      <c r="B2871" s="540" t="s">
        <v>99</v>
      </c>
      <c r="C2871" s="551">
        <v>0</v>
      </c>
      <c r="D2871" s="556">
        <v>0</v>
      </c>
      <c r="E2871" s="551">
        <v>0</v>
      </c>
      <c r="F2871" s="551">
        <v>0</v>
      </c>
      <c r="G2871" s="551">
        <v>0</v>
      </c>
      <c r="H2871" s="555">
        <v>0</v>
      </c>
      <c r="I2871" s="555">
        <v>0</v>
      </c>
      <c r="J2871" s="555">
        <v>0</v>
      </c>
      <c r="K2871" s="527">
        <f t="shared" si="1818"/>
        <v>0</v>
      </c>
      <c r="L2871" s="528">
        <f t="shared" si="1819"/>
        <v>0</v>
      </c>
      <c r="M2871" s="528">
        <f t="shared" si="1820"/>
        <v>0</v>
      </c>
      <c r="N2871" s="528">
        <f t="shared" si="1821"/>
        <v>0</v>
      </c>
      <c r="O2871" s="528">
        <f t="shared" si="1822"/>
        <v>0</v>
      </c>
      <c r="P2871" s="529">
        <f t="shared" si="1823"/>
        <v>0</v>
      </c>
      <c r="Q2871" s="24">
        <f t="shared" si="1824"/>
        <v>0</v>
      </c>
      <c r="R2871" s="530">
        <f t="shared" si="1825"/>
        <v>0</v>
      </c>
    </row>
    <row r="2872" spans="1:18">
      <c r="A2872" s="524"/>
      <c r="B2872" s="540" t="s">
        <v>100</v>
      </c>
      <c r="C2872" s="552">
        <v>0</v>
      </c>
      <c r="D2872" s="553">
        <v>0</v>
      </c>
      <c r="E2872" s="553">
        <v>0</v>
      </c>
      <c r="F2872" s="551">
        <v>0</v>
      </c>
      <c r="G2872" s="551">
        <v>0</v>
      </c>
      <c r="H2872" s="551">
        <v>0</v>
      </c>
      <c r="I2872" s="551">
        <v>0</v>
      </c>
      <c r="J2872" s="551">
        <v>0</v>
      </c>
      <c r="K2872" s="527">
        <f t="shared" si="1818"/>
        <v>0</v>
      </c>
      <c r="L2872" s="528">
        <f t="shared" si="1819"/>
        <v>0</v>
      </c>
      <c r="M2872" s="528">
        <f t="shared" si="1820"/>
        <v>0</v>
      </c>
      <c r="N2872" s="528">
        <f t="shared" si="1821"/>
        <v>0</v>
      </c>
      <c r="O2872" s="528">
        <f t="shared" si="1822"/>
        <v>0</v>
      </c>
      <c r="P2872" s="529">
        <f t="shared" si="1823"/>
        <v>0</v>
      </c>
      <c r="Q2872" s="24">
        <f t="shared" si="1824"/>
        <v>0</v>
      </c>
      <c r="R2872" s="530">
        <f t="shared" si="1825"/>
        <v>0</v>
      </c>
    </row>
    <row r="2873" spans="1:18">
      <c r="A2873" s="524"/>
      <c r="B2873" s="540" t="s">
        <v>101</v>
      </c>
      <c r="C2873" s="552">
        <v>155.07</v>
      </c>
      <c r="D2873" s="553">
        <v>8581</v>
      </c>
      <c r="E2873" s="551">
        <v>154</v>
      </c>
      <c r="F2873" s="551">
        <v>0</v>
      </c>
      <c r="G2873" s="551">
        <v>0</v>
      </c>
      <c r="H2873" s="551">
        <v>0</v>
      </c>
      <c r="I2873" s="551">
        <v>3</v>
      </c>
      <c r="J2873" s="551">
        <v>0</v>
      </c>
      <c r="K2873" s="527">
        <f t="shared" si="1818"/>
        <v>0.0179466262673348</v>
      </c>
      <c r="L2873" s="528">
        <f t="shared" si="1819"/>
        <v>1.00694805194805</v>
      </c>
      <c r="M2873" s="528">
        <f t="shared" si="1820"/>
        <v>18.0713203589325</v>
      </c>
      <c r="N2873" s="528">
        <f t="shared" si="1821"/>
        <v>0</v>
      </c>
      <c r="O2873" s="528">
        <f t="shared" si="1822"/>
        <v>0</v>
      </c>
      <c r="P2873" s="529">
        <f t="shared" si="1823"/>
        <v>51.69</v>
      </c>
      <c r="Q2873" s="24">
        <f t="shared" si="1824"/>
        <v>3</v>
      </c>
      <c r="R2873" s="530">
        <f t="shared" si="1825"/>
        <v>0.0194805194805195</v>
      </c>
    </row>
    <row r="2874" spans="1:18">
      <c r="A2874" s="524"/>
      <c r="B2874" s="531" t="s">
        <v>96</v>
      </c>
      <c r="C2874" s="533">
        <f t="shared" ref="C2874:J2874" si="1826">SUM(C2870:C2873)</f>
        <v>1641.4</v>
      </c>
      <c r="D2874" s="533">
        <f t="shared" si="1826"/>
        <v>21555</v>
      </c>
      <c r="E2874" s="533">
        <f t="shared" si="1826"/>
        <v>729</v>
      </c>
      <c r="F2874" s="533">
        <f t="shared" si="1826"/>
        <v>0</v>
      </c>
      <c r="G2874" s="533">
        <f t="shared" si="1826"/>
        <v>0</v>
      </c>
      <c r="H2874" s="533">
        <f t="shared" si="1826"/>
        <v>20</v>
      </c>
      <c r="I2874" s="533">
        <f t="shared" si="1826"/>
        <v>9</v>
      </c>
      <c r="J2874" s="533">
        <f t="shared" si="1826"/>
        <v>7</v>
      </c>
      <c r="K2874" s="534">
        <f t="shared" si="1818"/>
        <v>0.0338204592901879</v>
      </c>
      <c r="L2874" s="535">
        <f t="shared" si="1819"/>
        <v>2.25157750342936</v>
      </c>
      <c r="M2874" s="535">
        <f t="shared" si="1820"/>
        <v>76.1493852934354</v>
      </c>
      <c r="N2874" s="535">
        <f t="shared" si="1821"/>
        <v>0</v>
      </c>
      <c r="O2874" s="535">
        <f t="shared" si="1822"/>
        <v>0</v>
      </c>
      <c r="P2874" s="536">
        <f t="shared" si="1823"/>
        <v>56.6</v>
      </c>
      <c r="Q2874" s="531">
        <f t="shared" si="1824"/>
        <v>29</v>
      </c>
      <c r="R2874" s="537">
        <f t="shared" si="1825"/>
        <v>0.0397805212620027</v>
      </c>
    </row>
    <row r="2875" spans="1:18">
      <c r="A2875" s="524">
        <v>46025</v>
      </c>
      <c r="B2875" s="540" t="s">
        <v>98</v>
      </c>
      <c r="C2875" s="551">
        <v>1499.3</v>
      </c>
      <c r="D2875" s="553">
        <v>7779</v>
      </c>
      <c r="E2875" s="551">
        <v>487</v>
      </c>
      <c r="F2875" s="551">
        <v>1</v>
      </c>
      <c r="G2875" s="551">
        <v>9694</v>
      </c>
      <c r="H2875" s="551">
        <v>28</v>
      </c>
      <c r="I2875" s="551">
        <v>2</v>
      </c>
      <c r="J2875" s="551">
        <v>2</v>
      </c>
      <c r="K2875" s="527">
        <f t="shared" ref="K2875:K2938" si="1827">IF(E2875=0,0,E2875/D2875)</f>
        <v>0.0626044478724772</v>
      </c>
      <c r="L2875" s="528">
        <f t="shared" ref="L2875:L2938" si="1828">IF(C2875=0,0,C2875/E2875)</f>
        <v>3.07864476386037</v>
      </c>
      <c r="M2875" s="528">
        <f t="shared" ref="M2875:M2938" si="1829">IF(D2875=0,0,C2875/D2875*1000)</f>
        <v>192.736855636971</v>
      </c>
      <c r="N2875" s="528">
        <f t="shared" ref="N2875:N2938" si="1830">IF(G2875=0,0,G2875/C2875)</f>
        <v>6.46568398586007</v>
      </c>
      <c r="O2875" s="528">
        <f t="shared" ref="O2875:O2938" si="1831">IF(F2875=0,0,F2875/E2875)</f>
        <v>0.00205338809034908</v>
      </c>
      <c r="P2875" s="529">
        <f t="shared" ref="P2875:P2938" si="1832">IF(H2875+I2875=0,0,C2875/(H2875+I2875))</f>
        <v>49.9766666666667</v>
      </c>
      <c r="Q2875" s="24">
        <f t="shared" ref="Q2875:Q2938" si="1833">H2875+I2875</f>
        <v>30</v>
      </c>
      <c r="R2875" s="530">
        <f t="shared" ref="R2875:R2938" si="1834">IF(Q2875=0,0,Q2875/E2875)</f>
        <v>0.0616016427104723</v>
      </c>
    </row>
    <row r="2876" spans="1:18">
      <c r="A2876" s="524"/>
      <c r="B2876" s="540" t="s">
        <v>99</v>
      </c>
      <c r="C2876" s="551">
        <v>0</v>
      </c>
      <c r="D2876" s="556">
        <v>0</v>
      </c>
      <c r="E2876" s="551">
        <v>0</v>
      </c>
      <c r="F2876" s="551">
        <v>0</v>
      </c>
      <c r="G2876" s="551">
        <v>0</v>
      </c>
      <c r="H2876" s="555">
        <v>0</v>
      </c>
      <c r="I2876" s="555">
        <v>0</v>
      </c>
      <c r="J2876" s="555">
        <v>0</v>
      </c>
      <c r="K2876" s="527">
        <f t="shared" si="1827"/>
        <v>0</v>
      </c>
      <c r="L2876" s="528">
        <f t="shared" si="1828"/>
        <v>0</v>
      </c>
      <c r="M2876" s="528">
        <f t="shared" si="1829"/>
        <v>0</v>
      </c>
      <c r="N2876" s="528">
        <f t="shared" si="1830"/>
        <v>0</v>
      </c>
      <c r="O2876" s="528">
        <f t="shared" si="1831"/>
        <v>0</v>
      </c>
      <c r="P2876" s="529">
        <f t="shared" si="1832"/>
        <v>0</v>
      </c>
      <c r="Q2876" s="24">
        <f t="shared" si="1833"/>
        <v>0</v>
      </c>
      <c r="R2876" s="530">
        <f t="shared" si="1834"/>
        <v>0</v>
      </c>
    </row>
    <row r="2877" spans="1:18">
      <c r="A2877" s="524"/>
      <c r="B2877" s="540" t="s">
        <v>100</v>
      </c>
      <c r="C2877" s="552">
        <v>0</v>
      </c>
      <c r="D2877" s="553">
        <v>0</v>
      </c>
      <c r="E2877" s="553">
        <v>0</v>
      </c>
      <c r="F2877" s="551">
        <v>0</v>
      </c>
      <c r="G2877" s="551">
        <v>0</v>
      </c>
      <c r="H2877" s="551">
        <v>0</v>
      </c>
      <c r="I2877" s="551">
        <v>0</v>
      </c>
      <c r="J2877" s="551">
        <v>0</v>
      </c>
      <c r="K2877" s="527">
        <f t="shared" si="1827"/>
        <v>0</v>
      </c>
      <c r="L2877" s="528">
        <f t="shared" si="1828"/>
        <v>0</v>
      </c>
      <c r="M2877" s="528">
        <f t="shared" si="1829"/>
        <v>0</v>
      </c>
      <c r="N2877" s="528">
        <f t="shared" si="1830"/>
        <v>0</v>
      </c>
      <c r="O2877" s="528">
        <f t="shared" si="1831"/>
        <v>0</v>
      </c>
      <c r="P2877" s="529">
        <f t="shared" si="1832"/>
        <v>0</v>
      </c>
      <c r="Q2877" s="24">
        <f t="shared" si="1833"/>
        <v>0</v>
      </c>
      <c r="R2877" s="530">
        <f t="shared" si="1834"/>
        <v>0</v>
      </c>
    </row>
    <row r="2878" spans="1:18">
      <c r="A2878" s="524"/>
      <c r="B2878" s="540" t="s">
        <v>101</v>
      </c>
      <c r="C2878" s="552">
        <v>495.39</v>
      </c>
      <c r="D2878" s="553">
        <v>26496</v>
      </c>
      <c r="E2878" s="551">
        <v>411</v>
      </c>
      <c r="F2878" s="551">
        <v>0</v>
      </c>
      <c r="G2878" s="551">
        <v>0</v>
      </c>
      <c r="H2878" s="551">
        <v>19</v>
      </c>
      <c r="I2878" s="551">
        <v>3</v>
      </c>
      <c r="J2878" s="551">
        <v>0</v>
      </c>
      <c r="K2878" s="527">
        <f t="shared" si="1827"/>
        <v>0.0155117753623188</v>
      </c>
      <c r="L2878" s="528">
        <f t="shared" si="1828"/>
        <v>1.20532846715328</v>
      </c>
      <c r="M2878" s="528">
        <f t="shared" si="1829"/>
        <v>18.6967844202899</v>
      </c>
      <c r="N2878" s="528">
        <f t="shared" si="1830"/>
        <v>0</v>
      </c>
      <c r="O2878" s="528">
        <f t="shared" si="1831"/>
        <v>0</v>
      </c>
      <c r="P2878" s="529">
        <f t="shared" si="1832"/>
        <v>22.5177272727273</v>
      </c>
      <c r="Q2878" s="24">
        <f t="shared" si="1833"/>
        <v>22</v>
      </c>
      <c r="R2878" s="530">
        <f t="shared" si="1834"/>
        <v>0.0535279805352798</v>
      </c>
    </row>
    <row r="2879" spans="1:18">
      <c r="A2879" s="524"/>
      <c r="B2879" s="531" t="s">
        <v>96</v>
      </c>
      <c r="C2879" s="533">
        <f t="shared" ref="C2879:J2879" si="1835">SUM(C2875:C2878)</f>
        <v>1994.69</v>
      </c>
      <c r="D2879" s="533">
        <f t="shared" si="1835"/>
        <v>34275</v>
      </c>
      <c r="E2879" s="533">
        <f t="shared" si="1835"/>
        <v>898</v>
      </c>
      <c r="F2879" s="533">
        <f t="shared" si="1835"/>
        <v>1</v>
      </c>
      <c r="G2879" s="533">
        <f t="shared" si="1835"/>
        <v>9694</v>
      </c>
      <c r="H2879" s="533">
        <f t="shared" si="1835"/>
        <v>47</v>
      </c>
      <c r="I2879" s="533">
        <f t="shared" si="1835"/>
        <v>5</v>
      </c>
      <c r="J2879" s="533">
        <f t="shared" si="1835"/>
        <v>2</v>
      </c>
      <c r="K2879" s="534">
        <f t="shared" si="1827"/>
        <v>0.0261998541210795</v>
      </c>
      <c r="L2879" s="535">
        <f t="shared" si="1828"/>
        <v>2.2212583518931</v>
      </c>
      <c r="M2879" s="535">
        <f t="shared" si="1829"/>
        <v>58.1966447848286</v>
      </c>
      <c r="N2879" s="535">
        <f t="shared" si="1830"/>
        <v>4.85990304257804</v>
      </c>
      <c r="O2879" s="535">
        <f t="shared" si="1831"/>
        <v>0.00111358574610245</v>
      </c>
      <c r="P2879" s="536">
        <f t="shared" si="1832"/>
        <v>38.3594230769231</v>
      </c>
      <c r="Q2879" s="531">
        <f t="shared" si="1833"/>
        <v>52</v>
      </c>
      <c r="R2879" s="537">
        <f t="shared" si="1834"/>
        <v>0.0579064587973274</v>
      </c>
    </row>
    <row r="2880" spans="1:18">
      <c r="A2880" s="524">
        <v>46026</v>
      </c>
      <c r="B2880" s="540" t="s">
        <v>98</v>
      </c>
      <c r="C2880" s="551">
        <v>1499.78</v>
      </c>
      <c r="D2880" s="553">
        <v>9790</v>
      </c>
      <c r="E2880" s="551">
        <v>502</v>
      </c>
      <c r="F2880" s="551">
        <v>0</v>
      </c>
      <c r="G2880" s="551">
        <v>0</v>
      </c>
      <c r="H2880" s="551">
        <v>20</v>
      </c>
      <c r="I2880" s="551">
        <v>6</v>
      </c>
      <c r="J2880" s="551">
        <v>6</v>
      </c>
      <c r="K2880" s="527">
        <f t="shared" si="1827"/>
        <v>0.0512768130745659</v>
      </c>
      <c r="L2880" s="528">
        <f t="shared" si="1828"/>
        <v>2.98760956175299</v>
      </c>
      <c r="M2880" s="528">
        <f t="shared" si="1829"/>
        <v>153.195097037794</v>
      </c>
      <c r="N2880" s="528">
        <f t="shared" si="1830"/>
        <v>0</v>
      </c>
      <c r="O2880" s="528">
        <f t="shared" si="1831"/>
        <v>0</v>
      </c>
      <c r="P2880" s="529">
        <f t="shared" si="1832"/>
        <v>57.6838461538462</v>
      </c>
      <c r="Q2880" s="24">
        <f t="shared" si="1833"/>
        <v>26</v>
      </c>
      <c r="R2880" s="530">
        <f t="shared" si="1834"/>
        <v>0.051792828685259</v>
      </c>
    </row>
    <row r="2881" spans="1:18">
      <c r="A2881" s="524"/>
      <c r="B2881" s="540" t="s">
        <v>99</v>
      </c>
      <c r="C2881" s="551">
        <v>1323.45</v>
      </c>
      <c r="D2881" s="556">
        <v>7666</v>
      </c>
      <c r="E2881" s="551">
        <v>663</v>
      </c>
      <c r="F2881" s="551">
        <v>0</v>
      </c>
      <c r="G2881" s="551">
        <v>0</v>
      </c>
      <c r="H2881" s="555">
        <v>17</v>
      </c>
      <c r="I2881" s="555">
        <v>1</v>
      </c>
      <c r="J2881" s="555">
        <v>3</v>
      </c>
      <c r="K2881" s="527">
        <f t="shared" si="1827"/>
        <v>0.0864857813722932</v>
      </c>
      <c r="L2881" s="528">
        <f t="shared" si="1828"/>
        <v>1.99615384615385</v>
      </c>
      <c r="M2881" s="528">
        <f t="shared" si="1829"/>
        <v>172.638925123924</v>
      </c>
      <c r="N2881" s="528">
        <f t="shared" si="1830"/>
        <v>0</v>
      </c>
      <c r="O2881" s="528">
        <f t="shared" si="1831"/>
        <v>0</v>
      </c>
      <c r="P2881" s="529">
        <f t="shared" si="1832"/>
        <v>73.525</v>
      </c>
      <c r="Q2881" s="24">
        <f t="shared" si="1833"/>
        <v>18</v>
      </c>
      <c r="R2881" s="530">
        <f t="shared" si="1834"/>
        <v>0.0271493212669683</v>
      </c>
    </row>
    <row r="2882" spans="1:18">
      <c r="A2882" s="524"/>
      <c r="B2882" s="540" t="s">
        <v>100</v>
      </c>
      <c r="C2882" s="552">
        <v>0</v>
      </c>
      <c r="D2882" s="553">
        <v>0</v>
      </c>
      <c r="E2882" s="553">
        <v>0</v>
      </c>
      <c r="F2882" s="551">
        <v>0</v>
      </c>
      <c r="G2882" s="551">
        <v>0</v>
      </c>
      <c r="H2882" s="551">
        <v>0</v>
      </c>
      <c r="I2882" s="551">
        <v>0</v>
      </c>
      <c r="J2882" s="551">
        <v>0</v>
      </c>
      <c r="K2882" s="527">
        <f t="shared" si="1827"/>
        <v>0</v>
      </c>
      <c r="L2882" s="528">
        <f t="shared" si="1828"/>
        <v>0</v>
      </c>
      <c r="M2882" s="528">
        <f t="shared" si="1829"/>
        <v>0</v>
      </c>
      <c r="N2882" s="528">
        <f t="shared" si="1830"/>
        <v>0</v>
      </c>
      <c r="O2882" s="528">
        <f t="shared" si="1831"/>
        <v>0</v>
      </c>
      <c r="P2882" s="529">
        <f t="shared" si="1832"/>
        <v>0</v>
      </c>
      <c r="Q2882" s="24">
        <f t="shared" si="1833"/>
        <v>0</v>
      </c>
      <c r="R2882" s="530">
        <f t="shared" si="1834"/>
        <v>0</v>
      </c>
    </row>
    <row r="2883" spans="1:18">
      <c r="A2883" s="524"/>
      <c r="B2883" s="540" t="s">
        <v>101</v>
      </c>
      <c r="C2883" s="552">
        <v>491.06</v>
      </c>
      <c r="D2883" s="553">
        <v>9283</v>
      </c>
      <c r="E2883" s="551">
        <v>330</v>
      </c>
      <c r="F2883" s="551">
        <v>0</v>
      </c>
      <c r="G2883" s="551">
        <v>0</v>
      </c>
      <c r="H2883" s="551">
        <v>5</v>
      </c>
      <c r="I2883" s="551">
        <v>3</v>
      </c>
      <c r="J2883" s="551">
        <v>3</v>
      </c>
      <c r="K2883" s="527">
        <f t="shared" si="1827"/>
        <v>0.0355488527415706</v>
      </c>
      <c r="L2883" s="528">
        <f t="shared" si="1828"/>
        <v>1.48806060606061</v>
      </c>
      <c r="M2883" s="528">
        <f t="shared" si="1829"/>
        <v>52.8988473553808</v>
      </c>
      <c r="N2883" s="528">
        <f t="shared" si="1830"/>
        <v>0</v>
      </c>
      <c r="O2883" s="528">
        <f t="shared" si="1831"/>
        <v>0</v>
      </c>
      <c r="P2883" s="529">
        <f t="shared" si="1832"/>
        <v>61.3825</v>
      </c>
      <c r="Q2883" s="24">
        <f t="shared" si="1833"/>
        <v>8</v>
      </c>
      <c r="R2883" s="530">
        <f t="shared" si="1834"/>
        <v>0.0242424242424242</v>
      </c>
    </row>
    <row r="2884" spans="1:18">
      <c r="A2884" s="524"/>
      <c r="B2884" s="531" t="s">
        <v>96</v>
      </c>
      <c r="C2884" s="533">
        <f t="shared" ref="C2884:J2884" si="1836">SUM(C2880:C2883)</f>
        <v>3314.29</v>
      </c>
      <c r="D2884" s="533">
        <f t="shared" si="1836"/>
        <v>26739</v>
      </c>
      <c r="E2884" s="533">
        <f t="shared" si="1836"/>
        <v>1495</v>
      </c>
      <c r="F2884" s="533">
        <f t="shared" si="1836"/>
        <v>0</v>
      </c>
      <c r="G2884" s="533">
        <f t="shared" si="1836"/>
        <v>0</v>
      </c>
      <c r="H2884" s="533">
        <f t="shared" si="1836"/>
        <v>42</v>
      </c>
      <c r="I2884" s="533">
        <f t="shared" si="1836"/>
        <v>10</v>
      </c>
      <c r="J2884" s="533">
        <f t="shared" si="1836"/>
        <v>12</v>
      </c>
      <c r="K2884" s="534">
        <f t="shared" si="1827"/>
        <v>0.0559108418415049</v>
      </c>
      <c r="L2884" s="535">
        <f t="shared" si="1828"/>
        <v>2.21691638795987</v>
      </c>
      <c r="M2884" s="535">
        <f t="shared" si="1829"/>
        <v>123.949661543064</v>
      </c>
      <c r="N2884" s="535">
        <f t="shared" si="1830"/>
        <v>0</v>
      </c>
      <c r="O2884" s="535">
        <f t="shared" si="1831"/>
        <v>0</v>
      </c>
      <c r="P2884" s="536">
        <f t="shared" si="1832"/>
        <v>63.7363461538462</v>
      </c>
      <c r="Q2884" s="531">
        <f t="shared" si="1833"/>
        <v>52</v>
      </c>
      <c r="R2884" s="537">
        <f t="shared" si="1834"/>
        <v>0.0347826086956522</v>
      </c>
    </row>
    <row r="2885" spans="1:18">
      <c r="A2885" s="524">
        <v>46027</v>
      </c>
      <c r="B2885" s="540" t="s">
        <v>98</v>
      </c>
      <c r="C2885" s="551">
        <v>1499.37</v>
      </c>
      <c r="D2885" s="553">
        <v>6355</v>
      </c>
      <c r="E2885" s="551">
        <v>436</v>
      </c>
      <c r="F2885" s="551">
        <v>3</v>
      </c>
      <c r="G2885" s="551">
        <v>34346</v>
      </c>
      <c r="H2885" s="551">
        <v>20</v>
      </c>
      <c r="I2885" s="551">
        <v>0</v>
      </c>
      <c r="J2885" s="551">
        <v>2</v>
      </c>
      <c r="K2885" s="527">
        <f t="shared" si="1827"/>
        <v>0.0686073957513769</v>
      </c>
      <c r="L2885" s="528">
        <f t="shared" si="1828"/>
        <v>3.43892201834862</v>
      </c>
      <c r="M2885" s="528">
        <f t="shared" si="1829"/>
        <v>235.935483870968</v>
      </c>
      <c r="N2885" s="528">
        <f t="shared" si="1830"/>
        <v>22.9069542541201</v>
      </c>
      <c r="O2885" s="528">
        <f t="shared" si="1831"/>
        <v>0.00688073394495413</v>
      </c>
      <c r="P2885" s="529">
        <f t="shared" si="1832"/>
        <v>74.9685</v>
      </c>
      <c r="Q2885" s="24">
        <f t="shared" si="1833"/>
        <v>20</v>
      </c>
      <c r="R2885" s="530">
        <f t="shared" si="1834"/>
        <v>0.0458715596330275</v>
      </c>
    </row>
    <row r="2886" spans="1:18">
      <c r="A2886" s="524"/>
      <c r="B2886" s="540" t="s">
        <v>99</v>
      </c>
      <c r="C2886" s="551">
        <v>0</v>
      </c>
      <c r="D2886" s="556">
        <v>0</v>
      </c>
      <c r="E2886" s="551">
        <v>0</v>
      </c>
      <c r="F2886" s="551">
        <v>0</v>
      </c>
      <c r="G2886" s="551">
        <v>0</v>
      </c>
      <c r="H2886" s="555">
        <v>0</v>
      </c>
      <c r="I2886" s="555">
        <v>0</v>
      </c>
      <c r="J2886" s="555">
        <v>0</v>
      </c>
      <c r="K2886" s="527">
        <f t="shared" si="1827"/>
        <v>0</v>
      </c>
      <c r="L2886" s="528">
        <f t="shared" si="1828"/>
        <v>0</v>
      </c>
      <c r="M2886" s="528">
        <f t="shared" si="1829"/>
        <v>0</v>
      </c>
      <c r="N2886" s="528">
        <f t="shared" si="1830"/>
        <v>0</v>
      </c>
      <c r="O2886" s="528">
        <f t="shared" si="1831"/>
        <v>0</v>
      </c>
      <c r="P2886" s="529">
        <f t="shared" si="1832"/>
        <v>0</v>
      </c>
      <c r="Q2886" s="24">
        <f t="shared" si="1833"/>
        <v>0</v>
      </c>
      <c r="R2886" s="530">
        <f t="shared" si="1834"/>
        <v>0</v>
      </c>
    </row>
    <row r="2887" spans="1:18">
      <c r="A2887" s="524"/>
      <c r="B2887" s="540" t="s">
        <v>100</v>
      </c>
      <c r="C2887" s="552">
        <v>0</v>
      </c>
      <c r="D2887" s="553">
        <v>0</v>
      </c>
      <c r="E2887" s="553">
        <v>0</v>
      </c>
      <c r="F2887" s="551">
        <v>0</v>
      </c>
      <c r="G2887" s="551">
        <v>0</v>
      </c>
      <c r="H2887" s="551">
        <v>0</v>
      </c>
      <c r="I2887" s="551">
        <v>0</v>
      </c>
      <c r="J2887" s="551">
        <v>0</v>
      </c>
      <c r="K2887" s="527">
        <f t="shared" si="1827"/>
        <v>0</v>
      </c>
      <c r="L2887" s="528">
        <f t="shared" si="1828"/>
        <v>0</v>
      </c>
      <c r="M2887" s="528">
        <f t="shared" si="1829"/>
        <v>0</v>
      </c>
      <c r="N2887" s="528">
        <f t="shared" si="1830"/>
        <v>0</v>
      </c>
      <c r="O2887" s="528">
        <f t="shared" si="1831"/>
        <v>0</v>
      </c>
      <c r="P2887" s="529">
        <f t="shared" si="1832"/>
        <v>0</v>
      </c>
      <c r="Q2887" s="24">
        <f t="shared" si="1833"/>
        <v>0</v>
      </c>
      <c r="R2887" s="530">
        <f t="shared" si="1834"/>
        <v>0</v>
      </c>
    </row>
    <row r="2888" spans="1:18">
      <c r="A2888" s="524"/>
      <c r="B2888" s="540" t="s">
        <v>101</v>
      </c>
      <c r="C2888" s="552">
        <v>498.81</v>
      </c>
      <c r="D2888" s="553">
        <v>8253</v>
      </c>
      <c r="E2888" s="551">
        <v>220</v>
      </c>
      <c r="F2888" s="551">
        <v>0</v>
      </c>
      <c r="G2888" s="551">
        <v>0</v>
      </c>
      <c r="H2888" s="551">
        <v>4</v>
      </c>
      <c r="I2888" s="551">
        <v>1</v>
      </c>
      <c r="J2888" s="551">
        <v>3</v>
      </c>
      <c r="K2888" s="527">
        <f t="shared" si="1827"/>
        <v>0.0266569732218587</v>
      </c>
      <c r="L2888" s="528">
        <f t="shared" si="1828"/>
        <v>2.26731818181818</v>
      </c>
      <c r="M2888" s="528">
        <f t="shared" si="1829"/>
        <v>60.4398400581607</v>
      </c>
      <c r="N2888" s="528">
        <f t="shared" si="1830"/>
        <v>0</v>
      </c>
      <c r="O2888" s="528">
        <f t="shared" si="1831"/>
        <v>0</v>
      </c>
      <c r="P2888" s="529">
        <f t="shared" si="1832"/>
        <v>99.762</v>
      </c>
      <c r="Q2888" s="24">
        <f t="shared" si="1833"/>
        <v>5</v>
      </c>
      <c r="R2888" s="530">
        <f t="shared" si="1834"/>
        <v>0.0227272727272727</v>
      </c>
    </row>
    <row r="2889" spans="1:18">
      <c r="A2889" s="524"/>
      <c r="B2889" s="531" t="s">
        <v>96</v>
      </c>
      <c r="C2889" s="533">
        <f t="shared" ref="C2889:J2889" si="1837">SUM(C2885:C2888)</f>
        <v>1998.18</v>
      </c>
      <c r="D2889" s="533">
        <f t="shared" si="1837"/>
        <v>14608</v>
      </c>
      <c r="E2889" s="533">
        <f t="shared" si="1837"/>
        <v>656</v>
      </c>
      <c r="F2889" s="533">
        <f t="shared" si="1837"/>
        <v>3</v>
      </c>
      <c r="G2889" s="533">
        <f t="shared" si="1837"/>
        <v>34346</v>
      </c>
      <c r="H2889" s="533">
        <f t="shared" si="1837"/>
        <v>24</v>
      </c>
      <c r="I2889" s="533">
        <f t="shared" si="1837"/>
        <v>1</v>
      </c>
      <c r="J2889" s="533">
        <f t="shared" si="1837"/>
        <v>5</v>
      </c>
      <c r="K2889" s="534">
        <f t="shared" si="1827"/>
        <v>0.0449069003285871</v>
      </c>
      <c r="L2889" s="535">
        <f t="shared" si="1828"/>
        <v>3.04600609756098</v>
      </c>
      <c r="M2889" s="535">
        <f t="shared" si="1829"/>
        <v>136.786692223439</v>
      </c>
      <c r="N2889" s="535">
        <f t="shared" si="1830"/>
        <v>17.1886416639142</v>
      </c>
      <c r="O2889" s="535">
        <f t="shared" si="1831"/>
        <v>0.00457317073170732</v>
      </c>
      <c r="P2889" s="536">
        <f t="shared" si="1832"/>
        <v>79.9272</v>
      </c>
      <c r="Q2889" s="531">
        <f t="shared" si="1833"/>
        <v>25</v>
      </c>
      <c r="R2889" s="537">
        <f t="shared" si="1834"/>
        <v>0.038109756097561</v>
      </c>
    </row>
    <row r="2890" spans="1:18">
      <c r="A2890" s="524">
        <v>46028</v>
      </c>
      <c r="B2890" s="540" t="s">
        <v>98</v>
      </c>
      <c r="C2890" s="551">
        <v>1590.97</v>
      </c>
      <c r="D2890" s="553">
        <v>14521</v>
      </c>
      <c r="E2890" s="551">
        <v>591</v>
      </c>
      <c r="F2890" s="551">
        <v>0</v>
      </c>
      <c r="G2890" s="551">
        <v>0</v>
      </c>
      <c r="H2890" s="551">
        <v>23</v>
      </c>
      <c r="I2890" s="551">
        <v>6</v>
      </c>
      <c r="J2890" s="551">
        <v>1</v>
      </c>
      <c r="K2890" s="527">
        <f t="shared" si="1827"/>
        <v>0.0406996763308312</v>
      </c>
      <c r="L2890" s="528">
        <f t="shared" si="1828"/>
        <v>2.69199661590525</v>
      </c>
      <c r="M2890" s="528">
        <f t="shared" si="1829"/>
        <v>109.563390951036</v>
      </c>
      <c r="N2890" s="528">
        <f t="shared" si="1830"/>
        <v>0</v>
      </c>
      <c r="O2890" s="528">
        <f t="shared" si="1831"/>
        <v>0</v>
      </c>
      <c r="P2890" s="529">
        <f t="shared" si="1832"/>
        <v>54.8610344827586</v>
      </c>
      <c r="Q2890" s="24">
        <f t="shared" si="1833"/>
        <v>29</v>
      </c>
      <c r="R2890" s="530">
        <f t="shared" si="1834"/>
        <v>0.0490693739424704</v>
      </c>
    </row>
    <row r="2891" spans="1:18">
      <c r="A2891" s="524"/>
      <c r="B2891" s="540" t="s">
        <v>99</v>
      </c>
      <c r="C2891" s="551">
        <v>476.57</v>
      </c>
      <c r="D2891" s="556">
        <v>4225</v>
      </c>
      <c r="E2891" s="551">
        <v>251</v>
      </c>
      <c r="F2891" s="551">
        <v>0</v>
      </c>
      <c r="G2891" s="551">
        <v>0</v>
      </c>
      <c r="H2891" s="555">
        <v>9</v>
      </c>
      <c r="I2891" s="555">
        <v>1</v>
      </c>
      <c r="J2891" s="555">
        <v>0</v>
      </c>
      <c r="K2891" s="527">
        <f t="shared" si="1827"/>
        <v>0.0594082840236686</v>
      </c>
      <c r="L2891" s="528">
        <f t="shared" si="1828"/>
        <v>1.89868525896414</v>
      </c>
      <c r="M2891" s="528">
        <f t="shared" si="1829"/>
        <v>112.797633136095</v>
      </c>
      <c r="N2891" s="528">
        <f t="shared" si="1830"/>
        <v>0</v>
      </c>
      <c r="O2891" s="528">
        <f t="shared" si="1831"/>
        <v>0</v>
      </c>
      <c r="P2891" s="529">
        <f t="shared" si="1832"/>
        <v>47.657</v>
      </c>
      <c r="Q2891" s="24">
        <f t="shared" si="1833"/>
        <v>10</v>
      </c>
      <c r="R2891" s="530">
        <f t="shared" si="1834"/>
        <v>0.0398406374501992</v>
      </c>
    </row>
    <row r="2892" spans="1:18">
      <c r="A2892" s="524"/>
      <c r="B2892" s="540" t="s">
        <v>100</v>
      </c>
      <c r="C2892" s="552">
        <v>0</v>
      </c>
      <c r="D2892" s="553">
        <v>0</v>
      </c>
      <c r="E2892" s="553">
        <v>0</v>
      </c>
      <c r="F2892" s="551">
        <v>0</v>
      </c>
      <c r="G2892" s="551">
        <v>0</v>
      </c>
      <c r="H2892" s="551">
        <v>0</v>
      </c>
      <c r="I2892" s="551">
        <v>0</v>
      </c>
      <c r="J2892" s="551">
        <v>0</v>
      </c>
      <c r="K2892" s="527">
        <f t="shared" si="1827"/>
        <v>0</v>
      </c>
      <c r="L2892" s="528">
        <f t="shared" si="1828"/>
        <v>0</v>
      </c>
      <c r="M2892" s="528">
        <f t="shared" si="1829"/>
        <v>0</v>
      </c>
      <c r="N2892" s="528">
        <f t="shared" si="1830"/>
        <v>0</v>
      </c>
      <c r="O2892" s="528">
        <f t="shared" si="1831"/>
        <v>0</v>
      </c>
      <c r="P2892" s="529">
        <f t="shared" si="1832"/>
        <v>0</v>
      </c>
      <c r="Q2892" s="24">
        <f t="shared" si="1833"/>
        <v>0</v>
      </c>
      <c r="R2892" s="530">
        <f t="shared" si="1834"/>
        <v>0</v>
      </c>
    </row>
    <row r="2893" spans="1:18">
      <c r="A2893" s="524"/>
      <c r="B2893" s="540" t="s">
        <v>101</v>
      </c>
      <c r="C2893" s="552">
        <v>498.48</v>
      </c>
      <c r="D2893" s="553">
        <v>19544</v>
      </c>
      <c r="E2893" s="551">
        <v>463</v>
      </c>
      <c r="F2893" s="551">
        <v>0</v>
      </c>
      <c r="G2893" s="551">
        <v>0</v>
      </c>
      <c r="H2893" s="551">
        <v>20</v>
      </c>
      <c r="I2893" s="551">
        <v>2</v>
      </c>
      <c r="J2893" s="551">
        <v>0</v>
      </c>
      <c r="K2893" s="527">
        <f t="shared" si="1827"/>
        <v>0.0236901350798199</v>
      </c>
      <c r="L2893" s="528">
        <f t="shared" si="1828"/>
        <v>1.07663066954644</v>
      </c>
      <c r="M2893" s="528">
        <f t="shared" si="1829"/>
        <v>25.505525992632</v>
      </c>
      <c r="N2893" s="528">
        <f t="shared" si="1830"/>
        <v>0</v>
      </c>
      <c r="O2893" s="528">
        <f t="shared" si="1831"/>
        <v>0</v>
      </c>
      <c r="P2893" s="529">
        <f t="shared" si="1832"/>
        <v>22.6581818181818</v>
      </c>
      <c r="Q2893" s="24">
        <f t="shared" si="1833"/>
        <v>22</v>
      </c>
      <c r="R2893" s="530">
        <f t="shared" si="1834"/>
        <v>0.0475161987041037</v>
      </c>
    </row>
    <row r="2894" spans="1:18">
      <c r="A2894" s="524"/>
      <c r="B2894" s="531" t="s">
        <v>96</v>
      </c>
      <c r="C2894" s="533">
        <f t="shared" ref="C2894:J2894" si="1838">SUM(C2890:C2893)</f>
        <v>2566.02</v>
      </c>
      <c r="D2894" s="533">
        <f t="shared" si="1838"/>
        <v>38290</v>
      </c>
      <c r="E2894" s="533">
        <f t="shared" si="1838"/>
        <v>1305</v>
      </c>
      <c r="F2894" s="533">
        <f t="shared" si="1838"/>
        <v>0</v>
      </c>
      <c r="G2894" s="533">
        <f t="shared" si="1838"/>
        <v>0</v>
      </c>
      <c r="H2894" s="533">
        <f t="shared" si="1838"/>
        <v>52</v>
      </c>
      <c r="I2894" s="533">
        <f t="shared" si="1838"/>
        <v>9</v>
      </c>
      <c r="J2894" s="533">
        <f t="shared" si="1838"/>
        <v>1</v>
      </c>
      <c r="K2894" s="534">
        <f t="shared" si="1827"/>
        <v>0.0340820057456255</v>
      </c>
      <c r="L2894" s="535">
        <f t="shared" si="1828"/>
        <v>1.96629885057471</v>
      </c>
      <c r="M2894" s="535">
        <f t="shared" si="1829"/>
        <v>67.0154087229042</v>
      </c>
      <c r="N2894" s="535">
        <f t="shared" si="1830"/>
        <v>0</v>
      </c>
      <c r="O2894" s="535">
        <f t="shared" si="1831"/>
        <v>0</v>
      </c>
      <c r="P2894" s="536">
        <f t="shared" si="1832"/>
        <v>42.0659016393443</v>
      </c>
      <c r="Q2894" s="531">
        <f t="shared" si="1833"/>
        <v>61</v>
      </c>
      <c r="R2894" s="537">
        <f t="shared" si="1834"/>
        <v>0.0467432950191571</v>
      </c>
    </row>
    <row r="2895" spans="1:18">
      <c r="A2895" s="524">
        <v>46029</v>
      </c>
      <c r="B2895" s="540" t="s">
        <v>98</v>
      </c>
      <c r="C2895" s="551">
        <v>1491.16</v>
      </c>
      <c r="D2895" s="553">
        <v>13985</v>
      </c>
      <c r="E2895" s="551">
        <v>572</v>
      </c>
      <c r="F2895" s="551">
        <v>0</v>
      </c>
      <c r="G2895" s="551">
        <v>0</v>
      </c>
      <c r="H2895" s="551">
        <v>17</v>
      </c>
      <c r="I2895" s="551">
        <v>5</v>
      </c>
      <c r="J2895" s="551">
        <v>1</v>
      </c>
      <c r="K2895" s="527">
        <f t="shared" si="1827"/>
        <v>0.0409009653199857</v>
      </c>
      <c r="L2895" s="528">
        <f t="shared" si="1828"/>
        <v>2.60692307692308</v>
      </c>
      <c r="M2895" s="528">
        <f t="shared" si="1829"/>
        <v>106.625670361101</v>
      </c>
      <c r="N2895" s="528">
        <f t="shared" si="1830"/>
        <v>0</v>
      </c>
      <c r="O2895" s="528">
        <f t="shared" si="1831"/>
        <v>0</v>
      </c>
      <c r="P2895" s="529">
        <f t="shared" si="1832"/>
        <v>67.78</v>
      </c>
      <c r="Q2895" s="24">
        <f t="shared" si="1833"/>
        <v>22</v>
      </c>
      <c r="R2895" s="530">
        <f t="shared" si="1834"/>
        <v>0.0384615384615385</v>
      </c>
    </row>
    <row r="2896" spans="1:18">
      <c r="A2896" s="524"/>
      <c r="B2896" s="540" t="s">
        <v>99</v>
      </c>
      <c r="C2896" s="551">
        <v>500</v>
      </c>
      <c r="D2896" s="556">
        <v>3831</v>
      </c>
      <c r="E2896" s="551">
        <v>304</v>
      </c>
      <c r="F2896" s="551">
        <v>0</v>
      </c>
      <c r="G2896" s="551">
        <v>0</v>
      </c>
      <c r="H2896" s="555">
        <v>4</v>
      </c>
      <c r="I2896" s="555">
        <v>2</v>
      </c>
      <c r="J2896" s="555">
        <v>1</v>
      </c>
      <c r="K2896" s="527">
        <f t="shared" si="1827"/>
        <v>0.0793526494387888</v>
      </c>
      <c r="L2896" s="528">
        <f t="shared" si="1828"/>
        <v>1.64473684210526</v>
      </c>
      <c r="M2896" s="528">
        <f t="shared" si="1829"/>
        <v>130.51422605064</v>
      </c>
      <c r="N2896" s="528">
        <f t="shared" si="1830"/>
        <v>0</v>
      </c>
      <c r="O2896" s="528">
        <f t="shared" si="1831"/>
        <v>0</v>
      </c>
      <c r="P2896" s="529">
        <f t="shared" si="1832"/>
        <v>83.3333333333333</v>
      </c>
      <c r="Q2896" s="24">
        <f t="shared" si="1833"/>
        <v>6</v>
      </c>
      <c r="R2896" s="530">
        <f t="shared" si="1834"/>
        <v>0.0197368421052632</v>
      </c>
    </row>
    <row r="2897" spans="1:18">
      <c r="A2897" s="524"/>
      <c r="B2897" s="540" t="s">
        <v>100</v>
      </c>
      <c r="C2897" s="552">
        <v>0</v>
      </c>
      <c r="D2897" s="553">
        <v>0</v>
      </c>
      <c r="E2897" s="553">
        <v>0</v>
      </c>
      <c r="F2897" s="551">
        <v>0</v>
      </c>
      <c r="G2897" s="551">
        <v>0</v>
      </c>
      <c r="H2897" s="551">
        <v>0</v>
      </c>
      <c r="I2897" s="551">
        <v>0</v>
      </c>
      <c r="J2897" s="551">
        <v>0</v>
      </c>
      <c r="K2897" s="527">
        <f t="shared" si="1827"/>
        <v>0</v>
      </c>
      <c r="L2897" s="528">
        <f t="shared" si="1828"/>
        <v>0</v>
      </c>
      <c r="M2897" s="528">
        <f t="shared" si="1829"/>
        <v>0</v>
      </c>
      <c r="N2897" s="528">
        <f t="shared" si="1830"/>
        <v>0</v>
      </c>
      <c r="O2897" s="528">
        <f t="shared" si="1831"/>
        <v>0</v>
      </c>
      <c r="P2897" s="529">
        <f t="shared" si="1832"/>
        <v>0</v>
      </c>
      <c r="Q2897" s="24">
        <f t="shared" si="1833"/>
        <v>0</v>
      </c>
      <c r="R2897" s="530">
        <f t="shared" si="1834"/>
        <v>0</v>
      </c>
    </row>
    <row r="2898" spans="1:18">
      <c r="A2898" s="524"/>
      <c r="B2898" s="540" t="s">
        <v>101</v>
      </c>
      <c r="C2898" s="552">
        <v>495.63</v>
      </c>
      <c r="D2898" s="553">
        <v>31694</v>
      </c>
      <c r="E2898" s="551">
        <v>586</v>
      </c>
      <c r="F2898" s="551">
        <v>1</v>
      </c>
      <c r="G2898" s="551">
        <v>10352</v>
      </c>
      <c r="H2898" s="551">
        <v>11</v>
      </c>
      <c r="I2898" s="551">
        <v>1</v>
      </c>
      <c r="J2898" s="551">
        <v>1</v>
      </c>
      <c r="K2898" s="527">
        <f t="shared" si="1827"/>
        <v>0.0184893039692055</v>
      </c>
      <c r="L2898" s="528">
        <f t="shared" si="1828"/>
        <v>0.845784982935154</v>
      </c>
      <c r="M2898" s="528">
        <f t="shared" si="1829"/>
        <v>15.6379756420774</v>
      </c>
      <c r="N2898" s="528">
        <f t="shared" si="1830"/>
        <v>20.8865484333071</v>
      </c>
      <c r="O2898" s="528">
        <f t="shared" si="1831"/>
        <v>0.00170648464163823</v>
      </c>
      <c r="P2898" s="529">
        <f t="shared" si="1832"/>
        <v>41.3025</v>
      </c>
      <c r="Q2898" s="24">
        <f t="shared" si="1833"/>
        <v>12</v>
      </c>
      <c r="R2898" s="530">
        <f t="shared" si="1834"/>
        <v>0.0204778156996587</v>
      </c>
    </row>
    <row r="2899" spans="1:18">
      <c r="A2899" s="524"/>
      <c r="B2899" s="531" t="s">
        <v>96</v>
      </c>
      <c r="C2899" s="533">
        <f t="shared" ref="C2899:J2899" si="1839">SUM(C2895:C2898)</f>
        <v>2486.79</v>
      </c>
      <c r="D2899" s="533">
        <f t="shared" si="1839"/>
        <v>49510</v>
      </c>
      <c r="E2899" s="533">
        <f t="shared" si="1839"/>
        <v>1462</v>
      </c>
      <c r="F2899" s="533">
        <f t="shared" si="1839"/>
        <v>1</v>
      </c>
      <c r="G2899" s="533">
        <f t="shared" si="1839"/>
        <v>10352</v>
      </c>
      <c r="H2899" s="533">
        <f t="shared" si="1839"/>
        <v>32</v>
      </c>
      <c r="I2899" s="533">
        <f t="shared" si="1839"/>
        <v>8</v>
      </c>
      <c r="J2899" s="533">
        <f t="shared" si="1839"/>
        <v>3</v>
      </c>
      <c r="K2899" s="534">
        <f t="shared" si="1827"/>
        <v>0.0295293880024238</v>
      </c>
      <c r="L2899" s="535">
        <f t="shared" si="1828"/>
        <v>1.70095075239398</v>
      </c>
      <c r="M2899" s="535">
        <f t="shared" si="1829"/>
        <v>50.2280347404565</v>
      </c>
      <c r="N2899" s="535">
        <f t="shared" si="1830"/>
        <v>4.16279621520112</v>
      </c>
      <c r="O2899" s="535">
        <f t="shared" si="1831"/>
        <v>0.000683994528043776</v>
      </c>
      <c r="P2899" s="536">
        <f t="shared" si="1832"/>
        <v>62.16975</v>
      </c>
      <c r="Q2899" s="531">
        <f t="shared" si="1833"/>
        <v>40</v>
      </c>
      <c r="R2899" s="537">
        <f t="shared" si="1834"/>
        <v>0.027359781121751</v>
      </c>
    </row>
    <row r="2900" spans="1:18">
      <c r="A2900" s="524">
        <v>46030</v>
      </c>
      <c r="B2900" s="540" t="s">
        <v>98</v>
      </c>
      <c r="C2900" s="551">
        <v>1496.73</v>
      </c>
      <c r="D2900" s="553">
        <v>13751</v>
      </c>
      <c r="E2900" s="551">
        <v>554</v>
      </c>
      <c r="F2900" s="551">
        <v>0</v>
      </c>
      <c r="G2900" s="551">
        <v>0</v>
      </c>
      <c r="H2900" s="551">
        <v>23</v>
      </c>
      <c r="I2900" s="551">
        <v>2</v>
      </c>
      <c r="J2900" s="551">
        <v>0</v>
      </c>
      <c r="K2900" s="527">
        <f t="shared" si="1827"/>
        <v>0.0402879790560687</v>
      </c>
      <c r="L2900" s="528">
        <f t="shared" si="1828"/>
        <v>2.70167870036101</v>
      </c>
      <c r="M2900" s="528">
        <f t="shared" si="1829"/>
        <v>108.845174896371</v>
      </c>
      <c r="N2900" s="528">
        <f t="shared" si="1830"/>
        <v>0</v>
      </c>
      <c r="O2900" s="528">
        <f t="shared" si="1831"/>
        <v>0</v>
      </c>
      <c r="P2900" s="529">
        <f t="shared" si="1832"/>
        <v>59.8692</v>
      </c>
      <c r="Q2900" s="24">
        <f t="shared" si="1833"/>
        <v>25</v>
      </c>
      <c r="R2900" s="530">
        <f t="shared" si="1834"/>
        <v>0.0451263537906137</v>
      </c>
    </row>
    <row r="2901" spans="1:18">
      <c r="A2901" s="524"/>
      <c r="B2901" s="540" t="s">
        <v>99</v>
      </c>
      <c r="C2901" s="551">
        <v>496.55</v>
      </c>
      <c r="D2901" s="556">
        <v>2123</v>
      </c>
      <c r="E2901" s="551">
        <v>191</v>
      </c>
      <c r="F2901" s="551">
        <v>0</v>
      </c>
      <c r="G2901" s="551">
        <v>0</v>
      </c>
      <c r="H2901" s="555">
        <v>3</v>
      </c>
      <c r="I2901" s="555">
        <v>0</v>
      </c>
      <c r="J2901" s="555">
        <v>0</v>
      </c>
      <c r="K2901" s="527">
        <f t="shared" si="1827"/>
        <v>0.089967027790862</v>
      </c>
      <c r="L2901" s="528">
        <f t="shared" si="1828"/>
        <v>2.59973821989529</v>
      </c>
      <c r="M2901" s="528">
        <f t="shared" si="1829"/>
        <v>233.890720678285</v>
      </c>
      <c r="N2901" s="528">
        <f t="shared" si="1830"/>
        <v>0</v>
      </c>
      <c r="O2901" s="528">
        <f t="shared" si="1831"/>
        <v>0</v>
      </c>
      <c r="P2901" s="529">
        <f t="shared" si="1832"/>
        <v>165.516666666667</v>
      </c>
      <c r="Q2901" s="24">
        <f t="shared" si="1833"/>
        <v>3</v>
      </c>
      <c r="R2901" s="530">
        <f t="shared" si="1834"/>
        <v>0.0157068062827225</v>
      </c>
    </row>
    <row r="2902" spans="1:18">
      <c r="A2902" s="524"/>
      <c r="B2902" s="540" t="s">
        <v>100</v>
      </c>
      <c r="C2902" s="552">
        <v>0</v>
      </c>
      <c r="D2902" s="553">
        <v>0</v>
      </c>
      <c r="E2902" s="553">
        <v>0</v>
      </c>
      <c r="F2902" s="551">
        <v>0</v>
      </c>
      <c r="G2902" s="551">
        <v>0</v>
      </c>
      <c r="H2902" s="551">
        <v>0</v>
      </c>
      <c r="I2902" s="551">
        <v>0</v>
      </c>
      <c r="J2902" s="551">
        <v>0</v>
      </c>
      <c r="K2902" s="527">
        <f t="shared" si="1827"/>
        <v>0</v>
      </c>
      <c r="L2902" s="528">
        <f t="shared" si="1828"/>
        <v>0</v>
      </c>
      <c r="M2902" s="528">
        <f t="shared" si="1829"/>
        <v>0</v>
      </c>
      <c r="N2902" s="528">
        <f t="shared" si="1830"/>
        <v>0</v>
      </c>
      <c r="O2902" s="528">
        <f t="shared" si="1831"/>
        <v>0</v>
      </c>
      <c r="P2902" s="529">
        <f t="shared" si="1832"/>
        <v>0</v>
      </c>
      <c r="Q2902" s="24">
        <f t="shared" si="1833"/>
        <v>0</v>
      </c>
      <c r="R2902" s="530">
        <f t="shared" si="1834"/>
        <v>0</v>
      </c>
    </row>
    <row r="2903" spans="1:18">
      <c r="A2903" s="524"/>
      <c r="B2903" s="540" t="s">
        <v>101</v>
      </c>
      <c r="C2903" s="552">
        <v>493.64</v>
      </c>
      <c r="D2903" s="553">
        <v>41613</v>
      </c>
      <c r="E2903" s="551">
        <v>647</v>
      </c>
      <c r="F2903" s="551">
        <v>0</v>
      </c>
      <c r="G2903" s="551">
        <v>0</v>
      </c>
      <c r="H2903" s="551">
        <v>8</v>
      </c>
      <c r="I2903" s="551">
        <v>4</v>
      </c>
      <c r="J2903" s="551">
        <v>0</v>
      </c>
      <c r="K2903" s="527">
        <f t="shared" si="1827"/>
        <v>0.0155480258573042</v>
      </c>
      <c r="L2903" s="528">
        <f t="shared" si="1828"/>
        <v>0.762967542503864</v>
      </c>
      <c r="M2903" s="528">
        <f t="shared" si="1829"/>
        <v>11.8626390791339</v>
      </c>
      <c r="N2903" s="528">
        <f t="shared" si="1830"/>
        <v>0</v>
      </c>
      <c r="O2903" s="528">
        <f t="shared" si="1831"/>
        <v>0</v>
      </c>
      <c r="P2903" s="529">
        <f t="shared" si="1832"/>
        <v>41.1366666666667</v>
      </c>
      <c r="Q2903" s="24">
        <f t="shared" si="1833"/>
        <v>12</v>
      </c>
      <c r="R2903" s="530">
        <f t="shared" si="1834"/>
        <v>0.0185471406491499</v>
      </c>
    </row>
    <row r="2904" spans="1:18">
      <c r="A2904" s="524"/>
      <c r="B2904" s="531" t="s">
        <v>96</v>
      </c>
      <c r="C2904" s="533">
        <f t="shared" ref="C2904:J2904" si="1840">SUM(C2900:C2903)</f>
        <v>2486.92</v>
      </c>
      <c r="D2904" s="533">
        <f t="shared" si="1840"/>
        <v>57487</v>
      </c>
      <c r="E2904" s="533">
        <f t="shared" si="1840"/>
        <v>1392</v>
      </c>
      <c r="F2904" s="533">
        <f t="shared" si="1840"/>
        <v>0</v>
      </c>
      <c r="G2904" s="533">
        <f t="shared" si="1840"/>
        <v>0</v>
      </c>
      <c r="H2904" s="533">
        <f t="shared" si="1840"/>
        <v>34</v>
      </c>
      <c r="I2904" s="533">
        <f t="shared" si="1840"/>
        <v>6</v>
      </c>
      <c r="J2904" s="533">
        <f t="shared" si="1840"/>
        <v>0</v>
      </c>
      <c r="K2904" s="534">
        <f t="shared" si="1827"/>
        <v>0.0242141701602101</v>
      </c>
      <c r="L2904" s="535">
        <f t="shared" si="1828"/>
        <v>1.78658045977011</v>
      </c>
      <c r="M2904" s="535">
        <f t="shared" si="1829"/>
        <v>43.26056325778</v>
      </c>
      <c r="N2904" s="535">
        <f t="shared" si="1830"/>
        <v>0</v>
      </c>
      <c r="O2904" s="535">
        <f t="shared" si="1831"/>
        <v>0</v>
      </c>
      <c r="P2904" s="536">
        <f t="shared" si="1832"/>
        <v>62.173</v>
      </c>
      <c r="Q2904" s="531">
        <f t="shared" si="1833"/>
        <v>40</v>
      </c>
      <c r="R2904" s="537">
        <f t="shared" si="1834"/>
        <v>0.028735632183908</v>
      </c>
    </row>
    <row r="2905" spans="1:18">
      <c r="A2905" s="524">
        <v>46031</v>
      </c>
      <c r="B2905" s="540" t="s">
        <v>98</v>
      </c>
      <c r="C2905" s="551">
        <v>1491.68</v>
      </c>
      <c r="D2905" s="553">
        <v>14376</v>
      </c>
      <c r="E2905" s="551">
        <v>596</v>
      </c>
      <c r="F2905" s="551">
        <v>0</v>
      </c>
      <c r="G2905" s="551">
        <v>0</v>
      </c>
      <c r="H2905" s="551">
        <v>15</v>
      </c>
      <c r="I2905" s="551">
        <v>3</v>
      </c>
      <c r="J2905" s="551">
        <v>4</v>
      </c>
      <c r="K2905" s="527">
        <f t="shared" si="1827"/>
        <v>0.0414579855314413</v>
      </c>
      <c r="L2905" s="528">
        <f t="shared" si="1828"/>
        <v>2.50281879194631</v>
      </c>
      <c r="M2905" s="528">
        <f t="shared" si="1829"/>
        <v>103.761825264329</v>
      </c>
      <c r="N2905" s="528">
        <f t="shared" si="1830"/>
        <v>0</v>
      </c>
      <c r="O2905" s="528">
        <f t="shared" si="1831"/>
        <v>0</v>
      </c>
      <c r="P2905" s="529">
        <f t="shared" si="1832"/>
        <v>82.8711111111111</v>
      </c>
      <c r="Q2905" s="24">
        <f t="shared" si="1833"/>
        <v>18</v>
      </c>
      <c r="R2905" s="530">
        <f t="shared" si="1834"/>
        <v>0.0302013422818792</v>
      </c>
    </row>
    <row r="2906" spans="1:18">
      <c r="A2906" s="524"/>
      <c r="B2906" s="540" t="s">
        <v>99</v>
      </c>
      <c r="C2906" s="551">
        <v>2000</v>
      </c>
      <c r="D2906" s="556">
        <v>17490</v>
      </c>
      <c r="E2906" s="551">
        <v>848</v>
      </c>
      <c r="F2906" s="551">
        <v>3</v>
      </c>
      <c r="G2906" s="551">
        <v>24104</v>
      </c>
      <c r="H2906" s="555">
        <v>21</v>
      </c>
      <c r="I2906" s="555">
        <v>1</v>
      </c>
      <c r="J2906" s="555">
        <v>2</v>
      </c>
      <c r="K2906" s="527">
        <f t="shared" si="1827"/>
        <v>0.0484848484848485</v>
      </c>
      <c r="L2906" s="528">
        <f t="shared" si="1828"/>
        <v>2.35849056603774</v>
      </c>
      <c r="M2906" s="528">
        <f t="shared" si="1829"/>
        <v>114.351057747284</v>
      </c>
      <c r="N2906" s="528">
        <f t="shared" si="1830"/>
        <v>12.052</v>
      </c>
      <c r="O2906" s="528">
        <f t="shared" si="1831"/>
        <v>0.0035377358490566</v>
      </c>
      <c r="P2906" s="529">
        <f t="shared" si="1832"/>
        <v>90.9090909090909</v>
      </c>
      <c r="Q2906" s="24">
        <f t="shared" si="1833"/>
        <v>22</v>
      </c>
      <c r="R2906" s="530">
        <f t="shared" si="1834"/>
        <v>0.0259433962264151</v>
      </c>
    </row>
    <row r="2907" spans="1:18">
      <c r="A2907" s="524"/>
      <c r="B2907" s="540" t="s">
        <v>100</v>
      </c>
      <c r="C2907" s="552">
        <v>0</v>
      </c>
      <c r="D2907" s="553">
        <v>0</v>
      </c>
      <c r="E2907" s="553">
        <v>0</v>
      </c>
      <c r="F2907" s="551">
        <v>0</v>
      </c>
      <c r="G2907" s="551">
        <v>0</v>
      </c>
      <c r="H2907" s="551">
        <v>0</v>
      </c>
      <c r="I2907" s="551">
        <v>0</v>
      </c>
      <c r="J2907" s="551">
        <v>0</v>
      </c>
      <c r="K2907" s="527">
        <f t="shared" si="1827"/>
        <v>0</v>
      </c>
      <c r="L2907" s="528">
        <f t="shared" si="1828"/>
        <v>0</v>
      </c>
      <c r="M2907" s="528">
        <f t="shared" si="1829"/>
        <v>0</v>
      </c>
      <c r="N2907" s="528">
        <f t="shared" si="1830"/>
        <v>0</v>
      </c>
      <c r="O2907" s="528">
        <f t="shared" si="1831"/>
        <v>0</v>
      </c>
      <c r="P2907" s="529">
        <f t="shared" si="1832"/>
        <v>0</v>
      </c>
      <c r="Q2907" s="24">
        <f t="shared" si="1833"/>
        <v>0</v>
      </c>
      <c r="R2907" s="530">
        <f t="shared" si="1834"/>
        <v>0</v>
      </c>
    </row>
    <row r="2908" spans="1:18">
      <c r="A2908" s="524"/>
      <c r="B2908" s="540" t="s">
        <v>101</v>
      </c>
      <c r="C2908" s="552">
        <v>492.95</v>
      </c>
      <c r="D2908" s="553">
        <v>33713</v>
      </c>
      <c r="E2908" s="551">
        <v>553</v>
      </c>
      <c r="F2908" s="551">
        <v>0</v>
      </c>
      <c r="G2908" s="551">
        <v>0</v>
      </c>
      <c r="H2908" s="551">
        <v>5</v>
      </c>
      <c r="I2908" s="551">
        <v>2</v>
      </c>
      <c r="J2908" s="551">
        <v>0</v>
      </c>
      <c r="K2908" s="527">
        <f t="shared" si="1827"/>
        <v>0.0164031679174206</v>
      </c>
      <c r="L2908" s="528">
        <f t="shared" si="1828"/>
        <v>0.891410488245931</v>
      </c>
      <c r="M2908" s="528">
        <f t="shared" si="1829"/>
        <v>14.6219559220479</v>
      </c>
      <c r="N2908" s="528">
        <f t="shared" si="1830"/>
        <v>0</v>
      </c>
      <c r="O2908" s="528">
        <f t="shared" si="1831"/>
        <v>0</v>
      </c>
      <c r="P2908" s="529">
        <f t="shared" si="1832"/>
        <v>70.4214285714286</v>
      </c>
      <c r="Q2908" s="24">
        <f t="shared" si="1833"/>
        <v>7</v>
      </c>
      <c r="R2908" s="530">
        <f t="shared" si="1834"/>
        <v>0.0126582278481013</v>
      </c>
    </row>
    <row r="2909" spans="1:18">
      <c r="A2909" s="524"/>
      <c r="B2909" s="531" t="s">
        <v>96</v>
      </c>
      <c r="C2909" s="533">
        <f t="shared" ref="C2909:J2909" si="1841">SUM(C2905:C2908)</f>
        <v>3984.63</v>
      </c>
      <c r="D2909" s="533">
        <f t="shared" si="1841"/>
        <v>65579</v>
      </c>
      <c r="E2909" s="533">
        <f t="shared" si="1841"/>
        <v>1997</v>
      </c>
      <c r="F2909" s="533">
        <f t="shared" si="1841"/>
        <v>3</v>
      </c>
      <c r="G2909" s="533">
        <f t="shared" si="1841"/>
        <v>24104</v>
      </c>
      <c r="H2909" s="533">
        <f t="shared" si="1841"/>
        <v>41</v>
      </c>
      <c r="I2909" s="533">
        <f t="shared" si="1841"/>
        <v>6</v>
      </c>
      <c r="J2909" s="533">
        <f t="shared" si="1841"/>
        <v>6</v>
      </c>
      <c r="K2909" s="534">
        <f t="shared" si="1827"/>
        <v>0.030451821467238</v>
      </c>
      <c r="L2909" s="535">
        <f t="shared" si="1828"/>
        <v>1.99530796194291</v>
      </c>
      <c r="M2909" s="535">
        <f t="shared" si="1829"/>
        <v>60.7607618292441</v>
      </c>
      <c r="N2909" s="535">
        <f t="shared" si="1830"/>
        <v>6.04924422091888</v>
      </c>
      <c r="O2909" s="535">
        <f t="shared" si="1831"/>
        <v>0.00150225338007011</v>
      </c>
      <c r="P2909" s="536">
        <f t="shared" si="1832"/>
        <v>84.7793617021277</v>
      </c>
      <c r="Q2909" s="531">
        <f t="shared" si="1833"/>
        <v>47</v>
      </c>
      <c r="R2909" s="537">
        <f t="shared" si="1834"/>
        <v>0.0235353029544316</v>
      </c>
    </row>
    <row r="2910" spans="1:18">
      <c r="A2910" s="524">
        <v>46032</v>
      </c>
      <c r="B2910" s="540" t="s">
        <v>98</v>
      </c>
      <c r="C2910" s="551">
        <v>1317.16</v>
      </c>
      <c r="D2910" s="553">
        <v>15735</v>
      </c>
      <c r="E2910" s="551">
        <v>602</v>
      </c>
      <c r="F2910" s="551">
        <v>4</v>
      </c>
      <c r="G2910" s="551">
        <v>36447</v>
      </c>
      <c r="H2910" s="551">
        <v>26</v>
      </c>
      <c r="I2910" s="551">
        <v>3</v>
      </c>
      <c r="J2910" s="551">
        <v>7</v>
      </c>
      <c r="K2910" s="527">
        <f t="shared" si="1827"/>
        <v>0.0382586590403559</v>
      </c>
      <c r="L2910" s="528">
        <f t="shared" si="1828"/>
        <v>2.18797342192691</v>
      </c>
      <c r="M2910" s="528">
        <f t="shared" si="1829"/>
        <v>83.7089291388624</v>
      </c>
      <c r="N2910" s="528">
        <f t="shared" si="1830"/>
        <v>27.6708979926509</v>
      </c>
      <c r="O2910" s="528">
        <f t="shared" si="1831"/>
        <v>0.00664451827242525</v>
      </c>
      <c r="P2910" s="529">
        <f t="shared" si="1832"/>
        <v>45.4193103448276</v>
      </c>
      <c r="Q2910" s="24">
        <f t="shared" si="1833"/>
        <v>29</v>
      </c>
      <c r="R2910" s="530">
        <f t="shared" si="1834"/>
        <v>0.0481727574750831</v>
      </c>
    </row>
    <row r="2911" spans="1:18">
      <c r="A2911" s="524"/>
      <c r="B2911" s="540" t="s">
        <v>99</v>
      </c>
      <c r="C2911" s="551">
        <v>1982.83</v>
      </c>
      <c r="D2911" s="556">
        <v>16270</v>
      </c>
      <c r="E2911" s="551">
        <v>996</v>
      </c>
      <c r="F2911" s="551">
        <v>4</v>
      </c>
      <c r="G2911" s="551">
        <v>60987</v>
      </c>
      <c r="H2911" s="555">
        <v>15</v>
      </c>
      <c r="I2911" s="555">
        <v>3</v>
      </c>
      <c r="J2911" s="555">
        <v>1</v>
      </c>
      <c r="K2911" s="527">
        <f t="shared" si="1827"/>
        <v>0.0612169637369392</v>
      </c>
      <c r="L2911" s="528">
        <f t="shared" si="1828"/>
        <v>1.99079317269076</v>
      </c>
      <c r="M2911" s="528">
        <f t="shared" si="1829"/>
        <v>121.870313460356</v>
      </c>
      <c r="N2911" s="528">
        <f t="shared" si="1830"/>
        <v>30.7575535976357</v>
      </c>
      <c r="O2911" s="528">
        <f t="shared" si="1831"/>
        <v>0.00401606425702811</v>
      </c>
      <c r="P2911" s="529">
        <f t="shared" si="1832"/>
        <v>110.157222222222</v>
      </c>
      <c r="Q2911" s="24">
        <f t="shared" si="1833"/>
        <v>18</v>
      </c>
      <c r="R2911" s="530">
        <f t="shared" si="1834"/>
        <v>0.0180722891566265</v>
      </c>
    </row>
    <row r="2912" spans="1:18">
      <c r="A2912" s="524"/>
      <c r="B2912" s="540" t="s">
        <v>100</v>
      </c>
      <c r="C2912" s="552">
        <v>0</v>
      </c>
      <c r="D2912" s="553">
        <v>0</v>
      </c>
      <c r="E2912" s="553">
        <v>0</v>
      </c>
      <c r="F2912" s="551">
        <v>0</v>
      </c>
      <c r="G2912" s="551">
        <v>0</v>
      </c>
      <c r="H2912" s="551">
        <v>0</v>
      </c>
      <c r="I2912" s="551">
        <v>0</v>
      </c>
      <c r="J2912" s="551">
        <v>0</v>
      </c>
      <c r="K2912" s="527">
        <f t="shared" si="1827"/>
        <v>0</v>
      </c>
      <c r="L2912" s="528">
        <f t="shared" si="1828"/>
        <v>0</v>
      </c>
      <c r="M2912" s="528">
        <f t="shared" si="1829"/>
        <v>0</v>
      </c>
      <c r="N2912" s="528">
        <f t="shared" si="1830"/>
        <v>0</v>
      </c>
      <c r="O2912" s="528">
        <f t="shared" si="1831"/>
        <v>0</v>
      </c>
      <c r="P2912" s="529">
        <f t="shared" si="1832"/>
        <v>0</v>
      </c>
      <c r="Q2912" s="24">
        <f t="shared" si="1833"/>
        <v>0</v>
      </c>
      <c r="R2912" s="530">
        <f t="shared" si="1834"/>
        <v>0</v>
      </c>
    </row>
    <row r="2913" spans="1:18">
      <c r="A2913" s="524"/>
      <c r="B2913" s="540" t="s">
        <v>101</v>
      </c>
      <c r="C2913" s="552">
        <v>490.9</v>
      </c>
      <c r="D2913" s="553">
        <v>32137</v>
      </c>
      <c r="E2913" s="551">
        <v>525</v>
      </c>
      <c r="F2913" s="551">
        <v>1</v>
      </c>
      <c r="G2913" s="551">
        <v>17356</v>
      </c>
      <c r="H2913" s="551">
        <v>5</v>
      </c>
      <c r="I2913" s="551">
        <v>3</v>
      </c>
      <c r="J2913" s="551">
        <v>1</v>
      </c>
      <c r="K2913" s="527">
        <f t="shared" si="1827"/>
        <v>0.0163363101720758</v>
      </c>
      <c r="L2913" s="528">
        <f t="shared" si="1828"/>
        <v>0.935047619047619</v>
      </c>
      <c r="M2913" s="528">
        <f t="shared" si="1829"/>
        <v>15.2752279304229</v>
      </c>
      <c r="N2913" s="528">
        <f t="shared" si="1830"/>
        <v>35.3554695457323</v>
      </c>
      <c r="O2913" s="528">
        <f t="shared" si="1831"/>
        <v>0.0019047619047619</v>
      </c>
      <c r="P2913" s="529">
        <f t="shared" si="1832"/>
        <v>61.3625</v>
      </c>
      <c r="Q2913" s="24">
        <f t="shared" si="1833"/>
        <v>8</v>
      </c>
      <c r="R2913" s="530">
        <f t="shared" si="1834"/>
        <v>0.0152380952380952</v>
      </c>
    </row>
    <row r="2914" spans="1:18">
      <c r="A2914" s="524"/>
      <c r="B2914" s="531" t="s">
        <v>96</v>
      </c>
      <c r="C2914" s="533">
        <f t="shared" ref="C2914:J2914" si="1842">SUM(C2910:C2913)</f>
        <v>3790.89</v>
      </c>
      <c r="D2914" s="533">
        <f t="shared" si="1842"/>
        <v>64142</v>
      </c>
      <c r="E2914" s="533">
        <f t="shared" si="1842"/>
        <v>2123</v>
      </c>
      <c r="F2914" s="533">
        <f t="shared" si="1842"/>
        <v>9</v>
      </c>
      <c r="G2914" s="533">
        <f t="shared" si="1842"/>
        <v>114790</v>
      </c>
      <c r="H2914" s="533">
        <f t="shared" si="1842"/>
        <v>46</v>
      </c>
      <c r="I2914" s="533">
        <f t="shared" si="1842"/>
        <v>9</v>
      </c>
      <c r="J2914" s="533">
        <f t="shared" si="1842"/>
        <v>9</v>
      </c>
      <c r="K2914" s="534">
        <f t="shared" si="1827"/>
        <v>0.0330984378410402</v>
      </c>
      <c r="L2914" s="535">
        <f t="shared" si="1828"/>
        <v>1.78562882713142</v>
      </c>
      <c r="M2914" s="535">
        <f t="shared" si="1829"/>
        <v>59.1015247419787</v>
      </c>
      <c r="N2914" s="535">
        <f t="shared" si="1830"/>
        <v>30.2804882230822</v>
      </c>
      <c r="O2914" s="535">
        <f t="shared" si="1831"/>
        <v>0.00423928403203015</v>
      </c>
      <c r="P2914" s="536">
        <f t="shared" si="1832"/>
        <v>68.9252727272727</v>
      </c>
      <c r="Q2914" s="531">
        <f t="shared" si="1833"/>
        <v>55</v>
      </c>
      <c r="R2914" s="537">
        <f t="shared" si="1834"/>
        <v>0.0259067357512953</v>
      </c>
    </row>
    <row r="2915" spans="1:18">
      <c r="A2915" s="524">
        <v>46033</v>
      </c>
      <c r="B2915" s="540" t="s">
        <v>98</v>
      </c>
      <c r="C2915" s="551">
        <v>1300</v>
      </c>
      <c r="D2915" s="553">
        <v>20721</v>
      </c>
      <c r="E2915" s="551">
        <v>778</v>
      </c>
      <c r="F2915" s="551">
        <v>0</v>
      </c>
      <c r="G2915" s="551">
        <v>0</v>
      </c>
      <c r="H2915" s="551">
        <v>22</v>
      </c>
      <c r="I2915" s="551">
        <v>2</v>
      </c>
      <c r="J2915" s="551">
        <v>6</v>
      </c>
      <c r="K2915" s="527">
        <f t="shared" si="1827"/>
        <v>0.0375464504608851</v>
      </c>
      <c r="L2915" s="528">
        <f t="shared" si="1828"/>
        <v>1.67095115681234</v>
      </c>
      <c r="M2915" s="528">
        <f t="shared" si="1829"/>
        <v>62.7382848318131</v>
      </c>
      <c r="N2915" s="528">
        <f t="shared" si="1830"/>
        <v>0</v>
      </c>
      <c r="O2915" s="528">
        <f t="shared" si="1831"/>
        <v>0</v>
      </c>
      <c r="P2915" s="529">
        <f t="shared" si="1832"/>
        <v>54.1666666666667</v>
      </c>
      <c r="Q2915" s="24">
        <f t="shared" si="1833"/>
        <v>24</v>
      </c>
      <c r="R2915" s="530">
        <f t="shared" si="1834"/>
        <v>0.0308483290488432</v>
      </c>
    </row>
    <row r="2916" spans="1:18">
      <c r="A2916" s="524"/>
      <c r="B2916" s="540" t="s">
        <v>99</v>
      </c>
      <c r="C2916" s="551">
        <v>1485.21</v>
      </c>
      <c r="D2916" s="556">
        <v>19386</v>
      </c>
      <c r="E2916" s="551">
        <v>524</v>
      </c>
      <c r="F2916" s="551">
        <v>0</v>
      </c>
      <c r="G2916" s="551">
        <v>0</v>
      </c>
      <c r="H2916" s="555">
        <v>12</v>
      </c>
      <c r="I2916" s="555">
        <v>0</v>
      </c>
      <c r="J2916" s="555">
        <v>2</v>
      </c>
      <c r="K2916" s="527">
        <f t="shared" si="1827"/>
        <v>0.027029815330651</v>
      </c>
      <c r="L2916" s="528">
        <f t="shared" si="1828"/>
        <v>2.83437022900763</v>
      </c>
      <c r="M2916" s="528">
        <f t="shared" si="1829"/>
        <v>76.6125038687713</v>
      </c>
      <c r="N2916" s="528">
        <f t="shared" si="1830"/>
        <v>0</v>
      </c>
      <c r="O2916" s="528">
        <f t="shared" si="1831"/>
        <v>0</v>
      </c>
      <c r="P2916" s="529">
        <f t="shared" si="1832"/>
        <v>123.7675</v>
      </c>
      <c r="Q2916" s="24">
        <f t="shared" si="1833"/>
        <v>12</v>
      </c>
      <c r="R2916" s="530">
        <f t="shared" si="1834"/>
        <v>0.0229007633587786</v>
      </c>
    </row>
    <row r="2917" spans="1:18">
      <c r="A2917" s="524"/>
      <c r="B2917" s="540" t="s">
        <v>100</v>
      </c>
      <c r="C2917" s="552">
        <v>0</v>
      </c>
      <c r="D2917" s="553">
        <v>0</v>
      </c>
      <c r="E2917" s="553">
        <v>0</v>
      </c>
      <c r="F2917" s="551">
        <v>0</v>
      </c>
      <c r="G2917" s="551">
        <v>0</v>
      </c>
      <c r="H2917" s="551">
        <v>0</v>
      </c>
      <c r="I2917" s="551">
        <v>0</v>
      </c>
      <c r="J2917" s="551">
        <v>0</v>
      </c>
      <c r="K2917" s="527">
        <f t="shared" si="1827"/>
        <v>0</v>
      </c>
      <c r="L2917" s="528">
        <f t="shared" si="1828"/>
        <v>0</v>
      </c>
      <c r="M2917" s="528">
        <f t="shared" si="1829"/>
        <v>0</v>
      </c>
      <c r="N2917" s="528">
        <f t="shared" si="1830"/>
        <v>0</v>
      </c>
      <c r="O2917" s="528">
        <f t="shared" si="1831"/>
        <v>0</v>
      </c>
      <c r="P2917" s="529">
        <f t="shared" si="1832"/>
        <v>0</v>
      </c>
      <c r="Q2917" s="24">
        <f t="shared" si="1833"/>
        <v>0</v>
      </c>
      <c r="R2917" s="530">
        <f t="shared" si="1834"/>
        <v>0</v>
      </c>
    </row>
    <row r="2918" spans="1:18">
      <c r="A2918" s="524"/>
      <c r="B2918" s="540" t="s">
        <v>101</v>
      </c>
      <c r="C2918" s="552">
        <v>499.33</v>
      </c>
      <c r="D2918" s="553">
        <v>7113</v>
      </c>
      <c r="E2918" s="551">
        <v>241</v>
      </c>
      <c r="F2918" s="551">
        <v>0</v>
      </c>
      <c r="G2918" s="551">
        <v>0</v>
      </c>
      <c r="H2918" s="551">
        <v>10</v>
      </c>
      <c r="I2918" s="551">
        <v>1</v>
      </c>
      <c r="J2918" s="551">
        <v>1</v>
      </c>
      <c r="K2918" s="527">
        <f t="shared" si="1827"/>
        <v>0.033881625193308</v>
      </c>
      <c r="L2918" s="528">
        <f t="shared" si="1828"/>
        <v>2.07190871369295</v>
      </c>
      <c r="M2918" s="528">
        <f t="shared" si="1829"/>
        <v>70.1996344720934</v>
      </c>
      <c r="N2918" s="528">
        <f t="shared" si="1830"/>
        <v>0</v>
      </c>
      <c r="O2918" s="528">
        <f t="shared" si="1831"/>
        <v>0</v>
      </c>
      <c r="P2918" s="529">
        <f t="shared" si="1832"/>
        <v>45.3936363636364</v>
      </c>
      <c r="Q2918" s="24">
        <f t="shared" si="1833"/>
        <v>11</v>
      </c>
      <c r="R2918" s="530">
        <f t="shared" si="1834"/>
        <v>0.045643153526971</v>
      </c>
    </row>
    <row r="2919" spans="1:18">
      <c r="A2919" s="524"/>
      <c r="B2919" s="531" t="s">
        <v>96</v>
      </c>
      <c r="C2919" s="533">
        <f t="shared" ref="C2919:J2919" si="1843">SUM(C2915:C2918)</f>
        <v>3284.54</v>
      </c>
      <c r="D2919" s="533">
        <f t="shared" si="1843"/>
        <v>47220</v>
      </c>
      <c r="E2919" s="533">
        <f t="shared" si="1843"/>
        <v>1543</v>
      </c>
      <c r="F2919" s="533">
        <f t="shared" si="1843"/>
        <v>0</v>
      </c>
      <c r="G2919" s="533">
        <f t="shared" si="1843"/>
        <v>0</v>
      </c>
      <c r="H2919" s="533">
        <f t="shared" si="1843"/>
        <v>44</v>
      </c>
      <c r="I2919" s="533">
        <f t="shared" si="1843"/>
        <v>3</v>
      </c>
      <c r="J2919" s="533">
        <f t="shared" si="1843"/>
        <v>9</v>
      </c>
      <c r="K2919" s="534">
        <f t="shared" si="1827"/>
        <v>0.0326768318509106</v>
      </c>
      <c r="L2919" s="535">
        <f t="shared" si="1828"/>
        <v>2.12867141931303</v>
      </c>
      <c r="M2919" s="535">
        <f t="shared" si="1829"/>
        <v>69.558238034731</v>
      </c>
      <c r="N2919" s="535">
        <f t="shared" si="1830"/>
        <v>0</v>
      </c>
      <c r="O2919" s="535">
        <f t="shared" si="1831"/>
        <v>0</v>
      </c>
      <c r="P2919" s="536">
        <f t="shared" si="1832"/>
        <v>69.883829787234</v>
      </c>
      <c r="Q2919" s="531">
        <f t="shared" si="1833"/>
        <v>47</v>
      </c>
      <c r="R2919" s="537">
        <f t="shared" si="1834"/>
        <v>0.0304601425793908</v>
      </c>
    </row>
    <row r="2920" spans="1:18">
      <c r="A2920" s="524">
        <v>46034</v>
      </c>
      <c r="B2920" s="540" t="s">
        <v>98</v>
      </c>
      <c r="C2920" s="551">
        <v>1442.1</v>
      </c>
      <c r="D2920" s="553">
        <v>25672</v>
      </c>
      <c r="E2920" s="551">
        <v>853</v>
      </c>
      <c r="F2920" s="551">
        <v>1</v>
      </c>
      <c r="G2920" s="551">
        <v>8163</v>
      </c>
      <c r="H2920" s="551">
        <v>24</v>
      </c>
      <c r="I2920" s="551">
        <v>7</v>
      </c>
      <c r="J2920" s="551">
        <v>5</v>
      </c>
      <c r="K2920" s="527">
        <f t="shared" si="1827"/>
        <v>0.0332268619507635</v>
      </c>
      <c r="L2920" s="528">
        <f t="shared" si="1828"/>
        <v>1.69062133645955</v>
      </c>
      <c r="M2920" s="528">
        <f t="shared" si="1829"/>
        <v>56.1740417575569</v>
      </c>
      <c r="N2920" s="528">
        <f t="shared" si="1830"/>
        <v>5.66049511129603</v>
      </c>
      <c r="O2920" s="528">
        <f t="shared" si="1831"/>
        <v>0.00117233294255569</v>
      </c>
      <c r="P2920" s="529">
        <f t="shared" si="1832"/>
        <v>46.5193548387097</v>
      </c>
      <c r="Q2920" s="24">
        <f t="shared" si="1833"/>
        <v>31</v>
      </c>
      <c r="R2920" s="530">
        <f t="shared" si="1834"/>
        <v>0.0363423212192263</v>
      </c>
    </row>
    <row r="2921" spans="1:18">
      <c r="A2921" s="524"/>
      <c r="B2921" s="540" t="s">
        <v>99</v>
      </c>
      <c r="C2921" s="551">
        <v>1500</v>
      </c>
      <c r="D2921" s="556">
        <v>16437</v>
      </c>
      <c r="E2921" s="551">
        <v>937</v>
      </c>
      <c r="F2921" s="551">
        <v>2</v>
      </c>
      <c r="G2921" s="551">
        <v>11088</v>
      </c>
      <c r="H2921" s="555">
        <v>10</v>
      </c>
      <c r="I2921" s="555">
        <v>1</v>
      </c>
      <c r="J2921" s="555">
        <v>2</v>
      </c>
      <c r="K2921" s="527">
        <f t="shared" si="1827"/>
        <v>0.0570055362900773</v>
      </c>
      <c r="L2921" s="528">
        <f t="shared" si="1828"/>
        <v>1.6008537886873</v>
      </c>
      <c r="M2921" s="528">
        <f t="shared" si="1829"/>
        <v>91.2575287461216</v>
      </c>
      <c r="N2921" s="528">
        <f t="shared" si="1830"/>
        <v>7.392</v>
      </c>
      <c r="O2921" s="528">
        <f t="shared" si="1831"/>
        <v>0.00213447171824973</v>
      </c>
      <c r="P2921" s="529">
        <f t="shared" si="1832"/>
        <v>136.363636363636</v>
      </c>
      <c r="Q2921" s="24">
        <f t="shared" si="1833"/>
        <v>11</v>
      </c>
      <c r="R2921" s="530">
        <f t="shared" si="1834"/>
        <v>0.0117395944503735</v>
      </c>
    </row>
    <row r="2922" spans="1:18">
      <c r="A2922" s="524"/>
      <c r="B2922" s="540" t="s">
        <v>100</v>
      </c>
      <c r="C2922" s="552">
        <v>0</v>
      </c>
      <c r="D2922" s="553">
        <v>0</v>
      </c>
      <c r="E2922" s="553">
        <v>0</v>
      </c>
      <c r="F2922" s="551">
        <v>0</v>
      </c>
      <c r="G2922" s="551">
        <v>0</v>
      </c>
      <c r="H2922" s="551">
        <v>0</v>
      </c>
      <c r="I2922" s="551">
        <v>0</v>
      </c>
      <c r="J2922" s="551">
        <v>0</v>
      </c>
      <c r="K2922" s="527">
        <f t="shared" si="1827"/>
        <v>0</v>
      </c>
      <c r="L2922" s="528">
        <f t="shared" si="1828"/>
        <v>0</v>
      </c>
      <c r="M2922" s="528">
        <f t="shared" si="1829"/>
        <v>0</v>
      </c>
      <c r="N2922" s="528">
        <f t="shared" si="1830"/>
        <v>0</v>
      </c>
      <c r="O2922" s="528">
        <f t="shared" si="1831"/>
        <v>0</v>
      </c>
      <c r="P2922" s="529">
        <f t="shared" si="1832"/>
        <v>0</v>
      </c>
      <c r="Q2922" s="24">
        <f t="shared" si="1833"/>
        <v>0</v>
      </c>
      <c r="R2922" s="530">
        <f t="shared" si="1834"/>
        <v>0</v>
      </c>
    </row>
    <row r="2923" spans="1:18">
      <c r="A2923" s="524"/>
      <c r="B2923" s="540" t="s">
        <v>101</v>
      </c>
      <c r="C2923" s="552">
        <v>493.12</v>
      </c>
      <c r="D2923" s="553">
        <v>7925</v>
      </c>
      <c r="E2923" s="551">
        <v>245</v>
      </c>
      <c r="F2923" s="551">
        <v>1</v>
      </c>
      <c r="G2923" s="551">
        <v>10416</v>
      </c>
      <c r="H2923" s="551">
        <v>10</v>
      </c>
      <c r="I2923" s="551">
        <v>0</v>
      </c>
      <c r="J2923" s="551">
        <v>0</v>
      </c>
      <c r="K2923" s="527">
        <f t="shared" si="1827"/>
        <v>0.0309148264984227</v>
      </c>
      <c r="L2923" s="528">
        <f t="shared" si="1828"/>
        <v>2.01273469387755</v>
      </c>
      <c r="M2923" s="528">
        <f t="shared" si="1829"/>
        <v>62.2233438485804</v>
      </c>
      <c r="N2923" s="528">
        <f t="shared" si="1830"/>
        <v>21.1226476314082</v>
      </c>
      <c r="O2923" s="528">
        <f t="shared" si="1831"/>
        <v>0.00408163265306122</v>
      </c>
      <c r="P2923" s="529">
        <f t="shared" si="1832"/>
        <v>49.312</v>
      </c>
      <c r="Q2923" s="24">
        <f t="shared" si="1833"/>
        <v>10</v>
      </c>
      <c r="R2923" s="530">
        <f t="shared" si="1834"/>
        <v>0.0408163265306122</v>
      </c>
    </row>
    <row r="2924" spans="1:18">
      <c r="A2924" s="524"/>
      <c r="B2924" s="531" t="s">
        <v>96</v>
      </c>
      <c r="C2924" s="533">
        <f t="shared" ref="C2924:J2924" si="1844">SUM(C2920:C2923)</f>
        <v>3435.22</v>
      </c>
      <c r="D2924" s="533">
        <f t="shared" si="1844"/>
        <v>50034</v>
      </c>
      <c r="E2924" s="533">
        <f t="shared" si="1844"/>
        <v>2035</v>
      </c>
      <c r="F2924" s="533">
        <f t="shared" si="1844"/>
        <v>4</v>
      </c>
      <c r="G2924" s="533">
        <f t="shared" si="1844"/>
        <v>29667</v>
      </c>
      <c r="H2924" s="533">
        <f t="shared" si="1844"/>
        <v>44</v>
      </c>
      <c r="I2924" s="533">
        <f t="shared" si="1844"/>
        <v>8</v>
      </c>
      <c r="J2924" s="533">
        <f t="shared" si="1844"/>
        <v>7</v>
      </c>
      <c r="K2924" s="534">
        <f t="shared" si="1827"/>
        <v>0.0406723428068913</v>
      </c>
      <c r="L2924" s="535">
        <f t="shared" si="1828"/>
        <v>1.6880687960688</v>
      </c>
      <c r="M2924" s="535">
        <f t="shared" si="1829"/>
        <v>68.6577127553264</v>
      </c>
      <c r="N2924" s="535">
        <f t="shared" si="1830"/>
        <v>8.63612810824343</v>
      </c>
      <c r="O2924" s="535">
        <f t="shared" si="1831"/>
        <v>0.00196560196560197</v>
      </c>
      <c r="P2924" s="536">
        <f t="shared" si="1832"/>
        <v>66.0619230769231</v>
      </c>
      <c r="Q2924" s="531">
        <f t="shared" si="1833"/>
        <v>52</v>
      </c>
      <c r="R2924" s="537">
        <f t="shared" si="1834"/>
        <v>0.0255528255528256</v>
      </c>
    </row>
    <row r="2925" spans="1:18">
      <c r="A2925" s="524">
        <v>46035</v>
      </c>
      <c r="B2925" s="540" t="s">
        <v>98</v>
      </c>
      <c r="C2925" s="551">
        <v>1491.48</v>
      </c>
      <c r="D2925" s="553">
        <v>23975</v>
      </c>
      <c r="E2925" s="551">
        <v>745</v>
      </c>
      <c r="F2925" s="551">
        <v>3</v>
      </c>
      <c r="G2925" s="551">
        <v>15968</v>
      </c>
      <c r="H2925" s="551">
        <v>23</v>
      </c>
      <c r="I2925" s="551">
        <v>3</v>
      </c>
      <c r="J2925" s="551">
        <v>1</v>
      </c>
      <c r="K2925" s="527">
        <f t="shared" si="1827"/>
        <v>0.0310740354535975</v>
      </c>
      <c r="L2925" s="528">
        <f t="shared" si="1828"/>
        <v>2.00198657718121</v>
      </c>
      <c r="M2925" s="528">
        <f t="shared" si="1829"/>
        <v>62.2098018769552</v>
      </c>
      <c r="N2925" s="528">
        <f t="shared" si="1830"/>
        <v>10.7061442325744</v>
      </c>
      <c r="O2925" s="528">
        <f t="shared" si="1831"/>
        <v>0.00402684563758389</v>
      </c>
      <c r="P2925" s="529">
        <f t="shared" si="1832"/>
        <v>57.3646153846154</v>
      </c>
      <c r="Q2925" s="24">
        <f t="shared" si="1833"/>
        <v>26</v>
      </c>
      <c r="R2925" s="530">
        <f t="shared" si="1834"/>
        <v>0.0348993288590604</v>
      </c>
    </row>
    <row r="2926" spans="1:18">
      <c r="A2926" s="524"/>
      <c r="B2926" s="540" t="s">
        <v>99</v>
      </c>
      <c r="C2926" s="551">
        <v>1484.37</v>
      </c>
      <c r="D2926" s="556">
        <v>12501</v>
      </c>
      <c r="E2926" s="551">
        <v>657</v>
      </c>
      <c r="F2926" s="551">
        <v>2</v>
      </c>
      <c r="G2926" s="551">
        <v>15290</v>
      </c>
      <c r="H2926" s="555">
        <v>14</v>
      </c>
      <c r="I2926" s="555">
        <v>0</v>
      </c>
      <c r="J2926" s="555">
        <v>2</v>
      </c>
      <c r="K2926" s="527">
        <f t="shared" si="1827"/>
        <v>0.0525557955363571</v>
      </c>
      <c r="L2926" s="528">
        <f t="shared" si="1828"/>
        <v>2.25931506849315</v>
      </c>
      <c r="M2926" s="528">
        <f t="shared" si="1829"/>
        <v>118.740100791937</v>
      </c>
      <c r="N2926" s="528">
        <f t="shared" si="1830"/>
        <v>10.3006662759285</v>
      </c>
      <c r="O2926" s="528">
        <f t="shared" si="1831"/>
        <v>0.0030441400304414</v>
      </c>
      <c r="P2926" s="529">
        <f t="shared" si="1832"/>
        <v>106.026428571429</v>
      </c>
      <c r="Q2926" s="24">
        <f t="shared" si="1833"/>
        <v>14</v>
      </c>
      <c r="R2926" s="530">
        <f t="shared" si="1834"/>
        <v>0.0213089802130898</v>
      </c>
    </row>
    <row r="2927" spans="1:18">
      <c r="A2927" s="524"/>
      <c r="B2927" s="540" t="s">
        <v>100</v>
      </c>
      <c r="C2927" s="552">
        <v>0</v>
      </c>
      <c r="D2927" s="553">
        <v>0</v>
      </c>
      <c r="E2927" s="553">
        <v>0</v>
      </c>
      <c r="F2927" s="551">
        <v>0</v>
      </c>
      <c r="G2927" s="551">
        <v>0</v>
      </c>
      <c r="H2927" s="551">
        <v>0</v>
      </c>
      <c r="I2927" s="551">
        <v>0</v>
      </c>
      <c r="J2927" s="551">
        <v>0</v>
      </c>
      <c r="K2927" s="527">
        <f t="shared" si="1827"/>
        <v>0</v>
      </c>
      <c r="L2927" s="528">
        <f t="shared" si="1828"/>
        <v>0</v>
      </c>
      <c r="M2927" s="528">
        <f t="shared" si="1829"/>
        <v>0</v>
      </c>
      <c r="N2927" s="528">
        <f t="shared" si="1830"/>
        <v>0</v>
      </c>
      <c r="O2927" s="528">
        <f t="shared" si="1831"/>
        <v>0</v>
      </c>
      <c r="P2927" s="529">
        <f t="shared" si="1832"/>
        <v>0</v>
      </c>
      <c r="Q2927" s="24">
        <f t="shared" si="1833"/>
        <v>0</v>
      </c>
      <c r="R2927" s="530">
        <f t="shared" si="1834"/>
        <v>0</v>
      </c>
    </row>
    <row r="2928" spans="1:18">
      <c r="A2928" s="524"/>
      <c r="B2928" s="540" t="s">
        <v>101</v>
      </c>
      <c r="C2928" s="552">
        <v>500</v>
      </c>
      <c r="D2928" s="553">
        <v>10893</v>
      </c>
      <c r="E2928" s="551">
        <v>264</v>
      </c>
      <c r="F2928" s="551">
        <v>0</v>
      </c>
      <c r="G2928" s="551">
        <v>0</v>
      </c>
      <c r="H2928" s="551">
        <v>2</v>
      </c>
      <c r="I2928" s="551">
        <v>2</v>
      </c>
      <c r="J2928" s="551">
        <v>1</v>
      </c>
      <c r="K2928" s="527">
        <f t="shared" si="1827"/>
        <v>0.0242357477278986</v>
      </c>
      <c r="L2928" s="528">
        <f t="shared" si="1828"/>
        <v>1.89393939393939</v>
      </c>
      <c r="M2928" s="528">
        <f t="shared" si="1829"/>
        <v>45.9010373634444</v>
      </c>
      <c r="N2928" s="528">
        <f t="shared" si="1830"/>
        <v>0</v>
      </c>
      <c r="O2928" s="528">
        <f t="shared" si="1831"/>
        <v>0</v>
      </c>
      <c r="P2928" s="529">
        <f t="shared" si="1832"/>
        <v>125</v>
      </c>
      <c r="Q2928" s="24">
        <f t="shared" si="1833"/>
        <v>4</v>
      </c>
      <c r="R2928" s="530">
        <f t="shared" si="1834"/>
        <v>0.0151515151515152</v>
      </c>
    </row>
    <row r="2929" spans="1:18">
      <c r="A2929" s="524"/>
      <c r="B2929" s="531" t="s">
        <v>96</v>
      </c>
      <c r="C2929" s="533">
        <f t="shared" ref="C2929:J2929" si="1845">SUM(C2925:C2928)</f>
        <v>3475.85</v>
      </c>
      <c r="D2929" s="533">
        <f t="shared" si="1845"/>
        <v>47369</v>
      </c>
      <c r="E2929" s="533">
        <f t="shared" si="1845"/>
        <v>1666</v>
      </c>
      <c r="F2929" s="533">
        <f t="shared" si="1845"/>
        <v>5</v>
      </c>
      <c r="G2929" s="533">
        <f t="shared" si="1845"/>
        <v>31258</v>
      </c>
      <c r="H2929" s="533">
        <f t="shared" si="1845"/>
        <v>39</v>
      </c>
      <c r="I2929" s="533">
        <f t="shared" si="1845"/>
        <v>5</v>
      </c>
      <c r="J2929" s="533">
        <f t="shared" si="1845"/>
        <v>4</v>
      </c>
      <c r="K2929" s="534">
        <f t="shared" si="1827"/>
        <v>0.0351706812472292</v>
      </c>
      <c r="L2929" s="535">
        <f t="shared" si="1828"/>
        <v>2.08634453781513</v>
      </c>
      <c r="M2929" s="535">
        <f t="shared" si="1829"/>
        <v>73.3781587113935</v>
      </c>
      <c r="N2929" s="535">
        <f t="shared" si="1830"/>
        <v>8.99290820950271</v>
      </c>
      <c r="O2929" s="535">
        <f t="shared" si="1831"/>
        <v>0.00300120048019208</v>
      </c>
      <c r="P2929" s="536">
        <f t="shared" si="1832"/>
        <v>78.9965909090909</v>
      </c>
      <c r="Q2929" s="531">
        <f t="shared" si="1833"/>
        <v>44</v>
      </c>
      <c r="R2929" s="537">
        <f t="shared" si="1834"/>
        <v>0.0264105642256903</v>
      </c>
    </row>
    <row r="2930" spans="1:18">
      <c r="A2930" s="524">
        <v>46036</v>
      </c>
      <c r="B2930" s="540" t="s">
        <v>98</v>
      </c>
      <c r="C2930" s="551">
        <v>1490.28</v>
      </c>
      <c r="D2930" s="553">
        <v>25832</v>
      </c>
      <c r="E2930" s="551">
        <v>752</v>
      </c>
      <c r="F2930" s="551">
        <v>2</v>
      </c>
      <c r="G2930" s="551">
        <v>35832</v>
      </c>
      <c r="H2930" s="551">
        <v>26</v>
      </c>
      <c r="I2930" s="551">
        <v>6</v>
      </c>
      <c r="J2930" s="551">
        <v>3</v>
      </c>
      <c r="K2930" s="527">
        <f t="shared" si="1827"/>
        <v>0.0291111799318675</v>
      </c>
      <c r="L2930" s="528">
        <f t="shared" si="1828"/>
        <v>1.98175531914894</v>
      </c>
      <c r="M2930" s="528">
        <f t="shared" si="1829"/>
        <v>57.6912356766801</v>
      </c>
      <c r="N2930" s="528">
        <f t="shared" si="1830"/>
        <v>24.0438038489411</v>
      </c>
      <c r="O2930" s="528">
        <f t="shared" si="1831"/>
        <v>0.00265957446808511</v>
      </c>
      <c r="P2930" s="529">
        <f t="shared" si="1832"/>
        <v>46.57125</v>
      </c>
      <c r="Q2930" s="24">
        <f t="shared" si="1833"/>
        <v>32</v>
      </c>
      <c r="R2930" s="530">
        <f t="shared" si="1834"/>
        <v>0.0425531914893617</v>
      </c>
    </row>
    <row r="2931" spans="1:18">
      <c r="A2931" s="524"/>
      <c r="B2931" s="540" t="s">
        <v>99</v>
      </c>
      <c r="C2931" s="551">
        <v>1500</v>
      </c>
      <c r="D2931" s="556">
        <v>12192</v>
      </c>
      <c r="E2931" s="551">
        <v>800</v>
      </c>
      <c r="F2931" s="551">
        <v>2</v>
      </c>
      <c r="G2931" s="551">
        <v>16054</v>
      </c>
      <c r="H2931" s="555">
        <v>20</v>
      </c>
      <c r="I2931" s="555">
        <v>0</v>
      </c>
      <c r="J2931" s="555">
        <v>3</v>
      </c>
      <c r="K2931" s="527">
        <f t="shared" si="1827"/>
        <v>0.0656167979002625</v>
      </c>
      <c r="L2931" s="528">
        <f t="shared" si="1828"/>
        <v>1.875</v>
      </c>
      <c r="M2931" s="528">
        <f t="shared" si="1829"/>
        <v>123.031496062992</v>
      </c>
      <c r="N2931" s="528">
        <f t="shared" si="1830"/>
        <v>10.7026666666667</v>
      </c>
      <c r="O2931" s="528">
        <f t="shared" si="1831"/>
        <v>0.0025</v>
      </c>
      <c r="P2931" s="529">
        <f t="shared" si="1832"/>
        <v>75</v>
      </c>
      <c r="Q2931" s="24">
        <f t="shared" si="1833"/>
        <v>20</v>
      </c>
      <c r="R2931" s="530">
        <f t="shared" si="1834"/>
        <v>0.025</v>
      </c>
    </row>
    <row r="2932" spans="1:18">
      <c r="A2932" s="524"/>
      <c r="B2932" s="540" t="s">
        <v>100</v>
      </c>
      <c r="C2932" s="552">
        <v>0</v>
      </c>
      <c r="D2932" s="553">
        <v>0</v>
      </c>
      <c r="E2932" s="553">
        <v>0</v>
      </c>
      <c r="F2932" s="551">
        <v>0</v>
      </c>
      <c r="G2932" s="551">
        <v>0</v>
      </c>
      <c r="H2932" s="551">
        <v>0</v>
      </c>
      <c r="I2932" s="551">
        <v>0</v>
      </c>
      <c r="J2932" s="551">
        <v>0</v>
      </c>
      <c r="K2932" s="527">
        <f t="shared" si="1827"/>
        <v>0</v>
      </c>
      <c r="L2932" s="528">
        <f t="shared" si="1828"/>
        <v>0</v>
      </c>
      <c r="M2932" s="528">
        <f t="shared" si="1829"/>
        <v>0</v>
      </c>
      <c r="N2932" s="528">
        <f t="shared" si="1830"/>
        <v>0</v>
      </c>
      <c r="O2932" s="528">
        <f t="shared" si="1831"/>
        <v>0</v>
      </c>
      <c r="P2932" s="529">
        <f t="shared" si="1832"/>
        <v>0</v>
      </c>
      <c r="Q2932" s="24">
        <f t="shared" si="1833"/>
        <v>0</v>
      </c>
      <c r="R2932" s="530">
        <f t="shared" si="1834"/>
        <v>0</v>
      </c>
    </row>
    <row r="2933" spans="1:18">
      <c r="A2933" s="524"/>
      <c r="B2933" s="540" t="s">
        <v>101</v>
      </c>
      <c r="C2933" s="552">
        <v>484.5</v>
      </c>
      <c r="D2933" s="553">
        <v>8027</v>
      </c>
      <c r="E2933" s="551">
        <v>248</v>
      </c>
      <c r="F2933" s="551">
        <v>2</v>
      </c>
      <c r="G2933" s="551">
        <v>30610</v>
      </c>
      <c r="H2933" s="551">
        <v>11</v>
      </c>
      <c r="I2933" s="551">
        <v>0</v>
      </c>
      <c r="J2933" s="551">
        <v>1</v>
      </c>
      <c r="K2933" s="527">
        <f t="shared" si="1827"/>
        <v>0.0308957269216395</v>
      </c>
      <c r="L2933" s="528">
        <f t="shared" si="1828"/>
        <v>1.95362903225806</v>
      </c>
      <c r="M2933" s="528">
        <f t="shared" si="1829"/>
        <v>60.3587890868319</v>
      </c>
      <c r="N2933" s="528">
        <f t="shared" si="1830"/>
        <v>63.1785345717234</v>
      </c>
      <c r="O2933" s="528">
        <f t="shared" si="1831"/>
        <v>0.00806451612903226</v>
      </c>
      <c r="P2933" s="529">
        <f t="shared" si="1832"/>
        <v>44.0454545454545</v>
      </c>
      <c r="Q2933" s="24">
        <f t="shared" si="1833"/>
        <v>11</v>
      </c>
      <c r="R2933" s="530">
        <f t="shared" si="1834"/>
        <v>0.0443548387096774</v>
      </c>
    </row>
    <row r="2934" spans="1:18">
      <c r="A2934" s="524"/>
      <c r="B2934" s="531" t="s">
        <v>96</v>
      </c>
      <c r="C2934" s="533">
        <f t="shared" ref="C2934:J2934" si="1846">SUM(C2930:C2933)</f>
        <v>3474.78</v>
      </c>
      <c r="D2934" s="533">
        <f t="shared" si="1846"/>
        <v>46051</v>
      </c>
      <c r="E2934" s="533">
        <f t="shared" si="1846"/>
        <v>1800</v>
      </c>
      <c r="F2934" s="533">
        <f t="shared" si="1846"/>
        <v>6</v>
      </c>
      <c r="G2934" s="533">
        <f t="shared" si="1846"/>
        <v>82496</v>
      </c>
      <c r="H2934" s="533">
        <f t="shared" si="1846"/>
        <v>57</v>
      </c>
      <c r="I2934" s="533">
        <f t="shared" si="1846"/>
        <v>6</v>
      </c>
      <c r="J2934" s="533">
        <f t="shared" si="1846"/>
        <v>7</v>
      </c>
      <c r="K2934" s="534">
        <f t="shared" si="1827"/>
        <v>0.0390870990857962</v>
      </c>
      <c r="L2934" s="535">
        <f t="shared" si="1828"/>
        <v>1.93043333333333</v>
      </c>
      <c r="M2934" s="535">
        <f t="shared" si="1829"/>
        <v>75.4550389785238</v>
      </c>
      <c r="N2934" s="535">
        <f t="shared" si="1830"/>
        <v>23.7413591651846</v>
      </c>
      <c r="O2934" s="535">
        <f t="shared" si="1831"/>
        <v>0.00333333333333333</v>
      </c>
      <c r="P2934" s="536">
        <f t="shared" si="1832"/>
        <v>55.1552380952381</v>
      </c>
      <c r="Q2934" s="531">
        <f t="shared" si="1833"/>
        <v>63</v>
      </c>
      <c r="R2934" s="537">
        <f t="shared" si="1834"/>
        <v>0.035</v>
      </c>
    </row>
    <row r="2935" spans="1:18">
      <c r="A2935" s="524">
        <v>46037</v>
      </c>
      <c r="B2935" s="540" t="s">
        <v>98</v>
      </c>
      <c r="C2935" s="551">
        <v>1500</v>
      </c>
      <c r="D2935" s="553">
        <v>21420</v>
      </c>
      <c r="E2935" s="551">
        <v>628</v>
      </c>
      <c r="F2935" s="551">
        <v>0</v>
      </c>
      <c r="G2935" s="551">
        <v>0</v>
      </c>
      <c r="H2935" s="551">
        <v>26</v>
      </c>
      <c r="I2935" s="551">
        <v>8</v>
      </c>
      <c r="J2935" s="551">
        <v>5</v>
      </c>
      <c r="K2935" s="527">
        <f t="shared" si="1827"/>
        <v>0.0293183940242764</v>
      </c>
      <c r="L2935" s="528">
        <f t="shared" si="1828"/>
        <v>2.38853503184713</v>
      </c>
      <c r="M2935" s="528">
        <f t="shared" si="1829"/>
        <v>70.0280112044818</v>
      </c>
      <c r="N2935" s="528">
        <f t="shared" si="1830"/>
        <v>0</v>
      </c>
      <c r="O2935" s="528">
        <f t="shared" si="1831"/>
        <v>0</v>
      </c>
      <c r="P2935" s="529">
        <f t="shared" si="1832"/>
        <v>44.1176470588235</v>
      </c>
      <c r="Q2935" s="24">
        <f t="shared" si="1833"/>
        <v>34</v>
      </c>
      <c r="R2935" s="530">
        <f t="shared" si="1834"/>
        <v>0.054140127388535</v>
      </c>
    </row>
    <row r="2936" spans="1:18">
      <c r="A2936" s="524"/>
      <c r="B2936" s="540" t="s">
        <v>99</v>
      </c>
      <c r="C2936" s="551">
        <v>1495.8</v>
      </c>
      <c r="D2936" s="556">
        <v>7739</v>
      </c>
      <c r="E2936" s="551">
        <v>642</v>
      </c>
      <c r="F2936" s="551">
        <v>2</v>
      </c>
      <c r="G2936" s="551">
        <v>27868</v>
      </c>
      <c r="H2936" s="555">
        <v>9</v>
      </c>
      <c r="I2936" s="555">
        <v>1</v>
      </c>
      <c r="J2936" s="555">
        <v>1</v>
      </c>
      <c r="K2936" s="527">
        <f t="shared" si="1827"/>
        <v>0.0829564543222639</v>
      </c>
      <c r="L2936" s="528">
        <f t="shared" si="1828"/>
        <v>2.32990654205607</v>
      </c>
      <c r="M2936" s="528">
        <f t="shared" si="1829"/>
        <v>193.280785631218</v>
      </c>
      <c r="N2936" s="528">
        <f t="shared" si="1830"/>
        <v>18.630832999064</v>
      </c>
      <c r="O2936" s="528">
        <f t="shared" si="1831"/>
        <v>0.00311526479750779</v>
      </c>
      <c r="P2936" s="529">
        <f t="shared" si="1832"/>
        <v>149.58</v>
      </c>
      <c r="Q2936" s="24">
        <f t="shared" si="1833"/>
        <v>10</v>
      </c>
      <c r="R2936" s="530">
        <f t="shared" si="1834"/>
        <v>0.0155763239875389</v>
      </c>
    </row>
    <row r="2937" spans="1:18">
      <c r="A2937" s="524"/>
      <c r="B2937" s="540" t="s">
        <v>100</v>
      </c>
      <c r="C2937" s="552">
        <v>0</v>
      </c>
      <c r="D2937" s="553">
        <v>0</v>
      </c>
      <c r="E2937" s="553">
        <v>0</v>
      </c>
      <c r="F2937" s="551">
        <v>0</v>
      </c>
      <c r="G2937" s="551">
        <v>0</v>
      </c>
      <c r="H2937" s="551">
        <v>0</v>
      </c>
      <c r="I2937" s="551">
        <v>0</v>
      </c>
      <c r="J2937" s="551">
        <v>0</v>
      </c>
      <c r="K2937" s="527">
        <f t="shared" si="1827"/>
        <v>0</v>
      </c>
      <c r="L2937" s="528">
        <f t="shared" si="1828"/>
        <v>0</v>
      </c>
      <c r="M2937" s="528">
        <f t="shared" si="1829"/>
        <v>0</v>
      </c>
      <c r="N2937" s="528">
        <f t="shared" si="1830"/>
        <v>0</v>
      </c>
      <c r="O2937" s="528">
        <f t="shared" si="1831"/>
        <v>0</v>
      </c>
      <c r="P2937" s="529">
        <f t="shared" si="1832"/>
        <v>0</v>
      </c>
      <c r="Q2937" s="24">
        <f t="shared" si="1833"/>
        <v>0</v>
      </c>
      <c r="R2937" s="530">
        <f t="shared" si="1834"/>
        <v>0</v>
      </c>
    </row>
    <row r="2938" spans="1:18">
      <c r="A2938" s="524"/>
      <c r="B2938" s="540" t="s">
        <v>101</v>
      </c>
      <c r="C2938" s="552">
        <v>0</v>
      </c>
      <c r="D2938" s="553">
        <v>0</v>
      </c>
      <c r="E2938" s="551">
        <v>0</v>
      </c>
      <c r="F2938" s="551">
        <v>0</v>
      </c>
      <c r="G2938" s="551">
        <v>0</v>
      </c>
      <c r="H2938" s="551">
        <v>0</v>
      </c>
      <c r="I2938" s="551">
        <v>0</v>
      </c>
      <c r="J2938" s="551">
        <v>0</v>
      </c>
      <c r="K2938" s="527">
        <f t="shared" si="1827"/>
        <v>0</v>
      </c>
      <c r="L2938" s="528">
        <f t="shared" si="1828"/>
        <v>0</v>
      </c>
      <c r="M2938" s="528">
        <f t="shared" si="1829"/>
        <v>0</v>
      </c>
      <c r="N2938" s="528">
        <f t="shared" si="1830"/>
        <v>0</v>
      </c>
      <c r="O2938" s="528">
        <f t="shared" si="1831"/>
        <v>0</v>
      </c>
      <c r="P2938" s="529">
        <f t="shared" si="1832"/>
        <v>0</v>
      </c>
      <c r="Q2938" s="24">
        <f t="shared" si="1833"/>
        <v>0</v>
      </c>
      <c r="R2938" s="530">
        <f t="shared" si="1834"/>
        <v>0</v>
      </c>
    </row>
    <row r="2939" spans="1:18">
      <c r="A2939" s="524"/>
      <c r="B2939" s="531" t="s">
        <v>96</v>
      </c>
      <c r="C2939" s="533">
        <f t="shared" ref="C2939:J2939" si="1847">SUM(C2935:C2938)</f>
        <v>2995.8</v>
      </c>
      <c r="D2939" s="533">
        <f t="shared" si="1847"/>
        <v>29159</v>
      </c>
      <c r="E2939" s="533">
        <f t="shared" si="1847"/>
        <v>1270</v>
      </c>
      <c r="F2939" s="533">
        <f t="shared" si="1847"/>
        <v>2</v>
      </c>
      <c r="G2939" s="533">
        <f t="shared" si="1847"/>
        <v>27868</v>
      </c>
      <c r="H2939" s="533">
        <f t="shared" si="1847"/>
        <v>35</v>
      </c>
      <c r="I2939" s="533">
        <f t="shared" si="1847"/>
        <v>9</v>
      </c>
      <c r="J2939" s="533">
        <f t="shared" si="1847"/>
        <v>6</v>
      </c>
      <c r="K2939" s="534">
        <f t="shared" ref="K2939:K3002" si="1848">IF(E2939=0,0,E2939/D2939)</f>
        <v>0.0435543057032134</v>
      </c>
      <c r="L2939" s="535">
        <f t="shared" ref="L2939:L3002" si="1849">IF(C2939=0,0,C2939/E2939)</f>
        <v>2.35889763779528</v>
      </c>
      <c r="M2939" s="535">
        <f t="shared" ref="M2939:M3002" si="1850">IF(D2939=0,0,C2939/D2939*1000)</f>
        <v>102.740148839123</v>
      </c>
      <c r="N2939" s="535">
        <f t="shared" ref="N2939:N3002" si="1851">IF(G2939=0,0,G2939/C2939)</f>
        <v>9.302356632619</v>
      </c>
      <c r="O2939" s="535">
        <f t="shared" ref="O2939:O3002" si="1852">IF(F2939=0,0,F2939/E2939)</f>
        <v>0.0015748031496063</v>
      </c>
      <c r="P2939" s="536">
        <f t="shared" ref="P2939:P3002" si="1853">IF(H2939+I2939=0,0,C2939/(H2939+I2939))</f>
        <v>68.0863636363636</v>
      </c>
      <c r="Q2939" s="531">
        <f t="shared" ref="Q2939:Q3002" si="1854">H2939+I2939</f>
        <v>44</v>
      </c>
      <c r="R2939" s="537">
        <f t="shared" ref="R2939:R3002" si="1855">IF(Q2939=0,0,Q2939/E2939)</f>
        <v>0.0346456692913386</v>
      </c>
    </row>
    <row r="2940" spans="1:18">
      <c r="A2940" s="524">
        <v>46038</v>
      </c>
      <c r="B2940" s="540" t="s">
        <v>98</v>
      </c>
      <c r="C2940" s="551">
        <v>1498.16</v>
      </c>
      <c r="D2940" s="553">
        <v>17889</v>
      </c>
      <c r="E2940" s="551">
        <v>590</v>
      </c>
      <c r="F2940" s="551">
        <v>4</v>
      </c>
      <c r="G2940" s="551">
        <v>41923</v>
      </c>
      <c r="H2940" s="551">
        <v>30</v>
      </c>
      <c r="I2940" s="551">
        <v>4</v>
      </c>
      <c r="J2940" s="551">
        <v>2</v>
      </c>
      <c r="K2940" s="527">
        <f t="shared" si="1848"/>
        <v>0.0329811616076919</v>
      </c>
      <c r="L2940" s="528">
        <f t="shared" si="1849"/>
        <v>2.53925423728814</v>
      </c>
      <c r="M2940" s="528">
        <f t="shared" si="1850"/>
        <v>83.7475543630164</v>
      </c>
      <c r="N2940" s="528">
        <f t="shared" si="1851"/>
        <v>27.9829924707641</v>
      </c>
      <c r="O2940" s="528">
        <f t="shared" si="1852"/>
        <v>0.00677966101694915</v>
      </c>
      <c r="P2940" s="529">
        <f t="shared" si="1853"/>
        <v>44.0635294117647</v>
      </c>
      <c r="Q2940" s="24">
        <f t="shared" si="1854"/>
        <v>34</v>
      </c>
      <c r="R2940" s="530">
        <f t="shared" si="1855"/>
        <v>0.0576271186440678</v>
      </c>
    </row>
    <row r="2941" spans="1:18">
      <c r="A2941" s="524"/>
      <c r="B2941" s="540" t="s">
        <v>99</v>
      </c>
      <c r="C2941" s="551">
        <v>1500</v>
      </c>
      <c r="D2941" s="556">
        <v>6644</v>
      </c>
      <c r="E2941" s="551">
        <v>599</v>
      </c>
      <c r="F2941" s="551">
        <v>1</v>
      </c>
      <c r="G2941" s="551">
        <v>9615</v>
      </c>
      <c r="H2941" s="555">
        <v>14</v>
      </c>
      <c r="I2941" s="555">
        <v>1</v>
      </c>
      <c r="J2941" s="555">
        <v>4</v>
      </c>
      <c r="K2941" s="527">
        <f t="shared" si="1848"/>
        <v>0.0901565322095123</v>
      </c>
      <c r="L2941" s="528">
        <f t="shared" si="1849"/>
        <v>2.50417362270451</v>
      </c>
      <c r="M2941" s="528">
        <f t="shared" si="1850"/>
        <v>225.76760987357</v>
      </c>
      <c r="N2941" s="528">
        <f t="shared" si="1851"/>
        <v>6.41</v>
      </c>
      <c r="O2941" s="528">
        <f t="shared" si="1852"/>
        <v>0.00166944908180301</v>
      </c>
      <c r="P2941" s="529">
        <f t="shared" si="1853"/>
        <v>100</v>
      </c>
      <c r="Q2941" s="24">
        <f t="shared" si="1854"/>
        <v>15</v>
      </c>
      <c r="R2941" s="530">
        <f t="shared" si="1855"/>
        <v>0.0250417362270451</v>
      </c>
    </row>
    <row r="2942" spans="1:18">
      <c r="A2942" s="524"/>
      <c r="B2942" s="540" t="s">
        <v>100</v>
      </c>
      <c r="C2942" s="552">
        <v>0</v>
      </c>
      <c r="D2942" s="553">
        <v>0</v>
      </c>
      <c r="E2942" s="553">
        <v>0</v>
      </c>
      <c r="F2942" s="551">
        <v>0</v>
      </c>
      <c r="G2942" s="551">
        <v>0</v>
      </c>
      <c r="H2942" s="551">
        <v>0</v>
      </c>
      <c r="I2942" s="551">
        <v>0</v>
      </c>
      <c r="J2942" s="551">
        <v>0</v>
      </c>
      <c r="K2942" s="527">
        <f t="shared" si="1848"/>
        <v>0</v>
      </c>
      <c r="L2942" s="528">
        <f t="shared" si="1849"/>
        <v>0</v>
      </c>
      <c r="M2942" s="528">
        <f t="shared" si="1850"/>
        <v>0</v>
      </c>
      <c r="N2942" s="528">
        <f t="shared" si="1851"/>
        <v>0</v>
      </c>
      <c r="O2942" s="528">
        <f t="shared" si="1852"/>
        <v>0</v>
      </c>
      <c r="P2942" s="529">
        <f t="shared" si="1853"/>
        <v>0</v>
      </c>
      <c r="Q2942" s="24">
        <f t="shared" si="1854"/>
        <v>0</v>
      </c>
      <c r="R2942" s="530">
        <f t="shared" si="1855"/>
        <v>0</v>
      </c>
    </row>
    <row r="2943" spans="1:18">
      <c r="A2943" s="524"/>
      <c r="B2943" s="540" t="s">
        <v>101</v>
      </c>
      <c r="C2943" s="552">
        <v>0</v>
      </c>
      <c r="D2943" s="553">
        <v>0</v>
      </c>
      <c r="E2943" s="551">
        <v>0</v>
      </c>
      <c r="F2943" s="551">
        <v>0</v>
      </c>
      <c r="G2943" s="551">
        <v>0</v>
      </c>
      <c r="H2943" s="551">
        <v>0</v>
      </c>
      <c r="I2943" s="551">
        <v>0</v>
      </c>
      <c r="J2943" s="551">
        <v>0</v>
      </c>
      <c r="K2943" s="527">
        <f t="shared" si="1848"/>
        <v>0</v>
      </c>
      <c r="L2943" s="528">
        <f t="shared" si="1849"/>
        <v>0</v>
      </c>
      <c r="M2943" s="528">
        <f t="shared" si="1850"/>
        <v>0</v>
      </c>
      <c r="N2943" s="528">
        <f t="shared" si="1851"/>
        <v>0</v>
      </c>
      <c r="O2943" s="528">
        <f t="shared" si="1852"/>
        <v>0</v>
      </c>
      <c r="P2943" s="529">
        <f t="shared" si="1853"/>
        <v>0</v>
      </c>
      <c r="Q2943" s="24">
        <f t="shared" si="1854"/>
        <v>0</v>
      </c>
      <c r="R2943" s="530">
        <f t="shared" si="1855"/>
        <v>0</v>
      </c>
    </row>
    <row r="2944" spans="1:18">
      <c r="A2944" s="524"/>
      <c r="B2944" s="531" t="s">
        <v>96</v>
      </c>
      <c r="C2944" s="533">
        <f t="shared" ref="C2944:J2944" si="1856">SUM(C2940:C2943)</f>
        <v>2998.16</v>
      </c>
      <c r="D2944" s="533">
        <f t="shared" si="1856"/>
        <v>24533</v>
      </c>
      <c r="E2944" s="533">
        <f t="shared" si="1856"/>
        <v>1189</v>
      </c>
      <c r="F2944" s="533">
        <f t="shared" si="1856"/>
        <v>5</v>
      </c>
      <c r="G2944" s="533">
        <f t="shared" si="1856"/>
        <v>51538</v>
      </c>
      <c r="H2944" s="533">
        <f t="shared" si="1856"/>
        <v>44</v>
      </c>
      <c r="I2944" s="533">
        <f t="shared" si="1856"/>
        <v>5</v>
      </c>
      <c r="J2944" s="533">
        <f t="shared" si="1856"/>
        <v>6</v>
      </c>
      <c r="K2944" s="534">
        <f t="shared" si="1848"/>
        <v>0.0484653324094077</v>
      </c>
      <c r="L2944" s="535">
        <f t="shared" si="1849"/>
        <v>2.52158116063919</v>
      </c>
      <c r="M2944" s="535">
        <f t="shared" si="1850"/>
        <v>122.209269147679</v>
      </c>
      <c r="N2944" s="535">
        <f t="shared" si="1851"/>
        <v>17.1898764575606</v>
      </c>
      <c r="O2944" s="535">
        <f t="shared" si="1852"/>
        <v>0.00420521446593776</v>
      </c>
      <c r="P2944" s="536">
        <f t="shared" si="1853"/>
        <v>61.1869387755102</v>
      </c>
      <c r="Q2944" s="531">
        <f t="shared" si="1854"/>
        <v>49</v>
      </c>
      <c r="R2944" s="537">
        <f t="shared" si="1855"/>
        <v>0.0412111017661901</v>
      </c>
    </row>
    <row r="2945" spans="1:18">
      <c r="A2945" s="524">
        <v>46039</v>
      </c>
      <c r="B2945" s="540" t="s">
        <v>98</v>
      </c>
      <c r="C2945" s="551">
        <v>1496.79</v>
      </c>
      <c r="D2945" s="553">
        <v>18471</v>
      </c>
      <c r="E2945" s="551">
        <v>628</v>
      </c>
      <c r="F2945" s="551">
        <v>1</v>
      </c>
      <c r="G2945" s="551">
        <v>7856</v>
      </c>
      <c r="H2945" s="551">
        <v>24</v>
      </c>
      <c r="I2945" s="551">
        <v>2</v>
      </c>
      <c r="J2945" s="551">
        <v>1</v>
      </c>
      <c r="K2945" s="527">
        <f t="shared" si="1848"/>
        <v>0.0339992420551134</v>
      </c>
      <c r="L2945" s="528">
        <f t="shared" si="1849"/>
        <v>2.38342356687898</v>
      </c>
      <c r="M2945" s="528">
        <f t="shared" si="1850"/>
        <v>81.0345947701803</v>
      </c>
      <c r="N2945" s="528">
        <f t="shared" si="1851"/>
        <v>5.24856526299615</v>
      </c>
      <c r="O2945" s="528">
        <f t="shared" si="1852"/>
        <v>0.00159235668789809</v>
      </c>
      <c r="P2945" s="529">
        <f t="shared" si="1853"/>
        <v>57.5688461538462</v>
      </c>
      <c r="Q2945" s="24">
        <f t="shared" si="1854"/>
        <v>26</v>
      </c>
      <c r="R2945" s="530">
        <f t="shared" si="1855"/>
        <v>0.0414012738853503</v>
      </c>
    </row>
    <row r="2946" spans="1:18">
      <c r="A2946" s="524"/>
      <c r="B2946" s="540" t="s">
        <v>99</v>
      </c>
      <c r="C2946" s="551">
        <v>1500</v>
      </c>
      <c r="D2946" s="556">
        <v>12804</v>
      </c>
      <c r="E2946" s="551">
        <v>646</v>
      </c>
      <c r="F2946" s="551">
        <v>0</v>
      </c>
      <c r="G2946" s="551">
        <v>0</v>
      </c>
      <c r="H2946" s="555">
        <v>7</v>
      </c>
      <c r="I2946" s="555">
        <v>0</v>
      </c>
      <c r="J2946" s="555">
        <v>3</v>
      </c>
      <c r="K2946" s="527">
        <f t="shared" si="1848"/>
        <v>0.0504529834426742</v>
      </c>
      <c r="L2946" s="528">
        <f t="shared" si="1849"/>
        <v>2.32198142414861</v>
      </c>
      <c r="M2946" s="528">
        <f t="shared" si="1850"/>
        <v>117.150890346767</v>
      </c>
      <c r="N2946" s="528">
        <f t="shared" si="1851"/>
        <v>0</v>
      </c>
      <c r="O2946" s="528">
        <f t="shared" si="1852"/>
        <v>0</v>
      </c>
      <c r="P2946" s="529">
        <f t="shared" si="1853"/>
        <v>214.285714285714</v>
      </c>
      <c r="Q2946" s="24">
        <f t="shared" si="1854"/>
        <v>7</v>
      </c>
      <c r="R2946" s="530">
        <f t="shared" si="1855"/>
        <v>0.0108359133126935</v>
      </c>
    </row>
    <row r="2947" spans="1:18">
      <c r="A2947" s="524"/>
      <c r="B2947" s="540" t="s">
        <v>100</v>
      </c>
      <c r="C2947" s="552">
        <v>0</v>
      </c>
      <c r="D2947" s="553">
        <v>0</v>
      </c>
      <c r="E2947" s="553">
        <v>0</v>
      </c>
      <c r="F2947" s="551">
        <v>0</v>
      </c>
      <c r="G2947" s="551">
        <v>0</v>
      </c>
      <c r="H2947" s="551">
        <v>0</v>
      </c>
      <c r="I2947" s="551">
        <v>0</v>
      </c>
      <c r="J2947" s="551">
        <v>0</v>
      </c>
      <c r="K2947" s="527">
        <f t="shared" si="1848"/>
        <v>0</v>
      </c>
      <c r="L2947" s="528">
        <f t="shared" si="1849"/>
        <v>0</v>
      </c>
      <c r="M2947" s="528">
        <f t="shared" si="1850"/>
        <v>0</v>
      </c>
      <c r="N2947" s="528">
        <f t="shared" si="1851"/>
        <v>0</v>
      </c>
      <c r="O2947" s="528">
        <f t="shared" si="1852"/>
        <v>0</v>
      </c>
      <c r="P2947" s="529">
        <f t="shared" si="1853"/>
        <v>0</v>
      </c>
      <c r="Q2947" s="24">
        <f t="shared" si="1854"/>
        <v>0</v>
      </c>
      <c r="R2947" s="530">
        <f t="shared" si="1855"/>
        <v>0</v>
      </c>
    </row>
    <row r="2948" spans="1:18">
      <c r="A2948" s="524"/>
      <c r="B2948" s="540" t="s">
        <v>101</v>
      </c>
      <c r="C2948" s="552">
        <v>0</v>
      </c>
      <c r="D2948" s="553">
        <v>0</v>
      </c>
      <c r="E2948" s="551">
        <v>0</v>
      </c>
      <c r="F2948" s="551">
        <v>0</v>
      </c>
      <c r="G2948" s="551">
        <v>0</v>
      </c>
      <c r="H2948" s="551">
        <v>0</v>
      </c>
      <c r="I2948" s="551">
        <v>0</v>
      </c>
      <c r="J2948" s="551">
        <v>0</v>
      </c>
      <c r="K2948" s="527">
        <f t="shared" si="1848"/>
        <v>0</v>
      </c>
      <c r="L2948" s="528">
        <f t="shared" si="1849"/>
        <v>0</v>
      </c>
      <c r="M2948" s="528">
        <f t="shared" si="1850"/>
        <v>0</v>
      </c>
      <c r="N2948" s="528">
        <f t="shared" si="1851"/>
        <v>0</v>
      </c>
      <c r="O2948" s="528">
        <f t="shared" si="1852"/>
        <v>0</v>
      </c>
      <c r="P2948" s="529">
        <f t="shared" si="1853"/>
        <v>0</v>
      </c>
      <c r="Q2948" s="24">
        <f t="shared" si="1854"/>
        <v>0</v>
      </c>
      <c r="R2948" s="530">
        <f t="shared" si="1855"/>
        <v>0</v>
      </c>
    </row>
    <row r="2949" spans="1:18">
      <c r="A2949" s="524"/>
      <c r="B2949" s="531" t="s">
        <v>96</v>
      </c>
      <c r="C2949" s="533">
        <f t="shared" ref="C2949:J2949" si="1857">SUM(C2945:C2948)</f>
        <v>2996.79</v>
      </c>
      <c r="D2949" s="533">
        <f t="shared" si="1857"/>
        <v>31275</v>
      </c>
      <c r="E2949" s="533">
        <f t="shared" si="1857"/>
        <v>1274</v>
      </c>
      <c r="F2949" s="533">
        <f t="shared" si="1857"/>
        <v>1</v>
      </c>
      <c r="G2949" s="533">
        <f t="shared" si="1857"/>
        <v>7856</v>
      </c>
      <c r="H2949" s="533">
        <f t="shared" si="1857"/>
        <v>31</v>
      </c>
      <c r="I2949" s="533">
        <f t="shared" si="1857"/>
        <v>2</v>
      </c>
      <c r="J2949" s="533">
        <f t="shared" si="1857"/>
        <v>4</v>
      </c>
      <c r="K2949" s="534">
        <f t="shared" si="1848"/>
        <v>0.0407354116706635</v>
      </c>
      <c r="L2949" s="535">
        <f t="shared" si="1849"/>
        <v>2.35226844583987</v>
      </c>
      <c r="M2949" s="535">
        <f t="shared" si="1850"/>
        <v>95.820623501199</v>
      </c>
      <c r="N2949" s="535">
        <f t="shared" si="1851"/>
        <v>2.62147164132288</v>
      </c>
      <c r="O2949" s="535">
        <f t="shared" si="1852"/>
        <v>0.000784929356357928</v>
      </c>
      <c r="P2949" s="536">
        <f t="shared" si="1853"/>
        <v>90.8118181818182</v>
      </c>
      <c r="Q2949" s="531">
        <f t="shared" si="1854"/>
        <v>33</v>
      </c>
      <c r="R2949" s="537">
        <f t="shared" si="1855"/>
        <v>0.0259026687598116</v>
      </c>
    </row>
    <row r="2950" spans="1:18">
      <c r="A2950" s="524">
        <v>46040</v>
      </c>
      <c r="B2950" s="540" t="s">
        <v>98</v>
      </c>
      <c r="C2950" s="551">
        <v>1387.97</v>
      </c>
      <c r="D2950" s="553">
        <v>19088</v>
      </c>
      <c r="E2950" s="551">
        <v>631</v>
      </c>
      <c r="F2950" s="551">
        <v>2</v>
      </c>
      <c r="G2950" s="551">
        <v>20820</v>
      </c>
      <c r="H2950" s="551">
        <v>36</v>
      </c>
      <c r="I2950" s="551">
        <v>3</v>
      </c>
      <c r="J2950" s="551">
        <v>1</v>
      </c>
      <c r="K2950" s="527">
        <f t="shared" si="1848"/>
        <v>0.0330574182732607</v>
      </c>
      <c r="L2950" s="528">
        <f t="shared" si="1849"/>
        <v>2.19963549920761</v>
      </c>
      <c r="M2950" s="528">
        <f t="shared" si="1850"/>
        <v>72.7142707460184</v>
      </c>
      <c r="N2950" s="528">
        <f t="shared" si="1851"/>
        <v>15.0003242145003</v>
      </c>
      <c r="O2950" s="528">
        <f t="shared" si="1852"/>
        <v>0.00316957210776545</v>
      </c>
      <c r="P2950" s="529">
        <f t="shared" si="1853"/>
        <v>35.5889743589744</v>
      </c>
      <c r="Q2950" s="24">
        <f t="shared" si="1854"/>
        <v>39</v>
      </c>
      <c r="R2950" s="530">
        <f t="shared" si="1855"/>
        <v>0.0618066561014263</v>
      </c>
    </row>
    <row r="2951" spans="1:18">
      <c r="A2951" s="524"/>
      <c r="B2951" s="540" t="s">
        <v>99</v>
      </c>
      <c r="C2951" s="551">
        <v>1135.39</v>
      </c>
      <c r="D2951" s="556">
        <v>6491</v>
      </c>
      <c r="E2951" s="551">
        <v>515</v>
      </c>
      <c r="F2951" s="551">
        <v>2</v>
      </c>
      <c r="G2951" s="551">
        <v>37210</v>
      </c>
      <c r="H2951" s="555">
        <v>7</v>
      </c>
      <c r="I2951" s="555">
        <v>1</v>
      </c>
      <c r="J2951" s="555">
        <v>3</v>
      </c>
      <c r="K2951" s="527">
        <f t="shared" si="1848"/>
        <v>0.0793406254814358</v>
      </c>
      <c r="L2951" s="528">
        <f t="shared" si="1849"/>
        <v>2.20464077669903</v>
      </c>
      <c r="M2951" s="528">
        <f t="shared" si="1850"/>
        <v>174.91757818518</v>
      </c>
      <c r="N2951" s="528">
        <f t="shared" si="1851"/>
        <v>32.7728798034156</v>
      </c>
      <c r="O2951" s="528">
        <f t="shared" si="1852"/>
        <v>0.00388349514563107</v>
      </c>
      <c r="P2951" s="529">
        <f t="shared" si="1853"/>
        <v>141.92375</v>
      </c>
      <c r="Q2951" s="24">
        <f t="shared" si="1854"/>
        <v>8</v>
      </c>
      <c r="R2951" s="530">
        <f t="shared" si="1855"/>
        <v>0.0155339805825243</v>
      </c>
    </row>
    <row r="2952" spans="1:18">
      <c r="A2952" s="524"/>
      <c r="B2952" s="540" t="s">
        <v>100</v>
      </c>
      <c r="C2952" s="552">
        <v>0</v>
      </c>
      <c r="D2952" s="553">
        <v>0</v>
      </c>
      <c r="E2952" s="553">
        <v>0</v>
      </c>
      <c r="F2952" s="551">
        <v>0</v>
      </c>
      <c r="G2952" s="551">
        <v>0</v>
      </c>
      <c r="H2952" s="551">
        <v>0</v>
      </c>
      <c r="I2952" s="551">
        <v>0</v>
      </c>
      <c r="J2952" s="551">
        <v>0</v>
      </c>
      <c r="K2952" s="527">
        <f t="shared" si="1848"/>
        <v>0</v>
      </c>
      <c r="L2952" s="528">
        <f t="shared" si="1849"/>
        <v>0</v>
      </c>
      <c r="M2952" s="528">
        <f t="shared" si="1850"/>
        <v>0</v>
      </c>
      <c r="N2952" s="528">
        <f t="shared" si="1851"/>
        <v>0</v>
      </c>
      <c r="O2952" s="528">
        <f t="shared" si="1852"/>
        <v>0</v>
      </c>
      <c r="P2952" s="529">
        <f t="shared" si="1853"/>
        <v>0</v>
      </c>
      <c r="Q2952" s="24">
        <f t="shared" si="1854"/>
        <v>0</v>
      </c>
      <c r="R2952" s="530">
        <f t="shared" si="1855"/>
        <v>0</v>
      </c>
    </row>
    <row r="2953" spans="1:18">
      <c r="A2953" s="524"/>
      <c r="B2953" s="540" t="s">
        <v>101</v>
      </c>
      <c r="C2953" s="552">
        <v>0</v>
      </c>
      <c r="D2953" s="553">
        <v>0</v>
      </c>
      <c r="E2953" s="551">
        <v>0</v>
      </c>
      <c r="F2953" s="551">
        <v>0</v>
      </c>
      <c r="G2953" s="551">
        <v>0</v>
      </c>
      <c r="H2953" s="551">
        <v>0</v>
      </c>
      <c r="I2953" s="551">
        <v>0</v>
      </c>
      <c r="J2953" s="551">
        <v>0</v>
      </c>
      <c r="K2953" s="527">
        <f t="shared" si="1848"/>
        <v>0</v>
      </c>
      <c r="L2953" s="528">
        <f t="shared" si="1849"/>
        <v>0</v>
      </c>
      <c r="M2953" s="528">
        <f t="shared" si="1850"/>
        <v>0</v>
      </c>
      <c r="N2953" s="528">
        <f t="shared" si="1851"/>
        <v>0</v>
      </c>
      <c r="O2953" s="528">
        <f t="shared" si="1852"/>
        <v>0</v>
      </c>
      <c r="P2953" s="529">
        <f t="shared" si="1853"/>
        <v>0</v>
      </c>
      <c r="Q2953" s="24">
        <f t="shared" si="1854"/>
        <v>0</v>
      </c>
      <c r="R2953" s="530">
        <f t="shared" si="1855"/>
        <v>0</v>
      </c>
    </row>
    <row r="2954" spans="1:18">
      <c r="A2954" s="524"/>
      <c r="B2954" s="531" t="s">
        <v>96</v>
      </c>
      <c r="C2954" s="533">
        <f t="shared" ref="C2954:J2954" si="1858">SUM(C2950:C2953)</f>
        <v>2523.36</v>
      </c>
      <c r="D2954" s="533">
        <f t="shared" si="1858"/>
        <v>25579</v>
      </c>
      <c r="E2954" s="533">
        <f t="shared" si="1858"/>
        <v>1146</v>
      </c>
      <c r="F2954" s="533">
        <f t="shared" si="1858"/>
        <v>4</v>
      </c>
      <c r="G2954" s="533">
        <f t="shared" si="1858"/>
        <v>58030</v>
      </c>
      <c r="H2954" s="533">
        <f t="shared" si="1858"/>
        <v>43</v>
      </c>
      <c r="I2954" s="533">
        <f t="shared" si="1858"/>
        <v>4</v>
      </c>
      <c r="J2954" s="533">
        <f t="shared" si="1858"/>
        <v>4</v>
      </c>
      <c r="K2954" s="534">
        <f t="shared" si="1848"/>
        <v>0.0448023769498417</v>
      </c>
      <c r="L2954" s="535">
        <f t="shared" si="1849"/>
        <v>2.20188481675393</v>
      </c>
      <c r="M2954" s="535">
        <f t="shared" si="1850"/>
        <v>98.6496735603425</v>
      </c>
      <c r="N2954" s="535">
        <f t="shared" si="1851"/>
        <v>22.997114957834</v>
      </c>
      <c r="O2954" s="535">
        <f t="shared" si="1852"/>
        <v>0.00349040139616056</v>
      </c>
      <c r="P2954" s="536">
        <f t="shared" si="1853"/>
        <v>53.6885106382979</v>
      </c>
      <c r="Q2954" s="531">
        <f t="shared" si="1854"/>
        <v>47</v>
      </c>
      <c r="R2954" s="537">
        <f t="shared" si="1855"/>
        <v>0.0410122164048866</v>
      </c>
    </row>
    <row r="2955" spans="1:18">
      <c r="A2955" s="524">
        <v>46041</v>
      </c>
      <c r="B2955" s="540" t="s">
        <v>98</v>
      </c>
      <c r="C2955" s="551">
        <v>1493.76</v>
      </c>
      <c r="D2955" s="553">
        <v>23334</v>
      </c>
      <c r="E2955" s="551">
        <v>677</v>
      </c>
      <c r="F2955" s="551">
        <v>0</v>
      </c>
      <c r="G2955" s="551">
        <v>0</v>
      </c>
      <c r="H2955" s="551">
        <v>20</v>
      </c>
      <c r="I2955" s="551">
        <v>3</v>
      </c>
      <c r="J2955" s="551">
        <v>3</v>
      </c>
      <c r="K2955" s="527">
        <f t="shared" si="1848"/>
        <v>0.0290134567583783</v>
      </c>
      <c r="L2955" s="528">
        <f t="shared" si="1849"/>
        <v>2.20644017725258</v>
      </c>
      <c r="M2955" s="528">
        <f t="shared" si="1850"/>
        <v>64.0164566726665</v>
      </c>
      <c r="N2955" s="528">
        <f t="shared" si="1851"/>
        <v>0</v>
      </c>
      <c r="O2955" s="528">
        <f t="shared" si="1852"/>
        <v>0</v>
      </c>
      <c r="P2955" s="529">
        <f t="shared" si="1853"/>
        <v>64.9460869565217</v>
      </c>
      <c r="Q2955" s="24">
        <f t="shared" si="1854"/>
        <v>23</v>
      </c>
      <c r="R2955" s="530">
        <f t="shared" si="1855"/>
        <v>0.03397341211226</v>
      </c>
    </row>
    <row r="2956" spans="1:18">
      <c r="A2956" s="524"/>
      <c r="B2956" s="540" t="s">
        <v>99</v>
      </c>
      <c r="C2956" s="551">
        <v>4957.4</v>
      </c>
      <c r="D2956" s="556">
        <v>32000</v>
      </c>
      <c r="E2956" s="551">
        <v>1860</v>
      </c>
      <c r="F2956" s="551">
        <v>2</v>
      </c>
      <c r="G2956" s="551">
        <v>21779</v>
      </c>
      <c r="H2956" s="555">
        <v>32</v>
      </c>
      <c r="I2956" s="555">
        <v>0</v>
      </c>
      <c r="J2956" s="555">
        <v>14</v>
      </c>
      <c r="K2956" s="527">
        <f t="shared" si="1848"/>
        <v>0.058125</v>
      </c>
      <c r="L2956" s="528">
        <f t="shared" si="1849"/>
        <v>2.6652688172043</v>
      </c>
      <c r="M2956" s="528">
        <f t="shared" si="1850"/>
        <v>154.91875</v>
      </c>
      <c r="N2956" s="528">
        <f t="shared" si="1851"/>
        <v>4.39323032234639</v>
      </c>
      <c r="O2956" s="528">
        <f t="shared" si="1852"/>
        <v>0.0010752688172043</v>
      </c>
      <c r="P2956" s="529">
        <f t="shared" si="1853"/>
        <v>154.91875</v>
      </c>
      <c r="Q2956" s="24">
        <f t="shared" si="1854"/>
        <v>32</v>
      </c>
      <c r="R2956" s="530">
        <f t="shared" si="1855"/>
        <v>0.0172043010752688</v>
      </c>
    </row>
    <row r="2957" spans="1:18">
      <c r="A2957" s="524"/>
      <c r="B2957" s="540" t="s">
        <v>100</v>
      </c>
      <c r="C2957" s="552">
        <v>0</v>
      </c>
      <c r="D2957" s="553">
        <v>0</v>
      </c>
      <c r="E2957" s="553">
        <v>0</v>
      </c>
      <c r="F2957" s="551">
        <v>0</v>
      </c>
      <c r="G2957" s="551">
        <v>0</v>
      </c>
      <c r="H2957" s="551">
        <v>0</v>
      </c>
      <c r="I2957" s="551">
        <v>0</v>
      </c>
      <c r="J2957" s="551">
        <v>0</v>
      </c>
      <c r="K2957" s="527">
        <f t="shared" si="1848"/>
        <v>0</v>
      </c>
      <c r="L2957" s="528">
        <f t="shared" si="1849"/>
        <v>0</v>
      </c>
      <c r="M2957" s="528">
        <f t="shared" si="1850"/>
        <v>0</v>
      </c>
      <c r="N2957" s="528">
        <f t="shared" si="1851"/>
        <v>0</v>
      </c>
      <c r="O2957" s="528">
        <f t="shared" si="1852"/>
        <v>0</v>
      </c>
      <c r="P2957" s="529">
        <f t="shared" si="1853"/>
        <v>0</v>
      </c>
      <c r="Q2957" s="24">
        <f t="shared" si="1854"/>
        <v>0</v>
      </c>
      <c r="R2957" s="530">
        <f t="shared" si="1855"/>
        <v>0</v>
      </c>
    </row>
    <row r="2958" spans="1:18">
      <c r="A2958" s="524"/>
      <c r="B2958" s="540" t="s">
        <v>101</v>
      </c>
      <c r="C2958" s="552">
        <v>0</v>
      </c>
      <c r="D2958" s="553">
        <v>0</v>
      </c>
      <c r="E2958" s="551">
        <v>0</v>
      </c>
      <c r="F2958" s="551">
        <v>0</v>
      </c>
      <c r="G2958" s="551">
        <v>0</v>
      </c>
      <c r="H2958" s="551">
        <v>0</v>
      </c>
      <c r="I2958" s="551">
        <v>0</v>
      </c>
      <c r="J2958" s="551">
        <v>0</v>
      </c>
      <c r="K2958" s="527">
        <f t="shared" si="1848"/>
        <v>0</v>
      </c>
      <c r="L2958" s="528">
        <f t="shared" si="1849"/>
        <v>0</v>
      </c>
      <c r="M2958" s="528">
        <f t="shared" si="1850"/>
        <v>0</v>
      </c>
      <c r="N2958" s="528">
        <f t="shared" si="1851"/>
        <v>0</v>
      </c>
      <c r="O2958" s="528">
        <f t="shared" si="1852"/>
        <v>0</v>
      </c>
      <c r="P2958" s="529">
        <f t="shared" si="1853"/>
        <v>0</v>
      </c>
      <c r="Q2958" s="24">
        <f t="shared" si="1854"/>
        <v>0</v>
      </c>
      <c r="R2958" s="530">
        <f t="shared" si="1855"/>
        <v>0</v>
      </c>
    </row>
    <row r="2959" spans="1:18">
      <c r="A2959" s="524"/>
      <c r="B2959" s="531" t="s">
        <v>96</v>
      </c>
      <c r="C2959" s="533">
        <f t="shared" ref="C2959:J2959" si="1859">SUM(C2955:C2958)</f>
        <v>6451.16</v>
      </c>
      <c r="D2959" s="533">
        <f t="shared" si="1859"/>
        <v>55334</v>
      </c>
      <c r="E2959" s="533">
        <f t="shared" si="1859"/>
        <v>2537</v>
      </c>
      <c r="F2959" s="533">
        <f t="shared" si="1859"/>
        <v>2</v>
      </c>
      <c r="G2959" s="533">
        <f t="shared" si="1859"/>
        <v>21779</v>
      </c>
      <c r="H2959" s="533">
        <f t="shared" si="1859"/>
        <v>52</v>
      </c>
      <c r="I2959" s="533">
        <f t="shared" si="1859"/>
        <v>3</v>
      </c>
      <c r="J2959" s="533">
        <f t="shared" si="1859"/>
        <v>17</v>
      </c>
      <c r="K2959" s="534">
        <f t="shared" si="1848"/>
        <v>0.0458488451946362</v>
      </c>
      <c r="L2959" s="535">
        <f t="shared" si="1849"/>
        <v>2.54283011430824</v>
      </c>
      <c r="M2959" s="535">
        <f t="shared" si="1850"/>
        <v>116.585824267178</v>
      </c>
      <c r="N2959" s="535">
        <f t="shared" si="1851"/>
        <v>3.37598199393597</v>
      </c>
      <c r="O2959" s="535">
        <f t="shared" si="1852"/>
        <v>0.000788332676389436</v>
      </c>
      <c r="P2959" s="536">
        <f t="shared" si="1853"/>
        <v>117.293818181818</v>
      </c>
      <c r="Q2959" s="531">
        <f t="shared" si="1854"/>
        <v>55</v>
      </c>
      <c r="R2959" s="537">
        <f t="shared" si="1855"/>
        <v>0.0216791486007095</v>
      </c>
    </row>
    <row r="2960" spans="1:18">
      <c r="A2960" s="524">
        <v>46042</v>
      </c>
      <c r="B2960" s="540" t="s">
        <v>98</v>
      </c>
      <c r="C2960" s="551">
        <v>1491.01</v>
      </c>
      <c r="D2960" s="553">
        <v>21653</v>
      </c>
      <c r="E2960" s="551">
        <v>654</v>
      </c>
      <c r="F2960" s="551">
        <v>4</v>
      </c>
      <c r="G2960" s="551">
        <v>72162</v>
      </c>
      <c r="H2960" s="551">
        <v>23</v>
      </c>
      <c r="I2960" s="551">
        <v>8</v>
      </c>
      <c r="J2960" s="551">
        <v>4</v>
      </c>
      <c r="K2960" s="527">
        <f t="shared" si="1848"/>
        <v>0.0302036669283702</v>
      </c>
      <c r="L2960" s="528">
        <f t="shared" si="1849"/>
        <v>2.27983180428135</v>
      </c>
      <c r="M2960" s="528">
        <f t="shared" si="1850"/>
        <v>68.859280469219</v>
      </c>
      <c r="N2960" s="528">
        <f t="shared" si="1851"/>
        <v>48.3980657406724</v>
      </c>
      <c r="O2960" s="528">
        <f t="shared" si="1852"/>
        <v>0.00611620795107034</v>
      </c>
      <c r="P2960" s="529">
        <f t="shared" si="1853"/>
        <v>48.0970967741935</v>
      </c>
      <c r="Q2960" s="24">
        <f t="shared" si="1854"/>
        <v>31</v>
      </c>
      <c r="R2960" s="530">
        <f t="shared" si="1855"/>
        <v>0.0474006116207951</v>
      </c>
    </row>
    <row r="2961" spans="1:18">
      <c r="A2961" s="524"/>
      <c r="B2961" s="540" t="s">
        <v>99</v>
      </c>
      <c r="C2961" s="551">
        <v>5000</v>
      </c>
      <c r="D2961" s="556">
        <v>33875</v>
      </c>
      <c r="E2961" s="551">
        <v>1945</v>
      </c>
      <c r="F2961" s="551">
        <v>0</v>
      </c>
      <c r="G2961" s="551">
        <v>0</v>
      </c>
      <c r="H2961" s="555">
        <v>40</v>
      </c>
      <c r="I2961" s="555">
        <v>3</v>
      </c>
      <c r="J2961" s="555">
        <v>6</v>
      </c>
      <c r="K2961" s="527">
        <f t="shared" si="1848"/>
        <v>0.0574169741697417</v>
      </c>
      <c r="L2961" s="528">
        <f t="shared" si="1849"/>
        <v>2.5706940874036</v>
      </c>
      <c r="M2961" s="528">
        <f t="shared" si="1850"/>
        <v>147.60147601476</v>
      </c>
      <c r="N2961" s="528">
        <f t="shared" si="1851"/>
        <v>0</v>
      </c>
      <c r="O2961" s="528">
        <f t="shared" si="1852"/>
        <v>0</v>
      </c>
      <c r="P2961" s="529">
        <f t="shared" si="1853"/>
        <v>116.279069767442</v>
      </c>
      <c r="Q2961" s="24">
        <f t="shared" si="1854"/>
        <v>43</v>
      </c>
      <c r="R2961" s="530">
        <f t="shared" si="1855"/>
        <v>0.022107969151671</v>
      </c>
    </row>
    <row r="2962" spans="1:18">
      <c r="A2962" s="524"/>
      <c r="B2962" s="540" t="s">
        <v>100</v>
      </c>
      <c r="C2962" s="552">
        <v>0</v>
      </c>
      <c r="D2962" s="553">
        <v>0</v>
      </c>
      <c r="E2962" s="553">
        <v>0</v>
      </c>
      <c r="F2962" s="551">
        <v>0</v>
      </c>
      <c r="G2962" s="551">
        <v>0</v>
      </c>
      <c r="H2962" s="551">
        <v>0</v>
      </c>
      <c r="I2962" s="551">
        <v>0</v>
      </c>
      <c r="J2962" s="551">
        <v>0</v>
      </c>
      <c r="K2962" s="527">
        <f t="shared" si="1848"/>
        <v>0</v>
      </c>
      <c r="L2962" s="528">
        <f t="shared" si="1849"/>
        <v>0</v>
      </c>
      <c r="M2962" s="528">
        <f t="shared" si="1850"/>
        <v>0</v>
      </c>
      <c r="N2962" s="528">
        <f t="shared" si="1851"/>
        <v>0</v>
      </c>
      <c r="O2962" s="528">
        <f t="shared" si="1852"/>
        <v>0</v>
      </c>
      <c r="P2962" s="529">
        <f t="shared" si="1853"/>
        <v>0</v>
      </c>
      <c r="Q2962" s="24">
        <f t="shared" si="1854"/>
        <v>0</v>
      </c>
      <c r="R2962" s="530">
        <f t="shared" si="1855"/>
        <v>0</v>
      </c>
    </row>
    <row r="2963" spans="1:18">
      <c r="A2963" s="524"/>
      <c r="B2963" s="540" t="s">
        <v>101</v>
      </c>
      <c r="C2963" s="552">
        <v>0</v>
      </c>
      <c r="D2963" s="553">
        <v>0</v>
      </c>
      <c r="E2963" s="551">
        <v>0</v>
      </c>
      <c r="F2963" s="551">
        <v>0</v>
      </c>
      <c r="G2963" s="551">
        <v>0</v>
      </c>
      <c r="H2963" s="551">
        <v>0</v>
      </c>
      <c r="I2963" s="551">
        <v>0</v>
      </c>
      <c r="J2963" s="551">
        <v>0</v>
      </c>
      <c r="K2963" s="527">
        <f t="shared" si="1848"/>
        <v>0</v>
      </c>
      <c r="L2963" s="528">
        <f t="shared" si="1849"/>
        <v>0</v>
      </c>
      <c r="M2963" s="528">
        <f t="shared" si="1850"/>
        <v>0</v>
      </c>
      <c r="N2963" s="528">
        <f t="shared" si="1851"/>
        <v>0</v>
      </c>
      <c r="O2963" s="528">
        <f t="shared" si="1852"/>
        <v>0</v>
      </c>
      <c r="P2963" s="529">
        <f t="shared" si="1853"/>
        <v>0</v>
      </c>
      <c r="Q2963" s="24">
        <f t="shared" si="1854"/>
        <v>0</v>
      </c>
      <c r="R2963" s="530">
        <f t="shared" si="1855"/>
        <v>0</v>
      </c>
    </row>
    <row r="2964" spans="1:18">
      <c r="A2964" s="524"/>
      <c r="B2964" s="531" t="s">
        <v>96</v>
      </c>
      <c r="C2964" s="533">
        <f t="shared" ref="C2964:J2964" si="1860">SUM(C2960:C2963)</f>
        <v>6491.01</v>
      </c>
      <c r="D2964" s="533">
        <f t="shared" si="1860"/>
        <v>55528</v>
      </c>
      <c r="E2964" s="533">
        <f t="shared" si="1860"/>
        <v>2599</v>
      </c>
      <c r="F2964" s="533">
        <f t="shared" si="1860"/>
        <v>4</v>
      </c>
      <c r="G2964" s="533">
        <f t="shared" si="1860"/>
        <v>72162</v>
      </c>
      <c r="H2964" s="533">
        <f t="shared" si="1860"/>
        <v>63</v>
      </c>
      <c r="I2964" s="533">
        <f t="shared" si="1860"/>
        <v>11</v>
      </c>
      <c r="J2964" s="533">
        <f t="shared" si="1860"/>
        <v>10</v>
      </c>
      <c r="K2964" s="534">
        <f t="shared" si="1848"/>
        <v>0.0468052153868319</v>
      </c>
      <c r="L2964" s="535">
        <f t="shared" si="1849"/>
        <v>2.49750288572528</v>
      </c>
      <c r="M2964" s="535">
        <f t="shared" si="1850"/>
        <v>116.896160495606</v>
      </c>
      <c r="N2964" s="535">
        <f t="shared" si="1851"/>
        <v>11.117222127219</v>
      </c>
      <c r="O2964" s="535">
        <f t="shared" si="1852"/>
        <v>0.0015390534821085</v>
      </c>
      <c r="P2964" s="536">
        <f t="shared" si="1853"/>
        <v>87.7163513513513</v>
      </c>
      <c r="Q2964" s="531">
        <f t="shared" si="1854"/>
        <v>74</v>
      </c>
      <c r="R2964" s="537">
        <f t="shared" si="1855"/>
        <v>0.0284724894190073</v>
      </c>
    </row>
    <row r="2965" spans="1:18">
      <c r="A2965" s="524">
        <v>46043</v>
      </c>
      <c r="B2965" s="540" t="s">
        <v>98</v>
      </c>
      <c r="C2965" s="551">
        <v>1489.89</v>
      </c>
      <c r="D2965" s="553">
        <v>27045</v>
      </c>
      <c r="E2965" s="551">
        <v>711</v>
      </c>
      <c r="F2965" s="551">
        <v>0</v>
      </c>
      <c r="G2965" s="551">
        <v>0</v>
      </c>
      <c r="H2965" s="551">
        <v>26</v>
      </c>
      <c r="I2965" s="551">
        <v>11</v>
      </c>
      <c r="J2965" s="551">
        <v>4</v>
      </c>
      <c r="K2965" s="527">
        <f t="shared" si="1848"/>
        <v>0.0262895174708819</v>
      </c>
      <c r="L2965" s="528">
        <f t="shared" si="1849"/>
        <v>2.09548523206751</v>
      </c>
      <c r="M2965" s="528">
        <f t="shared" si="1850"/>
        <v>55.0892956184138</v>
      </c>
      <c r="N2965" s="528">
        <f t="shared" si="1851"/>
        <v>0</v>
      </c>
      <c r="O2965" s="528">
        <f t="shared" si="1852"/>
        <v>0</v>
      </c>
      <c r="P2965" s="529">
        <f t="shared" si="1853"/>
        <v>40.2672972972973</v>
      </c>
      <c r="Q2965" s="24">
        <f t="shared" si="1854"/>
        <v>37</v>
      </c>
      <c r="R2965" s="530">
        <f t="shared" si="1855"/>
        <v>0.0520393811533052</v>
      </c>
    </row>
    <row r="2966" spans="1:18">
      <c r="A2966" s="524"/>
      <c r="B2966" s="540" t="s">
        <v>99</v>
      </c>
      <c r="C2966" s="551">
        <v>5000</v>
      </c>
      <c r="D2966" s="556">
        <v>33908</v>
      </c>
      <c r="E2966" s="551">
        <v>1786</v>
      </c>
      <c r="F2966" s="551">
        <v>4</v>
      </c>
      <c r="G2966" s="551">
        <v>34555</v>
      </c>
      <c r="H2966" s="555">
        <v>21</v>
      </c>
      <c r="I2966" s="555">
        <v>3</v>
      </c>
      <c r="J2966" s="555">
        <v>11</v>
      </c>
      <c r="K2966" s="527">
        <f t="shared" si="1848"/>
        <v>0.0526719358263537</v>
      </c>
      <c r="L2966" s="528">
        <f t="shared" si="1849"/>
        <v>2.79955207166853</v>
      </c>
      <c r="M2966" s="528">
        <f t="shared" si="1850"/>
        <v>147.45782706146</v>
      </c>
      <c r="N2966" s="528">
        <f t="shared" si="1851"/>
        <v>6.911</v>
      </c>
      <c r="O2966" s="528">
        <f t="shared" si="1852"/>
        <v>0.00223964165733483</v>
      </c>
      <c r="P2966" s="529">
        <f t="shared" si="1853"/>
        <v>208.333333333333</v>
      </c>
      <c r="Q2966" s="24">
        <f t="shared" si="1854"/>
        <v>24</v>
      </c>
      <c r="R2966" s="530">
        <f t="shared" si="1855"/>
        <v>0.013437849944009</v>
      </c>
    </row>
    <row r="2967" spans="1:18">
      <c r="A2967" s="524"/>
      <c r="B2967" s="540" t="s">
        <v>100</v>
      </c>
      <c r="C2967" s="552">
        <v>0</v>
      </c>
      <c r="D2967" s="553">
        <v>0</v>
      </c>
      <c r="E2967" s="553">
        <v>0</v>
      </c>
      <c r="F2967" s="551">
        <v>0</v>
      </c>
      <c r="G2967" s="551">
        <v>0</v>
      </c>
      <c r="H2967" s="551">
        <v>0</v>
      </c>
      <c r="I2967" s="551">
        <v>0</v>
      </c>
      <c r="J2967" s="551">
        <v>0</v>
      </c>
      <c r="K2967" s="527">
        <f t="shared" si="1848"/>
        <v>0</v>
      </c>
      <c r="L2967" s="528">
        <f t="shared" si="1849"/>
        <v>0</v>
      </c>
      <c r="M2967" s="528">
        <f t="shared" si="1850"/>
        <v>0</v>
      </c>
      <c r="N2967" s="528">
        <f t="shared" si="1851"/>
        <v>0</v>
      </c>
      <c r="O2967" s="528">
        <f t="shared" si="1852"/>
        <v>0</v>
      </c>
      <c r="P2967" s="529">
        <f t="shared" si="1853"/>
        <v>0</v>
      </c>
      <c r="Q2967" s="24">
        <f t="shared" si="1854"/>
        <v>0</v>
      </c>
      <c r="R2967" s="530">
        <f t="shared" si="1855"/>
        <v>0</v>
      </c>
    </row>
    <row r="2968" spans="1:18">
      <c r="A2968" s="524"/>
      <c r="B2968" s="540" t="s">
        <v>101</v>
      </c>
      <c r="C2968" s="552">
        <v>0</v>
      </c>
      <c r="D2968" s="553">
        <v>0</v>
      </c>
      <c r="E2968" s="551">
        <v>0</v>
      </c>
      <c r="F2968" s="551">
        <v>0</v>
      </c>
      <c r="G2968" s="551">
        <v>0</v>
      </c>
      <c r="H2968" s="551">
        <v>0</v>
      </c>
      <c r="I2968" s="551">
        <v>0</v>
      </c>
      <c r="J2968" s="551">
        <v>0</v>
      </c>
      <c r="K2968" s="527">
        <f t="shared" si="1848"/>
        <v>0</v>
      </c>
      <c r="L2968" s="528">
        <f t="shared" si="1849"/>
        <v>0</v>
      </c>
      <c r="M2968" s="528">
        <f t="shared" si="1850"/>
        <v>0</v>
      </c>
      <c r="N2968" s="528">
        <f t="shared" si="1851"/>
        <v>0</v>
      </c>
      <c r="O2968" s="528">
        <f t="shared" si="1852"/>
        <v>0</v>
      </c>
      <c r="P2968" s="529">
        <f t="shared" si="1853"/>
        <v>0</v>
      </c>
      <c r="Q2968" s="24">
        <f t="shared" si="1854"/>
        <v>0</v>
      </c>
      <c r="R2968" s="530">
        <f t="shared" si="1855"/>
        <v>0</v>
      </c>
    </row>
    <row r="2969" spans="1:18">
      <c r="A2969" s="524"/>
      <c r="B2969" s="531" t="s">
        <v>96</v>
      </c>
      <c r="C2969" s="533">
        <f t="shared" ref="C2969:J2969" si="1861">SUM(C2965:C2968)</f>
        <v>6489.89</v>
      </c>
      <c r="D2969" s="533">
        <f t="shared" si="1861"/>
        <v>60953</v>
      </c>
      <c r="E2969" s="533">
        <f t="shared" si="1861"/>
        <v>2497</v>
      </c>
      <c r="F2969" s="533">
        <f t="shared" si="1861"/>
        <v>4</v>
      </c>
      <c r="G2969" s="533">
        <f t="shared" si="1861"/>
        <v>34555</v>
      </c>
      <c r="H2969" s="533">
        <f t="shared" si="1861"/>
        <v>47</v>
      </c>
      <c r="I2969" s="533">
        <f t="shared" si="1861"/>
        <v>14</v>
      </c>
      <c r="J2969" s="533">
        <f t="shared" si="1861"/>
        <v>15</v>
      </c>
      <c r="K2969" s="534">
        <f t="shared" si="1848"/>
        <v>0.0409659901891621</v>
      </c>
      <c r="L2969" s="535">
        <f t="shared" si="1849"/>
        <v>2.59907488986784</v>
      </c>
      <c r="M2969" s="535">
        <f t="shared" si="1850"/>
        <v>106.473676439224</v>
      </c>
      <c r="N2969" s="535">
        <f t="shared" si="1851"/>
        <v>5.32443539104669</v>
      </c>
      <c r="O2969" s="535">
        <f t="shared" si="1852"/>
        <v>0.00160192230676812</v>
      </c>
      <c r="P2969" s="536">
        <f t="shared" si="1853"/>
        <v>106.391639344262</v>
      </c>
      <c r="Q2969" s="531">
        <f t="shared" si="1854"/>
        <v>61</v>
      </c>
      <c r="R2969" s="537">
        <f t="shared" si="1855"/>
        <v>0.0244293151782139</v>
      </c>
    </row>
    <row r="2970" spans="1:18">
      <c r="A2970" s="524">
        <v>46044</v>
      </c>
      <c r="B2970" s="540" t="s">
        <v>98</v>
      </c>
      <c r="C2970" s="551">
        <v>1500</v>
      </c>
      <c r="D2970" s="553">
        <v>60588</v>
      </c>
      <c r="E2970" s="551">
        <v>1297</v>
      </c>
      <c r="F2970" s="551">
        <v>1</v>
      </c>
      <c r="G2970" s="551">
        <v>10706</v>
      </c>
      <c r="H2970" s="551">
        <v>33</v>
      </c>
      <c r="I2970" s="551">
        <v>13</v>
      </c>
      <c r="J2970" s="551">
        <v>3</v>
      </c>
      <c r="K2970" s="527">
        <f t="shared" si="1848"/>
        <v>0.0214068792500165</v>
      </c>
      <c r="L2970" s="528">
        <f t="shared" si="1849"/>
        <v>1.15651503469545</v>
      </c>
      <c r="M2970" s="528">
        <f t="shared" si="1850"/>
        <v>24.7573776985542</v>
      </c>
      <c r="N2970" s="528">
        <f t="shared" si="1851"/>
        <v>7.13733333333333</v>
      </c>
      <c r="O2970" s="528">
        <f t="shared" si="1852"/>
        <v>0.000771010023130301</v>
      </c>
      <c r="P2970" s="529">
        <f t="shared" si="1853"/>
        <v>32.6086956521739</v>
      </c>
      <c r="Q2970" s="24">
        <f t="shared" si="1854"/>
        <v>46</v>
      </c>
      <c r="R2970" s="530">
        <f t="shared" si="1855"/>
        <v>0.0354664610639938</v>
      </c>
    </row>
    <row r="2971" spans="1:18">
      <c r="A2971" s="524"/>
      <c r="B2971" s="540" t="s">
        <v>99</v>
      </c>
      <c r="C2971" s="551">
        <v>5000</v>
      </c>
      <c r="D2971" s="556">
        <v>29653</v>
      </c>
      <c r="E2971" s="551">
        <v>1987</v>
      </c>
      <c r="F2971" s="551">
        <v>1</v>
      </c>
      <c r="G2971" s="551">
        <v>7016</v>
      </c>
      <c r="H2971" s="555">
        <v>44</v>
      </c>
      <c r="I2971" s="555">
        <v>2</v>
      </c>
      <c r="J2971" s="555">
        <v>6</v>
      </c>
      <c r="K2971" s="527">
        <f t="shared" si="1848"/>
        <v>0.0670083971267663</v>
      </c>
      <c r="L2971" s="528">
        <f t="shared" si="1849"/>
        <v>2.51635631605435</v>
      </c>
      <c r="M2971" s="528">
        <f t="shared" si="1850"/>
        <v>168.617003338617</v>
      </c>
      <c r="N2971" s="528">
        <f t="shared" si="1851"/>
        <v>1.4032</v>
      </c>
      <c r="O2971" s="528">
        <f t="shared" si="1852"/>
        <v>0.000503271263210871</v>
      </c>
      <c r="P2971" s="529">
        <f t="shared" si="1853"/>
        <v>108.695652173913</v>
      </c>
      <c r="Q2971" s="24">
        <f t="shared" si="1854"/>
        <v>46</v>
      </c>
      <c r="R2971" s="530">
        <f t="shared" si="1855"/>
        <v>0.0231504781077</v>
      </c>
    </row>
    <row r="2972" spans="1:18">
      <c r="A2972" s="524"/>
      <c r="B2972" s="540" t="s">
        <v>100</v>
      </c>
      <c r="C2972" s="552">
        <v>0</v>
      </c>
      <c r="D2972" s="553">
        <v>0</v>
      </c>
      <c r="E2972" s="553">
        <v>0</v>
      </c>
      <c r="F2972" s="551">
        <v>0</v>
      </c>
      <c r="G2972" s="551">
        <v>0</v>
      </c>
      <c r="H2972" s="551">
        <v>0</v>
      </c>
      <c r="I2972" s="551">
        <v>0</v>
      </c>
      <c r="J2972" s="551">
        <v>0</v>
      </c>
      <c r="K2972" s="527">
        <f t="shared" si="1848"/>
        <v>0</v>
      </c>
      <c r="L2972" s="528">
        <f t="shared" si="1849"/>
        <v>0</v>
      </c>
      <c r="M2972" s="528">
        <f t="shared" si="1850"/>
        <v>0</v>
      </c>
      <c r="N2972" s="528">
        <f t="shared" si="1851"/>
        <v>0</v>
      </c>
      <c r="O2972" s="528">
        <f t="shared" si="1852"/>
        <v>0</v>
      </c>
      <c r="P2972" s="529">
        <f t="shared" si="1853"/>
        <v>0</v>
      </c>
      <c r="Q2972" s="24">
        <f t="shared" si="1854"/>
        <v>0</v>
      </c>
      <c r="R2972" s="530">
        <f t="shared" si="1855"/>
        <v>0</v>
      </c>
    </row>
    <row r="2973" spans="1:18">
      <c r="A2973" s="524"/>
      <c r="B2973" s="540" t="s">
        <v>101</v>
      </c>
      <c r="C2973" s="552">
        <v>0</v>
      </c>
      <c r="D2973" s="553">
        <v>0</v>
      </c>
      <c r="E2973" s="551">
        <v>0</v>
      </c>
      <c r="F2973" s="551">
        <v>0</v>
      </c>
      <c r="G2973" s="551">
        <v>0</v>
      </c>
      <c r="H2973" s="551">
        <v>0</v>
      </c>
      <c r="I2973" s="551">
        <v>0</v>
      </c>
      <c r="J2973" s="551">
        <v>0</v>
      </c>
      <c r="K2973" s="527">
        <f t="shared" si="1848"/>
        <v>0</v>
      </c>
      <c r="L2973" s="528">
        <f t="shared" si="1849"/>
        <v>0</v>
      </c>
      <c r="M2973" s="528">
        <f t="shared" si="1850"/>
        <v>0</v>
      </c>
      <c r="N2973" s="528">
        <f t="shared" si="1851"/>
        <v>0</v>
      </c>
      <c r="O2973" s="528">
        <f t="shared" si="1852"/>
        <v>0</v>
      </c>
      <c r="P2973" s="529">
        <f t="shared" si="1853"/>
        <v>0</v>
      </c>
      <c r="Q2973" s="24">
        <f t="shared" si="1854"/>
        <v>0</v>
      </c>
      <c r="R2973" s="530">
        <f t="shared" si="1855"/>
        <v>0</v>
      </c>
    </row>
    <row r="2974" spans="1:18">
      <c r="A2974" s="524"/>
      <c r="B2974" s="531" t="s">
        <v>96</v>
      </c>
      <c r="C2974" s="533">
        <f t="shared" ref="C2974:J2974" si="1862">SUM(C2970:C2973)</f>
        <v>6500</v>
      </c>
      <c r="D2974" s="533">
        <f t="shared" si="1862"/>
        <v>90241</v>
      </c>
      <c r="E2974" s="533">
        <f t="shared" si="1862"/>
        <v>3284</v>
      </c>
      <c r="F2974" s="533">
        <f t="shared" si="1862"/>
        <v>2</v>
      </c>
      <c r="G2974" s="533">
        <f t="shared" si="1862"/>
        <v>17722</v>
      </c>
      <c r="H2974" s="533">
        <f t="shared" si="1862"/>
        <v>77</v>
      </c>
      <c r="I2974" s="533">
        <f t="shared" si="1862"/>
        <v>15</v>
      </c>
      <c r="J2974" s="533">
        <f t="shared" si="1862"/>
        <v>9</v>
      </c>
      <c r="K2974" s="534">
        <f t="shared" si="1848"/>
        <v>0.0363914406976873</v>
      </c>
      <c r="L2974" s="535">
        <f t="shared" si="1849"/>
        <v>1.97929354445798</v>
      </c>
      <c r="M2974" s="535">
        <f t="shared" si="1850"/>
        <v>72.0293436464578</v>
      </c>
      <c r="N2974" s="535">
        <f t="shared" si="1851"/>
        <v>2.72646153846154</v>
      </c>
      <c r="O2974" s="535">
        <f t="shared" si="1852"/>
        <v>0.000609013398294762</v>
      </c>
      <c r="P2974" s="536">
        <f t="shared" si="1853"/>
        <v>70.6521739130435</v>
      </c>
      <c r="Q2974" s="531">
        <f t="shared" si="1854"/>
        <v>92</v>
      </c>
      <c r="R2974" s="537">
        <f t="shared" si="1855"/>
        <v>0.0280146163215591</v>
      </c>
    </row>
    <row r="2975" spans="1:18">
      <c r="A2975" s="524">
        <v>46045</v>
      </c>
      <c r="B2975" s="540" t="s">
        <v>98</v>
      </c>
      <c r="C2975" s="551">
        <v>1500</v>
      </c>
      <c r="D2975" s="553">
        <v>68775</v>
      </c>
      <c r="E2975" s="551">
        <v>1368</v>
      </c>
      <c r="F2975" s="551">
        <v>1</v>
      </c>
      <c r="G2975" s="551">
        <v>13373</v>
      </c>
      <c r="H2975" s="551">
        <v>31</v>
      </c>
      <c r="I2975" s="551">
        <v>15</v>
      </c>
      <c r="J2975" s="551">
        <v>5</v>
      </c>
      <c r="K2975" s="527">
        <f t="shared" si="1848"/>
        <v>0.0198909487459106</v>
      </c>
      <c r="L2975" s="528">
        <f t="shared" si="1849"/>
        <v>1.09649122807018</v>
      </c>
      <c r="M2975" s="528">
        <f t="shared" si="1850"/>
        <v>21.8102508178844</v>
      </c>
      <c r="N2975" s="528">
        <f t="shared" si="1851"/>
        <v>8.91533333333333</v>
      </c>
      <c r="O2975" s="528">
        <f t="shared" si="1852"/>
        <v>0.000730994152046784</v>
      </c>
      <c r="P2975" s="529">
        <f t="shared" si="1853"/>
        <v>32.6086956521739</v>
      </c>
      <c r="Q2975" s="24">
        <f t="shared" si="1854"/>
        <v>46</v>
      </c>
      <c r="R2975" s="530">
        <f t="shared" si="1855"/>
        <v>0.033625730994152</v>
      </c>
    </row>
    <row r="2976" spans="1:18">
      <c r="A2976" s="524"/>
      <c r="B2976" s="540" t="s">
        <v>99</v>
      </c>
      <c r="C2976" s="551">
        <v>1500</v>
      </c>
      <c r="D2976" s="556">
        <v>12652</v>
      </c>
      <c r="E2976" s="551">
        <v>1987</v>
      </c>
      <c r="F2976" s="551">
        <v>1</v>
      </c>
      <c r="G2976" s="551">
        <v>14552</v>
      </c>
      <c r="H2976" s="555">
        <v>10</v>
      </c>
      <c r="I2976" s="555">
        <v>0</v>
      </c>
      <c r="J2976" s="555">
        <v>1</v>
      </c>
      <c r="K2976" s="527">
        <f t="shared" si="1848"/>
        <v>0.157050268732216</v>
      </c>
      <c r="L2976" s="528">
        <f t="shared" si="1849"/>
        <v>0.754906894816306</v>
      </c>
      <c r="M2976" s="528">
        <f t="shared" si="1850"/>
        <v>118.558330698704</v>
      </c>
      <c r="N2976" s="528">
        <f t="shared" si="1851"/>
        <v>9.70133333333333</v>
      </c>
      <c r="O2976" s="528">
        <f t="shared" si="1852"/>
        <v>0.000503271263210871</v>
      </c>
      <c r="P2976" s="529">
        <f t="shared" si="1853"/>
        <v>150</v>
      </c>
      <c r="Q2976" s="24">
        <f t="shared" si="1854"/>
        <v>10</v>
      </c>
      <c r="R2976" s="530">
        <f t="shared" si="1855"/>
        <v>0.00503271263210871</v>
      </c>
    </row>
    <row r="2977" spans="1:18">
      <c r="A2977" s="524"/>
      <c r="B2977" s="540" t="s">
        <v>100</v>
      </c>
      <c r="C2977" s="552">
        <v>0</v>
      </c>
      <c r="D2977" s="553">
        <v>0</v>
      </c>
      <c r="E2977" s="553">
        <v>0</v>
      </c>
      <c r="F2977" s="551">
        <v>0</v>
      </c>
      <c r="G2977" s="551">
        <v>0</v>
      </c>
      <c r="H2977" s="551">
        <v>0</v>
      </c>
      <c r="I2977" s="551">
        <v>0</v>
      </c>
      <c r="J2977" s="551">
        <v>0</v>
      </c>
      <c r="K2977" s="527">
        <f t="shared" si="1848"/>
        <v>0</v>
      </c>
      <c r="L2977" s="528">
        <f t="shared" si="1849"/>
        <v>0</v>
      </c>
      <c r="M2977" s="528">
        <f t="shared" si="1850"/>
        <v>0</v>
      </c>
      <c r="N2977" s="528">
        <f t="shared" si="1851"/>
        <v>0</v>
      </c>
      <c r="O2977" s="528">
        <f t="shared" si="1852"/>
        <v>0</v>
      </c>
      <c r="P2977" s="529">
        <f t="shared" si="1853"/>
        <v>0</v>
      </c>
      <c r="Q2977" s="24">
        <f t="shared" si="1854"/>
        <v>0</v>
      </c>
      <c r="R2977" s="530">
        <f t="shared" si="1855"/>
        <v>0</v>
      </c>
    </row>
    <row r="2978" spans="1:18">
      <c r="A2978" s="524"/>
      <c r="B2978" s="540" t="s">
        <v>101</v>
      </c>
      <c r="C2978" s="552">
        <v>0</v>
      </c>
      <c r="D2978" s="553">
        <v>0</v>
      </c>
      <c r="E2978" s="551">
        <v>0</v>
      </c>
      <c r="F2978" s="551">
        <v>0</v>
      </c>
      <c r="G2978" s="551">
        <v>0</v>
      </c>
      <c r="H2978" s="551">
        <v>0</v>
      </c>
      <c r="I2978" s="551">
        <v>0</v>
      </c>
      <c r="J2978" s="551">
        <v>0</v>
      </c>
      <c r="K2978" s="527">
        <f t="shared" si="1848"/>
        <v>0</v>
      </c>
      <c r="L2978" s="528">
        <f t="shared" si="1849"/>
        <v>0</v>
      </c>
      <c r="M2978" s="528">
        <f t="shared" si="1850"/>
        <v>0</v>
      </c>
      <c r="N2978" s="528">
        <f t="shared" si="1851"/>
        <v>0</v>
      </c>
      <c r="O2978" s="528">
        <f t="shared" si="1852"/>
        <v>0</v>
      </c>
      <c r="P2978" s="529">
        <f t="shared" si="1853"/>
        <v>0</v>
      </c>
      <c r="Q2978" s="24">
        <f t="shared" si="1854"/>
        <v>0</v>
      </c>
      <c r="R2978" s="530">
        <f t="shared" si="1855"/>
        <v>0</v>
      </c>
    </row>
    <row r="2979" spans="1:18">
      <c r="A2979" s="524"/>
      <c r="B2979" s="531" t="s">
        <v>96</v>
      </c>
      <c r="C2979" s="533">
        <f t="shared" ref="C2979:J2979" si="1863">SUM(C2975:C2978)</f>
        <v>3000</v>
      </c>
      <c r="D2979" s="533">
        <f t="shared" si="1863"/>
        <v>81427</v>
      </c>
      <c r="E2979" s="533">
        <f t="shared" si="1863"/>
        <v>3355</v>
      </c>
      <c r="F2979" s="533">
        <f t="shared" si="1863"/>
        <v>2</v>
      </c>
      <c r="G2979" s="533">
        <f t="shared" si="1863"/>
        <v>27925</v>
      </c>
      <c r="H2979" s="533">
        <f t="shared" si="1863"/>
        <v>41</v>
      </c>
      <c r="I2979" s="533">
        <f t="shared" si="1863"/>
        <v>15</v>
      </c>
      <c r="J2979" s="533">
        <f t="shared" si="1863"/>
        <v>6</v>
      </c>
      <c r="K2979" s="534">
        <f t="shared" si="1848"/>
        <v>0.0412025495228855</v>
      </c>
      <c r="L2979" s="535">
        <f t="shared" si="1849"/>
        <v>0.894187779433681</v>
      </c>
      <c r="M2979" s="535">
        <f t="shared" si="1850"/>
        <v>36.8428162648753</v>
      </c>
      <c r="N2979" s="535">
        <f t="shared" si="1851"/>
        <v>9.30833333333333</v>
      </c>
      <c r="O2979" s="535">
        <f t="shared" si="1852"/>
        <v>0.000596125186289121</v>
      </c>
      <c r="P2979" s="536">
        <f t="shared" si="1853"/>
        <v>53.5714285714286</v>
      </c>
      <c r="Q2979" s="531">
        <f t="shared" si="1854"/>
        <v>56</v>
      </c>
      <c r="R2979" s="537">
        <f t="shared" si="1855"/>
        <v>0.0166915052160954</v>
      </c>
    </row>
    <row r="2980" spans="1:18">
      <c r="A2980" s="524">
        <v>46046</v>
      </c>
      <c r="B2980" s="540" t="s">
        <v>98</v>
      </c>
      <c r="C2980" s="551">
        <v>1498.88</v>
      </c>
      <c r="D2980" s="553">
        <v>37185</v>
      </c>
      <c r="E2980" s="551">
        <v>1013</v>
      </c>
      <c r="F2980" s="551">
        <v>0</v>
      </c>
      <c r="G2980" s="551">
        <v>0</v>
      </c>
      <c r="H2980" s="551">
        <v>35</v>
      </c>
      <c r="I2980" s="551">
        <v>11</v>
      </c>
      <c r="J2980" s="551">
        <v>2</v>
      </c>
      <c r="K2980" s="527">
        <f t="shared" si="1848"/>
        <v>0.027242167540675</v>
      </c>
      <c r="L2980" s="528">
        <f t="shared" si="1849"/>
        <v>1.47964461994077</v>
      </c>
      <c r="M2980" s="528">
        <f t="shared" si="1850"/>
        <v>40.3087266370848</v>
      </c>
      <c r="N2980" s="528">
        <f t="shared" si="1851"/>
        <v>0</v>
      </c>
      <c r="O2980" s="528">
        <f t="shared" si="1852"/>
        <v>0</v>
      </c>
      <c r="P2980" s="529">
        <f t="shared" si="1853"/>
        <v>32.584347826087</v>
      </c>
      <c r="Q2980" s="24">
        <f t="shared" si="1854"/>
        <v>46</v>
      </c>
      <c r="R2980" s="530">
        <f t="shared" si="1855"/>
        <v>0.0454096742349457</v>
      </c>
    </row>
    <row r="2981" spans="1:18">
      <c r="A2981" s="524"/>
      <c r="B2981" s="540" t="s">
        <v>99</v>
      </c>
      <c r="C2981" s="551">
        <v>0</v>
      </c>
      <c r="D2981" s="556">
        <v>0</v>
      </c>
      <c r="E2981" s="551">
        <v>0</v>
      </c>
      <c r="F2981" s="551">
        <v>0</v>
      </c>
      <c r="G2981" s="551">
        <v>0</v>
      </c>
      <c r="H2981" s="555">
        <v>0</v>
      </c>
      <c r="I2981" s="555">
        <v>0</v>
      </c>
      <c r="J2981" s="555">
        <v>0</v>
      </c>
      <c r="K2981" s="527">
        <f t="shared" si="1848"/>
        <v>0</v>
      </c>
      <c r="L2981" s="528">
        <f t="shared" si="1849"/>
        <v>0</v>
      </c>
      <c r="M2981" s="528">
        <f t="shared" si="1850"/>
        <v>0</v>
      </c>
      <c r="N2981" s="528">
        <f t="shared" si="1851"/>
        <v>0</v>
      </c>
      <c r="O2981" s="528">
        <f t="shared" si="1852"/>
        <v>0</v>
      </c>
      <c r="P2981" s="529">
        <f t="shared" si="1853"/>
        <v>0</v>
      </c>
      <c r="Q2981" s="24">
        <f t="shared" si="1854"/>
        <v>0</v>
      </c>
      <c r="R2981" s="530">
        <f t="shared" si="1855"/>
        <v>0</v>
      </c>
    </row>
    <row r="2982" spans="1:18">
      <c r="A2982" s="524"/>
      <c r="B2982" s="540" t="s">
        <v>100</v>
      </c>
      <c r="C2982" s="552">
        <v>0</v>
      </c>
      <c r="D2982" s="553">
        <v>0</v>
      </c>
      <c r="E2982" s="553">
        <v>0</v>
      </c>
      <c r="F2982" s="551">
        <v>0</v>
      </c>
      <c r="G2982" s="551">
        <v>0</v>
      </c>
      <c r="H2982" s="551">
        <v>0</v>
      </c>
      <c r="I2982" s="551">
        <v>0</v>
      </c>
      <c r="J2982" s="551">
        <v>0</v>
      </c>
      <c r="K2982" s="527">
        <f t="shared" si="1848"/>
        <v>0</v>
      </c>
      <c r="L2982" s="528">
        <f t="shared" si="1849"/>
        <v>0</v>
      </c>
      <c r="M2982" s="528">
        <f t="shared" si="1850"/>
        <v>0</v>
      </c>
      <c r="N2982" s="528">
        <f t="shared" si="1851"/>
        <v>0</v>
      </c>
      <c r="O2982" s="528">
        <f t="shared" si="1852"/>
        <v>0</v>
      </c>
      <c r="P2982" s="529">
        <f t="shared" si="1853"/>
        <v>0</v>
      </c>
      <c r="Q2982" s="24">
        <f t="shared" si="1854"/>
        <v>0</v>
      </c>
      <c r="R2982" s="530">
        <f t="shared" si="1855"/>
        <v>0</v>
      </c>
    </row>
    <row r="2983" spans="1:18">
      <c r="A2983" s="524"/>
      <c r="B2983" s="540" t="s">
        <v>101</v>
      </c>
      <c r="C2983" s="552">
        <v>0</v>
      </c>
      <c r="D2983" s="553">
        <v>0</v>
      </c>
      <c r="E2983" s="551">
        <v>0</v>
      </c>
      <c r="F2983" s="551">
        <v>0</v>
      </c>
      <c r="G2983" s="551">
        <v>0</v>
      </c>
      <c r="H2983" s="551">
        <v>0</v>
      </c>
      <c r="I2983" s="551">
        <v>0</v>
      </c>
      <c r="J2983" s="551">
        <v>0</v>
      </c>
      <c r="K2983" s="527">
        <f t="shared" si="1848"/>
        <v>0</v>
      </c>
      <c r="L2983" s="528">
        <f t="shared" si="1849"/>
        <v>0</v>
      </c>
      <c r="M2983" s="528">
        <f t="shared" si="1850"/>
        <v>0</v>
      </c>
      <c r="N2983" s="528">
        <f t="shared" si="1851"/>
        <v>0</v>
      </c>
      <c r="O2983" s="528">
        <f t="shared" si="1852"/>
        <v>0</v>
      </c>
      <c r="P2983" s="529">
        <f t="shared" si="1853"/>
        <v>0</v>
      </c>
      <c r="Q2983" s="24">
        <f t="shared" si="1854"/>
        <v>0</v>
      </c>
      <c r="R2983" s="530">
        <f t="shared" si="1855"/>
        <v>0</v>
      </c>
    </row>
    <row r="2984" spans="1:18">
      <c r="A2984" s="524"/>
      <c r="B2984" s="531" t="s">
        <v>96</v>
      </c>
      <c r="C2984" s="533">
        <f t="shared" ref="C2984:J2984" si="1864">SUM(C2980:C2983)</f>
        <v>1498.88</v>
      </c>
      <c r="D2984" s="533">
        <f t="shared" si="1864"/>
        <v>37185</v>
      </c>
      <c r="E2984" s="533">
        <f t="shared" si="1864"/>
        <v>1013</v>
      </c>
      <c r="F2984" s="533">
        <f t="shared" si="1864"/>
        <v>0</v>
      </c>
      <c r="G2984" s="533">
        <f t="shared" si="1864"/>
        <v>0</v>
      </c>
      <c r="H2984" s="533">
        <f t="shared" si="1864"/>
        <v>35</v>
      </c>
      <c r="I2984" s="533">
        <f t="shared" si="1864"/>
        <v>11</v>
      </c>
      <c r="J2984" s="533">
        <f t="shared" si="1864"/>
        <v>2</v>
      </c>
      <c r="K2984" s="534">
        <f t="shared" si="1848"/>
        <v>0.027242167540675</v>
      </c>
      <c r="L2984" s="535">
        <f t="shared" si="1849"/>
        <v>1.47964461994077</v>
      </c>
      <c r="M2984" s="535">
        <f t="shared" si="1850"/>
        <v>40.3087266370848</v>
      </c>
      <c r="N2984" s="535">
        <f t="shared" si="1851"/>
        <v>0</v>
      </c>
      <c r="O2984" s="535">
        <f t="shared" si="1852"/>
        <v>0</v>
      </c>
      <c r="P2984" s="536">
        <f t="shared" si="1853"/>
        <v>32.584347826087</v>
      </c>
      <c r="Q2984" s="531">
        <f t="shared" si="1854"/>
        <v>46</v>
      </c>
      <c r="R2984" s="537">
        <f t="shared" si="1855"/>
        <v>0.0454096742349457</v>
      </c>
    </row>
    <row r="2985" spans="1:18">
      <c r="A2985" s="524">
        <v>46047</v>
      </c>
      <c r="B2985" s="540" t="s">
        <v>98</v>
      </c>
      <c r="C2985" s="551">
        <v>1497.69</v>
      </c>
      <c r="D2985" s="553">
        <v>44208</v>
      </c>
      <c r="E2985" s="551">
        <v>1107</v>
      </c>
      <c r="F2985" s="551">
        <v>2</v>
      </c>
      <c r="G2985" s="551">
        <v>22865</v>
      </c>
      <c r="H2985" s="551">
        <v>39</v>
      </c>
      <c r="I2985" s="551">
        <v>9</v>
      </c>
      <c r="J2985" s="551">
        <v>5</v>
      </c>
      <c r="K2985" s="527">
        <f t="shared" si="1848"/>
        <v>0.0250407166123779</v>
      </c>
      <c r="L2985" s="528">
        <f t="shared" si="1849"/>
        <v>1.35292682926829</v>
      </c>
      <c r="M2985" s="528">
        <f t="shared" si="1850"/>
        <v>33.8782573289902</v>
      </c>
      <c r="N2985" s="528">
        <f t="shared" si="1851"/>
        <v>15.2668442735145</v>
      </c>
      <c r="O2985" s="528">
        <f t="shared" si="1852"/>
        <v>0.001806684733514</v>
      </c>
      <c r="P2985" s="529">
        <f t="shared" si="1853"/>
        <v>31.201875</v>
      </c>
      <c r="Q2985" s="24">
        <f t="shared" si="1854"/>
        <v>48</v>
      </c>
      <c r="R2985" s="530">
        <f t="shared" si="1855"/>
        <v>0.043360433604336</v>
      </c>
    </row>
    <row r="2986" spans="1:18">
      <c r="A2986" s="524"/>
      <c r="B2986" s="540" t="s">
        <v>99</v>
      </c>
      <c r="C2986" s="551">
        <v>1500</v>
      </c>
      <c r="D2986" s="556">
        <v>21447</v>
      </c>
      <c r="E2986" s="551">
        <v>551</v>
      </c>
      <c r="F2986" s="551">
        <v>1</v>
      </c>
      <c r="G2986" s="551">
        <v>24348</v>
      </c>
      <c r="H2986" s="555">
        <v>17</v>
      </c>
      <c r="I2986" s="555">
        <v>3</v>
      </c>
      <c r="J2986" s="555">
        <v>1</v>
      </c>
      <c r="K2986" s="527">
        <f t="shared" si="1848"/>
        <v>0.0256912388679069</v>
      </c>
      <c r="L2986" s="528">
        <f t="shared" si="1849"/>
        <v>2.72232304900181</v>
      </c>
      <c r="M2986" s="528">
        <f t="shared" si="1850"/>
        <v>69.9398517275143</v>
      </c>
      <c r="N2986" s="528">
        <f t="shared" si="1851"/>
        <v>16.232</v>
      </c>
      <c r="O2986" s="528">
        <f t="shared" si="1852"/>
        <v>0.00181488203266788</v>
      </c>
      <c r="P2986" s="529">
        <f t="shared" si="1853"/>
        <v>75</v>
      </c>
      <c r="Q2986" s="24">
        <f t="shared" si="1854"/>
        <v>20</v>
      </c>
      <c r="R2986" s="530">
        <f t="shared" si="1855"/>
        <v>0.0362976406533575</v>
      </c>
    </row>
    <row r="2987" spans="1:18">
      <c r="A2987" s="524"/>
      <c r="B2987" s="540" t="s">
        <v>100</v>
      </c>
      <c r="C2987" s="552">
        <v>0</v>
      </c>
      <c r="D2987" s="553">
        <v>0</v>
      </c>
      <c r="E2987" s="553">
        <v>0</v>
      </c>
      <c r="F2987" s="551">
        <v>0</v>
      </c>
      <c r="G2987" s="551">
        <v>0</v>
      </c>
      <c r="H2987" s="551">
        <v>0</v>
      </c>
      <c r="I2987" s="551">
        <v>0</v>
      </c>
      <c r="J2987" s="551">
        <v>0</v>
      </c>
      <c r="K2987" s="527">
        <f t="shared" si="1848"/>
        <v>0</v>
      </c>
      <c r="L2987" s="528">
        <f t="shared" si="1849"/>
        <v>0</v>
      </c>
      <c r="M2987" s="528">
        <f t="shared" si="1850"/>
        <v>0</v>
      </c>
      <c r="N2987" s="528">
        <f t="shared" si="1851"/>
        <v>0</v>
      </c>
      <c r="O2987" s="528">
        <f t="shared" si="1852"/>
        <v>0</v>
      </c>
      <c r="P2987" s="529">
        <f t="shared" si="1853"/>
        <v>0</v>
      </c>
      <c r="Q2987" s="24">
        <f t="shared" si="1854"/>
        <v>0</v>
      </c>
      <c r="R2987" s="530">
        <f t="shared" si="1855"/>
        <v>0</v>
      </c>
    </row>
    <row r="2988" spans="1:18">
      <c r="A2988" s="524"/>
      <c r="B2988" s="540" t="s">
        <v>101</v>
      </c>
      <c r="C2988" s="552">
        <v>0</v>
      </c>
      <c r="D2988" s="553">
        <v>0</v>
      </c>
      <c r="E2988" s="551">
        <v>0</v>
      </c>
      <c r="F2988" s="551">
        <v>0</v>
      </c>
      <c r="G2988" s="551">
        <v>0</v>
      </c>
      <c r="H2988" s="551">
        <v>0</v>
      </c>
      <c r="I2988" s="551">
        <v>0</v>
      </c>
      <c r="J2988" s="551">
        <v>0</v>
      </c>
      <c r="K2988" s="527">
        <f t="shared" si="1848"/>
        <v>0</v>
      </c>
      <c r="L2988" s="528">
        <f t="shared" si="1849"/>
        <v>0</v>
      </c>
      <c r="M2988" s="528">
        <f t="shared" si="1850"/>
        <v>0</v>
      </c>
      <c r="N2988" s="528">
        <f t="shared" si="1851"/>
        <v>0</v>
      </c>
      <c r="O2988" s="528">
        <f t="shared" si="1852"/>
        <v>0</v>
      </c>
      <c r="P2988" s="529">
        <f t="shared" si="1853"/>
        <v>0</v>
      </c>
      <c r="Q2988" s="24">
        <f t="shared" si="1854"/>
        <v>0</v>
      </c>
      <c r="R2988" s="530">
        <f t="shared" si="1855"/>
        <v>0</v>
      </c>
    </row>
    <row r="2989" spans="1:18">
      <c r="A2989" s="524"/>
      <c r="B2989" s="531" t="s">
        <v>96</v>
      </c>
      <c r="C2989" s="533">
        <f t="shared" ref="C2989:J2989" si="1865">SUM(C2985:C2988)</f>
        <v>2997.69</v>
      </c>
      <c r="D2989" s="533">
        <f t="shared" si="1865"/>
        <v>65655</v>
      </c>
      <c r="E2989" s="533">
        <f t="shared" si="1865"/>
        <v>1658</v>
      </c>
      <c r="F2989" s="533">
        <f t="shared" si="1865"/>
        <v>3</v>
      </c>
      <c r="G2989" s="533">
        <f t="shared" si="1865"/>
        <v>47213</v>
      </c>
      <c r="H2989" s="533">
        <f t="shared" si="1865"/>
        <v>56</v>
      </c>
      <c r="I2989" s="533">
        <f t="shared" si="1865"/>
        <v>12</v>
      </c>
      <c r="J2989" s="533">
        <f t="shared" si="1865"/>
        <v>6</v>
      </c>
      <c r="K2989" s="534">
        <f t="shared" si="1848"/>
        <v>0.0252532175767268</v>
      </c>
      <c r="L2989" s="535">
        <f t="shared" si="1849"/>
        <v>1.80801568154403</v>
      </c>
      <c r="M2989" s="535">
        <f t="shared" si="1850"/>
        <v>45.6582133881654</v>
      </c>
      <c r="N2989" s="535">
        <f t="shared" si="1851"/>
        <v>15.7497940080529</v>
      </c>
      <c r="O2989" s="535">
        <f t="shared" si="1852"/>
        <v>0.00180940892641737</v>
      </c>
      <c r="P2989" s="536">
        <f t="shared" si="1853"/>
        <v>44.0836764705882</v>
      </c>
      <c r="Q2989" s="531">
        <f t="shared" si="1854"/>
        <v>68</v>
      </c>
      <c r="R2989" s="537">
        <f t="shared" si="1855"/>
        <v>0.0410132689987937</v>
      </c>
    </row>
    <row r="2990" spans="1:18">
      <c r="A2990" s="524">
        <v>46048</v>
      </c>
      <c r="B2990" s="540" t="s">
        <v>98</v>
      </c>
      <c r="C2990" s="551">
        <v>1500</v>
      </c>
      <c r="D2990" s="553">
        <v>15821</v>
      </c>
      <c r="E2990" s="551">
        <v>584</v>
      </c>
      <c r="F2990" s="551">
        <v>0</v>
      </c>
      <c r="G2990" s="551">
        <v>0</v>
      </c>
      <c r="H2990" s="551">
        <v>20</v>
      </c>
      <c r="I2990" s="551">
        <v>2</v>
      </c>
      <c r="J2990" s="551">
        <v>1</v>
      </c>
      <c r="K2990" s="527">
        <f t="shared" si="1848"/>
        <v>0.0369129637823146</v>
      </c>
      <c r="L2990" s="528">
        <f t="shared" si="1849"/>
        <v>2.56849315068493</v>
      </c>
      <c r="M2990" s="528">
        <f t="shared" si="1850"/>
        <v>94.8106946463561</v>
      </c>
      <c r="N2990" s="528">
        <f t="shared" si="1851"/>
        <v>0</v>
      </c>
      <c r="O2990" s="528">
        <f t="shared" si="1852"/>
        <v>0</v>
      </c>
      <c r="P2990" s="529">
        <f t="shared" si="1853"/>
        <v>68.1818181818182</v>
      </c>
      <c r="Q2990" s="24">
        <f t="shared" si="1854"/>
        <v>22</v>
      </c>
      <c r="R2990" s="530">
        <f t="shared" si="1855"/>
        <v>0.0376712328767123</v>
      </c>
    </row>
    <row r="2991" spans="1:18">
      <c r="A2991" s="524"/>
      <c r="B2991" s="540" t="s">
        <v>99</v>
      </c>
      <c r="C2991" s="551">
        <v>1489.08</v>
      </c>
      <c r="D2991" s="556">
        <v>15293</v>
      </c>
      <c r="E2991" s="551">
        <v>541</v>
      </c>
      <c r="F2991" s="551">
        <v>5</v>
      </c>
      <c r="G2991" s="551">
        <v>40684</v>
      </c>
      <c r="H2991" s="555">
        <v>33</v>
      </c>
      <c r="I2991" s="555">
        <v>2</v>
      </c>
      <c r="J2991" s="555">
        <v>4</v>
      </c>
      <c r="K2991" s="527">
        <f t="shared" si="1848"/>
        <v>0.0353756620676126</v>
      </c>
      <c r="L2991" s="528">
        <f t="shared" si="1849"/>
        <v>2.7524584103512</v>
      </c>
      <c r="M2991" s="528">
        <f t="shared" si="1850"/>
        <v>97.3700385797424</v>
      </c>
      <c r="N2991" s="528">
        <f t="shared" si="1851"/>
        <v>27.3215676793725</v>
      </c>
      <c r="O2991" s="528">
        <f t="shared" si="1852"/>
        <v>0.00924214417744917</v>
      </c>
      <c r="P2991" s="529">
        <f t="shared" si="1853"/>
        <v>42.5451428571429</v>
      </c>
      <c r="Q2991" s="24">
        <f t="shared" si="1854"/>
        <v>35</v>
      </c>
      <c r="R2991" s="530">
        <f t="shared" si="1855"/>
        <v>0.0646950092421442</v>
      </c>
    </row>
    <row r="2992" spans="1:18">
      <c r="A2992" s="524"/>
      <c r="B2992" s="540" t="s">
        <v>100</v>
      </c>
      <c r="C2992" s="552">
        <v>0</v>
      </c>
      <c r="D2992" s="553">
        <v>0</v>
      </c>
      <c r="E2992" s="553">
        <v>0</v>
      </c>
      <c r="F2992" s="551">
        <v>0</v>
      </c>
      <c r="G2992" s="551">
        <v>0</v>
      </c>
      <c r="H2992" s="551">
        <v>0</v>
      </c>
      <c r="I2992" s="551">
        <v>0</v>
      </c>
      <c r="J2992" s="551">
        <v>0</v>
      </c>
      <c r="K2992" s="527">
        <f t="shared" si="1848"/>
        <v>0</v>
      </c>
      <c r="L2992" s="528">
        <f t="shared" si="1849"/>
        <v>0</v>
      </c>
      <c r="M2992" s="528">
        <f t="shared" si="1850"/>
        <v>0</v>
      </c>
      <c r="N2992" s="528">
        <f t="shared" si="1851"/>
        <v>0</v>
      </c>
      <c r="O2992" s="528">
        <f t="shared" si="1852"/>
        <v>0</v>
      </c>
      <c r="P2992" s="529">
        <f t="shared" si="1853"/>
        <v>0</v>
      </c>
      <c r="Q2992" s="24">
        <f t="shared" si="1854"/>
        <v>0</v>
      </c>
      <c r="R2992" s="530">
        <f t="shared" si="1855"/>
        <v>0</v>
      </c>
    </row>
    <row r="2993" spans="1:18">
      <c r="A2993" s="524"/>
      <c r="B2993" s="540" t="s">
        <v>101</v>
      </c>
      <c r="C2993" s="552">
        <v>0</v>
      </c>
      <c r="D2993" s="553">
        <v>0</v>
      </c>
      <c r="E2993" s="551">
        <v>0</v>
      </c>
      <c r="F2993" s="551">
        <v>0</v>
      </c>
      <c r="G2993" s="551">
        <v>0</v>
      </c>
      <c r="H2993" s="551">
        <v>0</v>
      </c>
      <c r="I2993" s="551">
        <v>0</v>
      </c>
      <c r="J2993" s="551">
        <v>0</v>
      </c>
      <c r="K2993" s="527">
        <f t="shared" si="1848"/>
        <v>0</v>
      </c>
      <c r="L2993" s="528">
        <f t="shared" si="1849"/>
        <v>0</v>
      </c>
      <c r="M2993" s="528">
        <f t="shared" si="1850"/>
        <v>0</v>
      </c>
      <c r="N2993" s="528">
        <f t="shared" si="1851"/>
        <v>0</v>
      </c>
      <c r="O2993" s="528">
        <f t="shared" si="1852"/>
        <v>0</v>
      </c>
      <c r="P2993" s="529">
        <f t="shared" si="1853"/>
        <v>0</v>
      </c>
      <c r="Q2993" s="24">
        <f t="shared" si="1854"/>
        <v>0</v>
      </c>
      <c r="R2993" s="530">
        <f t="shared" si="1855"/>
        <v>0</v>
      </c>
    </row>
    <row r="2994" spans="1:18">
      <c r="A2994" s="524"/>
      <c r="B2994" s="531" t="s">
        <v>96</v>
      </c>
      <c r="C2994" s="533">
        <f t="shared" ref="C2994:J2994" si="1866">SUM(C2990:C2993)</f>
        <v>2989.08</v>
      </c>
      <c r="D2994" s="533">
        <f t="shared" si="1866"/>
        <v>31114</v>
      </c>
      <c r="E2994" s="533">
        <f t="shared" si="1866"/>
        <v>1125</v>
      </c>
      <c r="F2994" s="533">
        <f t="shared" si="1866"/>
        <v>5</v>
      </c>
      <c r="G2994" s="533">
        <f t="shared" si="1866"/>
        <v>40684</v>
      </c>
      <c r="H2994" s="533">
        <f t="shared" si="1866"/>
        <v>53</v>
      </c>
      <c r="I2994" s="533">
        <f t="shared" si="1866"/>
        <v>4</v>
      </c>
      <c r="J2994" s="533">
        <f t="shared" si="1866"/>
        <v>5</v>
      </c>
      <c r="K2994" s="534">
        <f t="shared" si="1848"/>
        <v>0.036157356816867</v>
      </c>
      <c r="L2994" s="535">
        <f t="shared" si="1849"/>
        <v>2.65696</v>
      </c>
      <c r="M2994" s="535">
        <f t="shared" si="1850"/>
        <v>96.068650768143</v>
      </c>
      <c r="N2994" s="535">
        <f t="shared" si="1851"/>
        <v>13.6108769253416</v>
      </c>
      <c r="O2994" s="535">
        <f t="shared" si="1852"/>
        <v>0.00444444444444444</v>
      </c>
      <c r="P2994" s="536">
        <f t="shared" si="1853"/>
        <v>52.44</v>
      </c>
      <c r="Q2994" s="531">
        <f t="shared" si="1854"/>
        <v>57</v>
      </c>
      <c r="R2994" s="537">
        <f t="shared" si="1855"/>
        <v>0.0506666666666667</v>
      </c>
    </row>
    <row r="2995" spans="1:18">
      <c r="A2995" s="524">
        <v>46049</v>
      </c>
      <c r="B2995" s="540" t="s">
        <v>98</v>
      </c>
      <c r="C2995" s="551">
        <v>1497.71</v>
      </c>
      <c r="D2995" s="553">
        <v>16217</v>
      </c>
      <c r="E2995" s="551">
        <v>602</v>
      </c>
      <c r="F2995" s="551">
        <v>1</v>
      </c>
      <c r="G2995" s="551">
        <v>8146</v>
      </c>
      <c r="H2995" s="551">
        <v>35</v>
      </c>
      <c r="I2995" s="551">
        <v>8</v>
      </c>
      <c r="J2995" s="551">
        <v>1</v>
      </c>
      <c r="K2995" s="527">
        <f t="shared" si="1848"/>
        <v>0.0371215391256089</v>
      </c>
      <c r="L2995" s="528">
        <f t="shared" si="1849"/>
        <v>2.4878903654485</v>
      </c>
      <c r="M2995" s="528">
        <f t="shared" si="1850"/>
        <v>92.3543195412222</v>
      </c>
      <c r="N2995" s="528">
        <f t="shared" si="1851"/>
        <v>5.43897016111263</v>
      </c>
      <c r="O2995" s="528">
        <f t="shared" si="1852"/>
        <v>0.00166112956810631</v>
      </c>
      <c r="P2995" s="529">
        <f t="shared" si="1853"/>
        <v>34.8304651162791</v>
      </c>
      <c r="Q2995" s="24">
        <f t="shared" si="1854"/>
        <v>43</v>
      </c>
      <c r="R2995" s="530">
        <f t="shared" si="1855"/>
        <v>0.0714285714285714</v>
      </c>
    </row>
    <row r="2996" spans="1:18">
      <c r="A2996" s="524"/>
      <c r="B2996" s="540" t="s">
        <v>99</v>
      </c>
      <c r="C2996" s="551">
        <v>0</v>
      </c>
      <c r="D2996" s="556">
        <v>0</v>
      </c>
      <c r="E2996" s="551">
        <v>0</v>
      </c>
      <c r="F2996" s="551">
        <v>0</v>
      </c>
      <c r="G2996" s="551">
        <v>0</v>
      </c>
      <c r="H2996" s="555">
        <v>0</v>
      </c>
      <c r="I2996" s="555">
        <v>0</v>
      </c>
      <c r="J2996" s="555">
        <v>0</v>
      </c>
      <c r="K2996" s="527">
        <f t="shared" si="1848"/>
        <v>0</v>
      </c>
      <c r="L2996" s="528">
        <f t="shared" si="1849"/>
        <v>0</v>
      </c>
      <c r="M2996" s="528">
        <f t="shared" si="1850"/>
        <v>0</v>
      </c>
      <c r="N2996" s="528">
        <f t="shared" si="1851"/>
        <v>0</v>
      </c>
      <c r="O2996" s="528">
        <f t="shared" si="1852"/>
        <v>0</v>
      </c>
      <c r="P2996" s="529">
        <f t="shared" si="1853"/>
        <v>0</v>
      </c>
      <c r="Q2996" s="24">
        <f t="shared" si="1854"/>
        <v>0</v>
      </c>
      <c r="R2996" s="530">
        <f t="shared" si="1855"/>
        <v>0</v>
      </c>
    </row>
    <row r="2997" spans="1:18">
      <c r="A2997" s="524"/>
      <c r="B2997" s="540" t="s">
        <v>100</v>
      </c>
      <c r="C2997" s="552">
        <v>0</v>
      </c>
      <c r="D2997" s="553">
        <v>0</v>
      </c>
      <c r="E2997" s="553">
        <v>0</v>
      </c>
      <c r="F2997" s="551">
        <v>0</v>
      </c>
      <c r="G2997" s="551">
        <v>0</v>
      </c>
      <c r="H2997" s="551">
        <v>0</v>
      </c>
      <c r="I2997" s="551">
        <v>0</v>
      </c>
      <c r="J2997" s="551">
        <v>0</v>
      </c>
      <c r="K2997" s="527">
        <f t="shared" si="1848"/>
        <v>0</v>
      </c>
      <c r="L2997" s="528">
        <f t="shared" si="1849"/>
        <v>0</v>
      </c>
      <c r="M2997" s="528">
        <f t="shared" si="1850"/>
        <v>0</v>
      </c>
      <c r="N2997" s="528">
        <f t="shared" si="1851"/>
        <v>0</v>
      </c>
      <c r="O2997" s="528">
        <f t="shared" si="1852"/>
        <v>0</v>
      </c>
      <c r="P2997" s="529">
        <f t="shared" si="1853"/>
        <v>0</v>
      </c>
      <c r="Q2997" s="24">
        <f t="shared" si="1854"/>
        <v>0</v>
      </c>
      <c r="R2997" s="530">
        <f t="shared" si="1855"/>
        <v>0</v>
      </c>
    </row>
    <row r="2998" spans="1:18">
      <c r="A2998" s="524"/>
      <c r="B2998" s="540" t="s">
        <v>101</v>
      </c>
      <c r="C2998" s="552">
        <v>1052.71</v>
      </c>
      <c r="D2998" s="553">
        <v>15327</v>
      </c>
      <c r="E2998" s="551">
        <v>382</v>
      </c>
      <c r="F2998" s="551">
        <v>2</v>
      </c>
      <c r="G2998" s="551">
        <v>23268</v>
      </c>
      <c r="H2998" s="551">
        <v>14</v>
      </c>
      <c r="I2998" s="551">
        <v>1</v>
      </c>
      <c r="J2998" s="551">
        <v>0</v>
      </c>
      <c r="K2998" s="527">
        <f t="shared" si="1848"/>
        <v>0.0249233379004371</v>
      </c>
      <c r="L2998" s="528">
        <f t="shared" si="1849"/>
        <v>2.75578534031414</v>
      </c>
      <c r="M2998" s="528">
        <f t="shared" si="1850"/>
        <v>68.6833692177204</v>
      </c>
      <c r="N2998" s="528">
        <f t="shared" si="1851"/>
        <v>22.1029533299769</v>
      </c>
      <c r="O2998" s="528">
        <f t="shared" si="1852"/>
        <v>0.00523560209424084</v>
      </c>
      <c r="P2998" s="529">
        <f t="shared" si="1853"/>
        <v>70.1806666666667</v>
      </c>
      <c r="Q2998" s="24">
        <f t="shared" si="1854"/>
        <v>15</v>
      </c>
      <c r="R2998" s="530">
        <f t="shared" si="1855"/>
        <v>0.0392670157068063</v>
      </c>
    </row>
    <row r="2999" spans="1:18">
      <c r="A2999" s="524"/>
      <c r="B2999" s="531" t="s">
        <v>96</v>
      </c>
      <c r="C2999" s="533">
        <f t="shared" ref="C2999:J2999" si="1867">SUM(C2995:C2998)</f>
        <v>2550.42</v>
      </c>
      <c r="D2999" s="533">
        <f t="shared" si="1867"/>
        <v>31544</v>
      </c>
      <c r="E2999" s="533">
        <f t="shared" si="1867"/>
        <v>984</v>
      </c>
      <c r="F2999" s="533">
        <f t="shared" si="1867"/>
        <v>3</v>
      </c>
      <c r="G2999" s="533">
        <f t="shared" si="1867"/>
        <v>31414</v>
      </c>
      <c r="H2999" s="533">
        <f t="shared" si="1867"/>
        <v>49</v>
      </c>
      <c r="I2999" s="533">
        <f t="shared" si="1867"/>
        <v>9</v>
      </c>
      <c r="J2999" s="533">
        <f t="shared" si="1867"/>
        <v>1</v>
      </c>
      <c r="K2999" s="534">
        <f t="shared" si="1848"/>
        <v>0.031194521937611</v>
      </c>
      <c r="L2999" s="535">
        <f t="shared" si="1849"/>
        <v>2.59189024390244</v>
      </c>
      <c r="M2999" s="535">
        <f t="shared" si="1850"/>
        <v>80.8527770732944</v>
      </c>
      <c r="N2999" s="535">
        <f t="shared" si="1851"/>
        <v>12.317186973126</v>
      </c>
      <c r="O2999" s="535">
        <f t="shared" si="1852"/>
        <v>0.00304878048780488</v>
      </c>
      <c r="P2999" s="536">
        <f t="shared" si="1853"/>
        <v>43.9727586206897</v>
      </c>
      <c r="Q2999" s="531">
        <f t="shared" si="1854"/>
        <v>58</v>
      </c>
      <c r="R2999" s="537">
        <f t="shared" si="1855"/>
        <v>0.0589430894308943</v>
      </c>
    </row>
    <row r="3000" spans="1:18">
      <c r="A3000" s="524">
        <v>46050</v>
      </c>
      <c r="B3000" s="540" t="s">
        <v>98</v>
      </c>
      <c r="C3000" s="551">
        <v>1392</v>
      </c>
      <c r="D3000" s="553">
        <v>15237</v>
      </c>
      <c r="E3000" s="551">
        <v>538</v>
      </c>
      <c r="F3000" s="551">
        <v>4</v>
      </c>
      <c r="G3000" s="551">
        <v>42491</v>
      </c>
      <c r="H3000" s="551">
        <v>36</v>
      </c>
      <c r="I3000" s="551">
        <v>5</v>
      </c>
      <c r="J3000" s="551">
        <v>3</v>
      </c>
      <c r="K3000" s="527">
        <f t="shared" si="1848"/>
        <v>0.0353087878191245</v>
      </c>
      <c r="L3000" s="528">
        <f t="shared" si="1849"/>
        <v>2.58736059479554</v>
      </c>
      <c r="M3000" s="528">
        <f t="shared" si="1850"/>
        <v>91.3565662531994</v>
      </c>
      <c r="N3000" s="528">
        <f t="shared" si="1851"/>
        <v>30.5251436781609</v>
      </c>
      <c r="O3000" s="528">
        <f t="shared" si="1852"/>
        <v>0.00743494423791822</v>
      </c>
      <c r="P3000" s="529">
        <f t="shared" si="1853"/>
        <v>33.9512195121951</v>
      </c>
      <c r="Q3000" s="24">
        <f t="shared" si="1854"/>
        <v>41</v>
      </c>
      <c r="R3000" s="530">
        <f t="shared" si="1855"/>
        <v>0.0762081784386617</v>
      </c>
    </row>
    <row r="3001" spans="1:18">
      <c r="A3001" s="524"/>
      <c r="B3001" s="540" t="s">
        <v>99</v>
      </c>
      <c r="C3001" s="551">
        <v>1500</v>
      </c>
      <c r="D3001" s="556">
        <v>25008</v>
      </c>
      <c r="E3001" s="551">
        <v>543</v>
      </c>
      <c r="F3001" s="551">
        <v>2</v>
      </c>
      <c r="G3001" s="551">
        <v>9196</v>
      </c>
      <c r="H3001" s="555">
        <v>12</v>
      </c>
      <c r="I3001" s="555">
        <v>1</v>
      </c>
      <c r="J3001" s="555">
        <v>6</v>
      </c>
      <c r="K3001" s="527">
        <f t="shared" si="1848"/>
        <v>0.0217130518234165</v>
      </c>
      <c r="L3001" s="528">
        <f t="shared" si="1849"/>
        <v>2.76243093922652</v>
      </c>
      <c r="M3001" s="528">
        <f t="shared" si="1850"/>
        <v>59.9808061420345</v>
      </c>
      <c r="N3001" s="528">
        <f t="shared" si="1851"/>
        <v>6.13066666666667</v>
      </c>
      <c r="O3001" s="528">
        <f t="shared" si="1852"/>
        <v>0.00368324125230203</v>
      </c>
      <c r="P3001" s="529">
        <f t="shared" si="1853"/>
        <v>115.384615384615</v>
      </c>
      <c r="Q3001" s="24">
        <f t="shared" si="1854"/>
        <v>13</v>
      </c>
      <c r="R3001" s="530">
        <f t="shared" si="1855"/>
        <v>0.0239410681399632</v>
      </c>
    </row>
    <row r="3002" spans="1:18">
      <c r="A3002" s="524"/>
      <c r="B3002" s="540" t="s">
        <v>100</v>
      </c>
      <c r="C3002" s="552">
        <v>0</v>
      </c>
      <c r="D3002" s="553">
        <v>0</v>
      </c>
      <c r="E3002" s="553">
        <v>0</v>
      </c>
      <c r="F3002" s="551">
        <v>0</v>
      </c>
      <c r="G3002" s="551">
        <v>0</v>
      </c>
      <c r="H3002" s="551">
        <v>0</v>
      </c>
      <c r="I3002" s="551">
        <v>0</v>
      </c>
      <c r="J3002" s="551">
        <v>0</v>
      </c>
      <c r="K3002" s="527">
        <f t="shared" si="1848"/>
        <v>0</v>
      </c>
      <c r="L3002" s="528">
        <f t="shared" si="1849"/>
        <v>0</v>
      </c>
      <c r="M3002" s="528">
        <f t="shared" si="1850"/>
        <v>0</v>
      </c>
      <c r="N3002" s="528">
        <f t="shared" si="1851"/>
        <v>0</v>
      </c>
      <c r="O3002" s="528">
        <f t="shared" si="1852"/>
        <v>0</v>
      </c>
      <c r="P3002" s="529">
        <f t="shared" si="1853"/>
        <v>0</v>
      </c>
      <c r="Q3002" s="24">
        <f t="shared" si="1854"/>
        <v>0</v>
      </c>
      <c r="R3002" s="530">
        <f t="shared" si="1855"/>
        <v>0</v>
      </c>
    </row>
    <row r="3003" spans="1:18">
      <c r="A3003" s="524"/>
      <c r="B3003" s="540" t="s">
        <v>101</v>
      </c>
      <c r="C3003" s="552">
        <v>211.32</v>
      </c>
      <c r="D3003" s="553">
        <v>5651</v>
      </c>
      <c r="E3003" s="551">
        <v>220</v>
      </c>
      <c r="F3003" s="551">
        <v>0</v>
      </c>
      <c r="G3003" s="551">
        <v>0</v>
      </c>
      <c r="H3003" s="551">
        <v>3</v>
      </c>
      <c r="I3003" s="551">
        <v>1</v>
      </c>
      <c r="J3003" s="551">
        <v>0</v>
      </c>
      <c r="K3003" s="527">
        <f t="shared" ref="K3003:K3066" si="1868">IF(E3003=0,0,E3003/D3003)</f>
        <v>0.0389311626260839</v>
      </c>
      <c r="L3003" s="528">
        <f t="shared" ref="L3003:L3066" si="1869">IF(C3003=0,0,C3003/E3003)</f>
        <v>0.960545454545454</v>
      </c>
      <c r="M3003" s="528">
        <f t="shared" ref="M3003:M3066" si="1870">IF(D3003=0,0,C3003/D3003*1000)</f>
        <v>37.3951513006548</v>
      </c>
      <c r="N3003" s="528">
        <f t="shared" ref="N3003:N3066" si="1871">IF(G3003=0,0,G3003/C3003)</f>
        <v>0</v>
      </c>
      <c r="O3003" s="528">
        <f t="shared" ref="O3003:O3066" si="1872">IF(F3003=0,0,F3003/E3003)</f>
        <v>0</v>
      </c>
      <c r="P3003" s="529">
        <f t="shared" ref="P3003:P3066" si="1873">IF(H3003+I3003=0,0,C3003/(H3003+I3003))</f>
        <v>52.83</v>
      </c>
      <c r="Q3003" s="24">
        <f t="shared" ref="Q3003:Q3066" si="1874">H3003+I3003</f>
        <v>4</v>
      </c>
      <c r="R3003" s="530">
        <f t="shared" ref="R3003:R3066" si="1875">IF(Q3003=0,0,Q3003/E3003)</f>
        <v>0.0181818181818182</v>
      </c>
    </row>
    <row r="3004" spans="1:18">
      <c r="A3004" s="524"/>
      <c r="B3004" s="531" t="s">
        <v>96</v>
      </c>
      <c r="C3004" s="533">
        <f t="shared" ref="C3004:J3004" si="1876">SUM(C3000:C3003)</f>
        <v>3103.32</v>
      </c>
      <c r="D3004" s="533">
        <f t="shared" si="1876"/>
        <v>45896</v>
      </c>
      <c r="E3004" s="533">
        <f t="shared" si="1876"/>
        <v>1301</v>
      </c>
      <c r="F3004" s="533">
        <f t="shared" si="1876"/>
        <v>6</v>
      </c>
      <c r="G3004" s="533">
        <f t="shared" si="1876"/>
        <v>51687</v>
      </c>
      <c r="H3004" s="533">
        <f t="shared" si="1876"/>
        <v>51</v>
      </c>
      <c r="I3004" s="533">
        <f t="shared" si="1876"/>
        <v>7</v>
      </c>
      <c r="J3004" s="533">
        <f t="shared" si="1876"/>
        <v>9</v>
      </c>
      <c r="K3004" s="534">
        <f t="shared" si="1868"/>
        <v>0.0283466968799024</v>
      </c>
      <c r="L3004" s="535">
        <f t="shared" si="1869"/>
        <v>2.38533435818601</v>
      </c>
      <c r="M3004" s="535">
        <f t="shared" si="1870"/>
        <v>67.6163500087154</v>
      </c>
      <c r="N3004" s="535">
        <f t="shared" si="1871"/>
        <v>16.6553884227215</v>
      </c>
      <c r="O3004" s="535">
        <f t="shared" si="1872"/>
        <v>0.00461183704842429</v>
      </c>
      <c r="P3004" s="536">
        <f t="shared" si="1873"/>
        <v>53.5055172413793</v>
      </c>
      <c r="Q3004" s="531">
        <f t="shared" si="1874"/>
        <v>58</v>
      </c>
      <c r="R3004" s="537">
        <f t="shared" si="1875"/>
        <v>0.0445810914681015</v>
      </c>
    </row>
    <row r="3005" spans="1:18">
      <c r="A3005" s="524">
        <v>46051</v>
      </c>
      <c r="B3005" s="540" t="s">
        <v>98</v>
      </c>
      <c r="C3005" s="551">
        <v>1000</v>
      </c>
      <c r="D3005" s="553">
        <v>22476</v>
      </c>
      <c r="E3005" s="551">
        <v>721</v>
      </c>
      <c r="F3005" s="551">
        <v>1</v>
      </c>
      <c r="G3005" s="551">
        <v>9996</v>
      </c>
      <c r="H3005" s="551">
        <v>39</v>
      </c>
      <c r="I3005" s="551">
        <v>11</v>
      </c>
      <c r="J3005" s="551">
        <v>0</v>
      </c>
      <c r="K3005" s="527">
        <f t="shared" si="1868"/>
        <v>0.0320786616835736</v>
      </c>
      <c r="L3005" s="528">
        <f t="shared" si="1869"/>
        <v>1.3869625520111</v>
      </c>
      <c r="M3005" s="528">
        <f t="shared" si="1870"/>
        <v>44.4919024737498</v>
      </c>
      <c r="N3005" s="528">
        <f t="shared" si="1871"/>
        <v>9.996</v>
      </c>
      <c r="O3005" s="528">
        <f t="shared" si="1872"/>
        <v>0.0013869625520111</v>
      </c>
      <c r="P3005" s="529">
        <f t="shared" si="1873"/>
        <v>20</v>
      </c>
      <c r="Q3005" s="24">
        <f t="shared" si="1874"/>
        <v>50</v>
      </c>
      <c r="R3005" s="530">
        <f t="shared" si="1875"/>
        <v>0.0693481276005548</v>
      </c>
    </row>
    <row r="3006" spans="1:18">
      <c r="A3006" s="524"/>
      <c r="B3006" s="540" t="s">
        <v>99</v>
      </c>
      <c r="C3006" s="551">
        <v>0</v>
      </c>
      <c r="D3006" s="556">
        <v>0</v>
      </c>
      <c r="E3006" s="551">
        <v>0</v>
      </c>
      <c r="F3006" s="551">
        <v>0</v>
      </c>
      <c r="G3006" s="551">
        <v>0</v>
      </c>
      <c r="H3006" s="555">
        <v>0</v>
      </c>
      <c r="I3006" s="555">
        <v>0</v>
      </c>
      <c r="J3006" s="555">
        <v>0</v>
      </c>
      <c r="K3006" s="527">
        <f t="shared" si="1868"/>
        <v>0</v>
      </c>
      <c r="L3006" s="528">
        <f t="shared" si="1869"/>
        <v>0</v>
      </c>
      <c r="M3006" s="528">
        <f t="shared" si="1870"/>
        <v>0</v>
      </c>
      <c r="N3006" s="528">
        <f t="shared" si="1871"/>
        <v>0</v>
      </c>
      <c r="O3006" s="528">
        <f t="shared" si="1872"/>
        <v>0</v>
      </c>
      <c r="P3006" s="529">
        <f t="shared" si="1873"/>
        <v>0</v>
      </c>
      <c r="Q3006" s="24">
        <f t="shared" si="1874"/>
        <v>0</v>
      </c>
      <c r="R3006" s="530">
        <f t="shared" si="1875"/>
        <v>0</v>
      </c>
    </row>
    <row r="3007" spans="1:18">
      <c r="A3007" s="524"/>
      <c r="B3007" s="540" t="s">
        <v>100</v>
      </c>
      <c r="C3007" s="552">
        <v>0</v>
      </c>
      <c r="D3007" s="553">
        <v>0</v>
      </c>
      <c r="E3007" s="553">
        <v>0</v>
      </c>
      <c r="F3007" s="551">
        <v>0</v>
      </c>
      <c r="G3007" s="551">
        <v>0</v>
      </c>
      <c r="H3007" s="551">
        <v>0</v>
      </c>
      <c r="I3007" s="551">
        <v>0</v>
      </c>
      <c r="J3007" s="551">
        <v>0</v>
      </c>
      <c r="K3007" s="527">
        <f t="shared" si="1868"/>
        <v>0</v>
      </c>
      <c r="L3007" s="528">
        <f t="shared" si="1869"/>
        <v>0</v>
      </c>
      <c r="M3007" s="528">
        <f t="shared" si="1870"/>
        <v>0</v>
      </c>
      <c r="N3007" s="528">
        <f t="shared" si="1871"/>
        <v>0</v>
      </c>
      <c r="O3007" s="528">
        <f t="shared" si="1872"/>
        <v>0</v>
      </c>
      <c r="P3007" s="529">
        <f t="shared" si="1873"/>
        <v>0</v>
      </c>
      <c r="Q3007" s="24">
        <f t="shared" si="1874"/>
        <v>0</v>
      </c>
      <c r="R3007" s="530">
        <f t="shared" si="1875"/>
        <v>0</v>
      </c>
    </row>
    <row r="3008" spans="1:18">
      <c r="A3008" s="524"/>
      <c r="B3008" s="540" t="s">
        <v>101</v>
      </c>
      <c r="C3008" s="552">
        <v>746.8</v>
      </c>
      <c r="D3008" s="553">
        <v>11166</v>
      </c>
      <c r="E3008" s="551">
        <v>330</v>
      </c>
      <c r="F3008" s="551">
        <v>3</v>
      </c>
      <c r="G3008" s="551">
        <v>16895</v>
      </c>
      <c r="H3008" s="551">
        <v>7</v>
      </c>
      <c r="I3008" s="551">
        <v>3</v>
      </c>
      <c r="J3008" s="551">
        <v>0</v>
      </c>
      <c r="K3008" s="527">
        <f t="shared" si="1868"/>
        <v>0.0295540032240731</v>
      </c>
      <c r="L3008" s="528">
        <f t="shared" si="1869"/>
        <v>2.2630303030303</v>
      </c>
      <c r="M3008" s="528">
        <f t="shared" si="1870"/>
        <v>66.8816048719327</v>
      </c>
      <c r="N3008" s="528">
        <f t="shared" si="1871"/>
        <v>22.6231922870916</v>
      </c>
      <c r="O3008" s="528">
        <f t="shared" si="1872"/>
        <v>0.00909090909090909</v>
      </c>
      <c r="P3008" s="529">
        <f t="shared" si="1873"/>
        <v>74.68</v>
      </c>
      <c r="Q3008" s="24">
        <f t="shared" si="1874"/>
        <v>10</v>
      </c>
      <c r="R3008" s="530">
        <f t="shared" si="1875"/>
        <v>0.0303030303030303</v>
      </c>
    </row>
    <row r="3009" spans="1:18">
      <c r="A3009" s="524"/>
      <c r="B3009" s="531" t="s">
        <v>96</v>
      </c>
      <c r="C3009" s="533">
        <f t="shared" ref="C3009:J3009" si="1877">SUM(C3005:C3008)</f>
        <v>1746.8</v>
      </c>
      <c r="D3009" s="533">
        <f t="shared" si="1877"/>
        <v>33642</v>
      </c>
      <c r="E3009" s="533">
        <f t="shared" si="1877"/>
        <v>1051</v>
      </c>
      <c r="F3009" s="533">
        <f t="shared" si="1877"/>
        <v>4</v>
      </c>
      <c r="G3009" s="533">
        <f t="shared" si="1877"/>
        <v>26891</v>
      </c>
      <c r="H3009" s="533">
        <f t="shared" si="1877"/>
        <v>46</v>
      </c>
      <c r="I3009" s="533">
        <f t="shared" si="1877"/>
        <v>14</v>
      </c>
      <c r="J3009" s="533">
        <f t="shared" si="1877"/>
        <v>0</v>
      </c>
      <c r="K3009" s="534">
        <f t="shared" si="1868"/>
        <v>0.0312407110159919</v>
      </c>
      <c r="L3009" s="535">
        <f t="shared" si="1869"/>
        <v>1.66203615604186</v>
      </c>
      <c r="M3009" s="535">
        <f t="shared" si="1870"/>
        <v>51.9231912490339</v>
      </c>
      <c r="N3009" s="535">
        <f t="shared" si="1871"/>
        <v>15.3944355392718</v>
      </c>
      <c r="O3009" s="535">
        <f t="shared" si="1872"/>
        <v>0.00380589914367269</v>
      </c>
      <c r="P3009" s="536">
        <f t="shared" si="1873"/>
        <v>29.1133333333333</v>
      </c>
      <c r="Q3009" s="531">
        <f t="shared" si="1874"/>
        <v>60</v>
      </c>
      <c r="R3009" s="537">
        <f t="shared" si="1875"/>
        <v>0.0570884871550904</v>
      </c>
    </row>
    <row r="3010" spans="1:18">
      <c r="A3010" s="524">
        <v>46052</v>
      </c>
      <c r="B3010" s="540" t="s">
        <v>98</v>
      </c>
      <c r="C3010" s="551">
        <v>1000</v>
      </c>
      <c r="D3010" s="553">
        <v>14962</v>
      </c>
      <c r="E3010" s="551">
        <v>524</v>
      </c>
      <c r="F3010" s="551">
        <v>2</v>
      </c>
      <c r="G3010" s="551">
        <v>17000</v>
      </c>
      <c r="H3010" s="551">
        <v>12</v>
      </c>
      <c r="I3010" s="551">
        <v>8</v>
      </c>
      <c r="J3010" s="551">
        <v>3</v>
      </c>
      <c r="K3010" s="527">
        <f t="shared" si="1868"/>
        <v>0.035022055874883</v>
      </c>
      <c r="L3010" s="528">
        <f t="shared" si="1869"/>
        <v>1.90839694656489</v>
      </c>
      <c r="M3010" s="528">
        <f t="shared" si="1870"/>
        <v>66.8359844940516</v>
      </c>
      <c r="N3010" s="528">
        <f t="shared" si="1871"/>
        <v>17</v>
      </c>
      <c r="O3010" s="528">
        <f t="shared" si="1872"/>
        <v>0.00381679389312977</v>
      </c>
      <c r="P3010" s="529">
        <f t="shared" si="1873"/>
        <v>50</v>
      </c>
      <c r="Q3010" s="24">
        <f t="shared" si="1874"/>
        <v>20</v>
      </c>
      <c r="R3010" s="530">
        <f t="shared" si="1875"/>
        <v>0.0381679389312977</v>
      </c>
    </row>
    <row r="3011" spans="1:18">
      <c r="A3011" s="524"/>
      <c r="B3011" s="540" t="s">
        <v>99</v>
      </c>
      <c r="C3011" s="551">
        <v>1500</v>
      </c>
      <c r="D3011" s="556">
        <v>16460</v>
      </c>
      <c r="E3011" s="551">
        <v>551</v>
      </c>
      <c r="F3011" s="551">
        <v>1</v>
      </c>
      <c r="G3011" s="551">
        <v>4598</v>
      </c>
      <c r="H3011" s="555">
        <v>13</v>
      </c>
      <c r="I3011" s="555">
        <v>1</v>
      </c>
      <c r="J3011" s="555">
        <v>4</v>
      </c>
      <c r="K3011" s="527">
        <f t="shared" si="1868"/>
        <v>0.0334750911300122</v>
      </c>
      <c r="L3011" s="528">
        <f t="shared" si="1869"/>
        <v>2.72232304900181</v>
      </c>
      <c r="M3011" s="528">
        <f t="shared" si="1870"/>
        <v>91.1300121506683</v>
      </c>
      <c r="N3011" s="528">
        <f t="shared" si="1871"/>
        <v>3.06533333333333</v>
      </c>
      <c r="O3011" s="528">
        <f t="shared" si="1872"/>
        <v>0.00181488203266788</v>
      </c>
      <c r="P3011" s="529">
        <f t="shared" si="1873"/>
        <v>107.142857142857</v>
      </c>
      <c r="Q3011" s="24">
        <f t="shared" si="1874"/>
        <v>14</v>
      </c>
      <c r="R3011" s="530">
        <f t="shared" si="1875"/>
        <v>0.0254083484573503</v>
      </c>
    </row>
    <row r="3012" spans="1:18">
      <c r="A3012" s="524"/>
      <c r="B3012" s="540" t="s">
        <v>100</v>
      </c>
      <c r="C3012" s="552">
        <v>0</v>
      </c>
      <c r="D3012" s="553">
        <v>0</v>
      </c>
      <c r="E3012" s="553">
        <v>0</v>
      </c>
      <c r="F3012" s="551">
        <v>0</v>
      </c>
      <c r="G3012" s="551">
        <v>0</v>
      </c>
      <c r="H3012" s="551">
        <v>0</v>
      </c>
      <c r="I3012" s="551">
        <v>0</v>
      </c>
      <c r="J3012" s="551">
        <v>0</v>
      </c>
      <c r="K3012" s="527">
        <f t="shared" si="1868"/>
        <v>0</v>
      </c>
      <c r="L3012" s="528">
        <f t="shared" si="1869"/>
        <v>0</v>
      </c>
      <c r="M3012" s="528">
        <f t="shared" si="1870"/>
        <v>0</v>
      </c>
      <c r="N3012" s="528">
        <f t="shared" si="1871"/>
        <v>0</v>
      </c>
      <c r="O3012" s="528">
        <f t="shared" si="1872"/>
        <v>0</v>
      </c>
      <c r="P3012" s="529">
        <f t="shared" si="1873"/>
        <v>0</v>
      </c>
      <c r="Q3012" s="24">
        <f t="shared" si="1874"/>
        <v>0</v>
      </c>
      <c r="R3012" s="530">
        <f t="shared" si="1875"/>
        <v>0</v>
      </c>
    </row>
    <row r="3013" spans="1:18">
      <c r="A3013" s="524"/>
      <c r="B3013" s="540" t="s">
        <v>101</v>
      </c>
      <c r="C3013" s="552">
        <v>1000</v>
      </c>
      <c r="D3013" s="553">
        <v>8776</v>
      </c>
      <c r="E3013" s="551">
        <v>304</v>
      </c>
      <c r="F3013" s="551">
        <v>3</v>
      </c>
      <c r="G3013" s="551">
        <v>22872</v>
      </c>
      <c r="H3013" s="551">
        <v>16</v>
      </c>
      <c r="I3013" s="551">
        <v>1</v>
      </c>
      <c r="J3013" s="551">
        <v>2</v>
      </c>
      <c r="K3013" s="527">
        <f t="shared" si="1868"/>
        <v>0.0346399270738377</v>
      </c>
      <c r="L3013" s="528">
        <f t="shared" si="1869"/>
        <v>3.28947368421053</v>
      </c>
      <c r="M3013" s="528">
        <f t="shared" si="1870"/>
        <v>113.947128532361</v>
      </c>
      <c r="N3013" s="528">
        <f t="shared" si="1871"/>
        <v>22.872</v>
      </c>
      <c r="O3013" s="528">
        <f t="shared" si="1872"/>
        <v>0.00986842105263158</v>
      </c>
      <c r="P3013" s="529">
        <f t="shared" si="1873"/>
        <v>58.8235294117647</v>
      </c>
      <c r="Q3013" s="24">
        <f t="shared" si="1874"/>
        <v>17</v>
      </c>
      <c r="R3013" s="530">
        <f t="shared" si="1875"/>
        <v>0.0559210526315789</v>
      </c>
    </row>
    <row r="3014" spans="1:18">
      <c r="A3014" s="524"/>
      <c r="B3014" s="531" t="s">
        <v>96</v>
      </c>
      <c r="C3014" s="533">
        <f t="shared" ref="C3014:J3014" si="1878">SUM(C3010:C3013)</f>
        <v>3500</v>
      </c>
      <c r="D3014" s="533">
        <f t="shared" si="1878"/>
        <v>40198</v>
      </c>
      <c r="E3014" s="533">
        <f t="shared" si="1878"/>
        <v>1379</v>
      </c>
      <c r="F3014" s="533">
        <f t="shared" si="1878"/>
        <v>6</v>
      </c>
      <c r="G3014" s="533">
        <f t="shared" si="1878"/>
        <v>44470</v>
      </c>
      <c r="H3014" s="533">
        <f t="shared" si="1878"/>
        <v>41</v>
      </c>
      <c r="I3014" s="533">
        <f t="shared" si="1878"/>
        <v>10</v>
      </c>
      <c r="J3014" s="533">
        <f t="shared" si="1878"/>
        <v>9</v>
      </c>
      <c r="K3014" s="534">
        <f t="shared" si="1868"/>
        <v>0.0343051893129011</v>
      </c>
      <c r="L3014" s="535">
        <f t="shared" si="1869"/>
        <v>2.53807106598985</v>
      </c>
      <c r="M3014" s="535">
        <f t="shared" si="1870"/>
        <v>87.0690084083785</v>
      </c>
      <c r="N3014" s="535">
        <f t="shared" si="1871"/>
        <v>12.7057142857143</v>
      </c>
      <c r="O3014" s="535">
        <f t="shared" si="1872"/>
        <v>0.00435097897026831</v>
      </c>
      <c r="P3014" s="536">
        <f t="shared" si="1873"/>
        <v>68.6274509803922</v>
      </c>
      <c r="Q3014" s="531">
        <f t="shared" si="1874"/>
        <v>51</v>
      </c>
      <c r="R3014" s="537">
        <f t="shared" si="1875"/>
        <v>0.0369833212472806</v>
      </c>
    </row>
    <row r="3015" spans="1:18">
      <c r="A3015" s="524">
        <v>46053</v>
      </c>
      <c r="B3015" s="540" t="s">
        <v>98</v>
      </c>
      <c r="C3015" s="551">
        <v>1000</v>
      </c>
      <c r="D3015" s="553">
        <v>19223</v>
      </c>
      <c r="E3015" s="551">
        <v>671</v>
      </c>
      <c r="F3015" s="551">
        <v>3</v>
      </c>
      <c r="G3015" s="551">
        <v>34850</v>
      </c>
      <c r="H3015" s="551">
        <v>17</v>
      </c>
      <c r="I3015" s="551">
        <v>6</v>
      </c>
      <c r="J3015" s="551">
        <v>5</v>
      </c>
      <c r="K3015" s="527">
        <f t="shared" si="1868"/>
        <v>0.0349061020652344</v>
      </c>
      <c r="L3015" s="528">
        <f t="shared" si="1869"/>
        <v>1.4903129657228</v>
      </c>
      <c r="M3015" s="528">
        <f t="shared" si="1870"/>
        <v>52.0210164906622</v>
      </c>
      <c r="N3015" s="528">
        <f t="shared" si="1871"/>
        <v>34.85</v>
      </c>
      <c r="O3015" s="528">
        <f t="shared" si="1872"/>
        <v>0.00447093889716841</v>
      </c>
      <c r="P3015" s="529">
        <f t="shared" si="1873"/>
        <v>43.4782608695652</v>
      </c>
      <c r="Q3015" s="24">
        <f t="shared" si="1874"/>
        <v>23</v>
      </c>
      <c r="R3015" s="530">
        <f t="shared" si="1875"/>
        <v>0.0342771982116244</v>
      </c>
    </row>
    <row r="3016" spans="1:18">
      <c r="A3016" s="524"/>
      <c r="B3016" s="540" t="s">
        <v>99</v>
      </c>
      <c r="C3016" s="551">
        <v>1460.68</v>
      </c>
      <c r="D3016" s="556">
        <v>15878</v>
      </c>
      <c r="E3016" s="551">
        <v>630</v>
      </c>
      <c r="F3016" s="551">
        <v>0</v>
      </c>
      <c r="G3016" s="551">
        <v>0</v>
      </c>
      <c r="H3016" s="555">
        <v>7</v>
      </c>
      <c r="I3016" s="555">
        <v>0</v>
      </c>
      <c r="J3016" s="555">
        <v>2</v>
      </c>
      <c r="K3016" s="527">
        <f t="shared" si="1868"/>
        <v>0.0396775412520469</v>
      </c>
      <c r="L3016" s="528">
        <f t="shared" si="1869"/>
        <v>2.31853968253968</v>
      </c>
      <c r="M3016" s="528">
        <f t="shared" si="1870"/>
        <v>91.9939538984759</v>
      </c>
      <c r="N3016" s="528">
        <f t="shared" si="1871"/>
        <v>0</v>
      </c>
      <c r="O3016" s="528">
        <f t="shared" si="1872"/>
        <v>0</v>
      </c>
      <c r="P3016" s="529">
        <f t="shared" si="1873"/>
        <v>208.668571428571</v>
      </c>
      <c r="Q3016" s="24">
        <f t="shared" si="1874"/>
        <v>7</v>
      </c>
      <c r="R3016" s="530">
        <f t="shared" si="1875"/>
        <v>0.0111111111111111</v>
      </c>
    </row>
    <row r="3017" spans="1:18">
      <c r="A3017" s="524"/>
      <c r="B3017" s="540" t="s">
        <v>100</v>
      </c>
      <c r="C3017" s="552">
        <v>0</v>
      </c>
      <c r="D3017" s="553">
        <v>0</v>
      </c>
      <c r="E3017" s="553">
        <v>0</v>
      </c>
      <c r="F3017" s="551">
        <v>0</v>
      </c>
      <c r="G3017" s="551">
        <v>0</v>
      </c>
      <c r="H3017" s="551">
        <v>0</v>
      </c>
      <c r="I3017" s="551">
        <v>0</v>
      </c>
      <c r="J3017" s="551">
        <v>0</v>
      </c>
      <c r="K3017" s="527">
        <f t="shared" si="1868"/>
        <v>0</v>
      </c>
      <c r="L3017" s="528">
        <f t="shared" si="1869"/>
        <v>0</v>
      </c>
      <c r="M3017" s="528">
        <f t="shared" si="1870"/>
        <v>0</v>
      </c>
      <c r="N3017" s="528">
        <f t="shared" si="1871"/>
        <v>0</v>
      </c>
      <c r="O3017" s="528">
        <f t="shared" si="1872"/>
        <v>0</v>
      </c>
      <c r="P3017" s="529">
        <f t="shared" si="1873"/>
        <v>0</v>
      </c>
      <c r="Q3017" s="24">
        <f t="shared" si="1874"/>
        <v>0</v>
      </c>
      <c r="R3017" s="530">
        <f t="shared" si="1875"/>
        <v>0</v>
      </c>
    </row>
    <row r="3018" spans="1:18">
      <c r="A3018" s="524"/>
      <c r="B3018" s="540" t="s">
        <v>101</v>
      </c>
      <c r="C3018" s="552">
        <v>619.68</v>
      </c>
      <c r="D3018" s="553">
        <v>12230</v>
      </c>
      <c r="E3018" s="551">
        <v>491</v>
      </c>
      <c r="F3018" s="551">
        <v>0</v>
      </c>
      <c r="G3018" s="551">
        <v>0</v>
      </c>
      <c r="H3018" s="551">
        <v>26</v>
      </c>
      <c r="I3018" s="551">
        <v>1</v>
      </c>
      <c r="J3018" s="551">
        <v>2</v>
      </c>
      <c r="K3018" s="527">
        <f t="shared" si="1868"/>
        <v>0.0401471790678659</v>
      </c>
      <c r="L3018" s="528">
        <f t="shared" si="1869"/>
        <v>1.26207739307536</v>
      </c>
      <c r="M3018" s="528">
        <f t="shared" si="1870"/>
        <v>50.6688470973017</v>
      </c>
      <c r="N3018" s="528">
        <f t="shared" si="1871"/>
        <v>0</v>
      </c>
      <c r="O3018" s="528">
        <f t="shared" si="1872"/>
        <v>0</v>
      </c>
      <c r="P3018" s="529">
        <f t="shared" si="1873"/>
        <v>22.9511111111111</v>
      </c>
      <c r="Q3018" s="24">
        <f t="shared" si="1874"/>
        <v>27</v>
      </c>
      <c r="R3018" s="530">
        <f t="shared" si="1875"/>
        <v>0.054989816700611</v>
      </c>
    </row>
    <row r="3019" spans="1:18">
      <c r="A3019" s="524"/>
      <c r="B3019" s="531" t="s">
        <v>96</v>
      </c>
      <c r="C3019" s="533">
        <f t="shared" ref="C3019:J3019" si="1879">SUM(C3015:C3018)</f>
        <v>3080.36</v>
      </c>
      <c r="D3019" s="533">
        <f t="shared" si="1879"/>
        <v>47331</v>
      </c>
      <c r="E3019" s="533">
        <f t="shared" si="1879"/>
        <v>1792</v>
      </c>
      <c r="F3019" s="533">
        <f t="shared" si="1879"/>
        <v>3</v>
      </c>
      <c r="G3019" s="533">
        <f t="shared" si="1879"/>
        <v>34850</v>
      </c>
      <c r="H3019" s="533">
        <f t="shared" si="1879"/>
        <v>50</v>
      </c>
      <c r="I3019" s="533">
        <f t="shared" si="1879"/>
        <v>7</v>
      </c>
      <c r="J3019" s="533">
        <f t="shared" si="1879"/>
        <v>9</v>
      </c>
      <c r="K3019" s="534">
        <f t="shared" si="1868"/>
        <v>0.0378610213179523</v>
      </c>
      <c r="L3019" s="535">
        <f t="shared" si="1869"/>
        <v>1.71895089285714</v>
      </c>
      <c r="M3019" s="535">
        <f t="shared" si="1870"/>
        <v>65.0812363989774</v>
      </c>
      <c r="N3019" s="535">
        <f t="shared" si="1871"/>
        <v>11.3136126946201</v>
      </c>
      <c r="O3019" s="535">
        <f t="shared" si="1872"/>
        <v>0.00167410714285714</v>
      </c>
      <c r="P3019" s="536">
        <f t="shared" si="1873"/>
        <v>54.0414035087719</v>
      </c>
      <c r="Q3019" s="531">
        <f t="shared" si="1874"/>
        <v>57</v>
      </c>
      <c r="R3019" s="537">
        <f t="shared" si="1875"/>
        <v>0.0318080357142857</v>
      </c>
    </row>
    <row r="3020" spans="1:18">
      <c r="A3020" s="524">
        <v>46054</v>
      </c>
      <c r="B3020" s="540" t="s">
        <v>98</v>
      </c>
      <c r="C3020" s="551">
        <v>1000</v>
      </c>
      <c r="D3020" s="553">
        <v>12457</v>
      </c>
      <c r="E3020" s="551">
        <v>458</v>
      </c>
      <c r="F3020" s="551">
        <v>2</v>
      </c>
      <c r="G3020" s="551">
        <v>8912</v>
      </c>
      <c r="H3020" s="551">
        <v>32</v>
      </c>
      <c r="I3020" s="551">
        <v>3</v>
      </c>
      <c r="J3020" s="551">
        <v>1</v>
      </c>
      <c r="K3020" s="527">
        <f t="shared" si="1868"/>
        <v>0.0367664766797784</v>
      </c>
      <c r="L3020" s="528">
        <f t="shared" si="1869"/>
        <v>2.18340611353712</v>
      </c>
      <c r="M3020" s="528">
        <f t="shared" si="1870"/>
        <v>80.2761499558481</v>
      </c>
      <c r="N3020" s="528">
        <f t="shared" si="1871"/>
        <v>8.912</v>
      </c>
      <c r="O3020" s="528">
        <f t="shared" si="1872"/>
        <v>0.00436681222707424</v>
      </c>
      <c r="P3020" s="529">
        <f t="shared" si="1873"/>
        <v>28.5714285714286</v>
      </c>
      <c r="Q3020" s="24">
        <f t="shared" si="1874"/>
        <v>35</v>
      </c>
      <c r="R3020" s="530">
        <f t="shared" si="1875"/>
        <v>0.0764192139737991</v>
      </c>
    </row>
    <row r="3021" spans="1:18">
      <c r="A3021" s="524"/>
      <c r="B3021" s="540" t="s">
        <v>99</v>
      </c>
      <c r="C3021" s="551">
        <v>0</v>
      </c>
      <c r="D3021" s="556">
        <v>0</v>
      </c>
      <c r="E3021" s="551">
        <v>0</v>
      </c>
      <c r="F3021" s="551">
        <v>0</v>
      </c>
      <c r="G3021" s="551">
        <v>0</v>
      </c>
      <c r="H3021" s="555">
        <v>0</v>
      </c>
      <c r="I3021" s="555">
        <v>0</v>
      </c>
      <c r="J3021" s="555">
        <v>0</v>
      </c>
      <c r="K3021" s="527">
        <f t="shared" si="1868"/>
        <v>0</v>
      </c>
      <c r="L3021" s="528">
        <f t="shared" si="1869"/>
        <v>0</v>
      </c>
      <c r="M3021" s="528">
        <f t="shared" si="1870"/>
        <v>0</v>
      </c>
      <c r="N3021" s="528">
        <f t="shared" si="1871"/>
        <v>0</v>
      </c>
      <c r="O3021" s="528">
        <f t="shared" si="1872"/>
        <v>0</v>
      </c>
      <c r="P3021" s="529">
        <f t="shared" si="1873"/>
        <v>0</v>
      </c>
      <c r="Q3021" s="24">
        <f t="shared" si="1874"/>
        <v>0</v>
      </c>
      <c r="R3021" s="530">
        <f t="shared" si="1875"/>
        <v>0</v>
      </c>
    </row>
    <row r="3022" spans="1:18">
      <c r="A3022" s="524"/>
      <c r="B3022" s="540" t="s">
        <v>100</v>
      </c>
      <c r="C3022" s="552">
        <v>0</v>
      </c>
      <c r="D3022" s="553">
        <v>0</v>
      </c>
      <c r="E3022" s="553">
        <v>0</v>
      </c>
      <c r="F3022" s="551">
        <v>0</v>
      </c>
      <c r="G3022" s="551">
        <v>0</v>
      </c>
      <c r="H3022" s="551">
        <v>0</v>
      </c>
      <c r="I3022" s="551">
        <v>0</v>
      </c>
      <c r="J3022" s="551">
        <v>0</v>
      </c>
      <c r="K3022" s="527">
        <f t="shared" si="1868"/>
        <v>0</v>
      </c>
      <c r="L3022" s="528">
        <f t="shared" si="1869"/>
        <v>0</v>
      </c>
      <c r="M3022" s="528">
        <f t="shared" si="1870"/>
        <v>0</v>
      </c>
      <c r="N3022" s="528">
        <f t="shared" si="1871"/>
        <v>0</v>
      </c>
      <c r="O3022" s="528">
        <f t="shared" si="1872"/>
        <v>0</v>
      </c>
      <c r="P3022" s="529">
        <f t="shared" si="1873"/>
        <v>0</v>
      </c>
      <c r="Q3022" s="24">
        <f t="shared" si="1874"/>
        <v>0</v>
      </c>
      <c r="R3022" s="530">
        <f t="shared" si="1875"/>
        <v>0</v>
      </c>
    </row>
    <row r="3023" spans="1:18">
      <c r="A3023" s="524"/>
      <c r="B3023" s="540" t="s">
        <v>101</v>
      </c>
      <c r="C3023" s="552">
        <v>803.23</v>
      </c>
      <c r="D3023" s="553">
        <v>9577</v>
      </c>
      <c r="E3023" s="551">
        <v>505</v>
      </c>
      <c r="F3023" s="551">
        <v>1</v>
      </c>
      <c r="G3023" s="551">
        <v>4598</v>
      </c>
      <c r="H3023" s="551">
        <v>24</v>
      </c>
      <c r="I3023" s="551">
        <v>1</v>
      </c>
      <c r="J3023" s="551">
        <v>1</v>
      </c>
      <c r="K3023" s="527">
        <f t="shared" si="1868"/>
        <v>0.0527305001566252</v>
      </c>
      <c r="L3023" s="528">
        <f t="shared" si="1869"/>
        <v>1.59055445544554</v>
      </c>
      <c r="M3023" s="528">
        <f t="shared" si="1870"/>
        <v>83.8707319619923</v>
      </c>
      <c r="N3023" s="528">
        <f t="shared" si="1871"/>
        <v>5.7243877843208</v>
      </c>
      <c r="O3023" s="528">
        <f t="shared" si="1872"/>
        <v>0.00198019801980198</v>
      </c>
      <c r="P3023" s="529">
        <f t="shared" si="1873"/>
        <v>32.1292</v>
      </c>
      <c r="Q3023" s="24">
        <f t="shared" si="1874"/>
        <v>25</v>
      </c>
      <c r="R3023" s="530">
        <f t="shared" si="1875"/>
        <v>0.0495049504950495</v>
      </c>
    </row>
    <row r="3024" spans="1:18">
      <c r="A3024" s="524"/>
      <c r="B3024" s="531" t="s">
        <v>96</v>
      </c>
      <c r="C3024" s="533">
        <f t="shared" ref="C3024:J3024" si="1880">SUM(C3020:C3023)</f>
        <v>1803.23</v>
      </c>
      <c r="D3024" s="533">
        <f t="shared" si="1880"/>
        <v>22034</v>
      </c>
      <c r="E3024" s="533">
        <f t="shared" si="1880"/>
        <v>963</v>
      </c>
      <c r="F3024" s="533">
        <f t="shared" si="1880"/>
        <v>3</v>
      </c>
      <c r="G3024" s="533">
        <f t="shared" si="1880"/>
        <v>13510</v>
      </c>
      <c r="H3024" s="533">
        <f t="shared" si="1880"/>
        <v>56</v>
      </c>
      <c r="I3024" s="533">
        <f t="shared" si="1880"/>
        <v>4</v>
      </c>
      <c r="J3024" s="533">
        <f t="shared" si="1880"/>
        <v>2</v>
      </c>
      <c r="K3024" s="534">
        <f t="shared" si="1868"/>
        <v>0.0437051828991558</v>
      </c>
      <c r="L3024" s="535">
        <f t="shared" si="1869"/>
        <v>1.87251298026999</v>
      </c>
      <c r="M3024" s="535">
        <f t="shared" si="1870"/>
        <v>81.8385222837433</v>
      </c>
      <c r="N3024" s="535">
        <f t="shared" si="1871"/>
        <v>7.49211137791629</v>
      </c>
      <c r="O3024" s="535">
        <f t="shared" si="1872"/>
        <v>0.00311526479750779</v>
      </c>
      <c r="P3024" s="536">
        <f t="shared" si="1873"/>
        <v>30.0538333333333</v>
      </c>
      <c r="Q3024" s="531">
        <f t="shared" si="1874"/>
        <v>60</v>
      </c>
      <c r="R3024" s="537">
        <f t="shared" si="1875"/>
        <v>0.0623052959501558</v>
      </c>
    </row>
    <row r="3025" spans="1:18">
      <c r="A3025" s="524">
        <v>46055</v>
      </c>
      <c r="B3025" s="540" t="s">
        <v>98</v>
      </c>
      <c r="C3025" s="551">
        <v>1000</v>
      </c>
      <c r="D3025" s="553">
        <v>14565</v>
      </c>
      <c r="E3025" s="551">
        <v>429</v>
      </c>
      <c r="F3025" s="551">
        <v>1</v>
      </c>
      <c r="G3025" s="551">
        <v>12954</v>
      </c>
      <c r="H3025" s="551">
        <v>20</v>
      </c>
      <c r="I3025" s="551">
        <v>2</v>
      </c>
      <c r="J3025" s="551">
        <v>1</v>
      </c>
      <c r="K3025" s="527">
        <f t="shared" si="1868"/>
        <v>0.0294541709577755</v>
      </c>
      <c r="L3025" s="528">
        <f t="shared" si="1869"/>
        <v>2.33100233100233</v>
      </c>
      <c r="M3025" s="528">
        <f t="shared" si="1870"/>
        <v>68.6577411603158</v>
      </c>
      <c r="N3025" s="528">
        <f t="shared" si="1871"/>
        <v>12.954</v>
      </c>
      <c r="O3025" s="528">
        <f t="shared" si="1872"/>
        <v>0.00233100233100233</v>
      </c>
      <c r="P3025" s="529">
        <f t="shared" si="1873"/>
        <v>45.4545454545455</v>
      </c>
      <c r="Q3025" s="24">
        <f t="shared" si="1874"/>
        <v>22</v>
      </c>
      <c r="R3025" s="530">
        <f t="shared" si="1875"/>
        <v>0.0512820512820513</v>
      </c>
    </row>
    <row r="3026" spans="1:18">
      <c r="A3026" s="524"/>
      <c r="B3026" s="540" t="s">
        <v>99</v>
      </c>
      <c r="C3026" s="551">
        <v>0</v>
      </c>
      <c r="D3026" s="556">
        <v>0</v>
      </c>
      <c r="E3026" s="551">
        <v>0</v>
      </c>
      <c r="F3026" s="551">
        <v>0</v>
      </c>
      <c r="G3026" s="551">
        <v>0</v>
      </c>
      <c r="H3026" s="555">
        <v>0</v>
      </c>
      <c r="I3026" s="555">
        <v>0</v>
      </c>
      <c r="J3026" s="555">
        <v>0</v>
      </c>
      <c r="K3026" s="527">
        <f t="shared" si="1868"/>
        <v>0</v>
      </c>
      <c r="L3026" s="528">
        <f t="shared" si="1869"/>
        <v>0</v>
      </c>
      <c r="M3026" s="528">
        <f t="shared" si="1870"/>
        <v>0</v>
      </c>
      <c r="N3026" s="528">
        <f t="shared" si="1871"/>
        <v>0</v>
      </c>
      <c r="O3026" s="528">
        <f t="shared" si="1872"/>
        <v>0</v>
      </c>
      <c r="P3026" s="529">
        <f t="shared" si="1873"/>
        <v>0</v>
      </c>
      <c r="Q3026" s="24">
        <f t="shared" si="1874"/>
        <v>0</v>
      </c>
      <c r="R3026" s="530">
        <f t="shared" si="1875"/>
        <v>0</v>
      </c>
    </row>
    <row r="3027" spans="1:18">
      <c r="A3027" s="524"/>
      <c r="B3027" s="540" t="s">
        <v>100</v>
      </c>
      <c r="C3027" s="552">
        <v>0</v>
      </c>
      <c r="D3027" s="553">
        <v>0</v>
      </c>
      <c r="E3027" s="553">
        <v>0</v>
      </c>
      <c r="F3027" s="551">
        <v>0</v>
      </c>
      <c r="G3027" s="551">
        <v>0</v>
      </c>
      <c r="H3027" s="551">
        <v>0</v>
      </c>
      <c r="I3027" s="551">
        <v>0</v>
      </c>
      <c r="J3027" s="551">
        <v>0</v>
      </c>
      <c r="K3027" s="527">
        <f t="shared" si="1868"/>
        <v>0</v>
      </c>
      <c r="L3027" s="528">
        <f t="shared" si="1869"/>
        <v>0</v>
      </c>
      <c r="M3027" s="528">
        <f t="shared" si="1870"/>
        <v>0</v>
      </c>
      <c r="N3027" s="528">
        <f t="shared" si="1871"/>
        <v>0</v>
      </c>
      <c r="O3027" s="528">
        <f t="shared" si="1872"/>
        <v>0</v>
      </c>
      <c r="P3027" s="529">
        <f t="shared" si="1873"/>
        <v>0</v>
      </c>
      <c r="Q3027" s="24">
        <f t="shared" si="1874"/>
        <v>0</v>
      </c>
      <c r="R3027" s="530">
        <f t="shared" si="1875"/>
        <v>0</v>
      </c>
    </row>
    <row r="3028" spans="1:18">
      <c r="A3028" s="524"/>
      <c r="B3028" s="540" t="s">
        <v>101</v>
      </c>
      <c r="C3028" s="552">
        <v>800.15</v>
      </c>
      <c r="D3028" s="553">
        <v>9037</v>
      </c>
      <c r="E3028" s="551">
        <v>466</v>
      </c>
      <c r="F3028" s="551">
        <v>1</v>
      </c>
      <c r="G3028" s="551">
        <v>8676</v>
      </c>
      <c r="H3028" s="551">
        <v>15</v>
      </c>
      <c r="I3028" s="551">
        <v>2</v>
      </c>
      <c r="J3028" s="551">
        <v>2</v>
      </c>
      <c r="K3028" s="527">
        <f t="shared" si="1868"/>
        <v>0.0515657851056767</v>
      </c>
      <c r="L3028" s="528">
        <f t="shared" si="1869"/>
        <v>1.71706008583691</v>
      </c>
      <c r="M3028" s="528">
        <f t="shared" si="1870"/>
        <v>88.5415513998008</v>
      </c>
      <c r="N3028" s="528">
        <f t="shared" si="1871"/>
        <v>10.8429669436981</v>
      </c>
      <c r="O3028" s="528">
        <f t="shared" si="1872"/>
        <v>0.00214592274678112</v>
      </c>
      <c r="P3028" s="529">
        <f t="shared" si="1873"/>
        <v>47.0676470588235</v>
      </c>
      <c r="Q3028" s="24">
        <f t="shared" si="1874"/>
        <v>17</v>
      </c>
      <c r="R3028" s="530">
        <f t="shared" si="1875"/>
        <v>0.036480686695279</v>
      </c>
    </row>
    <row r="3029" spans="1:18">
      <c r="A3029" s="524"/>
      <c r="B3029" s="531" t="s">
        <v>96</v>
      </c>
      <c r="C3029" s="533">
        <f t="shared" ref="C3029:J3029" si="1881">SUM(C3025:C3028)</f>
        <v>1800.15</v>
      </c>
      <c r="D3029" s="533">
        <f t="shared" si="1881"/>
        <v>23602</v>
      </c>
      <c r="E3029" s="533">
        <f t="shared" si="1881"/>
        <v>895</v>
      </c>
      <c r="F3029" s="533">
        <f t="shared" si="1881"/>
        <v>2</v>
      </c>
      <c r="G3029" s="533">
        <f t="shared" si="1881"/>
        <v>21630</v>
      </c>
      <c r="H3029" s="533">
        <f t="shared" si="1881"/>
        <v>35</v>
      </c>
      <c r="I3029" s="533">
        <f t="shared" si="1881"/>
        <v>4</v>
      </c>
      <c r="J3029" s="533">
        <f t="shared" si="1881"/>
        <v>3</v>
      </c>
      <c r="K3029" s="534">
        <f t="shared" si="1868"/>
        <v>0.0379205152105754</v>
      </c>
      <c r="L3029" s="535">
        <f t="shared" si="1869"/>
        <v>2.01134078212291</v>
      </c>
      <c r="M3029" s="535">
        <f t="shared" si="1870"/>
        <v>76.2710787221422</v>
      </c>
      <c r="N3029" s="535">
        <f t="shared" si="1871"/>
        <v>12.0156653612199</v>
      </c>
      <c r="O3029" s="535">
        <f t="shared" si="1872"/>
        <v>0.00223463687150838</v>
      </c>
      <c r="P3029" s="536">
        <f t="shared" si="1873"/>
        <v>46.1576923076923</v>
      </c>
      <c r="Q3029" s="531">
        <f t="shared" si="1874"/>
        <v>39</v>
      </c>
      <c r="R3029" s="537">
        <f t="shared" si="1875"/>
        <v>0.0435754189944134</v>
      </c>
    </row>
    <row r="3030" spans="1:18">
      <c r="A3030" s="524">
        <v>46056</v>
      </c>
      <c r="B3030" s="540" t="s">
        <v>98</v>
      </c>
      <c r="C3030" s="551">
        <v>1000</v>
      </c>
      <c r="D3030" s="553">
        <v>9650</v>
      </c>
      <c r="E3030" s="551">
        <v>384</v>
      </c>
      <c r="F3030" s="551">
        <v>6</v>
      </c>
      <c r="G3030" s="551">
        <v>81905</v>
      </c>
      <c r="H3030" s="551">
        <v>32</v>
      </c>
      <c r="I3030" s="551">
        <v>5</v>
      </c>
      <c r="J3030" s="551">
        <v>4</v>
      </c>
      <c r="K3030" s="527">
        <f t="shared" si="1868"/>
        <v>0.0397927461139896</v>
      </c>
      <c r="L3030" s="528">
        <f t="shared" si="1869"/>
        <v>2.60416666666667</v>
      </c>
      <c r="M3030" s="528">
        <f t="shared" si="1870"/>
        <v>103.626943005181</v>
      </c>
      <c r="N3030" s="528">
        <f t="shared" si="1871"/>
        <v>81.905</v>
      </c>
      <c r="O3030" s="528">
        <f t="shared" si="1872"/>
        <v>0.015625</v>
      </c>
      <c r="P3030" s="529">
        <f t="shared" si="1873"/>
        <v>27.027027027027</v>
      </c>
      <c r="Q3030" s="24">
        <f t="shared" si="1874"/>
        <v>37</v>
      </c>
      <c r="R3030" s="530">
        <f t="shared" si="1875"/>
        <v>0.0963541666666667</v>
      </c>
    </row>
    <row r="3031" spans="1:18">
      <c r="A3031" s="524"/>
      <c r="B3031" s="540" t="s">
        <v>99</v>
      </c>
      <c r="C3031" s="551">
        <v>0</v>
      </c>
      <c r="D3031" s="556">
        <v>0</v>
      </c>
      <c r="E3031" s="551">
        <v>0</v>
      </c>
      <c r="F3031" s="551">
        <v>0</v>
      </c>
      <c r="G3031" s="551">
        <v>0</v>
      </c>
      <c r="H3031" s="555">
        <v>0</v>
      </c>
      <c r="I3031" s="555">
        <v>0</v>
      </c>
      <c r="J3031" s="555">
        <v>0</v>
      </c>
      <c r="K3031" s="527">
        <f t="shared" si="1868"/>
        <v>0</v>
      </c>
      <c r="L3031" s="528">
        <f t="shared" si="1869"/>
        <v>0</v>
      </c>
      <c r="M3031" s="528">
        <f t="shared" si="1870"/>
        <v>0</v>
      </c>
      <c r="N3031" s="528">
        <f t="shared" si="1871"/>
        <v>0</v>
      </c>
      <c r="O3031" s="528">
        <f t="shared" si="1872"/>
        <v>0</v>
      </c>
      <c r="P3031" s="529">
        <f t="shared" si="1873"/>
        <v>0</v>
      </c>
      <c r="Q3031" s="24">
        <f t="shared" si="1874"/>
        <v>0</v>
      </c>
      <c r="R3031" s="530">
        <f t="shared" si="1875"/>
        <v>0</v>
      </c>
    </row>
    <row r="3032" spans="1:18">
      <c r="A3032" s="524"/>
      <c r="B3032" s="540" t="s">
        <v>100</v>
      </c>
      <c r="C3032" s="552">
        <v>0</v>
      </c>
      <c r="D3032" s="553">
        <v>0</v>
      </c>
      <c r="E3032" s="553">
        <v>0</v>
      </c>
      <c r="F3032" s="551">
        <v>0</v>
      </c>
      <c r="G3032" s="551">
        <v>0</v>
      </c>
      <c r="H3032" s="551">
        <v>0</v>
      </c>
      <c r="I3032" s="551">
        <v>0</v>
      </c>
      <c r="J3032" s="551">
        <v>0</v>
      </c>
      <c r="K3032" s="527">
        <f t="shared" si="1868"/>
        <v>0</v>
      </c>
      <c r="L3032" s="528">
        <f t="shared" si="1869"/>
        <v>0</v>
      </c>
      <c r="M3032" s="528">
        <f t="shared" si="1870"/>
        <v>0</v>
      </c>
      <c r="N3032" s="528">
        <f t="shared" si="1871"/>
        <v>0</v>
      </c>
      <c r="O3032" s="528">
        <f t="shared" si="1872"/>
        <v>0</v>
      </c>
      <c r="P3032" s="529">
        <f t="shared" si="1873"/>
        <v>0</v>
      </c>
      <c r="Q3032" s="24">
        <f t="shared" si="1874"/>
        <v>0</v>
      </c>
      <c r="R3032" s="530">
        <f t="shared" si="1875"/>
        <v>0</v>
      </c>
    </row>
    <row r="3033" spans="1:18">
      <c r="A3033" s="524"/>
      <c r="B3033" s="540" t="s">
        <v>101</v>
      </c>
      <c r="C3033" s="552">
        <v>120.07</v>
      </c>
      <c r="D3033" s="553">
        <v>3375</v>
      </c>
      <c r="E3033" s="551">
        <v>104</v>
      </c>
      <c r="F3033" s="551">
        <v>0</v>
      </c>
      <c r="G3033" s="551">
        <v>0</v>
      </c>
      <c r="H3033" s="551">
        <v>2</v>
      </c>
      <c r="I3033" s="551">
        <v>0</v>
      </c>
      <c r="J3033" s="551">
        <v>0</v>
      </c>
      <c r="K3033" s="527">
        <f t="shared" si="1868"/>
        <v>0.0308148148148148</v>
      </c>
      <c r="L3033" s="528">
        <f t="shared" si="1869"/>
        <v>1.15451923076923</v>
      </c>
      <c r="M3033" s="528">
        <f t="shared" si="1870"/>
        <v>35.5762962962963</v>
      </c>
      <c r="N3033" s="528">
        <f t="shared" si="1871"/>
        <v>0</v>
      </c>
      <c r="O3033" s="528">
        <f t="shared" si="1872"/>
        <v>0</v>
      </c>
      <c r="P3033" s="529">
        <f t="shared" si="1873"/>
        <v>60.035</v>
      </c>
      <c r="Q3033" s="24">
        <f t="shared" si="1874"/>
        <v>2</v>
      </c>
      <c r="R3033" s="530">
        <f t="shared" si="1875"/>
        <v>0.0192307692307692</v>
      </c>
    </row>
    <row r="3034" spans="1:18">
      <c r="A3034" s="524"/>
      <c r="B3034" s="531" t="s">
        <v>96</v>
      </c>
      <c r="C3034" s="533">
        <f t="shared" ref="C3034:J3034" si="1882">SUM(C3030:C3033)</f>
        <v>1120.07</v>
      </c>
      <c r="D3034" s="533">
        <f t="shared" si="1882"/>
        <v>13025</v>
      </c>
      <c r="E3034" s="533">
        <f t="shared" si="1882"/>
        <v>488</v>
      </c>
      <c r="F3034" s="533">
        <f t="shared" si="1882"/>
        <v>6</v>
      </c>
      <c r="G3034" s="533">
        <f t="shared" si="1882"/>
        <v>81905</v>
      </c>
      <c r="H3034" s="533">
        <f t="shared" si="1882"/>
        <v>34</v>
      </c>
      <c r="I3034" s="533">
        <f t="shared" si="1882"/>
        <v>5</v>
      </c>
      <c r="J3034" s="533">
        <f t="shared" si="1882"/>
        <v>4</v>
      </c>
      <c r="K3034" s="534">
        <f t="shared" si="1868"/>
        <v>0.0374664107485605</v>
      </c>
      <c r="L3034" s="535">
        <f t="shared" si="1869"/>
        <v>2.29522540983607</v>
      </c>
      <c r="M3034" s="535">
        <f t="shared" si="1870"/>
        <v>85.993857965451</v>
      </c>
      <c r="N3034" s="535">
        <f t="shared" si="1871"/>
        <v>73.1248939798406</v>
      </c>
      <c r="O3034" s="535">
        <f t="shared" si="1872"/>
        <v>0.0122950819672131</v>
      </c>
      <c r="P3034" s="536">
        <f t="shared" si="1873"/>
        <v>28.7197435897436</v>
      </c>
      <c r="Q3034" s="531">
        <f t="shared" si="1874"/>
        <v>39</v>
      </c>
      <c r="R3034" s="537">
        <f t="shared" si="1875"/>
        <v>0.0799180327868853</v>
      </c>
    </row>
    <row r="3035" spans="1:18">
      <c r="A3035" s="524">
        <v>46057</v>
      </c>
      <c r="B3035" s="540" t="s">
        <v>98</v>
      </c>
      <c r="C3035" s="551">
        <v>1000</v>
      </c>
      <c r="D3035" s="553">
        <v>8562</v>
      </c>
      <c r="E3035" s="551">
        <v>361</v>
      </c>
      <c r="F3035" s="551">
        <v>1</v>
      </c>
      <c r="G3035" s="551">
        <v>12538</v>
      </c>
      <c r="H3035" s="551">
        <v>26</v>
      </c>
      <c r="I3035" s="551">
        <v>5</v>
      </c>
      <c r="J3035" s="551">
        <v>2</v>
      </c>
      <c r="K3035" s="527">
        <f t="shared" si="1868"/>
        <v>0.0421630460172857</v>
      </c>
      <c r="L3035" s="528">
        <f t="shared" si="1869"/>
        <v>2.77008310249307</v>
      </c>
      <c r="M3035" s="528">
        <f t="shared" si="1870"/>
        <v>116.795141322121</v>
      </c>
      <c r="N3035" s="528">
        <f t="shared" si="1871"/>
        <v>12.538</v>
      </c>
      <c r="O3035" s="528">
        <f t="shared" si="1872"/>
        <v>0.00277008310249307</v>
      </c>
      <c r="P3035" s="529">
        <f t="shared" si="1873"/>
        <v>32.258064516129</v>
      </c>
      <c r="Q3035" s="24">
        <f t="shared" si="1874"/>
        <v>31</v>
      </c>
      <c r="R3035" s="530">
        <f t="shared" si="1875"/>
        <v>0.0858725761772853</v>
      </c>
    </row>
    <row r="3036" spans="1:18">
      <c r="A3036" s="524"/>
      <c r="B3036" s="540" t="s">
        <v>99</v>
      </c>
      <c r="C3036" s="551">
        <v>0</v>
      </c>
      <c r="D3036" s="556">
        <v>0</v>
      </c>
      <c r="E3036" s="551">
        <v>0</v>
      </c>
      <c r="F3036" s="551">
        <v>0</v>
      </c>
      <c r="G3036" s="551">
        <v>0</v>
      </c>
      <c r="H3036" s="555">
        <v>0</v>
      </c>
      <c r="I3036" s="555">
        <v>0</v>
      </c>
      <c r="J3036" s="555">
        <v>0</v>
      </c>
      <c r="K3036" s="527">
        <f t="shared" si="1868"/>
        <v>0</v>
      </c>
      <c r="L3036" s="528">
        <f t="shared" si="1869"/>
        <v>0</v>
      </c>
      <c r="M3036" s="528">
        <f t="shared" si="1870"/>
        <v>0</v>
      </c>
      <c r="N3036" s="528">
        <f t="shared" si="1871"/>
        <v>0</v>
      </c>
      <c r="O3036" s="528">
        <f t="shared" si="1872"/>
        <v>0</v>
      </c>
      <c r="P3036" s="529">
        <f t="shared" si="1873"/>
        <v>0</v>
      </c>
      <c r="Q3036" s="24">
        <f t="shared" si="1874"/>
        <v>0</v>
      </c>
      <c r="R3036" s="530">
        <f t="shared" si="1875"/>
        <v>0</v>
      </c>
    </row>
    <row r="3037" spans="1:18">
      <c r="A3037" s="524"/>
      <c r="B3037" s="540" t="s">
        <v>100</v>
      </c>
      <c r="C3037" s="552">
        <v>0</v>
      </c>
      <c r="D3037" s="553">
        <v>0</v>
      </c>
      <c r="E3037" s="553">
        <v>0</v>
      </c>
      <c r="F3037" s="551">
        <v>0</v>
      </c>
      <c r="G3037" s="551">
        <v>0</v>
      </c>
      <c r="H3037" s="551">
        <v>0</v>
      </c>
      <c r="I3037" s="551">
        <v>0</v>
      </c>
      <c r="J3037" s="551">
        <v>0</v>
      </c>
      <c r="K3037" s="527">
        <f t="shared" si="1868"/>
        <v>0</v>
      </c>
      <c r="L3037" s="528">
        <f t="shared" si="1869"/>
        <v>0</v>
      </c>
      <c r="M3037" s="528">
        <f t="shared" si="1870"/>
        <v>0</v>
      </c>
      <c r="N3037" s="528">
        <f t="shared" si="1871"/>
        <v>0</v>
      </c>
      <c r="O3037" s="528">
        <f t="shared" si="1872"/>
        <v>0</v>
      </c>
      <c r="P3037" s="529">
        <f t="shared" si="1873"/>
        <v>0</v>
      </c>
      <c r="Q3037" s="24">
        <f t="shared" si="1874"/>
        <v>0</v>
      </c>
      <c r="R3037" s="530">
        <f t="shared" si="1875"/>
        <v>0</v>
      </c>
    </row>
    <row r="3038" spans="1:18">
      <c r="A3038" s="524"/>
      <c r="B3038" s="540" t="s">
        <v>101</v>
      </c>
      <c r="C3038" s="552">
        <v>0</v>
      </c>
      <c r="D3038" s="553">
        <v>0</v>
      </c>
      <c r="E3038" s="551">
        <v>0</v>
      </c>
      <c r="F3038" s="551">
        <v>0</v>
      </c>
      <c r="G3038" s="551">
        <v>0</v>
      </c>
      <c r="H3038" s="551">
        <v>0</v>
      </c>
      <c r="I3038" s="551">
        <v>0</v>
      </c>
      <c r="J3038" s="551">
        <v>0</v>
      </c>
      <c r="K3038" s="527">
        <f t="shared" si="1868"/>
        <v>0</v>
      </c>
      <c r="L3038" s="528">
        <f t="shared" si="1869"/>
        <v>0</v>
      </c>
      <c r="M3038" s="528">
        <f t="shared" si="1870"/>
        <v>0</v>
      </c>
      <c r="N3038" s="528">
        <f t="shared" si="1871"/>
        <v>0</v>
      </c>
      <c r="O3038" s="528">
        <f t="shared" si="1872"/>
        <v>0</v>
      </c>
      <c r="P3038" s="529">
        <f t="shared" si="1873"/>
        <v>0</v>
      </c>
      <c r="Q3038" s="24">
        <f t="shared" si="1874"/>
        <v>0</v>
      </c>
      <c r="R3038" s="530">
        <f t="shared" si="1875"/>
        <v>0</v>
      </c>
    </row>
    <row r="3039" spans="1:18">
      <c r="A3039" s="524"/>
      <c r="B3039" s="531" t="s">
        <v>96</v>
      </c>
      <c r="C3039" s="533">
        <f t="shared" ref="C3039:J3039" si="1883">SUM(C3035:C3038)</f>
        <v>1000</v>
      </c>
      <c r="D3039" s="533">
        <f t="shared" si="1883"/>
        <v>8562</v>
      </c>
      <c r="E3039" s="533">
        <f t="shared" si="1883"/>
        <v>361</v>
      </c>
      <c r="F3039" s="533">
        <f t="shared" si="1883"/>
        <v>1</v>
      </c>
      <c r="G3039" s="533">
        <f t="shared" si="1883"/>
        <v>12538</v>
      </c>
      <c r="H3039" s="533">
        <f t="shared" si="1883"/>
        <v>26</v>
      </c>
      <c r="I3039" s="533">
        <f t="shared" si="1883"/>
        <v>5</v>
      </c>
      <c r="J3039" s="533">
        <f t="shared" si="1883"/>
        <v>2</v>
      </c>
      <c r="K3039" s="534">
        <f t="shared" si="1868"/>
        <v>0.0421630460172857</v>
      </c>
      <c r="L3039" s="535">
        <f t="shared" si="1869"/>
        <v>2.77008310249307</v>
      </c>
      <c r="M3039" s="535">
        <f t="shared" si="1870"/>
        <v>116.795141322121</v>
      </c>
      <c r="N3039" s="535">
        <f t="shared" si="1871"/>
        <v>12.538</v>
      </c>
      <c r="O3039" s="535">
        <f t="shared" si="1872"/>
        <v>0.00277008310249307</v>
      </c>
      <c r="P3039" s="536">
        <f t="shared" si="1873"/>
        <v>32.258064516129</v>
      </c>
      <c r="Q3039" s="531">
        <f t="shared" si="1874"/>
        <v>31</v>
      </c>
      <c r="R3039" s="537">
        <f t="shared" si="1875"/>
        <v>0.0858725761772853</v>
      </c>
    </row>
    <row r="3040" spans="1:18">
      <c r="A3040" s="524">
        <v>46058</v>
      </c>
      <c r="B3040" s="540" t="s">
        <v>98</v>
      </c>
      <c r="C3040" s="551">
        <v>1000</v>
      </c>
      <c r="D3040" s="553">
        <v>7725</v>
      </c>
      <c r="E3040" s="551">
        <v>373</v>
      </c>
      <c r="F3040" s="551">
        <v>4</v>
      </c>
      <c r="G3040" s="551">
        <v>49409</v>
      </c>
      <c r="H3040" s="551">
        <v>24</v>
      </c>
      <c r="I3040" s="551">
        <v>10</v>
      </c>
      <c r="J3040" s="551">
        <v>3</v>
      </c>
      <c r="K3040" s="527">
        <f t="shared" si="1868"/>
        <v>0.0482847896440129</v>
      </c>
      <c r="L3040" s="528">
        <f t="shared" si="1869"/>
        <v>2.68096514745308</v>
      </c>
      <c r="M3040" s="528">
        <f t="shared" si="1870"/>
        <v>129.449838187702</v>
      </c>
      <c r="N3040" s="528">
        <f t="shared" si="1871"/>
        <v>49.409</v>
      </c>
      <c r="O3040" s="528">
        <f t="shared" si="1872"/>
        <v>0.0107238605898123</v>
      </c>
      <c r="P3040" s="529">
        <f t="shared" si="1873"/>
        <v>29.4117647058824</v>
      </c>
      <c r="Q3040" s="24">
        <f t="shared" si="1874"/>
        <v>34</v>
      </c>
      <c r="R3040" s="530">
        <f t="shared" si="1875"/>
        <v>0.0911528150134048</v>
      </c>
    </row>
    <row r="3041" spans="1:18">
      <c r="A3041" s="524"/>
      <c r="B3041" s="540" t="s">
        <v>99</v>
      </c>
      <c r="C3041" s="551">
        <v>0</v>
      </c>
      <c r="D3041" s="556">
        <v>0</v>
      </c>
      <c r="E3041" s="551">
        <v>0</v>
      </c>
      <c r="F3041" s="551">
        <v>0</v>
      </c>
      <c r="G3041" s="551">
        <v>0</v>
      </c>
      <c r="H3041" s="555">
        <v>0</v>
      </c>
      <c r="I3041" s="555">
        <v>0</v>
      </c>
      <c r="J3041" s="555">
        <v>0</v>
      </c>
      <c r="K3041" s="527">
        <f t="shared" si="1868"/>
        <v>0</v>
      </c>
      <c r="L3041" s="528">
        <f t="shared" si="1869"/>
        <v>0</v>
      </c>
      <c r="M3041" s="528">
        <f t="shared" si="1870"/>
        <v>0</v>
      </c>
      <c r="N3041" s="528">
        <f t="shared" si="1871"/>
        <v>0</v>
      </c>
      <c r="O3041" s="528">
        <f t="shared" si="1872"/>
        <v>0</v>
      </c>
      <c r="P3041" s="529">
        <f t="shared" si="1873"/>
        <v>0</v>
      </c>
      <c r="Q3041" s="24">
        <f t="shared" si="1874"/>
        <v>0</v>
      </c>
      <c r="R3041" s="530">
        <f t="shared" si="1875"/>
        <v>0</v>
      </c>
    </row>
    <row r="3042" spans="1:18">
      <c r="A3042" s="524"/>
      <c r="B3042" s="540" t="s">
        <v>100</v>
      </c>
      <c r="C3042" s="552">
        <v>0</v>
      </c>
      <c r="D3042" s="553">
        <v>0</v>
      </c>
      <c r="E3042" s="553">
        <v>0</v>
      </c>
      <c r="F3042" s="551">
        <v>0</v>
      </c>
      <c r="G3042" s="551">
        <v>0</v>
      </c>
      <c r="H3042" s="551">
        <v>0</v>
      </c>
      <c r="I3042" s="551">
        <v>0</v>
      </c>
      <c r="J3042" s="551">
        <v>0</v>
      </c>
      <c r="K3042" s="527">
        <f t="shared" si="1868"/>
        <v>0</v>
      </c>
      <c r="L3042" s="528">
        <f t="shared" si="1869"/>
        <v>0</v>
      </c>
      <c r="M3042" s="528">
        <f t="shared" si="1870"/>
        <v>0</v>
      </c>
      <c r="N3042" s="528">
        <f t="shared" si="1871"/>
        <v>0</v>
      </c>
      <c r="O3042" s="528">
        <f t="shared" si="1872"/>
        <v>0</v>
      </c>
      <c r="P3042" s="529">
        <f t="shared" si="1873"/>
        <v>0</v>
      </c>
      <c r="Q3042" s="24">
        <f t="shared" si="1874"/>
        <v>0</v>
      </c>
      <c r="R3042" s="530">
        <f t="shared" si="1875"/>
        <v>0</v>
      </c>
    </row>
    <row r="3043" spans="1:18">
      <c r="A3043" s="524"/>
      <c r="B3043" s="540" t="s">
        <v>101</v>
      </c>
      <c r="C3043" s="552">
        <v>0</v>
      </c>
      <c r="D3043" s="553">
        <v>0</v>
      </c>
      <c r="E3043" s="551">
        <v>0</v>
      </c>
      <c r="F3043" s="551">
        <v>0</v>
      </c>
      <c r="G3043" s="551">
        <v>0</v>
      </c>
      <c r="H3043" s="551">
        <v>0</v>
      </c>
      <c r="I3043" s="551">
        <v>0</v>
      </c>
      <c r="J3043" s="551">
        <v>0</v>
      </c>
      <c r="K3043" s="527">
        <f t="shared" si="1868"/>
        <v>0</v>
      </c>
      <c r="L3043" s="528">
        <f t="shared" si="1869"/>
        <v>0</v>
      </c>
      <c r="M3043" s="528">
        <f t="shared" si="1870"/>
        <v>0</v>
      </c>
      <c r="N3043" s="528">
        <f t="shared" si="1871"/>
        <v>0</v>
      </c>
      <c r="O3043" s="528">
        <f t="shared" si="1872"/>
        <v>0</v>
      </c>
      <c r="P3043" s="529">
        <f t="shared" si="1873"/>
        <v>0</v>
      </c>
      <c r="Q3043" s="24">
        <f t="shared" si="1874"/>
        <v>0</v>
      </c>
      <c r="R3043" s="530">
        <f t="shared" si="1875"/>
        <v>0</v>
      </c>
    </row>
    <row r="3044" spans="1:18">
      <c r="A3044" s="524"/>
      <c r="B3044" s="531" t="s">
        <v>96</v>
      </c>
      <c r="C3044" s="533">
        <f t="shared" ref="C3044:J3044" si="1884">SUM(C3040:C3043)</f>
        <v>1000</v>
      </c>
      <c r="D3044" s="533">
        <f t="shared" si="1884"/>
        <v>7725</v>
      </c>
      <c r="E3044" s="533">
        <f t="shared" si="1884"/>
        <v>373</v>
      </c>
      <c r="F3044" s="533">
        <f t="shared" si="1884"/>
        <v>4</v>
      </c>
      <c r="G3044" s="533">
        <f t="shared" si="1884"/>
        <v>49409</v>
      </c>
      <c r="H3044" s="533">
        <f t="shared" si="1884"/>
        <v>24</v>
      </c>
      <c r="I3044" s="533">
        <f t="shared" si="1884"/>
        <v>10</v>
      </c>
      <c r="J3044" s="533">
        <f t="shared" si="1884"/>
        <v>3</v>
      </c>
      <c r="K3044" s="534">
        <f t="shared" si="1868"/>
        <v>0.0482847896440129</v>
      </c>
      <c r="L3044" s="535">
        <f t="shared" si="1869"/>
        <v>2.68096514745308</v>
      </c>
      <c r="M3044" s="535">
        <f t="shared" si="1870"/>
        <v>129.449838187702</v>
      </c>
      <c r="N3044" s="535">
        <f t="shared" si="1871"/>
        <v>49.409</v>
      </c>
      <c r="O3044" s="535">
        <f t="shared" si="1872"/>
        <v>0.0107238605898123</v>
      </c>
      <c r="P3044" s="536">
        <f t="shared" si="1873"/>
        <v>29.4117647058824</v>
      </c>
      <c r="Q3044" s="531">
        <f t="shared" si="1874"/>
        <v>34</v>
      </c>
      <c r="R3044" s="537">
        <f t="shared" si="1875"/>
        <v>0.0911528150134048</v>
      </c>
    </row>
    <row r="3045" spans="1:18">
      <c r="A3045" s="524">
        <v>46059</v>
      </c>
      <c r="B3045" s="540" t="s">
        <v>98</v>
      </c>
      <c r="C3045" s="551">
        <v>996.71</v>
      </c>
      <c r="D3045" s="553">
        <v>10910</v>
      </c>
      <c r="E3045" s="551">
        <v>431</v>
      </c>
      <c r="F3045" s="551">
        <v>2</v>
      </c>
      <c r="G3045" s="551">
        <v>18210</v>
      </c>
      <c r="H3045" s="551">
        <v>35</v>
      </c>
      <c r="I3045" s="551">
        <v>9</v>
      </c>
      <c r="J3045" s="551">
        <v>6</v>
      </c>
      <c r="K3045" s="527">
        <f t="shared" si="1868"/>
        <v>0.0395050412465628</v>
      </c>
      <c r="L3045" s="528">
        <f t="shared" si="1869"/>
        <v>2.31255220417633</v>
      </c>
      <c r="M3045" s="528">
        <f t="shared" si="1870"/>
        <v>91.3574702108158</v>
      </c>
      <c r="N3045" s="528">
        <f t="shared" si="1871"/>
        <v>18.2701086574831</v>
      </c>
      <c r="O3045" s="528">
        <f t="shared" si="1872"/>
        <v>0.00464037122969838</v>
      </c>
      <c r="P3045" s="529">
        <f t="shared" si="1873"/>
        <v>22.6525</v>
      </c>
      <c r="Q3045" s="24">
        <f t="shared" si="1874"/>
        <v>44</v>
      </c>
      <c r="R3045" s="530">
        <f t="shared" si="1875"/>
        <v>0.102088167053364</v>
      </c>
    </row>
    <row r="3046" spans="1:18">
      <c r="A3046" s="524"/>
      <c r="B3046" s="540" t="s">
        <v>99</v>
      </c>
      <c r="C3046" s="551">
        <v>1491.92</v>
      </c>
      <c r="D3046" s="556">
        <v>15146</v>
      </c>
      <c r="E3046" s="551">
        <v>614</v>
      </c>
      <c r="F3046" s="551">
        <v>2</v>
      </c>
      <c r="G3046" s="551">
        <v>25072</v>
      </c>
      <c r="H3046" s="555">
        <v>13</v>
      </c>
      <c r="I3046" s="555">
        <v>0</v>
      </c>
      <c r="J3046" s="555">
        <v>2</v>
      </c>
      <c r="K3046" s="527">
        <f t="shared" si="1868"/>
        <v>0.040538756107223</v>
      </c>
      <c r="L3046" s="528">
        <f t="shared" si="1869"/>
        <v>2.42983713355049</v>
      </c>
      <c r="M3046" s="528">
        <f t="shared" si="1870"/>
        <v>98.5025749372772</v>
      </c>
      <c r="N3046" s="528">
        <f t="shared" si="1871"/>
        <v>16.8051906268433</v>
      </c>
      <c r="O3046" s="528">
        <f t="shared" si="1872"/>
        <v>0.00325732899022801</v>
      </c>
      <c r="P3046" s="529">
        <f t="shared" si="1873"/>
        <v>114.763076923077</v>
      </c>
      <c r="Q3046" s="24">
        <f t="shared" si="1874"/>
        <v>13</v>
      </c>
      <c r="R3046" s="530">
        <f t="shared" si="1875"/>
        <v>0.0211726384364821</v>
      </c>
    </row>
    <row r="3047" spans="1:18">
      <c r="A3047" s="524"/>
      <c r="B3047" s="540" t="s">
        <v>100</v>
      </c>
      <c r="C3047" s="552">
        <v>0</v>
      </c>
      <c r="D3047" s="553">
        <v>0</v>
      </c>
      <c r="E3047" s="553">
        <v>0</v>
      </c>
      <c r="F3047" s="551">
        <v>0</v>
      </c>
      <c r="G3047" s="551">
        <v>0</v>
      </c>
      <c r="H3047" s="551">
        <v>0</v>
      </c>
      <c r="I3047" s="551">
        <v>0</v>
      </c>
      <c r="J3047" s="551">
        <v>0</v>
      </c>
      <c r="K3047" s="527">
        <f t="shared" si="1868"/>
        <v>0</v>
      </c>
      <c r="L3047" s="528">
        <f t="shared" si="1869"/>
        <v>0</v>
      </c>
      <c r="M3047" s="528">
        <f t="shared" si="1870"/>
        <v>0</v>
      </c>
      <c r="N3047" s="528">
        <f t="shared" si="1871"/>
        <v>0</v>
      </c>
      <c r="O3047" s="528">
        <f t="shared" si="1872"/>
        <v>0</v>
      </c>
      <c r="P3047" s="529">
        <f t="shared" si="1873"/>
        <v>0</v>
      </c>
      <c r="Q3047" s="24">
        <f t="shared" si="1874"/>
        <v>0</v>
      </c>
      <c r="R3047" s="530">
        <f t="shared" si="1875"/>
        <v>0</v>
      </c>
    </row>
    <row r="3048" spans="1:18">
      <c r="A3048" s="524"/>
      <c r="B3048" s="540" t="s">
        <v>101</v>
      </c>
      <c r="C3048" s="552">
        <v>0</v>
      </c>
      <c r="D3048" s="553">
        <v>0</v>
      </c>
      <c r="E3048" s="551">
        <v>0</v>
      </c>
      <c r="F3048" s="551">
        <v>0</v>
      </c>
      <c r="G3048" s="551">
        <v>0</v>
      </c>
      <c r="H3048" s="551">
        <v>0</v>
      </c>
      <c r="I3048" s="551">
        <v>0</v>
      </c>
      <c r="J3048" s="551">
        <v>0</v>
      </c>
      <c r="K3048" s="527">
        <f t="shared" si="1868"/>
        <v>0</v>
      </c>
      <c r="L3048" s="528">
        <f t="shared" si="1869"/>
        <v>0</v>
      </c>
      <c r="M3048" s="528">
        <f t="shared" si="1870"/>
        <v>0</v>
      </c>
      <c r="N3048" s="528">
        <f t="shared" si="1871"/>
        <v>0</v>
      </c>
      <c r="O3048" s="528">
        <f t="shared" si="1872"/>
        <v>0</v>
      </c>
      <c r="P3048" s="529">
        <f t="shared" si="1873"/>
        <v>0</v>
      </c>
      <c r="Q3048" s="24">
        <f t="shared" si="1874"/>
        <v>0</v>
      </c>
      <c r="R3048" s="530">
        <f t="shared" si="1875"/>
        <v>0</v>
      </c>
    </row>
    <row r="3049" spans="1:18">
      <c r="A3049" s="524"/>
      <c r="B3049" s="531" t="s">
        <v>96</v>
      </c>
      <c r="C3049" s="533">
        <f t="shared" ref="C3049:J3049" si="1885">SUM(C3045:C3048)</f>
        <v>2488.63</v>
      </c>
      <c r="D3049" s="533">
        <f t="shared" si="1885"/>
        <v>26056</v>
      </c>
      <c r="E3049" s="533">
        <f t="shared" si="1885"/>
        <v>1045</v>
      </c>
      <c r="F3049" s="533">
        <f t="shared" si="1885"/>
        <v>4</v>
      </c>
      <c r="G3049" s="533">
        <f t="shared" si="1885"/>
        <v>43282</v>
      </c>
      <c r="H3049" s="533">
        <f t="shared" si="1885"/>
        <v>48</v>
      </c>
      <c r="I3049" s="533">
        <f t="shared" si="1885"/>
        <v>9</v>
      </c>
      <c r="J3049" s="533">
        <f t="shared" si="1885"/>
        <v>8</v>
      </c>
      <c r="K3049" s="534">
        <f t="shared" si="1868"/>
        <v>0.0401059256984955</v>
      </c>
      <c r="L3049" s="535">
        <f t="shared" si="1869"/>
        <v>2.38146411483254</v>
      </c>
      <c r="M3049" s="535">
        <f t="shared" si="1870"/>
        <v>95.5108228431072</v>
      </c>
      <c r="N3049" s="535">
        <f t="shared" si="1871"/>
        <v>17.3918983537127</v>
      </c>
      <c r="O3049" s="535">
        <f t="shared" si="1872"/>
        <v>0.00382775119617225</v>
      </c>
      <c r="P3049" s="536">
        <f t="shared" si="1873"/>
        <v>43.6601754385965</v>
      </c>
      <c r="Q3049" s="531">
        <f t="shared" si="1874"/>
        <v>57</v>
      </c>
      <c r="R3049" s="537">
        <f t="shared" si="1875"/>
        <v>0.0545454545454545</v>
      </c>
    </row>
    <row r="3050" spans="1:18">
      <c r="A3050" s="524">
        <v>46060</v>
      </c>
      <c r="B3050" s="540" t="s">
        <v>98</v>
      </c>
      <c r="C3050" s="551">
        <v>1000</v>
      </c>
      <c r="D3050" s="553">
        <v>8727</v>
      </c>
      <c r="E3050" s="551">
        <v>385</v>
      </c>
      <c r="F3050" s="551">
        <v>4</v>
      </c>
      <c r="G3050" s="551">
        <v>44027</v>
      </c>
      <c r="H3050" s="551">
        <v>24</v>
      </c>
      <c r="I3050" s="551">
        <v>7</v>
      </c>
      <c r="J3050" s="551">
        <v>3</v>
      </c>
      <c r="K3050" s="527">
        <f t="shared" si="1868"/>
        <v>0.0441159619571445</v>
      </c>
      <c r="L3050" s="528">
        <f t="shared" si="1869"/>
        <v>2.5974025974026</v>
      </c>
      <c r="M3050" s="528">
        <f t="shared" si="1870"/>
        <v>114.586914174401</v>
      </c>
      <c r="N3050" s="528">
        <f t="shared" si="1871"/>
        <v>44.027</v>
      </c>
      <c r="O3050" s="528">
        <f t="shared" si="1872"/>
        <v>0.0103896103896104</v>
      </c>
      <c r="P3050" s="529">
        <f t="shared" si="1873"/>
        <v>32.258064516129</v>
      </c>
      <c r="Q3050" s="24">
        <f t="shared" si="1874"/>
        <v>31</v>
      </c>
      <c r="R3050" s="530">
        <f t="shared" si="1875"/>
        <v>0.0805194805194805</v>
      </c>
    </row>
    <row r="3051" spans="1:18">
      <c r="A3051" s="524"/>
      <c r="B3051" s="540" t="s">
        <v>99</v>
      </c>
      <c r="C3051" s="551">
        <v>1500</v>
      </c>
      <c r="D3051" s="556">
        <v>15622</v>
      </c>
      <c r="E3051" s="551">
        <v>524</v>
      </c>
      <c r="F3051" s="551">
        <v>0</v>
      </c>
      <c r="G3051" s="551">
        <v>0</v>
      </c>
      <c r="H3051" s="555">
        <v>12</v>
      </c>
      <c r="I3051" s="555">
        <v>0</v>
      </c>
      <c r="J3051" s="555">
        <v>1</v>
      </c>
      <c r="K3051" s="527">
        <f t="shared" si="1868"/>
        <v>0.0335424401485085</v>
      </c>
      <c r="L3051" s="528">
        <f t="shared" si="1869"/>
        <v>2.86259541984733</v>
      </c>
      <c r="M3051" s="528">
        <f t="shared" si="1870"/>
        <v>96.0184355396236</v>
      </c>
      <c r="N3051" s="528">
        <f t="shared" si="1871"/>
        <v>0</v>
      </c>
      <c r="O3051" s="528">
        <f t="shared" si="1872"/>
        <v>0</v>
      </c>
      <c r="P3051" s="529">
        <f t="shared" si="1873"/>
        <v>125</v>
      </c>
      <c r="Q3051" s="24">
        <f t="shared" si="1874"/>
        <v>12</v>
      </c>
      <c r="R3051" s="530">
        <f t="shared" si="1875"/>
        <v>0.0229007633587786</v>
      </c>
    </row>
    <row r="3052" spans="1:18">
      <c r="A3052" s="524"/>
      <c r="B3052" s="540" t="s">
        <v>100</v>
      </c>
      <c r="C3052" s="552">
        <v>0</v>
      </c>
      <c r="D3052" s="553">
        <v>0</v>
      </c>
      <c r="E3052" s="553">
        <v>0</v>
      </c>
      <c r="F3052" s="551">
        <v>0</v>
      </c>
      <c r="G3052" s="551">
        <v>0</v>
      </c>
      <c r="H3052" s="551">
        <v>0</v>
      </c>
      <c r="I3052" s="551">
        <v>0</v>
      </c>
      <c r="J3052" s="551">
        <v>0</v>
      </c>
      <c r="K3052" s="527">
        <f t="shared" si="1868"/>
        <v>0</v>
      </c>
      <c r="L3052" s="528">
        <f t="shared" si="1869"/>
        <v>0</v>
      </c>
      <c r="M3052" s="528">
        <f t="shared" si="1870"/>
        <v>0</v>
      </c>
      <c r="N3052" s="528">
        <f t="shared" si="1871"/>
        <v>0</v>
      </c>
      <c r="O3052" s="528">
        <f t="shared" si="1872"/>
        <v>0</v>
      </c>
      <c r="P3052" s="529">
        <f t="shared" si="1873"/>
        <v>0</v>
      </c>
      <c r="Q3052" s="24">
        <f t="shared" si="1874"/>
        <v>0</v>
      </c>
      <c r="R3052" s="530">
        <f t="shared" si="1875"/>
        <v>0</v>
      </c>
    </row>
    <row r="3053" spans="1:18">
      <c r="A3053" s="524"/>
      <c r="B3053" s="540" t="s">
        <v>101</v>
      </c>
      <c r="C3053" s="552">
        <v>0</v>
      </c>
      <c r="D3053" s="553">
        <v>0</v>
      </c>
      <c r="E3053" s="551">
        <v>0</v>
      </c>
      <c r="F3053" s="551">
        <v>0</v>
      </c>
      <c r="G3053" s="551">
        <v>0</v>
      </c>
      <c r="H3053" s="551">
        <v>0</v>
      </c>
      <c r="I3053" s="551">
        <v>0</v>
      </c>
      <c r="J3053" s="551">
        <v>0</v>
      </c>
      <c r="K3053" s="527">
        <f t="shared" si="1868"/>
        <v>0</v>
      </c>
      <c r="L3053" s="528">
        <f t="shared" si="1869"/>
        <v>0</v>
      </c>
      <c r="M3053" s="528">
        <f t="shared" si="1870"/>
        <v>0</v>
      </c>
      <c r="N3053" s="528">
        <f t="shared" si="1871"/>
        <v>0</v>
      </c>
      <c r="O3053" s="528">
        <f t="shared" si="1872"/>
        <v>0</v>
      </c>
      <c r="P3053" s="529">
        <f t="shared" si="1873"/>
        <v>0</v>
      </c>
      <c r="Q3053" s="24">
        <f t="shared" si="1874"/>
        <v>0</v>
      </c>
      <c r="R3053" s="530">
        <f t="shared" si="1875"/>
        <v>0</v>
      </c>
    </row>
    <row r="3054" spans="1:18">
      <c r="A3054" s="524"/>
      <c r="B3054" s="531" t="s">
        <v>96</v>
      </c>
      <c r="C3054" s="533">
        <f t="shared" ref="C3054:J3054" si="1886">SUM(C3050:C3053)</f>
        <v>2500</v>
      </c>
      <c r="D3054" s="533">
        <f t="shared" si="1886"/>
        <v>24349</v>
      </c>
      <c r="E3054" s="533">
        <f t="shared" si="1886"/>
        <v>909</v>
      </c>
      <c r="F3054" s="533">
        <f t="shared" si="1886"/>
        <v>4</v>
      </c>
      <c r="G3054" s="533">
        <f t="shared" si="1886"/>
        <v>44027</v>
      </c>
      <c r="H3054" s="533">
        <f t="shared" si="1886"/>
        <v>36</v>
      </c>
      <c r="I3054" s="533">
        <f t="shared" si="1886"/>
        <v>7</v>
      </c>
      <c r="J3054" s="533">
        <f t="shared" si="1886"/>
        <v>4</v>
      </c>
      <c r="K3054" s="534">
        <f t="shared" si="1868"/>
        <v>0.0373321286295125</v>
      </c>
      <c r="L3054" s="535">
        <f t="shared" si="1869"/>
        <v>2.75027502750275</v>
      </c>
      <c r="M3054" s="535">
        <f t="shared" si="1870"/>
        <v>102.673621093269</v>
      </c>
      <c r="N3054" s="535">
        <f t="shared" si="1871"/>
        <v>17.6108</v>
      </c>
      <c r="O3054" s="535">
        <f t="shared" si="1872"/>
        <v>0.0044004400440044</v>
      </c>
      <c r="P3054" s="536">
        <f t="shared" si="1873"/>
        <v>58.1395348837209</v>
      </c>
      <c r="Q3054" s="531">
        <f t="shared" si="1874"/>
        <v>43</v>
      </c>
      <c r="R3054" s="537">
        <f t="shared" si="1875"/>
        <v>0.0473047304730473</v>
      </c>
    </row>
    <row r="3055" spans="1:18">
      <c r="A3055" s="524">
        <v>46061</v>
      </c>
      <c r="B3055" s="540" t="s">
        <v>98</v>
      </c>
      <c r="C3055" s="551">
        <v>1000</v>
      </c>
      <c r="D3055" s="553">
        <v>7045</v>
      </c>
      <c r="E3055" s="551">
        <v>347</v>
      </c>
      <c r="F3055" s="551">
        <v>0</v>
      </c>
      <c r="G3055" s="551">
        <v>0</v>
      </c>
      <c r="H3055" s="551">
        <v>19</v>
      </c>
      <c r="I3055" s="551">
        <v>2</v>
      </c>
      <c r="J3055" s="551">
        <v>2</v>
      </c>
      <c r="K3055" s="527">
        <f t="shared" si="1868"/>
        <v>0.0492547906316537</v>
      </c>
      <c r="L3055" s="528">
        <f t="shared" si="1869"/>
        <v>2.88184438040346</v>
      </c>
      <c r="M3055" s="528">
        <f t="shared" si="1870"/>
        <v>141.94464158978</v>
      </c>
      <c r="N3055" s="528">
        <f t="shared" si="1871"/>
        <v>0</v>
      </c>
      <c r="O3055" s="528">
        <f t="shared" si="1872"/>
        <v>0</v>
      </c>
      <c r="P3055" s="529">
        <f t="shared" si="1873"/>
        <v>47.6190476190476</v>
      </c>
      <c r="Q3055" s="24">
        <f t="shared" si="1874"/>
        <v>21</v>
      </c>
      <c r="R3055" s="530">
        <f t="shared" si="1875"/>
        <v>0.0605187319884726</v>
      </c>
    </row>
    <row r="3056" spans="1:18">
      <c r="A3056" s="524"/>
      <c r="B3056" s="540" t="s">
        <v>99</v>
      </c>
      <c r="C3056" s="551">
        <v>1494.77</v>
      </c>
      <c r="D3056" s="556">
        <v>20946</v>
      </c>
      <c r="E3056" s="551">
        <v>697</v>
      </c>
      <c r="F3056" s="551">
        <v>0</v>
      </c>
      <c r="G3056" s="551">
        <v>0</v>
      </c>
      <c r="H3056" s="555">
        <v>5</v>
      </c>
      <c r="I3056" s="555">
        <v>2</v>
      </c>
      <c r="J3056" s="555">
        <v>1</v>
      </c>
      <c r="K3056" s="527">
        <f t="shared" si="1868"/>
        <v>0.0332760431585983</v>
      </c>
      <c r="L3056" s="528">
        <f t="shared" si="1869"/>
        <v>2.14457675753228</v>
      </c>
      <c r="M3056" s="528">
        <f t="shared" si="1870"/>
        <v>71.363028740571</v>
      </c>
      <c r="N3056" s="528">
        <f t="shared" si="1871"/>
        <v>0</v>
      </c>
      <c r="O3056" s="528">
        <f t="shared" si="1872"/>
        <v>0</v>
      </c>
      <c r="P3056" s="529">
        <f t="shared" si="1873"/>
        <v>213.538571428571</v>
      </c>
      <c r="Q3056" s="24">
        <f t="shared" si="1874"/>
        <v>7</v>
      </c>
      <c r="R3056" s="530">
        <f t="shared" si="1875"/>
        <v>0.0100430416068867</v>
      </c>
    </row>
    <row r="3057" spans="1:18">
      <c r="A3057" s="524"/>
      <c r="B3057" s="540" t="s">
        <v>100</v>
      </c>
      <c r="C3057" s="552">
        <v>0</v>
      </c>
      <c r="D3057" s="553">
        <v>0</v>
      </c>
      <c r="E3057" s="553">
        <v>0</v>
      </c>
      <c r="F3057" s="551">
        <v>0</v>
      </c>
      <c r="G3057" s="551">
        <v>0</v>
      </c>
      <c r="H3057" s="551">
        <v>0</v>
      </c>
      <c r="I3057" s="551">
        <v>0</v>
      </c>
      <c r="J3057" s="551">
        <v>0</v>
      </c>
      <c r="K3057" s="527">
        <f t="shared" si="1868"/>
        <v>0</v>
      </c>
      <c r="L3057" s="528">
        <f t="shared" si="1869"/>
        <v>0</v>
      </c>
      <c r="M3057" s="528">
        <f t="shared" si="1870"/>
        <v>0</v>
      </c>
      <c r="N3057" s="528">
        <f t="shared" si="1871"/>
        <v>0</v>
      </c>
      <c r="O3057" s="528">
        <f t="shared" si="1872"/>
        <v>0</v>
      </c>
      <c r="P3057" s="529">
        <f t="shared" si="1873"/>
        <v>0</v>
      </c>
      <c r="Q3057" s="24">
        <f t="shared" si="1874"/>
        <v>0</v>
      </c>
      <c r="R3057" s="530">
        <f t="shared" si="1875"/>
        <v>0</v>
      </c>
    </row>
    <row r="3058" spans="1:18">
      <c r="A3058" s="524"/>
      <c r="B3058" s="540" t="s">
        <v>101</v>
      </c>
      <c r="C3058" s="552">
        <v>0</v>
      </c>
      <c r="D3058" s="553">
        <v>0</v>
      </c>
      <c r="E3058" s="551">
        <v>0</v>
      </c>
      <c r="F3058" s="551">
        <v>0</v>
      </c>
      <c r="G3058" s="551">
        <v>0</v>
      </c>
      <c r="H3058" s="551">
        <v>0</v>
      </c>
      <c r="I3058" s="551">
        <v>0</v>
      </c>
      <c r="J3058" s="551">
        <v>0</v>
      </c>
      <c r="K3058" s="527">
        <f t="shared" si="1868"/>
        <v>0</v>
      </c>
      <c r="L3058" s="528">
        <f t="shared" si="1869"/>
        <v>0</v>
      </c>
      <c r="M3058" s="528">
        <f t="shared" si="1870"/>
        <v>0</v>
      </c>
      <c r="N3058" s="528">
        <f t="shared" si="1871"/>
        <v>0</v>
      </c>
      <c r="O3058" s="528">
        <f t="shared" si="1872"/>
        <v>0</v>
      </c>
      <c r="P3058" s="529">
        <f t="shared" si="1873"/>
        <v>0</v>
      </c>
      <c r="Q3058" s="24">
        <f t="shared" si="1874"/>
        <v>0</v>
      </c>
      <c r="R3058" s="530">
        <f t="shared" si="1875"/>
        <v>0</v>
      </c>
    </row>
    <row r="3059" spans="1:18">
      <c r="A3059" s="524"/>
      <c r="B3059" s="531" t="s">
        <v>96</v>
      </c>
      <c r="C3059" s="533">
        <f t="shared" ref="C3059:J3059" si="1887">SUM(C3055:C3058)</f>
        <v>2494.77</v>
      </c>
      <c r="D3059" s="533">
        <f t="shared" si="1887"/>
        <v>27991</v>
      </c>
      <c r="E3059" s="533">
        <f t="shared" si="1887"/>
        <v>1044</v>
      </c>
      <c r="F3059" s="533">
        <f t="shared" si="1887"/>
        <v>0</v>
      </c>
      <c r="G3059" s="533">
        <f t="shared" si="1887"/>
        <v>0</v>
      </c>
      <c r="H3059" s="533">
        <f t="shared" si="1887"/>
        <v>24</v>
      </c>
      <c r="I3059" s="533">
        <f t="shared" si="1887"/>
        <v>4</v>
      </c>
      <c r="J3059" s="533">
        <f t="shared" si="1887"/>
        <v>3</v>
      </c>
      <c r="K3059" s="534">
        <f t="shared" si="1868"/>
        <v>0.0372977028330535</v>
      </c>
      <c r="L3059" s="535">
        <f t="shared" si="1869"/>
        <v>2.38962643678161</v>
      </c>
      <c r="M3059" s="535">
        <f t="shared" si="1870"/>
        <v>89.1275767210889</v>
      </c>
      <c r="N3059" s="535">
        <f t="shared" si="1871"/>
        <v>0</v>
      </c>
      <c r="O3059" s="535">
        <f t="shared" si="1872"/>
        <v>0</v>
      </c>
      <c r="P3059" s="536">
        <f t="shared" si="1873"/>
        <v>89.0989285714286</v>
      </c>
      <c r="Q3059" s="531">
        <f t="shared" si="1874"/>
        <v>28</v>
      </c>
      <c r="R3059" s="537">
        <f t="shared" si="1875"/>
        <v>0.0268199233716475</v>
      </c>
    </row>
    <row r="3060" spans="1:18">
      <c r="A3060" s="524">
        <v>46062</v>
      </c>
      <c r="B3060" s="540" t="s">
        <v>98</v>
      </c>
      <c r="C3060" s="551">
        <v>1000</v>
      </c>
      <c r="D3060" s="553">
        <v>8905</v>
      </c>
      <c r="E3060" s="551">
        <v>399</v>
      </c>
      <c r="F3060" s="551">
        <v>0</v>
      </c>
      <c r="G3060" s="551">
        <v>0</v>
      </c>
      <c r="H3060" s="551">
        <v>12</v>
      </c>
      <c r="I3060" s="551">
        <v>7</v>
      </c>
      <c r="J3060" s="551">
        <v>3</v>
      </c>
      <c r="K3060" s="527">
        <f t="shared" si="1868"/>
        <v>0.044806288601909</v>
      </c>
      <c r="L3060" s="528">
        <f t="shared" si="1869"/>
        <v>2.5062656641604</v>
      </c>
      <c r="M3060" s="528">
        <f t="shared" si="1870"/>
        <v>112.296462661426</v>
      </c>
      <c r="N3060" s="528">
        <f t="shared" si="1871"/>
        <v>0</v>
      </c>
      <c r="O3060" s="528">
        <f t="shared" si="1872"/>
        <v>0</v>
      </c>
      <c r="P3060" s="529">
        <f t="shared" si="1873"/>
        <v>52.6315789473684</v>
      </c>
      <c r="Q3060" s="24">
        <f t="shared" si="1874"/>
        <v>19</v>
      </c>
      <c r="R3060" s="530">
        <f t="shared" si="1875"/>
        <v>0.0476190476190476</v>
      </c>
    </row>
    <row r="3061" spans="1:18">
      <c r="A3061" s="524"/>
      <c r="B3061" s="540" t="s">
        <v>99</v>
      </c>
      <c r="C3061" s="551">
        <v>1500</v>
      </c>
      <c r="D3061" s="556">
        <v>18478</v>
      </c>
      <c r="E3061" s="551">
        <v>699</v>
      </c>
      <c r="F3061" s="551">
        <v>2</v>
      </c>
      <c r="G3061" s="551">
        <v>23628</v>
      </c>
      <c r="H3061" s="555">
        <v>23</v>
      </c>
      <c r="I3061" s="555">
        <v>2</v>
      </c>
      <c r="J3061" s="555">
        <v>2</v>
      </c>
      <c r="K3061" s="527">
        <f t="shared" si="1868"/>
        <v>0.037828769347332</v>
      </c>
      <c r="L3061" s="528">
        <f t="shared" si="1869"/>
        <v>2.14592274678112</v>
      </c>
      <c r="M3061" s="528">
        <f t="shared" si="1870"/>
        <v>81.1776166251759</v>
      </c>
      <c r="N3061" s="528">
        <f t="shared" si="1871"/>
        <v>15.752</v>
      </c>
      <c r="O3061" s="528">
        <f t="shared" si="1872"/>
        <v>0.00286123032904149</v>
      </c>
      <c r="P3061" s="529">
        <f t="shared" si="1873"/>
        <v>60</v>
      </c>
      <c r="Q3061" s="24">
        <f t="shared" si="1874"/>
        <v>25</v>
      </c>
      <c r="R3061" s="530">
        <f t="shared" si="1875"/>
        <v>0.0357653791130186</v>
      </c>
    </row>
    <row r="3062" spans="1:18">
      <c r="A3062" s="524"/>
      <c r="B3062" s="540" t="s">
        <v>100</v>
      </c>
      <c r="C3062" s="552">
        <v>0</v>
      </c>
      <c r="D3062" s="553">
        <v>0</v>
      </c>
      <c r="E3062" s="553">
        <v>0</v>
      </c>
      <c r="F3062" s="551">
        <v>0</v>
      </c>
      <c r="G3062" s="551">
        <v>0</v>
      </c>
      <c r="H3062" s="551">
        <v>0</v>
      </c>
      <c r="I3062" s="551">
        <v>0</v>
      </c>
      <c r="J3062" s="551">
        <v>0</v>
      </c>
      <c r="K3062" s="527">
        <f t="shared" si="1868"/>
        <v>0</v>
      </c>
      <c r="L3062" s="528">
        <f t="shared" si="1869"/>
        <v>0</v>
      </c>
      <c r="M3062" s="528">
        <f t="shared" si="1870"/>
        <v>0</v>
      </c>
      <c r="N3062" s="528">
        <f t="shared" si="1871"/>
        <v>0</v>
      </c>
      <c r="O3062" s="528">
        <f t="shared" si="1872"/>
        <v>0</v>
      </c>
      <c r="P3062" s="529">
        <f t="shared" si="1873"/>
        <v>0</v>
      </c>
      <c r="Q3062" s="24">
        <f t="shared" si="1874"/>
        <v>0</v>
      </c>
      <c r="R3062" s="530">
        <f t="shared" si="1875"/>
        <v>0</v>
      </c>
    </row>
    <row r="3063" spans="1:18">
      <c r="A3063" s="524"/>
      <c r="B3063" s="540" t="s">
        <v>101</v>
      </c>
      <c r="C3063" s="552">
        <v>0</v>
      </c>
      <c r="D3063" s="553">
        <v>0</v>
      </c>
      <c r="E3063" s="551">
        <v>0</v>
      </c>
      <c r="F3063" s="551">
        <v>0</v>
      </c>
      <c r="G3063" s="551">
        <v>0</v>
      </c>
      <c r="H3063" s="551">
        <v>0</v>
      </c>
      <c r="I3063" s="551">
        <v>0</v>
      </c>
      <c r="J3063" s="551">
        <v>0</v>
      </c>
      <c r="K3063" s="527">
        <f t="shared" si="1868"/>
        <v>0</v>
      </c>
      <c r="L3063" s="528">
        <f t="shared" si="1869"/>
        <v>0</v>
      </c>
      <c r="M3063" s="528">
        <f t="shared" si="1870"/>
        <v>0</v>
      </c>
      <c r="N3063" s="528">
        <f t="shared" si="1871"/>
        <v>0</v>
      </c>
      <c r="O3063" s="528">
        <f t="shared" si="1872"/>
        <v>0</v>
      </c>
      <c r="P3063" s="529">
        <f t="shared" si="1873"/>
        <v>0</v>
      </c>
      <c r="Q3063" s="24">
        <f t="shared" si="1874"/>
        <v>0</v>
      </c>
      <c r="R3063" s="530">
        <f t="shared" si="1875"/>
        <v>0</v>
      </c>
    </row>
    <row r="3064" spans="1:18">
      <c r="A3064" s="524"/>
      <c r="B3064" s="531" t="s">
        <v>96</v>
      </c>
      <c r="C3064" s="533">
        <f t="shared" ref="C3064:J3064" si="1888">SUM(C3060:C3063)</f>
        <v>2500</v>
      </c>
      <c r="D3064" s="533">
        <f t="shared" si="1888"/>
        <v>27383</v>
      </c>
      <c r="E3064" s="533">
        <f t="shared" si="1888"/>
        <v>1098</v>
      </c>
      <c r="F3064" s="533">
        <f t="shared" si="1888"/>
        <v>2</v>
      </c>
      <c r="G3064" s="533">
        <f t="shared" si="1888"/>
        <v>23628</v>
      </c>
      <c r="H3064" s="533">
        <f t="shared" si="1888"/>
        <v>35</v>
      </c>
      <c r="I3064" s="533">
        <f t="shared" si="1888"/>
        <v>9</v>
      </c>
      <c r="J3064" s="533">
        <f t="shared" si="1888"/>
        <v>5</v>
      </c>
      <c r="K3064" s="534">
        <f t="shared" si="1868"/>
        <v>0.0400978709418252</v>
      </c>
      <c r="L3064" s="535">
        <f t="shared" si="1869"/>
        <v>2.27686703096539</v>
      </c>
      <c r="M3064" s="535">
        <f t="shared" si="1870"/>
        <v>91.297520359347</v>
      </c>
      <c r="N3064" s="535">
        <f t="shared" si="1871"/>
        <v>9.4512</v>
      </c>
      <c r="O3064" s="535">
        <f t="shared" si="1872"/>
        <v>0.00182149362477231</v>
      </c>
      <c r="P3064" s="536">
        <f t="shared" si="1873"/>
        <v>56.8181818181818</v>
      </c>
      <c r="Q3064" s="531">
        <f t="shared" si="1874"/>
        <v>44</v>
      </c>
      <c r="R3064" s="537">
        <f t="shared" si="1875"/>
        <v>0.0400728597449909</v>
      </c>
    </row>
    <row r="3065" spans="1:18">
      <c r="A3065" s="524">
        <v>46063</v>
      </c>
      <c r="B3065" s="540" t="s">
        <v>98</v>
      </c>
      <c r="C3065" s="551">
        <v>700</v>
      </c>
      <c r="D3065" s="553">
        <v>7708</v>
      </c>
      <c r="E3065" s="551">
        <v>335</v>
      </c>
      <c r="F3065" s="551">
        <v>1</v>
      </c>
      <c r="G3065" s="551">
        <v>6176</v>
      </c>
      <c r="H3065" s="551">
        <v>20</v>
      </c>
      <c r="I3065" s="551">
        <v>4</v>
      </c>
      <c r="J3065" s="551">
        <v>3</v>
      </c>
      <c r="K3065" s="527">
        <f t="shared" si="1868"/>
        <v>0.0434613388687078</v>
      </c>
      <c r="L3065" s="528">
        <f t="shared" si="1869"/>
        <v>2.08955223880597</v>
      </c>
      <c r="M3065" s="528">
        <f t="shared" si="1870"/>
        <v>90.8147379346134</v>
      </c>
      <c r="N3065" s="528">
        <f t="shared" si="1871"/>
        <v>8.82285714285714</v>
      </c>
      <c r="O3065" s="528">
        <f t="shared" si="1872"/>
        <v>0.00298507462686567</v>
      </c>
      <c r="P3065" s="529">
        <f t="shared" si="1873"/>
        <v>29.1666666666667</v>
      </c>
      <c r="Q3065" s="24">
        <f t="shared" si="1874"/>
        <v>24</v>
      </c>
      <c r="R3065" s="530">
        <f t="shared" si="1875"/>
        <v>0.0716417910447761</v>
      </c>
    </row>
    <row r="3066" spans="1:18">
      <c r="A3066" s="524"/>
      <c r="B3066" s="540" t="s">
        <v>99</v>
      </c>
      <c r="C3066" s="551">
        <v>2587.38</v>
      </c>
      <c r="D3066" s="556">
        <v>30695</v>
      </c>
      <c r="E3066" s="551">
        <v>1018</v>
      </c>
      <c r="F3066" s="551">
        <v>0</v>
      </c>
      <c r="G3066" s="551">
        <v>0</v>
      </c>
      <c r="H3066" s="555">
        <v>9</v>
      </c>
      <c r="I3066" s="555">
        <v>0</v>
      </c>
      <c r="J3066" s="555">
        <v>4</v>
      </c>
      <c r="K3066" s="527">
        <f t="shared" si="1868"/>
        <v>0.0331650105880437</v>
      </c>
      <c r="L3066" s="528">
        <f t="shared" si="1869"/>
        <v>2.54163064833006</v>
      </c>
      <c r="M3066" s="528">
        <f t="shared" si="1870"/>
        <v>84.2932073627627</v>
      </c>
      <c r="N3066" s="528">
        <f t="shared" si="1871"/>
        <v>0</v>
      </c>
      <c r="O3066" s="528">
        <f t="shared" si="1872"/>
        <v>0</v>
      </c>
      <c r="P3066" s="529">
        <f t="shared" si="1873"/>
        <v>287.486666666667</v>
      </c>
      <c r="Q3066" s="24">
        <f t="shared" si="1874"/>
        <v>9</v>
      </c>
      <c r="R3066" s="530">
        <f t="shared" si="1875"/>
        <v>0.00884086444007859</v>
      </c>
    </row>
    <row r="3067" spans="1:18">
      <c r="A3067" s="524"/>
      <c r="B3067" s="540" t="s">
        <v>100</v>
      </c>
      <c r="C3067" s="552">
        <v>0</v>
      </c>
      <c r="D3067" s="553">
        <v>0</v>
      </c>
      <c r="E3067" s="553">
        <v>0</v>
      </c>
      <c r="F3067" s="551">
        <v>0</v>
      </c>
      <c r="G3067" s="551">
        <v>0</v>
      </c>
      <c r="H3067" s="551">
        <v>0</v>
      </c>
      <c r="I3067" s="551">
        <v>0</v>
      </c>
      <c r="J3067" s="551">
        <v>0</v>
      </c>
      <c r="K3067" s="527">
        <f t="shared" ref="K3067:K3130" si="1889">IF(E3067=0,0,E3067/D3067)</f>
        <v>0</v>
      </c>
      <c r="L3067" s="528">
        <f t="shared" ref="L3067:L3130" si="1890">IF(C3067=0,0,C3067/E3067)</f>
        <v>0</v>
      </c>
      <c r="M3067" s="528">
        <f t="shared" ref="M3067:M3130" si="1891">IF(D3067=0,0,C3067/D3067*1000)</f>
        <v>0</v>
      </c>
      <c r="N3067" s="528">
        <f t="shared" ref="N3067:N3130" si="1892">IF(G3067=0,0,G3067/C3067)</f>
        <v>0</v>
      </c>
      <c r="O3067" s="528">
        <f t="shared" ref="O3067:O3130" si="1893">IF(F3067=0,0,F3067/E3067)</f>
        <v>0</v>
      </c>
      <c r="P3067" s="529">
        <f t="shared" ref="P3067:P3130" si="1894">IF(H3067+I3067=0,0,C3067/(H3067+I3067))</f>
        <v>0</v>
      </c>
      <c r="Q3067" s="24">
        <f t="shared" ref="Q3067:Q3130" si="1895">H3067+I3067</f>
        <v>0</v>
      </c>
      <c r="R3067" s="530">
        <f t="shared" ref="R3067:R3130" si="1896">IF(Q3067=0,0,Q3067/E3067)</f>
        <v>0</v>
      </c>
    </row>
    <row r="3068" spans="1:18">
      <c r="A3068" s="524"/>
      <c r="B3068" s="540" t="s">
        <v>101</v>
      </c>
      <c r="C3068" s="552">
        <v>0</v>
      </c>
      <c r="D3068" s="553">
        <v>0</v>
      </c>
      <c r="E3068" s="551">
        <v>0</v>
      </c>
      <c r="F3068" s="551">
        <v>0</v>
      </c>
      <c r="G3068" s="551">
        <v>0</v>
      </c>
      <c r="H3068" s="551">
        <v>0</v>
      </c>
      <c r="I3068" s="551">
        <v>0</v>
      </c>
      <c r="J3068" s="551">
        <v>0</v>
      </c>
      <c r="K3068" s="527">
        <f t="shared" si="1889"/>
        <v>0</v>
      </c>
      <c r="L3068" s="528">
        <f t="shared" si="1890"/>
        <v>0</v>
      </c>
      <c r="M3068" s="528">
        <f t="shared" si="1891"/>
        <v>0</v>
      </c>
      <c r="N3068" s="528">
        <f t="shared" si="1892"/>
        <v>0</v>
      </c>
      <c r="O3068" s="528">
        <f t="shared" si="1893"/>
        <v>0</v>
      </c>
      <c r="P3068" s="529">
        <f t="shared" si="1894"/>
        <v>0</v>
      </c>
      <c r="Q3068" s="24">
        <f t="shared" si="1895"/>
        <v>0</v>
      </c>
      <c r="R3068" s="530">
        <f t="shared" si="1896"/>
        <v>0</v>
      </c>
    </row>
    <row r="3069" spans="1:18">
      <c r="A3069" s="524"/>
      <c r="B3069" s="531" t="s">
        <v>96</v>
      </c>
      <c r="C3069" s="533">
        <f t="shared" ref="C3069:J3069" si="1897">SUM(C3065:C3068)</f>
        <v>3287.38</v>
      </c>
      <c r="D3069" s="533">
        <f t="shared" si="1897"/>
        <v>38403</v>
      </c>
      <c r="E3069" s="533">
        <f t="shared" si="1897"/>
        <v>1353</v>
      </c>
      <c r="F3069" s="533">
        <f t="shared" si="1897"/>
        <v>1</v>
      </c>
      <c r="G3069" s="533">
        <f t="shared" si="1897"/>
        <v>6176</v>
      </c>
      <c r="H3069" s="533">
        <f t="shared" si="1897"/>
        <v>29</v>
      </c>
      <c r="I3069" s="533">
        <f t="shared" si="1897"/>
        <v>4</v>
      </c>
      <c r="J3069" s="533">
        <f t="shared" si="1897"/>
        <v>7</v>
      </c>
      <c r="K3069" s="534">
        <f t="shared" si="1889"/>
        <v>0.0352316225294899</v>
      </c>
      <c r="L3069" s="535">
        <f t="shared" si="1890"/>
        <v>2.42969696969697</v>
      </c>
      <c r="M3069" s="535">
        <f t="shared" si="1891"/>
        <v>85.6021664974091</v>
      </c>
      <c r="N3069" s="535">
        <f t="shared" si="1892"/>
        <v>1.87869975481995</v>
      </c>
      <c r="O3069" s="535">
        <f t="shared" si="1893"/>
        <v>0.00073909830007391</v>
      </c>
      <c r="P3069" s="536">
        <f t="shared" si="1894"/>
        <v>99.6175757575758</v>
      </c>
      <c r="Q3069" s="531">
        <f t="shared" si="1895"/>
        <v>33</v>
      </c>
      <c r="R3069" s="537">
        <f t="shared" si="1896"/>
        <v>0.024390243902439</v>
      </c>
    </row>
    <row r="3070" spans="1:18">
      <c r="A3070" s="524">
        <v>46064</v>
      </c>
      <c r="B3070" s="540" t="s">
        <v>98</v>
      </c>
      <c r="C3070" s="551">
        <v>699.56</v>
      </c>
      <c r="D3070" s="553">
        <v>9720</v>
      </c>
      <c r="E3070" s="551">
        <v>459</v>
      </c>
      <c r="F3070" s="551">
        <v>0</v>
      </c>
      <c r="G3070" s="551">
        <v>0</v>
      </c>
      <c r="H3070" s="551">
        <v>30</v>
      </c>
      <c r="I3070" s="551">
        <v>7</v>
      </c>
      <c r="J3070" s="551">
        <v>2</v>
      </c>
      <c r="K3070" s="527">
        <f t="shared" si="1889"/>
        <v>0.0472222222222222</v>
      </c>
      <c r="L3070" s="528">
        <f t="shared" si="1890"/>
        <v>1.52409586056645</v>
      </c>
      <c r="M3070" s="528">
        <f t="shared" si="1891"/>
        <v>71.9711934156379</v>
      </c>
      <c r="N3070" s="528">
        <f t="shared" si="1892"/>
        <v>0</v>
      </c>
      <c r="O3070" s="528">
        <f t="shared" si="1893"/>
        <v>0</v>
      </c>
      <c r="P3070" s="529">
        <f t="shared" si="1894"/>
        <v>18.907027027027</v>
      </c>
      <c r="Q3070" s="24">
        <f t="shared" si="1895"/>
        <v>37</v>
      </c>
      <c r="R3070" s="530">
        <f t="shared" si="1896"/>
        <v>0.0806100217864924</v>
      </c>
    </row>
    <row r="3071" spans="1:18">
      <c r="A3071" s="524"/>
      <c r="B3071" s="540" t="s">
        <v>99</v>
      </c>
      <c r="C3071" s="551">
        <v>5293.85</v>
      </c>
      <c r="D3071" s="556">
        <v>45289</v>
      </c>
      <c r="E3071" s="551">
        <v>2230</v>
      </c>
      <c r="F3071" s="551">
        <v>3</v>
      </c>
      <c r="G3071" s="551">
        <v>28984</v>
      </c>
      <c r="H3071" s="555">
        <v>23</v>
      </c>
      <c r="I3071" s="555">
        <v>3</v>
      </c>
      <c r="J3071" s="555">
        <v>5</v>
      </c>
      <c r="K3071" s="527">
        <f t="shared" si="1889"/>
        <v>0.0492393296385436</v>
      </c>
      <c r="L3071" s="528">
        <f t="shared" si="1890"/>
        <v>2.37392376681614</v>
      </c>
      <c r="M3071" s="528">
        <f t="shared" si="1891"/>
        <v>116.890414891033</v>
      </c>
      <c r="N3071" s="528">
        <f t="shared" si="1892"/>
        <v>5.47503234885764</v>
      </c>
      <c r="O3071" s="528">
        <f t="shared" si="1893"/>
        <v>0.00134529147982063</v>
      </c>
      <c r="P3071" s="529">
        <f t="shared" si="1894"/>
        <v>203.609615384615</v>
      </c>
      <c r="Q3071" s="24">
        <f t="shared" si="1895"/>
        <v>26</v>
      </c>
      <c r="R3071" s="530">
        <f t="shared" si="1896"/>
        <v>0.0116591928251121</v>
      </c>
    </row>
    <row r="3072" spans="1:18">
      <c r="A3072" s="524"/>
      <c r="B3072" s="540" t="s">
        <v>100</v>
      </c>
      <c r="C3072" s="552">
        <v>0</v>
      </c>
      <c r="D3072" s="553">
        <v>0</v>
      </c>
      <c r="E3072" s="553">
        <v>0</v>
      </c>
      <c r="F3072" s="551">
        <v>0</v>
      </c>
      <c r="G3072" s="551">
        <v>0</v>
      </c>
      <c r="H3072" s="551">
        <v>0</v>
      </c>
      <c r="I3072" s="551">
        <v>0</v>
      </c>
      <c r="J3072" s="551">
        <v>0</v>
      </c>
      <c r="K3072" s="527">
        <f t="shared" si="1889"/>
        <v>0</v>
      </c>
      <c r="L3072" s="528">
        <f t="shared" si="1890"/>
        <v>0</v>
      </c>
      <c r="M3072" s="528">
        <f t="shared" si="1891"/>
        <v>0</v>
      </c>
      <c r="N3072" s="528">
        <f t="shared" si="1892"/>
        <v>0</v>
      </c>
      <c r="O3072" s="528">
        <f t="shared" si="1893"/>
        <v>0</v>
      </c>
      <c r="P3072" s="529">
        <f t="shared" si="1894"/>
        <v>0</v>
      </c>
      <c r="Q3072" s="24">
        <f t="shared" si="1895"/>
        <v>0</v>
      </c>
      <c r="R3072" s="530">
        <f t="shared" si="1896"/>
        <v>0</v>
      </c>
    </row>
    <row r="3073" spans="1:18">
      <c r="A3073" s="524"/>
      <c r="B3073" s="540" t="s">
        <v>101</v>
      </c>
      <c r="C3073" s="552">
        <v>0</v>
      </c>
      <c r="D3073" s="553">
        <v>0</v>
      </c>
      <c r="E3073" s="551">
        <v>0</v>
      </c>
      <c r="F3073" s="551">
        <v>0</v>
      </c>
      <c r="G3073" s="551">
        <v>0</v>
      </c>
      <c r="H3073" s="551">
        <v>0</v>
      </c>
      <c r="I3073" s="551">
        <v>0</v>
      </c>
      <c r="J3073" s="551">
        <v>0</v>
      </c>
      <c r="K3073" s="527">
        <f t="shared" si="1889"/>
        <v>0</v>
      </c>
      <c r="L3073" s="528">
        <f t="shared" si="1890"/>
        <v>0</v>
      </c>
      <c r="M3073" s="528">
        <f t="shared" si="1891"/>
        <v>0</v>
      </c>
      <c r="N3073" s="528">
        <f t="shared" si="1892"/>
        <v>0</v>
      </c>
      <c r="O3073" s="528">
        <f t="shared" si="1893"/>
        <v>0</v>
      </c>
      <c r="P3073" s="529">
        <f t="shared" si="1894"/>
        <v>0</v>
      </c>
      <c r="Q3073" s="24">
        <f t="shared" si="1895"/>
        <v>0</v>
      </c>
      <c r="R3073" s="530">
        <f t="shared" si="1896"/>
        <v>0</v>
      </c>
    </row>
    <row r="3074" spans="1:18">
      <c r="A3074" s="524"/>
      <c r="B3074" s="531" t="s">
        <v>96</v>
      </c>
      <c r="C3074" s="533">
        <f t="shared" ref="C3074:J3074" si="1898">SUM(C3070:C3073)</f>
        <v>5993.41</v>
      </c>
      <c r="D3074" s="533">
        <f t="shared" si="1898"/>
        <v>55009</v>
      </c>
      <c r="E3074" s="533">
        <f t="shared" si="1898"/>
        <v>2689</v>
      </c>
      <c r="F3074" s="533">
        <f t="shared" si="1898"/>
        <v>3</v>
      </c>
      <c r="G3074" s="533">
        <f t="shared" si="1898"/>
        <v>28984</v>
      </c>
      <c r="H3074" s="533">
        <f t="shared" si="1898"/>
        <v>53</v>
      </c>
      <c r="I3074" s="533">
        <f t="shared" si="1898"/>
        <v>10</v>
      </c>
      <c r="J3074" s="533">
        <f t="shared" si="1898"/>
        <v>7</v>
      </c>
      <c r="K3074" s="534">
        <f t="shared" si="1889"/>
        <v>0.0488829100692614</v>
      </c>
      <c r="L3074" s="535">
        <f t="shared" si="1890"/>
        <v>2.22886203049461</v>
      </c>
      <c r="M3074" s="535">
        <f t="shared" si="1891"/>
        <v>108.953262193459</v>
      </c>
      <c r="N3074" s="535">
        <f t="shared" si="1892"/>
        <v>4.835978182704</v>
      </c>
      <c r="O3074" s="535">
        <f t="shared" si="1893"/>
        <v>0.00111565637783563</v>
      </c>
      <c r="P3074" s="536">
        <f t="shared" si="1894"/>
        <v>95.1334920634921</v>
      </c>
      <c r="Q3074" s="531">
        <f t="shared" si="1895"/>
        <v>63</v>
      </c>
      <c r="R3074" s="537">
        <f t="shared" si="1896"/>
        <v>0.0234287839345482</v>
      </c>
    </row>
    <row r="3075" spans="1:18">
      <c r="A3075" s="524">
        <v>46065</v>
      </c>
      <c r="B3075" s="540" t="s">
        <v>98</v>
      </c>
      <c r="C3075" s="551">
        <v>700</v>
      </c>
      <c r="D3075" s="553">
        <v>6229</v>
      </c>
      <c r="E3075" s="551">
        <v>316</v>
      </c>
      <c r="F3075" s="551">
        <v>1</v>
      </c>
      <c r="G3075" s="551">
        <v>8476</v>
      </c>
      <c r="H3075" s="551">
        <v>10</v>
      </c>
      <c r="I3075" s="551">
        <v>4</v>
      </c>
      <c r="J3075" s="551">
        <v>1</v>
      </c>
      <c r="K3075" s="527">
        <f t="shared" si="1889"/>
        <v>0.0507304543265372</v>
      </c>
      <c r="L3075" s="528">
        <f t="shared" si="1890"/>
        <v>2.21518987341772</v>
      </c>
      <c r="M3075" s="528">
        <f t="shared" si="1891"/>
        <v>112.377588698025</v>
      </c>
      <c r="N3075" s="528">
        <f t="shared" si="1892"/>
        <v>12.1085714285714</v>
      </c>
      <c r="O3075" s="528">
        <f t="shared" si="1893"/>
        <v>0.00316455696202532</v>
      </c>
      <c r="P3075" s="529">
        <f t="shared" si="1894"/>
        <v>50</v>
      </c>
      <c r="Q3075" s="24">
        <f t="shared" si="1895"/>
        <v>14</v>
      </c>
      <c r="R3075" s="530">
        <f t="shared" si="1896"/>
        <v>0.0443037974683544</v>
      </c>
    </row>
    <row r="3076" spans="1:18">
      <c r="A3076" s="524"/>
      <c r="B3076" s="540" t="s">
        <v>99</v>
      </c>
      <c r="C3076" s="551">
        <v>4999.58</v>
      </c>
      <c r="D3076" s="556">
        <v>38776</v>
      </c>
      <c r="E3076" s="551">
        <v>4887</v>
      </c>
      <c r="F3076" s="551">
        <v>3</v>
      </c>
      <c r="G3076" s="551">
        <v>32769</v>
      </c>
      <c r="H3076" s="555">
        <v>32</v>
      </c>
      <c r="I3076" s="555">
        <v>4</v>
      </c>
      <c r="J3076" s="555">
        <v>17</v>
      </c>
      <c r="K3076" s="527">
        <f t="shared" si="1889"/>
        <v>0.126031565917062</v>
      </c>
      <c r="L3076" s="528">
        <f t="shared" si="1890"/>
        <v>1.02303662778801</v>
      </c>
      <c r="M3076" s="528">
        <f t="shared" si="1891"/>
        <v>128.934908190633</v>
      </c>
      <c r="N3076" s="528">
        <f t="shared" si="1892"/>
        <v>6.5543505654475</v>
      </c>
      <c r="O3076" s="528">
        <f t="shared" si="1893"/>
        <v>0.000613873542050338</v>
      </c>
      <c r="P3076" s="529">
        <f t="shared" si="1894"/>
        <v>138.877222222222</v>
      </c>
      <c r="Q3076" s="24">
        <f t="shared" si="1895"/>
        <v>36</v>
      </c>
      <c r="R3076" s="530">
        <f t="shared" si="1896"/>
        <v>0.00736648250460405</v>
      </c>
    </row>
    <row r="3077" spans="1:18">
      <c r="A3077" s="524"/>
      <c r="B3077" s="540" t="s">
        <v>100</v>
      </c>
      <c r="C3077" s="552">
        <v>0</v>
      </c>
      <c r="D3077" s="553">
        <v>0</v>
      </c>
      <c r="E3077" s="553">
        <v>0</v>
      </c>
      <c r="F3077" s="551">
        <v>0</v>
      </c>
      <c r="G3077" s="551">
        <v>0</v>
      </c>
      <c r="H3077" s="551">
        <v>0</v>
      </c>
      <c r="I3077" s="551">
        <v>0</v>
      </c>
      <c r="J3077" s="551">
        <v>0</v>
      </c>
      <c r="K3077" s="527">
        <f t="shared" si="1889"/>
        <v>0</v>
      </c>
      <c r="L3077" s="528">
        <f t="shared" si="1890"/>
        <v>0</v>
      </c>
      <c r="M3077" s="528">
        <f t="shared" si="1891"/>
        <v>0</v>
      </c>
      <c r="N3077" s="528">
        <f t="shared" si="1892"/>
        <v>0</v>
      </c>
      <c r="O3077" s="528">
        <f t="shared" si="1893"/>
        <v>0</v>
      </c>
      <c r="P3077" s="529">
        <f t="shared" si="1894"/>
        <v>0</v>
      </c>
      <c r="Q3077" s="24">
        <f t="shared" si="1895"/>
        <v>0</v>
      </c>
      <c r="R3077" s="530">
        <f t="shared" si="1896"/>
        <v>0</v>
      </c>
    </row>
    <row r="3078" spans="1:18">
      <c r="A3078" s="524"/>
      <c r="B3078" s="540" t="s">
        <v>101</v>
      </c>
      <c r="C3078" s="552">
        <v>0</v>
      </c>
      <c r="D3078" s="553">
        <v>0</v>
      </c>
      <c r="E3078" s="551">
        <v>0</v>
      </c>
      <c r="F3078" s="551">
        <v>0</v>
      </c>
      <c r="G3078" s="551">
        <v>0</v>
      </c>
      <c r="H3078" s="551">
        <v>0</v>
      </c>
      <c r="I3078" s="551">
        <v>0</v>
      </c>
      <c r="J3078" s="551">
        <v>0</v>
      </c>
      <c r="K3078" s="527">
        <f t="shared" si="1889"/>
        <v>0</v>
      </c>
      <c r="L3078" s="528">
        <f t="shared" si="1890"/>
        <v>0</v>
      </c>
      <c r="M3078" s="528">
        <f t="shared" si="1891"/>
        <v>0</v>
      </c>
      <c r="N3078" s="528">
        <f t="shared" si="1892"/>
        <v>0</v>
      </c>
      <c r="O3078" s="528">
        <f t="shared" si="1893"/>
        <v>0</v>
      </c>
      <c r="P3078" s="529">
        <f t="shared" si="1894"/>
        <v>0</v>
      </c>
      <c r="Q3078" s="24">
        <f t="shared" si="1895"/>
        <v>0</v>
      </c>
      <c r="R3078" s="530">
        <f t="shared" si="1896"/>
        <v>0</v>
      </c>
    </row>
    <row r="3079" spans="1:18">
      <c r="A3079" s="524"/>
      <c r="B3079" s="531" t="s">
        <v>96</v>
      </c>
      <c r="C3079" s="533">
        <f t="shared" ref="C3079:J3079" si="1899">SUM(C3075:C3078)</f>
        <v>5699.58</v>
      </c>
      <c r="D3079" s="533">
        <f t="shared" si="1899"/>
        <v>45005</v>
      </c>
      <c r="E3079" s="533">
        <f t="shared" si="1899"/>
        <v>5203</v>
      </c>
      <c r="F3079" s="533">
        <f t="shared" si="1899"/>
        <v>4</v>
      </c>
      <c r="G3079" s="533">
        <f t="shared" si="1899"/>
        <v>41245</v>
      </c>
      <c r="H3079" s="533">
        <f t="shared" si="1899"/>
        <v>42</v>
      </c>
      <c r="I3079" s="533">
        <f t="shared" si="1899"/>
        <v>8</v>
      </c>
      <c r="J3079" s="533">
        <f t="shared" si="1899"/>
        <v>18</v>
      </c>
      <c r="K3079" s="534">
        <f t="shared" si="1889"/>
        <v>0.115609376735918</v>
      </c>
      <c r="L3079" s="535">
        <f t="shared" si="1890"/>
        <v>1.09544109167788</v>
      </c>
      <c r="M3079" s="535">
        <f t="shared" si="1891"/>
        <v>126.643261859793</v>
      </c>
      <c r="N3079" s="535">
        <f t="shared" si="1892"/>
        <v>7.23649812793223</v>
      </c>
      <c r="O3079" s="535">
        <f t="shared" si="1893"/>
        <v>0.000768787238131847</v>
      </c>
      <c r="P3079" s="536">
        <f t="shared" si="1894"/>
        <v>113.9916</v>
      </c>
      <c r="Q3079" s="531">
        <f t="shared" si="1895"/>
        <v>50</v>
      </c>
      <c r="R3079" s="537">
        <f t="shared" si="1896"/>
        <v>0.00960984047664809</v>
      </c>
    </row>
    <row r="3080" spans="1:18">
      <c r="A3080" s="524">
        <v>46066</v>
      </c>
      <c r="B3080" s="540" t="s">
        <v>98</v>
      </c>
      <c r="C3080" s="551">
        <v>700</v>
      </c>
      <c r="D3080" s="553">
        <v>6174</v>
      </c>
      <c r="E3080" s="551">
        <v>366</v>
      </c>
      <c r="F3080" s="551">
        <v>0</v>
      </c>
      <c r="G3080" s="551">
        <v>0</v>
      </c>
      <c r="H3080" s="551">
        <v>28</v>
      </c>
      <c r="I3080" s="551">
        <v>5</v>
      </c>
      <c r="J3080" s="551">
        <v>4</v>
      </c>
      <c r="K3080" s="527">
        <f t="shared" si="1889"/>
        <v>0.0592808551992225</v>
      </c>
      <c r="L3080" s="528">
        <f t="shared" si="1890"/>
        <v>1.91256830601093</v>
      </c>
      <c r="M3080" s="528">
        <f t="shared" si="1891"/>
        <v>113.378684807256</v>
      </c>
      <c r="N3080" s="528">
        <f t="shared" si="1892"/>
        <v>0</v>
      </c>
      <c r="O3080" s="528">
        <f t="shared" si="1893"/>
        <v>0</v>
      </c>
      <c r="P3080" s="529">
        <f t="shared" si="1894"/>
        <v>21.2121212121212</v>
      </c>
      <c r="Q3080" s="24">
        <f t="shared" si="1895"/>
        <v>33</v>
      </c>
      <c r="R3080" s="530">
        <f t="shared" si="1896"/>
        <v>0.0901639344262295</v>
      </c>
    </row>
    <row r="3081" spans="1:18">
      <c r="A3081" s="524"/>
      <c r="B3081" s="540" t="s">
        <v>99</v>
      </c>
      <c r="C3081" s="551">
        <v>5000</v>
      </c>
      <c r="D3081" s="556">
        <v>49084</v>
      </c>
      <c r="E3081" s="551">
        <v>3318</v>
      </c>
      <c r="F3081" s="551">
        <v>4</v>
      </c>
      <c r="G3081" s="551">
        <v>32690</v>
      </c>
      <c r="H3081" s="555">
        <v>44</v>
      </c>
      <c r="I3081" s="555">
        <v>4</v>
      </c>
      <c r="J3081" s="555">
        <v>23</v>
      </c>
      <c r="K3081" s="527">
        <f t="shared" si="1889"/>
        <v>0.0675984027381631</v>
      </c>
      <c r="L3081" s="528">
        <f t="shared" si="1890"/>
        <v>1.50693188667872</v>
      </c>
      <c r="M3081" s="528">
        <f t="shared" si="1891"/>
        <v>101.866188574688</v>
      </c>
      <c r="N3081" s="528">
        <f t="shared" si="1892"/>
        <v>6.538</v>
      </c>
      <c r="O3081" s="528">
        <f t="shared" si="1893"/>
        <v>0.00120554550934298</v>
      </c>
      <c r="P3081" s="529">
        <f t="shared" si="1894"/>
        <v>104.166666666667</v>
      </c>
      <c r="Q3081" s="24">
        <f t="shared" si="1895"/>
        <v>48</v>
      </c>
      <c r="R3081" s="530">
        <f t="shared" si="1896"/>
        <v>0.0144665461121157</v>
      </c>
    </row>
    <row r="3082" spans="1:18">
      <c r="A3082" s="524"/>
      <c r="B3082" s="540" t="s">
        <v>100</v>
      </c>
      <c r="C3082" s="552">
        <v>0</v>
      </c>
      <c r="D3082" s="553">
        <v>0</v>
      </c>
      <c r="E3082" s="553">
        <v>0</v>
      </c>
      <c r="F3082" s="551">
        <v>0</v>
      </c>
      <c r="G3082" s="551">
        <v>0</v>
      </c>
      <c r="H3082" s="551">
        <v>0</v>
      </c>
      <c r="I3082" s="551">
        <v>0</v>
      </c>
      <c r="J3082" s="551">
        <v>0</v>
      </c>
      <c r="K3082" s="527">
        <f t="shared" si="1889"/>
        <v>0</v>
      </c>
      <c r="L3082" s="528">
        <f t="shared" si="1890"/>
        <v>0</v>
      </c>
      <c r="M3082" s="528">
        <f t="shared" si="1891"/>
        <v>0</v>
      </c>
      <c r="N3082" s="528">
        <f t="shared" si="1892"/>
        <v>0</v>
      </c>
      <c r="O3082" s="528">
        <f t="shared" si="1893"/>
        <v>0</v>
      </c>
      <c r="P3082" s="529">
        <f t="shared" si="1894"/>
        <v>0</v>
      </c>
      <c r="Q3082" s="24">
        <f t="shared" si="1895"/>
        <v>0</v>
      </c>
      <c r="R3082" s="530">
        <f t="shared" si="1896"/>
        <v>0</v>
      </c>
    </row>
    <row r="3083" spans="1:18">
      <c r="A3083" s="524"/>
      <c r="B3083" s="540" t="s">
        <v>101</v>
      </c>
      <c r="C3083" s="552">
        <v>0</v>
      </c>
      <c r="D3083" s="553">
        <v>0</v>
      </c>
      <c r="E3083" s="551">
        <v>0</v>
      </c>
      <c r="F3083" s="551">
        <v>0</v>
      </c>
      <c r="G3083" s="551">
        <v>0</v>
      </c>
      <c r="H3083" s="551">
        <v>0</v>
      </c>
      <c r="I3083" s="551">
        <v>0</v>
      </c>
      <c r="J3083" s="551">
        <v>0</v>
      </c>
      <c r="K3083" s="527">
        <f t="shared" si="1889"/>
        <v>0</v>
      </c>
      <c r="L3083" s="528">
        <f t="shared" si="1890"/>
        <v>0</v>
      </c>
      <c r="M3083" s="528">
        <f t="shared" si="1891"/>
        <v>0</v>
      </c>
      <c r="N3083" s="528">
        <f t="shared" si="1892"/>
        <v>0</v>
      </c>
      <c r="O3083" s="528">
        <f t="shared" si="1893"/>
        <v>0</v>
      </c>
      <c r="P3083" s="529">
        <f t="shared" si="1894"/>
        <v>0</v>
      </c>
      <c r="Q3083" s="24">
        <f t="shared" si="1895"/>
        <v>0</v>
      </c>
      <c r="R3083" s="530">
        <f t="shared" si="1896"/>
        <v>0</v>
      </c>
    </row>
    <row r="3084" spans="1:18">
      <c r="A3084" s="524"/>
      <c r="B3084" s="531" t="s">
        <v>96</v>
      </c>
      <c r="C3084" s="533">
        <f t="shared" ref="C3084:J3084" si="1900">SUM(C3080:C3083)</f>
        <v>5700</v>
      </c>
      <c r="D3084" s="533">
        <f t="shared" si="1900"/>
        <v>55258</v>
      </c>
      <c r="E3084" s="533">
        <f t="shared" si="1900"/>
        <v>3684</v>
      </c>
      <c r="F3084" s="533">
        <f t="shared" si="1900"/>
        <v>4</v>
      </c>
      <c r="G3084" s="533">
        <f t="shared" si="1900"/>
        <v>32690</v>
      </c>
      <c r="H3084" s="533">
        <f t="shared" si="1900"/>
        <v>72</v>
      </c>
      <c r="I3084" s="533">
        <f t="shared" si="1900"/>
        <v>9</v>
      </c>
      <c r="J3084" s="533">
        <f t="shared" si="1900"/>
        <v>27</v>
      </c>
      <c r="K3084" s="534">
        <f t="shared" si="1889"/>
        <v>0.0666690795902856</v>
      </c>
      <c r="L3084" s="535">
        <f t="shared" si="1890"/>
        <v>1.54723127035831</v>
      </c>
      <c r="M3084" s="535">
        <f t="shared" si="1891"/>
        <v>103.152484708097</v>
      </c>
      <c r="N3084" s="535">
        <f t="shared" si="1892"/>
        <v>5.73508771929825</v>
      </c>
      <c r="O3084" s="535">
        <f t="shared" si="1893"/>
        <v>0.001085776330076</v>
      </c>
      <c r="P3084" s="536">
        <f t="shared" si="1894"/>
        <v>70.3703703703704</v>
      </c>
      <c r="Q3084" s="531">
        <f t="shared" si="1895"/>
        <v>81</v>
      </c>
      <c r="R3084" s="537">
        <f t="shared" si="1896"/>
        <v>0.0219869706840391</v>
      </c>
    </row>
    <row r="3085" spans="1:18">
      <c r="A3085" s="524">
        <v>46067</v>
      </c>
      <c r="B3085" s="540" t="s">
        <v>98</v>
      </c>
      <c r="C3085" s="551">
        <v>696.04</v>
      </c>
      <c r="D3085" s="553">
        <v>5205</v>
      </c>
      <c r="E3085" s="551">
        <v>350</v>
      </c>
      <c r="F3085" s="551">
        <v>2</v>
      </c>
      <c r="G3085" s="551">
        <v>16612</v>
      </c>
      <c r="H3085" s="551">
        <v>19</v>
      </c>
      <c r="I3085" s="551">
        <v>8</v>
      </c>
      <c r="J3085" s="551">
        <v>1</v>
      </c>
      <c r="K3085" s="527">
        <f t="shared" si="1889"/>
        <v>0.0672430355427474</v>
      </c>
      <c r="L3085" s="528">
        <f t="shared" si="1890"/>
        <v>1.98868571428571</v>
      </c>
      <c r="M3085" s="528">
        <f t="shared" si="1891"/>
        <v>133.725264169068</v>
      </c>
      <c r="N3085" s="528">
        <f t="shared" si="1892"/>
        <v>23.8664444572151</v>
      </c>
      <c r="O3085" s="528">
        <f t="shared" si="1893"/>
        <v>0.00571428571428571</v>
      </c>
      <c r="P3085" s="529">
        <f t="shared" si="1894"/>
        <v>25.7792592592593</v>
      </c>
      <c r="Q3085" s="24">
        <f t="shared" si="1895"/>
        <v>27</v>
      </c>
      <c r="R3085" s="530">
        <f t="shared" si="1896"/>
        <v>0.0771428571428571</v>
      </c>
    </row>
    <row r="3086" spans="1:18">
      <c r="A3086" s="524"/>
      <c r="B3086" s="540" t="s">
        <v>99</v>
      </c>
      <c r="C3086" s="551">
        <v>0</v>
      </c>
      <c r="D3086" s="556">
        <v>0</v>
      </c>
      <c r="E3086" s="551">
        <v>0</v>
      </c>
      <c r="F3086" s="551">
        <v>0</v>
      </c>
      <c r="G3086" s="551">
        <v>0</v>
      </c>
      <c r="H3086" s="555">
        <v>0</v>
      </c>
      <c r="I3086" s="555">
        <v>0</v>
      </c>
      <c r="J3086" s="555">
        <v>0</v>
      </c>
      <c r="K3086" s="527">
        <f t="shared" si="1889"/>
        <v>0</v>
      </c>
      <c r="L3086" s="528">
        <f t="shared" si="1890"/>
        <v>0</v>
      </c>
      <c r="M3086" s="528">
        <f t="shared" si="1891"/>
        <v>0</v>
      </c>
      <c r="N3086" s="528">
        <f t="shared" si="1892"/>
        <v>0</v>
      </c>
      <c r="O3086" s="528">
        <f t="shared" si="1893"/>
        <v>0</v>
      </c>
      <c r="P3086" s="529">
        <f t="shared" si="1894"/>
        <v>0</v>
      </c>
      <c r="Q3086" s="24">
        <f t="shared" si="1895"/>
        <v>0</v>
      </c>
      <c r="R3086" s="530">
        <f t="shared" si="1896"/>
        <v>0</v>
      </c>
    </row>
    <row r="3087" spans="1:18">
      <c r="A3087" s="524"/>
      <c r="B3087" s="540" t="s">
        <v>100</v>
      </c>
      <c r="C3087" s="552">
        <v>0</v>
      </c>
      <c r="D3087" s="553">
        <v>0</v>
      </c>
      <c r="E3087" s="553">
        <v>0</v>
      </c>
      <c r="F3087" s="551">
        <v>0</v>
      </c>
      <c r="G3087" s="551">
        <v>0</v>
      </c>
      <c r="H3087" s="551">
        <v>0</v>
      </c>
      <c r="I3087" s="551">
        <v>0</v>
      </c>
      <c r="J3087" s="551">
        <v>0</v>
      </c>
      <c r="K3087" s="527">
        <f t="shared" si="1889"/>
        <v>0</v>
      </c>
      <c r="L3087" s="528">
        <f t="shared" si="1890"/>
        <v>0</v>
      </c>
      <c r="M3087" s="528">
        <f t="shared" si="1891"/>
        <v>0</v>
      </c>
      <c r="N3087" s="528">
        <f t="shared" si="1892"/>
        <v>0</v>
      </c>
      <c r="O3087" s="528">
        <f t="shared" si="1893"/>
        <v>0</v>
      </c>
      <c r="P3087" s="529">
        <f t="shared" si="1894"/>
        <v>0</v>
      </c>
      <c r="Q3087" s="24">
        <f t="shared" si="1895"/>
        <v>0</v>
      </c>
      <c r="R3087" s="530">
        <f t="shared" si="1896"/>
        <v>0</v>
      </c>
    </row>
    <row r="3088" spans="1:18">
      <c r="A3088" s="524"/>
      <c r="B3088" s="540" t="s">
        <v>101</v>
      </c>
      <c r="C3088" s="552">
        <v>0</v>
      </c>
      <c r="D3088" s="553">
        <v>0</v>
      </c>
      <c r="E3088" s="551">
        <v>0</v>
      </c>
      <c r="F3088" s="551">
        <v>0</v>
      </c>
      <c r="G3088" s="551">
        <v>0</v>
      </c>
      <c r="H3088" s="551">
        <v>0</v>
      </c>
      <c r="I3088" s="551">
        <v>0</v>
      </c>
      <c r="J3088" s="551">
        <v>0</v>
      </c>
      <c r="K3088" s="527">
        <f t="shared" si="1889"/>
        <v>0</v>
      </c>
      <c r="L3088" s="528">
        <f t="shared" si="1890"/>
        <v>0</v>
      </c>
      <c r="M3088" s="528">
        <f t="shared" si="1891"/>
        <v>0</v>
      </c>
      <c r="N3088" s="528">
        <f t="shared" si="1892"/>
        <v>0</v>
      </c>
      <c r="O3088" s="528">
        <f t="shared" si="1893"/>
        <v>0</v>
      </c>
      <c r="P3088" s="529">
        <f t="shared" si="1894"/>
        <v>0</v>
      </c>
      <c r="Q3088" s="24">
        <f t="shared" si="1895"/>
        <v>0</v>
      </c>
      <c r="R3088" s="530">
        <f t="shared" si="1896"/>
        <v>0</v>
      </c>
    </row>
    <row r="3089" spans="1:18">
      <c r="A3089" s="524"/>
      <c r="B3089" s="531" t="s">
        <v>96</v>
      </c>
      <c r="C3089" s="533">
        <f t="shared" ref="C3089:J3089" si="1901">SUM(C3085:C3088)</f>
        <v>696.04</v>
      </c>
      <c r="D3089" s="533">
        <f t="shared" si="1901"/>
        <v>5205</v>
      </c>
      <c r="E3089" s="533">
        <f t="shared" si="1901"/>
        <v>350</v>
      </c>
      <c r="F3089" s="533">
        <f t="shared" si="1901"/>
        <v>2</v>
      </c>
      <c r="G3089" s="533">
        <f t="shared" si="1901"/>
        <v>16612</v>
      </c>
      <c r="H3089" s="533">
        <f t="shared" si="1901"/>
        <v>19</v>
      </c>
      <c r="I3089" s="533">
        <f t="shared" si="1901"/>
        <v>8</v>
      </c>
      <c r="J3089" s="533">
        <f t="shared" si="1901"/>
        <v>1</v>
      </c>
      <c r="K3089" s="534">
        <f t="shared" si="1889"/>
        <v>0.0672430355427474</v>
      </c>
      <c r="L3089" s="535">
        <f t="shared" si="1890"/>
        <v>1.98868571428571</v>
      </c>
      <c r="M3089" s="535">
        <f t="shared" si="1891"/>
        <v>133.725264169068</v>
      </c>
      <c r="N3089" s="535">
        <f t="shared" si="1892"/>
        <v>23.8664444572151</v>
      </c>
      <c r="O3089" s="535">
        <f t="shared" si="1893"/>
        <v>0.00571428571428571</v>
      </c>
      <c r="P3089" s="536">
        <f t="shared" si="1894"/>
        <v>25.7792592592593</v>
      </c>
      <c r="Q3089" s="531">
        <f t="shared" si="1895"/>
        <v>27</v>
      </c>
      <c r="R3089" s="537">
        <f t="shared" si="1896"/>
        <v>0.0771428571428571</v>
      </c>
    </row>
    <row r="3090" spans="1:18">
      <c r="A3090" s="524">
        <v>46068</v>
      </c>
      <c r="B3090" s="540" t="s">
        <v>98</v>
      </c>
      <c r="C3090" s="551">
        <v>700</v>
      </c>
      <c r="D3090" s="553">
        <v>5141</v>
      </c>
      <c r="E3090" s="551">
        <v>339</v>
      </c>
      <c r="F3090" s="551">
        <v>0</v>
      </c>
      <c r="G3090" s="551">
        <v>0</v>
      </c>
      <c r="H3090" s="551">
        <v>21</v>
      </c>
      <c r="I3090" s="551">
        <v>7</v>
      </c>
      <c r="J3090" s="551">
        <v>2</v>
      </c>
      <c r="K3090" s="527">
        <f t="shared" si="1889"/>
        <v>0.0659404785061272</v>
      </c>
      <c r="L3090" s="528">
        <f t="shared" si="1890"/>
        <v>2.06489675516224</v>
      </c>
      <c r="M3090" s="528">
        <f t="shared" si="1891"/>
        <v>136.160280101148</v>
      </c>
      <c r="N3090" s="528">
        <f t="shared" si="1892"/>
        <v>0</v>
      </c>
      <c r="O3090" s="528">
        <f t="shared" si="1893"/>
        <v>0</v>
      </c>
      <c r="P3090" s="529">
        <f t="shared" si="1894"/>
        <v>25</v>
      </c>
      <c r="Q3090" s="24">
        <f t="shared" si="1895"/>
        <v>28</v>
      </c>
      <c r="R3090" s="530">
        <f t="shared" si="1896"/>
        <v>0.0825958702064897</v>
      </c>
    </row>
    <row r="3091" spans="1:18">
      <c r="A3091" s="524"/>
      <c r="B3091" s="540" t="s">
        <v>99</v>
      </c>
      <c r="C3091" s="551">
        <v>0</v>
      </c>
      <c r="D3091" s="556">
        <v>0</v>
      </c>
      <c r="E3091" s="551">
        <v>0</v>
      </c>
      <c r="F3091" s="551">
        <v>0</v>
      </c>
      <c r="G3091" s="551">
        <v>0</v>
      </c>
      <c r="H3091" s="555">
        <v>0</v>
      </c>
      <c r="I3091" s="555">
        <v>0</v>
      </c>
      <c r="J3091" s="555">
        <v>0</v>
      </c>
      <c r="K3091" s="527">
        <f t="shared" si="1889"/>
        <v>0</v>
      </c>
      <c r="L3091" s="528">
        <f t="shared" si="1890"/>
        <v>0</v>
      </c>
      <c r="M3091" s="528">
        <f t="shared" si="1891"/>
        <v>0</v>
      </c>
      <c r="N3091" s="528">
        <f t="shared" si="1892"/>
        <v>0</v>
      </c>
      <c r="O3091" s="528">
        <f t="shared" si="1893"/>
        <v>0</v>
      </c>
      <c r="P3091" s="529">
        <f t="shared" si="1894"/>
        <v>0</v>
      </c>
      <c r="Q3091" s="24">
        <f t="shared" si="1895"/>
        <v>0</v>
      </c>
      <c r="R3091" s="530">
        <f t="shared" si="1896"/>
        <v>0</v>
      </c>
    </row>
    <row r="3092" spans="1:18">
      <c r="A3092" s="524"/>
      <c r="B3092" s="540" t="s">
        <v>100</v>
      </c>
      <c r="C3092" s="552">
        <v>0</v>
      </c>
      <c r="D3092" s="553">
        <v>0</v>
      </c>
      <c r="E3092" s="553">
        <v>0</v>
      </c>
      <c r="F3092" s="551">
        <v>0</v>
      </c>
      <c r="G3092" s="551">
        <v>0</v>
      </c>
      <c r="H3092" s="551">
        <v>0</v>
      </c>
      <c r="I3092" s="551">
        <v>0</v>
      </c>
      <c r="J3092" s="551">
        <v>0</v>
      </c>
      <c r="K3092" s="527">
        <f t="shared" si="1889"/>
        <v>0</v>
      </c>
      <c r="L3092" s="528">
        <f t="shared" si="1890"/>
        <v>0</v>
      </c>
      <c r="M3092" s="528">
        <f t="shared" si="1891"/>
        <v>0</v>
      </c>
      <c r="N3092" s="528">
        <f t="shared" si="1892"/>
        <v>0</v>
      </c>
      <c r="O3092" s="528">
        <f t="shared" si="1893"/>
        <v>0</v>
      </c>
      <c r="P3092" s="529">
        <f t="shared" si="1894"/>
        <v>0</v>
      </c>
      <c r="Q3092" s="24">
        <f t="shared" si="1895"/>
        <v>0</v>
      </c>
      <c r="R3092" s="530">
        <f t="shared" si="1896"/>
        <v>0</v>
      </c>
    </row>
    <row r="3093" spans="1:18">
      <c r="A3093" s="524"/>
      <c r="B3093" s="540" t="s">
        <v>101</v>
      </c>
      <c r="C3093" s="552">
        <v>0</v>
      </c>
      <c r="D3093" s="553">
        <v>0</v>
      </c>
      <c r="E3093" s="551">
        <v>0</v>
      </c>
      <c r="F3093" s="551">
        <v>0</v>
      </c>
      <c r="G3093" s="551">
        <v>0</v>
      </c>
      <c r="H3093" s="551">
        <v>0</v>
      </c>
      <c r="I3093" s="551">
        <v>0</v>
      </c>
      <c r="J3093" s="551">
        <v>0</v>
      </c>
      <c r="K3093" s="527">
        <f t="shared" si="1889"/>
        <v>0</v>
      </c>
      <c r="L3093" s="528">
        <f t="shared" si="1890"/>
        <v>0</v>
      </c>
      <c r="M3093" s="528">
        <f t="shared" si="1891"/>
        <v>0</v>
      </c>
      <c r="N3093" s="528">
        <f t="shared" si="1892"/>
        <v>0</v>
      </c>
      <c r="O3093" s="528">
        <f t="shared" si="1893"/>
        <v>0</v>
      </c>
      <c r="P3093" s="529">
        <f t="shared" si="1894"/>
        <v>0</v>
      </c>
      <c r="Q3093" s="24">
        <f t="shared" si="1895"/>
        <v>0</v>
      </c>
      <c r="R3093" s="530">
        <f t="shared" si="1896"/>
        <v>0</v>
      </c>
    </row>
    <row r="3094" spans="1:18">
      <c r="A3094" s="524"/>
      <c r="B3094" s="531" t="s">
        <v>96</v>
      </c>
      <c r="C3094" s="533">
        <f t="shared" ref="C3094:J3094" si="1902">SUM(C3090:C3093)</f>
        <v>700</v>
      </c>
      <c r="D3094" s="533">
        <f t="shared" si="1902"/>
        <v>5141</v>
      </c>
      <c r="E3094" s="533">
        <f t="shared" si="1902"/>
        <v>339</v>
      </c>
      <c r="F3094" s="533">
        <f t="shared" si="1902"/>
        <v>0</v>
      </c>
      <c r="G3094" s="533">
        <f t="shared" si="1902"/>
        <v>0</v>
      </c>
      <c r="H3094" s="533">
        <f t="shared" si="1902"/>
        <v>21</v>
      </c>
      <c r="I3094" s="533">
        <f t="shared" si="1902"/>
        <v>7</v>
      </c>
      <c r="J3094" s="533">
        <f t="shared" si="1902"/>
        <v>2</v>
      </c>
      <c r="K3094" s="534">
        <f t="shared" si="1889"/>
        <v>0.0659404785061272</v>
      </c>
      <c r="L3094" s="535">
        <f t="shared" si="1890"/>
        <v>2.06489675516224</v>
      </c>
      <c r="M3094" s="535">
        <f t="shared" si="1891"/>
        <v>136.160280101148</v>
      </c>
      <c r="N3094" s="535">
        <f t="shared" si="1892"/>
        <v>0</v>
      </c>
      <c r="O3094" s="535">
        <f t="shared" si="1893"/>
        <v>0</v>
      </c>
      <c r="P3094" s="536">
        <f t="shared" si="1894"/>
        <v>25</v>
      </c>
      <c r="Q3094" s="531">
        <f t="shared" si="1895"/>
        <v>28</v>
      </c>
      <c r="R3094" s="537">
        <f t="shared" si="1896"/>
        <v>0.0825958702064897</v>
      </c>
    </row>
    <row r="3095" spans="1:18">
      <c r="A3095" s="524">
        <v>46069</v>
      </c>
      <c r="B3095" s="540" t="s">
        <v>98</v>
      </c>
      <c r="C3095" s="551">
        <v>700</v>
      </c>
      <c r="D3095" s="553">
        <v>6045</v>
      </c>
      <c r="E3095" s="551">
        <v>356</v>
      </c>
      <c r="F3095" s="551">
        <v>1</v>
      </c>
      <c r="G3095" s="551">
        <v>8524</v>
      </c>
      <c r="H3095" s="551">
        <v>31</v>
      </c>
      <c r="I3095" s="551">
        <v>4</v>
      </c>
      <c r="J3095" s="551">
        <v>1</v>
      </c>
      <c r="K3095" s="527">
        <f t="shared" si="1889"/>
        <v>0.0588916459884202</v>
      </c>
      <c r="L3095" s="528">
        <f t="shared" si="1890"/>
        <v>1.96629213483146</v>
      </c>
      <c r="M3095" s="528">
        <f t="shared" si="1891"/>
        <v>115.798180314309</v>
      </c>
      <c r="N3095" s="528">
        <f t="shared" si="1892"/>
        <v>12.1771428571429</v>
      </c>
      <c r="O3095" s="528">
        <f t="shared" si="1893"/>
        <v>0.00280898876404494</v>
      </c>
      <c r="P3095" s="529">
        <f t="shared" si="1894"/>
        <v>20</v>
      </c>
      <c r="Q3095" s="24">
        <f t="shared" si="1895"/>
        <v>35</v>
      </c>
      <c r="R3095" s="530">
        <f t="shared" si="1896"/>
        <v>0.098314606741573</v>
      </c>
    </row>
    <row r="3096" spans="1:18">
      <c r="A3096" s="524"/>
      <c r="B3096" s="540" t="s">
        <v>99</v>
      </c>
      <c r="C3096" s="551">
        <v>0</v>
      </c>
      <c r="D3096" s="556">
        <v>0</v>
      </c>
      <c r="E3096" s="551">
        <v>0</v>
      </c>
      <c r="F3096" s="551">
        <v>0</v>
      </c>
      <c r="G3096" s="551">
        <v>0</v>
      </c>
      <c r="H3096" s="555">
        <v>0</v>
      </c>
      <c r="I3096" s="555">
        <v>0</v>
      </c>
      <c r="J3096" s="555">
        <v>0</v>
      </c>
      <c r="K3096" s="527">
        <f t="shared" si="1889"/>
        <v>0</v>
      </c>
      <c r="L3096" s="528">
        <f t="shared" si="1890"/>
        <v>0</v>
      </c>
      <c r="M3096" s="528">
        <f t="shared" si="1891"/>
        <v>0</v>
      </c>
      <c r="N3096" s="528">
        <f t="shared" si="1892"/>
        <v>0</v>
      </c>
      <c r="O3096" s="528">
        <f t="shared" si="1893"/>
        <v>0</v>
      </c>
      <c r="P3096" s="529">
        <f t="shared" si="1894"/>
        <v>0</v>
      </c>
      <c r="Q3096" s="24">
        <f t="shared" si="1895"/>
        <v>0</v>
      </c>
      <c r="R3096" s="530">
        <f t="shared" si="1896"/>
        <v>0</v>
      </c>
    </row>
    <row r="3097" spans="1:18">
      <c r="A3097" s="524"/>
      <c r="B3097" s="540" t="s">
        <v>100</v>
      </c>
      <c r="C3097" s="552">
        <v>0</v>
      </c>
      <c r="D3097" s="553">
        <v>0</v>
      </c>
      <c r="E3097" s="553">
        <v>0</v>
      </c>
      <c r="F3097" s="551">
        <v>0</v>
      </c>
      <c r="G3097" s="551">
        <v>0</v>
      </c>
      <c r="H3097" s="551">
        <v>0</v>
      </c>
      <c r="I3097" s="551">
        <v>0</v>
      </c>
      <c r="J3097" s="551">
        <v>0</v>
      </c>
      <c r="K3097" s="527">
        <f t="shared" si="1889"/>
        <v>0</v>
      </c>
      <c r="L3097" s="528">
        <f t="shared" si="1890"/>
        <v>0</v>
      </c>
      <c r="M3097" s="528">
        <f t="shared" si="1891"/>
        <v>0</v>
      </c>
      <c r="N3097" s="528">
        <f t="shared" si="1892"/>
        <v>0</v>
      </c>
      <c r="O3097" s="528">
        <f t="shared" si="1893"/>
        <v>0</v>
      </c>
      <c r="P3097" s="529">
        <f t="shared" si="1894"/>
        <v>0</v>
      </c>
      <c r="Q3097" s="24">
        <f t="shared" si="1895"/>
        <v>0</v>
      </c>
      <c r="R3097" s="530">
        <f t="shared" si="1896"/>
        <v>0</v>
      </c>
    </row>
    <row r="3098" spans="1:18">
      <c r="A3098" s="524"/>
      <c r="B3098" s="540" t="s">
        <v>101</v>
      </c>
      <c r="C3098" s="552">
        <v>0</v>
      </c>
      <c r="D3098" s="553">
        <v>0</v>
      </c>
      <c r="E3098" s="551">
        <v>0</v>
      </c>
      <c r="F3098" s="551">
        <v>0</v>
      </c>
      <c r="G3098" s="551">
        <v>0</v>
      </c>
      <c r="H3098" s="551">
        <v>0</v>
      </c>
      <c r="I3098" s="551">
        <v>0</v>
      </c>
      <c r="J3098" s="551">
        <v>0</v>
      </c>
      <c r="K3098" s="527">
        <f t="shared" si="1889"/>
        <v>0</v>
      </c>
      <c r="L3098" s="528">
        <f t="shared" si="1890"/>
        <v>0</v>
      </c>
      <c r="M3098" s="528">
        <f t="shared" si="1891"/>
        <v>0</v>
      </c>
      <c r="N3098" s="528">
        <f t="shared" si="1892"/>
        <v>0</v>
      </c>
      <c r="O3098" s="528">
        <f t="shared" si="1893"/>
        <v>0</v>
      </c>
      <c r="P3098" s="529">
        <f t="shared" si="1894"/>
        <v>0</v>
      </c>
      <c r="Q3098" s="24">
        <f t="shared" si="1895"/>
        <v>0</v>
      </c>
      <c r="R3098" s="530">
        <f t="shared" si="1896"/>
        <v>0</v>
      </c>
    </row>
    <row r="3099" spans="1:18">
      <c r="A3099" s="524"/>
      <c r="B3099" s="531" t="s">
        <v>96</v>
      </c>
      <c r="C3099" s="533">
        <f t="shared" ref="C3099:J3099" si="1903">SUM(C3095:C3098)</f>
        <v>700</v>
      </c>
      <c r="D3099" s="533">
        <f t="shared" si="1903"/>
        <v>6045</v>
      </c>
      <c r="E3099" s="533">
        <f t="shared" si="1903"/>
        <v>356</v>
      </c>
      <c r="F3099" s="533">
        <f t="shared" si="1903"/>
        <v>1</v>
      </c>
      <c r="G3099" s="533">
        <f t="shared" si="1903"/>
        <v>8524</v>
      </c>
      <c r="H3099" s="533">
        <f t="shared" si="1903"/>
        <v>31</v>
      </c>
      <c r="I3099" s="533">
        <f t="shared" si="1903"/>
        <v>4</v>
      </c>
      <c r="J3099" s="533">
        <f t="shared" si="1903"/>
        <v>1</v>
      </c>
      <c r="K3099" s="534">
        <f t="shared" si="1889"/>
        <v>0.0588916459884202</v>
      </c>
      <c r="L3099" s="535">
        <f t="shared" si="1890"/>
        <v>1.96629213483146</v>
      </c>
      <c r="M3099" s="535">
        <f t="shared" si="1891"/>
        <v>115.798180314309</v>
      </c>
      <c r="N3099" s="535">
        <f t="shared" si="1892"/>
        <v>12.1771428571429</v>
      </c>
      <c r="O3099" s="535">
        <f t="shared" si="1893"/>
        <v>0.00280898876404494</v>
      </c>
      <c r="P3099" s="536">
        <f t="shared" si="1894"/>
        <v>20</v>
      </c>
      <c r="Q3099" s="531">
        <f t="shared" si="1895"/>
        <v>35</v>
      </c>
      <c r="R3099" s="537">
        <f t="shared" si="1896"/>
        <v>0.098314606741573</v>
      </c>
    </row>
    <row r="3100" spans="1:18">
      <c r="A3100" s="524">
        <v>46070</v>
      </c>
      <c r="B3100" s="540" t="s">
        <v>98</v>
      </c>
      <c r="C3100" s="551">
        <v>700</v>
      </c>
      <c r="D3100" s="553">
        <v>6459</v>
      </c>
      <c r="E3100" s="551">
        <v>352</v>
      </c>
      <c r="F3100" s="551">
        <v>0</v>
      </c>
      <c r="G3100" s="551">
        <v>0</v>
      </c>
      <c r="H3100" s="551">
        <v>19</v>
      </c>
      <c r="I3100" s="551">
        <v>2</v>
      </c>
      <c r="J3100" s="551">
        <v>2</v>
      </c>
      <c r="K3100" s="527">
        <f t="shared" si="1889"/>
        <v>0.0544976002477164</v>
      </c>
      <c r="L3100" s="528">
        <f t="shared" si="1890"/>
        <v>1.98863636363636</v>
      </c>
      <c r="M3100" s="528">
        <f t="shared" si="1891"/>
        <v>108.375909583527</v>
      </c>
      <c r="N3100" s="528">
        <f t="shared" si="1892"/>
        <v>0</v>
      </c>
      <c r="O3100" s="528">
        <f t="shared" si="1893"/>
        <v>0</v>
      </c>
      <c r="P3100" s="529">
        <f t="shared" si="1894"/>
        <v>33.3333333333333</v>
      </c>
      <c r="Q3100" s="24">
        <f t="shared" si="1895"/>
        <v>21</v>
      </c>
      <c r="R3100" s="530">
        <f t="shared" si="1896"/>
        <v>0.0596590909090909</v>
      </c>
    </row>
    <row r="3101" spans="1:18">
      <c r="A3101" s="524"/>
      <c r="B3101" s="540" t="s">
        <v>99</v>
      </c>
      <c r="C3101" s="551">
        <v>0</v>
      </c>
      <c r="D3101" s="556">
        <v>0</v>
      </c>
      <c r="E3101" s="551">
        <v>0</v>
      </c>
      <c r="F3101" s="551">
        <v>0</v>
      </c>
      <c r="G3101" s="551">
        <v>0</v>
      </c>
      <c r="H3101" s="555">
        <v>0</v>
      </c>
      <c r="I3101" s="555">
        <v>0</v>
      </c>
      <c r="J3101" s="555">
        <v>0</v>
      </c>
      <c r="K3101" s="527">
        <f t="shared" si="1889"/>
        <v>0</v>
      </c>
      <c r="L3101" s="528">
        <f t="shared" si="1890"/>
        <v>0</v>
      </c>
      <c r="M3101" s="528">
        <f t="shared" si="1891"/>
        <v>0</v>
      </c>
      <c r="N3101" s="528">
        <f t="shared" si="1892"/>
        <v>0</v>
      </c>
      <c r="O3101" s="528">
        <f t="shared" si="1893"/>
        <v>0</v>
      </c>
      <c r="P3101" s="529">
        <f t="shared" si="1894"/>
        <v>0</v>
      </c>
      <c r="Q3101" s="24">
        <f t="shared" si="1895"/>
        <v>0</v>
      </c>
      <c r="R3101" s="530">
        <f t="shared" si="1896"/>
        <v>0</v>
      </c>
    </row>
    <row r="3102" spans="1:18">
      <c r="A3102" s="524"/>
      <c r="B3102" s="540" t="s">
        <v>100</v>
      </c>
      <c r="C3102" s="552">
        <v>0</v>
      </c>
      <c r="D3102" s="553">
        <v>0</v>
      </c>
      <c r="E3102" s="553">
        <v>0</v>
      </c>
      <c r="F3102" s="551">
        <v>0</v>
      </c>
      <c r="G3102" s="551">
        <v>0</v>
      </c>
      <c r="H3102" s="551">
        <v>0</v>
      </c>
      <c r="I3102" s="551">
        <v>0</v>
      </c>
      <c r="J3102" s="551">
        <v>0</v>
      </c>
      <c r="K3102" s="527">
        <f t="shared" si="1889"/>
        <v>0</v>
      </c>
      <c r="L3102" s="528">
        <f t="shared" si="1890"/>
        <v>0</v>
      </c>
      <c r="M3102" s="528">
        <f t="shared" si="1891"/>
        <v>0</v>
      </c>
      <c r="N3102" s="528">
        <f t="shared" si="1892"/>
        <v>0</v>
      </c>
      <c r="O3102" s="528">
        <f t="shared" si="1893"/>
        <v>0</v>
      </c>
      <c r="P3102" s="529">
        <f t="shared" si="1894"/>
        <v>0</v>
      </c>
      <c r="Q3102" s="24">
        <f t="shared" si="1895"/>
        <v>0</v>
      </c>
      <c r="R3102" s="530">
        <f t="shared" si="1896"/>
        <v>0</v>
      </c>
    </row>
    <row r="3103" spans="1:18">
      <c r="A3103" s="524"/>
      <c r="B3103" s="540" t="s">
        <v>101</v>
      </c>
      <c r="C3103" s="552">
        <v>0</v>
      </c>
      <c r="D3103" s="553">
        <v>0</v>
      </c>
      <c r="E3103" s="551">
        <v>0</v>
      </c>
      <c r="F3103" s="551">
        <v>0</v>
      </c>
      <c r="G3103" s="551">
        <v>0</v>
      </c>
      <c r="H3103" s="551">
        <v>0</v>
      </c>
      <c r="I3103" s="551">
        <v>0</v>
      </c>
      <c r="J3103" s="551">
        <v>0</v>
      </c>
      <c r="K3103" s="527">
        <f t="shared" si="1889"/>
        <v>0</v>
      </c>
      <c r="L3103" s="528">
        <f t="shared" si="1890"/>
        <v>0</v>
      </c>
      <c r="M3103" s="528">
        <f t="shared" si="1891"/>
        <v>0</v>
      </c>
      <c r="N3103" s="528">
        <f t="shared" si="1892"/>
        <v>0</v>
      </c>
      <c r="O3103" s="528">
        <f t="shared" si="1893"/>
        <v>0</v>
      </c>
      <c r="P3103" s="529">
        <f t="shared" si="1894"/>
        <v>0</v>
      </c>
      <c r="Q3103" s="24">
        <f t="shared" si="1895"/>
        <v>0</v>
      </c>
      <c r="R3103" s="530">
        <f t="shared" si="1896"/>
        <v>0</v>
      </c>
    </row>
    <row r="3104" spans="1:18">
      <c r="A3104" s="524"/>
      <c r="B3104" s="531" t="s">
        <v>96</v>
      </c>
      <c r="C3104" s="533">
        <f t="shared" ref="C3104:J3104" si="1904">SUM(C3100:C3103)</f>
        <v>700</v>
      </c>
      <c r="D3104" s="533">
        <f t="shared" si="1904"/>
        <v>6459</v>
      </c>
      <c r="E3104" s="533">
        <f t="shared" si="1904"/>
        <v>352</v>
      </c>
      <c r="F3104" s="533">
        <f t="shared" si="1904"/>
        <v>0</v>
      </c>
      <c r="G3104" s="533">
        <f t="shared" si="1904"/>
        <v>0</v>
      </c>
      <c r="H3104" s="533">
        <f t="shared" si="1904"/>
        <v>19</v>
      </c>
      <c r="I3104" s="533">
        <f t="shared" si="1904"/>
        <v>2</v>
      </c>
      <c r="J3104" s="533">
        <f t="shared" si="1904"/>
        <v>2</v>
      </c>
      <c r="K3104" s="534">
        <f t="shared" si="1889"/>
        <v>0.0544976002477164</v>
      </c>
      <c r="L3104" s="535">
        <f t="shared" si="1890"/>
        <v>1.98863636363636</v>
      </c>
      <c r="M3104" s="535">
        <f t="shared" si="1891"/>
        <v>108.375909583527</v>
      </c>
      <c r="N3104" s="535">
        <f t="shared" si="1892"/>
        <v>0</v>
      </c>
      <c r="O3104" s="535">
        <f t="shared" si="1893"/>
        <v>0</v>
      </c>
      <c r="P3104" s="536">
        <f t="shared" si="1894"/>
        <v>33.3333333333333</v>
      </c>
      <c r="Q3104" s="531">
        <f t="shared" si="1895"/>
        <v>21</v>
      </c>
      <c r="R3104" s="537">
        <f t="shared" si="1896"/>
        <v>0.0596590909090909</v>
      </c>
    </row>
    <row r="3105" spans="1:18">
      <c r="A3105" s="524">
        <v>46071</v>
      </c>
      <c r="B3105" s="540" t="s">
        <v>98</v>
      </c>
      <c r="C3105" s="551">
        <v>700</v>
      </c>
      <c r="D3105" s="553">
        <v>5403</v>
      </c>
      <c r="E3105" s="551">
        <v>386</v>
      </c>
      <c r="F3105" s="551">
        <v>5</v>
      </c>
      <c r="G3105" s="551">
        <v>41113</v>
      </c>
      <c r="H3105" s="551">
        <v>37</v>
      </c>
      <c r="I3105" s="551">
        <v>7</v>
      </c>
      <c r="J3105" s="551">
        <v>1</v>
      </c>
      <c r="K3105" s="527">
        <f t="shared" si="1889"/>
        <v>0.0714417915972608</v>
      </c>
      <c r="L3105" s="528">
        <f t="shared" si="1890"/>
        <v>1.81347150259067</v>
      </c>
      <c r="M3105" s="528">
        <f t="shared" si="1891"/>
        <v>129.557653155654</v>
      </c>
      <c r="N3105" s="528">
        <f t="shared" si="1892"/>
        <v>58.7328571428571</v>
      </c>
      <c r="O3105" s="528">
        <f t="shared" si="1893"/>
        <v>0.0129533678756477</v>
      </c>
      <c r="P3105" s="529">
        <f t="shared" si="1894"/>
        <v>15.9090909090909</v>
      </c>
      <c r="Q3105" s="24">
        <f t="shared" si="1895"/>
        <v>44</v>
      </c>
      <c r="R3105" s="530">
        <f t="shared" si="1896"/>
        <v>0.113989637305699</v>
      </c>
    </row>
    <row r="3106" spans="1:18">
      <c r="A3106" s="524"/>
      <c r="B3106" s="540" t="s">
        <v>99</v>
      </c>
      <c r="C3106" s="551">
        <v>0</v>
      </c>
      <c r="D3106" s="556">
        <v>0</v>
      </c>
      <c r="E3106" s="551">
        <v>0</v>
      </c>
      <c r="F3106" s="551">
        <v>0</v>
      </c>
      <c r="G3106" s="551">
        <v>0</v>
      </c>
      <c r="H3106" s="555">
        <v>0</v>
      </c>
      <c r="I3106" s="555">
        <v>0</v>
      </c>
      <c r="J3106" s="555">
        <v>0</v>
      </c>
      <c r="K3106" s="527">
        <f t="shared" si="1889"/>
        <v>0</v>
      </c>
      <c r="L3106" s="528">
        <f t="shared" si="1890"/>
        <v>0</v>
      </c>
      <c r="M3106" s="528">
        <f t="shared" si="1891"/>
        <v>0</v>
      </c>
      <c r="N3106" s="528">
        <f t="shared" si="1892"/>
        <v>0</v>
      </c>
      <c r="O3106" s="528">
        <f t="shared" si="1893"/>
        <v>0</v>
      </c>
      <c r="P3106" s="529">
        <f t="shared" si="1894"/>
        <v>0</v>
      </c>
      <c r="Q3106" s="24">
        <f t="shared" si="1895"/>
        <v>0</v>
      </c>
      <c r="R3106" s="530">
        <f t="shared" si="1896"/>
        <v>0</v>
      </c>
    </row>
    <row r="3107" spans="1:18">
      <c r="A3107" s="524"/>
      <c r="B3107" s="540" t="s">
        <v>100</v>
      </c>
      <c r="C3107" s="552">
        <v>0</v>
      </c>
      <c r="D3107" s="553">
        <v>0</v>
      </c>
      <c r="E3107" s="553">
        <v>0</v>
      </c>
      <c r="F3107" s="551">
        <v>0</v>
      </c>
      <c r="G3107" s="551">
        <v>0</v>
      </c>
      <c r="H3107" s="551">
        <v>0</v>
      </c>
      <c r="I3107" s="551">
        <v>0</v>
      </c>
      <c r="J3107" s="551">
        <v>0</v>
      </c>
      <c r="K3107" s="527">
        <f t="shared" si="1889"/>
        <v>0</v>
      </c>
      <c r="L3107" s="528">
        <f t="shared" si="1890"/>
        <v>0</v>
      </c>
      <c r="M3107" s="528">
        <f t="shared" si="1891"/>
        <v>0</v>
      </c>
      <c r="N3107" s="528">
        <f t="shared" si="1892"/>
        <v>0</v>
      </c>
      <c r="O3107" s="528">
        <f t="shared" si="1893"/>
        <v>0</v>
      </c>
      <c r="P3107" s="529">
        <f t="shared" si="1894"/>
        <v>0</v>
      </c>
      <c r="Q3107" s="24">
        <f t="shared" si="1895"/>
        <v>0</v>
      </c>
      <c r="R3107" s="530">
        <f t="shared" si="1896"/>
        <v>0</v>
      </c>
    </row>
    <row r="3108" spans="1:18">
      <c r="A3108" s="524"/>
      <c r="B3108" s="540" t="s">
        <v>101</v>
      </c>
      <c r="C3108" s="552">
        <v>0</v>
      </c>
      <c r="D3108" s="553">
        <v>0</v>
      </c>
      <c r="E3108" s="551">
        <v>0</v>
      </c>
      <c r="F3108" s="551">
        <v>0</v>
      </c>
      <c r="G3108" s="551">
        <v>0</v>
      </c>
      <c r="H3108" s="551">
        <v>0</v>
      </c>
      <c r="I3108" s="551">
        <v>0</v>
      </c>
      <c r="J3108" s="551">
        <v>0</v>
      </c>
      <c r="K3108" s="527">
        <f t="shared" si="1889"/>
        <v>0</v>
      </c>
      <c r="L3108" s="528">
        <f t="shared" si="1890"/>
        <v>0</v>
      </c>
      <c r="M3108" s="528">
        <f t="shared" si="1891"/>
        <v>0</v>
      </c>
      <c r="N3108" s="528">
        <f t="shared" si="1892"/>
        <v>0</v>
      </c>
      <c r="O3108" s="528">
        <f t="shared" si="1893"/>
        <v>0</v>
      </c>
      <c r="P3108" s="529">
        <f t="shared" si="1894"/>
        <v>0</v>
      </c>
      <c r="Q3108" s="24">
        <f t="shared" si="1895"/>
        <v>0</v>
      </c>
      <c r="R3108" s="530">
        <f t="shared" si="1896"/>
        <v>0</v>
      </c>
    </row>
    <row r="3109" spans="1:18">
      <c r="A3109" s="524"/>
      <c r="B3109" s="531" t="s">
        <v>96</v>
      </c>
      <c r="C3109" s="533">
        <f t="shared" ref="C3109:J3109" si="1905">SUM(C3105:C3108)</f>
        <v>700</v>
      </c>
      <c r="D3109" s="533">
        <f t="shared" si="1905"/>
        <v>5403</v>
      </c>
      <c r="E3109" s="533">
        <f t="shared" si="1905"/>
        <v>386</v>
      </c>
      <c r="F3109" s="533">
        <f t="shared" si="1905"/>
        <v>5</v>
      </c>
      <c r="G3109" s="533">
        <f t="shared" si="1905"/>
        <v>41113</v>
      </c>
      <c r="H3109" s="533">
        <f t="shared" si="1905"/>
        <v>37</v>
      </c>
      <c r="I3109" s="533">
        <f t="shared" si="1905"/>
        <v>7</v>
      </c>
      <c r="J3109" s="533">
        <f t="shared" si="1905"/>
        <v>1</v>
      </c>
      <c r="K3109" s="534">
        <f t="shared" si="1889"/>
        <v>0.0714417915972608</v>
      </c>
      <c r="L3109" s="535">
        <f t="shared" si="1890"/>
        <v>1.81347150259067</v>
      </c>
      <c r="M3109" s="535">
        <f t="shared" si="1891"/>
        <v>129.557653155654</v>
      </c>
      <c r="N3109" s="535">
        <f t="shared" si="1892"/>
        <v>58.7328571428571</v>
      </c>
      <c r="O3109" s="535">
        <f t="shared" si="1893"/>
        <v>0.0129533678756477</v>
      </c>
      <c r="P3109" s="536">
        <f t="shared" si="1894"/>
        <v>15.9090909090909</v>
      </c>
      <c r="Q3109" s="531">
        <f t="shared" si="1895"/>
        <v>44</v>
      </c>
      <c r="R3109" s="537">
        <f t="shared" si="1896"/>
        <v>0.113989637305699</v>
      </c>
    </row>
    <row r="3110" spans="1:18">
      <c r="A3110" s="524">
        <v>46072</v>
      </c>
      <c r="B3110" s="540" t="s">
        <v>98</v>
      </c>
      <c r="C3110" s="551">
        <v>697.89</v>
      </c>
      <c r="D3110" s="553">
        <v>4444</v>
      </c>
      <c r="E3110" s="551">
        <v>332</v>
      </c>
      <c r="F3110" s="551">
        <v>2</v>
      </c>
      <c r="G3110" s="551">
        <v>17080</v>
      </c>
      <c r="H3110" s="551">
        <v>12</v>
      </c>
      <c r="I3110" s="551">
        <v>4</v>
      </c>
      <c r="J3110" s="551">
        <v>4</v>
      </c>
      <c r="K3110" s="527">
        <f t="shared" si="1889"/>
        <v>0.0747074707470747</v>
      </c>
      <c r="L3110" s="528">
        <f t="shared" si="1890"/>
        <v>2.10207831325301</v>
      </c>
      <c r="M3110" s="528">
        <f t="shared" si="1891"/>
        <v>157.04095409541</v>
      </c>
      <c r="N3110" s="528">
        <f t="shared" si="1892"/>
        <v>24.4737709381135</v>
      </c>
      <c r="O3110" s="528">
        <f t="shared" si="1893"/>
        <v>0.00602409638554217</v>
      </c>
      <c r="P3110" s="529">
        <f t="shared" si="1894"/>
        <v>43.618125</v>
      </c>
      <c r="Q3110" s="24">
        <f t="shared" si="1895"/>
        <v>16</v>
      </c>
      <c r="R3110" s="530">
        <f t="shared" si="1896"/>
        <v>0.0481927710843374</v>
      </c>
    </row>
    <row r="3111" spans="1:18">
      <c r="A3111" s="524"/>
      <c r="B3111" s="540" t="s">
        <v>99</v>
      </c>
      <c r="C3111" s="551">
        <v>0</v>
      </c>
      <c r="D3111" s="556">
        <v>0</v>
      </c>
      <c r="E3111" s="551">
        <v>0</v>
      </c>
      <c r="F3111" s="551">
        <v>0</v>
      </c>
      <c r="G3111" s="551">
        <v>0</v>
      </c>
      <c r="H3111" s="555">
        <v>0</v>
      </c>
      <c r="I3111" s="555">
        <v>0</v>
      </c>
      <c r="J3111" s="555">
        <v>0</v>
      </c>
      <c r="K3111" s="527">
        <f t="shared" si="1889"/>
        <v>0</v>
      </c>
      <c r="L3111" s="528">
        <f t="shared" si="1890"/>
        <v>0</v>
      </c>
      <c r="M3111" s="528">
        <f t="shared" si="1891"/>
        <v>0</v>
      </c>
      <c r="N3111" s="528">
        <f t="shared" si="1892"/>
        <v>0</v>
      </c>
      <c r="O3111" s="528">
        <f t="shared" si="1893"/>
        <v>0</v>
      </c>
      <c r="P3111" s="529">
        <f t="shared" si="1894"/>
        <v>0</v>
      </c>
      <c r="Q3111" s="24">
        <f t="shared" si="1895"/>
        <v>0</v>
      </c>
      <c r="R3111" s="530">
        <f t="shared" si="1896"/>
        <v>0</v>
      </c>
    </row>
    <row r="3112" spans="1:18">
      <c r="A3112" s="524"/>
      <c r="B3112" s="540" t="s">
        <v>100</v>
      </c>
      <c r="C3112" s="552">
        <v>0</v>
      </c>
      <c r="D3112" s="553">
        <v>0</v>
      </c>
      <c r="E3112" s="553">
        <v>0</v>
      </c>
      <c r="F3112" s="551">
        <v>0</v>
      </c>
      <c r="G3112" s="551">
        <v>0</v>
      </c>
      <c r="H3112" s="551">
        <v>0</v>
      </c>
      <c r="I3112" s="551">
        <v>0</v>
      </c>
      <c r="J3112" s="551">
        <v>0</v>
      </c>
      <c r="K3112" s="527">
        <f t="shared" si="1889"/>
        <v>0</v>
      </c>
      <c r="L3112" s="528">
        <f t="shared" si="1890"/>
        <v>0</v>
      </c>
      <c r="M3112" s="528">
        <f t="shared" si="1891"/>
        <v>0</v>
      </c>
      <c r="N3112" s="528">
        <f t="shared" si="1892"/>
        <v>0</v>
      </c>
      <c r="O3112" s="528">
        <f t="shared" si="1893"/>
        <v>0</v>
      </c>
      <c r="P3112" s="529">
        <f t="shared" si="1894"/>
        <v>0</v>
      </c>
      <c r="Q3112" s="24">
        <f t="shared" si="1895"/>
        <v>0</v>
      </c>
      <c r="R3112" s="530">
        <f t="shared" si="1896"/>
        <v>0</v>
      </c>
    </row>
    <row r="3113" spans="1:18">
      <c r="A3113" s="524"/>
      <c r="B3113" s="540" t="s">
        <v>101</v>
      </c>
      <c r="C3113" s="552">
        <v>0</v>
      </c>
      <c r="D3113" s="553">
        <v>0</v>
      </c>
      <c r="E3113" s="551">
        <v>0</v>
      </c>
      <c r="F3113" s="551">
        <v>0</v>
      </c>
      <c r="G3113" s="551">
        <v>0</v>
      </c>
      <c r="H3113" s="551">
        <v>0</v>
      </c>
      <c r="I3113" s="551">
        <v>0</v>
      </c>
      <c r="J3113" s="551">
        <v>0</v>
      </c>
      <c r="K3113" s="527">
        <f t="shared" si="1889"/>
        <v>0</v>
      </c>
      <c r="L3113" s="528">
        <f t="shared" si="1890"/>
        <v>0</v>
      </c>
      <c r="M3113" s="528">
        <f t="shared" si="1891"/>
        <v>0</v>
      </c>
      <c r="N3113" s="528">
        <f t="shared" si="1892"/>
        <v>0</v>
      </c>
      <c r="O3113" s="528">
        <f t="shared" si="1893"/>
        <v>0</v>
      </c>
      <c r="P3113" s="529">
        <f t="shared" si="1894"/>
        <v>0</v>
      </c>
      <c r="Q3113" s="24">
        <f t="shared" si="1895"/>
        <v>0</v>
      </c>
      <c r="R3113" s="530">
        <f t="shared" si="1896"/>
        <v>0</v>
      </c>
    </row>
    <row r="3114" spans="1:18">
      <c r="A3114" s="524"/>
      <c r="B3114" s="531" t="s">
        <v>96</v>
      </c>
      <c r="C3114" s="533">
        <f t="shared" ref="C3114:J3114" si="1906">SUM(C3110:C3113)</f>
        <v>697.89</v>
      </c>
      <c r="D3114" s="533">
        <f t="shared" si="1906"/>
        <v>4444</v>
      </c>
      <c r="E3114" s="533">
        <f t="shared" si="1906"/>
        <v>332</v>
      </c>
      <c r="F3114" s="533">
        <f t="shared" si="1906"/>
        <v>2</v>
      </c>
      <c r="G3114" s="533">
        <f t="shared" si="1906"/>
        <v>17080</v>
      </c>
      <c r="H3114" s="533">
        <f t="shared" si="1906"/>
        <v>12</v>
      </c>
      <c r="I3114" s="533">
        <f t="shared" si="1906"/>
        <v>4</v>
      </c>
      <c r="J3114" s="533">
        <f t="shared" si="1906"/>
        <v>4</v>
      </c>
      <c r="K3114" s="534">
        <f t="shared" si="1889"/>
        <v>0.0747074707470747</v>
      </c>
      <c r="L3114" s="535">
        <f t="shared" si="1890"/>
        <v>2.10207831325301</v>
      </c>
      <c r="M3114" s="535">
        <f t="shared" si="1891"/>
        <v>157.04095409541</v>
      </c>
      <c r="N3114" s="535">
        <f t="shared" si="1892"/>
        <v>24.4737709381135</v>
      </c>
      <c r="O3114" s="535">
        <f t="shared" si="1893"/>
        <v>0.00602409638554217</v>
      </c>
      <c r="P3114" s="536">
        <f t="shared" si="1894"/>
        <v>43.618125</v>
      </c>
      <c r="Q3114" s="531">
        <f t="shared" si="1895"/>
        <v>16</v>
      </c>
      <c r="R3114" s="537">
        <f t="shared" si="1896"/>
        <v>0.0481927710843374</v>
      </c>
    </row>
    <row r="3115" spans="1:18">
      <c r="A3115" s="524">
        <v>46073</v>
      </c>
      <c r="B3115" s="540" t="s">
        <v>98</v>
      </c>
      <c r="C3115" s="551">
        <v>700</v>
      </c>
      <c r="D3115" s="553">
        <v>6493</v>
      </c>
      <c r="E3115" s="551">
        <v>398</v>
      </c>
      <c r="F3115" s="551">
        <v>1</v>
      </c>
      <c r="G3115" s="551">
        <v>7706</v>
      </c>
      <c r="H3115" s="551">
        <v>36</v>
      </c>
      <c r="I3115" s="551">
        <v>2</v>
      </c>
      <c r="J3115" s="551">
        <v>3</v>
      </c>
      <c r="K3115" s="527">
        <f t="shared" si="1889"/>
        <v>0.0612967811489296</v>
      </c>
      <c r="L3115" s="528">
        <f t="shared" si="1890"/>
        <v>1.75879396984925</v>
      </c>
      <c r="M3115" s="528">
        <f t="shared" si="1891"/>
        <v>107.808409055906</v>
      </c>
      <c r="N3115" s="528">
        <f t="shared" si="1892"/>
        <v>11.0085714285714</v>
      </c>
      <c r="O3115" s="528">
        <f t="shared" si="1893"/>
        <v>0.00251256281407035</v>
      </c>
      <c r="P3115" s="529">
        <f t="shared" si="1894"/>
        <v>18.4210526315789</v>
      </c>
      <c r="Q3115" s="24">
        <f t="shared" si="1895"/>
        <v>38</v>
      </c>
      <c r="R3115" s="530">
        <f t="shared" si="1896"/>
        <v>0.0954773869346734</v>
      </c>
    </row>
    <row r="3116" spans="1:18">
      <c r="A3116" s="524"/>
      <c r="B3116" s="540" t="s">
        <v>99</v>
      </c>
      <c r="C3116" s="551">
        <v>1483.02</v>
      </c>
      <c r="D3116" s="556">
        <v>25508</v>
      </c>
      <c r="E3116" s="551">
        <v>1428</v>
      </c>
      <c r="F3116" s="551">
        <v>2</v>
      </c>
      <c r="G3116" s="551">
        <v>57924</v>
      </c>
      <c r="H3116" s="555">
        <v>9</v>
      </c>
      <c r="I3116" s="555">
        <v>1</v>
      </c>
      <c r="J3116" s="555">
        <v>7</v>
      </c>
      <c r="K3116" s="527">
        <f t="shared" si="1889"/>
        <v>0.0559824368825467</v>
      </c>
      <c r="L3116" s="528">
        <f t="shared" si="1890"/>
        <v>1.03852941176471</v>
      </c>
      <c r="M3116" s="528">
        <f t="shared" si="1891"/>
        <v>58.1394072447859</v>
      </c>
      <c r="N3116" s="528">
        <f t="shared" si="1892"/>
        <v>39.0581381235587</v>
      </c>
      <c r="O3116" s="528">
        <f t="shared" si="1893"/>
        <v>0.00140056022408964</v>
      </c>
      <c r="P3116" s="529">
        <f t="shared" si="1894"/>
        <v>148.302</v>
      </c>
      <c r="Q3116" s="24">
        <f t="shared" si="1895"/>
        <v>10</v>
      </c>
      <c r="R3116" s="530">
        <f t="shared" si="1896"/>
        <v>0.00700280112044818</v>
      </c>
    </row>
    <row r="3117" spans="1:18">
      <c r="A3117" s="524"/>
      <c r="B3117" s="540" t="s">
        <v>100</v>
      </c>
      <c r="C3117" s="552">
        <v>0</v>
      </c>
      <c r="D3117" s="553">
        <v>0</v>
      </c>
      <c r="E3117" s="553">
        <v>0</v>
      </c>
      <c r="F3117" s="551">
        <v>0</v>
      </c>
      <c r="G3117" s="551">
        <v>0</v>
      </c>
      <c r="H3117" s="551">
        <v>0</v>
      </c>
      <c r="I3117" s="551">
        <v>0</v>
      </c>
      <c r="J3117" s="551">
        <v>0</v>
      </c>
      <c r="K3117" s="527">
        <f t="shared" si="1889"/>
        <v>0</v>
      </c>
      <c r="L3117" s="528">
        <f t="shared" si="1890"/>
        <v>0</v>
      </c>
      <c r="M3117" s="528">
        <f t="shared" si="1891"/>
        <v>0</v>
      </c>
      <c r="N3117" s="528">
        <f t="shared" si="1892"/>
        <v>0</v>
      </c>
      <c r="O3117" s="528">
        <f t="shared" si="1893"/>
        <v>0</v>
      </c>
      <c r="P3117" s="529">
        <f t="shared" si="1894"/>
        <v>0</v>
      </c>
      <c r="Q3117" s="24">
        <f t="shared" si="1895"/>
        <v>0</v>
      </c>
      <c r="R3117" s="530">
        <f t="shared" si="1896"/>
        <v>0</v>
      </c>
    </row>
    <row r="3118" spans="1:18">
      <c r="A3118" s="524"/>
      <c r="B3118" s="540" t="s">
        <v>101</v>
      </c>
      <c r="C3118" s="552">
        <v>0</v>
      </c>
      <c r="D3118" s="553">
        <v>0</v>
      </c>
      <c r="E3118" s="551">
        <v>0</v>
      </c>
      <c r="F3118" s="551">
        <v>0</v>
      </c>
      <c r="G3118" s="551">
        <v>0</v>
      </c>
      <c r="H3118" s="551">
        <v>0</v>
      </c>
      <c r="I3118" s="551">
        <v>0</v>
      </c>
      <c r="J3118" s="551">
        <v>0</v>
      </c>
      <c r="K3118" s="527">
        <f t="shared" si="1889"/>
        <v>0</v>
      </c>
      <c r="L3118" s="528">
        <f t="shared" si="1890"/>
        <v>0</v>
      </c>
      <c r="M3118" s="528">
        <f t="shared" si="1891"/>
        <v>0</v>
      </c>
      <c r="N3118" s="528">
        <f t="shared" si="1892"/>
        <v>0</v>
      </c>
      <c r="O3118" s="528">
        <f t="shared" si="1893"/>
        <v>0</v>
      </c>
      <c r="P3118" s="529">
        <f t="shared" si="1894"/>
        <v>0</v>
      </c>
      <c r="Q3118" s="24">
        <f t="shared" si="1895"/>
        <v>0</v>
      </c>
      <c r="R3118" s="530">
        <f t="shared" si="1896"/>
        <v>0</v>
      </c>
    </row>
    <row r="3119" spans="1:18">
      <c r="A3119" s="524"/>
      <c r="B3119" s="531" t="s">
        <v>96</v>
      </c>
      <c r="C3119" s="533">
        <f t="shared" ref="C3119:J3119" si="1907">SUM(C3115:C3118)</f>
        <v>2183.02</v>
      </c>
      <c r="D3119" s="533">
        <f t="shared" si="1907"/>
        <v>32001</v>
      </c>
      <c r="E3119" s="533">
        <f t="shared" si="1907"/>
        <v>1826</v>
      </c>
      <c r="F3119" s="533">
        <f t="shared" si="1907"/>
        <v>3</v>
      </c>
      <c r="G3119" s="533">
        <f t="shared" si="1907"/>
        <v>65630</v>
      </c>
      <c r="H3119" s="533">
        <f t="shared" si="1907"/>
        <v>45</v>
      </c>
      <c r="I3119" s="533">
        <f t="shared" si="1907"/>
        <v>3</v>
      </c>
      <c r="J3119" s="533">
        <f t="shared" si="1907"/>
        <v>10</v>
      </c>
      <c r="K3119" s="534">
        <f t="shared" si="1889"/>
        <v>0.0570607168525984</v>
      </c>
      <c r="L3119" s="535">
        <f t="shared" si="1890"/>
        <v>1.19552026286966</v>
      </c>
      <c r="M3119" s="535">
        <f t="shared" si="1891"/>
        <v>68.2172432111497</v>
      </c>
      <c r="N3119" s="535">
        <f t="shared" si="1892"/>
        <v>30.0638564923821</v>
      </c>
      <c r="O3119" s="535">
        <f t="shared" si="1893"/>
        <v>0.00164293537787514</v>
      </c>
      <c r="P3119" s="536">
        <f t="shared" si="1894"/>
        <v>45.4795833333333</v>
      </c>
      <c r="Q3119" s="531">
        <f t="shared" si="1895"/>
        <v>48</v>
      </c>
      <c r="R3119" s="537">
        <f t="shared" si="1896"/>
        <v>0.0262869660460022</v>
      </c>
    </row>
    <row r="3120" spans="1:18">
      <c r="A3120" s="524">
        <v>46074</v>
      </c>
      <c r="B3120" s="540" t="s">
        <v>98</v>
      </c>
      <c r="C3120" s="551">
        <v>700</v>
      </c>
      <c r="D3120" s="553">
        <v>7345</v>
      </c>
      <c r="E3120" s="551">
        <v>424</v>
      </c>
      <c r="F3120" s="551">
        <v>3</v>
      </c>
      <c r="G3120" s="551">
        <v>27904</v>
      </c>
      <c r="H3120" s="551">
        <v>45</v>
      </c>
      <c r="I3120" s="551">
        <v>3</v>
      </c>
      <c r="J3120" s="551">
        <v>3</v>
      </c>
      <c r="K3120" s="527">
        <f t="shared" si="1889"/>
        <v>0.0577263444520082</v>
      </c>
      <c r="L3120" s="528">
        <f t="shared" si="1890"/>
        <v>1.65094339622642</v>
      </c>
      <c r="M3120" s="528">
        <f t="shared" si="1891"/>
        <v>95.3029271613343</v>
      </c>
      <c r="N3120" s="528">
        <f t="shared" si="1892"/>
        <v>39.8628571428571</v>
      </c>
      <c r="O3120" s="528">
        <f t="shared" si="1893"/>
        <v>0.00707547169811321</v>
      </c>
      <c r="P3120" s="529">
        <f t="shared" si="1894"/>
        <v>14.5833333333333</v>
      </c>
      <c r="Q3120" s="24">
        <f t="shared" si="1895"/>
        <v>48</v>
      </c>
      <c r="R3120" s="530">
        <f t="shared" si="1896"/>
        <v>0.113207547169811</v>
      </c>
    </row>
    <row r="3121" spans="1:18">
      <c r="A3121" s="524"/>
      <c r="B3121" s="540" t="s">
        <v>99</v>
      </c>
      <c r="C3121" s="551">
        <v>1500</v>
      </c>
      <c r="D3121" s="556">
        <v>23186</v>
      </c>
      <c r="E3121" s="551">
        <v>948</v>
      </c>
      <c r="F3121" s="551">
        <v>0</v>
      </c>
      <c r="G3121" s="551">
        <v>0</v>
      </c>
      <c r="H3121" s="555">
        <v>19</v>
      </c>
      <c r="I3121" s="555">
        <v>1</v>
      </c>
      <c r="J3121" s="555">
        <v>1</v>
      </c>
      <c r="K3121" s="527">
        <f t="shared" si="1889"/>
        <v>0.0408867419994824</v>
      </c>
      <c r="L3121" s="528">
        <f t="shared" si="1890"/>
        <v>1.58227848101266</v>
      </c>
      <c r="M3121" s="528">
        <f t="shared" si="1891"/>
        <v>64.6942120244975</v>
      </c>
      <c r="N3121" s="528">
        <f t="shared" si="1892"/>
        <v>0</v>
      </c>
      <c r="O3121" s="528">
        <f t="shared" si="1893"/>
        <v>0</v>
      </c>
      <c r="P3121" s="529">
        <f t="shared" si="1894"/>
        <v>75</v>
      </c>
      <c r="Q3121" s="24">
        <f t="shared" si="1895"/>
        <v>20</v>
      </c>
      <c r="R3121" s="530">
        <f t="shared" si="1896"/>
        <v>0.0210970464135021</v>
      </c>
    </row>
    <row r="3122" spans="1:18">
      <c r="A3122" s="524"/>
      <c r="B3122" s="540" t="s">
        <v>100</v>
      </c>
      <c r="C3122" s="552">
        <v>0</v>
      </c>
      <c r="D3122" s="553">
        <v>0</v>
      </c>
      <c r="E3122" s="553">
        <v>0</v>
      </c>
      <c r="F3122" s="551">
        <v>0</v>
      </c>
      <c r="G3122" s="551">
        <v>0</v>
      </c>
      <c r="H3122" s="551">
        <v>0</v>
      </c>
      <c r="I3122" s="551">
        <v>0</v>
      </c>
      <c r="J3122" s="551">
        <v>0</v>
      </c>
      <c r="K3122" s="527">
        <f t="shared" si="1889"/>
        <v>0</v>
      </c>
      <c r="L3122" s="528">
        <f t="shared" si="1890"/>
        <v>0</v>
      </c>
      <c r="M3122" s="528">
        <f t="shared" si="1891"/>
        <v>0</v>
      </c>
      <c r="N3122" s="528">
        <f t="shared" si="1892"/>
        <v>0</v>
      </c>
      <c r="O3122" s="528">
        <f t="shared" si="1893"/>
        <v>0</v>
      </c>
      <c r="P3122" s="529">
        <f t="shared" si="1894"/>
        <v>0</v>
      </c>
      <c r="Q3122" s="24">
        <f t="shared" si="1895"/>
        <v>0</v>
      </c>
      <c r="R3122" s="530">
        <f t="shared" si="1896"/>
        <v>0</v>
      </c>
    </row>
    <row r="3123" spans="1:18">
      <c r="A3123" s="524"/>
      <c r="B3123" s="540" t="s">
        <v>101</v>
      </c>
      <c r="C3123" s="552">
        <v>0</v>
      </c>
      <c r="D3123" s="553">
        <v>0</v>
      </c>
      <c r="E3123" s="551">
        <v>0</v>
      </c>
      <c r="F3123" s="551">
        <v>0</v>
      </c>
      <c r="G3123" s="551">
        <v>0</v>
      </c>
      <c r="H3123" s="551">
        <v>0</v>
      </c>
      <c r="I3123" s="551">
        <v>0</v>
      </c>
      <c r="J3123" s="551">
        <v>0</v>
      </c>
      <c r="K3123" s="527">
        <f t="shared" si="1889"/>
        <v>0</v>
      </c>
      <c r="L3123" s="528">
        <f t="shared" si="1890"/>
        <v>0</v>
      </c>
      <c r="M3123" s="528">
        <f t="shared" si="1891"/>
        <v>0</v>
      </c>
      <c r="N3123" s="528">
        <f t="shared" si="1892"/>
        <v>0</v>
      </c>
      <c r="O3123" s="528">
        <f t="shared" si="1893"/>
        <v>0</v>
      </c>
      <c r="P3123" s="529">
        <f t="shared" si="1894"/>
        <v>0</v>
      </c>
      <c r="Q3123" s="24">
        <f t="shared" si="1895"/>
        <v>0</v>
      </c>
      <c r="R3123" s="530">
        <f t="shared" si="1896"/>
        <v>0</v>
      </c>
    </row>
    <row r="3124" spans="1:18">
      <c r="A3124" s="524"/>
      <c r="B3124" s="531" t="s">
        <v>96</v>
      </c>
      <c r="C3124" s="533">
        <f t="shared" ref="C3124:J3124" si="1908">SUM(C3120:C3123)</f>
        <v>2200</v>
      </c>
      <c r="D3124" s="533">
        <f t="shared" si="1908"/>
        <v>30531</v>
      </c>
      <c r="E3124" s="533">
        <f t="shared" si="1908"/>
        <v>1372</v>
      </c>
      <c r="F3124" s="533">
        <f t="shared" si="1908"/>
        <v>3</v>
      </c>
      <c r="G3124" s="533">
        <f t="shared" si="1908"/>
        <v>27904</v>
      </c>
      <c r="H3124" s="533">
        <f t="shared" si="1908"/>
        <v>64</v>
      </c>
      <c r="I3124" s="533">
        <f t="shared" si="1908"/>
        <v>4</v>
      </c>
      <c r="J3124" s="533">
        <f t="shared" si="1908"/>
        <v>4</v>
      </c>
      <c r="K3124" s="534">
        <f t="shared" si="1889"/>
        <v>0.0449379319380302</v>
      </c>
      <c r="L3124" s="535">
        <f t="shared" si="1890"/>
        <v>1.60349854227405</v>
      </c>
      <c r="M3124" s="535">
        <f t="shared" si="1891"/>
        <v>72.057908355442</v>
      </c>
      <c r="N3124" s="535">
        <f t="shared" si="1892"/>
        <v>12.6836363636364</v>
      </c>
      <c r="O3124" s="535">
        <f t="shared" si="1893"/>
        <v>0.0021865889212828</v>
      </c>
      <c r="P3124" s="536">
        <f t="shared" si="1894"/>
        <v>32.3529411764706</v>
      </c>
      <c r="Q3124" s="531">
        <f t="shared" si="1895"/>
        <v>68</v>
      </c>
      <c r="R3124" s="537">
        <f t="shared" si="1896"/>
        <v>0.0495626822157434</v>
      </c>
    </row>
    <row r="3125" spans="1:18">
      <c r="A3125" s="524">
        <v>46075</v>
      </c>
      <c r="B3125" s="540" t="s">
        <v>98</v>
      </c>
      <c r="C3125" s="551">
        <v>700</v>
      </c>
      <c r="D3125" s="553">
        <v>6995</v>
      </c>
      <c r="E3125" s="551">
        <v>367</v>
      </c>
      <c r="F3125" s="551">
        <v>2</v>
      </c>
      <c r="G3125" s="551">
        <v>12312</v>
      </c>
      <c r="H3125" s="551">
        <v>22</v>
      </c>
      <c r="I3125" s="551">
        <v>3</v>
      </c>
      <c r="J3125" s="551">
        <v>2</v>
      </c>
      <c r="K3125" s="527">
        <f t="shared" si="1889"/>
        <v>0.0524660471765547</v>
      </c>
      <c r="L3125" s="528">
        <f t="shared" si="1890"/>
        <v>1.90735694822888</v>
      </c>
      <c r="M3125" s="528">
        <f t="shared" si="1891"/>
        <v>100.071479628306</v>
      </c>
      <c r="N3125" s="528">
        <f t="shared" si="1892"/>
        <v>17.5885714285714</v>
      </c>
      <c r="O3125" s="528">
        <f t="shared" si="1893"/>
        <v>0.00544959128065395</v>
      </c>
      <c r="P3125" s="529">
        <f t="shared" si="1894"/>
        <v>28</v>
      </c>
      <c r="Q3125" s="24">
        <f t="shared" si="1895"/>
        <v>25</v>
      </c>
      <c r="R3125" s="530">
        <f t="shared" si="1896"/>
        <v>0.0681198910081744</v>
      </c>
    </row>
    <row r="3126" spans="1:18">
      <c r="A3126" s="524"/>
      <c r="B3126" s="540" t="s">
        <v>99</v>
      </c>
      <c r="C3126" s="551">
        <v>1452.59</v>
      </c>
      <c r="D3126" s="556">
        <v>12969</v>
      </c>
      <c r="E3126" s="551">
        <v>1259</v>
      </c>
      <c r="F3126" s="551">
        <v>1</v>
      </c>
      <c r="G3126" s="551">
        <v>9104</v>
      </c>
      <c r="H3126" s="555">
        <v>22</v>
      </c>
      <c r="I3126" s="555">
        <v>0</v>
      </c>
      <c r="J3126" s="555">
        <v>3</v>
      </c>
      <c r="K3126" s="527">
        <f t="shared" si="1889"/>
        <v>0.0970776466959673</v>
      </c>
      <c r="L3126" s="528">
        <f t="shared" si="1890"/>
        <v>1.15376489277204</v>
      </c>
      <c r="M3126" s="528">
        <f t="shared" si="1891"/>
        <v>112.004780630735</v>
      </c>
      <c r="N3126" s="528">
        <f t="shared" si="1892"/>
        <v>6.26742577052024</v>
      </c>
      <c r="O3126" s="528">
        <f t="shared" si="1893"/>
        <v>0.00079428117553614</v>
      </c>
      <c r="P3126" s="529">
        <f t="shared" si="1894"/>
        <v>66.0268181818182</v>
      </c>
      <c r="Q3126" s="24">
        <f t="shared" si="1895"/>
        <v>22</v>
      </c>
      <c r="R3126" s="530">
        <f t="shared" si="1896"/>
        <v>0.0174741858617951</v>
      </c>
    </row>
    <row r="3127" spans="1:18">
      <c r="A3127" s="524"/>
      <c r="B3127" s="540" t="s">
        <v>100</v>
      </c>
      <c r="C3127" s="552">
        <v>0</v>
      </c>
      <c r="D3127" s="553">
        <v>0</v>
      </c>
      <c r="E3127" s="553">
        <v>0</v>
      </c>
      <c r="F3127" s="551">
        <v>0</v>
      </c>
      <c r="G3127" s="551">
        <v>0</v>
      </c>
      <c r="H3127" s="551">
        <v>0</v>
      </c>
      <c r="I3127" s="551">
        <v>0</v>
      </c>
      <c r="J3127" s="551">
        <v>0</v>
      </c>
      <c r="K3127" s="527">
        <f t="shared" si="1889"/>
        <v>0</v>
      </c>
      <c r="L3127" s="528">
        <f t="shared" si="1890"/>
        <v>0</v>
      </c>
      <c r="M3127" s="528">
        <f t="shared" si="1891"/>
        <v>0</v>
      </c>
      <c r="N3127" s="528">
        <f t="shared" si="1892"/>
        <v>0</v>
      </c>
      <c r="O3127" s="528">
        <f t="shared" si="1893"/>
        <v>0</v>
      </c>
      <c r="P3127" s="529">
        <f t="shared" si="1894"/>
        <v>0</v>
      </c>
      <c r="Q3127" s="24">
        <f t="shared" si="1895"/>
        <v>0</v>
      </c>
      <c r="R3127" s="530">
        <f t="shared" si="1896"/>
        <v>0</v>
      </c>
    </row>
    <row r="3128" spans="1:18">
      <c r="A3128" s="524"/>
      <c r="B3128" s="540" t="s">
        <v>101</v>
      </c>
      <c r="C3128" s="552">
        <v>0</v>
      </c>
      <c r="D3128" s="553">
        <v>0</v>
      </c>
      <c r="E3128" s="551">
        <v>0</v>
      </c>
      <c r="F3128" s="551">
        <v>0</v>
      </c>
      <c r="G3128" s="551">
        <v>0</v>
      </c>
      <c r="H3128" s="551">
        <v>0</v>
      </c>
      <c r="I3128" s="551">
        <v>0</v>
      </c>
      <c r="J3128" s="551">
        <v>0</v>
      </c>
      <c r="K3128" s="527">
        <f t="shared" si="1889"/>
        <v>0</v>
      </c>
      <c r="L3128" s="528">
        <f t="shared" si="1890"/>
        <v>0</v>
      </c>
      <c r="M3128" s="528">
        <f t="shared" si="1891"/>
        <v>0</v>
      </c>
      <c r="N3128" s="528">
        <f t="shared" si="1892"/>
        <v>0</v>
      </c>
      <c r="O3128" s="528">
        <f t="shared" si="1893"/>
        <v>0</v>
      </c>
      <c r="P3128" s="529">
        <f t="shared" si="1894"/>
        <v>0</v>
      </c>
      <c r="Q3128" s="24">
        <f t="shared" si="1895"/>
        <v>0</v>
      </c>
      <c r="R3128" s="530">
        <f t="shared" si="1896"/>
        <v>0</v>
      </c>
    </row>
    <row r="3129" spans="1:18">
      <c r="A3129" s="524"/>
      <c r="B3129" s="531" t="s">
        <v>96</v>
      </c>
      <c r="C3129" s="533">
        <f t="shared" ref="C3129:J3129" si="1909">SUM(C3125:C3128)</f>
        <v>2152.59</v>
      </c>
      <c r="D3129" s="533">
        <f t="shared" si="1909"/>
        <v>19964</v>
      </c>
      <c r="E3129" s="533">
        <f t="shared" si="1909"/>
        <v>1626</v>
      </c>
      <c r="F3129" s="533">
        <f t="shared" si="1909"/>
        <v>3</v>
      </c>
      <c r="G3129" s="533">
        <f t="shared" si="1909"/>
        <v>21416</v>
      </c>
      <c r="H3129" s="533">
        <f t="shared" si="1909"/>
        <v>44</v>
      </c>
      <c r="I3129" s="533">
        <f t="shared" si="1909"/>
        <v>3</v>
      </c>
      <c r="J3129" s="533">
        <f t="shared" si="1909"/>
        <v>5</v>
      </c>
      <c r="K3129" s="534">
        <f t="shared" si="1889"/>
        <v>0.0814466038869966</v>
      </c>
      <c r="L3129" s="535">
        <f t="shared" si="1890"/>
        <v>1.32385608856089</v>
      </c>
      <c r="M3129" s="535">
        <f t="shared" si="1891"/>
        <v>107.823582448407</v>
      </c>
      <c r="N3129" s="535">
        <f t="shared" si="1892"/>
        <v>9.94894522412535</v>
      </c>
      <c r="O3129" s="535">
        <f t="shared" si="1893"/>
        <v>0.0018450184501845</v>
      </c>
      <c r="P3129" s="536">
        <f t="shared" si="1894"/>
        <v>45.7997872340426</v>
      </c>
      <c r="Q3129" s="531">
        <f t="shared" si="1895"/>
        <v>47</v>
      </c>
      <c r="R3129" s="537">
        <f t="shared" si="1896"/>
        <v>0.0289052890528905</v>
      </c>
    </row>
    <row r="3130" spans="1:18">
      <c r="A3130" s="524">
        <v>46076</v>
      </c>
      <c r="B3130" s="540" t="s">
        <v>98</v>
      </c>
      <c r="C3130" s="551">
        <v>699.26</v>
      </c>
      <c r="D3130" s="553">
        <v>7531</v>
      </c>
      <c r="E3130" s="551">
        <v>434</v>
      </c>
      <c r="F3130" s="551">
        <v>2</v>
      </c>
      <c r="G3130" s="551">
        <v>26788</v>
      </c>
      <c r="H3130" s="551">
        <v>33</v>
      </c>
      <c r="I3130" s="551">
        <v>10</v>
      </c>
      <c r="J3130" s="551">
        <v>2</v>
      </c>
      <c r="K3130" s="527">
        <f t="shared" si="1889"/>
        <v>0.0576284689948214</v>
      </c>
      <c r="L3130" s="528">
        <f t="shared" si="1890"/>
        <v>1.61119815668203</v>
      </c>
      <c r="M3130" s="528">
        <f t="shared" si="1891"/>
        <v>92.8508830168636</v>
      </c>
      <c r="N3130" s="528">
        <f t="shared" si="1892"/>
        <v>38.30906958785</v>
      </c>
      <c r="O3130" s="528">
        <f t="shared" si="1893"/>
        <v>0.00460829493087558</v>
      </c>
      <c r="P3130" s="529">
        <f t="shared" si="1894"/>
        <v>16.2618604651163</v>
      </c>
      <c r="Q3130" s="24">
        <f t="shared" si="1895"/>
        <v>43</v>
      </c>
      <c r="R3130" s="530">
        <f t="shared" si="1896"/>
        <v>0.0990783410138249</v>
      </c>
    </row>
    <row r="3131" spans="1:18">
      <c r="A3131" s="524"/>
      <c r="B3131" s="540" t="s">
        <v>99</v>
      </c>
      <c r="C3131" s="551">
        <v>1500</v>
      </c>
      <c r="D3131" s="556">
        <v>23989</v>
      </c>
      <c r="E3131" s="551">
        <v>698</v>
      </c>
      <c r="F3131" s="551">
        <v>2</v>
      </c>
      <c r="G3131" s="551">
        <v>38643</v>
      </c>
      <c r="H3131" s="555">
        <v>20</v>
      </c>
      <c r="I3131" s="555">
        <v>0</v>
      </c>
      <c r="J3131" s="555">
        <v>3</v>
      </c>
      <c r="K3131" s="527">
        <f t="shared" ref="K3131:K3194" si="1910">IF(E3131=0,0,E3131/D3131)</f>
        <v>0.0290966693067656</v>
      </c>
      <c r="L3131" s="528">
        <f t="shared" ref="L3131:L3194" si="1911">IF(C3131=0,0,C3131/E3131)</f>
        <v>2.14899713467049</v>
      </c>
      <c r="M3131" s="528">
        <f t="shared" ref="M3131:M3194" si="1912">IF(D3131=0,0,C3131/D3131*1000)</f>
        <v>62.528658968694</v>
      </c>
      <c r="N3131" s="528">
        <f t="shared" ref="N3131:N3194" si="1913">IF(G3131=0,0,G3131/C3131)</f>
        <v>25.762</v>
      </c>
      <c r="O3131" s="528">
        <f t="shared" ref="O3131:O3194" si="1914">IF(F3131=0,0,F3131/E3131)</f>
        <v>0.00286532951289398</v>
      </c>
      <c r="P3131" s="529">
        <f t="shared" ref="P3131:P3194" si="1915">IF(H3131+I3131=0,0,C3131/(H3131+I3131))</f>
        <v>75</v>
      </c>
      <c r="Q3131" s="24">
        <f t="shared" ref="Q3131:Q3194" si="1916">H3131+I3131</f>
        <v>20</v>
      </c>
      <c r="R3131" s="530">
        <f t="shared" ref="R3131:R3194" si="1917">IF(Q3131=0,0,Q3131/E3131)</f>
        <v>0.0286532951289398</v>
      </c>
    </row>
    <row r="3132" spans="1:18">
      <c r="A3132" s="524"/>
      <c r="B3132" s="540" t="s">
        <v>100</v>
      </c>
      <c r="C3132" s="552">
        <v>0</v>
      </c>
      <c r="D3132" s="553">
        <v>0</v>
      </c>
      <c r="E3132" s="553">
        <v>0</v>
      </c>
      <c r="F3132" s="551">
        <v>0</v>
      </c>
      <c r="G3132" s="551">
        <v>0</v>
      </c>
      <c r="H3132" s="551">
        <v>0</v>
      </c>
      <c r="I3132" s="551">
        <v>0</v>
      </c>
      <c r="J3132" s="551">
        <v>0</v>
      </c>
      <c r="K3132" s="527">
        <f t="shared" si="1910"/>
        <v>0</v>
      </c>
      <c r="L3132" s="528">
        <f t="shared" si="1911"/>
        <v>0</v>
      </c>
      <c r="M3132" s="528">
        <f t="shared" si="1912"/>
        <v>0</v>
      </c>
      <c r="N3132" s="528">
        <f t="shared" si="1913"/>
        <v>0</v>
      </c>
      <c r="O3132" s="528">
        <f t="shared" si="1914"/>
        <v>0</v>
      </c>
      <c r="P3132" s="529">
        <f t="shared" si="1915"/>
        <v>0</v>
      </c>
      <c r="Q3132" s="24">
        <f t="shared" si="1916"/>
        <v>0</v>
      </c>
      <c r="R3132" s="530">
        <f t="shared" si="1917"/>
        <v>0</v>
      </c>
    </row>
    <row r="3133" spans="1:18">
      <c r="A3133" s="524"/>
      <c r="B3133" s="540" t="s">
        <v>101</v>
      </c>
      <c r="C3133" s="552">
        <v>0</v>
      </c>
      <c r="D3133" s="553">
        <v>0</v>
      </c>
      <c r="E3133" s="551">
        <v>0</v>
      </c>
      <c r="F3133" s="551">
        <v>0</v>
      </c>
      <c r="G3133" s="551">
        <v>0</v>
      </c>
      <c r="H3133" s="551">
        <v>0</v>
      </c>
      <c r="I3133" s="551">
        <v>0</v>
      </c>
      <c r="J3133" s="551">
        <v>0</v>
      </c>
      <c r="K3133" s="527">
        <f t="shared" si="1910"/>
        <v>0</v>
      </c>
      <c r="L3133" s="528">
        <f t="shared" si="1911"/>
        <v>0</v>
      </c>
      <c r="M3133" s="528">
        <f t="shared" si="1912"/>
        <v>0</v>
      </c>
      <c r="N3133" s="528">
        <f t="shared" si="1913"/>
        <v>0</v>
      </c>
      <c r="O3133" s="528">
        <f t="shared" si="1914"/>
        <v>0</v>
      </c>
      <c r="P3133" s="529">
        <f t="shared" si="1915"/>
        <v>0</v>
      </c>
      <c r="Q3133" s="24">
        <f t="shared" si="1916"/>
        <v>0</v>
      </c>
      <c r="R3133" s="530">
        <f t="shared" si="1917"/>
        <v>0</v>
      </c>
    </row>
    <row r="3134" spans="1:18">
      <c r="A3134" s="524"/>
      <c r="B3134" s="531" t="s">
        <v>96</v>
      </c>
      <c r="C3134" s="533">
        <f t="shared" ref="C3134:J3134" si="1918">SUM(C3130:C3133)</f>
        <v>2199.26</v>
      </c>
      <c r="D3134" s="533">
        <f t="shared" si="1918"/>
        <v>31520</v>
      </c>
      <c r="E3134" s="533">
        <f t="shared" si="1918"/>
        <v>1132</v>
      </c>
      <c r="F3134" s="533">
        <f t="shared" si="1918"/>
        <v>4</v>
      </c>
      <c r="G3134" s="533">
        <f t="shared" si="1918"/>
        <v>65431</v>
      </c>
      <c r="H3134" s="533">
        <f t="shared" si="1918"/>
        <v>53</v>
      </c>
      <c r="I3134" s="533">
        <f t="shared" si="1918"/>
        <v>10</v>
      </c>
      <c r="J3134" s="533">
        <f t="shared" si="1918"/>
        <v>5</v>
      </c>
      <c r="K3134" s="534">
        <f t="shared" si="1910"/>
        <v>0.0359137055837563</v>
      </c>
      <c r="L3134" s="535">
        <f t="shared" si="1911"/>
        <v>1.94280918727915</v>
      </c>
      <c r="M3134" s="535">
        <f t="shared" si="1912"/>
        <v>69.7734771573604</v>
      </c>
      <c r="N3134" s="535">
        <f t="shared" si="1913"/>
        <v>29.7513709156716</v>
      </c>
      <c r="O3134" s="535">
        <f t="shared" si="1914"/>
        <v>0.00353356890459364</v>
      </c>
      <c r="P3134" s="536">
        <f t="shared" si="1915"/>
        <v>34.9088888888889</v>
      </c>
      <c r="Q3134" s="531">
        <f t="shared" si="1916"/>
        <v>63</v>
      </c>
      <c r="R3134" s="537">
        <f t="shared" si="1917"/>
        <v>0.0556537102473498</v>
      </c>
    </row>
    <row r="3135" spans="1:18">
      <c r="A3135" s="524">
        <v>46077</v>
      </c>
      <c r="B3135" s="540" t="s">
        <v>98</v>
      </c>
      <c r="C3135" s="551">
        <v>700</v>
      </c>
      <c r="D3135" s="553">
        <v>6713</v>
      </c>
      <c r="E3135" s="551">
        <v>392</v>
      </c>
      <c r="F3135" s="551">
        <v>4</v>
      </c>
      <c r="G3135" s="551">
        <v>37144</v>
      </c>
      <c r="H3135" s="551">
        <v>36</v>
      </c>
      <c r="I3135" s="551">
        <v>1</v>
      </c>
      <c r="J3135" s="551">
        <v>2</v>
      </c>
      <c r="K3135" s="527">
        <f t="shared" si="1910"/>
        <v>0.0583941605839416</v>
      </c>
      <c r="L3135" s="528">
        <f t="shared" si="1911"/>
        <v>1.78571428571429</v>
      </c>
      <c r="M3135" s="528">
        <f t="shared" si="1912"/>
        <v>104.275286757039</v>
      </c>
      <c r="N3135" s="528">
        <f t="shared" si="1913"/>
        <v>53.0628571428571</v>
      </c>
      <c r="O3135" s="528">
        <f t="shared" si="1914"/>
        <v>0.0102040816326531</v>
      </c>
      <c r="P3135" s="529">
        <f t="shared" si="1915"/>
        <v>18.9189189189189</v>
      </c>
      <c r="Q3135" s="24">
        <f t="shared" si="1916"/>
        <v>37</v>
      </c>
      <c r="R3135" s="530">
        <f t="shared" si="1917"/>
        <v>0.0943877551020408</v>
      </c>
    </row>
    <row r="3136" spans="1:18">
      <c r="A3136" s="524"/>
      <c r="B3136" s="540" t="s">
        <v>99</v>
      </c>
      <c r="C3136" s="551">
        <v>1500</v>
      </c>
      <c r="D3136" s="556">
        <v>14007</v>
      </c>
      <c r="E3136" s="551">
        <v>601</v>
      </c>
      <c r="F3136" s="551">
        <v>0</v>
      </c>
      <c r="G3136" s="551">
        <v>0</v>
      </c>
      <c r="H3136" s="555">
        <v>23</v>
      </c>
      <c r="I3136" s="555">
        <v>2</v>
      </c>
      <c r="J3136" s="555">
        <v>1</v>
      </c>
      <c r="K3136" s="527">
        <f t="shared" si="1910"/>
        <v>0.0429071178696366</v>
      </c>
      <c r="L3136" s="528">
        <f t="shared" si="1911"/>
        <v>2.49584026622296</v>
      </c>
      <c r="M3136" s="528">
        <f t="shared" si="1912"/>
        <v>107.089312486614</v>
      </c>
      <c r="N3136" s="528">
        <f t="shared" si="1913"/>
        <v>0</v>
      </c>
      <c r="O3136" s="528">
        <f t="shared" si="1914"/>
        <v>0</v>
      </c>
      <c r="P3136" s="529">
        <f t="shared" si="1915"/>
        <v>60</v>
      </c>
      <c r="Q3136" s="24">
        <f t="shared" si="1916"/>
        <v>25</v>
      </c>
      <c r="R3136" s="530">
        <f t="shared" si="1917"/>
        <v>0.0415973377703827</v>
      </c>
    </row>
    <row r="3137" spans="1:18">
      <c r="A3137" s="524"/>
      <c r="B3137" s="540" t="s">
        <v>100</v>
      </c>
      <c r="C3137" s="552">
        <v>0</v>
      </c>
      <c r="D3137" s="553">
        <v>0</v>
      </c>
      <c r="E3137" s="553">
        <v>0</v>
      </c>
      <c r="F3137" s="551">
        <v>0</v>
      </c>
      <c r="G3137" s="551">
        <v>0</v>
      </c>
      <c r="H3137" s="551">
        <v>0</v>
      </c>
      <c r="I3137" s="551">
        <v>0</v>
      </c>
      <c r="J3137" s="551">
        <v>0</v>
      </c>
      <c r="K3137" s="527">
        <f t="shared" si="1910"/>
        <v>0</v>
      </c>
      <c r="L3137" s="528">
        <f t="shared" si="1911"/>
        <v>0</v>
      </c>
      <c r="M3137" s="528">
        <f t="shared" si="1912"/>
        <v>0</v>
      </c>
      <c r="N3137" s="528">
        <f t="shared" si="1913"/>
        <v>0</v>
      </c>
      <c r="O3137" s="528">
        <f t="shared" si="1914"/>
        <v>0</v>
      </c>
      <c r="P3137" s="529">
        <f t="shared" si="1915"/>
        <v>0</v>
      </c>
      <c r="Q3137" s="24">
        <f t="shared" si="1916"/>
        <v>0</v>
      </c>
      <c r="R3137" s="530">
        <f t="shared" si="1917"/>
        <v>0</v>
      </c>
    </row>
    <row r="3138" spans="1:18">
      <c r="A3138" s="524"/>
      <c r="B3138" s="540" t="s">
        <v>101</v>
      </c>
      <c r="C3138" s="552">
        <v>0</v>
      </c>
      <c r="D3138" s="553">
        <v>0</v>
      </c>
      <c r="E3138" s="551">
        <v>0</v>
      </c>
      <c r="F3138" s="551">
        <v>0</v>
      </c>
      <c r="G3138" s="551">
        <v>0</v>
      </c>
      <c r="H3138" s="551">
        <v>0</v>
      </c>
      <c r="I3138" s="551">
        <v>0</v>
      </c>
      <c r="J3138" s="551">
        <v>0</v>
      </c>
      <c r="K3138" s="527">
        <f t="shared" si="1910"/>
        <v>0</v>
      </c>
      <c r="L3138" s="528">
        <f t="shared" si="1911"/>
        <v>0</v>
      </c>
      <c r="M3138" s="528">
        <f t="shared" si="1912"/>
        <v>0</v>
      </c>
      <c r="N3138" s="528">
        <f t="shared" si="1913"/>
        <v>0</v>
      </c>
      <c r="O3138" s="528">
        <f t="shared" si="1914"/>
        <v>0</v>
      </c>
      <c r="P3138" s="529">
        <f t="shared" si="1915"/>
        <v>0</v>
      </c>
      <c r="Q3138" s="24">
        <f t="shared" si="1916"/>
        <v>0</v>
      </c>
      <c r="R3138" s="530">
        <f t="shared" si="1917"/>
        <v>0</v>
      </c>
    </row>
    <row r="3139" spans="1:18">
      <c r="A3139" s="524"/>
      <c r="B3139" s="531" t="s">
        <v>96</v>
      </c>
      <c r="C3139" s="533">
        <f t="shared" ref="C3139:J3139" si="1919">SUM(C3135:C3138)</f>
        <v>2200</v>
      </c>
      <c r="D3139" s="533">
        <f t="shared" si="1919"/>
        <v>20720</v>
      </c>
      <c r="E3139" s="533">
        <f t="shared" si="1919"/>
        <v>993</v>
      </c>
      <c r="F3139" s="533">
        <f t="shared" si="1919"/>
        <v>4</v>
      </c>
      <c r="G3139" s="533">
        <f t="shared" si="1919"/>
        <v>37144</v>
      </c>
      <c r="H3139" s="533">
        <f t="shared" si="1919"/>
        <v>59</v>
      </c>
      <c r="I3139" s="533">
        <f t="shared" si="1919"/>
        <v>3</v>
      </c>
      <c r="J3139" s="533">
        <f t="shared" si="1919"/>
        <v>3</v>
      </c>
      <c r="K3139" s="534">
        <f t="shared" si="1910"/>
        <v>0.0479247104247104</v>
      </c>
      <c r="L3139" s="535">
        <f t="shared" si="1911"/>
        <v>2.21550855991944</v>
      </c>
      <c r="M3139" s="535">
        <f t="shared" si="1912"/>
        <v>106.177606177606</v>
      </c>
      <c r="N3139" s="535">
        <f t="shared" si="1913"/>
        <v>16.8836363636364</v>
      </c>
      <c r="O3139" s="535">
        <f t="shared" si="1914"/>
        <v>0.0040281973816717</v>
      </c>
      <c r="P3139" s="536">
        <f t="shared" si="1915"/>
        <v>35.4838709677419</v>
      </c>
      <c r="Q3139" s="531">
        <f t="shared" si="1916"/>
        <v>62</v>
      </c>
      <c r="R3139" s="537">
        <f t="shared" si="1917"/>
        <v>0.0624370594159114</v>
      </c>
    </row>
    <row r="3140" spans="1:18">
      <c r="A3140" s="524">
        <v>46078</v>
      </c>
      <c r="B3140" s="540" t="s">
        <v>98</v>
      </c>
      <c r="C3140" s="551">
        <v>697.06</v>
      </c>
      <c r="D3140" s="553">
        <v>5479</v>
      </c>
      <c r="E3140" s="551">
        <v>407</v>
      </c>
      <c r="F3140" s="551">
        <v>0</v>
      </c>
      <c r="G3140" s="551">
        <v>0</v>
      </c>
      <c r="H3140" s="551">
        <v>25</v>
      </c>
      <c r="I3140" s="551">
        <v>4</v>
      </c>
      <c r="J3140" s="551">
        <v>2</v>
      </c>
      <c r="K3140" s="527">
        <f t="shared" si="1910"/>
        <v>0.074283628399343</v>
      </c>
      <c r="L3140" s="528">
        <f t="shared" si="1911"/>
        <v>1.71267813267813</v>
      </c>
      <c r="M3140" s="528">
        <f t="shared" si="1912"/>
        <v>127.223945975543</v>
      </c>
      <c r="N3140" s="528">
        <f t="shared" si="1913"/>
        <v>0</v>
      </c>
      <c r="O3140" s="528">
        <f t="shared" si="1914"/>
        <v>0</v>
      </c>
      <c r="P3140" s="529">
        <f t="shared" si="1915"/>
        <v>24.0365517241379</v>
      </c>
      <c r="Q3140" s="24">
        <f t="shared" si="1916"/>
        <v>29</v>
      </c>
      <c r="R3140" s="530">
        <f t="shared" si="1917"/>
        <v>0.0712530712530713</v>
      </c>
    </row>
    <row r="3141" spans="1:18">
      <c r="A3141" s="524"/>
      <c r="B3141" s="540" t="s">
        <v>99</v>
      </c>
      <c r="C3141" s="551">
        <v>1440.71</v>
      </c>
      <c r="D3141" s="556">
        <v>14758</v>
      </c>
      <c r="E3141" s="551">
        <v>792</v>
      </c>
      <c r="F3141" s="551">
        <v>1</v>
      </c>
      <c r="G3141" s="551">
        <v>11762</v>
      </c>
      <c r="H3141" s="555">
        <v>19</v>
      </c>
      <c r="I3141" s="555">
        <v>1</v>
      </c>
      <c r="J3141" s="555">
        <v>3</v>
      </c>
      <c r="K3141" s="527">
        <f t="shared" si="1910"/>
        <v>0.0536658083751186</v>
      </c>
      <c r="L3141" s="528">
        <f t="shared" si="1911"/>
        <v>1.81907828282828</v>
      </c>
      <c r="M3141" s="528">
        <f t="shared" si="1912"/>
        <v>97.6223065456024</v>
      </c>
      <c r="N3141" s="528">
        <f t="shared" si="1913"/>
        <v>8.16403023509242</v>
      </c>
      <c r="O3141" s="528">
        <f t="shared" si="1914"/>
        <v>0.00126262626262626</v>
      </c>
      <c r="P3141" s="529">
        <f t="shared" si="1915"/>
        <v>72.0355</v>
      </c>
      <c r="Q3141" s="24">
        <f t="shared" si="1916"/>
        <v>20</v>
      </c>
      <c r="R3141" s="530">
        <f t="shared" si="1917"/>
        <v>0.0252525252525253</v>
      </c>
    </row>
    <row r="3142" spans="1:18">
      <c r="A3142" s="524"/>
      <c r="B3142" s="540" t="s">
        <v>100</v>
      </c>
      <c r="C3142" s="552">
        <v>0</v>
      </c>
      <c r="D3142" s="553">
        <v>0</v>
      </c>
      <c r="E3142" s="553">
        <v>0</v>
      </c>
      <c r="F3142" s="551">
        <v>0</v>
      </c>
      <c r="G3142" s="551">
        <v>0</v>
      </c>
      <c r="H3142" s="551">
        <v>0</v>
      </c>
      <c r="I3142" s="551">
        <v>0</v>
      </c>
      <c r="J3142" s="551">
        <v>0</v>
      </c>
      <c r="K3142" s="527">
        <f t="shared" si="1910"/>
        <v>0</v>
      </c>
      <c r="L3142" s="528">
        <f t="shared" si="1911"/>
        <v>0</v>
      </c>
      <c r="M3142" s="528">
        <f t="shared" si="1912"/>
        <v>0</v>
      </c>
      <c r="N3142" s="528">
        <f t="shared" si="1913"/>
        <v>0</v>
      </c>
      <c r="O3142" s="528">
        <f t="shared" si="1914"/>
        <v>0</v>
      </c>
      <c r="P3142" s="529">
        <f t="shared" si="1915"/>
        <v>0</v>
      </c>
      <c r="Q3142" s="24">
        <f t="shared" si="1916"/>
        <v>0</v>
      </c>
      <c r="R3142" s="530">
        <f t="shared" si="1917"/>
        <v>0</v>
      </c>
    </row>
    <row r="3143" spans="1:18">
      <c r="A3143" s="524"/>
      <c r="B3143" s="540" t="s">
        <v>101</v>
      </c>
      <c r="C3143" s="552">
        <v>403.57</v>
      </c>
      <c r="D3143" s="553">
        <v>5243</v>
      </c>
      <c r="E3143" s="551">
        <v>320</v>
      </c>
      <c r="F3143" s="551">
        <v>1</v>
      </c>
      <c r="G3143" s="551">
        <v>24828</v>
      </c>
      <c r="H3143" s="551">
        <v>14</v>
      </c>
      <c r="I3143" s="551">
        <v>1</v>
      </c>
      <c r="J3143" s="551">
        <v>4</v>
      </c>
      <c r="K3143" s="527">
        <f t="shared" si="1910"/>
        <v>0.0610337592981118</v>
      </c>
      <c r="L3143" s="528">
        <f t="shared" si="1911"/>
        <v>1.26115625</v>
      </c>
      <c r="M3143" s="528">
        <f t="shared" si="1912"/>
        <v>76.9731069998093</v>
      </c>
      <c r="N3143" s="528">
        <f t="shared" si="1913"/>
        <v>61.5209257377902</v>
      </c>
      <c r="O3143" s="528">
        <f t="shared" si="1914"/>
        <v>0.003125</v>
      </c>
      <c r="P3143" s="529">
        <f t="shared" si="1915"/>
        <v>26.9046666666667</v>
      </c>
      <c r="Q3143" s="24">
        <f t="shared" si="1916"/>
        <v>15</v>
      </c>
      <c r="R3143" s="530">
        <f t="shared" si="1917"/>
        <v>0.046875</v>
      </c>
    </row>
    <row r="3144" spans="1:18">
      <c r="A3144" s="524"/>
      <c r="B3144" s="531" t="s">
        <v>96</v>
      </c>
      <c r="C3144" s="533">
        <f t="shared" ref="C3144:J3144" si="1920">SUM(C3140:C3143)</f>
        <v>2541.34</v>
      </c>
      <c r="D3144" s="533">
        <f t="shared" si="1920"/>
        <v>25480</v>
      </c>
      <c r="E3144" s="533">
        <f t="shared" si="1920"/>
        <v>1519</v>
      </c>
      <c r="F3144" s="533">
        <f t="shared" si="1920"/>
        <v>2</v>
      </c>
      <c r="G3144" s="533">
        <f t="shared" si="1920"/>
        <v>36590</v>
      </c>
      <c r="H3144" s="533">
        <f t="shared" si="1920"/>
        <v>58</v>
      </c>
      <c r="I3144" s="533">
        <f t="shared" si="1920"/>
        <v>6</v>
      </c>
      <c r="J3144" s="533">
        <f t="shared" si="1920"/>
        <v>9</v>
      </c>
      <c r="K3144" s="534">
        <f t="shared" si="1910"/>
        <v>0.0596153846153846</v>
      </c>
      <c r="L3144" s="535">
        <f t="shared" si="1911"/>
        <v>1.67303489137591</v>
      </c>
      <c r="M3144" s="535">
        <f t="shared" si="1912"/>
        <v>99.7386185243328</v>
      </c>
      <c r="N3144" s="535">
        <f t="shared" si="1913"/>
        <v>14.3979160600313</v>
      </c>
      <c r="O3144" s="535">
        <f t="shared" si="1914"/>
        <v>0.00131665569453588</v>
      </c>
      <c r="P3144" s="536">
        <f t="shared" si="1915"/>
        <v>39.7084375</v>
      </c>
      <c r="Q3144" s="531">
        <f t="shared" si="1916"/>
        <v>64</v>
      </c>
      <c r="R3144" s="537">
        <f t="shared" si="1917"/>
        <v>0.0421329822251481</v>
      </c>
    </row>
    <row r="3145" spans="1:18">
      <c r="A3145" s="524">
        <v>46079</v>
      </c>
      <c r="B3145" s="540" t="s">
        <v>98</v>
      </c>
      <c r="C3145" s="551">
        <v>699.15</v>
      </c>
      <c r="D3145" s="553">
        <v>8324</v>
      </c>
      <c r="E3145" s="551">
        <v>426</v>
      </c>
      <c r="F3145" s="551">
        <v>1</v>
      </c>
      <c r="G3145" s="551">
        <v>9200</v>
      </c>
      <c r="H3145" s="551">
        <v>43</v>
      </c>
      <c r="I3145" s="551">
        <v>7</v>
      </c>
      <c r="J3145" s="551">
        <v>3</v>
      </c>
      <c r="K3145" s="527">
        <f t="shared" si="1910"/>
        <v>0.0511773185968284</v>
      </c>
      <c r="L3145" s="528">
        <f t="shared" si="1911"/>
        <v>1.64119718309859</v>
      </c>
      <c r="M3145" s="528">
        <f t="shared" si="1912"/>
        <v>83.992071119654</v>
      </c>
      <c r="N3145" s="528">
        <f t="shared" si="1913"/>
        <v>13.1588357290996</v>
      </c>
      <c r="O3145" s="528">
        <f t="shared" si="1914"/>
        <v>0.00234741784037559</v>
      </c>
      <c r="P3145" s="529">
        <f t="shared" si="1915"/>
        <v>13.983</v>
      </c>
      <c r="Q3145" s="24">
        <f t="shared" si="1916"/>
        <v>50</v>
      </c>
      <c r="R3145" s="530">
        <f t="shared" si="1917"/>
        <v>0.117370892018779</v>
      </c>
    </row>
    <row r="3146" spans="1:18">
      <c r="A3146" s="524"/>
      <c r="B3146" s="540" t="s">
        <v>99</v>
      </c>
      <c r="C3146" s="551">
        <v>2000</v>
      </c>
      <c r="D3146" s="556">
        <v>12367</v>
      </c>
      <c r="E3146" s="551">
        <v>877</v>
      </c>
      <c r="F3146" s="551">
        <v>2</v>
      </c>
      <c r="G3146" s="551">
        <v>25784</v>
      </c>
      <c r="H3146" s="555">
        <v>29</v>
      </c>
      <c r="I3146" s="555">
        <v>1</v>
      </c>
      <c r="J3146" s="555">
        <v>1</v>
      </c>
      <c r="K3146" s="527">
        <f t="shared" si="1910"/>
        <v>0.0709145306056441</v>
      </c>
      <c r="L3146" s="528">
        <f t="shared" si="1911"/>
        <v>2.28050171037628</v>
      </c>
      <c r="M3146" s="528">
        <f t="shared" si="1912"/>
        <v>161.720708336703</v>
      </c>
      <c r="N3146" s="528">
        <f t="shared" si="1913"/>
        <v>12.892</v>
      </c>
      <c r="O3146" s="528">
        <f t="shared" si="1914"/>
        <v>0.00228050171037628</v>
      </c>
      <c r="P3146" s="529">
        <f t="shared" si="1915"/>
        <v>66.6666666666667</v>
      </c>
      <c r="Q3146" s="24">
        <f t="shared" si="1916"/>
        <v>30</v>
      </c>
      <c r="R3146" s="530">
        <f t="shared" si="1917"/>
        <v>0.0342075256556442</v>
      </c>
    </row>
    <row r="3147" spans="1:18">
      <c r="A3147" s="524"/>
      <c r="B3147" s="540" t="s">
        <v>100</v>
      </c>
      <c r="C3147" s="552">
        <v>0</v>
      </c>
      <c r="D3147" s="553">
        <v>0</v>
      </c>
      <c r="E3147" s="553">
        <v>0</v>
      </c>
      <c r="F3147" s="551">
        <v>0</v>
      </c>
      <c r="G3147" s="551">
        <v>0</v>
      </c>
      <c r="H3147" s="551">
        <v>0</v>
      </c>
      <c r="I3147" s="551">
        <v>0</v>
      </c>
      <c r="J3147" s="551">
        <v>0</v>
      </c>
      <c r="K3147" s="527">
        <f t="shared" si="1910"/>
        <v>0</v>
      </c>
      <c r="L3147" s="528">
        <f t="shared" si="1911"/>
        <v>0</v>
      </c>
      <c r="M3147" s="528">
        <f t="shared" si="1912"/>
        <v>0</v>
      </c>
      <c r="N3147" s="528">
        <f t="shared" si="1913"/>
        <v>0</v>
      </c>
      <c r="O3147" s="528">
        <f t="shared" si="1914"/>
        <v>0</v>
      </c>
      <c r="P3147" s="529">
        <f t="shared" si="1915"/>
        <v>0</v>
      </c>
      <c r="Q3147" s="24">
        <f t="shared" si="1916"/>
        <v>0</v>
      </c>
      <c r="R3147" s="530">
        <f t="shared" si="1917"/>
        <v>0</v>
      </c>
    </row>
    <row r="3148" spans="1:18">
      <c r="A3148" s="524"/>
      <c r="B3148" s="540" t="s">
        <v>101</v>
      </c>
      <c r="C3148" s="552">
        <v>324.68</v>
      </c>
      <c r="D3148" s="553">
        <v>14514</v>
      </c>
      <c r="E3148" s="551">
        <v>942</v>
      </c>
      <c r="F3148" s="551">
        <v>0</v>
      </c>
      <c r="G3148" s="551">
        <v>0</v>
      </c>
      <c r="H3148" s="551">
        <v>22</v>
      </c>
      <c r="I3148" s="551">
        <v>3</v>
      </c>
      <c r="J3148" s="551">
        <v>1</v>
      </c>
      <c r="K3148" s="527">
        <f t="shared" si="1910"/>
        <v>0.0649028524183547</v>
      </c>
      <c r="L3148" s="528">
        <f t="shared" si="1911"/>
        <v>0.344670912951168</v>
      </c>
      <c r="M3148" s="528">
        <f t="shared" si="1912"/>
        <v>22.3701253961692</v>
      </c>
      <c r="N3148" s="528">
        <f t="shared" si="1913"/>
        <v>0</v>
      </c>
      <c r="O3148" s="528">
        <f t="shared" si="1914"/>
        <v>0</v>
      </c>
      <c r="P3148" s="529">
        <f t="shared" si="1915"/>
        <v>12.9872</v>
      </c>
      <c r="Q3148" s="24">
        <f t="shared" si="1916"/>
        <v>25</v>
      </c>
      <c r="R3148" s="530">
        <f t="shared" si="1917"/>
        <v>0.0265392781316348</v>
      </c>
    </row>
    <row r="3149" spans="1:18">
      <c r="A3149" s="524"/>
      <c r="B3149" s="531" t="s">
        <v>96</v>
      </c>
      <c r="C3149" s="533">
        <f t="shared" ref="C3149:J3149" si="1921">SUM(C3145:C3148)</f>
        <v>3023.83</v>
      </c>
      <c r="D3149" s="533">
        <f t="shared" si="1921"/>
        <v>35205</v>
      </c>
      <c r="E3149" s="533">
        <f t="shared" si="1921"/>
        <v>2245</v>
      </c>
      <c r="F3149" s="533">
        <f t="shared" si="1921"/>
        <v>3</v>
      </c>
      <c r="G3149" s="533">
        <f t="shared" si="1921"/>
        <v>34984</v>
      </c>
      <c r="H3149" s="533">
        <f t="shared" si="1921"/>
        <v>94</v>
      </c>
      <c r="I3149" s="533">
        <f t="shared" si="1921"/>
        <v>11</v>
      </c>
      <c r="J3149" s="533">
        <f t="shared" si="1921"/>
        <v>5</v>
      </c>
      <c r="K3149" s="534">
        <f t="shared" si="1910"/>
        <v>0.0637693509444681</v>
      </c>
      <c r="L3149" s="535">
        <f t="shared" si="1911"/>
        <v>1.34691759465479</v>
      </c>
      <c r="M3149" s="535">
        <f t="shared" si="1912"/>
        <v>85.89206078682</v>
      </c>
      <c r="N3149" s="535">
        <f t="shared" si="1913"/>
        <v>11.5694334668285</v>
      </c>
      <c r="O3149" s="535">
        <f t="shared" si="1914"/>
        <v>0.00133630289532294</v>
      </c>
      <c r="P3149" s="536">
        <f t="shared" si="1915"/>
        <v>28.798380952381</v>
      </c>
      <c r="Q3149" s="531">
        <f t="shared" si="1916"/>
        <v>105</v>
      </c>
      <c r="R3149" s="537">
        <f t="shared" si="1917"/>
        <v>0.0467706013363029</v>
      </c>
    </row>
    <row r="3150" spans="1:18">
      <c r="A3150" s="524">
        <v>46080</v>
      </c>
      <c r="B3150" s="540" t="s">
        <v>98</v>
      </c>
      <c r="C3150" s="551">
        <v>700</v>
      </c>
      <c r="D3150" s="553">
        <v>5912</v>
      </c>
      <c r="E3150" s="551">
        <v>367</v>
      </c>
      <c r="F3150" s="551">
        <v>1</v>
      </c>
      <c r="G3150" s="551">
        <v>7590</v>
      </c>
      <c r="H3150" s="551">
        <v>28</v>
      </c>
      <c r="I3150" s="551">
        <v>3</v>
      </c>
      <c r="J3150" s="551">
        <v>1</v>
      </c>
      <c r="K3150" s="527">
        <f t="shared" si="1910"/>
        <v>0.0620771312584574</v>
      </c>
      <c r="L3150" s="528">
        <f t="shared" si="1911"/>
        <v>1.90735694822888</v>
      </c>
      <c r="M3150" s="528">
        <f t="shared" si="1912"/>
        <v>118.403247631935</v>
      </c>
      <c r="N3150" s="528">
        <f t="shared" si="1913"/>
        <v>10.8428571428571</v>
      </c>
      <c r="O3150" s="528">
        <f t="shared" si="1914"/>
        <v>0.00272479564032698</v>
      </c>
      <c r="P3150" s="529">
        <f t="shared" si="1915"/>
        <v>22.5806451612903</v>
      </c>
      <c r="Q3150" s="24">
        <f t="shared" si="1916"/>
        <v>31</v>
      </c>
      <c r="R3150" s="530">
        <f t="shared" si="1917"/>
        <v>0.0844686648501362</v>
      </c>
    </row>
    <row r="3151" spans="1:18">
      <c r="A3151" s="524"/>
      <c r="B3151" s="540" t="s">
        <v>99</v>
      </c>
      <c r="C3151" s="551">
        <v>0</v>
      </c>
      <c r="D3151" s="556">
        <v>0</v>
      </c>
      <c r="E3151" s="551">
        <v>0</v>
      </c>
      <c r="F3151" s="551">
        <v>0</v>
      </c>
      <c r="G3151" s="551">
        <v>0</v>
      </c>
      <c r="H3151" s="555">
        <v>0</v>
      </c>
      <c r="I3151" s="555">
        <v>0</v>
      </c>
      <c r="J3151" s="555">
        <v>0</v>
      </c>
      <c r="K3151" s="527">
        <f t="shared" si="1910"/>
        <v>0</v>
      </c>
      <c r="L3151" s="528">
        <f t="shared" si="1911"/>
        <v>0</v>
      </c>
      <c r="M3151" s="528">
        <f t="shared" si="1912"/>
        <v>0</v>
      </c>
      <c r="N3151" s="528">
        <f t="shared" si="1913"/>
        <v>0</v>
      </c>
      <c r="O3151" s="528">
        <f t="shared" si="1914"/>
        <v>0</v>
      </c>
      <c r="P3151" s="529">
        <f t="shared" si="1915"/>
        <v>0</v>
      </c>
      <c r="Q3151" s="24">
        <f t="shared" si="1916"/>
        <v>0</v>
      </c>
      <c r="R3151" s="530">
        <f t="shared" si="1917"/>
        <v>0</v>
      </c>
    </row>
    <row r="3152" spans="1:18">
      <c r="A3152" s="524"/>
      <c r="B3152" s="540" t="s">
        <v>100</v>
      </c>
      <c r="C3152" s="552">
        <v>0</v>
      </c>
      <c r="D3152" s="553">
        <v>0</v>
      </c>
      <c r="E3152" s="553">
        <v>0</v>
      </c>
      <c r="F3152" s="551">
        <v>0</v>
      </c>
      <c r="G3152" s="551">
        <v>0</v>
      </c>
      <c r="H3152" s="551">
        <v>0</v>
      </c>
      <c r="I3152" s="551">
        <v>0</v>
      </c>
      <c r="J3152" s="551">
        <v>0</v>
      </c>
      <c r="K3152" s="527">
        <f t="shared" si="1910"/>
        <v>0</v>
      </c>
      <c r="L3152" s="528">
        <f t="shared" si="1911"/>
        <v>0</v>
      </c>
      <c r="M3152" s="528">
        <f t="shared" si="1912"/>
        <v>0</v>
      </c>
      <c r="N3152" s="528">
        <f t="shared" si="1913"/>
        <v>0</v>
      </c>
      <c r="O3152" s="528">
        <f t="shared" si="1914"/>
        <v>0</v>
      </c>
      <c r="P3152" s="529">
        <f t="shared" si="1915"/>
        <v>0</v>
      </c>
      <c r="Q3152" s="24">
        <f t="shared" si="1916"/>
        <v>0</v>
      </c>
      <c r="R3152" s="530">
        <f t="shared" si="1917"/>
        <v>0</v>
      </c>
    </row>
    <row r="3153" spans="1:18">
      <c r="A3153" s="524"/>
      <c r="B3153" s="540" t="s">
        <v>101</v>
      </c>
      <c r="C3153" s="552">
        <v>651.62</v>
      </c>
      <c r="D3153" s="553">
        <v>8993</v>
      </c>
      <c r="E3153" s="551">
        <v>512</v>
      </c>
      <c r="F3153" s="551">
        <v>3</v>
      </c>
      <c r="G3153" s="551">
        <v>24174</v>
      </c>
      <c r="H3153" s="551">
        <v>39</v>
      </c>
      <c r="I3153" s="551">
        <v>3</v>
      </c>
      <c r="J3153" s="551">
        <v>3</v>
      </c>
      <c r="K3153" s="527">
        <f t="shared" si="1910"/>
        <v>0.0569331702435227</v>
      </c>
      <c r="L3153" s="528">
        <f t="shared" si="1911"/>
        <v>1.2726953125</v>
      </c>
      <c r="M3153" s="528">
        <f t="shared" si="1912"/>
        <v>72.4585788946959</v>
      </c>
      <c r="N3153" s="528">
        <f t="shared" si="1913"/>
        <v>37.0983088302999</v>
      </c>
      <c r="O3153" s="528">
        <f t="shared" si="1914"/>
        <v>0.005859375</v>
      </c>
      <c r="P3153" s="529">
        <f t="shared" si="1915"/>
        <v>15.5147619047619</v>
      </c>
      <c r="Q3153" s="24">
        <f t="shared" si="1916"/>
        <v>42</v>
      </c>
      <c r="R3153" s="530">
        <f t="shared" si="1917"/>
        <v>0.08203125</v>
      </c>
    </row>
    <row r="3154" spans="1:18">
      <c r="A3154" s="524"/>
      <c r="B3154" s="531" t="s">
        <v>96</v>
      </c>
      <c r="C3154" s="533">
        <f t="shared" ref="C3154:J3154" si="1922">SUM(C3150:C3153)</f>
        <v>1351.62</v>
      </c>
      <c r="D3154" s="533">
        <f t="shared" si="1922"/>
        <v>14905</v>
      </c>
      <c r="E3154" s="533">
        <f t="shared" si="1922"/>
        <v>879</v>
      </c>
      <c r="F3154" s="533">
        <f t="shared" si="1922"/>
        <v>4</v>
      </c>
      <c r="G3154" s="533">
        <f t="shared" si="1922"/>
        <v>31764</v>
      </c>
      <c r="H3154" s="533">
        <f t="shared" si="1922"/>
        <v>67</v>
      </c>
      <c r="I3154" s="533">
        <f t="shared" si="1922"/>
        <v>6</v>
      </c>
      <c r="J3154" s="533">
        <f t="shared" si="1922"/>
        <v>4</v>
      </c>
      <c r="K3154" s="534">
        <f t="shared" si="1910"/>
        <v>0.0589734988258973</v>
      </c>
      <c r="L3154" s="535">
        <f t="shared" si="1911"/>
        <v>1.53767918088737</v>
      </c>
      <c r="M3154" s="535">
        <f t="shared" si="1912"/>
        <v>90.6823213686682</v>
      </c>
      <c r="N3154" s="535">
        <f t="shared" si="1913"/>
        <v>23.500688063213</v>
      </c>
      <c r="O3154" s="535">
        <f t="shared" si="1914"/>
        <v>0.00455062571103527</v>
      </c>
      <c r="P3154" s="536">
        <f t="shared" si="1915"/>
        <v>18.5153424657534</v>
      </c>
      <c r="Q3154" s="531">
        <f t="shared" si="1916"/>
        <v>73</v>
      </c>
      <c r="R3154" s="537">
        <f t="shared" si="1917"/>
        <v>0.0830489192263936</v>
      </c>
    </row>
    <row r="3155" spans="1:18">
      <c r="A3155" s="524">
        <v>46081</v>
      </c>
      <c r="B3155" s="540" t="s">
        <v>98</v>
      </c>
      <c r="C3155" s="551">
        <v>700</v>
      </c>
      <c r="D3155" s="553">
        <v>6584</v>
      </c>
      <c r="E3155" s="551">
        <v>357</v>
      </c>
      <c r="F3155" s="551">
        <v>0</v>
      </c>
      <c r="G3155" s="551">
        <v>0</v>
      </c>
      <c r="H3155" s="551">
        <v>29</v>
      </c>
      <c r="I3155" s="551">
        <v>6</v>
      </c>
      <c r="J3155" s="551">
        <v>1</v>
      </c>
      <c r="K3155" s="527">
        <f t="shared" si="1910"/>
        <v>0.0542223572296476</v>
      </c>
      <c r="L3155" s="528">
        <f t="shared" si="1911"/>
        <v>1.96078431372549</v>
      </c>
      <c r="M3155" s="528">
        <f t="shared" si="1912"/>
        <v>106.318347509113</v>
      </c>
      <c r="N3155" s="528">
        <f t="shared" si="1913"/>
        <v>0</v>
      </c>
      <c r="O3155" s="528">
        <f t="shared" si="1914"/>
        <v>0</v>
      </c>
      <c r="P3155" s="529">
        <f t="shared" si="1915"/>
        <v>20</v>
      </c>
      <c r="Q3155" s="24">
        <f t="shared" si="1916"/>
        <v>35</v>
      </c>
      <c r="R3155" s="530">
        <f t="shared" si="1917"/>
        <v>0.0980392156862745</v>
      </c>
    </row>
    <row r="3156" spans="1:18">
      <c r="A3156" s="524"/>
      <c r="B3156" s="540" t="s">
        <v>99</v>
      </c>
      <c r="C3156" s="551">
        <v>0</v>
      </c>
      <c r="D3156" s="556">
        <v>0</v>
      </c>
      <c r="E3156" s="551">
        <v>0</v>
      </c>
      <c r="F3156" s="551">
        <v>0</v>
      </c>
      <c r="G3156" s="551">
        <v>0</v>
      </c>
      <c r="H3156" s="555">
        <v>0</v>
      </c>
      <c r="I3156" s="555">
        <v>0</v>
      </c>
      <c r="J3156" s="555">
        <v>0</v>
      </c>
      <c r="K3156" s="527">
        <f t="shared" si="1910"/>
        <v>0</v>
      </c>
      <c r="L3156" s="528">
        <f t="shared" si="1911"/>
        <v>0</v>
      </c>
      <c r="M3156" s="528">
        <f t="shared" si="1912"/>
        <v>0</v>
      </c>
      <c r="N3156" s="528">
        <f t="shared" si="1913"/>
        <v>0</v>
      </c>
      <c r="O3156" s="528">
        <f t="shared" si="1914"/>
        <v>0</v>
      </c>
      <c r="P3156" s="529">
        <f t="shared" si="1915"/>
        <v>0</v>
      </c>
      <c r="Q3156" s="24">
        <f t="shared" si="1916"/>
        <v>0</v>
      </c>
      <c r="R3156" s="530">
        <f t="shared" si="1917"/>
        <v>0</v>
      </c>
    </row>
    <row r="3157" spans="1:18">
      <c r="A3157" s="524"/>
      <c r="B3157" s="540" t="s">
        <v>100</v>
      </c>
      <c r="C3157" s="552">
        <v>0</v>
      </c>
      <c r="D3157" s="553">
        <v>0</v>
      </c>
      <c r="E3157" s="553">
        <v>0</v>
      </c>
      <c r="F3157" s="551">
        <v>0</v>
      </c>
      <c r="G3157" s="551">
        <v>0</v>
      </c>
      <c r="H3157" s="551">
        <v>0</v>
      </c>
      <c r="I3157" s="551">
        <v>0</v>
      </c>
      <c r="J3157" s="551">
        <v>0</v>
      </c>
      <c r="K3157" s="527">
        <f t="shared" si="1910"/>
        <v>0</v>
      </c>
      <c r="L3157" s="528">
        <f t="shared" si="1911"/>
        <v>0</v>
      </c>
      <c r="M3157" s="528">
        <f t="shared" si="1912"/>
        <v>0</v>
      </c>
      <c r="N3157" s="528">
        <f t="shared" si="1913"/>
        <v>0</v>
      </c>
      <c r="O3157" s="528">
        <f t="shared" si="1914"/>
        <v>0</v>
      </c>
      <c r="P3157" s="529">
        <f t="shared" si="1915"/>
        <v>0</v>
      </c>
      <c r="Q3157" s="24">
        <f t="shared" si="1916"/>
        <v>0</v>
      </c>
      <c r="R3157" s="530">
        <f t="shared" si="1917"/>
        <v>0</v>
      </c>
    </row>
    <row r="3158" spans="1:18">
      <c r="A3158" s="524"/>
      <c r="B3158" s="540" t="s">
        <v>101</v>
      </c>
      <c r="C3158" s="552">
        <v>659.44</v>
      </c>
      <c r="D3158" s="553">
        <v>9074</v>
      </c>
      <c r="E3158" s="551">
        <v>526</v>
      </c>
      <c r="F3158" s="551">
        <v>1</v>
      </c>
      <c r="G3158" s="551">
        <v>18434</v>
      </c>
      <c r="H3158" s="551">
        <v>39</v>
      </c>
      <c r="I3158" s="551">
        <v>2</v>
      </c>
      <c r="J3158" s="551">
        <v>4</v>
      </c>
      <c r="K3158" s="527">
        <f t="shared" si="1910"/>
        <v>0.0579678201454706</v>
      </c>
      <c r="L3158" s="528">
        <f t="shared" si="1911"/>
        <v>1.25368821292776</v>
      </c>
      <c r="M3158" s="528">
        <f t="shared" si="1912"/>
        <v>72.6735728454926</v>
      </c>
      <c r="N3158" s="528">
        <f t="shared" si="1913"/>
        <v>27.9540215940798</v>
      </c>
      <c r="O3158" s="528">
        <f t="shared" si="1914"/>
        <v>0.00190114068441065</v>
      </c>
      <c r="P3158" s="529">
        <f t="shared" si="1915"/>
        <v>16.0839024390244</v>
      </c>
      <c r="Q3158" s="24">
        <f t="shared" si="1916"/>
        <v>41</v>
      </c>
      <c r="R3158" s="530">
        <f t="shared" si="1917"/>
        <v>0.0779467680608365</v>
      </c>
    </row>
    <row r="3159" spans="1:18">
      <c r="A3159" s="524"/>
      <c r="B3159" s="531" t="s">
        <v>96</v>
      </c>
      <c r="C3159" s="533">
        <f t="shared" ref="C3159:J3159" si="1923">SUM(C3155:C3158)</f>
        <v>1359.44</v>
      </c>
      <c r="D3159" s="533">
        <f t="shared" si="1923"/>
        <v>15658</v>
      </c>
      <c r="E3159" s="533">
        <f t="shared" si="1923"/>
        <v>883</v>
      </c>
      <c r="F3159" s="533">
        <f t="shared" si="1923"/>
        <v>1</v>
      </c>
      <c r="G3159" s="533">
        <f t="shared" si="1923"/>
        <v>18434</v>
      </c>
      <c r="H3159" s="533">
        <f t="shared" si="1923"/>
        <v>68</v>
      </c>
      <c r="I3159" s="533">
        <f t="shared" si="1923"/>
        <v>8</v>
      </c>
      <c r="J3159" s="533">
        <f t="shared" si="1923"/>
        <v>5</v>
      </c>
      <c r="K3159" s="534">
        <f t="shared" si="1910"/>
        <v>0.0563928981990037</v>
      </c>
      <c r="L3159" s="535">
        <f t="shared" si="1911"/>
        <v>1.53956964892412</v>
      </c>
      <c r="M3159" s="535">
        <f t="shared" si="1912"/>
        <v>86.8207944820539</v>
      </c>
      <c r="N3159" s="535">
        <f t="shared" si="1913"/>
        <v>13.5599952921791</v>
      </c>
      <c r="O3159" s="535">
        <f t="shared" si="1914"/>
        <v>0.00113250283125708</v>
      </c>
      <c r="P3159" s="536">
        <f t="shared" si="1915"/>
        <v>17.8873684210526</v>
      </c>
      <c r="Q3159" s="531">
        <f t="shared" si="1916"/>
        <v>76</v>
      </c>
      <c r="R3159" s="537">
        <f t="shared" si="1917"/>
        <v>0.0860702151755379</v>
      </c>
    </row>
    <row r="3160" spans="1:18">
      <c r="A3160" s="524">
        <v>46082</v>
      </c>
      <c r="B3160" s="540" t="s">
        <v>98</v>
      </c>
      <c r="C3160" s="551">
        <v>700</v>
      </c>
      <c r="D3160" s="553">
        <v>6442</v>
      </c>
      <c r="E3160" s="551">
        <v>364</v>
      </c>
      <c r="F3160" s="551">
        <v>1</v>
      </c>
      <c r="G3160" s="551">
        <v>11912</v>
      </c>
      <c r="H3160" s="551">
        <v>27</v>
      </c>
      <c r="I3160" s="551">
        <v>5</v>
      </c>
      <c r="J3160" s="551">
        <v>1</v>
      </c>
      <c r="K3160" s="527">
        <f t="shared" si="1910"/>
        <v>0.056504191244955</v>
      </c>
      <c r="L3160" s="528">
        <f t="shared" si="1911"/>
        <v>1.92307692307692</v>
      </c>
      <c r="M3160" s="528">
        <f t="shared" si="1912"/>
        <v>108.661906240298</v>
      </c>
      <c r="N3160" s="528">
        <f t="shared" si="1913"/>
        <v>17.0171428571429</v>
      </c>
      <c r="O3160" s="528">
        <f t="shared" si="1914"/>
        <v>0.00274725274725275</v>
      </c>
      <c r="P3160" s="529">
        <f t="shared" si="1915"/>
        <v>21.875</v>
      </c>
      <c r="Q3160" s="24">
        <f t="shared" si="1916"/>
        <v>32</v>
      </c>
      <c r="R3160" s="530">
        <f t="shared" si="1917"/>
        <v>0.0879120879120879</v>
      </c>
    </row>
    <row r="3161" spans="1:18">
      <c r="A3161" s="524"/>
      <c r="B3161" s="540" t="s">
        <v>99</v>
      </c>
      <c r="C3161" s="551">
        <v>1489.62</v>
      </c>
      <c r="D3161" s="556">
        <v>21650</v>
      </c>
      <c r="E3161" s="551">
        <v>586</v>
      </c>
      <c r="F3161" s="551">
        <v>0</v>
      </c>
      <c r="G3161" s="551">
        <v>0</v>
      </c>
      <c r="H3161" s="555">
        <v>21</v>
      </c>
      <c r="I3161" s="555">
        <v>2</v>
      </c>
      <c r="J3161" s="555">
        <v>3</v>
      </c>
      <c r="K3161" s="527">
        <f t="shared" si="1910"/>
        <v>0.027066974595843</v>
      </c>
      <c r="L3161" s="528">
        <f t="shared" si="1911"/>
        <v>2.54201365187713</v>
      </c>
      <c r="M3161" s="528">
        <f t="shared" si="1912"/>
        <v>68.8046189376443</v>
      </c>
      <c r="N3161" s="528">
        <f t="shared" si="1913"/>
        <v>0</v>
      </c>
      <c r="O3161" s="528">
        <f t="shared" si="1914"/>
        <v>0</v>
      </c>
      <c r="P3161" s="529">
        <f t="shared" si="1915"/>
        <v>64.7660869565217</v>
      </c>
      <c r="Q3161" s="24">
        <f t="shared" si="1916"/>
        <v>23</v>
      </c>
      <c r="R3161" s="530">
        <f t="shared" si="1917"/>
        <v>0.0392491467576792</v>
      </c>
    </row>
    <row r="3162" spans="1:18">
      <c r="A3162" s="524"/>
      <c r="B3162" s="540" t="s">
        <v>100</v>
      </c>
      <c r="C3162" s="552">
        <v>0</v>
      </c>
      <c r="D3162" s="553">
        <v>0</v>
      </c>
      <c r="E3162" s="553">
        <v>0</v>
      </c>
      <c r="F3162" s="551">
        <v>0</v>
      </c>
      <c r="G3162" s="551">
        <v>0</v>
      </c>
      <c r="H3162" s="551">
        <v>0</v>
      </c>
      <c r="I3162" s="551">
        <v>0</v>
      </c>
      <c r="J3162" s="551">
        <v>0</v>
      </c>
      <c r="K3162" s="527">
        <f t="shared" si="1910"/>
        <v>0</v>
      </c>
      <c r="L3162" s="528">
        <f t="shared" si="1911"/>
        <v>0</v>
      </c>
      <c r="M3162" s="528">
        <f t="shared" si="1912"/>
        <v>0</v>
      </c>
      <c r="N3162" s="528">
        <f t="shared" si="1913"/>
        <v>0</v>
      </c>
      <c r="O3162" s="528">
        <f t="shared" si="1914"/>
        <v>0</v>
      </c>
      <c r="P3162" s="529">
        <f t="shared" si="1915"/>
        <v>0</v>
      </c>
      <c r="Q3162" s="24">
        <f t="shared" si="1916"/>
        <v>0</v>
      </c>
      <c r="R3162" s="530">
        <f t="shared" si="1917"/>
        <v>0</v>
      </c>
    </row>
    <row r="3163" spans="1:18">
      <c r="A3163" s="524"/>
      <c r="B3163" s="540" t="s">
        <v>101</v>
      </c>
      <c r="C3163" s="552">
        <v>838.98</v>
      </c>
      <c r="D3163" s="553">
        <v>7939</v>
      </c>
      <c r="E3163" s="551">
        <v>434</v>
      </c>
      <c r="F3163" s="551">
        <v>0</v>
      </c>
      <c r="G3163" s="551">
        <v>0</v>
      </c>
      <c r="H3163" s="551">
        <v>21</v>
      </c>
      <c r="I3163" s="551">
        <v>1</v>
      </c>
      <c r="J3163" s="551">
        <v>0</v>
      </c>
      <c r="K3163" s="527">
        <f t="shared" si="1910"/>
        <v>0.0546668346139312</v>
      </c>
      <c r="L3163" s="528">
        <f t="shared" si="1911"/>
        <v>1.933133640553</v>
      </c>
      <c r="M3163" s="528">
        <f t="shared" si="1912"/>
        <v>105.678297014737</v>
      </c>
      <c r="N3163" s="528">
        <f t="shared" si="1913"/>
        <v>0</v>
      </c>
      <c r="O3163" s="528">
        <f t="shared" si="1914"/>
        <v>0</v>
      </c>
      <c r="P3163" s="529">
        <f t="shared" si="1915"/>
        <v>38.1354545454545</v>
      </c>
      <c r="Q3163" s="24">
        <f t="shared" si="1916"/>
        <v>22</v>
      </c>
      <c r="R3163" s="530">
        <f t="shared" si="1917"/>
        <v>0.0506912442396313</v>
      </c>
    </row>
    <row r="3164" spans="1:18">
      <c r="A3164" s="524"/>
      <c r="B3164" s="531" t="s">
        <v>96</v>
      </c>
      <c r="C3164" s="533">
        <f t="shared" ref="C3164:J3164" si="1924">SUM(C3160:C3163)</f>
        <v>3028.6</v>
      </c>
      <c r="D3164" s="533">
        <f t="shared" si="1924"/>
        <v>36031</v>
      </c>
      <c r="E3164" s="533">
        <f t="shared" si="1924"/>
        <v>1384</v>
      </c>
      <c r="F3164" s="533">
        <f t="shared" si="1924"/>
        <v>1</v>
      </c>
      <c r="G3164" s="533">
        <f t="shared" si="1924"/>
        <v>11912</v>
      </c>
      <c r="H3164" s="533">
        <f t="shared" si="1924"/>
        <v>69</v>
      </c>
      <c r="I3164" s="533">
        <f t="shared" si="1924"/>
        <v>8</v>
      </c>
      <c r="J3164" s="533">
        <f t="shared" si="1924"/>
        <v>4</v>
      </c>
      <c r="K3164" s="534">
        <f t="shared" si="1910"/>
        <v>0.0384113679886764</v>
      </c>
      <c r="L3164" s="535">
        <f t="shared" si="1911"/>
        <v>2.18829479768786</v>
      </c>
      <c r="M3164" s="535">
        <f t="shared" si="1912"/>
        <v>84.0553967416947</v>
      </c>
      <c r="N3164" s="535">
        <f t="shared" si="1913"/>
        <v>3.93317044178828</v>
      </c>
      <c r="O3164" s="535">
        <f t="shared" si="1914"/>
        <v>0.000722543352601156</v>
      </c>
      <c r="P3164" s="536">
        <f t="shared" si="1915"/>
        <v>39.3324675324675</v>
      </c>
      <c r="Q3164" s="531">
        <f t="shared" si="1916"/>
        <v>77</v>
      </c>
      <c r="R3164" s="537">
        <f t="shared" si="1917"/>
        <v>0.055635838150289</v>
      </c>
    </row>
    <row r="3165" spans="1:18">
      <c r="A3165" s="524">
        <v>46083</v>
      </c>
      <c r="B3165" s="540" t="s">
        <v>98</v>
      </c>
      <c r="C3165" s="551">
        <v>700</v>
      </c>
      <c r="D3165" s="553">
        <v>6512</v>
      </c>
      <c r="E3165" s="551">
        <v>344</v>
      </c>
      <c r="F3165" s="551">
        <v>0</v>
      </c>
      <c r="G3165" s="551">
        <v>0</v>
      </c>
      <c r="H3165" s="551">
        <v>34</v>
      </c>
      <c r="I3165" s="551">
        <v>2</v>
      </c>
      <c r="J3165" s="551">
        <v>0</v>
      </c>
      <c r="K3165" s="527">
        <f t="shared" si="1910"/>
        <v>0.0528255528255528</v>
      </c>
      <c r="L3165" s="528">
        <f t="shared" si="1911"/>
        <v>2.03488372093023</v>
      </c>
      <c r="M3165" s="528">
        <f t="shared" si="1912"/>
        <v>107.493857493857</v>
      </c>
      <c r="N3165" s="528">
        <f t="shared" si="1913"/>
        <v>0</v>
      </c>
      <c r="O3165" s="528">
        <f t="shared" si="1914"/>
        <v>0</v>
      </c>
      <c r="P3165" s="529">
        <f t="shared" si="1915"/>
        <v>19.4444444444444</v>
      </c>
      <c r="Q3165" s="24">
        <f t="shared" si="1916"/>
        <v>36</v>
      </c>
      <c r="R3165" s="530">
        <f t="shared" si="1917"/>
        <v>0.104651162790698</v>
      </c>
    </row>
    <row r="3166" spans="1:18">
      <c r="A3166" s="524"/>
      <c r="B3166" s="540" t="s">
        <v>99</v>
      </c>
      <c r="C3166" s="551">
        <v>1999.96</v>
      </c>
      <c r="D3166" s="556">
        <v>28520</v>
      </c>
      <c r="E3166" s="551">
        <v>863</v>
      </c>
      <c r="F3166" s="551">
        <v>3</v>
      </c>
      <c r="G3166" s="551">
        <v>39220</v>
      </c>
      <c r="H3166" s="555">
        <v>25</v>
      </c>
      <c r="I3166" s="555">
        <v>0</v>
      </c>
      <c r="J3166" s="555">
        <v>5</v>
      </c>
      <c r="K3166" s="527">
        <f t="shared" si="1910"/>
        <v>0.0302594670406732</v>
      </c>
      <c r="L3166" s="528">
        <f t="shared" si="1911"/>
        <v>2.31745075318656</v>
      </c>
      <c r="M3166" s="528">
        <f t="shared" si="1912"/>
        <v>70.124824684432</v>
      </c>
      <c r="N3166" s="528">
        <f t="shared" si="1913"/>
        <v>19.6103922078442</v>
      </c>
      <c r="O3166" s="528">
        <f t="shared" si="1914"/>
        <v>0.00347624565469293</v>
      </c>
      <c r="P3166" s="529">
        <f t="shared" si="1915"/>
        <v>79.9984</v>
      </c>
      <c r="Q3166" s="24">
        <f t="shared" si="1916"/>
        <v>25</v>
      </c>
      <c r="R3166" s="530">
        <f t="shared" si="1917"/>
        <v>0.0289687137891078</v>
      </c>
    </row>
    <row r="3167" spans="1:18">
      <c r="A3167" s="524"/>
      <c r="B3167" s="540" t="s">
        <v>100</v>
      </c>
      <c r="C3167" s="552">
        <v>0</v>
      </c>
      <c r="D3167" s="553">
        <v>0</v>
      </c>
      <c r="E3167" s="553">
        <v>0</v>
      </c>
      <c r="F3167" s="551">
        <v>0</v>
      </c>
      <c r="G3167" s="551">
        <v>0</v>
      </c>
      <c r="H3167" s="551">
        <v>0</v>
      </c>
      <c r="I3167" s="551">
        <v>0</v>
      </c>
      <c r="J3167" s="551">
        <v>0</v>
      </c>
      <c r="K3167" s="527">
        <f t="shared" si="1910"/>
        <v>0</v>
      </c>
      <c r="L3167" s="528">
        <f t="shared" si="1911"/>
        <v>0</v>
      </c>
      <c r="M3167" s="528">
        <f t="shared" si="1912"/>
        <v>0</v>
      </c>
      <c r="N3167" s="528">
        <f t="shared" si="1913"/>
        <v>0</v>
      </c>
      <c r="O3167" s="528">
        <f t="shared" si="1914"/>
        <v>0</v>
      </c>
      <c r="P3167" s="529">
        <f t="shared" si="1915"/>
        <v>0</v>
      </c>
      <c r="Q3167" s="24">
        <f t="shared" si="1916"/>
        <v>0</v>
      </c>
      <c r="R3167" s="530">
        <f t="shared" si="1917"/>
        <v>0</v>
      </c>
    </row>
    <row r="3168" spans="1:18">
      <c r="A3168" s="524"/>
      <c r="B3168" s="540" t="s">
        <v>101</v>
      </c>
      <c r="C3168" s="552">
        <v>561.03</v>
      </c>
      <c r="D3168" s="553">
        <v>7184</v>
      </c>
      <c r="E3168" s="551">
        <v>395</v>
      </c>
      <c r="F3168" s="551">
        <v>2</v>
      </c>
      <c r="G3168" s="551">
        <v>36416</v>
      </c>
      <c r="H3168" s="551">
        <v>17</v>
      </c>
      <c r="I3168" s="551">
        <v>2</v>
      </c>
      <c r="J3168" s="551">
        <v>0</v>
      </c>
      <c r="K3168" s="527">
        <f t="shared" si="1910"/>
        <v>0.0549832962138085</v>
      </c>
      <c r="L3168" s="528">
        <f t="shared" si="1911"/>
        <v>1.42032911392405</v>
      </c>
      <c r="M3168" s="528">
        <f t="shared" si="1912"/>
        <v>78.0943763919822</v>
      </c>
      <c r="N3168" s="528">
        <f t="shared" si="1913"/>
        <v>64.9091848920735</v>
      </c>
      <c r="O3168" s="528">
        <f t="shared" si="1914"/>
        <v>0.00506329113924051</v>
      </c>
      <c r="P3168" s="529">
        <f t="shared" si="1915"/>
        <v>29.5278947368421</v>
      </c>
      <c r="Q3168" s="24">
        <f t="shared" si="1916"/>
        <v>19</v>
      </c>
      <c r="R3168" s="530">
        <f t="shared" si="1917"/>
        <v>0.0481012658227848</v>
      </c>
    </row>
    <row r="3169" spans="1:18">
      <c r="A3169" s="524"/>
      <c r="B3169" s="531" t="s">
        <v>96</v>
      </c>
      <c r="C3169" s="533">
        <f t="shared" ref="C3169:J3169" si="1925">SUM(C3165:C3168)</f>
        <v>3260.99</v>
      </c>
      <c r="D3169" s="533">
        <f t="shared" si="1925"/>
        <v>42216</v>
      </c>
      <c r="E3169" s="533">
        <f t="shared" si="1925"/>
        <v>1602</v>
      </c>
      <c r="F3169" s="533">
        <f t="shared" si="1925"/>
        <v>5</v>
      </c>
      <c r="G3169" s="533">
        <f t="shared" si="1925"/>
        <v>75636</v>
      </c>
      <c r="H3169" s="533">
        <f t="shared" si="1925"/>
        <v>76</v>
      </c>
      <c r="I3169" s="533">
        <f t="shared" si="1925"/>
        <v>4</v>
      </c>
      <c r="J3169" s="533">
        <f t="shared" si="1925"/>
        <v>5</v>
      </c>
      <c r="K3169" s="534">
        <f t="shared" si="1910"/>
        <v>0.0379476975554292</v>
      </c>
      <c r="L3169" s="535">
        <f t="shared" si="1911"/>
        <v>2.03557428214732</v>
      </c>
      <c r="M3169" s="535">
        <f t="shared" si="1912"/>
        <v>77.2453572105363</v>
      </c>
      <c r="N3169" s="535">
        <f t="shared" si="1913"/>
        <v>23.1941833614945</v>
      </c>
      <c r="O3169" s="535">
        <f t="shared" si="1914"/>
        <v>0.0031210986267166</v>
      </c>
      <c r="P3169" s="536">
        <f t="shared" si="1915"/>
        <v>40.762375</v>
      </c>
      <c r="Q3169" s="531">
        <f t="shared" si="1916"/>
        <v>80</v>
      </c>
      <c r="R3169" s="537">
        <f t="shared" si="1917"/>
        <v>0.0499375780274657</v>
      </c>
    </row>
    <row r="3170" spans="1:18">
      <c r="A3170" s="524">
        <v>46084</v>
      </c>
      <c r="B3170" s="540" t="s">
        <v>98</v>
      </c>
      <c r="C3170" s="551">
        <v>700</v>
      </c>
      <c r="D3170" s="553">
        <v>5750</v>
      </c>
      <c r="E3170" s="551">
        <v>303</v>
      </c>
      <c r="F3170" s="551">
        <v>0</v>
      </c>
      <c r="G3170" s="551">
        <v>0</v>
      </c>
      <c r="H3170" s="551">
        <v>26</v>
      </c>
      <c r="I3170" s="551">
        <v>2</v>
      </c>
      <c r="J3170" s="551">
        <v>3</v>
      </c>
      <c r="K3170" s="527">
        <f t="shared" si="1910"/>
        <v>0.052695652173913</v>
      </c>
      <c r="L3170" s="528">
        <f t="shared" si="1911"/>
        <v>2.31023102310231</v>
      </c>
      <c r="M3170" s="528">
        <f t="shared" si="1912"/>
        <v>121.739130434783</v>
      </c>
      <c r="N3170" s="528">
        <f t="shared" si="1913"/>
        <v>0</v>
      </c>
      <c r="O3170" s="528">
        <f t="shared" si="1914"/>
        <v>0</v>
      </c>
      <c r="P3170" s="529">
        <f t="shared" si="1915"/>
        <v>25</v>
      </c>
      <c r="Q3170" s="24">
        <f t="shared" si="1916"/>
        <v>28</v>
      </c>
      <c r="R3170" s="530">
        <f t="shared" si="1917"/>
        <v>0.0924092409240924</v>
      </c>
    </row>
    <row r="3171" spans="1:18">
      <c r="A3171" s="524"/>
      <c r="B3171" s="540" t="s">
        <v>99</v>
      </c>
      <c r="C3171" s="551">
        <v>1500</v>
      </c>
      <c r="D3171" s="556">
        <v>21719</v>
      </c>
      <c r="E3171" s="551">
        <v>819</v>
      </c>
      <c r="F3171" s="551">
        <v>0</v>
      </c>
      <c r="G3171" s="551">
        <v>0</v>
      </c>
      <c r="H3171" s="555">
        <v>12</v>
      </c>
      <c r="I3171" s="555">
        <v>0</v>
      </c>
      <c r="J3171" s="555">
        <v>4</v>
      </c>
      <c r="K3171" s="527">
        <f t="shared" si="1910"/>
        <v>0.0377089184584926</v>
      </c>
      <c r="L3171" s="528">
        <f t="shared" si="1911"/>
        <v>1.83150183150183</v>
      </c>
      <c r="M3171" s="528">
        <f t="shared" si="1912"/>
        <v>69.0639532206824</v>
      </c>
      <c r="N3171" s="528">
        <f t="shared" si="1913"/>
        <v>0</v>
      </c>
      <c r="O3171" s="528">
        <f t="shared" si="1914"/>
        <v>0</v>
      </c>
      <c r="P3171" s="529">
        <f t="shared" si="1915"/>
        <v>125</v>
      </c>
      <c r="Q3171" s="24">
        <f t="shared" si="1916"/>
        <v>12</v>
      </c>
      <c r="R3171" s="530">
        <f t="shared" si="1917"/>
        <v>0.0146520146520147</v>
      </c>
    </row>
    <row r="3172" spans="1:18">
      <c r="A3172" s="524"/>
      <c r="B3172" s="540" t="s">
        <v>100</v>
      </c>
      <c r="C3172" s="552">
        <v>0</v>
      </c>
      <c r="D3172" s="553">
        <v>0</v>
      </c>
      <c r="E3172" s="553">
        <v>0</v>
      </c>
      <c r="F3172" s="551">
        <v>0</v>
      </c>
      <c r="G3172" s="551">
        <v>0</v>
      </c>
      <c r="H3172" s="551">
        <v>0</v>
      </c>
      <c r="I3172" s="551">
        <v>0</v>
      </c>
      <c r="J3172" s="551">
        <v>0</v>
      </c>
      <c r="K3172" s="527">
        <f t="shared" si="1910"/>
        <v>0</v>
      </c>
      <c r="L3172" s="528">
        <f t="shared" si="1911"/>
        <v>0</v>
      </c>
      <c r="M3172" s="528">
        <f t="shared" si="1912"/>
        <v>0</v>
      </c>
      <c r="N3172" s="528">
        <f t="shared" si="1913"/>
        <v>0</v>
      </c>
      <c r="O3172" s="528">
        <f t="shared" si="1914"/>
        <v>0</v>
      </c>
      <c r="P3172" s="529">
        <f t="shared" si="1915"/>
        <v>0</v>
      </c>
      <c r="Q3172" s="24">
        <f t="shared" si="1916"/>
        <v>0</v>
      </c>
      <c r="R3172" s="530">
        <f t="shared" si="1917"/>
        <v>0</v>
      </c>
    </row>
    <row r="3173" spans="1:18">
      <c r="A3173" s="524"/>
      <c r="B3173" s="540" t="s">
        <v>101</v>
      </c>
      <c r="C3173" s="552">
        <v>1400</v>
      </c>
      <c r="D3173" s="553">
        <v>6193</v>
      </c>
      <c r="E3173" s="551">
        <v>326</v>
      </c>
      <c r="F3173" s="551">
        <v>5</v>
      </c>
      <c r="G3173" s="551">
        <v>30827</v>
      </c>
      <c r="H3173" s="551">
        <v>12</v>
      </c>
      <c r="I3173" s="551">
        <v>4</v>
      </c>
      <c r="J3173" s="551">
        <v>0</v>
      </c>
      <c r="K3173" s="527">
        <f t="shared" si="1910"/>
        <v>0.0526400775068626</v>
      </c>
      <c r="L3173" s="528">
        <f t="shared" si="1911"/>
        <v>4.29447852760736</v>
      </c>
      <c r="M3173" s="528">
        <f t="shared" si="1912"/>
        <v>226.061682544809</v>
      </c>
      <c r="N3173" s="528">
        <f t="shared" si="1913"/>
        <v>22.0192857142857</v>
      </c>
      <c r="O3173" s="528">
        <f t="shared" si="1914"/>
        <v>0.0153374233128834</v>
      </c>
      <c r="P3173" s="529">
        <f t="shared" si="1915"/>
        <v>87.5</v>
      </c>
      <c r="Q3173" s="24">
        <f t="shared" si="1916"/>
        <v>16</v>
      </c>
      <c r="R3173" s="530">
        <f t="shared" si="1917"/>
        <v>0.049079754601227</v>
      </c>
    </row>
    <row r="3174" spans="1:18">
      <c r="A3174" s="524"/>
      <c r="B3174" s="531" t="s">
        <v>96</v>
      </c>
      <c r="C3174" s="533">
        <f t="shared" ref="C3174:J3174" si="1926">SUM(C3170:C3173)</f>
        <v>3600</v>
      </c>
      <c r="D3174" s="533">
        <f t="shared" si="1926"/>
        <v>33662</v>
      </c>
      <c r="E3174" s="533">
        <f t="shared" si="1926"/>
        <v>1448</v>
      </c>
      <c r="F3174" s="533">
        <f t="shared" si="1926"/>
        <v>5</v>
      </c>
      <c r="G3174" s="533">
        <f t="shared" si="1926"/>
        <v>30827</v>
      </c>
      <c r="H3174" s="533">
        <f t="shared" si="1926"/>
        <v>50</v>
      </c>
      <c r="I3174" s="533">
        <f t="shared" si="1926"/>
        <v>6</v>
      </c>
      <c r="J3174" s="533">
        <f t="shared" si="1926"/>
        <v>7</v>
      </c>
      <c r="K3174" s="534">
        <f t="shared" si="1910"/>
        <v>0.0430158635850514</v>
      </c>
      <c r="L3174" s="535">
        <f t="shared" si="1911"/>
        <v>2.48618784530387</v>
      </c>
      <c r="M3174" s="535">
        <f t="shared" si="1912"/>
        <v>106.945517200404</v>
      </c>
      <c r="N3174" s="535">
        <f t="shared" si="1913"/>
        <v>8.56305555555556</v>
      </c>
      <c r="O3174" s="535">
        <f t="shared" si="1914"/>
        <v>0.00345303867403315</v>
      </c>
      <c r="P3174" s="536">
        <f t="shared" si="1915"/>
        <v>64.2857142857143</v>
      </c>
      <c r="Q3174" s="531">
        <f t="shared" si="1916"/>
        <v>56</v>
      </c>
      <c r="R3174" s="537">
        <f t="shared" si="1917"/>
        <v>0.0386740331491713</v>
      </c>
    </row>
    <row r="3175" spans="1:18">
      <c r="A3175" s="524">
        <v>46085</v>
      </c>
      <c r="B3175" s="540" t="s">
        <v>98</v>
      </c>
      <c r="C3175" s="551">
        <v>1500</v>
      </c>
      <c r="D3175" s="553">
        <v>15240</v>
      </c>
      <c r="E3175" s="551">
        <v>584</v>
      </c>
      <c r="F3175" s="551">
        <v>2</v>
      </c>
      <c r="G3175" s="551">
        <v>22050</v>
      </c>
      <c r="H3175" s="551">
        <v>29</v>
      </c>
      <c r="I3175" s="551">
        <v>5</v>
      </c>
      <c r="J3175" s="551">
        <v>3</v>
      </c>
      <c r="K3175" s="527">
        <f t="shared" si="1910"/>
        <v>0.0383202099737533</v>
      </c>
      <c r="L3175" s="528">
        <f t="shared" si="1911"/>
        <v>2.56849315068493</v>
      </c>
      <c r="M3175" s="528">
        <f t="shared" si="1912"/>
        <v>98.4251968503937</v>
      </c>
      <c r="N3175" s="528">
        <f t="shared" si="1913"/>
        <v>14.7</v>
      </c>
      <c r="O3175" s="528">
        <f t="shared" si="1914"/>
        <v>0.00342465753424658</v>
      </c>
      <c r="P3175" s="529">
        <f t="shared" si="1915"/>
        <v>44.1176470588235</v>
      </c>
      <c r="Q3175" s="24">
        <f t="shared" si="1916"/>
        <v>34</v>
      </c>
      <c r="R3175" s="530">
        <f t="shared" si="1917"/>
        <v>0.0582191780821918</v>
      </c>
    </row>
    <row r="3176" spans="1:18">
      <c r="A3176" s="524"/>
      <c r="B3176" s="540" t="s">
        <v>99</v>
      </c>
      <c r="C3176" s="551">
        <v>1500</v>
      </c>
      <c r="D3176" s="556">
        <v>18529</v>
      </c>
      <c r="E3176" s="551">
        <v>605</v>
      </c>
      <c r="F3176" s="551">
        <v>2</v>
      </c>
      <c r="G3176" s="551">
        <v>29438</v>
      </c>
      <c r="H3176" s="555">
        <v>16</v>
      </c>
      <c r="I3176" s="555">
        <v>0</v>
      </c>
      <c r="J3176" s="555">
        <v>2</v>
      </c>
      <c r="K3176" s="527">
        <f t="shared" si="1910"/>
        <v>0.0326515192401101</v>
      </c>
      <c r="L3176" s="528">
        <f t="shared" si="1911"/>
        <v>2.47933884297521</v>
      </c>
      <c r="M3176" s="528">
        <f t="shared" si="1912"/>
        <v>80.9541799341573</v>
      </c>
      <c r="N3176" s="528">
        <f t="shared" si="1913"/>
        <v>19.6253333333333</v>
      </c>
      <c r="O3176" s="528">
        <f t="shared" si="1914"/>
        <v>0.00330578512396694</v>
      </c>
      <c r="P3176" s="529">
        <f t="shared" si="1915"/>
        <v>93.75</v>
      </c>
      <c r="Q3176" s="24">
        <f t="shared" si="1916"/>
        <v>16</v>
      </c>
      <c r="R3176" s="530">
        <f t="shared" si="1917"/>
        <v>0.0264462809917355</v>
      </c>
    </row>
    <row r="3177" spans="1:18">
      <c r="A3177" s="524"/>
      <c r="B3177" s="540" t="s">
        <v>100</v>
      </c>
      <c r="C3177" s="552">
        <v>0</v>
      </c>
      <c r="D3177" s="553">
        <v>0</v>
      </c>
      <c r="E3177" s="553">
        <v>0</v>
      </c>
      <c r="F3177" s="551">
        <v>0</v>
      </c>
      <c r="G3177" s="551">
        <v>0</v>
      </c>
      <c r="H3177" s="551">
        <v>0</v>
      </c>
      <c r="I3177" s="551">
        <v>0</v>
      </c>
      <c r="J3177" s="551">
        <v>0</v>
      </c>
      <c r="K3177" s="527">
        <f t="shared" si="1910"/>
        <v>0</v>
      </c>
      <c r="L3177" s="528">
        <f t="shared" si="1911"/>
        <v>0</v>
      </c>
      <c r="M3177" s="528">
        <f t="shared" si="1912"/>
        <v>0</v>
      </c>
      <c r="N3177" s="528">
        <f t="shared" si="1913"/>
        <v>0</v>
      </c>
      <c r="O3177" s="528">
        <f t="shared" si="1914"/>
        <v>0</v>
      </c>
      <c r="P3177" s="529">
        <f t="shared" si="1915"/>
        <v>0</v>
      </c>
      <c r="Q3177" s="24">
        <f t="shared" si="1916"/>
        <v>0</v>
      </c>
      <c r="R3177" s="530">
        <f t="shared" si="1917"/>
        <v>0</v>
      </c>
    </row>
    <row r="3178" spans="1:18">
      <c r="A3178" s="524"/>
      <c r="B3178" s="540" t="s">
        <v>101</v>
      </c>
      <c r="C3178" s="552">
        <v>1073.83</v>
      </c>
      <c r="D3178" s="553">
        <v>7843</v>
      </c>
      <c r="E3178" s="551">
        <v>470</v>
      </c>
      <c r="F3178" s="551">
        <v>0</v>
      </c>
      <c r="G3178" s="551">
        <v>0</v>
      </c>
      <c r="H3178" s="551">
        <v>31</v>
      </c>
      <c r="I3178" s="551">
        <v>3</v>
      </c>
      <c r="J3178" s="551">
        <v>1</v>
      </c>
      <c r="K3178" s="527">
        <f t="shared" si="1910"/>
        <v>0.0599260487058524</v>
      </c>
      <c r="L3178" s="528">
        <f t="shared" si="1911"/>
        <v>2.28474468085106</v>
      </c>
      <c r="M3178" s="528">
        <f t="shared" si="1912"/>
        <v>136.915721025118</v>
      </c>
      <c r="N3178" s="528">
        <f t="shared" si="1913"/>
        <v>0</v>
      </c>
      <c r="O3178" s="528">
        <f t="shared" si="1914"/>
        <v>0</v>
      </c>
      <c r="P3178" s="529">
        <f t="shared" si="1915"/>
        <v>31.5832352941176</v>
      </c>
      <c r="Q3178" s="24">
        <f t="shared" si="1916"/>
        <v>34</v>
      </c>
      <c r="R3178" s="530">
        <f t="shared" si="1917"/>
        <v>0.0723404255319149</v>
      </c>
    </row>
    <row r="3179" spans="1:18">
      <c r="A3179" s="524"/>
      <c r="B3179" s="531" t="s">
        <v>96</v>
      </c>
      <c r="C3179" s="533">
        <f t="shared" ref="C3179:J3179" si="1927">SUM(C3175:C3178)</f>
        <v>4073.83</v>
      </c>
      <c r="D3179" s="533">
        <f t="shared" si="1927"/>
        <v>41612</v>
      </c>
      <c r="E3179" s="533">
        <f t="shared" si="1927"/>
        <v>1659</v>
      </c>
      <c r="F3179" s="533">
        <f t="shared" si="1927"/>
        <v>4</v>
      </c>
      <c r="G3179" s="533">
        <f t="shared" si="1927"/>
        <v>51488</v>
      </c>
      <c r="H3179" s="533">
        <f t="shared" si="1927"/>
        <v>76</v>
      </c>
      <c r="I3179" s="533">
        <f t="shared" si="1927"/>
        <v>8</v>
      </c>
      <c r="J3179" s="533">
        <f t="shared" si="1927"/>
        <v>6</v>
      </c>
      <c r="K3179" s="534">
        <f t="shared" si="1910"/>
        <v>0.0398683072190714</v>
      </c>
      <c r="L3179" s="535">
        <f t="shared" si="1911"/>
        <v>2.45559373116335</v>
      </c>
      <c r="M3179" s="535">
        <f t="shared" si="1912"/>
        <v>97.9003652792464</v>
      </c>
      <c r="N3179" s="535">
        <f t="shared" si="1913"/>
        <v>12.6387208106377</v>
      </c>
      <c r="O3179" s="535">
        <f t="shared" si="1914"/>
        <v>0.00241109101868596</v>
      </c>
      <c r="P3179" s="536">
        <f t="shared" si="1915"/>
        <v>48.4979761904762</v>
      </c>
      <c r="Q3179" s="531">
        <f t="shared" si="1916"/>
        <v>84</v>
      </c>
      <c r="R3179" s="537">
        <f t="shared" si="1917"/>
        <v>0.0506329113924051</v>
      </c>
    </row>
    <row r="3180" spans="1:18">
      <c r="A3180" s="524">
        <v>46086</v>
      </c>
      <c r="B3180" s="540" t="s">
        <v>98</v>
      </c>
      <c r="C3180" s="551">
        <v>1498.37</v>
      </c>
      <c r="D3180" s="553">
        <v>15726</v>
      </c>
      <c r="E3180" s="551">
        <v>543</v>
      </c>
      <c r="F3180" s="551">
        <v>3</v>
      </c>
      <c r="G3180" s="551">
        <v>38336</v>
      </c>
      <c r="H3180" s="551">
        <v>32</v>
      </c>
      <c r="I3180" s="551">
        <v>5</v>
      </c>
      <c r="J3180" s="551">
        <v>3</v>
      </c>
      <c r="K3180" s="527">
        <f t="shared" si="1910"/>
        <v>0.0345288057993132</v>
      </c>
      <c r="L3180" s="528">
        <f t="shared" si="1911"/>
        <v>2.75942909760589</v>
      </c>
      <c r="M3180" s="528">
        <f t="shared" si="1912"/>
        <v>95.2797914282081</v>
      </c>
      <c r="N3180" s="528">
        <f t="shared" si="1913"/>
        <v>25.5851358476211</v>
      </c>
      <c r="O3180" s="528">
        <f t="shared" si="1914"/>
        <v>0.00552486187845304</v>
      </c>
      <c r="P3180" s="529">
        <f t="shared" si="1915"/>
        <v>40.4964864864865</v>
      </c>
      <c r="Q3180" s="24">
        <f t="shared" si="1916"/>
        <v>37</v>
      </c>
      <c r="R3180" s="530">
        <f t="shared" si="1917"/>
        <v>0.0681399631675875</v>
      </c>
    </row>
    <row r="3181" spans="1:18">
      <c r="A3181" s="524"/>
      <c r="B3181" s="540" t="s">
        <v>99</v>
      </c>
      <c r="C3181" s="551">
        <v>1384.8</v>
      </c>
      <c r="D3181" s="556">
        <v>18184</v>
      </c>
      <c r="E3181" s="551">
        <v>569</v>
      </c>
      <c r="F3181" s="551">
        <v>2</v>
      </c>
      <c r="G3181" s="551">
        <v>30546</v>
      </c>
      <c r="H3181" s="555">
        <v>14</v>
      </c>
      <c r="I3181" s="555">
        <v>2</v>
      </c>
      <c r="J3181" s="555">
        <v>1</v>
      </c>
      <c r="K3181" s="527">
        <f t="shared" si="1910"/>
        <v>0.0312912450505939</v>
      </c>
      <c r="L3181" s="528">
        <f t="shared" si="1911"/>
        <v>2.43374340949033</v>
      </c>
      <c r="M3181" s="528">
        <f t="shared" si="1912"/>
        <v>76.15486141663</v>
      </c>
      <c r="N3181" s="528">
        <f t="shared" si="1913"/>
        <v>22.0580589254766</v>
      </c>
      <c r="O3181" s="528">
        <f t="shared" si="1914"/>
        <v>0.00351493848857645</v>
      </c>
      <c r="P3181" s="529">
        <f t="shared" si="1915"/>
        <v>86.55</v>
      </c>
      <c r="Q3181" s="24">
        <f t="shared" si="1916"/>
        <v>16</v>
      </c>
      <c r="R3181" s="530">
        <f t="shared" si="1917"/>
        <v>0.0281195079086116</v>
      </c>
    </row>
    <row r="3182" spans="1:18">
      <c r="A3182" s="524"/>
      <c r="B3182" s="540" t="s">
        <v>100</v>
      </c>
      <c r="C3182" s="552">
        <v>0</v>
      </c>
      <c r="D3182" s="553">
        <v>0</v>
      </c>
      <c r="E3182" s="553">
        <v>0</v>
      </c>
      <c r="F3182" s="551">
        <v>0</v>
      </c>
      <c r="G3182" s="551">
        <v>0</v>
      </c>
      <c r="H3182" s="551">
        <v>0</v>
      </c>
      <c r="I3182" s="551">
        <v>0</v>
      </c>
      <c r="J3182" s="551">
        <v>0</v>
      </c>
      <c r="K3182" s="527">
        <f t="shared" si="1910"/>
        <v>0</v>
      </c>
      <c r="L3182" s="528">
        <f t="shared" si="1911"/>
        <v>0</v>
      </c>
      <c r="M3182" s="528">
        <f t="shared" si="1912"/>
        <v>0</v>
      </c>
      <c r="N3182" s="528">
        <f t="shared" si="1913"/>
        <v>0</v>
      </c>
      <c r="O3182" s="528">
        <f t="shared" si="1914"/>
        <v>0</v>
      </c>
      <c r="P3182" s="529">
        <f t="shared" si="1915"/>
        <v>0</v>
      </c>
      <c r="Q3182" s="24">
        <f t="shared" si="1916"/>
        <v>0</v>
      </c>
      <c r="R3182" s="530">
        <f t="shared" si="1917"/>
        <v>0</v>
      </c>
    </row>
    <row r="3183" spans="1:18">
      <c r="A3183" s="524"/>
      <c r="B3183" s="540" t="s">
        <v>101</v>
      </c>
      <c r="C3183" s="552">
        <v>2251.38</v>
      </c>
      <c r="D3183" s="553">
        <v>29671</v>
      </c>
      <c r="E3183" s="551">
        <v>1018</v>
      </c>
      <c r="F3183" s="551">
        <v>4</v>
      </c>
      <c r="G3183" s="551">
        <v>37554</v>
      </c>
      <c r="H3183" s="551">
        <v>51</v>
      </c>
      <c r="I3183" s="551">
        <v>1</v>
      </c>
      <c r="J3183" s="551">
        <v>3</v>
      </c>
      <c r="K3183" s="527">
        <f t="shared" si="1910"/>
        <v>0.0343095952276634</v>
      </c>
      <c r="L3183" s="528">
        <f t="shared" si="1911"/>
        <v>2.21157170923379</v>
      </c>
      <c r="M3183" s="528">
        <f t="shared" si="1912"/>
        <v>75.878130160763</v>
      </c>
      <c r="N3183" s="528">
        <f t="shared" si="1913"/>
        <v>16.6804359992538</v>
      </c>
      <c r="O3183" s="528">
        <f t="shared" si="1914"/>
        <v>0.00392927308447937</v>
      </c>
      <c r="P3183" s="529">
        <f t="shared" si="1915"/>
        <v>43.2957692307692</v>
      </c>
      <c r="Q3183" s="24">
        <f t="shared" si="1916"/>
        <v>52</v>
      </c>
      <c r="R3183" s="530">
        <f t="shared" si="1917"/>
        <v>0.0510805500982318</v>
      </c>
    </row>
    <row r="3184" spans="1:18">
      <c r="A3184" s="524"/>
      <c r="B3184" s="531" t="s">
        <v>96</v>
      </c>
      <c r="C3184" s="533">
        <f t="shared" ref="C3184:J3184" si="1928">SUM(C3180:C3183)</f>
        <v>5134.55</v>
      </c>
      <c r="D3184" s="533">
        <f t="shared" si="1928"/>
        <v>63581</v>
      </c>
      <c r="E3184" s="533">
        <f t="shared" si="1928"/>
        <v>2130</v>
      </c>
      <c r="F3184" s="533">
        <f t="shared" si="1928"/>
        <v>9</v>
      </c>
      <c r="G3184" s="533">
        <f t="shared" si="1928"/>
        <v>106436</v>
      </c>
      <c r="H3184" s="533">
        <f t="shared" si="1928"/>
        <v>97</v>
      </c>
      <c r="I3184" s="533">
        <f t="shared" si="1928"/>
        <v>8</v>
      </c>
      <c r="J3184" s="533">
        <f t="shared" si="1928"/>
        <v>7</v>
      </c>
      <c r="K3184" s="534">
        <f t="shared" si="1910"/>
        <v>0.0335005740708702</v>
      </c>
      <c r="L3184" s="535">
        <f t="shared" si="1911"/>
        <v>2.41058685446009</v>
      </c>
      <c r="M3184" s="535">
        <f t="shared" si="1912"/>
        <v>80.7560434721065</v>
      </c>
      <c r="N3184" s="535">
        <f t="shared" si="1913"/>
        <v>20.7293725837707</v>
      </c>
      <c r="O3184" s="535">
        <f t="shared" si="1914"/>
        <v>0.00422535211267606</v>
      </c>
      <c r="P3184" s="536">
        <f t="shared" si="1915"/>
        <v>48.9004761904762</v>
      </c>
      <c r="Q3184" s="531">
        <f t="shared" si="1916"/>
        <v>105</v>
      </c>
      <c r="R3184" s="537">
        <f t="shared" si="1917"/>
        <v>0.0492957746478873</v>
      </c>
    </row>
    <row r="3185" spans="1:18">
      <c r="A3185" s="524">
        <v>46087</v>
      </c>
      <c r="B3185" s="540" t="s">
        <v>98</v>
      </c>
      <c r="C3185" s="551">
        <v>1499.61</v>
      </c>
      <c r="D3185" s="553">
        <v>14689</v>
      </c>
      <c r="E3185" s="551">
        <v>553</v>
      </c>
      <c r="F3185" s="551">
        <v>0</v>
      </c>
      <c r="G3185" s="551">
        <v>0</v>
      </c>
      <c r="H3185" s="551">
        <v>27</v>
      </c>
      <c r="I3185" s="551">
        <v>6</v>
      </c>
      <c r="J3185" s="551">
        <v>1</v>
      </c>
      <c r="K3185" s="527">
        <f t="shared" si="1910"/>
        <v>0.0376472190074205</v>
      </c>
      <c r="L3185" s="528">
        <f t="shared" si="1911"/>
        <v>2.71177215189873</v>
      </c>
      <c r="M3185" s="528">
        <f t="shared" si="1912"/>
        <v>102.090680100756</v>
      </c>
      <c r="N3185" s="528">
        <f t="shared" si="1913"/>
        <v>0</v>
      </c>
      <c r="O3185" s="528">
        <f t="shared" si="1914"/>
        <v>0</v>
      </c>
      <c r="P3185" s="529">
        <f t="shared" si="1915"/>
        <v>45.4427272727273</v>
      </c>
      <c r="Q3185" s="24">
        <f t="shared" si="1916"/>
        <v>33</v>
      </c>
      <c r="R3185" s="530">
        <f t="shared" si="1917"/>
        <v>0.0596745027124774</v>
      </c>
    </row>
    <row r="3186" spans="1:18">
      <c r="A3186" s="524"/>
      <c r="B3186" s="540" t="s">
        <v>99</v>
      </c>
      <c r="C3186" s="551">
        <v>1499.52</v>
      </c>
      <c r="D3186" s="556">
        <v>13824</v>
      </c>
      <c r="E3186" s="551">
        <v>807</v>
      </c>
      <c r="F3186" s="551">
        <v>0</v>
      </c>
      <c r="G3186" s="551">
        <v>0</v>
      </c>
      <c r="H3186" s="555">
        <v>11</v>
      </c>
      <c r="I3186" s="555">
        <v>1</v>
      </c>
      <c r="J3186" s="555">
        <v>1</v>
      </c>
      <c r="K3186" s="527">
        <f t="shared" si="1910"/>
        <v>0.0583767361111111</v>
      </c>
      <c r="L3186" s="528">
        <f t="shared" si="1911"/>
        <v>1.85814126394052</v>
      </c>
      <c r="M3186" s="528">
        <f t="shared" si="1912"/>
        <v>108.472222222222</v>
      </c>
      <c r="N3186" s="528">
        <f t="shared" si="1913"/>
        <v>0</v>
      </c>
      <c r="O3186" s="528">
        <f t="shared" si="1914"/>
        <v>0</v>
      </c>
      <c r="P3186" s="529">
        <f t="shared" si="1915"/>
        <v>124.96</v>
      </c>
      <c r="Q3186" s="24">
        <f t="shared" si="1916"/>
        <v>12</v>
      </c>
      <c r="R3186" s="530">
        <f t="shared" si="1917"/>
        <v>0.0148698884758364</v>
      </c>
    </row>
    <row r="3187" spans="1:18">
      <c r="A3187" s="524"/>
      <c r="B3187" s="540" t="s">
        <v>100</v>
      </c>
      <c r="C3187" s="552">
        <v>0</v>
      </c>
      <c r="D3187" s="553">
        <v>0</v>
      </c>
      <c r="E3187" s="553">
        <v>0</v>
      </c>
      <c r="F3187" s="551">
        <v>0</v>
      </c>
      <c r="G3187" s="551">
        <v>0</v>
      </c>
      <c r="H3187" s="551">
        <v>0</v>
      </c>
      <c r="I3187" s="551">
        <v>0</v>
      </c>
      <c r="J3187" s="551">
        <v>0</v>
      </c>
      <c r="K3187" s="527">
        <f t="shared" si="1910"/>
        <v>0</v>
      </c>
      <c r="L3187" s="528">
        <f t="shared" si="1911"/>
        <v>0</v>
      </c>
      <c r="M3187" s="528">
        <f t="shared" si="1912"/>
        <v>0</v>
      </c>
      <c r="N3187" s="528">
        <f t="shared" si="1913"/>
        <v>0</v>
      </c>
      <c r="O3187" s="528">
        <f t="shared" si="1914"/>
        <v>0</v>
      </c>
      <c r="P3187" s="529">
        <f t="shared" si="1915"/>
        <v>0</v>
      </c>
      <c r="Q3187" s="24">
        <f t="shared" si="1916"/>
        <v>0</v>
      </c>
      <c r="R3187" s="530">
        <f t="shared" si="1917"/>
        <v>0</v>
      </c>
    </row>
    <row r="3188" spans="1:18">
      <c r="A3188" s="524"/>
      <c r="B3188" s="540" t="s">
        <v>101</v>
      </c>
      <c r="C3188" s="552">
        <v>2600</v>
      </c>
      <c r="D3188" s="553">
        <v>28276</v>
      </c>
      <c r="E3188" s="551">
        <v>1290</v>
      </c>
      <c r="F3188" s="551">
        <v>6</v>
      </c>
      <c r="G3188" s="551">
        <v>79522</v>
      </c>
      <c r="H3188" s="551">
        <v>39</v>
      </c>
      <c r="I3188" s="551">
        <v>5</v>
      </c>
      <c r="J3188" s="551">
        <v>1</v>
      </c>
      <c r="K3188" s="527">
        <f t="shared" si="1910"/>
        <v>0.0456217286744943</v>
      </c>
      <c r="L3188" s="528">
        <f t="shared" si="1911"/>
        <v>2.01550387596899</v>
      </c>
      <c r="M3188" s="528">
        <f t="shared" si="1912"/>
        <v>91.9507709718489</v>
      </c>
      <c r="N3188" s="528">
        <f t="shared" si="1913"/>
        <v>30.5853846153846</v>
      </c>
      <c r="O3188" s="528">
        <f t="shared" si="1914"/>
        <v>0.00465116279069767</v>
      </c>
      <c r="P3188" s="529">
        <f t="shared" si="1915"/>
        <v>59.0909090909091</v>
      </c>
      <c r="Q3188" s="24">
        <f t="shared" si="1916"/>
        <v>44</v>
      </c>
      <c r="R3188" s="530">
        <f t="shared" si="1917"/>
        <v>0.0341085271317829</v>
      </c>
    </row>
    <row r="3189" spans="1:18">
      <c r="A3189" s="524"/>
      <c r="B3189" s="531" t="s">
        <v>96</v>
      </c>
      <c r="C3189" s="533">
        <f t="shared" ref="C3189:J3189" si="1929">SUM(C3185:C3188)</f>
        <v>5599.13</v>
      </c>
      <c r="D3189" s="533">
        <f t="shared" si="1929"/>
        <v>56789</v>
      </c>
      <c r="E3189" s="533">
        <f t="shared" si="1929"/>
        <v>2650</v>
      </c>
      <c r="F3189" s="533">
        <f t="shared" si="1929"/>
        <v>6</v>
      </c>
      <c r="G3189" s="533">
        <f t="shared" si="1929"/>
        <v>79522</v>
      </c>
      <c r="H3189" s="533">
        <f t="shared" si="1929"/>
        <v>77</v>
      </c>
      <c r="I3189" s="533">
        <f t="shared" si="1929"/>
        <v>12</v>
      </c>
      <c r="J3189" s="533">
        <f t="shared" si="1929"/>
        <v>3</v>
      </c>
      <c r="K3189" s="534">
        <f t="shared" si="1910"/>
        <v>0.0466639666132526</v>
      </c>
      <c r="L3189" s="535">
        <f t="shared" si="1911"/>
        <v>2.11287924528302</v>
      </c>
      <c r="M3189" s="535">
        <f t="shared" si="1912"/>
        <v>98.5953265597211</v>
      </c>
      <c r="N3189" s="535">
        <f t="shared" si="1913"/>
        <v>14.2025636125612</v>
      </c>
      <c r="O3189" s="535">
        <f t="shared" si="1914"/>
        <v>0.00226415094339623</v>
      </c>
      <c r="P3189" s="536">
        <f t="shared" si="1915"/>
        <v>62.9115730337079</v>
      </c>
      <c r="Q3189" s="531">
        <f t="shared" si="1916"/>
        <v>89</v>
      </c>
      <c r="R3189" s="537">
        <f t="shared" si="1917"/>
        <v>0.0335849056603774</v>
      </c>
    </row>
    <row r="3190" spans="1:18">
      <c r="A3190" s="524">
        <v>46088</v>
      </c>
      <c r="B3190" s="540" t="s">
        <v>98</v>
      </c>
      <c r="C3190" s="551">
        <v>1500</v>
      </c>
      <c r="D3190" s="553">
        <v>14173</v>
      </c>
      <c r="E3190" s="551">
        <v>576</v>
      </c>
      <c r="F3190" s="551">
        <v>2</v>
      </c>
      <c r="G3190" s="551">
        <v>21582</v>
      </c>
      <c r="H3190" s="551">
        <v>43</v>
      </c>
      <c r="I3190" s="551">
        <v>8</v>
      </c>
      <c r="J3190" s="551">
        <v>3</v>
      </c>
      <c r="K3190" s="527">
        <f t="shared" si="1910"/>
        <v>0.0406406547661046</v>
      </c>
      <c r="L3190" s="528">
        <f t="shared" si="1911"/>
        <v>2.60416666666667</v>
      </c>
      <c r="M3190" s="528">
        <f t="shared" si="1912"/>
        <v>105.835038453397</v>
      </c>
      <c r="N3190" s="528">
        <f t="shared" si="1913"/>
        <v>14.388</v>
      </c>
      <c r="O3190" s="528">
        <f t="shared" si="1914"/>
        <v>0.00347222222222222</v>
      </c>
      <c r="P3190" s="529">
        <f t="shared" si="1915"/>
        <v>29.4117647058824</v>
      </c>
      <c r="Q3190" s="24">
        <f t="shared" si="1916"/>
        <v>51</v>
      </c>
      <c r="R3190" s="530">
        <f t="shared" si="1917"/>
        <v>0.0885416666666667</v>
      </c>
    </row>
    <row r="3191" spans="1:18">
      <c r="A3191" s="524"/>
      <c r="B3191" s="540" t="s">
        <v>99</v>
      </c>
      <c r="C3191" s="551">
        <v>1444.37</v>
      </c>
      <c r="D3191" s="556">
        <v>15537</v>
      </c>
      <c r="E3191" s="551">
        <v>554</v>
      </c>
      <c r="F3191" s="551">
        <v>0</v>
      </c>
      <c r="G3191" s="551">
        <v>0</v>
      </c>
      <c r="H3191" s="555">
        <v>14</v>
      </c>
      <c r="I3191" s="555">
        <v>0</v>
      </c>
      <c r="J3191" s="555">
        <v>1</v>
      </c>
      <c r="K3191" s="527">
        <f t="shared" si="1910"/>
        <v>0.0356568192057669</v>
      </c>
      <c r="L3191" s="528">
        <f t="shared" si="1911"/>
        <v>2.60716606498195</v>
      </c>
      <c r="M3191" s="528">
        <f t="shared" si="1912"/>
        <v>92.963249018472</v>
      </c>
      <c r="N3191" s="528">
        <f t="shared" si="1913"/>
        <v>0</v>
      </c>
      <c r="O3191" s="528">
        <f t="shared" si="1914"/>
        <v>0</v>
      </c>
      <c r="P3191" s="529">
        <f t="shared" si="1915"/>
        <v>103.169285714286</v>
      </c>
      <c r="Q3191" s="24">
        <f t="shared" si="1916"/>
        <v>14</v>
      </c>
      <c r="R3191" s="530">
        <f t="shared" si="1917"/>
        <v>0.0252707581227437</v>
      </c>
    </row>
    <row r="3192" spans="1:18">
      <c r="A3192" s="524"/>
      <c r="B3192" s="540" t="s">
        <v>100</v>
      </c>
      <c r="C3192" s="552">
        <v>0</v>
      </c>
      <c r="D3192" s="553">
        <v>0</v>
      </c>
      <c r="E3192" s="553">
        <v>0</v>
      </c>
      <c r="F3192" s="551">
        <v>0</v>
      </c>
      <c r="G3192" s="551">
        <v>0</v>
      </c>
      <c r="H3192" s="551">
        <v>0</v>
      </c>
      <c r="I3192" s="551">
        <v>0</v>
      </c>
      <c r="J3192" s="551">
        <v>0</v>
      </c>
      <c r="K3192" s="527">
        <f t="shared" si="1910"/>
        <v>0</v>
      </c>
      <c r="L3192" s="528">
        <f t="shared" si="1911"/>
        <v>0</v>
      </c>
      <c r="M3192" s="528">
        <f t="shared" si="1912"/>
        <v>0</v>
      </c>
      <c r="N3192" s="528">
        <f t="shared" si="1913"/>
        <v>0</v>
      </c>
      <c r="O3192" s="528">
        <f t="shared" si="1914"/>
        <v>0</v>
      </c>
      <c r="P3192" s="529">
        <f t="shared" si="1915"/>
        <v>0</v>
      </c>
      <c r="Q3192" s="24">
        <f t="shared" si="1916"/>
        <v>0</v>
      </c>
      <c r="R3192" s="530">
        <f t="shared" si="1917"/>
        <v>0</v>
      </c>
    </row>
    <row r="3193" spans="1:18">
      <c r="A3193" s="524"/>
      <c r="B3193" s="540" t="s">
        <v>101</v>
      </c>
      <c r="C3193" s="552">
        <v>2981.78</v>
      </c>
      <c r="D3193" s="553">
        <v>34412</v>
      </c>
      <c r="E3193" s="551">
        <v>1493</v>
      </c>
      <c r="F3193" s="551">
        <v>0</v>
      </c>
      <c r="G3193" s="551">
        <v>0</v>
      </c>
      <c r="H3193" s="551">
        <v>27</v>
      </c>
      <c r="I3193" s="551">
        <v>5</v>
      </c>
      <c r="J3193" s="551">
        <v>0</v>
      </c>
      <c r="K3193" s="527">
        <f t="shared" si="1910"/>
        <v>0.0433860281297222</v>
      </c>
      <c r="L3193" s="528">
        <f t="shared" si="1911"/>
        <v>1.99717347622237</v>
      </c>
      <c r="M3193" s="528">
        <f t="shared" si="1912"/>
        <v>86.6494246193189</v>
      </c>
      <c r="N3193" s="528">
        <f t="shared" si="1913"/>
        <v>0</v>
      </c>
      <c r="O3193" s="528">
        <f t="shared" si="1914"/>
        <v>0</v>
      </c>
      <c r="P3193" s="529">
        <f t="shared" si="1915"/>
        <v>93.180625</v>
      </c>
      <c r="Q3193" s="24">
        <f t="shared" si="1916"/>
        <v>32</v>
      </c>
      <c r="R3193" s="530">
        <f t="shared" si="1917"/>
        <v>0.0214333556597455</v>
      </c>
    </row>
    <row r="3194" spans="1:18">
      <c r="A3194" s="524"/>
      <c r="B3194" s="531" t="s">
        <v>96</v>
      </c>
      <c r="C3194" s="533">
        <f t="shared" ref="C3194:J3194" si="1930">SUM(C3190:C3193)</f>
        <v>5926.15</v>
      </c>
      <c r="D3194" s="533">
        <f t="shared" si="1930"/>
        <v>64122</v>
      </c>
      <c r="E3194" s="533">
        <f t="shared" si="1930"/>
        <v>2623</v>
      </c>
      <c r="F3194" s="533">
        <f t="shared" si="1930"/>
        <v>2</v>
      </c>
      <c r="G3194" s="533">
        <f t="shared" si="1930"/>
        <v>21582</v>
      </c>
      <c r="H3194" s="533">
        <f t="shared" si="1930"/>
        <v>84</v>
      </c>
      <c r="I3194" s="533">
        <f t="shared" si="1930"/>
        <v>13</v>
      </c>
      <c r="J3194" s="533">
        <f t="shared" si="1930"/>
        <v>4</v>
      </c>
      <c r="K3194" s="534">
        <f t="shared" si="1910"/>
        <v>0.0409063971803749</v>
      </c>
      <c r="L3194" s="535">
        <f t="shared" si="1911"/>
        <v>2.25930232558139</v>
      </c>
      <c r="M3194" s="535">
        <f t="shared" si="1912"/>
        <v>92.4199182807773</v>
      </c>
      <c r="N3194" s="535">
        <f t="shared" si="1913"/>
        <v>3.6418247935</v>
      </c>
      <c r="O3194" s="535">
        <f t="shared" si="1914"/>
        <v>0.000762485703393061</v>
      </c>
      <c r="P3194" s="536">
        <f t="shared" si="1915"/>
        <v>61.0943298969072</v>
      </c>
      <c r="Q3194" s="531">
        <f t="shared" si="1916"/>
        <v>97</v>
      </c>
      <c r="R3194" s="537">
        <f t="shared" si="1917"/>
        <v>0.0369805566145635</v>
      </c>
    </row>
    <row r="3195" spans="1:18">
      <c r="A3195" s="524">
        <v>46089</v>
      </c>
      <c r="B3195" s="540" t="s">
        <v>98</v>
      </c>
      <c r="C3195" s="551">
        <v>1500</v>
      </c>
      <c r="D3195" s="553">
        <v>17064</v>
      </c>
      <c r="E3195" s="551">
        <v>629</v>
      </c>
      <c r="F3195" s="551">
        <v>2</v>
      </c>
      <c r="G3195" s="551">
        <v>15012</v>
      </c>
      <c r="H3195" s="551">
        <v>18</v>
      </c>
      <c r="I3195" s="551">
        <v>4</v>
      </c>
      <c r="J3195" s="551">
        <v>7</v>
      </c>
      <c r="K3195" s="527">
        <f t="shared" ref="K3195:K3258" si="1931">IF(E3195=0,0,E3195/D3195)</f>
        <v>0.0368612283169245</v>
      </c>
      <c r="L3195" s="528">
        <f t="shared" ref="L3195:L3258" si="1932">IF(C3195=0,0,C3195/E3195)</f>
        <v>2.38473767885533</v>
      </c>
      <c r="M3195" s="528">
        <f t="shared" ref="M3195:M3258" si="1933">IF(D3195=0,0,C3195/D3195*1000)</f>
        <v>87.9043600562588</v>
      </c>
      <c r="N3195" s="528">
        <f t="shared" ref="N3195:N3258" si="1934">IF(G3195=0,0,G3195/C3195)</f>
        <v>10.008</v>
      </c>
      <c r="O3195" s="528">
        <f t="shared" ref="O3195:O3258" si="1935">IF(F3195=0,0,F3195/E3195)</f>
        <v>0.00317965023847377</v>
      </c>
      <c r="P3195" s="529">
        <f t="shared" ref="P3195:P3258" si="1936">IF(H3195+I3195=0,0,C3195/(H3195+I3195))</f>
        <v>68.1818181818182</v>
      </c>
      <c r="Q3195" s="24">
        <f t="shared" ref="Q3195:Q3258" si="1937">H3195+I3195</f>
        <v>22</v>
      </c>
      <c r="R3195" s="530">
        <f t="shared" ref="R3195:R3258" si="1938">IF(Q3195=0,0,Q3195/E3195)</f>
        <v>0.0349761526232114</v>
      </c>
    </row>
    <row r="3196" spans="1:18">
      <c r="A3196" s="524"/>
      <c r="B3196" s="540" t="s">
        <v>99</v>
      </c>
      <c r="C3196" s="551">
        <v>1500</v>
      </c>
      <c r="D3196" s="556">
        <v>17371</v>
      </c>
      <c r="E3196" s="551">
        <v>562</v>
      </c>
      <c r="F3196" s="551">
        <v>0</v>
      </c>
      <c r="G3196" s="551">
        <v>0</v>
      </c>
      <c r="H3196" s="555">
        <v>16</v>
      </c>
      <c r="I3196" s="555">
        <v>0</v>
      </c>
      <c r="J3196" s="555">
        <v>1</v>
      </c>
      <c r="K3196" s="527">
        <f t="shared" si="1931"/>
        <v>0.0323527718611479</v>
      </c>
      <c r="L3196" s="528">
        <f t="shared" si="1932"/>
        <v>2.66903914590747</v>
      </c>
      <c r="M3196" s="528">
        <f t="shared" si="1933"/>
        <v>86.3508145760175</v>
      </c>
      <c r="N3196" s="528">
        <f t="shared" si="1934"/>
        <v>0</v>
      </c>
      <c r="O3196" s="528">
        <f t="shared" si="1935"/>
        <v>0</v>
      </c>
      <c r="P3196" s="529">
        <f t="shared" si="1936"/>
        <v>93.75</v>
      </c>
      <c r="Q3196" s="24">
        <f t="shared" si="1937"/>
        <v>16</v>
      </c>
      <c r="R3196" s="530">
        <f t="shared" si="1938"/>
        <v>0.0284697508896797</v>
      </c>
    </row>
    <row r="3197" spans="1:18">
      <c r="A3197" s="524"/>
      <c r="B3197" s="540" t="s">
        <v>100</v>
      </c>
      <c r="C3197" s="552">
        <v>0</v>
      </c>
      <c r="D3197" s="553">
        <v>0</v>
      </c>
      <c r="E3197" s="553">
        <v>0</v>
      </c>
      <c r="F3197" s="551">
        <v>0</v>
      </c>
      <c r="G3197" s="551">
        <v>0</v>
      </c>
      <c r="H3197" s="551">
        <v>0</v>
      </c>
      <c r="I3197" s="551">
        <v>0</v>
      </c>
      <c r="J3197" s="551">
        <v>0</v>
      </c>
      <c r="K3197" s="527">
        <f t="shared" si="1931"/>
        <v>0</v>
      </c>
      <c r="L3197" s="528">
        <f t="shared" si="1932"/>
        <v>0</v>
      </c>
      <c r="M3197" s="528">
        <f t="shared" si="1933"/>
        <v>0</v>
      </c>
      <c r="N3197" s="528">
        <f t="shared" si="1934"/>
        <v>0</v>
      </c>
      <c r="O3197" s="528">
        <f t="shared" si="1935"/>
        <v>0</v>
      </c>
      <c r="P3197" s="529">
        <f t="shared" si="1936"/>
        <v>0</v>
      </c>
      <c r="Q3197" s="24">
        <f t="shared" si="1937"/>
        <v>0</v>
      </c>
      <c r="R3197" s="530">
        <f t="shared" si="1938"/>
        <v>0</v>
      </c>
    </row>
    <row r="3198" spans="1:18">
      <c r="A3198" s="524"/>
      <c r="B3198" s="540" t="s">
        <v>101</v>
      </c>
      <c r="C3198" s="552">
        <v>2985.33</v>
      </c>
      <c r="D3198" s="553">
        <v>54377</v>
      </c>
      <c r="E3198" s="551">
        <v>1947</v>
      </c>
      <c r="F3198" s="551">
        <v>3</v>
      </c>
      <c r="G3198" s="551">
        <v>58274</v>
      </c>
      <c r="H3198" s="551">
        <v>36</v>
      </c>
      <c r="I3198" s="551">
        <v>3</v>
      </c>
      <c r="J3198" s="551">
        <v>1</v>
      </c>
      <c r="K3198" s="527">
        <f t="shared" si="1931"/>
        <v>0.0358055795648896</v>
      </c>
      <c r="L3198" s="528">
        <f t="shared" si="1932"/>
        <v>1.53329738058552</v>
      </c>
      <c r="M3198" s="528">
        <f t="shared" si="1933"/>
        <v>54.9006013571915</v>
      </c>
      <c r="N3198" s="528">
        <f t="shared" si="1934"/>
        <v>19.5201200537294</v>
      </c>
      <c r="O3198" s="528">
        <f t="shared" si="1935"/>
        <v>0.00154083204930663</v>
      </c>
      <c r="P3198" s="529">
        <f t="shared" si="1936"/>
        <v>76.5469230769231</v>
      </c>
      <c r="Q3198" s="24">
        <f t="shared" si="1937"/>
        <v>39</v>
      </c>
      <c r="R3198" s="530">
        <f t="shared" si="1938"/>
        <v>0.0200308166409861</v>
      </c>
    </row>
    <row r="3199" spans="1:18">
      <c r="A3199" s="524"/>
      <c r="B3199" s="531" t="s">
        <v>96</v>
      </c>
      <c r="C3199" s="533">
        <f t="shared" ref="C3199:J3199" si="1939">SUM(C3195:C3198)</f>
        <v>5985.33</v>
      </c>
      <c r="D3199" s="533">
        <f t="shared" si="1939"/>
        <v>88812</v>
      </c>
      <c r="E3199" s="533">
        <f t="shared" si="1939"/>
        <v>3138</v>
      </c>
      <c r="F3199" s="533">
        <f t="shared" si="1939"/>
        <v>5</v>
      </c>
      <c r="G3199" s="533">
        <f t="shared" si="1939"/>
        <v>73286</v>
      </c>
      <c r="H3199" s="533">
        <f t="shared" si="1939"/>
        <v>70</v>
      </c>
      <c r="I3199" s="533">
        <f t="shared" si="1939"/>
        <v>7</v>
      </c>
      <c r="J3199" s="533">
        <f t="shared" si="1939"/>
        <v>9</v>
      </c>
      <c r="K3199" s="534">
        <f t="shared" si="1931"/>
        <v>0.0353330630995811</v>
      </c>
      <c r="L3199" s="535">
        <f t="shared" si="1932"/>
        <v>1.90737093690249</v>
      </c>
      <c r="M3199" s="535">
        <f t="shared" si="1933"/>
        <v>67.3932576678827</v>
      </c>
      <c r="N3199" s="535">
        <f t="shared" si="1934"/>
        <v>12.2442705748889</v>
      </c>
      <c r="O3199" s="535">
        <f t="shared" si="1935"/>
        <v>0.00159337157425112</v>
      </c>
      <c r="P3199" s="536">
        <f t="shared" si="1936"/>
        <v>77.7315584415584</v>
      </c>
      <c r="Q3199" s="531">
        <f t="shared" si="1937"/>
        <v>77</v>
      </c>
      <c r="R3199" s="537">
        <f t="shared" si="1938"/>
        <v>0.0245379222434672</v>
      </c>
    </row>
    <row r="3200" spans="1:18">
      <c r="A3200" s="524">
        <v>46090</v>
      </c>
      <c r="B3200" s="540" t="s">
        <v>98</v>
      </c>
      <c r="C3200" s="551">
        <v>1498.94</v>
      </c>
      <c r="D3200" s="553">
        <v>16711</v>
      </c>
      <c r="E3200" s="551">
        <v>574</v>
      </c>
      <c r="F3200" s="551">
        <v>5</v>
      </c>
      <c r="G3200" s="551">
        <v>86374</v>
      </c>
      <c r="H3200" s="551">
        <v>39</v>
      </c>
      <c r="I3200" s="551">
        <v>5</v>
      </c>
      <c r="J3200" s="551">
        <v>3</v>
      </c>
      <c r="K3200" s="527">
        <f t="shared" si="1931"/>
        <v>0.0343486326371851</v>
      </c>
      <c r="L3200" s="528">
        <f t="shared" si="1932"/>
        <v>2.611393728223</v>
      </c>
      <c r="M3200" s="528">
        <f t="shared" si="1933"/>
        <v>89.6978038417809</v>
      </c>
      <c r="N3200" s="528">
        <f t="shared" si="1934"/>
        <v>57.6233871936168</v>
      </c>
      <c r="O3200" s="528">
        <f t="shared" si="1935"/>
        <v>0.00871080139372822</v>
      </c>
      <c r="P3200" s="529">
        <f t="shared" si="1936"/>
        <v>34.0668181818182</v>
      </c>
      <c r="Q3200" s="24">
        <f t="shared" si="1937"/>
        <v>44</v>
      </c>
      <c r="R3200" s="530">
        <f t="shared" si="1938"/>
        <v>0.0766550522648084</v>
      </c>
    </row>
    <row r="3201" spans="1:18">
      <c r="A3201" s="524"/>
      <c r="B3201" s="540" t="s">
        <v>99</v>
      </c>
      <c r="C3201" s="551">
        <v>1477.49</v>
      </c>
      <c r="D3201" s="556">
        <v>22343</v>
      </c>
      <c r="E3201" s="551">
        <v>669</v>
      </c>
      <c r="F3201" s="551">
        <v>7</v>
      </c>
      <c r="G3201" s="551">
        <v>78435</v>
      </c>
      <c r="H3201" s="555">
        <v>32</v>
      </c>
      <c r="I3201" s="555">
        <v>2</v>
      </c>
      <c r="J3201" s="555">
        <v>4</v>
      </c>
      <c r="K3201" s="527">
        <f t="shared" si="1931"/>
        <v>0.0299422637962673</v>
      </c>
      <c r="L3201" s="528">
        <f t="shared" si="1932"/>
        <v>2.20850523168909</v>
      </c>
      <c r="M3201" s="528">
        <f t="shared" si="1933"/>
        <v>66.1276462426711</v>
      </c>
      <c r="N3201" s="528">
        <f t="shared" si="1934"/>
        <v>53.0866537167764</v>
      </c>
      <c r="O3201" s="528">
        <f t="shared" si="1935"/>
        <v>0.0104633781763827</v>
      </c>
      <c r="P3201" s="529">
        <f t="shared" si="1936"/>
        <v>43.4555882352941</v>
      </c>
      <c r="Q3201" s="24">
        <f t="shared" si="1937"/>
        <v>34</v>
      </c>
      <c r="R3201" s="530">
        <f t="shared" si="1938"/>
        <v>0.0508221225710015</v>
      </c>
    </row>
    <row r="3202" spans="1:18">
      <c r="A3202" s="524"/>
      <c r="B3202" s="540" t="s">
        <v>100</v>
      </c>
      <c r="C3202" s="552">
        <v>0</v>
      </c>
      <c r="D3202" s="553">
        <v>0</v>
      </c>
      <c r="E3202" s="553">
        <v>0</v>
      </c>
      <c r="F3202" s="551">
        <v>0</v>
      </c>
      <c r="G3202" s="551">
        <v>0</v>
      </c>
      <c r="H3202" s="551">
        <v>0</v>
      </c>
      <c r="I3202" s="551">
        <v>0</v>
      </c>
      <c r="J3202" s="551">
        <v>0</v>
      </c>
      <c r="K3202" s="527">
        <f t="shared" si="1931"/>
        <v>0</v>
      </c>
      <c r="L3202" s="528">
        <f t="shared" si="1932"/>
        <v>0</v>
      </c>
      <c r="M3202" s="528">
        <f t="shared" si="1933"/>
        <v>0</v>
      </c>
      <c r="N3202" s="528">
        <f t="shared" si="1934"/>
        <v>0</v>
      </c>
      <c r="O3202" s="528">
        <f t="shared" si="1935"/>
        <v>0</v>
      </c>
      <c r="P3202" s="529">
        <f t="shared" si="1936"/>
        <v>0</v>
      </c>
      <c r="Q3202" s="24">
        <f t="shared" si="1937"/>
        <v>0</v>
      </c>
      <c r="R3202" s="530">
        <f t="shared" si="1938"/>
        <v>0</v>
      </c>
    </row>
    <row r="3203" spans="1:18">
      <c r="A3203" s="524"/>
      <c r="B3203" s="540" t="s">
        <v>101</v>
      </c>
      <c r="C3203" s="552">
        <v>2296.64</v>
      </c>
      <c r="D3203" s="553">
        <v>26171</v>
      </c>
      <c r="E3203" s="551">
        <v>1211</v>
      </c>
      <c r="F3203" s="551">
        <v>1</v>
      </c>
      <c r="G3203" s="551">
        <v>31304</v>
      </c>
      <c r="H3203" s="551">
        <v>32</v>
      </c>
      <c r="I3203" s="551">
        <v>0</v>
      </c>
      <c r="J3203" s="551">
        <v>0</v>
      </c>
      <c r="K3203" s="527">
        <f t="shared" si="1931"/>
        <v>0.0462725918000841</v>
      </c>
      <c r="L3203" s="528">
        <f t="shared" si="1932"/>
        <v>1.89648224607762</v>
      </c>
      <c r="M3203" s="528">
        <f t="shared" si="1933"/>
        <v>87.7551488288564</v>
      </c>
      <c r="N3203" s="528">
        <f t="shared" si="1934"/>
        <v>13.6303469416191</v>
      </c>
      <c r="O3203" s="528">
        <f t="shared" si="1935"/>
        <v>0.000825763831544178</v>
      </c>
      <c r="P3203" s="529">
        <f t="shared" si="1936"/>
        <v>71.77</v>
      </c>
      <c r="Q3203" s="24">
        <f t="shared" si="1937"/>
        <v>32</v>
      </c>
      <c r="R3203" s="530">
        <f t="shared" si="1938"/>
        <v>0.0264244426094137</v>
      </c>
    </row>
    <row r="3204" spans="1:18">
      <c r="A3204" s="524"/>
      <c r="B3204" s="531" t="s">
        <v>96</v>
      </c>
      <c r="C3204" s="533">
        <f t="shared" ref="C3204:J3204" si="1940">SUM(C3200:C3203)</f>
        <v>5273.07</v>
      </c>
      <c r="D3204" s="533">
        <f t="shared" si="1940"/>
        <v>65225</v>
      </c>
      <c r="E3204" s="533">
        <f t="shared" si="1940"/>
        <v>2454</v>
      </c>
      <c r="F3204" s="533">
        <f t="shared" si="1940"/>
        <v>13</v>
      </c>
      <c r="G3204" s="533">
        <f t="shared" si="1940"/>
        <v>196113</v>
      </c>
      <c r="H3204" s="533">
        <f t="shared" si="1940"/>
        <v>103</v>
      </c>
      <c r="I3204" s="533">
        <f t="shared" si="1940"/>
        <v>7</v>
      </c>
      <c r="J3204" s="533">
        <f t="shared" si="1940"/>
        <v>7</v>
      </c>
      <c r="K3204" s="534">
        <f t="shared" si="1931"/>
        <v>0.0376236105787658</v>
      </c>
      <c r="L3204" s="535">
        <f t="shared" si="1932"/>
        <v>2.14876528117359</v>
      </c>
      <c r="M3204" s="535">
        <f t="shared" si="1933"/>
        <v>80.8443081640475</v>
      </c>
      <c r="N3204" s="535">
        <f t="shared" si="1934"/>
        <v>37.1914273848062</v>
      </c>
      <c r="O3204" s="535">
        <f t="shared" si="1935"/>
        <v>0.00529747351263244</v>
      </c>
      <c r="P3204" s="536">
        <f t="shared" si="1936"/>
        <v>47.937</v>
      </c>
      <c r="Q3204" s="531">
        <f t="shared" si="1937"/>
        <v>110</v>
      </c>
      <c r="R3204" s="537">
        <f t="shared" si="1938"/>
        <v>0.0448247758761206</v>
      </c>
    </row>
    <row r="3205" spans="1:18">
      <c r="A3205" s="524">
        <v>46091</v>
      </c>
      <c r="B3205" s="540" t="s">
        <v>98</v>
      </c>
      <c r="C3205" s="551">
        <v>1497.27</v>
      </c>
      <c r="D3205" s="553">
        <v>18787</v>
      </c>
      <c r="E3205" s="551">
        <v>639</v>
      </c>
      <c r="F3205" s="551">
        <v>2</v>
      </c>
      <c r="G3205" s="551">
        <v>18900</v>
      </c>
      <c r="H3205" s="551">
        <v>37</v>
      </c>
      <c r="I3205" s="551">
        <v>1</v>
      </c>
      <c r="J3205" s="551">
        <v>1</v>
      </c>
      <c r="K3205" s="527">
        <f t="shared" si="1931"/>
        <v>0.0340128812476713</v>
      </c>
      <c r="L3205" s="528">
        <f t="shared" si="1932"/>
        <v>2.3431455399061</v>
      </c>
      <c r="M3205" s="528">
        <f t="shared" si="1933"/>
        <v>79.6971309948369</v>
      </c>
      <c r="N3205" s="528">
        <f t="shared" si="1934"/>
        <v>12.6229738123385</v>
      </c>
      <c r="O3205" s="528">
        <f t="shared" si="1935"/>
        <v>0.00312989045383412</v>
      </c>
      <c r="P3205" s="529">
        <f t="shared" si="1936"/>
        <v>39.4018421052632</v>
      </c>
      <c r="Q3205" s="24">
        <f t="shared" si="1937"/>
        <v>38</v>
      </c>
      <c r="R3205" s="530">
        <f t="shared" si="1938"/>
        <v>0.0594679186228482</v>
      </c>
    </row>
    <row r="3206" spans="1:18">
      <c r="A3206" s="524"/>
      <c r="B3206" s="540" t="s">
        <v>99</v>
      </c>
      <c r="C3206" s="551">
        <v>0</v>
      </c>
      <c r="D3206" s="556">
        <v>0</v>
      </c>
      <c r="E3206" s="551">
        <v>0</v>
      </c>
      <c r="F3206" s="551">
        <v>0</v>
      </c>
      <c r="G3206" s="551">
        <v>0</v>
      </c>
      <c r="H3206" s="555">
        <v>0</v>
      </c>
      <c r="I3206" s="555">
        <v>0</v>
      </c>
      <c r="J3206" s="555">
        <v>0</v>
      </c>
      <c r="K3206" s="527">
        <f t="shared" si="1931"/>
        <v>0</v>
      </c>
      <c r="L3206" s="528">
        <f t="shared" si="1932"/>
        <v>0</v>
      </c>
      <c r="M3206" s="528">
        <f t="shared" si="1933"/>
        <v>0</v>
      </c>
      <c r="N3206" s="528">
        <f t="shared" si="1934"/>
        <v>0</v>
      </c>
      <c r="O3206" s="528">
        <f t="shared" si="1935"/>
        <v>0</v>
      </c>
      <c r="P3206" s="529">
        <f t="shared" si="1936"/>
        <v>0</v>
      </c>
      <c r="Q3206" s="24">
        <f t="shared" si="1937"/>
        <v>0</v>
      </c>
      <c r="R3206" s="530">
        <f t="shared" si="1938"/>
        <v>0</v>
      </c>
    </row>
    <row r="3207" spans="1:18">
      <c r="A3207" s="524"/>
      <c r="B3207" s="540" t="s">
        <v>100</v>
      </c>
      <c r="C3207" s="552">
        <v>0</v>
      </c>
      <c r="D3207" s="553">
        <v>0</v>
      </c>
      <c r="E3207" s="553">
        <v>0</v>
      </c>
      <c r="F3207" s="551">
        <v>0</v>
      </c>
      <c r="G3207" s="551">
        <v>0</v>
      </c>
      <c r="H3207" s="551">
        <v>0</v>
      </c>
      <c r="I3207" s="551">
        <v>0</v>
      </c>
      <c r="J3207" s="551">
        <v>0</v>
      </c>
      <c r="K3207" s="527">
        <f t="shared" si="1931"/>
        <v>0</v>
      </c>
      <c r="L3207" s="528">
        <f t="shared" si="1932"/>
        <v>0</v>
      </c>
      <c r="M3207" s="528">
        <f t="shared" si="1933"/>
        <v>0</v>
      </c>
      <c r="N3207" s="528">
        <f t="shared" si="1934"/>
        <v>0</v>
      </c>
      <c r="O3207" s="528">
        <f t="shared" si="1935"/>
        <v>0</v>
      </c>
      <c r="P3207" s="529">
        <f t="shared" si="1936"/>
        <v>0</v>
      </c>
      <c r="Q3207" s="24">
        <f t="shared" si="1937"/>
        <v>0</v>
      </c>
      <c r="R3207" s="530">
        <f t="shared" si="1938"/>
        <v>0</v>
      </c>
    </row>
    <row r="3208" spans="1:18">
      <c r="A3208" s="524"/>
      <c r="B3208" s="540" t="s">
        <v>101</v>
      </c>
      <c r="C3208" s="552">
        <v>2283.79</v>
      </c>
      <c r="D3208" s="553">
        <v>42179</v>
      </c>
      <c r="E3208" s="551">
        <v>1734</v>
      </c>
      <c r="F3208" s="551">
        <v>1</v>
      </c>
      <c r="G3208" s="551">
        <v>14474</v>
      </c>
      <c r="H3208" s="551">
        <v>31</v>
      </c>
      <c r="I3208" s="551">
        <v>3</v>
      </c>
      <c r="J3208" s="551">
        <v>4</v>
      </c>
      <c r="K3208" s="527">
        <f t="shared" si="1931"/>
        <v>0.04111050522772</v>
      </c>
      <c r="L3208" s="528">
        <f t="shared" si="1932"/>
        <v>1.3170645905421</v>
      </c>
      <c r="M3208" s="528">
        <f t="shared" si="1933"/>
        <v>54.1451907347258</v>
      </c>
      <c r="N3208" s="528">
        <f t="shared" si="1934"/>
        <v>6.33771056007777</v>
      </c>
      <c r="O3208" s="528">
        <f t="shared" si="1935"/>
        <v>0.000576701268742791</v>
      </c>
      <c r="P3208" s="529">
        <f t="shared" si="1936"/>
        <v>67.1702941176471</v>
      </c>
      <c r="Q3208" s="24">
        <f t="shared" si="1937"/>
        <v>34</v>
      </c>
      <c r="R3208" s="530">
        <f t="shared" si="1938"/>
        <v>0.0196078431372549</v>
      </c>
    </row>
    <row r="3209" spans="1:18">
      <c r="A3209" s="524"/>
      <c r="B3209" s="531" t="s">
        <v>96</v>
      </c>
      <c r="C3209" s="533">
        <f t="shared" ref="C3209:J3209" si="1941">SUM(C3205:C3208)</f>
        <v>3781.06</v>
      </c>
      <c r="D3209" s="533">
        <f t="shared" si="1941"/>
        <v>60966</v>
      </c>
      <c r="E3209" s="533">
        <f t="shared" si="1941"/>
        <v>2373</v>
      </c>
      <c r="F3209" s="533">
        <f t="shared" si="1941"/>
        <v>3</v>
      </c>
      <c r="G3209" s="533">
        <f t="shared" si="1941"/>
        <v>33374</v>
      </c>
      <c r="H3209" s="533">
        <f t="shared" si="1941"/>
        <v>68</v>
      </c>
      <c r="I3209" s="533">
        <f t="shared" si="1941"/>
        <v>4</v>
      </c>
      <c r="J3209" s="533">
        <f t="shared" si="1941"/>
        <v>5</v>
      </c>
      <c r="K3209" s="534">
        <f t="shared" si="1931"/>
        <v>0.0389233343174884</v>
      </c>
      <c r="L3209" s="535">
        <f t="shared" si="1932"/>
        <v>1.59336704593342</v>
      </c>
      <c r="M3209" s="535">
        <f t="shared" si="1933"/>
        <v>62.0191582193354</v>
      </c>
      <c r="N3209" s="535">
        <f t="shared" si="1934"/>
        <v>8.82662533786822</v>
      </c>
      <c r="O3209" s="535">
        <f t="shared" si="1935"/>
        <v>0.00126422250316056</v>
      </c>
      <c r="P3209" s="536">
        <f t="shared" si="1936"/>
        <v>52.5147222222222</v>
      </c>
      <c r="Q3209" s="531">
        <f t="shared" si="1937"/>
        <v>72</v>
      </c>
      <c r="R3209" s="537">
        <f t="shared" si="1938"/>
        <v>0.0303413400758533</v>
      </c>
    </row>
    <row r="3210" spans="1:18">
      <c r="A3210" s="524">
        <v>46092</v>
      </c>
      <c r="B3210" s="540" t="s">
        <v>98</v>
      </c>
      <c r="C3210" s="551">
        <v>1500</v>
      </c>
      <c r="D3210" s="553">
        <v>22298</v>
      </c>
      <c r="E3210" s="551">
        <v>627</v>
      </c>
      <c r="F3210" s="551">
        <v>4</v>
      </c>
      <c r="G3210" s="551">
        <v>39164</v>
      </c>
      <c r="H3210" s="551">
        <v>34</v>
      </c>
      <c r="I3210" s="551">
        <v>2</v>
      </c>
      <c r="J3210" s="551">
        <v>2</v>
      </c>
      <c r="K3210" s="527">
        <f t="shared" si="1931"/>
        <v>0.0281191138218674</v>
      </c>
      <c r="L3210" s="528">
        <f t="shared" si="1932"/>
        <v>2.39234449760766</v>
      </c>
      <c r="M3210" s="528">
        <f t="shared" si="1933"/>
        <v>67.2706072293479</v>
      </c>
      <c r="N3210" s="528">
        <f t="shared" si="1934"/>
        <v>26.1093333333333</v>
      </c>
      <c r="O3210" s="528">
        <f t="shared" si="1935"/>
        <v>0.00637958532695375</v>
      </c>
      <c r="P3210" s="529">
        <f t="shared" si="1936"/>
        <v>41.6666666666667</v>
      </c>
      <c r="Q3210" s="24">
        <f t="shared" si="1937"/>
        <v>36</v>
      </c>
      <c r="R3210" s="530">
        <f t="shared" si="1938"/>
        <v>0.0574162679425837</v>
      </c>
    </row>
    <row r="3211" spans="1:18">
      <c r="A3211" s="524"/>
      <c r="B3211" s="540" t="s">
        <v>99</v>
      </c>
      <c r="C3211" s="551">
        <v>4925.88</v>
      </c>
      <c r="D3211" s="556">
        <v>50885</v>
      </c>
      <c r="E3211" s="551">
        <v>1858</v>
      </c>
      <c r="F3211" s="551">
        <v>3</v>
      </c>
      <c r="G3211" s="551">
        <v>34048</v>
      </c>
      <c r="H3211" s="555">
        <v>33</v>
      </c>
      <c r="I3211" s="555">
        <v>1</v>
      </c>
      <c r="J3211" s="555">
        <v>6</v>
      </c>
      <c r="K3211" s="527">
        <f t="shared" si="1931"/>
        <v>0.0365137073793849</v>
      </c>
      <c r="L3211" s="528">
        <f t="shared" si="1932"/>
        <v>2.65117330462863</v>
      </c>
      <c r="M3211" s="528">
        <f t="shared" si="1933"/>
        <v>96.8041662572467</v>
      </c>
      <c r="N3211" s="528">
        <f t="shared" si="1934"/>
        <v>6.91206444330759</v>
      </c>
      <c r="O3211" s="528">
        <f t="shared" si="1935"/>
        <v>0.00161463939720129</v>
      </c>
      <c r="P3211" s="529">
        <f t="shared" si="1936"/>
        <v>144.878823529412</v>
      </c>
      <c r="Q3211" s="24">
        <f t="shared" si="1937"/>
        <v>34</v>
      </c>
      <c r="R3211" s="530">
        <f t="shared" si="1938"/>
        <v>0.0182992465016146</v>
      </c>
    </row>
    <row r="3212" spans="1:18">
      <c r="A3212" s="524"/>
      <c r="B3212" s="540" t="s">
        <v>100</v>
      </c>
      <c r="C3212" s="552">
        <v>0</v>
      </c>
      <c r="D3212" s="553">
        <v>0</v>
      </c>
      <c r="E3212" s="553">
        <v>0</v>
      </c>
      <c r="F3212" s="551">
        <v>0</v>
      </c>
      <c r="G3212" s="551">
        <v>0</v>
      </c>
      <c r="H3212" s="551">
        <v>0</v>
      </c>
      <c r="I3212" s="551">
        <v>0</v>
      </c>
      <c r="J3212" s="551">
        <v>0</v>
      </c>
      <c r="K3212" s="527">
        <f t="shared" si="1931"/>
        <v>0</v>
      </c>
      <c r="L3212" s="528">
        <f t="shared" si="1932"/>
        <v>0</v>
      </c>
      <c r="M3212" s="528">
        <f t="shared" si="1933"/>
        <v>0</v>
      </c>
      <c r="N3212" s="528">
        <f t="shared" si="1934"/>
        <v>0</v>
      </c>
      <c r="O3212" s="528">
        <f t="shared" si="1935"/>
        <v>0</v>
      </c>
      <c r="P3212" s="529">
        <f t="shared" si="1936"/>
        <v>0</v>
      </c>
      <c r="Q3212" s="24">
        <f t="shared" si="1937"/>
        <v>0</v>
      </c>
      <c r="R3212" s="530">
        <f t="shared" si="1938"/>
        <v>0</v>
      </c>
    </row>
    <row r="3213" spans="1:18">
      <c r="A3213" s="524"/>
      <c r="B3213" s="540" t="s">
        <v>101</v>
      </c>
      <c r="C3213" s="552">
        <v>2285.82</v>
      </c>
      <c r="D3213" s="553">
        <v>42055</v>
      </c>
      <c r="E3213" s="551">
        <v>1703</v>
      </c>
      <c r="F3213" s="551">
        <v>3</v>
      </c>
      <c r="G3213" s="551">
        <v>18126</v>
      </c>
      <c r="H3213" s="551">
        <v>16</v>
      </c>
      <c r="I3213" s="551">
        <v>2</v>
      </c>
      <c r="J3213" s="551">
        <v>1</v>
      </c>
      <c r="K3213" s="527">
        <f t="shared" si="1931"/>
        <v>0.0404945904173107</v>
      </c>
      <c r="L3213" s="528">
        <f t="shared" si="1932"/>
        <v>1.34223135642983</v>
      </c>
      <c r="M3213" s="528">
        <f t="shared" si="1933"/>
        <v>54.3531090238973</v>
      </c>
      <c r="N3213" s="528">
        <f t="shared" si="1934"/>
        <v>7.929758248681</v>
      </c>
      <c r="O3213" s="528">
        <f t="shared" si="1935"/>
        <v>0.00176159718144451</v>
      </c>
      <c r="P3213" s="529">
        <f t="shared" si="1936"/>
        <v>126.99</v>
      </c>
      <c r="Q3213" s="24">
        <f t="shared" si="1937"/>
        <v>18</v>
      </c>
      <c r="R3213" s="530">
        <f t="shared" si="1938"/>
        <v>0.0105695830886671</v>
      </c>
    </row>
    <row r="3214" spans="1:18">
      <c r="A3214" s="524"/>
      <c r="B3214" s="531" t="s">
        <v>96</v>
      </c>
      <c r="C3214" s="533">
        <f t="shared" ref="C3214:J3214" si="1942">SUM(C3210:C3213)</f>
        <v>8711.7</v>
      </c>
      <c r="D3214" s="533">
        <f t="shared" si="1942"/>
        <v>115238</v>
      </c>
      <c r="E3214" s="533">
        <f t="shared" si="1942"/>
        <v>4188</v>
      </c>
      <c r="F3214" s="533">
        <f t="shared" si="1942"/>
        <v>10</v>
      </c>
      <c r="G3214" s="533">
        <f t="shared" si="1942"/>
        <v>91338</v>
      </c>
      <c r="H3214" s="533">
        <f t="shared" si="1942"/>
        <v>83</v>
      </c>
      <c r="I3214" s="533">
        <f t="shared" si="1942"/>
        <v>5</v>
      </c>
      <c r="J3214" s="533">
        <f t="shared" si="1942"/>
        <v>9</v>
      </c>
      <c r="K3214" s="534">
        <f t="shared" si="1931"/>
        <v>0.0363421787951891</v>
      </c>
      <c r="L3214" s="535">
        <f t="shared" si="1932"/>
        <v>2.08015759312321</v>
      </c>
      <c r="M3214" s="535">
        <f t="shared" si="1933"/>
        <v>75.5974591714539</v>
      </c>
      <c r="N3214" s="535">
        <f t="shared" si="1934"/>
        <v>10.4845208168325</v>
      </c>
      <c r="O3214" s="535">
        <f t="shared" si="1935"/>
        <v>0.00238777459407832</v>
      </c>
      <c r="P3214" s="536">
        <f t="shared" si="1936"/>
        <v>98.9965909090909</v>
      </c>
      <c r="Q3214" s="531">
        <f t="shared" si="1937"/>
        <v>88</v>
      </c>
      <c r="R3214" s="537">
        <f t="shared" si="1938"/>
        <v>0.0210124164278892</v>
      </c>
    </row>
    <row r="3215" spans="1:18">
      <c r="A3215" s="524">
        <v>46093</v>
      </c>
      <c r="B3215" s="540" t="s">
        <v>98</v>
      </c>
      <c r="C3215" s="551">
        <v>1500</v>
      </c>
      <c r="D3215" s="553">
        <v>26278</v>
      </c>
      <c r="E3215" s="551">
        <v>813</v>
      </c>
      <c r="F3215" s="551">
        <v>1</v>
      </c>
      <c r="G3215" s="551">
        <v>12843</v>
      </c>
      <c r="H3215" s="551">
        <v>27</v>
      </c>
      <c r="I3215" s="551">
        <v>10</v>
      </c>
      <c r="J3215" s="551">
        <v>3</v>
      </c>
      <c r="K3215" s="527">
        <f t="shared" si="1931"/>
        <v>0.0309384275820078</v>
      </c>
      <c r="L3215" s="528">
        <f t="shared" si="1932"/>
        <v>1.8450184501845</v>
      </c>
      <c r="M3215" s="528">
        <f t="shared" si="1933"/>
        <v>57.0819697085014</v>
      </c>
      <c r="N3215" s="528">
        <f t="shared" si="1934"/>
        <v>8.562</v>
      </c>
      <c r="O3215" s="528">
        <f t="shared" si="1935"/>
        <v>0.001230012300123</v>
      </c>
      <c r="P3215" s="529">
        <f t="shared" si="1936"/>
        <v>40.5405405405405</v>
      </c>
      <c r="Q3215" s="24">
        <f t="shared" si="1937"/>
        <v>37</v>
      </c>
      <c r="R3215" s="530">
        <f t="shared" si="1938"/>
        <v>0.045510455104551</v>
      </c>
    </row>
    <row r="3216" spans="1:18">
      <c r="A3216" s="524"/>
      <c r="B3216" s="540" t="s">
        <v>99</v>
      </c>
      <c r="C3216" s="551">
        <v>5000</v>
      </c>
      <c r="D3216" s="556">
        <v>94521</v>
      </c>
      <c r="E3216" s="551">
        <v>2267</v>
      </c>
      <c r="F3216" s="551">
        <v>3</v>
      </c>
      <c r="G3216" s="551">
        <v>31336</v>
      </c>
      <c r="H3216" s="555">
        <v>39</v>
      </c>
      <c r="I3216" s="555">
        <v>2</v>
      </c>
      <c r="J3216" s="555">
        <v>6</v>
      </c>
      <c r="K3216" s="527">
        <f t="shared" si="1931"/>
        <v>0.023984088192042</v>
      </c>
      <c r="L3216" s="528">
        <f t="shared" si="1932"/>
        <v>2.20555800617556</v>
      </c>
      <c r="M3216" s="528">
        <f t="shared" si="1933"/>
        <v>52.898297732779</v>
      </c>
      <c r="N3216" s="528">
        <f t="shared" si="1934"/>
        <v>6.2672</v>
      </c>
      <c r="O3216" s="528">
        <f t="shared" si="1935"/>
        <v>0.00132333480370534</v>
      </c>
      <c r="P3216" s="529">
        <f t="shared" si="1936"/>
        <v>121.951219512195</v>
      </c>
      <c r="Q3216" s="24">
        <f t="shared" si="1937"/>
        <v>41</v>
      </c>
      <c r="R3216" s="530">
        <f t="shared" si="1938"/>
        <v>0.0180855756506396</v>
      </c>
    </row>
    <row r="3217" spans="1:18">
      <c r="A3217" s="524"/>
      <c r="B3217" s="540" t="s">
        <v>100</v>
      </c>
      <c r="C3217" s="552">
        <v>0</v>
      </c>
      <c r="D3217" s="553">
        <v>0</v>
      </c>
      <c r="E3217" s="553">
        <v>0</v>
      </c>
      <c r="F3217" s="551">
        <v>0</v>
      </c>
      <c r="G3217" s="551">
        <v>0</v>
      </c>
      <c r="H3217" s="551">
        <v>0</v>
      </c>
      <c r="I3217" s="551">
        <v>0</v>
      </c>
      <c r="J3217" s="551">
        <v>0</v>
      </c>
      <c r="K3217" s="527">
        <f t="shared" si="1931"/>
        <v>0</v>
      </c>
      <c r="L3217" s="528">
        <f t="shared" si="1932"/>
        <v>0</v>
      </c>
      <c r="M3217" s="528">
        <f t="shared" si="1933"/>
        <v>0</v>
      </c>
      <c r="N3217" s="528">
        <f t="shared" si="1934"/>
        <v>0</v>
      </c>
      <c r="O3217" s="528">
        <f t="shared" si="1935"/>
        <v>0</v>
      </c>
      <c r="P3217" s="529">
        <f t="shared" si="1936"/>
        <v>0</v>
      </c>
      <c r="Q3217" s="24">
        <f t="shared" si="1937"/>
        <v>0</v>
      </c>
      <c r="R3217" s="530">
        <f t="shared" si="1938"/>
        <v>0</v>
      </c>
    </row>
    <row r="3218" spans="1:18">
      <c r="A3218" s="524"/>
      <c r="B3218" s="540" t="s">
        <v>101</v>
      </c>
      <c r="C3218" s="552">
        <v>2273.64</v>
      </c>
      <c r="D3218" s="553">
        <v>79789</v>
      </c>
      <c r="E3218" s="551">
        <v>2476</v>
      </c>
      <c r="F3218" s="551">
        <v>1</v>
      </c>
      <c r="G3218" s="551">
        <v>16052</v>
      </c>
      <c r="H3218" s="551">
        <v>36</v>
      </c>
      <c r="I3218" s="551">
        <v>1</v>
      </c>
      <c r="J3218" s="551">
        <v>2</v>
      </c>
      <c r="K3218" s="527">
        <f t="shared" si="1931"/>
        <v>0.0310318464951309</v>
      </c>
      <c r="L3218" s="528">
        <f t="shared" si="1932"/>
        <v>0.91827140549273</v>
      </c>
      <c r="M3218" s="528">
        <f t="shared" si="1933"/>
        <v>28.4956572961185</v>
      </c>
      <c r="N3218" s="528">
        <f t="shared" si="1934"/>
        <v>7.06004468605408</v>
      </c>
      <c r="O3218" s="528">
        <f t="shared" si="1935"/>
        <v>0.000403877221324717</v>
      </c>
      <c r="P3218" s="529">
        <f t="shared" si="1936"/>
        <v>61.4497297297297</v>
      </c>
      <c r="Q3218" s="24">
        <f t="shared" si="1937"/>
        <v>37</v>
      </c>
      <c r="R3218" s="530">
        <f t="shared" si="1938"/>
        <v>0.0149434571890145</v>
      </c>
    </row>
    <row r="3219" spans="1:18">
      <c r="A3219" s="524"/>
      <c r="B3219" s="531" t="s">
        <v>96</v>
      </c>
      <c r="C3219" s="533">
        <f t="shared" ref="C3219:J3219" si="1943">SUM(C3215:C3218)</f>
        <v>8773.64</v>
      </c>
      <c r="D3219" s="533">
        <f t="shared" si="1943"/>
        <v>200588</v>
      </c>
      <c r="E3219" s="533">
        <f t="shared" si="1943"/>
        <v>5556</v>
      </c>
      <c r="F3219" s="533">
        <f t="shared" si="1943"/>
        <v>5</v>
      </c>
      <c r="G3219" s="533">
        <f t="shared" si="1943"/>
        <v>60231</v>
      </c>
      <c r="H3219" s="533">
        <f t="shared" si="1943"/>
        <v>102</v>
      </c>
      <c r="I3219" s="533">
        <f t="shared" si="1943"/>
        <v>13</v>
      </c>
      <c r="J3219" s="533">
        <f t="shared" si="1943"/>
        <v>11</v>
      </c>
      <c r="K3219" s="534">
        <f t="shared" si="1931"/>
        <v>0.0276985662153269</v>
      </c>
      <c r="L3219" s="535">
        <f t="shared" si="1932"/>
        <v>1.57912886969042</v>
      </c>
      <c r="M3219" s="535">
        <f t="shared" si="1933"/>
        <v>43.7396055596546</v>
      </c>
      <c r="N3219" s="535">
        <f t="shared" si="1934"/>
        <v>6.86499560045774</v>
      </c>
      <c r="O3219" s="535">
        <f t="shared" si="1935"/>
        <v>0.000899928005759539</v>
      </c>
      <c r="P3219" s="536">
        <f t="shared" si="1936"/>
        <v>76.2925217391304</v>
      </c>
      <c r="Q3219" s="531">
        <f t="shared" si="1937"/>
        <v>115</v>
      </c>
      <c r="R3219" s="537">
        <f t="shared" si="1938"/>
        <v>0.0206983441324694</v>
      </c>
    </row>
    <row r="3220" spans="1:18">
      <c r="A3220" s="524">
        <v>46094</v>
      </c>
      <c r="B3220" s="540" t="s">
        <v>98</v>
      </c>
      <c r="C3220" s="551">
        <v>1500</v>
      </c>
      <c r="D3220" s="553">
        <v>20441</v>
      </c>
      <c r="E3220" s="551">
        <v>605</v>
      </c>
      <c r="F3220" s="551">
        <v>2</v>
      </c>
      <c r="G3220" s="551">
        <v>22682</v>
      </c>
      <c r="H3220" s="551">
        <v>31</v>
      </c>
      <c r="I3220" s="551">
        <v>10</v>
      </c>
      <c r="J3220" s="551">
        <v>5</v>
      </c>
      <c r="K3220" s="527">
        <f t="shared" si="1931"/>
        <v>0.0295973778190891</v>
      </c>
      <c r="L3220" s="528">
        <f t="shared" si="1932"/>
        <v>2.47933884297521</v>
      </c>
      <c r="M3220" s="528">
        <f t="shared" si="1933"/>
        <v>73.3819284770804</v>
      </c>
      <c r="N3220" s="528">
        <f t="shared" si="1934"/>
        <v>15.1213333333333</v>
      </c>
      <c r="O3220" s="528">
        <f t="shared" si="1935"/>
        <v>0.00330578512396694</v>
      </c>
      <c r="P3220" s="529">
        <f t="shared" si="1936"/>
        <v>36.5853658536585</v>
      </c>
      <c r="Q3220" s="24">
        <f t="shared" si="1937"/>
        <v>41</v>
      </c>
      <c r="R3220" s="530">
        <f t="shared" si="1938"/>
        <v>0.0677685950413223</v>
      </c>
    </row>
    <row r="3221" spans="1:18">
      <c r="A3221" s="524"/>
      <c r="B3221" s="540" t="s">
        <v>99</v>
      </c>
      <c r="C3221" s="551">
        <v>1470.96</v>
      </c>
      <c r="D3221" s="556">
        <v>26254</v>
      </c>
      <c r="E3221" s="551">
        <v>530</v>
      </c>
      <c r="F3221" s="551">
        <v>0</v>
      </c>
      <c r="G3221" s="551">
        <v>0</v>
      </c>
      <c r="H3221" s="555">
        <v>30</v>
      </c>
      <c r="I3221" s="555">
        <v>2</v>
      </c>
      <c r="J3221" s="555">
        <v>1</v>
      </c>
      <c r="K3221" s="527">
        <f t="shared" si="1931"/>
        <v>0.0201874000152358</v>
      </c>
      <c r="L3221" s="528">
        <f t="shared" si="1932"/>
        <v>2.77539622641509</v>
      </c>
      <c r="M3221" s="528">
        <f t="shared" si="1933"/>
        <v>56.0280338234174</v>
      </c>
      <c r="N3221" s="528">
        <f t="shared" si="1934"/>
        <v>0</v>
      </c>
      <c r="O3221" s="528">
        <f t="shared" si="1935"/>
        <v>0</v>
      </c>
      <c r="P3221" s="529">
        <f t="shared" si="1936"/>
        <v>45.9675</v>
      </c>
      <c r="Q3221" s="24">
        <f t="shared" si="1937"/>
        <v>32</v>
      </c>
      <c r="R3221" s="530">
        <f t="shared" si="1938"/>
        <v>0.060377358490566</v>
      </c>
    </row>
    <row r="3222" spans="1:18">
      <c r="A3222" s="524"/>
      <c r="B3222" s="540" t="s">
        <v>100</v>
      </c>
      <c r="C3222" s="552">
        <v>0</v>
      </c>
      <c r="D3222" s="553">
        <v>0</v>
      </c>
      <c r="E3222" s="553">
        <v>0</v>
      </c>
      <c r="F3222" s="551">
        <v>0</v>
      </c>
      <c r="G3222" s="551">
        <v>0</v>
      </c>
      <c r="H3222" s="551">
        <v>0</v>
      </c>
      <c r="I3222" s="551">
        <v>0</v>
      </c>
      <c r="J3222" s="551">
        <v>0</v>
      </c>
      <c r="K3222" s="527">
        <f t="shared" si="1931"/>
        <v>0</v>
      </c>
      <c r="L3222" s="528">
        <f t="shared" si="1932"/>
        <v>0</v>
      </c>
      <c r="M3222" s="528">
        <f t="shared" si="1933"/>
        <v>0</v>
      </c>
      <c r="N3222" s="528">
        <f t="shared" si="1934"/>
        <v>0</v>
      </c>
      <c r="O3222" s="528">
        <f t="shared" si="1935"/>
        <v>0</v>
      </c>
      <c r="P3222" s="529">
        <f t="shared" si="1936"/>
        <v>0</v>
      </c>
      <c r="Q3222" s="24">
        <f t="shared" si="1937"/>
        <v>0</v>
      </c>
      <c r="R3222" s="530">
        <f t="shared" si="1938"/>
        <v>0</v>
      </c>
    </row>
    <row r="3223" spans="1:18">
      <c r="A3223" s="524"/>
      <c r="B3223" s="540" t="s">
        <v>101</v>
      </c>
      <c r="C3223" s="552">
        <v>2261.25</v>
      </c>
      <c r="D3223" s="553">
        <v>186662</v>
      </c>
      <c r="E3223" s="551">
        <v>4803</v>
      </c>
      <c r="F3223" s="551">
        <v>0</v>
      </c>
      <c r="G3223" s="551">
        <v>0</v>
      </c>
      <c r="H3223" s="551">
        <v>30</v>
      </c>
      <c r="I3223" s="551">
        <v>9</v>
      </c>
      <c r="J3223" s="551">
        <v>1</v>
      </c>
      <c r="K3223" s="527">
        <f t="shared" si="1931"/>
        <v>0.0257310004178676</v>
      </c>
      <c r="L3223" s="528">
        <f t="shared" si="1932"/>
        <v>0.470799500312305</v>
      </c>
      <c r="M3223" s="528">
        <f t="shared" si="1933"/>
        <v>12.1141421392678</v>
      </c>
      <c r="N3223" s="528">
        <f t="shared" si="1934"/>
        <v>0</v>
      </c>
      <c r="O3223" s="528">
        <f t="shared" si="1935"/>
        <v>0</v>
      </c>
      <c r="P3223" s="529">
        <f t="shared" si="1936"/>
        <v>57.9807692307692</v>
      </c>
      <c r="Q3223" s="24">
        <f t="shared" si="1937"/>
        <v>39</v>
      </c>
      <c r="R3223" s="530">
        <f t="shared" si="1938"/>
        <v>0.00811992504684572</v>
      </c>
    </row>
    <row r="3224" spans="1:18">
      <c r="A3224" s="524"/>
      <c r="B3224" s="531" t="s">
        <v>96</v>
      </c>
      <c r="C3224" s="533">
        <f t="shared" ref="C3224:J3224" si="1944">SUM(C3220:C3223)</f>
        <v>5232.21</v>
      </c>
      <c r="D3224" s="533">
        <f t="shared" si="1944"/>
        <v>233357</v>
      </c>
      <c r="E3224" s="533">
        <f t="shared" si="1944"/>
        <v>5938</v>
      </c>
      <c r="F3224" s="533">
        <f t="shared" si="1944"/>
        <v>2</v>
      </c>
      <c r="G3224" s="533">
        <f t="shared" si="1944"/>
        <v>22682</v>
      </c>
      <c r="H3224" s="533">
        <f t="shared" si="1944"/>
        <v>91</v>
      </c>
      <c r="I3224" s="533">
        <f t="shared" si="1944"/>
        <v>21</v>
      </c>
      <c r="J3224" s="533">
        <f t="shared" si="1944"/>
        <v>7</v>
      </c>
      <c r="K3224" s="534">
        <f t="shared" si="1931"/>
        <v>0.0254459904781086</v>
      </c>
      <c r="L3224" s="535">
        <f t="shared" si="1932"/>
        <v>0.881140114516672</v>
      </c>
      <c r="M3224" s="535">
        <f t="shared" si="1933"/>
        <v>22.4214829638708</v>
      </c>
      <c r="N3224" s="535">
        <f t="shared" si="1934"/>
        <v>4.33507064892273</v>
      </c>
      <c r="O3224" s="535">
        <f t="shared" si="1935"/>
        <v>0.000336813742000674</v>
      </c>
      <c r="P3224" s="536">
        <f t="shared" si="1936"/>
        <v>46.7161607142857</v>
      </c>
      <c r="Q3224" s="531">
        <f t="shared" si="1937"/>
        <v>112</v>
      </c>
      <c r="R3224" s="537">
        <f t="shared" si="1938"/>
        <v>0.0188615695520377</v>
      </c>
    </row>
    <row r="3225" spans="1:18">
      <c r="A3225" s="524">
        <v>46095</v>
      </c>
      <c r="B3225" s="540" t="s">
        <v>98</v>
      </c>
      <c r="C3225" s="551">
        <v>1500</v>
      </c>
      <c r="D3225" s="553">
        <v>18185</v>
      </c>
      <c r="E3225" s="551">
        <v>548</v>
      </c>
      <c r="F3225" s="551">
        <v>3</v>
      </c>
      <c r="G3225" s="551">
        <v>36780</v>
      </c>
      <c r="H3225" s="551">
        <v>37</v>
      </c>
      <c r="I3225" s="551">
        <v>7</v>
      </c>
      <c r="J3225" s="551">
        <v>4</v>
      </c>
      <c r="K3225" s="527">
        <f t="shared" si="1931"/>
        <v>0.030134726422876</v>
      </c>
      <c r="L3225" s="528">
        <f t="shared" si="1932"/>
        <v>2.73722627737226</v>
      </c>
      <c r="M3225" s="528">
        <f t="shared" si="1933"/>
        <v>82.4855650261204</v>
      </c>
      <c r="N3225" s="528">
        <f t="shared" si="1934"/>
        <v>24.52</v>
      </c>
      <c r="O3225" s="528">
        <f t="shared" si="1935"/>
        <v>0.00547445255474453</v>
      </c>
      <c r="P3225" s="529">
        <f t="shared" si="1936"/>
        <v>34.0909090909091</v>
      </c>
      <c r="Q3225" s="24">
        <f t="shared" si="1937"/>
        <v>44</v>
      </c>
      <c r="R3225" s="530">
        <f t="shared" si="1938"/>
        <v>0.0802919708029197</v>
      </c>
    </row>
    <row r="3226" spans="1:18">
      <c r="A3226" s="524"/>
      <c r="B3226" s="540" t="s">
        <v>99</v>
      </c>
      <c r="C3226" s="551">
        <v>1500</v>
      </c>
      <c r="D3226" s="556">
        <v>36031</v>
      </c>
      <c r="E3226" s="551">
        <v>781</v>
      </c>
      <c r="F3226" s="551">
        <v>0</v>
      </c>
      <c r="G3226" s="551">
        <v>0</v>
      </c>
      <c r="H3226" s="555">
        <v>16</v>
      </c>
      <c r="I3226" s="555">
        <v>1</v>
      </c>
      <c r="J3226" s="555">
        <v>3</v>
      </c>
      <c r="K3226" s="527">
        <f t="shared" si="1931"/>
        <v>0.0216757791901418</v>
      </c>
      <c r="L3226" s="528">
        <f t="shared" si="1932"/>
        <v>1.92061459667093</v>
      </c>
      <c r="M3226" s="528">
        <f t="shared" si="1933"/>
        <v>41.6308179068025</v>
      </c>
      <c r="N3226" s="528">
        <f t="shared" si="1934"/>
        <v>0</v>
      </c>
      <c r="O3226" s="528">
        <f t="shared" si="1935"/>
        <v>0</v>
      </c>
      <c r="P3226" s="529">
        <f t="shared" si="1936"/>
        <v>88.2352941176471</v>
      </c>
      <c r="Q3226" s="24">
        <f t="shared" si="1937"/>
        <v>17</v>
      </c>
      <c r="R3226" s="530">
        <f t="shared" si="1938"/>
        <v>0.0217669654289373</v>
      </c>
    </row>
    <row r="3227" spans="1:18">
      <c r="A3227" s="524"/>
      <c r="B3227" s="540" t="s">
        <v>100</v>
      </c>
      <c r="C3227" s="552">
        <v>0</v>
      </c>
      <c r="D3227" s="553">
        <v>0</v>
      </c>
      <c r="E3227" s="553">
        <v>0</v>
      </c>
      <c r="F3227" s="551">
        <v>0</v>
      </c>
      <c r="G3227" s="551">
        <v>0</v>
      </c>
      <c r="H3227" s="551">
        <v>0</v>
      </c>
      <c r="I3227" s="551">
        <v>0</v>
      </c>
      <c r="J3227" s="551">
        <v>0</v>
      </c>
      <c r="K3227" s="527">
        <f t="shared" si="1931"/>
        <v>0</v>
      </c>
      <c r="L3227" s="528">
        <f t="shared" si="1932"/>
        <v>0</v>
      </c>
      <c r="M3227" s="528">
        <f t="shared" si="1933"/>
        <v>0</v>
      </c>
      <c r="N3227" s="528">
        <f t="shared" si="1934"/>
        <v>0</v>
      </c>
      <c r="O3227" s="528">
        <f t="shared" si="1935"/>
        <v>0</v>
      </c>
      <c r="P3227" s="529">
        <f t="shared" si="1936"/>
        <v>0</v>
      </c>
      <c r="Q3227" s="24">
        <f t="shared" si="1937"/>
        <v>0</v>
      </c>
      <c r="R3227" s="530">
        <f t="shared" si="1938"/>
        <v>0</v>
      </c>
    </row>
    <row r="3228" spans="1:18">
      <c r="A3228" s="524"/>
      <c r="B3228" s="540" t="s">
        <v>101</v>
      </c>
      <c r="C3228" s="552">
        <v>2283.72</v>
      </c>
      <c r="D3228" s="553">
        <v>149714</v>
      </c>
      <c r="E3228" s="551">
        <v>4119</v>
      </c>
      <c r="F3228" s="551">
        <v>2</v>
      </c>
      <c r="G3228" s="551">
        <v>14234</v>
      </c>
      <c r="H3228" s="551">
        <v>28</v>
      </c>
      <c r="I3228" s="551">
        <v>3</v>
      </c>
      <c r="J3228" s="551">
        <v>2</v>
      </c>
      <c r="K3228" s="527">
        <f t="shared" si="1931"/>
        <v>0.0275124570848418</v>
      </c>
      <c r="L3228" s="528">
        <f t="shared" si="1932"/>
        <v>0.554435542607429</v>
      </c>
      <c r="M3228" s="528">
        <f t="shared" si="1933"/>
        <v>15.2538840722978</v>
      </c>
      <c r="N3228" s="528">
        <f t="shared" si="1934"/>
        <v>6.23281312945545</v>
      </c>
      <c r="O3228" s="528">
        <f t="shared" si="1935"/>
        <v>0.000485554746297645</v>
      </c>
      <c r="P3228" s="529">
        <f t="shared" si="1936"/>
        <v>73.6683870967742</v>
      </c>
      <c r="Q3228" s="24">
        <f t="shared" si="1937"/>
        <v>31</v>
      </c>
      <c r="R3228" s="530">
        <f t="shared" si="1938"/>
        <v>0.0075260985676135</v>
      </c>
    </row>
    <row r="3229" spans="1:18">
      <c r="A3229" s="524"/>
      <c r="B3229" s="531" t="s">
        <v>96</v>
      </c>
      <c r="C3229" s="533">
        <f t="shared" ref="C3229:J3229" si="1945">SUM(C3225:C3228)</f>
        <v>5283.72</v>
      </c>
      <c r="D3229" s="533">
        <f t="shared" si="1945"/>
        <v>203930</v>
      </c>
      <c r="E3229" s="533">
        <f t="shared" si="1945"/>
        <v>5448</v>
      </c>
      <c r="F3229" s="533">
        <f t="shared" si="1945"/>
        <v>5</v>
      </c>
      <c r="G3229" s="533">
        <f t="shared" si="1945"/>
        <v>51014</v>
      </c>
      <c r="H3229" s="533">
        <f t="shared" si="1945"/>
        <v>81</v>
      </c>
      <c r="I3229" s="533">
        <f t="shared" si="1945"/>
        <v>11</v>
      </c>
      <c r="J3229" s="533">
        <f t="shared" si="1945"/>
        <v>9</v>
      </c>
      <c r="K3229" s="534">
        <f t="shared" si="1931"/>
        <v>0.0267150492816162</v>
      </c>
      <c r="L3229" s="535">
        <f t="shared" si="1932"/>
        <v>0.969845814977973</v>
      </c>
      <c r="M3229" s="535">
        <f t="shared" si="1933"/>
        <v>25.9094787427058</v>
      </c>
      <c r="N3229" s="535">
        <f t="shared" si="1934"/>
        <v>9.65494008009509</v>
      </c>
      <c r="O3229" s="535">
        <f t="shared" si="1935"/>
        <v>0.00091776798825257</v>
      </c>
      <c r="P3229" s="536">
        <f t="shared" si="1936"/>
        <v>57.4317391304348</v>
      </c>
      <c r="Q3229" s="531">
        <f t="shared" si="1937"/>
        <v>92</v>
      </c>
      <c r="R3229" s="537">
        <f t="shared" si="1938"/>
        <v>0.0168869309838473</v>
      </c>
    </row>
    <row r="3230" spans="1:18">
      <c r="A3230" s="524">
        <v>46096</v>
      </c>
      <c r="B3230" s="540" t="s">
        <v>98</v>
      </c>
      <c r="C3230" s="551">
        <v>272.21</v>
      </c>
      <c r="D3230" s="553">
        <v>4560</v>
      </c>
      <c r="E3230" s="551">
        <v>134</v>
      </c>
      <c r="F3230" s="551">
        <v>0</v>
      </c>
      <c r="G3230" s="551">
        <v>0</v>
      </c>
      <c r="H3230" s="551">
        <v>3</v>
      </c>
      <c r="I3230" s="551">
        <v>5</v>
      </c>
      <c r="J3230" s="551">
        <v>0</v>
      </c>
      <c r="K3230" s="527">
        <f t="shared" si="1931"/>
        <v>0.0293859649122807</v>
      </c>
      <c r="L3230" s="528">
        <f t="shared" si="1932"/>
        <v>2.03141791044776</v>
      </c>
      <c r="M3230" s="528">
        <f t="shared" si="1933"/>
        <v>59.6951754385965</v>
      </c>
      <c r="N3230" s="528">
        <f t="shared" si="1934"/>
        <v>0</v>
      </c>
      <c r="O3230" s="528">
        <f t="shared" si="1935"/>
        <v>0</v>
      </c>
      <c r="P3230" s="529">
        <f t="shared" si="1936"/>
        <v>34.02625</v>
      </c>
      <c r="Q3230" s="24">
        <f t="shared" si="1937"/>
        <v>8</v>
      </c>
      <c r="R3230" s="530">
        <f t="shared" si="1938"/>
        <v>0.0597014925373134</v>
      </c>
    </row>
    <row r="3231" spans="1:18">
      <c r="A3231" s="524"/>
      <c r="B3231" s="540" t="s">
        <v>99</v>
      </c>
      <c r="C3231" s="551">
        <v>0</v>
      </c>
      <c r="D3231" s="556">
        <v>0</v>
      </c>
      <c r="E3231" s="551">
        <v>0</v>
      </c>
      <c r="F3231" s="551">
        <v>0</v>
      </c>
      <c r="G3231" s="551">
        <v>0</v>
      </c>
      <c r="H3231" s="555">
        <v>0</v>
      </c>
      <c r="I3231" s="555">
        <v>0</v>
      </c>
      <c r="J3231" s="555">
        <v>0</v>
      </c>
      <c r="K3231" s="527">
        <f t="shared" si="1931"/>
        <v>0</v>
      </c>
      <c r="L3231" s="528">
        <f t="shared" si="1932"/>
        <v>0</v>
      </c>
      <c r="M3231" s="528">
        <f t="shared" si="1933"/>
        <v>0</v>
      </c>
      <c r="N3231" s="528">
        <f t="shared" si="1934"/>
        <v>0</v>
      </c>
      <c r="O3231" s="528">
        <f t="shared" si="1935"/>
        <v>0</v>
      </c>
      <c r="P3231" s="529">
        <f t="shared" si="1936"/>
        <v>0</v>
      </c>
      <c r="Q3231" s="24">
        <f t="shared" si="1937"/>
        <v>0</v>
      </c>
      <c r="R3231" s="530">
        <f t="shared" si="1938"/>
        <v>0</v>
      </c>
    </row>
    <row r="3232" spans="1:18">
      <c r="A3232" s="524"/>
      <c r="B3232" s="540" t="s">
        <v>100</v>
      </c>
      <c r="C3232" s="552">
        <v>0</v>
      </c>
      <c r="D3232" s="553">
        <v>0</v>
      </c>
      <c r="E3232" s="553">
        <v>0</v>
      </c>
      <c r="F3232" s="551">
        <v>0</v>
      </c>
      <c r="G3232" s="551">
        <v>0</v>
      </c>
      <c r="H3232" s="551">
        <v>0</v>
      </c>
      <c r="I3232" s="551">
        <v>0</v>
      </c>
      <c r="J3232" s="551">
        <v>0</v>
      </c>
      <c r="K3232" s="527">
        <f t="shared" si="1931"/>
        <v>0</v>
      </c>
      <c r="L3232" s="528">
        <f t="shared" si="1932"/>
        <v>0</v>
      </c>
      <c r="M3232" s="528">
        <f t="shared" si="1933"/>
        <v>0</v>
      </c>
      <c r="N3232" s="528">
        <f t="shared" si="1934"/>
        <v>0</v>
      </c>
      <c r="O3232" s="528">
        <f t="shared" si="1935"/>
        <v>0</v>
      </c>
      <c r="P3232" s="529">
        <f t="shared" si="1936"/>
        <v>0</v>
      </c>
      <c r="Q3232" s="24">
        <f t="shared" si="1937"/>
        <v>0</v>
      </c>
      <c r="R3232" s="530">
        <f t="shared" si="1938"/>
        <v>0</v>
      </c>
    </row>
    <row r="3233" spans="1:18">
      <c r="A3233" s="524"/>
      <c r="B3233" s="540" t="s">
        <v>101</v>
      </c>
      <c r="C3233" s="552">
        <v>195.29</v>
      </c>
      <c r="D3233" s="553">
        <v>11554</v>
      </c>
      <c r="E3233" s="551">
        <v>401</v>
      </c>
      <c r="F3233" s="551">
        <v>0</v>
      </c>
      <c r="G3233" s="551">
        <v>0</v>
      </c>
      <c r="H3233" s="551">
        <v>3</v>
      </c>
      <c r="I3233" s="551">
        <v>0</v>
      </c>
      <c r="J3233" s="551">
        <v>0</v>
      </c>
      <c r="K3233" s="527">
        <f t="shared" si="1931"/>
        <v>0.0347065951185737</v>
      </c>
      <c r="L3233" s="528">
        <f t="shared" si="1932"/>
        <v>0.487007481296758</v>
      </c>
      <c r="M3233" s="528">
        <f t="shared" si="1933"/>
        <v>16.9023714730829</v>
      </c>
      <c r="N3233" s="528">
        <f t="shared" si="1934"/>
        <v>0</v>
      </c>
      <c r="O3233" s="528">
        <f t="shared" si="1935"/>
        <v>0</v>
      </c>
      <c r="P3233" s="529">
        <f t="shared" si="1936"/>
        <v>65.0966666666667</v>
      </c>
      <c r="Q3233" s="24">
        <f t="shared" si="1937"/>
        <v>3</v>
      </c>
      <c r="R3233" s="530">
        <f t="shared" si="1938"/>
        <v>0.00748129675810474</v>
      </c>
    </row>
    <row r="3234" spans="1:18">
      <c r="A3234" s="524"/>
      <c r="B3234" s="531" t="s">
        <v>96</v>
      </c>
      <c r="C3234" s="533">
        <f t="shared" ref="C3234:J3234" si="1946">SUM(C3230:C3233)</f>
        <v>467.5</v>
      </c>
      <c r="D3234" s="533">
        <f t="shared" si="1946"/>
        <v>16114</v>
      </c>
      <c r="E3234" s="533">
        <f t="shared" si="1946"/>
        <v>535</v>
      </c>
      <c r="F3234" s="533">
        <f t="shared" si="1946"/>
        <v>0</v>
      </c>
      <c r="G3234" s="533">
        <f t="shared" si="1946"/>
        <v>0</v>
      </c>
      <c r="H3234" s="533">
        <f t="shared" si="1946"/>
        <v>6</v>
      </c>
      <c r="I3234" s="533">
        <f t="shared" si="1946"/>
        <v>5</v>
      </c>
      <c r="J3234" s="533">
        <f t="shared" si="1946"/>
        <v>0</v>
      </c>
      <c r="K3234" s="534">
        <f t="shared" si="1931"/>
        <v>0.0332009432791362</v>
      </c>
      <c r="L3234" s="535">
        <f t="shared" si="1932"/>
        <v>0.873831775700935</v>
      </c>
      <c r="M3234" s="535">
        <f t="shared" si="1933"/>
        <v>29.0120392205536</v>
      </c>
      <c r="N3234" s="535">
        <f t="shared" si="1934"/>
        <v>0</v>
      </c>
      <c r="O3234" s="535">
        <f t="shared" si="1935"/>
        <v>0</v>
      </c>
      <c r="P3234" s="536">
        <f t="shared" si="1936"/>
        <v>42.5</v>
      </c>
      <c r="Q3234" s="531">
        <f t="shared" si="1937"/>
        <v>11</v>
      </c>
      <c r="R3234" s="537">
        <f t="shared" si="1938"/>
        <v>0.0205607476635514</v>
      </c>
    </row>
    <row r="3235" spans="1:18">
      <c r="A3235" s="524">
        <v>46097</v>
      </c>
      <c r="B3235" s="540" t="s">
        <v>98</v>
      </c>
      <c r="C3235" s="551">
        <v>0</v>
      </c>
      <c r="D3235" s="553">
        <v>0</v>
      </c>
      <c r="E3235" s="551">
        <v>0</v>
      </c>
      <c r="F3235" s="551">
        <v>0</v>
      </c>
      <c r="G3235" s="551">
        <v>0</v>
      </c>
      <c r="H3235" s="551">
        <v>0</v>
      </c>
      <c r="I3235" s="551">
        <v>0</v>
      </c>
      <c r="J3235" s="551">
        <v>0</v>
      </c>
      <c r="K3235" s="527">
        <f t="shared" si="1931"/>
        <v>0</v>
      </c>
      <c r="L3235" s="528">
        <f t="shared" si="1932"/>
        <v>0</v>
      </c>
      <c r="M3235" s="528">
        <f t="shared" si="1933"/>
        <v>0</v>
      </c>
      <c r="N3235" s="528">
        <f t="shared" si="1934"/>
        <v>0</v>
      </c>
      <c r="O3235" s="528">
        <f t="shared" si="1935"/>
        <v>0</v>
      </c>
      <c r="P3235" s="529">
        <f t="shared" si="1936"/>
        <v>0</v>
      </c>
      <c r="Q3235" s="24">
        <f t="shared" si="1937"/>
        <v>0</v>
      </c>
      <c r="R3235" s="530">
        <f t="shared" si="1938"/>
        <v>0</v>
      </c>
    </row>
    <row r="3236" spans="1:18">
      <c r="A3236" s="524"/>
      <c r="B3236" s="540" t="s">
        <v>99</v>
      </c>
      <c r="C3236" s="551">
        <v>0</v>
      </c>
      <c r="D3236" s="556">
        <v>0</v>
      </c>
      <c r="E3236" s="551">
        <v>0</v>
      </c>
      <c r="F3236" s="551">
        <v>0</v>
      </c>
      <c r="G3236" s="551">
        <v>0</v>
      </c>
      <c r="H3236" s="555">
        <v>0</v>
      </c>
      <c r="I3236" s="555">
        <v>0</v>
      </c>
      <c r="J3236" s="555">
        <v>0</v>
      </c>
      <c r="K3236" s="527">
        <f t="shared" si="1931"/>
        <v>0</v>
      </c>
      <c r="L3236" s="528">
        <f t="shared" si="1932"/>
        <v>0</v>
      </c>
      <c r="M3236" s="528">
        <f t="shared" si="1933"/>
        <v>0</v>
      </c>
      <c r="N3236" s="528">
        <f t="shared" si="1934"/>
        <v>0</v>
      </c>
      <c r="O3236" s="528">
        <f t="shared" si="1935"/>
        <v>0</v>
      </c>
      <c r="P3236" s="529">
        <f t="shared" si="1936"/>
        <v>0</v>
      </c>
      <c r="Q3236" s="24">
        <f t="shared" si="1937"/>
        <v>0</v>
      </c>
      <c r="R3236" s="530">
        <f t="shared" si="1938"/>
        <v>0</v>
      </c>
    </row>
    <row r="3237" spans="1:18">
      <c r="A3237" s="524"/>
      <c r="B3237" s="540" t="s">
        <v>100</v>
      </c>
      <c r="C3237" s="552">
        <v>0</v>
      </c>
      <c r="D3237" s="553">
        <v>0</v>
      </c>
      <c r="E3237" s="553">
        <v>0</v>
      </c>
      <c r="F3237" s="551">
        <v>0</v>
      </c>
      <c r="G3237" s="551">
        <v>0</v>
      </c>
      <c r="H3237" s="551">
        <v>0</v>
      </c>
      <c r="I3237" s="551">
        <v>0</v>
      </c>
      <c r="J3237" s="551">
        <v>0</v>
      </c>
      <c r="K3237" s="527">
        <f t="shared" si="1931"/>
        <v>0</v>
      </c>
      <c r="L3237" s="528">
        <f t="shared" si="1932"/>
        <v>0</v>
      </c>
      <c r="M3237" s="528">
        <f t="shared" si="1933"/>
        <v>0</v>
      </c>
      <c r="N3237" s="528">
        <f t="shared" si="1934"/>
        <v>0</v>
      </c>
      <c r="O3237" s="528">
        <f t="shared" si="1935"/>
        <v>0</v>
      </c>
      <c r="P3237" s="529">
        <f t="shared" si="1936"/>
        <v>0</v>
      </c>
      <c r="Q3237" s="24">
        <f t="shared" si="1937"/>
        <v>0</v>
      </c>
      <c r="R3237" s="530">
        <f t="shared" si="1938"/>
        <v>0</v>
      </c>
    </row>
    <row r="3238" spans="1:18">
      <c r="A3238" s="524"/>
      <c r="B3238" s="540" t="s">
        <v>101</v>
      </c>
      <c r="C3238" s="552">
        <v>1.29</v>
      </c>
      <c r="D3238" s="553">
        <v>435</v>
      </c>
      <c r="E3238" s="551">
        <v>13</v>
      </c>
      <c r="F3238" s="551">
        <v>0</v>
      </c>
      <c r="G3238" s="551">
        <v>0</v>
      </c>
      <c r="H3238" s="551">
        <v>0</v>
      </c>
      <c r="I3238" s="551">
        <v>0</v>
      </c>
      <c r="J3238" s="551">
        <v>0</v>
      </c>
      <c r="K3238" s="527">
        <f t="shared" si="1931"/>
        <v>0.0298850574712644</v>
      </c>
      <c r="L3238" s="528">
        <f t="shared" si="1932"/>
        <v>0.0992307692307692</v>
      </c>
      <c r="M3238" s="528">
        <f t="shared" si="1933"/>
        <v>2.96551724137931</v>
      </c>
      <c r="N3238" s="528">
        <f t="shared" si="1934"/>
        <v>0</v>
      </c>
      <c r="O3238" s="528">
        <f t="shared" si="1935"/>
        <v>0</v>
      </c>
      <c r="P3238" s="529">
        <f t="shared" si="1936"/>
        <v>0</v>
      </c>
      <c r="Q3238" s="24">
        <f t="shared" si="1937"/>
        <v>0</v>
      </c>
      <c r="R3238" s="530">
        <f t="shared" si="1938"/>
        <v>0</v>
      </c>
    </row>
    <row r="3239" spans="1:18">
      <c r="A3239" s="524"/>
      <c r="B3239" s="531" t="s">
        <v>96</v>
      </c>
      <c r="C3239" s="533">
        <f t="shared" ref="C3239:J3239" si="1947">SUM(C3235:C3238)</f>
        <v>1.29</v>
      </c>
      <c r="D3239" s="533">
        <f t="shared" si="1947"/>
        <v>435</v>
      </c>
      <c r="E3239" s="533">
        <f t="shared" si="1947"/>
        <v>13</v>
      </c>
      <c r="F3239" s="533">
        <f t="shared" si="1947"/>
        <v>0</v>
      </c>
      <c r="G3239" s="533">
        <f t="shared" si="1947"/>
        <v>0</v>
      </c>
      <c r="H3239" s="533">
        <f t="shared" si="1947"/>
        <v>0</v>
      </c>
      <c r="I3239" s="533">
        <f t="shared" si="1947"/>
        <v>0</v>
      </c>
      <c r="J3239" s="533">
        <f t="shared" si="1947"/>
        <v>0</v>
      </c>
      <c r="K3239" s="534">
        <f t="shared" si="1931"/>
        <v>0.0298850574712644</v>
      </c>
      <c r="L3239" s="535">
        <f t="shared" si="1932"/>
        <v>0.0992307692307692</v>
      </c>
      <c r="M3239" s="535">
        <f t="shared" si="1933"/>
        <v>2.96551724137931</v>
      </c>
      <c r="N3239" s="535">
        <f t="shared" si="1934"/>
        <v>0</v>
      </c>
      <c r="O3239" s="535">
        <f t="shared" si="1935"/>
        <v>0</v>
      </c>
      <c r="P3239" s="536">
        <f t="shared" si="1936"/>
        <v>0</v>
      </c>
      <c r="Q3239" s="531">
        <f t="shared" si="1937"/>
        <v>0</v>
      </c>
      <c r="R3239" s="537">
        <f t="shared" si="1938"/>
        <v>0</v>
      </c>
    </row>
    <row r="3240" spans="1:18">
      <c r="A3240" s="524">
        <v>46098</v>
      </c>
      <c r="B3240" s="540" t="s">
        <v>98</v>
      </c>
      <c r="C3240" s="551">
        <v>1329.15</v>
      </c>
      <c r="D3240" s="553">
        <v>18753</v>
      </c>
      <c r="E3240" s="551">
        <v>582</v>
      </c>
      <c r="F3240" s="551">
        <v>1</v>
      </c>
      <c r="G3240" s="551">
        <v>10797</v>
      </c>
      <c r="H3240" s="551">
        <v>17</v>
      </c>
      <c r="I3240" s="551">
        <v>3</v>
      </c>
      <c r="J3240" s="551">
        <v>0</v>
      </c>
      <c r="K3240" s="527">
        <f t="shared" si="1931"/>
        <v>0.0310350343944969</v>
      </c>
      <c r="L3240" s="528">
        <f t="shared" si="1932"/>
        <v>2.28376288659794</v>
      </c>
      <c r="M3240" s="528">
        <f t="shared" si="1933"/>
        <v>70.8766597344425</v>
      </c>
      <c r="N3240" s="528">
        <f t="shared" si="1934"/>
        <v>8.12323665500508</v>
      </c>
      <c r="O3240" s="528">
        <f t="shared" si="1935"/>
        <v>0.00171821305841924</v>
      </c>
      <c r="P3240" s="529">
        <f t="shared" si="1936"/>
        <v>66.4575</v>
      </c>
      <c r="Q3240" s="24">
        <f t="shared" si="1937"/>
        <v>20</v>
      </c>
      <c r="R3240" s="530">
        <f t="shared" si="1938"/>
        <v>0.0343642611683849</v>
      </c>
    </row>
    <row r="3241" spans="1:18">
      <c r="A3241" s="524"/>
      <c r="B3241" s="540" t="s">
        <v>99</v>
      </c>
      <c r="C3241" s="551">
        <v>3000</v>
      </c>
      <c r="D3241" s="556">
        <v>72492</v>
      </c>
      <c r="E3241" s="551">
        <v>1265</v>
      </c>
      <c r="F3241" s="551">
        <v>3</v>
      </c>
      <c r="G3241" s="551">
        <v>35959</v>
      </c>
      <c r="H3241" s="555">
        <v>23</v>
      </c>
      <c r="I3241" s="555">
        <v>1</v>
      </c>
      <c r="J3241" s="555">
        <v>8</v>
      </c>
      <c r="K3241" s="527">
        <f t="shared" si="1931"/>
        <v>0.017450201401534</v>
      </c>
      <c r="L3241" s="528">
        <f t="shared" si="1932"/>
        <v>2.37154150197628</v>
      </c>
      <c r="M3241" s="528">
        <f t="shared" si="1933"/>
        <v>41.3838768415825</v>
      </c>
      <c r="N3241" s="528">
        <f t="shared" si="1934"/>
        <v>11.9863333333333</v>
      </c>
      <c r="O3241" s="528">
        <f t="shared" si="1935"/>
        <v>0.00237154150197628</v>
      </c>
      <c r="P3241" s="529">
        <f t="shared" si="1936"/>
        <v>125</v>
      </c>
      <c r="Q3241" s="24">
        <f t="shared" si="1937"/>
        <v>24</v>
      </c>
      <c r="R3241" s="530">
        <f t="shared" si="1938"/>
        <v>0.0189723320158103</v>
      </c>
    </row>
    <row r="3242" spans="1:18">
      <c r="A3242" s="524"/>
      <c r="B3242" s="540" t="s">
        <v>100</v>
      </c>
      <c r="C3242" s="552">
        <v>0</v>
      </c>
      <c r="D3242" s="553">
        <v>0</v>
      </c>
      <c r="E3242" s="553">
        <v>0</v>
      </c>
      <c r="F3242" s="551">
        <v>0</v>
      </c>
      <c r="G3242" s="551">
        <v>0</v>
      </c>
      <c r="H3242" s="551">
        <v>0</v>
      </c>
      <c r="I3242" s="551">
        <v>0</v>
      </c>
      <c r="J3242" s="551">
        <v>0</v>
      </c>
      <c r="K3242" s="527">
        <f t="shared" si="1931"/>
        <v>0</v>
      </c>
      <c r="L3242" s="528">
        <f t="shared" si="1932"/>
        <v>0</v>
      </c>
      <c r="M3242" s="528">
        <f t="shared" si="1933"/>
        <v>0</v>
      </c>
      <c r="N3242" s="528">
        <f t="shared" si="1934"/>
        <v>0</v>
      </c>
      <c r="O3242" s="528">
        <f t="shared" si="1935"/>
        <v>0</v>
      </c>
      <c r="P3242" s="529">
        <f t="shared" si="1936"/>
        <v>0</v>
      </c>
      <c r="Q3242" s="24">
        <f t="shared" si="1937"/>
        <v>0</v>
      </c>
      <c r="R3242" s="530">
        <f t="shared" si="1938"/>
        <v>0</v>
      </c>
    </row>
    <row r="3243" spans="1:18">
      <c r="A3243" s="524"/>
      <c r="B3243" s="540" t="s">
        <v>101</v>
      </c>
      <c r="C3243" s="552">
        <v>9533.78</v>
      </c>
      <c r="D3243" s="553">
        <v>1215844</v>
      </c>
      <c r="E3243" s="551">
        <v>12077</v>
      </c>
      <c r="F3243" s="551">
        <v>0</v>
      </c>
      <c r="G3243" s="551">
        <v>0</v>
      </c>
      <c r="H3243" s="551">
        <v>90</v>
      </c>
      <c r="I3243" s="551">
        <v>35</v>
      </c>
      <c r="J3243" s="551">
        <v>8</v>
      </c>
      <c r="K3243" s="527">
        <f t="shared" si="1931"/>
        <v>0.00993301772266837</v>
      </c>
      <c r="L3243" s="528">
        <f t="shared" si="1932"/>
        <v>0.789416245756396</v>
      </c>
      <c r="M3243" s="528">
        <f t="shared" si="1933"/>
        <v>7.84128555966061</v>
      </c>
      <c r="N3243" s="528">
        <f t="shared" si="1934"/>
        <v>0</v>
      </c>
      <c r="O3243" s="528">
        <f t="shared" si="1935"/>
        <v>0</v>
      </c>
      <c r="P3243" s="529">
        <f t="shared" si="1936"/>
        <v>76.27024</v>
      </c>
      <c r="Q3243" s="24">
        <f t="shared" si="1937"/>
        <v>125</v>
      </c>
      <c r="R3243" s="530">
        <f t="shared" si="1938"/>
        <v>0.0103502525461621</v>
      </c>
    </row>
    <row r="3244" spans="1:18">
      <c r="A3244" s="524"/>
      <c r="B3244" s="531" t="s">
        <v>96</v>
      </c>
      <c r="C3244" s="533">
        <f t="shared" ref="C3244:J3244" si="1948">SUM(C3240:C3243)</f>
        <v>13862.93</v>
      </c>
      <c r="D3244" s="533">
        <f t="shared" si="1948"/>
        <v>1307089</v>
      </c>
      <c r="E3244" s="533">
        <f t="shared" si="1948"/>
        <v>13924</v>
      </c>
      <c r="F3244" s="533">
        <f t="shared" si="1948"/>
        <v>4</v>
      </c>
      <c r="G3244" s="533">
        <f t="shared" si="1948"/>
        <v>46756</v>
      </c>
      <c r="H3244" s="533">
        <f t="shared" si="1948"/>
        <v>130</v>
      </c>
      <c r="I3244" s="533">
        <f t="shared" si="1948"/>
        <v>39</v>
      </c>
      <c r="J3244" s="533">
        <f t="shared" si="1948"/>
        <v>16</v>
      </c>
      <c r="K3244" s="534">
        <f t="shared" si="1931"/>
        <v>0.0106526793508323</v>
      </c>
      <c r="L3244" s="535">
        <f t="shared" si="1932"/>
        <v>0.995614047687446</v>
      </c>
      <c r="M3244" s="535">
        <f t="shared" si="1933"/>
        <v>10.6059572071986</v>
      </c>
      <c r="N3244" s="535">
        <f t="shared" si="1934"/>
        <v>3.37273577807866</v>
      </c>
      <c r="O3244" s="535">
        <f t="shared" si="1935"/>
        <v>0.000287273771904625</v>
      </c>
      <c r="P3244" s="536">
        <f t="shared" si="1936"/>
        <v>82.0291715976331</v>
      </c>
      <c r="Q3244" s="531">
        <f t="shared" si="1937"/>
        <v>169</v>
      </c>
      <c r="R3244" s="537">
        <f t="shared" si="1938"/>
        <v>0.0121373168629704</v>
      </c>
    </row>
    <row r="3245" spans="1:18">
      <c r="A3245" s="524">
        <v>46099</v>
      </c>
      <c r="B3245" s="540" t="s">
        <v>98</v>
      </c>
      <c r="C3245" s="551">
        <v>2995.41</v>
      </c>
      <c r="D3245" s="553">
        <v>26229</v>
      </c>
      <c r="E3245" s="551">
        <v>1027</v>
      </c>
      <c r="F3245" s="551">
        <v>4</v>
      </c>
      <c r="G3245" s="551">
        <v>56773</v>
      </c>
      <c r="H3245" s="551">
        <v>51</v>
      </c>
      <c r="I3245" s="551">
        <v>5</v>
      </c>
      <c r="J3245" s="551">
        <v>1</v>
      </c>
      <c r="K3245" s="527">
        <f t="shared" si="1931"/>
        <v>0.0391551336307141</v>
      </c>
      <c r="L3245" s="528">
        <f t="shared" si="1932"/>
        <v>2.91666017526777</v>
      </c>
      <c r="M3245" s="528">
        <f t="shared" si="1933"/>
        <v>114.202218917992</v>
      </c>
      <c r="N3245" s="528">
        <f t="shared" si="1934"/>
        <v>18.9533319311881</v>
      </c>
      <c r="O3245" s="528">
        <f t="shared" si="1935"/>
        <v>0.00389483933787731</v>
      </c>
      <c r="P3245" s="529">
        <f t="shared" si="1936"/>
        <v>53.4894642857143</v>
      </c>
      <c r="Q3245" s="24">
        <f t="shared" si="1937"/>
        <v>56</v>
      </c>
      <c r="R3245" s="530">
        <f t="shared" si="1938"/>
        <v>0.0545277507302824</v>
      </c>
    </row>
    <row r="3246" spans="1:18">
      <c r="A3246" s="524"/>
      <c r="B3246" s="540" t="s">
        <v>99</v>
      </c>
      <c r="C3246" s="551">
        <v>3000</v>
      </c>
      <c r="D3246" s="556">
        <v>50170</v>
      </c>
      <c r="E3246" s="551">
        <v>1475</v>
      </c>
      <c r="F3246" s="551">
        <v>0</v>
      </c>
      <c r="G3246" s="551">
        <v>0</v>
      </c>
      <c r="H3246" s="555">
        <v>11</v>
      </c>
      <c r="I3246" s="555">
        <v>2</v>
      </c>
      <c r="J3246" s="555">
        <v>3</v>
      </c>
      <c r="K3246" s="527">
        <f t="shared" si="1931"/>
        <v>0.0294000398644608</v>
      </c>
      <c r="L3246" s="528">
        <f t="shared" si="1932"/>
        <v>2.03389830508475</v>
      </c>
      <c r="M3246" s="528">
        <f t="shared" si="1933"/>
        <v>59.7966912497508</v>
      </c>
      <c r="N3246" s="528">
        <f t="shared" si="1934"/>
        <v>0</v>
      </c>
      <c r="O3246" s="528">
        <f t="shared" si="1935"/>
        <v>0</v>
      </c>
      <c r="P3246" s="529">
        <f t="shared" si="1936"/>
        <v>230.769230769231</v>
      </c>
      <c r="Q3246" s="24">
        <f t="shared" si="1937"/>
        <v>13</v>
      </c>
      <c r="R3246" s="530">
        <f t="shared" si="1938"/>
        <v>0.0088135593220339</v>
      </c>
    </row>
    <row r="3247" spans="1:18">
      <c r="A3247" s="524"/>
      <c r="B3247" s="540" t="s">
        <v>100</v>
      </c>
      <c r="C3247" s="552">
        <v>0</v>
      </c>
      <c r="D3247" s="553">
        <v>0</v>
      </c>
      <c r="E3247" s="553">
        <v>0</v>
      </c>
      <c r="F3247" s="551">
        <v>0</v>
      </c>
      <c r="G3247" s="551">
        <v>0</v>
      </c>
      <c r="H3247" s="551">
        <v>0</v>
      </c>
      <c r="I3247" s="551">
        <v>0</v>
      </c>
      <c r="J3247" s="551">
        <v>0</v>
      </c>
      <c r="K3247" s="527">
        <f t="shared" si="1931"/>
        <v>0</v>
      </c>
      <c r="L3247" s="528">
        <f t="shared" si="1932"/>
        <v>0</v>
      </c>
      <c r="M3247" s="528">
        <f t="shared" si="1933"/>
        <v>0</v>
      </c>
      <c r="N3247" s="528">
        <f t="shared" si="1934"/>
        <v>0</v>
      </c>
      <c r="O3247" s="528">
        <f t="shared" si="1935"/>
        <v>0</v>
      </c>
      <c r="P3247" s="529">
        <f t="shared" si="1936"/>
        <v>0</v>
      </c>
      <c r="Q3247" s="24">
        <f t="shared" si="1937"/>
        <v>0</v>
      </c>
      <c r="R3247" s="530">
        <f t="shared" si="1938"/>
        <v>0</v>
      </c>
    </row>
    <row r="3248" spans="1:18">
      <c r="A3248" s="524"/>
      <c r="B3248" s="540" t="s">
        <v>101</v>
      </c>
      <c r="C3248" s="552">
        <v>3957.54</v>
      </c>
      <c r="D3248" s="553">
        <v>324186</v>
      </c>
      <c r="E3248" s="551">
        <v>5573</v>
      </c>
      <c r="F3248" s="551">
        <v>4</v>
      </c>
      <c r="G3248" s="551">
        <v>51135</v>
      </c>
      <c r="H3248" s="551">
        <v>36</v>
      </c>
      <c r="I3248" s="551">
        <v>6</v>
      </c>
      <c r="J3248" s="551">
        <v>4</v>
      </c>
      <c r="K3248" s="527">
        <f t="shared" si="1931"/>
        <v>0.0171907485209108</v>
      </c>
      <c r="L3248" s="528">
        <f t="shared" si="1932"/>
        <v>0.710127399964113</v>
      </c>
      <c r="M3248" s="528">
        <f t="shared" si="1933"/>
        <v>12.2076215505913</v>
      </c>
      <c r="N3248" s="528">
        <f t="shared" si="1934"/>
        <v>12.9209054109371</v>
      </c>
      <c r="O3248" s="528">
        <f t="shared" si="1935"/>
        <v>0.00071774627669119</v>
      </c>
      <c r="P3248" s="529">
        <f t="shared" si="1936"/>
        <v>94.2271428571429</v>
      </c>
      <c r="Q3248" s="24">
        <f t="shared" si="1937"/>
        <v>42</v>
      </c>
      <c r="R3248" s="530">
        <f t="shared" si="1938"/>
        <v>0.00753633590525749</v>
      </c>
    </row>
    <row r="3249" spans="1:18">
      <c r="A3249" s="524"/>
      <c r="B3249" s="531" t="s">
        <v>96</v>
      </c>
      <c r="C3249" s="533">
        <f t="shared" ref="C3249:J3249" si="1949">SUM(C3245:C3248)</f>
        <v>9952.95</v>
      </c>
      <c r="D3249" s="533">
        <f t="shared" si="1949"/>
        <v>400585</v>
      </c>
      <c r="E3249" s="533">
        <f t="shared" si="1949"/>
        <v>8075</v>
      </c>
      <c r="F3249" s="533">
        <f t="shared" si="1949"/>
        <v>8</v>
      </c>
      <c r="G3249" s="533">
        <f t="shared" si="1949"/>
        <v>107908</v>
      </c>
      <c r="H3249" s="533">
        <f t="shared" si="1949"/>
        <v>98</v>
      </c>
      <c r="I3249" s="533">
        <f t="shared" si="1949"/>
        <v>13</v>
      </c>
      <c r="J3249" s="533">
        <f t="shared" si="1949"/>
        <v>8</v>
      </c>
      <c r="K3249" s="534">
        <f t="shared" si="1931"/>
        <v>0.0201580188973626</v>
      </c>
      <c r="L3249" s="535">
        <f t="shared" si="1932"/>
        <v>1.23256346749226</v>
      </c>
      <c r="M3249" s="535">
        <f t="shared" si="1933"/>
        <v>24.8460376699078</v>
      </c>
      <c r="N3249" s="535">
        <f t="shared" si="1934"/>
        <v>10.8418107194349</v>
      </c>
      <c r="O3249" s="535">
        <f t="shared" si="1935"/>
        <v>0.000990712074303406</v>
      </c>
      <c r="P3249" s="536">
        <f t="shared" si="1936"/>
        <v>89.6662162162162</v>
      </c>
      <c r="Q3249" s="531">
        <f t="shared" si="1937"/>
        <v>111</v>
      </c>
      <c r="R3249" s="537">
        <f t="shared" si="1938"/>
        <v>0.0137461300309598</v>
      </c>
    </row>
    <row r="3250" spans="1:18">
      <c r="A3250" s="524">
        <v>46100</v>
      </c>
      <c r="B3250" s="540" t="s">
        <v>98</v>
      </c>
      <c r="C3250" s="551">
        <v>2987.36</v>
      </c>
      <c r="D3250" s="553">
        <v>80077</v>
      </c>
      <c r="E3250" s="551">
        <v>1977</v>
      </c>
      <c r="F3250" s="551">
        <v>1</v>
      </c>
      <c r="G3250" s="551">
        <v>11596</v>
      </c>
      <c r="H3250" s="551">
        <v>38</v>
      </c>
      <c r="I3250" s="551">
        <v>9</v>
      </c>
      <c r="J3250" s="551">
        <v>2</v>
      </c>
      <c r="K3250" s="527">
        <f t="shared" si="1931"/>
        <v>0.0246887370905503</v>
      </c>
      <c r="L3250" s="528">
        <f t="shared" si="1932"/>
        <v>1.51105715730905</v>
      </c>
      <c r="M3250" s="528">
        <f t="shared" si="1933"/>
        <v>37.3060928855976</v>
      </c>
      <c r="N3250" s="528">
        <f t="shared" si="1934"/>
        <v>3.88168817952975</v>
      </c>
      <c r="O3250" s="528">
        <f t="shared" si="1935"/>
        <v>0.000505816894284269</v>
      </c>
      <c r="P3250" s="529">
        <f t="shared" si="1936"/>
        <v>63.5608510638298</v>
      </c>
      <c r="Q3250" s="24">
        <f t="shared" si="1937"/>
        <v>47</v>
      </c>
      <c r="R3250" s="530">
        <f t="shared" si="1938"/>
        <v>0.0237733940313606</v>
      </c>
    </row>
    <row r="3251" spans="1:18">
      <c r="A3251" s="524"/>
      <c r="B3251" s="540" t="s">
        <v>99</v>
      </c>
      <c r="C3251" s="551">
        <v>3000</v>
      </c>
      <c r="D3251" s="556">
        <v>54062</v>
      </c>
      <c r="E3251" s="551">
        <v>1167</v>
      </c>
      <c r="F3251" s="551">
        <v>4</v>
      </c>
      <c r="G3251" s="551">
        <v>51129</v>
      </c>
      <c r="H3251" s="555">
        <v>30</v>
      </c>
      <c r="I3251" s="555">
        <v>1</v>
      </c>
      <c r="J3251" s="555">
        <v>3</v>
      </c>
      <c r="K3251" s="527">
        <f t="shared" si="1931"/>
        <v>0.0215863268099589</v>
      </c>
      <c r="L3251" s="528">
        <f t="shared" si="1932"/>
        <v>2.5706940874036</v>
      </c>
      <c r="M3251" s="528">
        <f t="shared" si="1933"/>
        <v>55.4918426991232</v>
      </c>
      <c r="N3251" s="528">
        <f t="shared" si="1934"/>
        <v>17.043</v>
      </c>
      <c r="O3251" s="528">
        <f t="shared" si="1935"/>
        <v>0.00342759211653813</v>
      </c>
      <c r="P3251" s="529">
        <f t="shared" si="1936"/>
        <v>96.7741935483871</v>
      </c>
      <c r="Q3251" s="24">
        <f t="shared" si="1937"/>
        <v>31</v>
      </c>
      <c r="R3251" s="530">
        <f t="shared" si="1938"/>
        <v>0.0265638389031705</v>
      </c>
    </row>
    <row r="3252" spans="1:18">
      <c r="A3252" s="524"/>
      <c r="B3252" s="540" t="s">
        <v>100</v>
      </c>
      <c r="C3252" s="552">
        <v>0</v>
      </c>
      <c r="D3252" s="553">
        <v>0</v>
      </c>
      <c r="E3252" s="553">
        <v>0</v>
      </c>
      <c r="F3252" s="551">
        <v>0</v>
      </c>
      <c r="G3252" s="551">
        <v>0</v>
      </c>
      <c r="H3252" s="551">
        <v>0</v>
      </c>
      <c r="I3252" s="551">
        <v>0</v>
      </c>
      <c r="J3252" s="551">
        <v>0</v>
      </c>
      <c r="K3252" s="527">
        <f t="shared" si="1931"/>
        <v>0</v>
      </c>
      <c r="L3252" s="528">
        <f t="shared" si="1932"/>
        <v>0</v>
      </c>
      <c r="M3252" s="528">
        <f t="shared" si="1933"/>
        <v>0</v>
      </c>
      <c r="N3252" s="528">
        <f t="shared" si="1934"/>
        <v>0</v>
      </c>
      <c r="O3252" s="528">
        <f t="shared" si="1935"/>
        <v>0</v>
      </c>
      <c r="P3252" s="529">
        <f t="shared" si="1936"/>
        <v>0</v>
      </c>
      <c r="Q3252" s="24">
        <f t="shared" si="1937"/>
        <v>0</v>
      </c>
      <c r="R3252" s="530">
        <f t="shared" si="1938"/>
        <v>0</v>
      </c>
    </row>
    <row r="3253" spans="1:18">
      <c r="A3253" s="524"/>
      <c r="B3253" s="540" t="s">
        <v>101</v>
      </c>
      <c r="C3253" s="552">
        <v>3877.14</v>
      </c>
      <c r="D3253" s="553">
        <v>322040</v>
      </c>
      <c r="E3253" s="551">
        <v>6608</v>
      </c>
      <c r="F3253" s="551">
        <v>0</v>
      </c>
      <c r="G3253" s="551">
        <v>0</v>
      </c>
      <c r="H3253" s="551">
        <v>29</v>
      </c>
      <c r="I3253" s="551">
        <v>8</v>
      </c>
      <c r="J3253" s="551">
        <v>1</v>
      </c>
      <c r="K3253" s="527">
        <f t="shared" si="1931"/>
        <v>0.0205191901627127</v>
      </c>
      <c r="L3253" s="528">
        <f t="shared" si="1932"/>
        <v>0.586734261501211</v>
      </c>
      <c r="M3253" s="528">
        <f t="shared" si="1933"/>
        <v>12.0393118867221</v>
      </c>
      <c r="N3253" s="528">
        <f t="shared" si="1934"/>
        <v>0</v>
      </c>
      <c r="O3253" s="528">
        <f t="shared" si="1935"/>
        <v>0</v>
      </c>
      <c r="P3253" s="529">
        <f t="shared" si="1936"/>
        <v>104.787567567568</v>
      </c>
      <c r="Q3253" s="24">
        <f t="shared" si="1937"/>
        <v>37</v>
      </c>
      <c r="R3253" s="530">
        <f t="shared" si="1938"/>
        <v>0.00559927360774818</v>
      </c>
    </row>
    <row r="3254" spans="1:18">
      <c r="A3254" s="524"/>
      <c r="B3254" s="531" t="s">
        <v>96</v>
      </c>
      <c r="C3254" s="533">
        <f t="shared" ref="C3254:J3254" si="1950">SUM(C3250:C3253)</f>
        <v>9864.5</v>
      </c>
      <c r="D3254" s="533">
        <f t="shared" si="1950"/>
        <v>456179</v>
      </c>
      <c r="E3254" s="533">
        <f t="shared" si="1950"/>
        <v>9752</v>
      </c>
      <c r="F3254" s="533">
        <f t="shared" si="1950"/>
        <v>5</v>
      </c>
      <c r="G3254" s="533">
        <f t="shared" si="1950"/>
        <v>62725</v>
      </c>
      <c r="H3254" s="533">
        <f t="shared" si="1950"/>
        <v>97</v>
      </c>
      <c r="I3254" s="533">
        <f t="shared" si="1950"/>
        <v>18</v>
      </c>
      <c r="J3254" s="533">
        <f t="shared" si="1950"/>
        <v>6</v>
      </c>
      <c r="K3254" s="534">
        <f t="shared" si="1931"/>
        <v>0.0213775732771566</v>
      </c>
      <c r="L3254" s="535">
        <f t="shared" si="1932"/>
        <v>1.01153609515997</v>
      </c>
      <c r="M3254" s="535">
        <f t="shared" si="1933"/>
        <v>21.624186996771</v>
      </c>
      <c r="N3254" s="535">
        <f t="shared" si="1934"/>
        <v>6.35865984084343</v>
      </c>
      <c r="O3254" s="535">
        <f t="shared" si="1935"/>
        <v>0.000512715340442986</v>
      </c>
      <c r="P3254" s="536">
        <f t="shared" si="1936"/>
        <v>85.7782608695652</v>
      </c>
      <c r="Q3254" s="531">
        <f t="shared" si="1937"/>
        <v>115</v>
      </c>
      <c r="R3254" s="537">
        <f t="shared" si="1938"/>
        <v>0.0117924528301887</v>
      </c>
    </row>
    <row r="3255" spans="1:18">
      <c r="A3255" s="524">
        <v>46101</v>
      </c>
      <c r="B3255" s="540" t="s">
        <v>98</v>
      </c>
      <c r="C3255" s="551">
        <v>2935.99</v>
      </c>
      <c r="D3255" s="553">
        <v>49325</v>
      </c>
      <c r="E3255" s="551">
        <v>1482</v>
      </c>
      <c r="F3255" s="551">
        <v>1</v>
      </c>
      <c r="G3255" s="551">
        <v>10797</v>
      </c>
      <c r="H3255" s="551">
        <v>57</v>
      </c>
      <c r="I3255" s="551">
        <v>11</v>
      </c>
      <c r="J3255" s="551">
        <v>1</v>
      </c>
      <c r="K3255" s="527">
        <f t="shared" si="1931"/>
        <v>0.030045615813482</v>
      </c>
      <c r="L3255" s="528">
        <f t="shared" si="1932"/>
        <v>1.98109986504723</v>
      </c>
      <c r="M3255" s="528">
        <f t="shared" si="1933"/>
        <v>59.5233654333502</v>
      </c>
      <c r="N3255" s="528">
        <f t="shared" si="1934"/>
        <v>3.6774648415015</v>
      </c>
      <c r="O3255" s="528">
        <f t="shared" si="1935"/>
        <v>0.000674763832658569</v>
      </c>
      <c r="P3255" s="529">
        <f t="shared" si="1936"/>
        <v>43.1763235294118</v>
      </c>
      <c r="Q3255" s="24">
        <f t="shared" si="1937"/>
        <v>68</v>
      </c>
      <c r="R3255" s="530">
        <f t="shared" si="1938"/>
        <v>0.0458839406207827</v>
      </c>
    </row>
    <row r="3256" spans="1:18">
      <c r="A3256" s="524"/>
      <c r="B3256" s="540" t="s">
        <v>99</v>
      </c>
      <c r="C3256" s="551">
        <v>4944.04</v>
      </c>
      <c r="D3256" s="556">
        <v>101121</v>
      </c>
      <c r="E3256" s="551">
        <v>2152</v>
      </c>
      <c r="F3256" s="551">
        <v>0</v>
      </c>
      <c r="G3256" s="551">
        <v>0</v>
      </c>
      <c r="H3256" s="555">
        <v>26</v>
      </c>
      <c r="I3256" s="555">
        <v>1</v>
      </c>
      <c r="J3256" s="555">
        <v>0</v>
      </c>
      <c r="K3256" s="527">
        <f t="shared" si="1931"/>
        <v>0.0212814351123901</v>
      </c>
      <c r="L3256" s="528">
        <f t="shared" si="1932"/>
        <v>2.29741635687732</v>
      </c>
      <c r="M3256" s="528">
        <f t="shared" si="1933"/>
        <v>48.8923171250284</v>
      </c>
      <c r="N3256" s="528">
        <f t="shared" si="1934"/>
        <v>0</v>
      </c>
      <c r="O3256" s="528">
        <f t="shared" si="1935"/>
        <v>0</v>
      </c>
      <c r="P3256" s="529">
        <f t="shared" si="1936"/>
        <v>183.112592592593</v>
      </c>
      <c r="Q3256" s="24">
        <f t="shared" si="1937"/>
        <v>27</v>
      </c>
      <c r="R3256" s="530">
        <f t="shared" si="1938"/>
        <v>0.012546468401487</v>
      </c>
    </row>
    <row r="3257" spans="1:18">
      <c r="A3257" s="524"/>
      <c r="B3257" s="540" t="s">
        <v>100</v>
      </c>
      <c r="C3257" s="552">
        <v>0</v>
      </c>
      <c r="D3257" s="553">
        <v>0</v>
      </c>
      <c r="E3257" s="553">
        <v>0</v>
      </c>
      <c r="F3257" s="551">
        <v>0</v>
      </c>
      <c r="G3257" s="551">
        <v>0</v>
      </c>
      <c r="H3257" s="551">
        <v>0</v>
      </c>
      <c r="I3257" s="551">
        <v>0</v>
      </c>
      <c r="J3257" s="551">
        <v>0</v>
      </c>
      <c r="K3257" s="527">
        <f t="shared" si="1931"/>
        <v>0</v>
      </c>
      <c r="L3257" s="528">
        <f t="shared" si="1932"/>
        <v>0</v>
      </c>
      <c r="M3257" s="528">
        <f t="shared" si="1933"/>
        <v>0</v>
      </c>
      <c r="N3257" s="528">
        <f t="shared" si="1934"/>
        <v>0</v>
      </c>
      <c r="O3257" s="528">
        <f t="shared" si="1935"/>
        <v>0</v>
      </c>
      <c r="P3257" s="529">
        <f t="shared" si="1936"/>
        <v>0</v>
      </c>
      <c r="Q3257" s="24">
        <f t="shared" si="1937"/>
        <v>0</v>
      </c>
      <c r="R3257" s="530">
        <f t="shared" si="1938"/>
        <v>0</v>
      </c>
    </row>
    <row r="3258" spans="1:18">
      <c r="A3258" s="524"/>
      <c r="B3258" s="540" t="s">
        <v>101</v>
      </c>
      <c r="C3258" s="552">
        <v>3890.71</v>
      </c>
      <c r="D3258" s="553">
        <v>263171</v>
      </c>
      <c r="E3258" s="551">
        <v>6596</v>
      </c>
      <c r="F3258" s="551">
        <v>0</v>
      </c>
      <c r="G3258" s="551">
        <v>0</v>
      </c>
      <c r="H3258" s="551">
        <v>25</v>
      </c>
      <c r="I3258" s="551">
        <v>8</v>
      </c>
      <c r="J3258" s="551">
        <v>4</v>
      </c>
      <c r="K3258" s="527">
        <f t="shared" si="1931"/>
        <v>0.0250635518351186</v>
      </c>
      <c r="L3258" s="528">
        <f t="shared" si="1932"/>
        <v>0.589859005457853</v>
      </c>
      <c r="M3258" s="528">
        <f t="shared" si="1933"/>
        <v>14.7839617587044</v>
      </c>
      <c r="N3258" s="528">
        <f t="shared" si="1934"/>
        <v>0</v>
      </c>
      <c r="O3258" s="528">
        <f t="shared" si="1935"/>
        <v>0</v>
      </c>
      <c r="P3258" s="529">
        <f t="shared" si="1936"/>
        <v>117.900303030303</v>
      </c>
      <c r="Q3258" s="24">
        <f t="shared" si="1937"/>
        <v>33</v>
      </c>
      <c r="R3258" s="530">
        <f t="shared" si="1938"/>
        <v>0.00500303214069133</v>
      </c>
    </row>
    <row r="3259" spans="1:18">
      <c r="A3259" s="524"/>
      <c r="B3259" s="531" t="s">
        <v>96</v>
      </c>
      <c r="C3259" s="533">
        <f t="shared" ref="C3259:J3259" si="1951">SUM(C3255:C3258)</f>
        <v>11770.74</v>
      </c>
      <c r="D3259" s="533">
        <f t="shared" si="1951"/>
        <v>413617</v>
      </c>
      <c r="E3259" s="533">
        <f t="shared" si="1951"/>
        <v>10230</v>
      </c>
      <c r="F3259" s="533">
        <f t="shared" si="1951"/>
        <v>1</v>
      </c>
      <c r="G3259" s="533">
        <f t="shared" si="1951"/>
        <v>10797</v>
      </c>
      <c r="H3259" s="533">
        <f t="shared" si="1951"/>
        <v>108</v>
      </c>
      <c r="I3259" s="533">
        <f t="shared" si="1951"/>
        <v>20</v>
      </c>
      <c r="J3259" s="533">
        <f t="shared" si="1951"/>
        <v>5</v>
      </c>
      <c r="K3259" s="534">
        <f t="shared" ref="K3259:K3322" si="1952">IF(E3259=0,0,E3259/D3259)</f>
        <v>0.024733025963633</v>
      </c>
      <c r="L3259" s="535">
        <f t="shared" ref="L3259:L3322" si="1953">IF(C3259=0,0,C3259/E3259)</f>
        <v>1.15060997067449</v>
      </c>
      <c r="M3259" s="535">
        <f t="shared" ref="M3259:M3322" si="1954">IF(D3259=0,0,C3259/D3259*1000)</f>
        <v>28.4580662787071</v>
      </c>
      <c r="N3259" s="535">
        <f t="shared" ref="N3259:N3322" si="1955">IF(G3259=0,0,G3259/C3259)</f>
        <v>0.917274529893618</v>
      </c>
      <c r="O3259" s="535">
        <f t="shared" ref="O3259:O3322" si="1956">IF(F3259=0,0,F3259/E3259)</f>
        <v>9.77517106549365e-5</v>
      </c>
      <c r="P3259" s="536">
        <f t="shared" ref="P3259:P3322" si="1957">IF(H3259+I3259=0,0,C3259/(H3259+I3259))</f>
        <v>91.95890625</v>
      </c>
      <c r="Q3259" s="531">
        <f t="shared" ref="Q3259:Q3322" si="1958">H3259+I3259</f>
        <v>128</v>
      </c>
      <c r="R3259" s="537">
        <f t="shared" ref="R3259:R3322" si="1959">IF(Q3259=0,0,Q3259/E3259)</f>
        <v>0.0125122189638319</v>
      </c>
    </row>
    <row r="3260" spans="1:18">
      <c r="A3260" s="524">
        <v>46102</v>
      </c>
      <c r="B3260" s="540" t="s">
        <v>98</v>
      </c>
      <c r="C3260" s="551">
        <v>894.65</v>
      </c>
      <c r="D3260" s="553">
        <v>17094</v>
      </c>
      <c r="E3260" s="551">
        <v>574</v>
      </c>
      <c r="F3260" s="551">
        <v>0</v>
      </c>
      <c r="G3260" s="551">
        <v>0</v>
      </c>
      <c r="H3260" s="551">
        <v>28</v>
      </c>
      <c r="I3260" s="551">
        <v>10</v>
      </c>
      <c r="J3260" s="551">
        <v>0</v>
      </c>
      <c r="K3260" s="527">
        <f t="shared" si="1952"/>
        <v>0.0335790335790336</v>
      </c>
      <c r="L3260" s="528">
        <f t="shared" si="1953"/>
        <v>1.55862369337979</v>
      </c>
      <c r="M3260" s="528">
        <f t="shared" si="1954"/>
        <v>52.3370773370773</v>
      </c>
      <c r="N3260" s="528">
        <f t="shared" si="1955"/>
        <v>0</v>
      </c>
      <c r="O3260" s="528">
        <f t="shared" si="1956"/>
        <v>0</v>
      </c>
      <c r="P3260" s="529">
        <f t="shared" si="1957"/>
        <v>23.5434210526316</v>
      </c>
      <c r="Q3260" s="24">
        <f t="shared" si="1958"/>
        <v>38</v>
      </c>
      <c r="R3260" s="530">
        <f t="shared" si="1959"/>
        <v>0.0662020905923345</v>
      </c>
    </row>
    <row r="3261" spans="1:18">
      <c r="A3261" s="524"/>
      <c r="B3261" s="540" t="s">
        <v>99</v>
      </c>
      <c r="C3261" s="551">
        <v>3976.52</v>
      </c>
      <c r="D3261" s="556">
        <v>67552</v>
      </c>
      <c r="E3261" s="551">
        <v>1807</v>
      </c>
      <c r="F3261" s="551">
        <v>5</v>
      </c>
      <c r="G3261" s="551">
        <v>53430</v>
      </c>
      <c r="H3261" s="555">
        <v>40</v>
      </c>
      <c r="I3261" s="555">
        <v>4</v>
      </c>
      <c r="J3261" s="555">
        <v>2</v>
      </c>
      <c r="K3261" s="527">
        <f t="shared" si="1952"/>
        <v>0.0267497631454287</v>
      </c>
      <c r="L3261" s="528">
        <f t="shared" si="1953"/>
        <v>2.20061981184283</v>
      </c>
      <c r="M3261" s="528">
        <f t="shared" si="1954"/>
        <v>58.8660587399337</v>
      </c>
      <c r="N3261" s="528">
        <f t="shared" si="1955"/>
        <v>13.4363715007092</v>
      </c>
      <c r="O3261" s="528">
        <f t="shared" si="1956"/>
        <v>0.00276701715550636</v>
      </c>
      <c r="P3261" s="529">
        <f t="shared" si="1957"/>
        <v>90.3754545454545</v>
      </c>
      <c r="Q3261" s="24">
        <f t="shared" si="1958"/>
        <v>44</v>
      </c>
      <c r="R3261" s="530">
        <f t="shared" si="1959"/>
        <v>0.024349750968456</v>
      </c>
    </row>
    <row r="3262" spans="1:18">
      <c r="A3262" s="524"/>
      <c r="B3262" s="540" t="s">
        <v>100</v>
      </c>
      <c r="C3262" s="552">
        <v>0</v>
      </c>
      <c r="D3262" s="553">
        <v>0</v>
      </c>
      <c r="E3262" s="553">
        <v>0</v>
      </c>
      <c r="F3262" s="551">
        <v>0</v>
      </c>
      <c r="G3262" s="551">
        <v>0</v>
      </c>
      <c r="H3262" s="551">
        <v>0</v>
      </c>
      <c r="I3262" s="551">
        <v>0</v>
      </c>
      <c r="J3262" s="551">
        <v>0</v>
      </c>
      <c r="K3262" s="527">
        <f t="shared" si="1952"/>
        <v>0</v>
      </c>
      <c r="L3262" s="528">
        <f t="shared" si="1953"/>
        <v>0</v>
      </c>
      <c r="M3262" s="528">
        <f t="shared" si="1954"/>
        <v>0</v>
      </c>
      <c r="N3262" s="528">
        <f t="shared" si="1955"/>
        <v>0</v>
      </c>
      <c r="O3262" s="528">
        <f t="shared" si="1956"/>
        <v>0</v>
      </c>
      <c r="P3262" s="529">
        <f t="shared" si="1957"/>
        <v>0</v>
      </c>
      <c r="Q3262" s="24">
        <f t="shared" si="1958"/>
        <v>0</v>
      </c>
      <c r="R3262" s="530">
        <f t="shared" si="1959"/>
        <v>0</v>
      </c>
    </row>
    <row r="3263" spans="1:18">
      <c r="A3263" s="524"/>
      <c r="B3263" s="540" t="s">
        <v>101</v>
      </c>
      <c r="C3263" s="552">
        <v>998.34</v>
      </c>
      <c r="D3263" s="553">
        <v>31356</v>
      </c>
      <c r="E3263" s="551">
        <v>1318</v>
      </c>
      <c r="F3263" s="551">
        <v>0</v>
      </c>
      <c r="G3263" s="551">
        <v>0</v>
      </c>
      <c r="H3263" s="551">
        <v>17</v>
      </c>
      <c r="I3263" s="551">
        <v>3</v>
      </c>
      <c r="J3263" s="551">
        <v>0</v>
      </c>
      <c r="K3263" s="527">
        <f t="shared" si="1952"/>
        <v>0.0420334226304376</v>
      </c>
      <c r="L3263" s="528">
        <f t="shared" si="1953"/>
        <v>0.757465857359636</v>
      </c>
      <c r="M3263" s="528">
        <f t="shared" si="1954"/>
        <v>31.8388825105243</v>
      </c>
      <c r="N3263" s="528">
        <f t="shared" si="1955"/>
        <v>0</v>
      </c>
      <c r="O3263" s="528">
        <f t="shared" si="1956"/>
        <v>0</v>
      </c>
      <c r="P3263" s="529">
        <f t="shared" si="1957"/>
        <v>49.917</v>
      </c>
      <c r="Q3263" s="24">
        <f t="shared" si="1958"/>
        <v>20</v>
      </c>
      <c r="R3263" s="530">
        <f t="shared" si="1959"/>
        <v>0.0151745068285281</v>
      </c>
    </row>
    <row r="3264" spans="1:18">
      <c r="A3264" s="524"/>
      <c r="B3264" s="531" t="s">
        <v>96</v>
      </c>
      <c r="C3264" s="533">
        <f t="shared" ref="C3264:J3264" si="1960">SUM(C3260:C3263)</f>
        <v>5869.51</v>
      </c>
      <c r="D3264" s="533">
        <f t="shared" si="1960"/>
        <v>116002</v>
      </c>
      <c r="E3264" s="533">
        <f t="shared" si="1960"/>
        <v>3699</v>
      </c>
      <c r="F3264" s="533">
        <f t="shared" si="1960"/>
        <v>5</v>
      </c>
      <c r="G3264" s="533">
        <f t="shared" si="1960"/>
        <v>53430</v>
      </c>
      <c r="H3264" s="533">
        <f t="shared" si="1960"/>
        <v>85</v>
      </c>
      <c r="I3264" s="533">
        <f t="shared" si="1960"/>
        <v>17</v>
      </c>
      <c r="J3264" s="533">
        <f t="shared" si="1960"/>
        <v>2</v>
      </c>
      <c r="K3264" s="534">
        <f t="shared" si="1952"/>
        <v>0.0318873812520474</v>
      </c>
      <c r="L3264" s="535">
        <f t="shared" si="1953"/>
        <v>1.58678291430116</v>
      </c>
      <c r="M3264" s="535">
        <f t="shared" si="1954"/>
        <v>50.598351752556</v>
      </c>
      <c r="N3264" s="535">
        <f t="shared" si="1955"/>
        <v>9.10297452427886</v>
      </c>
      <c r="O3264" s="535">
        <f t="shared" si="1956"/>
        <v>0.00135171668018383</v>
      </c>
      <c r="P3264" s="536">
        <f t="shared" si="1957"/>
        <v>57.5442156862745</v>
      </c>
      <c r="Q3264" s="531">
        <f t="shared" si="1958"/>
        <v>102</v>
      </c>
      <c r="R3264" s="537">
        <f t="shared" si="1959"/>
        <v>0.0275750202757502</v>
      </c>
    </row>
    <row r="3265" spans="1:18">
      <c r="A3265" s="524">
        <v>46103</v>
      </c>
      <c r="B3265" s="540" t="s">
        <v>98</v>
      </c>
      <c r="C3265" s="551">
        <v>899.44</v>
      </c>
      <c r="D3265" s="553">
        <v>11208</v>
      </c>
      <c r="E3265" s="551">
        <v>458</v>
      </c>
      <c r="F3265" s="551">
        <v>1</v>
      </c>
      <c r="G3265" s="551">
        <v>11596</v>
      </c>
      <c r="H3265" s="551">
        <v>22</v>
      </c>
      <c r="I3265" s="551">
        <v>6</v>
      </c>
      <c r="J3265" s="551">
        <v>2</v>
      </c>
      <c r="K3265" s="527">
        <f t="shared" si="1952"/>
        <v>0.0408636688079943</v>
      </c>
      <c r="L3265" s="528">
        <f t="shared" si="1953"/>
        <v>1.96384279475983</v>
      </c>
      <c r="M3265" s="528">
        <f t="shared" si="1954"/>
        <v>80.2498215560314</v>
      </c>
      <c r="N3265" s="528">
        <f t="shared" si="1955"/>
        <v>12.8924664235524</v>
      </c>
      <c r="O3265" s="528">
        <f t="shared" si="1956"/>
        <v>0.00218340611353712</v>
      </c>
      <c r="P3265" s="529">
        <f t="shared" si="1957"/>
        <v>32.1228571428571</v>
      </c>
      <c r="Q3265" s="24">
        <f t="shared" si="1958"/>
        <v>28</v>
      </c>
      <c r="R3265" s="530">
        <f t="shared" si="1959"/>
        <v>0.0611353711790393</v>
      </c>
    </row>
    <row r="3266" spans="1:18">
      <c r="A3266" s="524"/>
      <c r="B3266" s="540" t="s">
        <v>99</v>
      </c>
      <c r="C3266" s="551">
        <v>1500</v>
      </c>
      <c r="D3266" s="556">
        <v>24232</v>
      </c>
      <c r="E3266" s="551">
        <v>880</v>
      </c>
      <c r="F3266" s="551">
        <v>4</v>
      </c>
      <c r="G3266" s="551">
        <v>48490</v>
      </c>
      <c r="H3266" s="555">
        <v>15</v>
      </c>
      <c r="I3266" s="555">
        <v>4</v>
      </c>
      <c r="J3266" s="555">
        <v>1</v>
      </c>
      <c r="K3266" s="527">
        <f t="shared" si="1952"/>
        <v>0.0363156157147573</v>
      </c>
      <c r="L3266" s="528">
        <f t="shared" si="1953"/>
        <v>1.70454545454545</v>
      </c>
      <c r="M3266" s="528">
        <f t="shared" si="1954"/>
        <v>61.9016176956091</v>
      </c>
      <c r="N3266" s="528">
        <f t="shared" si="1955"/>
        <v>32.3266666666667</v>
      </c>
      <c r="O3266" s="528">
        <f t="shared" si="1956"/>
        <v>0.00454545454545455</v>
      </c>
      <c r="P3266" s="529">
        <f t="shared" si="1957"/>
        <v>78.9473684210526</v>
      </c>
      <c r="Q3266" s="24">
        <f t="shared" si="1958"/>
        <v>19</v>
      </c>
      <c r="R3266" s="530">
        <f t="shared" si="1959"/>
        <v>0.0215909090909091</v>
      </c>
    </row>
    <row r="3267" spans="1:18">
      <c r="A3267" s="524"/>
      <c r="B3267" s="540" t="s">
        <v>100</v>
      </c>
      <c r="C3267" s="552">
        <v>0</v>
      </c>
      <c r="D3267" s="553">
        <v>0</v>
      </c>
      <c r="E3267" s="553">
        <v>0</v>
      </c>
      <c r="F3267" s="551">
        <v>0</v>
      </c>
      <c r="G3267" s="551">
        <v>0</v>
      </c>
      <c r="H3267" s="551">
        <v>0</v>
      </c>
      <c r="I3267" s="551">
        <v>0</v>
      </c>
      <c r="J3267" s="551">
        <v>0</v>
      </c>
      <c r="K3267" s="527">
        <f t="shared" si="1952"/>
        <v>0</v>
      </c>
      <c r="L3267" s="528">
        <f t="shared" si="1953"/>
        <v>0</v>
      </c>
      <c r="M3267" s="528">
        <f t="shared" si="1954"/>
        <v>0</v>
      </c>
      <c r="N3267" s="528">
        <f t="shared" si="1955"/>
        <v>0</v>
      </c>
      <c r="O3267" s="528">
        <f t="shared" si="1956"/>
        <v>0</v>
      </c>
      <c r="P3267" s="529">
        <f t="shared" si="1957"/>
        <v>0</v>
      </c>
      <c r="Q3267" s="24">
        <f t="shared" si="1958"/>
        <v>0</v>
      </c>
      <c r="R3267" s="530">
        <f t="shared" si="1959"/>
        <v>0</v>
      </c>
    </row>
    <row r="3268" spans="1:18">
      <c r="A3268" s="524"/>
      <c r="B3268" s="540" t="s">
        <v>101</v>
      </c>
      <c r="C3268" s="552">
        <v>995.81</v>
      </c>
      <c r="D3268" s="553">
        <v>25981</v>
      </c>
      <c r="E3268" s="551">
        <v>1574</v>
      </c>
      <c r="F3268" s="551">
        <v>1</v>
      </c>
      <c r="G3268" s="551">
        <v>10018</v>
      </c>
      <c r="H3268" s="551">
        <v>19</v>
      </c>
      <c r="I3268" s="551">
        <v>5</v>
      </c>
      <c r="J3268" s="551">
        <v>3</v>
      </c>
      <c r="K3268" s="527">
        <f t="shared" si="1952"/>
        <v>0.0605827335360456</v>
      </c>
      <c r="L3268" s="528">
        <f t="shared" si="1953"/>
        <v>0.632662007623888</v>
      </c>
      <c r="M3268" s="528">
        <f t="shared" si="1954"/>
        <v>38.3283938262576</v>
      </c>
      <c r="N3268" s="528">
        <f t="shared" si="1955"/>
        <v>10.0601520370352</v>
      </c>
      <c r="O3268" s="528">
        <f t="shared" si="1956"/>
        <v>0.000635324015247776</v>
      </c>
      <c r="P3268" s="529">
        <f t="shared" si="1957"/>
        <v>41.4920833333333</v>
      </c>
      <c r="Q3268" s="24">
        <f t="shared" si="1958"/>
        <v>24</v>
      </c>
      <c r="R3268" s="530">
        <f t="shared" si="1959"/>
        <v>0.0152477763659466</v>
      </c>
    </row>
    <row r="3269" spans="1:18">
      <c r="A3269" s="524"/>
      <c r="B3269" s="531" t="s">
        <v>96</v>
      </c>
      <c r="C3269" s="533">
        <f t="shared" ref="C3269:J3269" si="1961">SUM(C3265:C3268)</f>
        <v>3395.25</v>
      </c>
      <c r="D3269" s="533">
        <f t="shared" si="1961"/>
        <v>61421</v>
      </c>
      <c r="E3269" s="533">
        <f t="shared" si="1961"/>
        <v>2912</v>
      </c>
      <c r="F3269" s="533">
        <f t="shared" si="1961"/>
        <v>6</v>
      </c>
      <c r="G3269" s="533">
        <f t="shared" si="1961"/>
        <v>70104</v>
      </c>
      <c r="H3269" s="533">
        <f t="shared" si="1961"/>
        <v>56</v>
      </c>
      <c r="I3269" s="533">
        <f t="shared" si="1961"/>
        <v>15</v>
      </c>
      <c r="J3269" s="533">
        <f t="shared" si="1961"/>
        <v>6</v>
      </c>
      <c r="K3269" s="534">
        <f t="shared" si="1952"/>
        <v>0.047410494781915</v>
      </c>
      <c r="L3269" s="535">
        <f t="shared" si="1953"/>
        <v>1.16595123626374</v>
      </c>
      <c r="M3269" s="535">
        <f t="shared" si="1954"/>
        <v>55.2783250028492</v>
      </c>
      <c r="N3269" s="535">
        <f t="shared" si="1955"/>
        <v>20.6476695383256</v>
      </c>
      <c r="O3269" s="535">
        <f t="shared" si="1956"/>
        <v>0.00206043956043956</v>
      </c>
      <c r="P3269" s="536">
        <f t="shared" si="1957"/>
        <v>47.8204225352113</v>
      </c>
      <c r="Q3269" s="531">
        <f t="shared" si="1958"/>
        <v>71</v>
      </c>
      <c r="R3269" s="537">
        <f t="shared" si="1959"/>
        <v>0.0243818681318681</v>
      </c>
    </row>
    <row r="3270" spans="1:18">
      <c r="A3270" s="524">
        <v>46104</v>
      </c>
      <c r="B3270" s="540" t="s">
        <v>98</v>
      </c>
      <c r="C3270" s="551">
        <v>898.97</v>
      </c>
      <c r="D3270" s="553">
        <v>11506</v>
      </c>
      <c r="E3270" s="551">
        <v>469</v>
      </c>
      <c r="F3270" s="551">
        <v>4</v>
      </c>
      <c r="G3270" s="551">
        <v>52743</v>
      </c>
      <c r="H3270" s="551">
        <v>18</v>
      </c>
      <c r="I3270" s="551">
        <v>3</v>
      </c>
      <c r="J3270" s="551">
        <v>2</v>
      </c>
      <c r="K3270" s="527">
        <f t="shared" si="1952"/>
        <v>0.0407613419085694</v>
      </c>
      <c r="L3270" s="528">
        <f t="shared" si="1953"/>
        <v>1.91678038379531</v>
      </c>
      <c r="M3270" s="528">
        <f t="shared" si="1954"/>
        <v>78.1305405875196</v>
      </c>
      <c r="N3270" s="528">
        <f t="shared" si="1955"/>
        <v>58.6704784364328</v>
      </c>
      <c r="O3270" s="528">
        <f t="shared" si="1956"/>
        <v>0.00852878464818763</v>
      </c>
      <c r="P3270" s="529">
        <f t="shared" si="1957"/>
        <v>42.8080952380952</v>
      </c>
      <c r="Q3270" s="24">
        <f t="shared" si="1958"/>
        <v>21</v>
      </c>
      <c r="R3270" s="530">
        <f t="shared" si="1959"/>
        <v>0.0447761194029851</v>
      </c>
    </row>
    <row r="3271" spans="1:18">
      <c r="A3271" s="524"/>
      <c r="B3271" s="540" t="s">
        <v>99</v>
      </c>
      <c r="C3271" s="551">
        <v>1500</v>
      </c>
      <c r="D3271" s="556">
        <v>13003</v>
      </c>
      <c r="E3271" s="551">
        <v>727</v>
      </c>
      <c r="F3271" s="551">
        <v>3</v>
      </c>
      <c r="G3271" s="551">
        <v>38239</v>
      </c>
      <c r="H3271" s="555">
        <v>24</v>
      </c>
      <c r="I3271" s="555">
        <v>0</v>
      </c>
      <c r="J3271" s="555">
        <v>2</v>
      </c>
      <c r="K3271" s="527">
        <f t="shared" si="1952"/>
        <v>0.0559101745750981</v>
      </c>
      <c r="L3271" s="528">
        <f t="shared" si="1953"/>
        <v>2.06327372764787</v>
      </c>
      <c r="M3271" s="528">
        <f t="shared" si="1954"/>
        <v>115.357994309006</v>
      </c>
      <c r="N3271" s="528">
        <f t="shared" si="1955"/>
        <v>25.4926666666667</v>
      </c>
      <c r="O3271" s="528">
        <f t="shared" si="1956"/>
        <v>0.00412654745529574</v>
      </c>
      <c r="P3271" s="529">
        <f t="shared" si="1957"/>
        <v>62.5</v>
      </c>
      <c r="Q3271" s="24">
        <f t="shared" si="1958"/>
        <v>24</v>
      </c>
      <c r="R3271" s="530">
        <f t="shared" si="1959"/>
        <v>0.0330123796423659</v>
      </c>
    </row>
    <row r="3272" spans="1:18">
      <c r="A3272" s="524"/>
      <c r="B3272" s="540" t="s">
        <v>100</v>
      </c>
      <c r="C3272" s="552">
        <v>0</v>
      </c>
      <c r="D3272" s="553">
        <v>0</v>
      </c>
      <c r="E3272" s="553">
        <v>0</v>
      </c>
      <c r="F3272" s="551">
        <v>0</v>
      </c>
      <c r="G3272" s="551">
        <v>0</v>
      </c>
      <c r="H3272" s="551">
        <v>0</v>
      </c>
      <c r="I3272" s="551">
        <v>0</v>
      </c>
      <c r="J3272" s="551">
        <v>0</v>
      </c>
      <c r="K3272" s="527">
        <f t="shared" si="1952"/>
        <v>0</v>
      </c>
      <c r="L3272" s="528">
        <f t="shared" si="1953"/>
        <v>0</v>
      </c>
      <c r="M3272" s="528">
        <f t="shared" si="1954"/>
        <v>0</v>
      </c>
      <c r="N3272" s="528">
        <f t="shared" si="1955"/>
        <v>0</v>
      </c>
      <c r="O3272" s="528">
        <f t="shared" si="1956"/>
        <v>0</v>
      </c>
      <c r="P3272" s="529">
        <f t="shared" si="1957"/>
        <v>0</v>
      </c>
      <c r="Q3272" s="24">
        <f t="shared" si="1958"/>
        <v>0</v>
      </c>
      <c r="R3272" s="530">
        <f t="shared" si="1959"/>
        <v>0</v>
      </c>
    </row>
    <row r="3273" spans="1:18">
      <c r="A3273" s="524"/>
      <c r="B3273" s="540" t="s">
        <v>101</v>
      </c>
      <c r="C3273" s="552">
        <v>1000</v>
      </c>
      <c r="D3273" s="553">
        <v>29384</v>
      </c>
      <c r="E3273" s="551">
        <v>1595</v>
      </c>
      <c r="F3273" s="551">
        <v>0</v>
      </c>
      <c r="G3273" s="551">
        <v>0</v>
      </c>
      <c r="H3273" s="551">
        <v>14</v>
      </c>
      <c r="I3273" s="551">
        <v>3</v>
      </c>
      <c r="J3273" s="551">
        <v>0</v>
      </c>
      <c r="K3273" s="527">
        <f t="shared" si="1952"/>
        <v>0.0542812414919684</v>
      </c>
      <c r="L3273" s="528">
        <f t="shared" si="1953"/>
        <v>0.626959247648903</v>
      </c>
      <c r="M3273" s="528">
        <f t="shared" si="1954"/>
        <v>34.0321263272529</v>
      </c>
      <c r="N3273" s="528">
        <f t="shared" si="1955"/>
        <v>0</v>
      </c>
      <c r="O3273" s="528">
        <f t="shared" si="1956"/>
        <v>0</v>
      </c>
      <c r="P3273" s="529">
        <f t="shared" si="1957"/>
        <v>58.8235294117647</v>
      </c>
      <c r="Q3273" s="24">
        <f t="shared" si="1958"/>
        <v>17</v>
      </c>
      <c r="R3273" s="530">
        <f t="shared" si="1959"/>
        <v>0.0106583072100313</v>
      </c>
    </row>
    <row r="3274" spans="1:18">
      <c r="A3274" s="524"/>
      <c r="B3274" s="531" t="s">
        <v>96</v>
      </c>
      <c r="C3274" s="533">
        <f t="shared" ref="C3274:J3274" si="1962">SUM(C3270:C3273)</f>
        <v>3398.97</v>
      </c>
      <c r="D3274" s="533">
        <f t="shared" si="1962"/>
        <v>53893</v>
      </c>
      <c r="E3274" s="533">
        <f t="shared" si="1962"/>
        <v>2791</v>
      </c>
      <c r="F3274" s="533">
        <f t="shared" si="1962"/>
        <v>7</v>
      </c>
      <c r="G3274" s="533">
        <f t="shared" si="1962"/>
        <v>90982</v>
      </c>
      <c r="H3274" s="533">
        <f t="shared" si="1962"/>
        <v>56</v>
      </c>
      <c r="I3274" s="533">
        <f t="shared" si="1962"/>
        <v>6</v>
      </c>
      <c r="J3274" s="533">
        <f t="shared" si="1962"/>
        <v>4</v>
      </c>
      <c r="K3274" s="534">
        <f t="shared" si="1952"/>
        <v>0.05178780175533</v>
      </c>
      <c r="L3274" s="535">
        <f t="shared" si="1953"/>
        <v>1.21783231816553</v>
      </c>
      <c r="M3274" s="535">
        <f t="shared" si="1954"/>
        <v>63.0688586643906</v>
      </c>
      <c r="N3274" s="535">
        <f t="shared" si="1955"/>
        <v>26.7675207489328</v>
      </c>
      <c r="O3274" s="535">
        <f t="shared" si="1956"/>
        <v>0.00250806162665711</v>
      </c>
      <c r="P3274" s="536">
        <f t="shared" si="1957"/>
        <v>54.8220967741936</v>
      </c>
      <c r="Q3274" s="531">
        <f t="shared" si="1958"/>
        <v>62</v>
      </c>
      <c r="R3274" s="537">
        <f t="shared" si="1959"/>
        <v>0.0222142601218201</v>
      </c>
    </row>
    <row r="3275" spans="1:18">
      <c r="A3275" s="524">
        <v>46105</v>
      </c>
      <c r="B3275" s="540" t="s">
        <v>98</v>
      </c>
      <c r="C3275" s="551">
        <v>900</v>
      </c>
      <c r="D3275" s="553">
        <v>8332</v>
      </c>
      <c r="E3275" s="551">
        <v>404</v>
      </c>
      <c r="F3275" s="551">
        <v>0</v>
      </c>
      <c r="G3275" s="551">
        <v>0</v>
      </c>
      <c r="H3275" s="551">
        <v>15</v>
      </c>
      <c r="I3275" s="551">
        <v>4</v>
      </c>
      <c r="J3275" s="551">
        <v>0</v>
      </c>
      <c r="K3275" s="527">
        <f t="shared" si="1952"/>
        <v>0.0484877580412866</v>
      </c>
      <c r="L3275" s="528">
        <f t="shared" si="1953"/>
        <v>2.22772277227723</v>
      </c>
      <c r="M3275" s="528">
        <f t="shared" si="1954"/>
        <v>108.017282765242</v>
      </c>
      <c r="N3275" s="528">
        <f t="shared" si="1955"/>
        <v>0</v>
      </c>
      <c r="O3275" s="528">
        <f t="shared" si="1956"/>
        <v>0</v>
      </c>
      <c r="P3275" s="529">
        <f t="shared" si="1957"/>
        <v>47.3684210526316</v>
      </c>
      <c r="Q3275" s="24">
        <f t="shared" si="1958"/>
        <v>19</v>
      </c>
      <c r="R3275" s="530">
        <f t="shared" si="1959"/>
        <v>0.047029702970297</v>
      </c>
    </row>
    <row r="3276" spans="1:18">
      <c r="A3276" s="524"/>
      <c r="B3276" s="540" t="s">
        <v>99</v>
      </c>
      <c r="C3276" s="551">
        <v>0</v>
      </c>
      <c r="D3276" s="556">
        <v>0</v>
      </c>
      <c r="E3276" s="551">
        <v>0</v>
      </c>
      <c r="F3276" s="551">
        <v>0</v>
      </c>
      <c r="G3276" s="551">
        <v>0</v>
      </c>
      <c r="H3276" s="555">
        <v>0</v>
      </c>
      <c r="I3276" s="555">
        <v>0</v>
      </c>
      <c r="J3276" s="555">
        <v>0</v>
      </c>
      <c r="K3276" s="527">
        <f t="shared" si="1952"/>
        <v>0</v>
      </c>
      <c r="L3276" s="528">
        <f t="shared" si="1953"/>
        <v>0</v>
      </c>
      <c r="M3276" s="528">
        <f t="shared" si="1954"/>
        <v>0</v>
      </c>
      <c r="N3276" s="528">
        <f t="shared" si="1955"/>
        <v>0</v>
      </c>
      <c r="O3276" s="528">
        <f t="shared" si="1956"/>
        <v>0</v>
      </c>
      <c r="P3276" s="529">
        <f t="shared" si="1957"/>
        <v>0</v>
      </c>
      <c r="Q3276" s="24">
        <f t="shared" si="1958"/>
        <v>0</v>
      </c>
      <c r="R3276" s="530">
        <f t="shared" si="1959"/>
        <v>0</v>
      </c>
    </row>
    <row r="3277" spans="1:18">
      <c r="A3277" s="524"/>
      <c r="B3277" s="540" t="s">
        <v>100</v>
      </c>
      <c r="C3277" s="552">
        <v>0</v>
      </c>
      <c r="D3277" s="553">
        <v>0</v>
      </c>
      <c r="E3277" s="553">
        <v>0</v>
      </c>
      <c r="F3277" s="551">
        <v>0</v>
      </c>
      <c r="G3277" s="551">
        <v>0</v>
      </c>
      <c r="H3277" s="551">
        <v>0</v>
      </c>
      <c r="I3277" s="551">
        <v>0</v>
      </c>
      <c r="J3277" s="551">
        <v>0</v>
      </c>
      <c r="K3277" s="527">
        <f t="shared" si="1952"/>
        <v>0</v>
      </c>
      <c r="L3277" s="528">
        <f t="shared" si="1953"/>
        <v>0</v>
      </c>
      <c r="M3277" s="528">
        <f t="shared" si="1954"/>
        <v>0</v>
      </c>
      <c r="N3277" s="528">
        <f t="shared" si="1955"/>
        <v>0</v>
      </c>
      <c r="O3277" s="528">
        <f t="shared" si="1956"/>
        <v>0</v>
      </c>
      <c r="P3277" s="529">
        <f t="shared" si="1957"/>
        <v>0</v>
      </c>
      <c r="Q3277" s="24">
        <f t="shared" si="1958"/>
        <v>0</v>
      </c>
      <c r="R3277" s="530">
        <f t="shared" si="1959"/>
        <v>0</v>
      </c>
    </row>
    <row r="3278" spans="1:18">
      <c r="A3278" s="524"/>
      <c r="B3278" s="540" t="s">
        <v>101</v>
      </c>
      <c r="C3278" s="552">
        <v>994.83</v>
      </c>
      <c r="D3278" s="553">
        <v>22387</v>
      </c>
      <c r="E3278" s="551">
        <v>1202</v>
      </c>
      <c r="F3278" s="551">
        <v>1</v>
      </c>
      <c r="G3278" s="551">
        <v>39481</v>
      </c>
      <c r="H3278" s="551">
        <v>21</v>
      </c>
      <c r="I3278" s="551">
        <v>2</v>
      </c>
      <c r="J3278" s="551">
        <v>2</v>
      </c>
      <c r="K3278" s="527">
        <f t="shared" si="1952"/>
        <v>0.0536918747487381</v>
      </c>
      <c r="L3278" s="528">
        <f t="shared" si="1953"/>
        <v>0.827645590682196</v>
      </c>
      <c r="M3278" s="528">
        <f t="shared" si="1954"/>
        <v>44.4378433912539</v>
      </c>
      <c r="N3278" s="528">
        <f t="shared" si="1955"/>
        <v>39.6861775378708</v>
      </c>
      <c r="O3278" s="528">
        <f t="shared" si="1956"/>
        <v>0.000831946755407654</v>
      </c>
      <c r="P3278" s="529">
        <f t="shared" si="1957"/>
        <v>43.2534782608696</v>
      </c>
      <c r="Q3278" s="24">
        <f t="shared" si="1958"/>
        <v>23</v>
      </c>
      <c r="R3278" s="530">
        <f t="shared" si="1959"/>
        <v>0.019134775374376</v>
      </c>
    </row>
    <row r="3279" spans="1:18">
      <c r="A3279" s="524"/>
      <c r="B3279" s="531" t="s">
        <v>96</v>
      </c>
      <c r="C3279" s="533">
        <f t="shared" ref="C3279:J3279" si="1963">SUM(C3275:C3278)</f>
        <v>1894.83</v>
      </c>
      <c r="D3279" s="533">
        <f t="shared" si="1963"/>
        <v>30719</v>
      </c>
      <c r="E3279" s="533">
        <f t="shared" si="1963"/>
        <v>1606</v>
      </c>
      <c r="F3279" s="533">
        <f t="shared" si="1963"/>
        <v>1</v>
      </c>
      <c r="G3279" s="533">
        <f t="shared" si="1963"/>
        <v>39481</v>
      </c>
      <c r="H3279" s="533">
        <f t="shared" si="1963"/>
        <v>36</v>
      </c>
      <c r="I3279" s="533">
        <f t="shared" si="1963"/>
        <v>6</v>
      </c>
      <c r="J3279" s="533">
        <f t="shared" si="1963"/>
        <v>2</v>
      </c>
      <c r="K3279" s="534">
        <f t="shared" si="1952"/>
        <v>0.0522803476675673</v>
      </c>
      <c r="L3279" s="535">
        <f t="shared" si="1953"/>
        <v>1.17984433374844</v>
      </c>
      <c r="M3279" s="535">
        <f t="shared" si="1954"/>
        <v>61.6826719619779</v>
      </c>
      <c r="N3279" s="535">
        <f t="shared" si="1955"/>
        <v>20.8361699994195</v>
      </c>
      <c r="O3279" s="535">
        <f t="shared" si="1956"/>
        <v>0.00062266500622665</v>
      </c>
      <c r="P3279" s="536">
        <f t="shared" si="1957"/>
        <v>45.115</v>
      </c>
      <c r="Q3279" s="531">
        <f t="shared" si="1958"/>
        <v>42</v>
      </c>
      <c r="R3279" s="537">
        <f t="shared" si="1959"/>
        <v>0.0261519302615193</v>
      </c>
    </row>
    <row r="3280" spans="1:18">
      <c r="A3280" s="524">
        <v>46106</v>
      </c>
      <c r="B3280" s="540" t="s">
        <v>98</v>
      </c>
      <c r="C3280" s="551">
        <v>900</v>
      </c>
      <c r="D3280" s="553">
        <v>10353</v>
      </c>
      <c r="E3280" s="551">
        <v>422</v>
      </c>
      <c r="F3280" s="551">
        <v>1</v>
      </c>
      <c r="G3280" s="551">
        <v>8925</v>
      </c>
      <c r="H3280" s="551">
        <v>26</v>
      </c>
      <c r="I3280" s="551">
        <v>4</v>
      </c>
      <c r="J3280" s="551">
        <v>0</v>
      </c>
      <c r="K3280" s="527">
        <f t="shared" si="1952"/>
        <v>0.0407611320390225</v>
      </c>
      <c r="L3280" s="528">
        <f t="shared" si="1953"/>
        <v>2.13270142180095</v>
      </c>
      <c r="M3280" s="528">
        <f t="shared" si="1954"/>
        <v>86.9313242538395</v>
      </c>
      <c r="N3280" s="528">
        <f t="shared" si="1955"/>
        <v>9.91666666666667</v>
      </c>
      <c r="O3280" s="528">
        <f t="shared" si="1956"/>
        <v>0.0023696682464455</v>
      </c>
      <c r="P3280" s="529">
        <f t="shared" si="1957"/>
        <v>30</v>
      </c>
      <c r="Q3280" s="24">
        <f t="shared" si="1958"/>
        <v>30</v>
      </c>
      <c r="R3280" s="530">
        <f t="shared" si="1959"/>
        <v>0.0710900473933649</v>
      </c>
    </row>
    <row r="3281" spans="1:18">
      <c r="A3281" s="524"/>
      <c r="B3281" s="540" t="s">
        <v>99</v>
      </c>
      <c r="C3281" s="551">
        <v>1500</v>
      </c>
      <c r="D3281" s="556">
        <v>20283</v>
      </c>
      <c r="E3281" s="551">
        <v>577</v>
      </c>
      <c r="F3281" s="551">
        <v>2</v>
      </c>
      <c r="G3281" s="551">
        <v>20021</v>
      </c>
      <c r="H3281" s="555">
        <v>12</v>
      </c>
      <c r="I3281" s="555">
        <v>1</v>
      </c>
      <c r="J3281" s="555">
        <v>1</v>
      </c>
      <c r="K3281" s="527">
        <f t="shared" si="1952"/>
        <v>0.0284474683232263</v>
      </c>
      <c r="L3281" s="528">
        <f t="shared" si="1953"/>
        <v>2.59965337954939</v>
      </c>
      <c r="M3281" s="528">
        <f t="shared" si="1954"/>
        <v>73.9535571660997</v>
      </c>
      <c r="N3281" s="528">
        <f t="shared" si="1955"/>
        <v>13.3473333333333</v>
      </c>
      <c r="O3281" s="528">
        <f t="shared" si="1956"/>
        <v>0.00346620450606586</v>
      </c>
      <c r="P3281" s="529">
        <f t="shared" si="1957"/>
        <v>115.384615384615</v>
      </c>
      <c r="Q3281" s="24">
        <f t="shared" si="1958"/>
        <v>13</v>
      </c>
      <c r="R3281" s="530">
        <f t="shared" si="1959"/>
        <v>0.0225303292894281</v>
      </c>
    </row>
    <row r="3282" spans="1:18">
      <c r="A3282" s="524"/>
      <c r="B3282" s="540" t="s">
        <v>100</v>
      </c>
      <c r="C3282" s="552">
        <v>0</v>
      </c>
      <c r="D3282" s="553">
        <v>0</v>
      </c>
      <c r="E3282" s="553">
        <v>0</v>
      </c>
      <c r="F3282" s="551">
        <v>0</v>
      </c>
      <c r="G3282" s="551">
        <v>0</v>
      </c>
      <c r="H3282" s="551">
        <v>0</v>
      </c>
      <c r="I3282" s="551">
        <v>0</v>
      </c>
      <c r="J3282" s="551">
        <v>0</v>
      </c>
      <c r="K3282" s="527">
        <f t="shared" si="1952"/>
        <v>0</v>
      </c>
      <c r="L3282" s="528">
        <f t="shared" si="1953"/>
        <v>0</v>
      </c>
      <c r="M3282" s="528">
        <f t="shared" si="1954"/>
        <v>0</v>
      </c>
      <c r="N3282" s="528">
        <f t="shared" si="1955"/>
        <v>0</v>
      </c>
      <c r="O3282" s="528">
        <f t="shared" si="1956"/>
        <v>0</v>
      </c>
      <c r="P3282" s="529">
        <f t="shared" si="1957"/>
        <v>0</v>
      </c>
      <c r="Q3282" s="24">
        <f t="shared" si="1958"/>
        <v>0</v>
      </c>
      <c r="R3282" s="530">
        <f t="shared" si="1959"/>
        <v>0</v>
      </c>
    </row>
    <row r="3283" spans="1:18">
      <c r="A3283" s="524"/>
      <c r="B3283" s="540" t="s">
        <v>101</v>
      </c>
      <c r="C3283" s="552">
        <v>1200</v>
      </c>
      <c r="D3283" s="553">
        <v>24957</v>
      </c>
      <c r="E3283" s="551">
        <v>786</v>
      </c>
      <c r="F3283" s="551">
        <v>2</v>
      </c>
      <c r="G3283" s="551">
        <v>13596</v>
      </c>
      <c r="H3283" s="551">
        <v>34</v>
      </c>
      <c r="I3283" s="551">
        <v>2</v>
      </c>
      <c r="J3283" s="551">
        <v>1</v>
      </c>
      <c r="K3283" s="527">
        <f t="shared" si="1952"/>
        <v>0.0314941699723524</v>
      </c>
      <c r="L3283" s="528">
        <f t="shared" si="1953"/>
        <v>1.52671755725191</v>
      </c>
      <c r="M3283" s="528">
        <f t="shared" si="1954"/>
        <v>48.0827022478663</v>
      </c>
      <c r="N3283" s="528">
        <f t="shared" si="1955"/>
        <v>11.33</v>
      </c>
      <c r="O3283" s="528">
        <f t="shared" si="1956"/>
        <v>0.00254452926208651</v>
      </c>
      <c r="P3283" s="529">
        <f t="shared" si="1957"/>
        <v>33.3333333333333</v>
      </c>
      <c r="Q3283" s="24">
        <f t="shared" si="1958"/>
        <v>36</v>
      </c>
      <c r="R3283" s="530">
        <f t="shared" si="1959"/>
        <v>0.0458015267175573</v>
      </c>
    </row>
    <row r="3284" spans="1:18">
      <c r="A3284" s="524"/>
      <c r="B3284" s="531" t="s">
        <v>96</v>
      </c>
      <c r="C3284" s="533">
        <f t="shared" ref="C3284:J3284" si="1964">SUM(C3280:C3283)</f>
        <v>3600</v>
      </c>
      <c r="D3284" s="533">
        <f t="shared" si="1964"/>
        <v>55593</v>
      </c>
      <c r="E3284" s="533">
        <f t="shared" si="1964"/>
        <v>1785</v>
      </c>
      <c r="F3284" s="533">
        <f t="shared" si="1964"/>
        <v>5</v>
      </c>
      <c r="G3284" s="533">
        <f t="shared" si="1964"/>
        <v>42542</v>
      </c>
      <c r="H3284" s="533">
        <f t="shared" si="1964"/>
        <v>72</v>
      </c>
      <c r="I3284" s="533">
        <f t="shared" si="1964"/>
        <v>7</v>
      </c>
      <c r="J3284" s="533">
        <f t="shared" si="1964"/>
        <v>2</v>
      </c>
      <c r="K3284" s="534">
        <f t="shared" si="1952"/>
        <v>0.0321083589660569</v>
      </c>
      <c r="L3284" s="535">
        <f t="shared" si="1953"/>
        <v>2.01680672268908</v>
      </c>
      <c r="M3284" s="535">
        <f t="shared" si="1954"/>
        <v>64.7563542172576</v>
      </c>
      <c r="N3284" s="535">
        <f t="shared" si="1955"/>
        <v>11.8172222222222</v>
      </c>
      <c r="O3284" s="535">
        <f t="shared" si="1956"/>
        <v>0.00280112044817927</v>
      </c>
      <c r="P3284" s="536">
        <f t="shared" si="1957"/>
        <v>45.5696202531646</v>
      </c>
      <c r="Q3284" s="531">
        <f t="shared" si="1958"/>
        <v>79</v>
      </c>
      <c r="R3284" s="537">
        <f t="shared" si="1959"/>
        <v>0.0442577030812325</v>
      </c>
    </row>
    <row r="3285" spans="1:18">
      <c r="A3285" s="524">
        <v>46107</v>
      </c>
      <c r="B3285" s="540" t="s">
        <v>98</v>
      </c>
      <c r="C3285" s="551">
        <v>900</v>
      </c>
      <c r="D3285" s="553">
        <v>10691</v>
      </c>
      <c r="E3285" s="551">
        <v>420</v>
      </c>
      <c r="F3285" s="551">
        <v>3</v>
      </c>
      <c r="G3285" s="551">
        <v>34107.01</v>
      </c>
      <c r="H3285" s="551">
        <v>16</v>
      </c>
      <c r="I3285" s="551">
        <v>3</v>
      </c>
      <c r="J3285" s="551">
        <v>2</v>
      </c>
      <c r="K3285" s="527">
        <f t="shared" si="1952"/>
        <v>0.0392853802263586</v>
      </c>
      <c r="L3285" s="528">
        <f t="shared" si="1953"/>
        <v>2.14285714285714</v>
      </c>
      <c r="M3285" s="528">
        <f t="shared" si="1954"/>
        <v>84.1829576279113</v>
      </c>
      <c r="N3285" s="528">
        <f t="shared" si="1955"/>
        <v>37.8966777777778</v>
      </c>
      <c r="O3285" s="528">
        <f t="shared" si="1956"/>
        <v>0.00714285714285714</v>
      </c>
      <c r="P3285" s="529">
        <f t="shared" si="1957"/>
        <v>47.3684210526316</v>
      </c>
      <c r="Q3285" s="24">
        <f t="shared" si="1958"/>
        <v>19</v>
      </c>
      <c r="R3285" s="530">
        <f t="shared" si="1959"/>
        <v>0.0452380952380952</v>
      </c>
    </row>
    <row r="3286" spans="1:18">
      <c r="A3286" s="524"/>
      <c r="B3286" s="540" t="s">
        <v>99</v>
      </c>
      <c r="C3286" s="551">
        <v>1416.72</v>
      </c>
      <c r="D3286" s="556">
        <v>21456</v>
      </c>
      <c r="E3286" s="551">
        <v>764</v>
      </c>
      <c r="F3286" s="551">
        <v>0</v>
      </c>
      <c r="G3286" s="551">
        <v>0</v>
      </c>
      <c r="H3286" s="555">
        <v>10</v>
      </c>
      <c r="I3286" s="555">
        <v>0</v>
      </c>
      <c r="J3286" s="555">
        <v>1</v>
      </c>
      <c r="K3286" s="527">
        <f t="shared" si="1952"/>
        <v>0.0356077554064131</v>
      </c>
      <c r="L3286" s="528">
        <f t="shared" si="1953"/>
        <v>1.85434554973822</v>
      </c>
      <c r="M3286" s="528">
        <f t="shared" si="1954"/>
        <v>66.0290827740492</v>
      </c>
      <c r="N3286" s="528">
        <f t="shared" si="1955"/>
        <v>0</v>
      </c>
      <c r="O3286" s="528">
        <f t="shared" si="1956"/>
        <v>0</v>
      </c>
      <c r="P3286" s="529">
        <f t="shared" si="1957"/>
        <v>141.672</v>
      </c>
      <c r="Q3286" s="24">
        <f t="shared" si="1958"/>
        <v>10</v>
      </c>
      <c r="R3286" s="530">
        <f t="shared" si="1959"/>
        <v>0.0130890052356021</v>
      </c>
    </row>
    <row r="3287" spans="1:18">
      <c r="A3287" s="524"/>
      <c r="B3287" s="540" t="s">
        <v>100</v>
      </c>
      <c r="C3287" s="552">
        <v>0</v>
      </c>
      <c r="D3287" s="553">
        <v>0</v>
      </c>
      <c r="E3287" s="553">
        <v>0</v>
      </c>
      <c r="F3287" s="551">
        <v>0</v>
      </c>
      <c r="G3287" s="551">
        <v>0</v>
      </c>
      <c r="H3287" s="551">
        <v>0</v>
      </c>
      <c r="I3287" s="551">
        <v>0</v>
      </c>
      <c r="J3287" s="551">
        <v>0</v>
      </c>
      <c r="K3287" s="527">
        <f t="shared" si="1952"/>
        <v>0</v>
      </c>
      <c r="L3287" s="528">
        <f t="shared" si="1953"/>
        <v>0</v>
      </c>
      <c r="M3287" s="528">
        <f t="shared" si="1954"/>
        <v>0</v>
      </c>
      <c r="N3287" s="528">
        <f t="shared" si="1955"/>
        <v>0</v>
      </c>
      <c r="O3287" s="528">
        <f t="shared" si="1956"/>
        <v>0</v>
      </c>
      <c r="P3287" s="529">
        <f t="shared" si="1957"/>
        <v>0</v>
      </c>
      <c r="Q3287" s="24">
        <f t="shared" si="1958"/>
        <v>0</v>
      </c>
      <c r="R3287" s="530">
        <f t="shared" si="1959"/>
        <v>0</v>
      </c>
    </row>
    <row r="3288" spans="1:18">
      <c r="A3288" s="524"/>
      <c r="B3288" s="540" t="s">
        <v>101</v>
      </c>
      <c r="C3288" s="552">
        <v>1189.22</v>
      </c>
      <c r="D3288" s="553">
        <v>32334</v>
      </c>
      <c r="E3288" s="551">
        <v>1056</v>
      </c>
      <c r="F3288" s="551">
        <v>1</v>
      </c>
      <c r="G3288" s="551">
        <v>23192</v>
      </c>
      <c r="H3288" s="551">
        <v>9</v>
      </c>
      <c r="I3288" s="551">
        <v>2</v>
      </c>
      <c r="J3288" s="551">
        <v>0</v>
      </c>
      <c r="K3288" s="527">
        <f t="shared" si="1952"/>
        <v>0.0326591204305066</v>
      </c>
      <c r="L3288" s="528">
        <f t="shared" si="1953"/>
        <v>1.1261553030303</v>
      </c>
      <c r="M3288" s="528">
        <f t="shared" si="1954"/>
        <v>36.7792416651203</v>
      </c>
      <c r="N3288" s="528">
        <f t="shared" si="1955"/>
        <v>19.5018583609425</v>
      </c>
      <c r="O3288" s="528">
        <f t="shared" si="1956"/>
        <v>0.000946969696969697</v>
      </c>
      <c r="P3288" s="529">
        <f t="shared" si="1957"/>
        <v>108.110909090909</v>
      </c>
      <c r="Q3288" s="24">
        <f t="shared" si="1958"/>
        <v>11</v>
      </c>
      <c r="R3288" s="530">
        <f t="shared" si="1959"/>
        <v>0.0104166666666667</v>
      </c>
    </row>
    <row r="3289" spans="1:18">
      <c r="A3289" s="524"/>
      <c r="B3289" s="531" t="s">
        <v>96</v>
      </c>
      <c r="C3289" s="533">
        <f t="shared" ref="C3289:J3289" si="1965">SUM(C3285:C3288)</f>
        <v>3505.94</v>
      </c>
      <c r="D3289" s="533">
        <f t="shared" si="1965"/>
        <v>64481</v>
      </c>
      <c r="E3289" s="533">
        <f t="shared" si="1965"/>
        <v>2240</v>
      </c>
      <c r="F3289" s="533">
        <f t="shared" si="1965"/>
        <v>4</v>
      </c>
      <c r="G3289" s="533">
        <f t="shared" si="1965"/>
        <v>57299.01</v>
      </c>
      <c r="H3289" s="533">
        <f t="shared" si="1965"/>
        <v>35</v>
      </c>
      <c r="I3289" s="533">
        <f t="shared" si="1965"/>
        <v>5</v>
      </c>
      <c r="J3289" s="533">
        <f t="shared" si="1965"/>
        <v>3</v>
      </c>
      <c r="K3289" s="534">
        <f t="shared" si="1952"/>
        <v>0.0347389153394023</v>
      </c>
      <c r="L3289" s="535">
        <f t="shared" si="1953"/>
        <v>1.56515178571429</v>
      </c>
      <c r="M3289" s="535">
        <f t="shared" si="1954"/>
        <v>54.3716753772429</v>
      </c>
      <c r="N3289" s="535">
        <f t="shared" si="1955"/>
        <v>16.3434086150932</v>
      </c>
      <c r="O3289" s="535">
        <f t="shared" si="1956"/>
        <v>0.00178571428571429</v>
      </c>
      <c r="P3289" s="536">
        <f t="shared" si="1957"/>
        <v>87.6485</v>
      </c>
      <c r="Q3289" s="531">
        <f t="shared" si="1958"/>
        <v>40</v>
      </c>
      <c r="R3289" s="537">
        <f t="shared" si="1959"/>
        <v>0.0178571428571429</v>
      </c>
    </row>
    <row r="3290" spans="1:18">
      <c r="A3290" s="524">
        <v>46108</v>
      </c>
      <c r="B3290" s="540" t="s">
        <v>98</v>
      </c>
      <c r="C3290" s="551">
        <v>898.5</v>
      </c>
      <c r="D3290" s="553">
        <v>15865</v>
      </c>
      <c r="E3290" s="551">
        <v>525</v>
      </c>
      <c r="F3290" s="551">
        <v>1</v>
      </c>
      <c r="G3290" s="551">
        <v>11596</v>
      </c>
      <c r="H3290" s="551">
        <v>18</v>
      </c>
      <c r="I3290" s="551">
        <v>3</v>
      </c>
      <c r="J3290" s="551">
        <v>1</v>
      </c>
      <c r="K3290" s="527">
        <f t="shared" si="1952"/>
        <v>0.0330917113142137</v>
      </c>
      <c r="L3290" s="528">
        <f t="shared" si="1953"/>
        <v>1.71142857142857</v>
      </c>
      <c r="M3290" s="528">
        <f t="shared" si="1954"/>
        <v>56.6341002206114</v>
      </c>
      <c r="N3290" s="528">
        <f t="shared" si="1955"/>
        <v>12.9059543683918</v>
      </c>
      <c r="O3290" s="528">
        <f t="shared" si="1956"/>
        <v>0.0019047619047619</v>
      </c>
      <c r="P3290" s="529">
        <f t="shared" si="1957"/>
        <v>42.7857142857143</v>
      </c>
      <c r="Q3290" s="24">
        <f t="shared" si="1958"/>
        <v>21</v>
      </c>
      <c r="R3290" s="530">
        <f t="shared" si="1959"/>
        <v>0.04</v>
      </c>
    </row>
    <row r="3291" spans="1:18">
      <c r="A3291" s="524"/>
      <c r="B3291" s="540" t="s">
        <v>99</v>
      </c>
      <c r="C3291" s="551">
        <v>1499.1</v>
      </c>
      <c r="D3291" s="556">
        <v>24940</v>
      </c>
      <c r="E3291" s="551">
        <v>551</v>
      </c>
      <c r="F3291" s="551">
        <v>1</v>
      </c>
      <c r="G3291" s="551">
        <v>11596</v>
      </c>
      <c r="H3291" s="555">
        <v>9</v>
      </c>
      <c r="I3291" s="555">
        <v>1</v>
      </c>
      <c r="J3291" s="555">
        <v>2</v>
      </c>
      <c r="K3291" s="527">
        <f t="shared" si="1952"/>
        <v>0.022093023255814</v>
      </c>
      <c r="L3291" s="528">
        <f t="shared" si="1953"/>
        <v>2.72068965517241</v>
      </c>
      <c r="M3291" s="528">
        <f t="shared" si="1954"/>
        <v>60.1082598235766</v>
      </c>
      <c r="N3291" s="528">
        <f t="shared" si="1955"/>
        <v>7.73530785137749</v>
      </c>
      <c r="O3291" s="528">
        <f t="shared" si="1956"/>
        <v>0.00181488203266788</v>
      </c>
      <c r="P3291" s="529">
        <f t="shared" si="1957"/>
        <v>149.91</v>
      </c>
      <c r="Q3291" s="24">
        <f t="shared" si="1958"/>
        <v>10</v>
      </c>
      <c r="R3291" s="530">
        <f t="shared" si="1959"/>
        <v>0.0181488203266788</v>
      </c>
    </row>
    <row r="3292" spans="1:18">
      <c r="A3292" s="524"/>
      <c r="B3292" s="540" t="s">
        <v>100</v>
      </c>
      <c r="C3292" s="552">
        <v>0</v>
      </c>
      <c r="D3292" s="553">
        <v>0</v>
      </c>
      <c r="E3292" s="553">
        <v>0</v>
      </c>
      <c r="F3292" s="551">
        <v>0</v>
      </c>
      <c r="G3292" s="551">
        <v>0</v>
      </c>
      <c r="H3292" s="551">
        <v>0</v>
      </c>
      <c r="I3292" s="551">
        <v>0</v>
      </c>
      <c r="J3292" s="551">
        <v>0</v>
      </c>
      <c r="K3292" s="527">
        <f t="shared" si="1952"/>
        <v>0</v>
      </c>
      <c r="L3292" s="528">
        <f t="shared" si="1953"/>
        <v>0</v>
      </c>
      <c r="M3292" s="528">
        <f t="shared" si="1954"/>
        <v>0</v>
      </c>
      <c r="N3292" s="528">
        <f t="shared" si="1955"/>
        <v>0</v>
      </c>
      <c r="O3292" s="528">
        <f t="shared" si="1956"/>
        <v>0</v>
      </c>
      <c r="P3292" s="529">
        <f t="shared" si="1957"/>
        <v>0</v>
      </c>
      <c r="Q3292" s="24">
        <f t="shared" si="1958"/>
        <v>0</v>
      </c>
      <c r="R3292" s="530">
        <f t="shared" si="1959"/>
        <v>0</v>
      </c>
    </row>
    <row r="3293" spans="1:18">
      <c r="A3293" s="524"/>
      <c r="B3293" s="540" t="s">
        <v>101</v>
      </c>
      <c r="C3293" s="552">
        <v>1185.97</v>
      </c>
      <c r="D3293" s="553">
        <v>35404</v>
      </c>
      <c r="E3293" s="551">
        <v>1302</v>
      </c>
      <c r="F3293" s="551">
        <v>0</v>
      </c>
      <c r="G3293" s="551">
        <v>0</v>
      </c>
      <c r="H3293" s="551">
        <v>21</v>
      </c>
      <c r="I3293" s="551">
        <v>2</v>
      </c>
      <c r="J3293" s="551">
        <v>2</v>
      </c>
      <c r="K3293" s="527">
        <f t="shared" si="1952"/>
        <v>0.0367755055925884</v>
      </c>
      <c r="L3293" s="528">
        <f t="shared" si="1953"/>
        <v>0.910883256528418</v>
      </c>
      <c r="M3293" s="528">
        <f t="shared" si="1954"/>
        <v>33.498192294656</v>
      </c>
      <c r="N3293" s="528">
        <f t="shared" si="1955"/>
        <v>0</v>
      </c>
      <c r="O3293" s="528">
        <f t="shared" si="1956"/>
        <v>0</v>
      </c>
      <c r="P3293" s="529">
        <f t="shared" si="1957"/>
        <v>51.5639130434783</v>
      </c>
      <c r="Q3293" s="24">
        <f t="shared" si="1958"/>
        <v>23</v>
      </c>
      <c r="R3293" s="530">
        <f t="shared" si="1959"/>
        <v>0.0176651305683564</v>
      </c>
    </row>
    <row r="3294" spans="1:18">
      <c r="A3294" s="524"/>
      <c r="B3294" s="531" t="s">
        <v>96</v>
      </c>
      <c r="C3294" s="533">
        <f t="shared" ref="C3294:J3294" si="1966">SUM(C3290:C3293)</f>
        <v>3583.57</v>
      </c>
      <c r="D3294" s="533">
        <f t="shared" si="1966"/>
        <v>76209</v>
      </c>
      <c r="E3294" s="533">
        <f t="shared" si="1966"/>
        <v>2378</v>
      </c>
      <c r="F3294" s="533">
        <f t="shared" si="1966"/>
        <v>2</v>
      </c>
      <c r="G3294" s="533">
        <f t="shared" si="1966"/>
        <v>23192</v>
      </c>
      <c r="H3294" s="533">
        <f t="shared" si="1966"/>
        <v>48</v>
      </c>
      <c r="I3294" s="533">
        <f t="shared" si="1966"/>
        <v>6</v>
      </c>
      <c r="J3294" s="533">
        <f t="shared" si="1966"/>
        <v>5</v>
      </c>
      <c r="K3294" s="534">
        <f t="shared" si="1952"/>
        <v>0.031203663609285</v>
      </c>
      <c r="L3294" s="535">
        <f t="shared" si="1953"/>
        <v>1.50696804037006</v>
      </c>
      <c r="M3294" s="535">
        <f t="shared" si="1954"/>
        <v>47.0229238016507</v>
      </c>
      <c r="N3294" s="535">
        <f t="shared" si="1955"/>
        <v>6.47175860943138</v>
      </c>
      <c r="O3294" s="535">
        <f t="shared" si="1956"/>
        <v>0.000841042893187553</v>
      </c>
      <c r="P3294" s="536">
        <f t="shared" si="1957"/>
        <v>66.3624074074074</v>
      </c>
      <c r="Q3294" s="531">
        <f t="shared" si="1958"/>
        <v>54</v>
      </c>
      <c r="R3294" s="537">
        <f t="shared" si="1959"/>
        <v>0.0227081581160639</v>
      </c>
    </row>
    <row r="3295" spans="1:18">
      <c r="A3295" s="524">
        <v>46109</v>
      </c>
      <c r="B3295" s="540" t="s">
        <v>98</v>
      </c>
      <c r="C3295" s="551">
        <v>900</v>
      </c>
      <c r="D3295" s="553">
        <v>8417</v>
      </c>
      <c r="E3295" s="551">
        <v>369</v>
      </c>
      <c r="F3295" s="551">
        <v>4</v>
      </c>
      <c r="G3295" s="551">
        <v>39197</v>
      </c>
      <c r="H3295" s="551">
        <v>28</v>
      </c>
      <c r="I3295" s="551">
        <v>3</v>
      </c>
      <c r="J3295" s="551">
        <v>2</v>
      </c>
      <c r="K3295" s="527">
        <f t="shared" si="1952"/>
        <v>0.0438398479268148</v>
      </c>
      <c r="L3295" s="528">
        <f t="shared" si="1953"/>
        <v>2.4390243902439</v>
      </c>
      <c r="M3295" s="528">
        <f t="shared" si="1954"/>
        <v>106.926458358085</v>
      </c>
      <c r="N3295" s="528">
        <f t="shared" si="1955"/>
        <v>43.5522222222222</v>
      </c>
      <c r="O3295" s="528">
        <f t="shared" si="1956"/>
        <v>0.010840108401084</v>
      </c>
      <c r="P3295" s="529">
        <f t="shared" si="1957"/>
        <v>29.0322580645161</v>
      </c>
      <c r="Q3295" s="24">
        <f t="shared" si="1958"/>
        <v>31</v>
      </c>
      <c r="R3295" s="530">
        <f t="shared" si="1959"/>
        <v>0.0840108401084011</v>
      </c>
    </row>
    <row r="3296" spans="1:18">
      <c r="A3296" s="524"/>
      <c r="B3296" s="540" t="s">
        <v>99</v>
      </c>
      <c r="C3296" s="551">
        <v>1500</v>
      </c>
      <c r="D3296" s="556">
        <v>26472</v>
      </c>
      <c r="E3296" s="551">
        <v>701</v>
      </c>
      <c r="F3296" s="551">
        <v>1</v>
      </c>
      <c r="G3296" s="551">
        <v>11290</v>
      </c>
      <c r="H3296" s="555">
        <v>17</v>
      </c>
      <c r="I3296" s="555">
        <v>0</v>
      </c>
      <c r="J3296" s="555">
        <v>0</v>
      </c>
      <c r="K3296" s="527">
        <f t="shared" si="1952"/>
        <v>0.0264808099123602</v>
      </c>
      <c r="L3296" s="528">
        <f t="shared" si="1953"/>
        <v>2.1398002853067</v>
      </c>
      <c r="M3296" s="528">
        <f t="shared" si="1954"/>
        <v>56.663644605621</v>
      </c>
      <c r="N3296" s="528">
        <f t="shared" si="1955"/>
        <v>7.52666666666667</v>
      </c>
      <c r="O3296" s="528">
        <f t="shared" si="1956"/>
        <v>0.0014265335235378</v>
      </c>
      <c r="P3296" s="529">
        <f t="shared" si="1957"/>
        <v>88.2352941176471</v>
      </c>
      <c r="Q3296" s="24">
        <f t="shared" si="1958"/>
        <v>17</v>
      </c>
      <c r="R3296" s="530">
        <f t="shared" si="1959"/>
        <v>0.0242510699001427</v>
      </c>
    </row>
    <row r="3297" spans="1:18">
      <c r="A3297" s="524"/>
      <c r="B3297" s="540" t="s">
        <v>100</v>
      </c>
      <c r="C3297" s="552">
        <v>0</v>
      </c>
      <c r="D3297" s="553">
        <v>0</v>
      </c>
      <c r="E3297" s="553">
        <v>0</v>
      </c>
      <c r="F3297" s="551">
        <v>0</v>
      </c>
      <c r="G3297" s="551">
        <v>0</v>
      </c>
      <c r="H3297" s="551">
        <v>0</v>
      </c>
      <c r="I3297" s="551">
        <v>0</v>
      </c>
      <c r="J3297" s="551">
        <v>0</v>
      </c>
      <c r="K3297" s="527">
        <f t="shared" si="1952"/>
        <v>0</v>
      </c>
      <c r="L3297" s="528">
        <f t="shared" si="1953"/>
        <v>0</v>
      </c>
      <c r="M3297" s="528">
        <f t="shared" si="1954"/>
        <v>0</v>
      </c>
      <c r="N3297" s="528">
        <f t="shared" si="1955"/>
        <v>0</v>
      </c>
      <c r="O3297" s="528">
        <f t="shared" si="1956"/>
        <v>0</v>
      </c>
      <c r="P3297" s="529">
        <f t="shared" si="1957"/>
        <v>0</v>
      </c>
      <c r="Q3297" s="24">
        <f t="shared" si="1958"/>
        <v>0</v>
      </c>
      <c r="R3297" s="530">
        <f t="shared" si="1959"/>
        <v>0</v>
      </c>
    </row>
    <row r="3298" spans="1:18">
      <c r="A3298" s="524"/>
      <c r="B3298" s="540" t="s">
        <v>101</v>
      </c>
      <c r="C3298" s="552">
        <v>1147.4</v>
      </c>
      <c r="D3298" s="553">
        <v>27154</v>
      </c>
      <c r="E3298" s="551">
        <v>1164</v>
      </c>
      <c r="F3298" s="551">
        <v>4</v>
      </c>
      <c r="G3298" s="551">
        <v>35526</v>
      </c>
      <c r="H3298" s="551">
        <v>21</v>
      </c>
      <c r="I3298" s="551">
        <v>2</v>
      </c>
      <c r="J3298" s="551">
        <v>2</v>
      </c>
      <c r="K3298" s="527">
        <f t="shared" si="1952"/>
        <v>0.0428666126537527</v>
      </c>
      <c r="L3298" s="528">
        <f t="shared" si="1953"/>
        <v>0.98573883161512</v>
      </c>
      <c r="M3298" s="528">
        <f t="shared" si="1954"/>
        <v>42.2552846726081</v>
      </c>
      <c r="N3298" s="528">
        <f t="shared" si="1955"/>
        <v>30.9621753529719</v>
      </c>
      <c r="O3298" s="528">
        <f t="shared" si="1956"/>
        <v>0.00343642611683849</v>
      </c>
      <c r="P3298" s="529">
        <f t="shared" si="1957"/>
        <v>49.8869565217391</v>
      </c>
      <c r="Q3298" s="24">
        <f t="shared" si="1958"/>
        <v>23</v>
      </c>
      <c r="R3298" s="530">
        <f t="shared" si="1959"/>
        <v>0.0197594501718213</v>
      </c>
    </row>
    <row r="3299" spans="1:18">
      <c r="A3299" s="524"/>
      <c r="B3299" s="531" t="s">
        <v>96</v>
      </c>
      <c r="C3299" s="533">
        <f t="shared" ref="C3299:J3299" si="1967">SUM(C3295:C3298)</f>
        <v>3547.4</v>
      </c>
      <c r="D3299" s="533">
        <f t="shared" si="1967"/>
        <v>62043</v>
      </c>
      <c r="E3299" s="533">
        <f t="shared" si="1967"/>
        <v>2234</v>
      </c>
      <c r="F3299" s="533">
        <f t="shared" si="1967"/>
        <v>9</v>
      </c>
      <c r="G3299" s="533">
        <f t="shared" si="1967"/>
        <v>86013</v>
      </c>
      <c r="H3299" s="533">
        <f t="shared" si="1967"/>
        <v>66</v>
      </c>
      <c r="I3299" s="533">
        <f t="shared" si="1967"/>
        <v>5</v>
      </c>
      <c r="J3299" s="533">
        <f t="shared" si="1967"/>
        <v>4</v>
      </c>
      <c r="K3299" s="534">
        <f t="shared" si="1952"/>
        <v>0.0360072852698935</v>
      </c>
      <c r="L3299" s="535">
        <f t="shared" si="1953"/>
        <v>1.58791405550582</v>
      </c>
      <c r="M3299" s="535">
        <f t="shared" si="1954"/>
        <v>57.1764743806715</v>
      </c>
      <c r="N3299" s="535">
        <f t="shared" si="1955"/>
        <v>24.2467722839263</v>
      </c>
      <c r="O3299" s="535">
        <f t="shared" si="1956"/>
        <v>0.00402864816472695</v>
      </c>
      <c r="P3299" s="536">
        <f t="shared" si="1957"/>
        <v>49.9633802816901</v>
      </c>
      <c r="Q3299" s="531">
        <f t="shared" si="1958"/>
        <v>71</v>
      </c>
      <c r="R3299" s="537">
        <f t="shared" si="1959"/>
        <v>0.031781557743957</v>
      </c>
    </row>
    <row r="3300" spans="1:18">
      <c r="A3300" s="524">
        <v>46110</v>
      </c>
      <c r="B3300" s="540" t="s">
        <v>98</v>
      </c>
      <c r="C3300" s="551">
        <v>894.34</v>
      </c>
      <c r="D3300" s="553">
        <v>7876</v>
      </c>
      <c r="E3300" s="551">
        <v>382</v>
      </c>
      <c r="F3300" s="551">
        <v>1</v>
      </c>
      <c r="G3300" s="551">
        <v>10588</v>
      </c>
      <c r="H3300" s="551">
        <v>11</v>
      </c>
      <c r="I3300" s="551">
        <v>0</v>
      </c>
      <c r="J3300" s="551">
        <v>2</v>
      </c>
      <c r="K3300" s="527">
        <f t="shared" si="1952"/>
        <v>0.0485017775520569</v>
      </c>
      <c r="L3300" s="528">
        <f t="shared" si="1953"/>
        <v>2.34120418848168</v>
      </c>
      <c r="M3300" s="528">
        <f t="shared" si="1954"/>
        <v>113.552564753682</v>
      </c>
      <c r="N3300" s="528">
        <f t="shared" si="1955"/>
        <v>11.8388979582709</v>
      </c>
      <c r="O3300" s="528">
        <f t="shared" si="1956"/>
        <v>0.00261780104712042</v>
      </c>
      <c r="P3300" s="529">
        <f t="shared" si="1957"/>
        <v>81.3036363636364</v>
      </c>
      <c r="Q3300" s="24">
        <f t="shared" si="1958"/>
        <v>11</v>
      </c>
      <c r="R3300" s="530">
        <f t="shared" si="1959"/>
        <v>0.0287958115183246</v>
      </c>
    </row>
    <row r="3301" spans="1:18">
      <c r="A3301" s="524"/>
      <c r="B3301" s="540" t="s">
        <v>99</v>
      </c>
      <c r="C3301" s="551">
        <v>1470.29</v>
      </c>
      <c r="D3301" s="556">
        <v>21427</v>
      </c>
      <c r="E3301" s="551">
        <v>498</v>
      </c>
      <c r="F3301" s="551">
        <v>2</v>
      </c>
      <c r="G3301" s="551">
        <v>13090</v>
      </c>
      <c r="H3301" s="555">
        <v>9</v>
      </c>
      <c r="I3301" s="555">
        <v>1</v>
      </c>
      <c r="J3301" s="555">
        <v>1</v>
      </c>
      <c r="K3301" s="527">
        <f t="shared" si="1952"/>
        <v>0.0232417043916554</v>
      </c>
      <c r="L3301" s="528">
        <f t="shared" si="1953"/>
        <v>2.95238955823293</v>
      </c>
      <c r="M3301" s="528">
        <f t="shared" si="1954"/>
        <v>68.6185653614598</v>
      </c>
      <c r="N3301" s="528">
        <f t="shared" si="1955"/>
        <v>8.90300552952139</v>
      </c>
      <c r="O3301" s="528">
        <f t="shared" si="1956"/>
        <v>0.00401606425702811</v>
      </c>
      <c r="P3301" s="529">
        <f t="shared" si="1957"/>
        <v>147.029</v>
      </c>
      <c r="Q3301" s="24">
        <f t="shared" si="1958"/>
        <v>10</v>
      </c>
      <c r="R3301" s="530">
        <f t="shared" si="1959"/>
        <v>0.0200803212851406</v>
      </c>
    </row>
    <row r="3302" spans="1:18">
      <c r="A3302" s="524"/>
      <c r="B3302" s="540" t="s">
        <v>100</v>
      </c>
      <c r="C3302" s="552">
        <v>0</v>
      </c>
      <c r="D3302" s="553">
        <v>0</v>
      </c>
      <c r="E3302" s="553">
        <v>0</v>
      </c>
      <c r="F3302" s="551">
        <v>0</v>
      </c>
      <c r="G3302" s="551">
        <v>0</v>
      </c>
      <c r="H3302" s="551">
        <v>0</v>
      </c>
      <c r="I3302" s="551">
        <v>0</v>
      </c>
      <c r="J3302" s="551">
        <v>0</v>
      </c>
      <c r="K3302" s="527">
        <f t="shared" si="1952"/>
        <v>0</v>
      </c>
      <c r="L3302" s="528">
        <f t="shared" si="1953"/>
        <v>0</v>
      </c>
      <c r="M3302" s="528">
        <f t="shared" si="1954"/>
        <v>0</v>
      </c>
      <c r="N3302" s="528">
        <f t="shared" si="1955"/>
        <v>0</v>
      </c>
      <c r="O3302" s="528">
        <f t="shared" si="1956"/>
        <v>0</v>
      </c>
      <c r="P3302" s="529">
        <f t="shared" si="1957"/>
        <v>0</v>
      </c>
      <c r="Q3302" s="24">
        <f t="shared" si="1958"/>
        <v>0</v>
      </c>
      <c r="R3302" s="530">
        <f t="shared" si="1959"/>
        <v>0</v>
      </c>
    </row>
    <row r="3303" spans="1:18">
      <c r="A3303" s="524"/>
      <c r="B3303" s="540" t="s">
        <v>101</v>
      </c>
      <c r="C3303" s="552">
        <v>968.24</v>
      </c>
      <c r="D3303" s="553">
        <v>23527</v>
      </c>
      <c r="E3303" s="551">
        <v>1092</v>
      </c>
      <c r="F3303" s="551">
        <v>3</v>
      </c>
      <c r="G3303" s="551">
        <v>28606</v>
      </c>
      <c r="H3303" s="551">
        <v>21</v>
      </c>
      <c r="I3303" s="551">
        <v>1</v>
      </c>
      <c r="J3303" s="551">
        <v>0</v>
      </c>
      <c r="K3303" s="527">
        <f t="shared" si="1952"/>
        <v>0.046414757512645</v>
      </c>
      <c r="L3303" s="528">
        <f t="shared" si="1953"/>
        <v>0.886666666666667</v>
      </c>
      <c r="M3303" s="528">
        <f t="shared" si="1954"/>
        <v>41.1544183278786</v>
      </c>
      <c r="N3303" s="528">
        <f t="shared" si="1955"/>
        <v>29.5443278525985</v>
      </c>
      <c r="O3303" s="528">
        <f t="shared" si="1956"/>
        <v>0.00274725274725275</v>
      </c>
      <c r="P3303" s="529">
        <f t="shared" si="1957"/>
        <v>44.0109090909091</v>
      </c>
      <c r="Q3303" s="24">
        <f t="shared" si="1958"/>
        <v>22</v>
      </c>
      <c r="R3303" s="530">
        <f t="shared" si="1959"/>
        <v>0.0201465201465201</v>
      </c>
    </row>
    <row r="3304" spans="1:18">
      <c r="A3304" s="524"/>
      <c r="B3304" s="531" t="s">
        <v>96</v>
      </c>
      <c r="C3304" s="533">
        <f t="shared" ref="C3304:J3304" si="1968">SUM(C3300:C3303)</f>
        <v>3332.87</v>
      </c>
      <c r="D3304" s="533">
        <f t="shared" si="1968"/>
        <v>52830</v>
      </c>
      <c r="E3304" s="533">
        <f t="shared" si="1968"/>
        <v>1972</v>
      </c>
      <c r="F3304" s="533">
        <f t="shared" si="1968"/>
        <v>6</v>
      </c>
      <c r="G3304" s="533">
        <f t="shared" si="1968"/>
        <v>52284</v>
      </c>
      <c r="H3304" s="533">
        <f t="shared" si="1968"/>
        <v>41</v>
      </c>
      <c r="I3304" s="533">
        <f t="shared" si="1968"/>
        <v>2</v>
      </c>
      <c r="J3304" s="533">
        <f t="shared" si="1968"/>
        <v>3</v>
      </c>
      <c r="K3304" s="534">
        <f t="shared" si="1952"/>
        <v>0.0373272761688435</v>
      </c>
      <c r="L3304" s="535">
        <f t="shared" si="1953"/>
        <v>1.69009634888438</v>
      </c>
      <c r="M3304" s="535">
        <f t="shared" si="1954"/>
        <v>63.0866931667613</v>
      </c>
      <c r="N3304" s="535">
        <f t="shared" si="1955"/>
        <v>15.6873805458959</v>
      </c>
      <c r="O3304" s="535">
        <f t="shared" si="1956"/>
        <v>0.00304259634888438</v>
      </c>
      <c r="P3304" s="536">
        <f t="shared" si="1957"/>
        <v>77.5086046511628</v>
      </c>
      <c r="Q3304" s="531">
        <f t="shared" si="1958"/>
        <v>43</v>
      </c>
      <c r="R3304" s="537">
        <f t="shared" si="1959"/>
        <v>0.0218052738336714</v>
      </c>
    </row>
    <row r="3305" spans="1:18">
      <c r="A3305" s="524">
        <v>46111</v>
      </c>
      <c r="B3305" s="540" t="s">
        <v>98</v>
      </c>
      <c r="C3305" s="551">
        <v>900</v>
      </c>
      <c r="D3305" s="553">
        <v>14282</v>
      </c>
      <c r="E3305" s="551">
        <v>565</v>
      </c>
      <c r="F3305" s="551">
        <v>0</v>
      </c>
      <c r="G3305" s="551">
        <v>0</v>
      </c>
      <c r="H3305" s="551">
        <v>20</v>
      </c>
      <c r="I3305" s="551">
        <v>2</v>
      </c>
      <c r="J3305" s="551">
        <v>1</v>
      </c>
      <c r="K3305" s="527">
        <f t="shared" si="1952"/>
        <v>0.0395602856742753</v>
      </c>
      <c r="L3305" s="528">
        <f t="shared" si="1953"/>
        <v>1.5929203539823</v>
      </c>
      <c r="M3305" s="528">
        <f t="shared" si="1954"/>
        <v>63.0163842599076</v>
      </c>
      <c r="N3305" s="528">
        <f t="shared" si="1955"/>
        <v>0</v>
      </c>
      <c r="O3305" s="528">
        <f t="shared" si="1956"/>
        <v>0</v>
      </c>
      <c r="P3305" s="529">
        <f t="shared" si="1957"/>
        <v>40.9090909090909</v>
      </c>
      <c r="Q3305" s="24">
        <f t="shared" si="1958"/>
        <v>22</v>
      </c>
      <c r="R3305" s="530">
        <f t="shared" si="1959"/>
        <v>0.0389380530973451</v>
      </c>
    </row>
    <row r="3306" spans="1:18">
      <c r="A3306" s="524"/>
      <c r="B3306" s="540" t="s">
        <v>99</v>
      </c>
      <c r="C3306" s="551">
        <v>1480.1</v>
      </c>
      <c r="D3306" s="556">
        <v>15956</v>
      </c>
      <c r="E3306" s="551">
        <v>525</v>
      </c>
      <c r="F3306" s="551">
        <v>2</v>
      </c>
      <c r="G3306" s="551">
        <v>22393</v>
      </c>
      <c r="H3306" s="555">
        <v>19</v>
      </c>
      <c r="I3306" s="555">
        <v>1</v>
      </c>
      <c r="J3306" s="555">
        <v>0</v>
      </c>
      <c r="K3306" s="527">
        <f t="shared" si="1952"/>
        <v>0.0329029832038105</v>
      </c>
      <c r="L3306" s="528">
        <f t="shared" si="1953"/>
        <v>2.81923809523809</v>
      </c>
      <c r="M3306" s="528">
        <f t="shared" si="1954"/>
        <v>92.7613436951617</v>
      </c>
      <c r="N3306" s="528">
        <f t="shared" si="1955"/>
        <v>15.1293831497872</v>
      </c>
      <c r="O3306" s="528">
        <f t="shared" si="1956"/>
        <v>0.00380952380952381</v>
      </c>
      <c r="P3306" s="529">
        <f t="shared" si="1957"/>
        <v>74.005</v>
      </c>
      <c r="Q3306" s="24">
        <f t="shared" si="1958"/>
        <v>20</v>
      </c>
      <c r="R3306" s="530">
        <f t="shared" si="1959"/>
        <v>0.0380952380952381</v>
      </c>
    </row>
    <row r="3307" spans="1:18">
      <c r="A3307" s="524"/>
      <c r="B3307" s="540" t="s">
        <v>100</v>
      </c>
      <c r="C3307" s="552">
        <v>0</v>
      </c>
      <c r="D3307" s="553">
        <v>0</v>
      </c>
      <c r="E3307" s="553">
        <v>0</v>
      </c>
      <c r="F3307" s="551">
        <v>0</v>
      </c>
      <c r="G3307" s="551">
        <v>0</v>
      </c>
      <c r="H3307" s="551">
        <v>0</v>
      </c>
      <c r="I3307" s="551">
        <v>0</v>
      </c>
      <c r="J3307" s="551">
        <v>0</v>
      </c>
      <c r="K3307" s="527">
        <f t="shared" si="1952"/>
        <v>0</v>
      </c>
      <c r="L3307" s="528">
        <f t="shared" si="1953"/>
        <v>0</v>
      </c>
      <c r="M3307" s="528">
        <f t="shared" si="1954"/>
        <v>0</v>
      </c>
      <c r="N3307" s="528">
        <f t="shared" si="1955"/>
        <v>0</v>
      </c>
      <c r="O3307" s="528">
        <f t="shared" si="1956"/>
        <v>0</v>
      </c>
      <c r="P3307" s="529">
        <f t="shared" si="1957"/>
        <v>0</v>
      </c>
      <c r="Q3307" s="24">
        <f t="shared" si="1958"/>
        <v>0</v>
      </c>
      <c r="R3307" s="530">
        <f t="shared" si="1959"/>
        <v>0</v>
      </c>
    </row>
    <row r="3308" spans="1:18">
      <c r="A3308" s="524"/>
      <c r="B3308" s="540" t="s">
        <v>101</v>
      </c>
      <c r="C3308" s="552">
        <v>921.04</v>
      </c>
      <c r="D3308" s="553">
        <v>19436</v>
      </c>
      <c r="E3308" s="551">
        <v>850</v>
      </c>
      <c r="F3308" s="551">
        <v>3</v>
      </c>
      <c r="G3308" s="551">
        <v>25642</v>
      </c>
      <c r="H3308" s="551">
        <v>29</v>
      </c>
      <c r="I3308" s="551">
        <v>2</v>
      </c>
      <c r="J3308" s="551">
        <v>0</v>
      </c>
      <c r="K3308" s="527">
        <f t="shared" si="1952"/>
        <v>0.0437332784523565</v>
      </c>
      <c r="L3308" s="528">
        <f t="shared" si="1953"/>
        <v>1.08357647058824</v>
      </c>
      <c r="M3308" s="528">
        <f t="shared" si="1954"/>
        <v>47.3883515126569</v>
      </c>
      <c r="N3308" s="528">
        <f t="shared" si="1955"/>
        <v>27.8402675236689</v>
      </c>
      <c r="O3308" s="528">
        <f t="shared" si="1956"/>
        <v>0.00352941176470588</v>
      </c>
      <c r="P3308" s="529">
        <f t="shared" si="1957"/>
        <v>29.7109677419355</v>
      </c>
      <c r="Q3308" s="24">
        <f t="shared" si="1958"/>
        <v>31</v>
      </c>
      <c r="R3308" s="530">
        <f t="shared" si="1959"/>
        <v>0.0364705882352941</v>
      </c>
    </row>
    <row r="3309" spans="1:18">
      <c r="A3309" s="524"/>
      <c r="B3309" s="531" t="s">
        <v>96</v>
      </c>
      <c r="C3309" s="533">
        <f t="shared" ref="C3309:J3309" si="1969">SUM(C3305:C3308)</f>
        <v>3301.14</v>
      </c>
      <c r="D3309" s="533">
        <f t="shared" si="1969"/>
        <v>49674</v>
      </c>
      <c r="E3309" s="533">
        <f t="shared" si="1969"/>
        <v>1940</v>
      </c>
      <c r="F3309" s="533">
        <f t="shared" si="1969"/>
        <v>5</v>
      </c>
      <c r="G3309" s="533">
        <f t="shared" si="1969"/>
        <v>48035</v>
      </c>
      <c r="H3309" s="533">
        <f t="shared" si="1969"/>
        <v>68</v>
      </c>
      <c r="I3309" s="533">
        <f t="shared" si="1969"/>
        <v>5</v>
      </c>
      <c r="J3309" s="533">
        <f t="shared" si="1969"/>
        <v>1</v>
      </c>
      <c r="K3309" s="534">
        <f t="shared" si="1952"/>
        <v>0.0390546362282079</v>
      </c>
      <c r="L3309" s="535">
        <f t="shared" si="1953"/>
        <v>1.70161855670103</v>
      </c>
      <c r="M3309" s="535">
        <f t="shared" si="1954"/>
        <v>66.4560937311269</v>
      </c>
      <c r="N3309" s="535">
        <f t="shared" si="1955"/>
        <v>14.5510338852639</v>
      </c>
      <c r="O3309" s="535">
        <f t="shared" si="1956"/>
        <v>0.00257731958762887</v>
      </c>
      <c r="P3309" s="536">
        <f t="shared" si="1957"/>
        <v>45.221095890411</v>
      </c>
      <c r="Q3309" s="531">
        <f t="shared" si="1958"/>
        <v>73</v>
      </c>
      <c r="R3309" s="537">
        <f t="shared" si="1959"/>
        <v>0.0376288659793814</v>
      </c>
    </row>
    <row r="3310" spans="1:18">
      <c r="A3310" s="524">
        <v>46112</v>
      </c>
      <c r="B3310" s="540" t="s">
        <v>98</v>
      </c>
      <c r="C3310" s="551">
        <v>898.93</v>
      </c>
      <c r="D3310" s="553">
        <v>7882</v>
      </c>
      <c r="E3310" s="551">
        <v>438</v>
      </c>
      <c r="F3310" s="551">
        <v>1</v>
      </c>
      <c r="G3310" s="551">
        <v>6516</v>
      </c>
      <c r="H3310" s="551">
        <v>21</v>
      </c>
      <c r="I3310" s="551">
        <v>4</v>
      </c>
      <c r="J3310" s="551">
        <v>5</v>
      </c>
      <c r="K3310" s="527">
        <f t="shared" si="1952"/>
        <v>0.0555696523724943</v>
      </c>
      <c r="L3310" s="528">
        <f t="shared" si="1953"/>
        <v>2.05235159817352</v>
      </c>
      <c r="M3310" s="528">
        <f t="shared" si="1954"/>
        <v>114.048464856635</v>
      </c>
      <c r="N3310" s="528">
        <f t="shared" si="1955"/>
        <v>7.24861780116361</v>
      </c>
      <c r="O3310" s="528">
        <f t="shared" si="1956"/>
        <v>0.00228310502283105</v>
      </c>
      <c r="P3310" s="529">
        <f t="shared" si="1957"/>
        <v>35.9572</v>
      </c>
      <c r="Q3310" s="24">
        <f t="shared" si="1958"/>
        <v>25</v>
      </c>
      <c r="R3310" s="530">
        <f t="shared" si="1959"/>
        <v>0.0570776255707763</v>
      </c>
    </row>
    <row r="3311" spans="1:18">
      <c r="A3311" s="524"/>
      <c r="B3311" s="540" t="s">
        <v>99</v>
      </c>
      <c r="C3311" s="551">
        <v>1461.41</v>
      </c>
      <c r="D3311" s="556">
        <v>23826</v>
      </c>
      <c r="E3311" s="551">
        <v>726</v>
      </c>
      <c r="F3311" s="551">
        <v>3</v>
      </c>
      <c r="G3311" s="551">
        <v>31472</v>
      </c>
      <c r="H3311" s="555">
        <v>11</v>
      </c>
      <c r="I3311" s="555">
        <v>0</v>
      </c>
      <c r="J3311" s="555">
        <v>1</v>
      </c>
      <c r="K3311" s="527">
        <f t="shared" si="1952"/>
        <v>0.0304709141274238</v>
      </c>
      <c r="L3311" s="528">
        <f t="shared" si="1953"/>
        <v>2.01296143250689</v>
      </c>
      <c r="M3311" s="528">
        <f t="shared" si="1954"/>
        <v>61.3367749517334</v>
      </c>
      <c r="N3311" s="528">
        <f t="shared" si="1955"/>
        <v>21.5353665295844</v>
      </c>
      <c r="O3311" s="528">
        <f t="shared" si="1956"/>
        <v>0.00413223140495868</v>
      </c>
      <c r="P3311" s="529">
        <f t="shared" si="1957"/>
        <v>132.855454545455</v>
      </c>
      <c r="Q3311" s="24">
        <f t="shared" si="1958"/>
        <v>11</v>
      </c>
      <c r="R3311" s="530">
        <f t="shared" si="1959"/>
        <v>0.0151515151515152</v>
      </c>
    </row>
    <row r="3312" spans="1:18">
      <c r="A3312" s="524"/>
      <c r="B3312" s="540" t="s">
        <v>100</v>
      </c>
      <c r="C3312" s="552">
        <v>0</v>
      </c>
      <c r="D3312" s="553">
        <v>0</v>
      </c>
      <c r="E3312" s="553">
        <v>0</v>
      </c>
      <c r="F3312" s="551">
        <v>0</v>
      </c>
      <c r="G3312" s="551">
        <v>0</v>
      </c>
      <c r="H3312" s="551">
        <v>0</v>
      </c>
      <c r="I3312" s="551">
        <v>0</v>
      </c>
      <c r="J3312" s="551">
        <v>0</v>
      </c>
      <c r="K3312" s="527">
        <f t="shared" si="1952"/>
        <v>0</v>
      </c>
      <c r="L3312" s="528">
        <f t="shared" si="1953"/>
        <v>0</v>
      </c>
      <c r="M3312" s="528">
        <f t="shared" si="1954"/>
        <v>0</v>
      </c>
      <c r="N3312" s="528">
        <f t="shared" si="1955"/>
        <v>0</v>
      </c>
      <c r="O3312" s="528">
        <f t="shared" si="1956"/>
        <v>0</v>
      </c>
      <c r="P3312" s="529">
        <f t="shared" si="1957"/>
        <v>0</v>
      </c>
      <c r="Q3312" s="24">
        <f t="shared" si="1958"/>
        <v>0</v>
      </c>
      <c r="R3312" s="530">
        <f t="shared" si="1959"/>
        <v>0</v>
      </c>
    </row>
    <row r="3313" spans="1:18">
      <c r="A3313" s="524"/>
      <c r="B3313" s="540" t="s">
        <v>101</v>
      </c>
      <c r="C3313" s="552">
        <v>810.55</v>
      </c>
      <c r="D3313" s="553">
        <v>14398</v>
      </c>
      <c r="E3313" s="551">
        <v>766</v>
      </c>
      <c r="F3313" s="551">
        <v>1</v>
      </c>
      <c r="G3313" s="551">
        <v>19996</v>
      </c>
      <c r="H3313" s="551">
        <v>19</v>
      </c>
      <c r="I3313" s="551">
        <v>4</v>
      </c>
      <c r="J3313" s="551">
        <v>1</v>
      </c>
      <c r="K3313" s="527">
        <f t="shared" si="1952"/>
        <v>0.0532018335879983</v>
      </c>
      <c r="L3313" s="528">
        <f t="shared" si="1953"/>
        <v>1.0581592689295</v>
      </c>
      <c r="M3313" s="528">
        <f t="shared" si="1954"/>
        <v>56.2960133351854</v>
      </c>
      <c r="N3313" s="528">
        <f t="shared" si="1955"/>
        <v>24.6696687434458</v>
      </c>
      <c r="O3313" s="528">
        <f t="shared" si="1956"/>
        <v>0.00130548302872063</v>
      </c>
      <c r="P3313" s="529">
        <f t="shared" si="1957"/>
        <v>35.2413043478261</v>
      </c>
      <c r="Q3313" s="24">
        <f t="shared" si="1958"/>
        <v>23</v>
      </c>
      <c r="R3313" s="530">
        <f t="shared" si="1959"/>
        <v>0.0300261096605744</v>
      </c>
    </row>
    <row r="3314" spans="1:18">
      <c r="A3314" s="524"/>
      <c r="B3314" s="531" t="s">
        <v>96</v>
      </c>
      <c r="C3314" s="533">
        <f t="shared" ref="C3314:J3314" si="1970">SUM(C3310:C3313)</f>
        <v>3170.89</v>
      </c>
      <c r="D3314" s="533">
        <f t="shared" si="1970"/>
        <v>46106</v>
      </c>
      <c r="E3314" s="533">
        <f t="shared" si="1970"/>
        <v>1930</v>
      </c>
      <c r="F3314" s="533">
        <f t="shared" si="1970"/>
        <v>5</v>
      </c>
      <c r="G3314" s="533">
        <f t="shared" si="1970"/>
        <v>57984</v>
      </c>
      <c r="H3314" s="533">
        <f t="shared" si="1970"/>
        <v>51</v>
      </c>
      <c r="I3314" s="533">
        <f t="shared" si="1970"/>
        <v>8</v>
      </c>
      <c r="J3314" s="533">
        <f t="shared" si="1970"/>
        <v>7</v>
      </c>
      <c r="K3314" s="534">
        <f t="shared" si="1952"/>
        <v>0.0418600615971891</v>
      </c>
      <c r="L3314" s="535">
        <f t="shared" si="1953"/>
        <v>1.6429481865285</v>
      </c>
      <c r="M3314" s="535">
        <f t="shared" si="1954"/>
        <v>68.773912289073</v>
      </c>
      <c r="N3314" s="535">
        <f t="shared" si="1955"/>
        <v>18.2863486276724</v>
      </c>
      <c r="O3314" s="535">
        <f t="shared" si="1956"/>
        <v>0.00259067357512953</v>
      </c>
      <c r="P3314" s="536">
        <f t="shared" si="1957"/>
        <v>53.7438983050847</v>
      </c>
      <c r="Q3314" s="531">
        <f t="shared" si="1958"/>
        <v>59</v>
      </c>
      <c r="R3314" s="537">
        <f t="shared" si="1959"/>
        <v>0.0305699481865285</v>
      </c>
    </row>
    <row r="3315" spans="1:18">
      <c r="A3315" s="524">
        <v>46113</v>
      </c>
      <c r="B3315" s="540" t="s">
        <v>98</v>
      </c>
      <c r="C3315" s="551">
        <v>899.53</v>
      </c>
      <c r="D3315" s="553">
        <v>15879</v>
      </c>
      <c r="E3315" s="551">
        <v>561</v>
      </c>
      <c r="F3315" s="551">
        <v>0</v>
      </c>
      <c r="G3315" s="551">
        <v>0</v>
      </c>
      <c r="H3315" s="551">
        <v>21</v>
      </c>
      <c r="I3315" s="551">
        <v>5</v>
      </c>
      <c r="J3315" s="551">
        <v>1</v>
      </c>
      <c r="K3315" s="527">
        <f t="shared" si="1952"/>
        <v>0.0353296807103722</v>
      </c>
      <c r="L3315" s="528">
        <f t="shared" si="1953"/>
        <v>1.60344028520499</v>
      </c>
      <c r="M3315" s="528">
        <f t="shared" si="1954"/>
        <v>56.6490333144405</v>
      </c>
      <c r="N3315" s="528">
        <f t="shared" si="1955"/>
        <v>0</v>
      </c>
      <c r="O3315" s="528">
        <f t="shared" si="1956"/>
        <v>0</v>
      </c>
      <c r="P3315" s="529">
        <f t="shared" si="1957"/>
        <v>34.5973076923077</v>
      </c>
      <c r="Q3315" s="24">
        <f t="shared" si="1958"/>
        <v>26</v>
      </c>
      <c r="R3315" s="530">
        <f t="shared" si="1959"/>
        <v>0.0463458110516934</v>
      </c>
    </row>
    <row r="3316" spans="1:18">
      <c r="A3316" s="524"/>
      <c r="B3316" s="540" t="s">
        <v>99</v>
      </c>
      <c r="C3316" s="551">
        <v>1500</v>
      </c>
      <c r="D3316" s="556">
        <v>16937</v>
      </c>
      <c r="E3316" s="551">
        <v>517</v>
      </c>
      <c r="F3316" s="551">
        <v>1</v>
      </c>
      <c r="G3316" s="551">
        <v>4616</v>
      </c>
      <c r="H3316" s="555">
        <v>12</v>
      </c>
      <c r="I3316" s="555">
        <v>4</v>
      </c>
      <c r="J3316" s="555">
        <v>2</v>
      </c>
      <c r="K3316" s="527">
        <f t="shared" si="1952"/>
        <v>0.0305248863435083</v>
      </c>
      <c r="L3316" s="528">
        <f t="shared" si="1953"/>
        <v>2.90135396518375</v>
      </c>
      <c r="M3316" s="528">
        <f t="shared" si="1954"/>
        <v>88.5635000295212</v>
      </c>
      <c r="N3316" s="528">
        <f t="shared" si="1955"/>
        <v>3.07733333333333</v>
      </c>
      <c r="O3316" s="528">
        <f t="shared" si="1956"/>
        <v>0.00193423597678917</v>
      </c>
      <c r="P3316" s="529">
        <f t="shared" si="1957"/>
        <v>93.75</v>
      </c>
      <c r="Q3316" s="24">
        <f t="shared" si="1958"/>
        <v>16</v>
      </c>
      <c r="R3316" s="530">
        <f t="shared" si="1959"/>
        <v>0.0309477756286267</v>
      </c>
    </row>
    <row r="3317" spans="1:18">
      <c r="A3317" s="524"/>
      <c r="B3317" s="540" t="s">
        <v>100</v>
      </c>
      <c r="C3317" s="552">
        <v>0</v>
      </c>
      <c r="D3317" s="553">
        <v>0</v>
      </c>
      <c r="E3317" s="553">
        <v>0</v>
      </c>
      <c r="F3317" s="551">
        <v>0</v>
      </c>
      <c r="G3317" s="551">
        <v>0</v>
      </c>
      <c r="H3317" s="551">
        <v>0</v>
      </c>
      <c r="I3317" s="551">
        <v>0</v>
      </c>
      <c r="J3317" s="551">
        <v>0</v>
      </c>
      <c r="K3317" s="527">
        <f t="shared" si="1952"/>
        <v>0</v>
      </c>
      <c r="L3317" s="528">
        <f t="shared" si="1953"/>
        <v>0</v>
      </c>
      <c r="M3317" s="528">
        <f t="shared" si="1954"/>
        <v>0</v>
      </c>
      <c r="N3317" s="528">
        <f t="shared" si="1955"/>
        <v>0</v>
      </c>
      <c r="O3317" s="528">
        <f t="shared" si="1956"/>
        <v>0</v>
      </c>
      <c r="P3317" s="529">
        <f t="shared" si="1957"/>
        <v>0</v>
      </c>
      <c r="Q3317" s="24">
        <f t="shared" si="1958"/>
        <v>0</v>
      </c>
      <c r="R3317" s="530">
        <f t="shared" si="1959"/>
        <v>0</v>
      </c>
    </row>
    <row r="3318" spans="1:18">
      <c r="A3318" s="524"/>
      <c r="B3318" s="540" t="s">
        <v>101</v>
      </c>
      <c r="C3318" s="552">
        <v>1139.32</v>
      </c>
      <c r="D3318" s="553">
        <v>14938</v>
      </c>
      <c r="E3318" s="551">
        <v>729</v>
      </c>
      <c r="F3318" s="551">
        <v>4</v>
      </c>
      <c r="G3318" s="551">
        <v>33010</v>
      </c>
      <c r="H3318" s="551">
        <v>20</v>
      </c>
      <c r="I3318" s="551">
        <v>0</v>
      </c>
      <c r="J3318" s="551">
        <v>2</v>
      </c>
      <c r="K3318" s="527">
        <f t="shared" si="1952"/>
        <v>0.0488017137501674</v>
      </c>
      <c r="L3318" s="528">
        <f t="shared" si="1953"/>
        <v>1.56285322359396</v>
      </c>
      <c r="M3318" s="528">
        <f t="shared" si="1954"/>
        <v>76.2699156513589</v>
      </c>
      <c r="N3318" s="528">
        <f t="shared" si="1955"/>
        <v>28.9734227433908</v>
      </c>
      <c r="O3318" s="528">
        <f t="shared" si="1956"/>
        <v>0.00548696844993141</v>
      </c>
      <c r="P3318" s="529">
        <f t="shared" si="1957"/>
        <v>56.966</v>
      </c>
      <c r="Q3318" s="24">
        <f t="shared" si="1958"/>
        <v>20</v>
      </c>
      <c r="R3318" s="530">
        <f t="shared" si="1959"/>
        <v>0.0274348422496571</v>
      </c>
    </row>
    <row r="3319" spans="1:18">
      <c r="A3319" s="524"/>
      <c r="B3319" s="531" t="s">
        <v>96</v>
      </c>
      <c r="C3319" s="533">
        <f t="shared" ref="C3319:J3319" si="1971">SUM(C3315:C3318)</f>
        <v>3538.85</v>
      </c>
      <c r="D3319" s="533">
        <f t="shared" si="1971"/>
        <v>47754</v>
      </c>
      <c r="E3319" s="533">
        <f t="shared" si="1971"/>
        <v>1807</v>
      </c>
      <c r="F3319" s="533">
        <f t="shared" si="1971"/>
        <v>5</v>
      </c>
      <c r="G3319" s="533">
        <f t="shared" si="1971"/>
        <v>37626</v>
      </c>
      <c r="H3319" s="533">
        <f t="shared" si="1971"/>
        <v>53</v>
      </c>
      <c r="I3319" s="533">
        <f t="shared" si="1971"/>
        <v>9</v>
      </c>
      <c r="J3319" s="533">
        <f t="shared" si="1971"/>
        <v>5</v>
      </c>
      <c r="K3319" s="534">
        <f t="shared" si="1952"/>
        <v>0.0378397621141684</v>
      </c>
      <c r="L3319" s="535">
        <f t="shared" si="1953"/>
        <v>1.95841173215274</v>
      </c>
      <c r="M3319" s="535">
        <f t="shared" si="1954"/>
        <v>74.1058340662562</v>
      </c>
      <c r="N3319" s="535">
        <f t="shared" si="1955"/>
        <v>10.6322675445413</v>
      </c>
      <c r="O3319" s="535">
        <f t="shared" si="1956"/>
        <v>0.00276701715550636</v>
      </c>
      <c r="P3319" s="536">
        <f t="shared" si="1957"/>
        <v>57.0782258064516</v>
      </c>
      <c r="Q3319" s="531">
        <f t="shared" si="1958"/>
        <v>62</v>
      </c>
      <c r="R3319" s="537">
        <f t="shared" si="1959"/>
        <v>0.0343110127282789</v>
      </c>
    </row>
    <row r="3320" spans="1:18">
      <c r="A3320" s="524">
        <v>46114</v>
      </c>
      <c r="B3320" s="540" t="s">
        <v>98</v>
      </c>
      <c r="C3320" s="551">
        <v>895.08</v>
      </c>
      <c r="D3320" s="553">
        <v>11497</v>
      </c>
      <c r="E3320" s="551">
        <v>481</v>
      </c>
      <c r="F3320" s="551">
        <v>0</v>
      </c>
      <c r="G3320" s="551">
        <v>0</v>
      </c>
      <c r="H3320" s="551">
        <v>26</v>
      </c>
      <c r="I3320" s="551">
        <v>3</v>
      </c>
      <c r="J3320" s="551">
        <v>1</v>
      </c>
      <c r="K3320" s="527">
        <f t="shared" si="1952"/>
        <v>0.0418370009567713</v>
      </c>
      <c r="L3320" s="528">
        <f t="shared" si="1953"/>
        <v>1.86087318087318</v>
      </c>
      <c r="M3320" s="528">
        <f t="shared" si="1954"/>
        <v>77.8533530486214</v>
      </c>
      <c r="N3320" s="528">
        <f t="shared" si="1955"/>
        <v>0</v>
      </c>
      <c r="O3320" s="528">
        <f t="shared" si="1956"/>
        <v>0</v>
      </c>
      <c r="P3320" s="529">
        <f t="shared" si="1957"/>
        <v>30.8648275862069</v>
      </c>
      <c r="Q3320" s="24">
        <f t="shared" si="1958"/>
        <v>29</v>
      </c>
      <c r="R3320" s="530">
        <f t="shared" si="1959"/>
        <v>0.0602910602910603</v>
      </c>
    </row>
    <row r="3321" spans="1:18">
      <c r="A3321" s="524"/>
      <c r="B3321" s="540" t="s">
        <v>99</v>
      </c>
      <c r="C3321" s="551">
        <v>1500</v>
      </c>
      <c r="D3321" s="556">
        <v>33039</v>
      </c>
      <c r="E3321" s="551">
        <v>589</v>
      </c>
      <c r="F3321" s="551">
        <v>2</v>
      </c>
      <c r="G3321" s="551">
        <v>22393</v>
      </c>
      <c r="H3321" s="555">
        <v>17</v>
      </c>
      <c r="I3321" s="555">
        <v>2</v>
      </c>
      <c r="J3321" s="555">
        <v>2</v>
      </c>
      <c r="K3321" s="527">
        <f t="shared" si="1952"/>
        <v>0.0178274160840219</v>
      </c>
      <c r="L3321" s="528">
        <f t="shared" si="1953"/>
        <v>2.54668930390492</v>
      </c>
      <c r="M3321" s="528">
        <f t="shared" si="1954"/>
        <v>45.4008898574412</v>
      </c>
      <c r="N3321" s="528">
        <f t="shared" si="1955"/>
        <v>14.9286666666667</v>
      </c>
      <c r="O3321" s="528">
        <f t="shared" si="1956"/>
        <v>0.0033955857385399</v>
      </c>
      <c r="P3321" s="529">
        <f t="shared" si="1957"/>
        <v>78.9473684210526</v>
      </c>
      <c r="Q3321" s="24">
        <f t="shared" si="1958"/>
        <v>19</v>
      </c>
      <c r="R3321" s="530">
        <f t="shared" si="1959"/>
        <v>0.032258064516129</v>
      </c>
    </row>
    <row r="3322" spans="1:18">
      <c r="A3322" s="524"/>
      <c r="B3322" s="540" t="s">
        <v>100</v>
      </c>
      <c r="C3322" s="552">
        <v>0</v>
      </c>
      <c r="D3322" s="553">
        <v>0</v>
      </c>
      <c r="E3322" s="553">
        <v>0</v>
      </c>
      <c r="F3322" s="551">
        <v>0</v>
      </c>
      <c r="G3322" s="551">
        <v>0</v>
      </c>
      <c r="H3322" s="551">
        <v>0</v>
      </c>
      <c r="I3322" s="551">
        <v>0</v>
      </c>
      <c r="J3322" s="551">
        <v>0</v>
      </c>
      <c r="K3322" s="527">
        <f t="shared" si="1952"/>
        <v>0</v>
      </c>
      <c r="L3322" s="528">
        <f t="shared" si="1953"/>
        <v>0</v>
      </c>
      <c r="M3322" s="528">
        <f t="shared" si="1954"/>
        <v>0</v>
      </c>
      <c r="N3322" s="528">
        <f t="shared" si="1955"/>
        <v>0</v>
      </c>
      <c r="O3322" s="528">
        <f t="shared" si="1956"/>
        <v>0</v>
      </c>
      <c r="P3322" s="529">
        <f t="shared" si="1957"/>
        <v>0</v>
      </c>
      <c r="Q3322" s="24">
        <f t="shared" si="1958"/>
        <v>0</v>
      </c>
      <c r="R3322" s="530">
        <f t="shared" si="1959"/>
        <v>0</v>
      </c>
    </row>
    <row r="3323" spans="1:18">
      <c r="A3323" s="524"/>
      <c r="B3323" s="540" t="s">
        <v>101</v>
      </c>
      <c r="C3323" s="552">
        <v>1309.9</v>
      </c>
      <c r="D3323" s="553">
        <v>35419</v>
      </c>
      <c r="E3323" s="551">
        <v>1411</v>
      </c>
      <c r="F3323" s="551">
        <v>7</v>
      </c>
      <c r="G3323" s="551">
        <v>85025.02</v>
      </c>
      <c r="H3323" s="551">
        <v>32</v>
      </c>
      <c r="I3323" s="551">
        <v>1</v>
      </c>
      <c r="J3323" s="551">
        <v>2</v>
      </c>
      <c r="K3323" s="527">
        <f t="shared" ref="K3323:K3386" si="1972">IF(E3323=0,0,E3323/D3323)</f>
        <v>0.0398373754199723</v>
      </c>
      <c r="L3323" s="528">
        <f t="shared" ref="L3323:L3386" si="1973">IF(C3323=0,0,C3323/E3323)</f>
        <v>0.92834868887314</v>
      </c>
      <c r="M3323" s="528">
        <f t="shared" ref="M3323:M3386" si="1974">IF(D3323=0,0,C3323/D3323*1000)</f>
        <v>36.9829752392784</v>
      </c>
      <c r="N3323" s="528">
        <f t="shared" ref="N3323:N3386" si="1975">IF(G3323=0,0,G3323/C3323)</f>
        <v>64.9095503473548</v>
      </c>
      <c r="O3323" s="528">
        <f t="shared" ref="O3323:O3386" si="1976">IF(F3323=0,0,F3323/E3323)</f>
        <v>0.00496102055279943</v>
      </c>
      <c r="P3323" s="529">
        <f t="shared" ref="P3323:P3386" si="1977">IF(H3323+I3323=0,0,C3323/(H3323+I3323))</f>
        <v>39.6939393939394</v>
      </c>
      <c r="Q3323" s="24">
        <f t="shared" ref="Q3323:Q3386" si="1978">H3323+I3323</f>
        <v>33</v>
      </c>
      <c r="R3323" s="530">
        <f t="shared" ref="R3323:R3386" si="1979">IF(Q3323=0,0,Q3323/E3323)</f>
        <v>0.0233876683203402</v>
      </c>
    </row>
    <row r="3324" spans="1:18">
      <c r="A3324" s="524"/>
      <c r="B3324" s="531" t="s">
        <v>96</v>
      </c>
      <c r="C3324" s="533">
        <f t="shared" ref="C3324:J3324" si="1980">SUM(C3320:C3323)</f>
        <v>3704.98</v>
      </c>
      <c r="D3324" s="533">
        <f t="shared" si="1980"/>
        <v>79955</v>
      </c>
      <c r="E3324" s="533">
        <f t="shared" si="1980"/>
        <v>2481</v>
      </c>
      <c r="F3324" s="533">
        <f t="shared" si="1980"/>
        <v>9</v>
      </c>
      <c r="G3324" s="533">
        <f t="shared" si="1980"/>
        <v>107418.02</v>
      </c>
      <c r="H3324" s="533">
        <f t="shared" si="1980"/>
        <v>75</v>
      </c>
      <c r="I3324" s="533">
        <f t="shared" si="1980"/>
        <v>6</v>
      </c>
      <c r="J3324" s="533">
        <f t="shared" si="1980"/>
        <v>5</v>
      </c>
      <c r="K3324" s="534">
        <f t="shared" si="1972"/>
        <v>0.0310299543493215</v>
      </c>
      <c r="L3324" s="535">
        <f t="shared" si="1973"/>
        <v>1.49334139459895</v>
      </c>
      <c r="M3324" s="535">
        <f t="shared" si="1974"/>
        <v>46.3383153023576</v>
      </c>
      <c r="N3324" s="535">
        <f t="shared" si="1975"/>
        <v>28.9928744554626</v>
      </c>
      <c r="O3324" s="535">
        <f t="shared" si="1976"/>
        <v>0.00362756952841596</v>
      </c>
      <c r="P3324" s="536">
        <f t="shared" si="1977"/>
        <v>45.7404938271605</v>
      </c>
      <c r="Q3324" s="531">
        <f t="shared" si="1978"/>
        <v>81</v>
      </c>
      <c r="R3324" s="537">
        <f t="shared" si="1979"/>
        <v>0.0326481257557437</v>
      </c>
    </row>
    <row r="3325" spans="1:18">
      <c r="A3325" s="524">
        <v>46115</v>
      </c>
      <c r="B3325" s="540" t="s">
        <v>98</v>
      </c>
      <c r="C3325" s="551">
        <v>900</v>
      </c>
      <c r="D3325" s="553">
        <v>9433</v>
      </c>
      <c r="E3325" s="551">
        <v>413</v>
      </c>
      <c r="F3325" s="551">
        <v>2</v>
      </c>
      <c r="G3325" s="551">
        <v>4632</v>
      </c>
      <c r="H3325" s="551">
        <v>26</v>
      </c>
      <c r="I3325" s="551">
        <v>4</v>
      </c>
      <c r="J3325" s="551">
        <v>1</v>
      </c>
      <c r="K3325" s="527">
        <f t="shared" si="1972"/>
        <v>0.0437824658115128</v>
      </c>
      <c r="L3325" s="528">
        <f t="shared" si="1973"/>
        <v>2.17917675544794</v>
      </c>
      <c r="M3325" s="528">
        <f t="shared" si="1974"/>
        <v>95.4097317926429</v>
      </c>
      <c r="N3325" s="528">
        <f t="shared" si="1975"/>
        <v>5.14666666666667</v>
      </c>
      <c r="O3325" s="528">
        <f t="shared" si="1976"/>
        <v>0.00484261501210654</v>
      </c>
      <c r="P3325" s="529">
        <f t="shared" si="1977"/>
        <v>30</v>
      </c>
      <c r="Q3325" s="24">
        <f t="shared" si="1978"/>
        <v>30</v>
      </c>
      <c r="R3325" s="530">
        <f t="shared" si="1979"/>
        <v>0.0726392251815981</v>
      </c>
    </row>
    <row r="3326" spans="1:18">
      <c r="A3326" s="524"/>
      <c r="B3326" s="540" t="s">
        <v>99</v>
      </c>
      <c r="C3326" s="551">
        <v>2000</v>
      </c>
      <c r="D3326" s="556">
        <v>41133</v>
      </c>
      <c r="E3326" s="551">
        <v>746</v>
      </c>
      <c r="F3326" s="551">
        <v>0</v>
      </c>
      <c r="G3326" s="551">
        <v>0</v>
      </c>
      <c r="H3326" s="555">
        <v>15</v>
      </c>
      <c r="I3326" s="555">
        <v>0</v>
      </c>
      <c r="J3326" s="555">
        <v>1</v>
      </c>
      <c r="K3326" s="527">
        <f t="shared" si="1972"/>
        <v>0.0181362895971604</v>
      </c>
      <c r="L3326" s="528">
        <f t="shared" si="1973"/>
        <v>2.68096514745308</v>
      </c>
      <c r="M3326" s="528">
        <f t="shared" si="1974"/>
        <v>48.622760314103</v>
      </c>
      <c r="N3326" s="528">
        <f t="shared" si="1975"/>
        <v>0</v>
      </c>
      <c r="O3326" s="528">
        <f t="shared" si="1976"/>
        <v>0</v>
      </c>
      <c r="P3326" s="529">
        <f t="shared" si="1977"/>
        <v>133.333333333333</v>
      </c>
      <c r="Q3326" s="24">
        <f t="shared" si="1978"/>
        <v>15</v>
      </c>
      <c r="R3326" s="530">
        <f t="shared" si="1979"/>
        <v>0.0201072386058981</v>
      </c>
    </row>
    <row r="3327" spans="1:18">
      <c r="A3327" s="524"/>
      <c r="B3327" s="540" t="s">
        <v>100</v>
      </c>
      <c r="C3327" s="552">
        <v>0</v>
      </c>
      <c r="D3327" s="553">
        <v>0</v>
      </c>
      <c r="E3327" s="553">
        <v>0</v>
      </c>
      <c r="F3327" s="551">
        <v>0</v>
      </c>
      <c r="G3327" s="551">
        <v>0</v>
      </c>
      <c r="H3327" s="551">
        <v>0</v>
      </c>
      <c r="I3327" s="551">
        <v>0</v>
      </c>
      <c r="J3327" s="551">
        <v>0</v>
      </c>
      <c r="K3327" s="527">
        <f t="shared" si="1972"/>
        <v>0</v>
      </c>
      <c r="L3327" s="528">
        <f t="shared" si="1973"/>
        <v>0</v>
      </c>
      <c r="M3327" s="528">
        <f t="shared" si="1974"/>
        <v>0</v>
      </c>
      <c r="N3327" s="528">
        <f t="shared" si="1975"/>
        <v>0</v>
      </c>
      <c r="O3327" s="528">
        <f t="shared" si="1976"/>
        <v>0</v>
      </c>
      <c r="P3327" s="529">
        <f t="shared" si="1977"/>
        <v>0</v>
      </c>
      <c r="Q3327" s="24">
        <f t="shared" si="1978"/>
        <v>0</v>
      </c>
      <c r="R3327" s="530">
        <f t="shared" si="1979"/>
        <v>0</v>
      </c>
    </row>
    <row r="3328" spans="1:18">
      <c r="A3328" s="524"/>
      <c r="B3328" s="540" t="s">
        <v>101</v>
      </c>
      <c r="C3328" s="552">
        <v>1126.97</v>
      </c>
      <c r="D3328" s="553">
        <v>31886</v>
      </c>
      <c r="E3328" s="551">
        <v>1216</v>
      </c>
      <c r="F3328" s="551">
        <v>2</v>
      </c>
      <c r="G3328" s="551">
        <v>30011</v>
      </c>
      <c r="H3328" s="551">
        <v>23</v>
      </c>
      <c r="I3328" s="551">
        <v>4</v>
      </c>
      <c r="J3328" s="551">
        <v>3</v>
      </c>
      <c r="K3328" s="527">
        <f t="shared" si="1972"/>
        <v>0.0381358589976792</v>
      </c>
      <c r="L3328" s="528">
        <f t="shared" si="1973"/>
        <v>0.926784539473684</v>
      </c>
      <c r="M3328" s="528">
        <f t="shared" si="1974"/>
        <v>35.3437245185975</v>
      </c>
      <c r="N3328" s="528">
        <f t="shared" si="1975"/>
        <v>26.6298126835674</v>
      </c>
      <c r="O3328" s="528">
        <f t="shared" si="1976"/>
        <v>0.00164473684210526</v>
      </c>
      <c r="P3328" s="529">
        <f t="shared" si="1977"/>
        <v>41.7396296296296</v>
      </c>
      <c r="Q3328" s="24">
        <f t="shared" si="1978"/>
        <v>27</v>
      </c>
      <c r="R3328" s="530">
        <f t="shared" si="1979"/>
        <v>0.0222039473684211</v>
      </c>
    </row>
    <row r="3329" spans="1:18">
      <c r="A3329" s="524"/>
      <c r="B3329" s="531" t="s">
        <v>96</v>
      </c>
      <c r="C3329" s="533">
        <f t="shared" ref="C3329:J3329" si="1981">SUM(C3325:C3328)</f>
        <v>4026.97</v>
      </c>
      <c r="D3329" s="533">
        <f t="shared" si="1981"/>
        <v>82452</v>
      </c>
      <c r="E3329" s="533">
        <f t="shared" si="1981"/>
        <v>2375</v>
      </c>
      <c r="F3329" s="533">
        <f t="shared" si="1981"/>
        <v>4</v>
      </c>
      <c r="G3329" s="533">
        <f t="shared" si="1981"/>
        <v>34643</v>
      </c>
      <c r="H3329" s="533">
        <f t="shared" si="1981"/>
        <v>64</v>
      </c>
      <c r="I3329" s="533">
        <f t="shared" si="1981"/>
        <v>8</v>
      </c>
      <c r="J3329" s="533">
        <f t="shared" si="1981"/>
        <v>5</v>
      </c>
      <c r="K3329" s="534">
        <f t="shared" si="1972"/>
        <v>0.0288046378499005</v>
      </c>
      <c r="L3329" s="535">
        <f t="shared" si="1973"/>
        <v>1.69556631578947</v>
      </c>
      <c r="M3329" s="535">
        <f t="shared" si="1974"/>
        <v>48.8401736768059</v>
      </c>
      <c r="N3329" s="535">
        <f t="shared" si="1975"/>
        <v>8.60274598519482</v>
      </c>
      <c r="O3329" s="535">
        <f t="shared" si="1976"/>
        <v>0.00168421052631579</v>
      </c>
      <c r="P3329" s="536">
        <f t="shared" si="1977"/>
        <v>55.9301388888889</v>
      </c>
      <c r="Q3329" s="531">
        <f t="shared" si="1978"/>
        <v>72</v>
      </c>
      <c r="R3329" s="537">
        <f t="shared" si="1979"/>
        <v>0.0303157894736842</v>
      </c>
    </row>
    <row r="3330" spans="1:18">
      <c r="A3330" s="524">
        <v>46116</v>
      </c>
      <c r="B3330" s="540" t="s">
        <v>98</v>
      </c>
      <c r="C3330" s="551">
        <v>899.79</v>
      </c>
      <c r="D3330" s="553">
        <v>8982</v>
      </c>
      <c r="E3330" s="551">
        <v>372</v>
      </c>
      <c r="F3330" s="551">
        <v>1</v>
      </c>
      <c r="G3330" s="551">
        <v>9266</v>
      </c>
      <c r="H3330" s="551">
        <v>19</v>
      </c>
      <c r="I3330" s="551">
        <v>7</v>
      </c>
      <c r="J3330" s="551">
        <v>0</v>
      </c>
      <c r="K3330" s="527">
        <f t="shared" si="1972"/>
        <v>0.0414161656646627</v>
      </c>
      <c r="L3330" s="528">
        <f t="shared" si="1973"/>
        <v>2.41879032258064</v>
      </c>
      <c r="M3330" s="528">
        <f t="shared" si="1974"/>
        <v>100.177020708083</v>
      </c>
      <c r="N3330" s="528">
        <f t="shared" si="1975"/>
        <v>10.2979584125185</v>
      </c>
      <c r="O3330" s="528">
        <f t="shared" si="1976"/>
        <v>0.00268817204301075</v>
      </c>
      <c r="P3330" s="529">
        <f t="shared" si="1977"/>
        <v>34.6073076923077</v>
      </c>
      <c r="Q3330" s="24">
        <f t="shared" si="1978"/>
        <v>26</v>
      </c>
      <c r="R3330" s="530">
        <f t="shared" si="1979"/>
        <v>0.0698924731182796</v>
      </c>
    </row>
    <row r="3331" spans="1:18">
      <c r="A3331" s="524"/>
      <c r="B3331" s="540" t="s">
        <v>99</v>
      </c>
      <c r="C3331" s="551">
        <v>1478.03</v>
      </c>
      <c r="D3331" s="556">
        <v>29898</v>
      </c>
      <c r="E3331" s="551">
        <v>738</v>
      </c>
      <c r="F3331" s="551">
        <v>0</v>
      </c>
      <c r="G3331" s="551">
        <v>0</v>
      </c>
      <c r="H3331" s="555">
        <v>14</v>
      </c>
      <c r="I3331" s="555">
        <v>0</v>
      </c>
      <c r="J3331" s="555">
        <v>6</v>
      </c>
      <c r="K3331" s="527">
        <f t="shared" si="1972"/>
        <v>0.024683925346177</v>
      </c>
      <c r="L3331" s="528">
        <f t="shared" si="1973"/>
        <v>2.00275067750677</v>
      </c>
      <c r="M3331" s="528">
        <f t="shared" si="1974"/>
        <v>49.4357482105827</v>
      </c>
      <c r="N3331" s="528">
        <f t="shared" si="1975"/>
        <v>0</v>
      </c>
      <c r="O3331" s="528">
        <f t="shared" si="1976"/>
        <v>0</v>
      </c>
      <c r="P3331" s="529">
        <f t="shared" si="1977"/>
        <v>105.573571428571</v>
      </c>
      <c r="Q3331" s="24">
        <f t="shared" si="1978"/>
        <v>14</v>
      </c>
      <c r="R3331" s="530">
        <f t="shared" si="1979"/>
        <v>0.018970189701897</v>
      </c>
    </row>
    <row r="3332" spans="1:18">
      <c r="A3332" s="524"/>
      <c r="B3332" s="540" t="s">
        <v>100</v>
      </c>
      <c r="C3332" s="552">
        <v>0</v>
      </c>
      <c r="D3332" s="553">
        <v>0</v>
      </c>
      <c r="E3332" s="553">
        <v>0</v>
      </c>
      <c r="F3332" s="551">
        <v>0</v>
      </c>
      <c r="G3332" s="551">
        <v>0</v>
      </c>
      <c r="H3332" s="551">
        <v>0</v>
      </c>
      <c r="I3332" s="551">
        <v>0</v>
      </c>
      <c r="J3332" s="551">
        <v>0</v>
      </c>
      <c r="K3332" s="527">
        <f t="shared" si="1972"/>
        <v>0</v>
      </c>
      <c r="L3332" s="528">
        <f t="shared" si="1973"/>
        <v>0</v>
      </c>
      <c r="M3332" s="528">
        <f t="shared" si="1974"/>
        <v>0</v>
      </c>
      <c r="N3332" s="528">
        <f t="shared" si="1975"/>
        <v>0</v>
      </c>
      <c r="O3332" s="528">
        <f t="shared" si="1976"/>
        <v>0</v>
      </c>
      <c r="P3332" s="529">
        <f t="shared" si="1977"/>
        <v>0</v>
      </c>
      <c r="Q3332" s="24">
        <f t="shared" si="1978"/>
        <v>0</v>
      </c>
      <c r="R3332" s="530">
        <f t="shared" si="1979"/>
        <v>0</v>
      </c>
    </row>
    <row r="3333" spans="1:18">
      <c r="A3333" s="524"/>
      <c r="B3333" s="540" t="s">
        <v>101</v>
      </c>
      <c r="C3333" s="552">
        <v>840.86</v>
      </c>
      <c r="D3333" s="553">
        <v>47660</v>
      </c>
      <c r="E3333" s="551">
        <v>1647</v>
      </c>
      <c r="F3333" s="551">
        <v>0</v>
      </c>
      <c r="G3333" s="551">
        <v>0</v>
      </c>
      <c r="H3333" s="551">
        <v>22</v>
      </c>
      <c r="I3333" s="551">
        <v>5</v>
      </c>
      <c r="J3333" s="551">
        <v>4</v>
      </c>
      <c r="K3333" s="527">
        <f t="shared" si="1972"/>
        <v>0.0345572807385648</v>
      </c>
      <c r="L3333" s="528">
        <f t="shared" si="1973"/>
        <v>0.510540376442016</v>
      </c>
      <c r="M3333" s="528">
        <f t="shared" si="1974"/>
        <v>17.6428871170793</v>
      </c>
      <c r="N3333" s="528">
        <f t="shared" si="1975"/>
        <v>0</v>
      </c>
      <c r="O3333" s="528">
        <f t="shared" si="1976"/>
        <v>0</v>
      </c>
      <c r="P3333" s="529">
        <f t="shared" si="1977"/>
        <v>31.142962962963</v>
      </c>
      <c r="Q3333" s="24">
        <f t="shared" si="1978"/>
        <v>27</v>
      </c>
      <c r="R3333" s="530">
        <f t="shared" si="1979"/>
        <v>0.0163934426229508</v>
      </c>
    </row>
    <row r="3334" spans="1:18">
      <c r="A3334" s="524"/>
      <c r="B3334" s="531" t="s">
        <v>96</v>
      </c>
      <c r="C3334" s="533">
        <f t="shared" ref="C3334:J3334" si="1982">SUM(C3330:C3333)</f>
        <v>3218.68</v>
      </c>
      <c r="D3334" s="533">
        <f t="shared" si="1982"/>
        <v>86540</v>
      </c>
      <c r="E3334" s="533">
        <f t="shared" si="1982"/>
        <v>2757</v>
      </c>
      <c r="F3334" s="533">
        <f t="shared" si="1982"/>
        <v>1</v>
      </c>
      <c r="G3334" s="533">
        <f t="shared" si="1982"/>
        <v>9266</v>
      </c>
      <c r="H3334" s="533">
        <f t="shared" si="1982"/>
        <v>55</v>
      </c>
      <c r="I3334" s="533">
        <f t="shared" si="1982"/>
        <v>12</v>
      </c>
      <c r="J3334" s="533">
        <f t="shared" si="1982"/>
        <v>10</v>
      </c>
      <c r="K3334" s="534">
        <f t="shared" si="1972"/>
        <v>0.0318581003004391</v>
      </c>
      <c r="L3334" s="535">
        <f t="shared" si="1973"/>
        <v>1.16745738121146</v>
      </c>
      <c r="M3334" s="535">
        <f t="shared" si="1974"/>
        <v>37.1929743471227</v>
      </c>
      <c r="N3334" s="535">
        <f t="shared" si="1975"/>
        <v>2.87881988889855</v>
      </c>
      <c r="O3334" s="535">
        <f t="shared" si="1976"/>
        <v>0.000362713093942691</v>
      </c>
      <c r="P3334" s="536">
        <f t="shared" si="1977"/>
        <v>48.04</v>
      </c>
      <c r="Q3334" s="531">
        <f t="shared" si="1978"/>
        <v>67</v>
      </c>
      <c r="R3334" s="537">
        <f t="shared" si="1979"/>
        <v>0.0243017772941603</v>
      </c>
    </row>
    <row r="3335" spans="1:18">
      <c r="A3335" s="524">
        <v>46117</v>
      </c>
      <c r="B3335" s="540" t="s">
        <v>98</v>
      </c>
      <c r="C3335" s="551">
        <v>898.05</v>
      </c>
      <c r="D3335" s="553">
        <v>9509</v>
      </c>
      <c r="E3335" s="551">
        <v>393</v>
      </c>
      <c r="F3335" s="551">
        <v>0</v>
      </c>
      <c r="G3335" s="551">
        <v>0</v>
      </c>
      <c r="H3335" s="551">
        <v>15</v>
      </c>
      <c r="I3335" s="551">
        <v>3</v>
      </c>
      <c r="J3335" s="551">
        <v>1</v>
      </c>
      <c r="K3335" s="527">
        <f t="shared" si="1972"/>
        <v>0.0413292670102009</v>
      </c>
      <c r="L3335" s="528">
        <f t="shared" si="1973"/>
        <v>2.28511450381679</v>
      </c>
      <c r="M3335" s="528">
        <f t="shared" si="1974"/>
        <v>94.4421074771269</v>
      </c>
      <c r="N3335" s="528">
        <f t="shared" si="1975"/>
        <v>0</v>
      </c>
      <c r="O3335" s="528">
        <f t="shared" si="1976"/>
        <v>0</v>
      </c>
      <c r="P3335" s="529">
        <f t="shared" si="1977"/>
        <v>49.8916666666667</v>
      </c>
      <c r="Q3335" s="24">
        <f t="shared" si="1978"/>
        <v>18</v>
      </c>
      <c r="R3335" s="530">
        <f t="shared" si="1979"/>
        <v>0.0458015267175573</v>
      </c>
    </row>
    <row r="3336" spans="1:18">
      <c r="A3336" s="524"/>
      <c r="B3336" s="540" t="s">
        <v>99</v>
      </c>
      <c r="C3336" s="551">
        <v>1473.06</v>
      </c>
      <c r="D3336" s="556">
        <v>21855</v>
      </c>
      <c r="E3336" s="551">
        <v>532</v>
      </c>
      <c r="F3336" s="551">
        <v>2</v>
      </c>
      <c r="G3336" s="551">
        <v>35191</v>
      </c>
      <c r="H3336" s="555">
        <v>10</v>
      </c>
      <c r="I3336" s="555">
        <v>2</v>
      </c>
      <c r="J3336" s="555">
        <v>2</v>
      </c>
      <c r="K3336" s="527">
        <f t="shared" si="1972"/>
        <v>0.0243422557767101</v>
      </c>
      <c r="L3336" s="528">
        <f t="shared" si="1973"/>
        <v>2.76890977443609</v>
      </c>
      <c r="M3336" s="528">
        <f t="shared" si="1974"/>
        <v>67.4015099519561</v>
      </c>
      <c r="N3336" s="528">
        <f t="shared" si="1975"/>
        <v>23.88972614829</v>
      </c>
      <c r="O3336" s="528">
        <f t="shared" si="1976"/>
        <v>0.0037593984962406</v>
      </c>
      <c r="P3336" s="529">
        <f t="shared" si="1977"/>
        <v>122.755</v>
      </c>
      <c r="Q3336" s="24">
        <f t="shared" si="1978"/>
        <v>12</v>
      </c>
      <c r="R3336" s="530">
        <f t="shared" si="1979"/>
        <v>0.0225563909774436</v>
      </c>
    </row>
    <row r="3337" spans="1:18">
      <c r="A3337" s="524"/>
      <c r="B3337" s="540" t="s">
        <v>100</v>
      </c>
      <c r="C3337" s="552">
        <v>0</v>
      </c>
      <c r="D3337" s="553">
        <v>0</v>
      </c>
      <c r="E3337" s="553">
        <v>0</v>
      </c>
      <c r="F3337" s="551">
        <v>0</v>
      </c>
      <c r="G3337" s="551">
        <v>0</v>
      </c>
      <c r="H3337" s="551">
        <v>0</v>
      </c>
      <c r="I3337" s="551">
        <v>0</v>
      </c>
      <c r="J3337" s="551">
        <v>0</v>
      </c>
      <c r="K3337" s="527">
        <f t="shared" si="1972"/>
        <v>0</v>
      </c>
      <c r="L3337" s="528">
        <f t="shared" si="1973"/>
        <v>0</v>
      </c>
      <c r="M3337" s="528">
        <f t="shared" si="1974"/>
        <v>0</v>
      </c>
      <c r="N3337" s="528">
        <f t="shared" si="1975"/>
        <v>0</v>
      </c>
      <c r="O3337" s="528">
        <f t="shared" si="1976"/>
        <v>0</v>
      </c>
      <c r="P3337" s="529">
        <f t="shared" si="1977"/>
        <v>0</v>
      </c>
      <c r="Q3337" s="24">
        <f t="shared" si="1978"/>
        <v>0</v>
      </c>
      <c r="R3337" s="530">
        <f t="shared" si="1979"/>
        <v>0</v>
      </c>
    </row>
    <row r="3338" spans="1:18">
      <c r="A3338" s="524"/>
      <c r="B3338" s="540" t="s">
        <v>101</v>
      </c>
      <c r="C3338" s="552">
        <v>914.93</v>
      </c>
      <c r="D3338" s="553">
        <v>50141</v>
      </c>
      <c r="E3338" s="551">
        <v>1932</v>
      </c>
      <c r="F3338" s="551">
        <v>1</v>
      </c>
      <c r="G3338" s="551">
        <v>8552</v>
      </c>
      <c r="H3338" s="551">
        <v>18</v>
      </c>
      <c r="I3338" s="551">
        <v>1</v>
      </c>
      <c r="J3338" s="551">
        <v>0</v>
      </c>
      <c r="K3338" s="527">
        <f t="shared" si="1972"/>
        <v>0.0385313416166411</v>
      </c>
      <c r="L3338" s="528">
        <f t="shared" si="1973"/>
        <v>0.473566252587992</v>
      </c>
      <c r="M3338" s="528">
        <f t="shared" si="1974"/>
        <v>18.2471430565804</v>
      </c>
      <c r="N3338" s="528">
        <f t="shared" si="1975"/>
        <v>9.34716317095297</v>
      </c>
      <c r="O3338" s="528">
        <f t="shared" si="1976"/>
        <v>0.0005175983436853</v>
      </c>
      <c r="P3338" s="529">
        <f t="shared" si="1977"/>
        <v>48.1542105263158</v>
      </c>
      <c r="Q3338" s="24">
        <f t="shared" si="1978"/>
        <v>19</v>
      </c>
      <c r="R3338" s="530">
        <f t="shared" si="1979"/>
        <v>0.0098343685300207</v>
      </c>
    </row>
    <row r="3339" spans="1:18">
      <c r="A3339" s="524"/>
      <c r="B3339" s="531" t="s">
        <v>96</v>
      </c>
      <c r="C3339" s="533">
        <f t="shared" ref="C3339:J3339" si="1983">SUM(C3335:C3338)</f>
        <v>3286.04</v>
      </c>
      <c r="D3339" s="533">
        <f t="shared" si="1983"/>
        <v>81505</v>
      </c>
      <c r="E3339" s="533">
        <f t="shared" si="1983"/>
        <v>2857</v>
      </c>
      <c r="F3339" s="533">
        <f t="shared" si="1983"/>
        <v>3</v>
      </c>
      <c r="G3339" s="533">
        <f t="shared" si="1983"/>
        <v>43743</v>
      </c>
      <c r="H3339" s="533">
        <f t="shared" si="1983"/>
        <v>43</v>
      </c>
      <c r="I3339" s="533">
        <f t="shared" si="1983"/>
        <v>6</v>
      </c>
      <c r="J3339" s="533">
        <f t="shared" si="1983"/>
        <v>3</v>
      </c>
      <c r="K3339" s="534">
        <f t="shared" si="1972"/>
        <v>0.0350530642291884</v>
      </c>
      <c r="L3339" s="535">
        <f t="shared" si="1973"/>
        <v>1.15017150857543</v>
      </c>
      <c r="M3339" s="535">
        <f t="shared" si="1974"/>
        <v>40.317035764677</v>
      </c>
      <c r="N3339" s="535">
        <f t="shared" si="1975"/>
        <v>13.3117673552361</v>
      </c>
      <c r="O3339" s="535">
        <f t="shared" si="1976"/>
        <v>0.00105005250262513</v>
      </c>
      <c r="P3339" s="536">
        <f t="shared" si="1977"/>
        <v>67.0620408163265</v>
      </c>
      <c r="Q3339" s="531">
        <f t="shared" si="1978"/>
        <v>49</v>
      </c>
      <c r="R3339" s="537">
        <f t="shared" si="1979"/>
        <v>0.0171508575428771</v>
      </c>
    </row>
    <row r="3340" spans="1:18">
      <c r="A3340" s="524">
        <v>46118</v>
      </c>
      <c r="B3340" s="540" t="s">
        <v>98</v>
      </c>
      <c r="C3340" s="551">
        <v>900</v>
      </c>
      <c r="D3340" s="553">
        <v>10736</v>
      </c>
      <c r="E3340" s="551">
        <v>439</v>
      </c>
      <c r="F3340" s="551">
        <v>0</v>
      </c>
      <c r="G3340" s="551">
        <v>0</v>
      </c>
      <c r="H3340" s="551">
        <v>28</v>
      </c>
      <c r="I3340" s="551">
        <v>3</v>
      </c>
      <c r="J3340" s="551">
        <v>2</v>
      </c>
      <c r="K3340" s="527">
        <f t="shared" si="1972"/>
        <v>0.0408904619970194</v>
      </c>
      <c r="L3340" s="528">
        <f t="shared" si="1973"/>
        <v>2.0501138952164</v>
      </c>
      <c r="M3340" s="528">
        <f t="shared" si="1974"/>
        <v>83.8301043219076</v>
      </c>
      <c r="N3340" s="528">
        <f t="shared" si="1975"/>
        <v>0</v>
      </c>
      <c r="O3340" s="528">
        <f t="shared" si="1976"/>
        <v>0</v>
      </c>
      <c r="P3340" s="529">
        <f t="shared" si="1977"/>
        <v>29.0322580645161</v>
      </c>
      <c r="Q3340" s="24">
        <f t="shared" si="1978"/>
        <v>31</v>
      </c>
      <c r="R3340" s="530">
        <f t="shared" si="1979"/>
        <v>0.0706150341685649</v>
      </c>
    </row>
    <row r="3341" spans="1:18">
      <c r="A3341" s="524"/>
      <c r="B3341" s="540" t="s">
        <v>99</v>
      </c>
      <c r="C3341" s="551">
        <v>4000</v>
      </c>
      <c r="D3341" s="556">
        <v>82291</v>
      </c>
      <c r="E3341" s="551">
        <v>1614</v>
      </c>
      <c r="F3341" s="551">
        <v>2</v>
      </c>
      <c r="G3341" s="551">
        <v>27388</v>
      </c>
      <c r="H3341" s="555">
        <v>35</v>
      </c>
      <c r="I3341" s="555">
        <v>4</v>
      </c>
      <c r="J3341" s="555">
        <v>2</v>
      </c>
      <c r="K3341" s="527">
        <f t="shared" si="1972"/>
        <v>0.019613323449709</v>
      </c>
      <c r="L3341" s="528">
        <f t="shared" si="1973"/>
        <v>2.47831474597274</v>
      </c>
      <c r="M3341" s="528">
        <f t="shared" si="1974"/>
        <v>48.6079887229466</v>
      </c>
      <c r="N3341" s="528">
        <f t="shared" si="1975"/>
        <v>6.847</v>
      </c>
      <c r="O3341" s="528">
        <f t="shared" si="1976"/>
        <v>0.00123915737298637</v>
      </c>
      <c r="P3341" s="529">
        <f t="shared" si="1977"/>
        <v>102.564102564103</v>
      </c>
      <c r="Q3341" s="24">
        <f t="shared" si="1978"/>
        <v>39</v>
      </c>
      <c r="R3341" s="530">
        <f t="shared" si="1979"/>
        <v>0.0241635687732342</v>
      </c>
    </row>
    <row r="3342" spans="1:18">
      <c r="A3342" s="524"/>
      <c r="B3342" s="540" t="s">
        <v>100</v>
      </c>
      <c r="C3342" s="552">
        <v>0</v>
      </c>
      <c r="D3342" s="553">
        <v>0</v>
      </c>
      <c r="E3342" s="553">
        <v>0</v>
      </c>
      <c r="F3342" s="551">
        <v>0</v>
      </c>
      <c r="G3342" s="551">
        <v>0</v>
      </c>
      <c r="H3342" s="551">
        <v>0</v>
      </c>
      <c r="I3342" s="551">
        <v>0</v>
      </c>
      <c r="J3342" s="551">
        <v>0</v>
      </c>
      <c r="K3342" s="527">
        <f t="shared" si="1972"/>
        <v>0</v>
      </c>
      <c r="L3342" s="528">
        <f t="shared" si="1973"/>
        <v>0</v>
      </c>
      <c r="M3342" s="528">
        <f t="shared" si="1974"/>
        <v>0</v>
      </c>
      <c r="N3342" s="528">
        <f t="shared" si="1975"/>
        <v>0</v>
      </c>
      <c r="O3342" s="528">
        <f t="shared" si="1976"/>
        <v>0</v>
      </c>
      <c r="P3342" s="529">
        <f t="shared" si="1977"/>
        <v>0</v>
      </c>
      <c r="Q3342" s="24">
        <f t="shared" si="1978"/>
        <v>0</v>
      </c>
      <c r="R3342" s="530">
        <f t="shared" si="1979"/>
        <v>0</v>
      </c>
    </row>
    <row r="3343" spans="1:18">
      <c r="A3343" s="524"/>
      <c r="B3343" s="540" t="s">
        <v>101</v>
      </c>
      <c r="C3343" s="552">
        <v>1185.07</v>
      </c>
      <c r="D3343" s="553">
        <v>36660</v>
      </c>
      <c r="E3343" s="551">
        <v>1350</v>
      </c>
      <c r="F3343" s="551">
        <v>1</v>
      </c>
      <c r="G3343" s="551">
        <v>11596</v>
      </c>
      <c r="H3343" s="551">
        <v>16</v>
      </c>
      <c r="I3343" s="551">
        <v>3</v>
      </c>
      <c r="J3343" s="551">
        <v>2</v>
      </c>
      <c r="K3343" s="527">
        <f t="shared" si="1972"/>
        <v>0.0368248772504092</v>
      </c>
      <c r="L3343" s="528">
        <f t="shared" si="1973"/>
        <v>0.87782962962963</v>
      </c>
      <c r="M3343" s="528">
        <f t="shared" si="1974"/>
        <v>32.3259683578832</v>
      </c>
      <c r="N3343" s="528">
        <f t="shared" si="1975"/>
        <v>9.78507598707249</v>
      </c>
      <c r="O3343" s="528">
        <f t="shared" si="1976"/>
        <v>0.000740740740740741</v>
      </c>
      <c r="P3343" s="529">
        <f t="shared" si="1977"/>
        <v>62.3721052631579</v>
      </c>
      <c r="Q3343" s="24">
        <f t="shared" si="1978"/>
        <v>19</v>
      </c>
      <c r="R3343" s="530">
        <f t="shared" si="1979"/>
        <v>0.0140740740740741</v>
      </c>
    </row>
    <row r="3344" spans="1:18">
      <c r="A3344" s="524"/>
      <c r="B3344" s="531" t="s">
        <v>96</v>
      </c>
      <c r="C3344" s="533">
        <f t="shared" ref="C3344:J3344" si="1984">SUM(C3340:C3343)</f>
        <v>6085.07</v>
      </c>
      <c r="D3344" s="533">
        <f t="shared" si="1984"/>
        <v>129687</v>
      </c>
      <c r="E3344" s="533">
        <f t="shared" si="1984"/>
        <v>3403</v>
      </c>
      <c r="F3344" s="533">
        <f t="shared" si="1984"/>
        <v>3</v>
      </c>
      <c r="G3344" s="533">
        <f t="shared" si="1984"/>
        <v>38984</v>
      </c>
      <c r="H3344" s="533">
        <f t="shared" si="1984"/>
        <v>79</v>
      </c>
      <c r="I3344" s="533">
        <f t="shared" si="1984"/>
        <v>10</v>
      </c>
      <c r="J3344" s="533">
        <f t="shared" si="1984"/>
        <v>6</v>
      </c>
      <c r="K3344" s="534">
        <f t="shared" si="1972"/>
        <v>0.0262401011666551</v>
      </c>
      <c r="L3344" s="535">
        <f t="shared" si="1973"/>
        <v>1.7881486923303</v>
      </c>
      <c r="M3344" s="535">
        <f t="shared" si="1974"/>
        <v>46.921202587769</v>
      </c>
      <c r="N3344" s="535">
        <f t="shared" si="1975"/>
        <v>6.4064998430585</v>
      </c>
      <c r="O3344" s="535">
        <f t="shared" si="1976"/>
        <v>0.000881575080811049</v>
      </c>
      <c r="P3344" s="536">
        <f t="shared" si="1977"/>
        <v>68.3715730337079</v>
      </c>
      <c r="Q3344" s="531">
        <f t="shared" si="1978"/>
        <v>89</v>
      </c>
      <c r="R3344" s="537">
        <f t="shared" si="1979"/>
        <v>0.0261533940640611</v>
      </c>
    </row>
    <row r="3345" spans="1:18">
      <c r="A3345" s="524">
        <v>46119</v>
      </c>
      <c r="B3345" s="540" t="s">
        <v>98</v>
      </c>
      <c r="C3345" s="551">
        <v>600.78</v>
      </c>
      <c r="D3345" s="553">
        <v>6892</v>
      </c>
      <c r="E3345" s="551">
        <v>318</v>
      </c>
      <c r="F3345" s="551">
        <v>3</v>
      </c>
      <c r="G3345" s="551">
        <v>38250.01</v>
      </c>
      <c r="H3345" s="551">
        <v>9</v>
      </c>
      <c r="I3345" s="551">
        <v>3</v>
      </c>
      <c r="J3345" s="551">
        <v>0</v>
      </c>
      <c r="K3345" s="527">
        <f t="shared" si="1972"/>
        <v>0.0461404526987812</v>
      </c>
      <c r="L3345" s="528">
        <f t="shared" si="1973"/>
        <v>1.88924528301887</v>
      </c>
      <c r="M3345" s="528">
        <f t="shared" si="1974"/>
        <v>87.1706326175276</v>
      </c>
      <c r="N3345" s="528">
        <f t="shared" si="1975"/>
        <v>63.6672492426512</v>
      </c>
      <c r="O3345" s="528">
        <f t="shared" si="1976"/>
        <v>0.00943396226415094</v>
      </c>
      <c r="P3345" s="529">
        <f t="shared" si="1977"/>
        <v>50.065</v>
      </c>
      <c r="Q3345" s="24">
        <f t="shared" si="1978"/>
        <v>12</v>
      </c>
      <c r="R3345" s="530">
        <f t="shared" si="1979"/>
        <v>0.0377358490566038</v>
      </c>
    </row>
    <row r="3346" spans="1:18">
      <c r="A3346" s="524"/>
      <c r="B3346" s="540" t="s">
        <v>99</v>
      </c>
      <c r="C3346" s="551">
        <v>3989.17</v>
      </c>
      <c r="D3346" s="556">
        <v>101965</v>
      </c>
      <c r="E3346" s="551">
        <v>1631</v>
      </c>
      <c r="F3346" s="551">
        <v>4</v>
      </c>
      <c r="G3346" s="551">
        <v>40428</v>
      </c>
      <c r="H3346" s="555">
        <v>25</v>
      </c>
      <c r="I3346" s="555">
        <v>0</v>
      </c>
      <c r="J3346" s="555">
        <v>2</v>
      </c>
      <c r="K3346" s="527">
        <f t="shared" si="1972"/>
        <v>0.0159956847938018</v>
      </c>
      <c r="L3346" s="528">
        <f t="shared" si="1973"/>
        <v>2.44584304107909</v>
      </c>
      <c r="M3346" s="528">
        <f t="shared" si="1974"/>
        <v>39.1229343402148</v>
      </c>
      <c r="N3346" s="528">
        <f t="shared" si="1975"/>
        <v>10.1344389935751</v>
      </c>
      <c r="O3346" s="528">
        <f t="shared" si="1976"/>
        <v>0.00245248313917842</v>
      </c>
      <c r="P3346" s="529">
        <f t="shared" si="1977"/>
        <v>159.5668</v>
      </c>
      <c r="Q3346" s="24">
        <f t="shared" si="1978"/>
        <v>25</v>
      </c>
      <c r="R3346" s="530">
        <f t="shared" si="1979"/>
        <v>0.0153280196198651</v>
      </c>
    </row>
    <row r="3347" spans="1:18">
      <c r="A3347" s="524"/>
      <c r="B3347" s="540" t="s">
        <v>100</v>
      </c>
      <c r="C3347" s="552">
        <v>0</v>
      </c>
      <c r="D3347" s="553">
        <v>0</v>
      </c>
      <c r="E3347" s="553">
        <v>0</v>
      </c>
      <c r="F3347" s="551">
        <v>0</v>
      </c>
      <c r="G3347" s="551">
        <v>0</v>
      </c>
      <c r="H3347" s="551">
        <v>0</v>
      </c>
      <c r="I3347" s="551">
        <v>0</v>
      </c>
      <c r="J3347" s="551">
        <v>0</v>
      </c>
      <c r="K3347" s="527">
        <f t="shared" si="1972"/>
        <v>0</v>
      </c>
      <c r="L3347" s="528">
        <f t="shared" si="1973"/>
        <v>0</v>
      </c>
      <c r="M3347" s="528">
        <f t="shared" si="1974"/>
        <v>0</v>
      </c>
      <c r="N3347" s="528">
        <f t="shared" si="1975"/>
        <v>0</v>
      </c>
      <c r="O3347" s="528">
        <f t="shared" si="1976"/>
        <v>0</v>
      </c>
      <c r="P3347" s="529">
        <f t="shared" si="1977"/>
        <v>0</v>
      </c>
      <c r="Q3347" s="24">
        <f t="shared" si="1978"/>
        <v>0</v>
      </c>
      <c r="R3347" s="530">
        <f t="shared" si="1979"/>
        <v>0</v>
      </c>
    </row>
    <row r="3348" spans="1:18">
      <c r="A3348" s="524"/>
      <c r="B3348" s="540" t="s">
        <v>101</v>
      </c>
      <c r="C3348" s="552">
        <v>512.75</v>
      </c>
      <c r="D3348" s="553">
        <v>18195</v>
      </c>
      <c r="E3348" s="551">
        <v>954</v>
      </c>
      <c r="F3348" s="551">
        <v>1</v>
      </c>
      <c r="G3348" s="551">
        <v>9998</v>
      </c>
      <c r="H3348" s="551">
        <v>21</v>
      </c>
      <c r="I3348" s="551">
        <v>1</v>
      </c>
      <c r="J3348" s="551">
        <v>0</v>
      </c>
      <c r="K3348" s="527">
        <f t="shared" si="1972"/>
        <v>0.0524319868095631</v>
      </c>
      <c r="L3348" s="528">
        <f t="shared" si="1973"/>
        <v>0.537473794549266</v>
      </c>
      <c r="M3348" s="528">
        <f t="shared" si="1974"/>
        <v>28.1808189062929</v>
      </c>
      <c r="N3348" s="528">
        <f t="shared" si="1975"/>
        <v>19.4987810823988</v>
      </c>
      <c r="O3348" s="528">
        <f t="shared" si="1976"/>
        <v>0.0010482180293501</v>
      </c>
      <c r="P3348" s="529">
        <f t="shared" si="1977"/>
        <v>23.3068181818182</v>
      </c>
      <c r="Q3348" s="24">
        <f t="shared" si="1978"/>
        <v>22</v>
      </c>
      <c r="R3348" s="530">
        <f t="shared" si="1979"/>
        <v>0.0230607966457023</v>
      </c>
    </row>
    <row r="3349" spans="1:18">
      <c r="A3349" s="524"/>
      <c r="B3349" s="531" t="s">
        <v>96</v>
      </c>
      <c r="C3349" s="533">
        <f t="shared" ref="C3349:J3349" si="1985">SUM(C3345:C3348)</f>
        <v>5102.7</v>
      </c>
      <c r="D3349" s="533">
        <f t="shared" si="1985"/>
        <v>127052</v>
      </c>
      <c r="E3349" s="533">
        <f t="shared" si="1985"/>
        <v>2903</v>
      </c>
      <c r="F3349" s="533">
        <f t="shared" si="1985"/>
        <v>8</v>
      </c>
      <c r="G3349" s="533">
        <f t="shared" si="1985"/>
        <v>88676.01</v>
      </c>
      <c r="H3349" s="533">
        <f t="shared" si="1985"/>
        <v>55</v>
      </c>
      <c r="I3349" s="533">
        <f t="shared" si="1985"/>
        <v>4</v>
      </c>
      <c r="J3349" s="533">
        <f t="shared" si="1985"/>
        <v>2</v>
      </c>
      <c r="K3349" s="534">
        <f t="shared" si="1972"/>
        <v>0.022848912256399</v>
      </c>
      <c r="L3349" s="535">
        <f t="shared" si="1973"/>
        <v>1.75773337926283</v>
      </c>
      <c r="M3349" s="535">
        <f t="shared" si="1974"/>
        <v>40.1622957529201</v>
      </c>
      <c r="N3349" s="535">
        <f t="shared" si="1975"/>
        <v>17.3782526897525</v>
      </c>
      <c r="O3349" s="535">
        <f t="shared" si="1976"/>
        <v>0.00275576989321392</v>
      </c>
      <c r="P3349" s="536">
        <f t="shared" si="1977"/>
        <v>86.4864406779661</v>
      </c>
      <c r="Q3349" s="531">
        <f t="shared" si="1978"/>
        <v>59</v>
      </c>
      <c r="R3349" s="537">
        <f t="shared" si="1979"/>
        <v>0.0203238029624526</v>
      </c>
    </row>
    <row r="3350" spans="1:18">
      <c r="A3350" s="524">
        <v>46120</v>
      </c>
      <c r="B3350" s="540" t="s">
        <v>98</v>
      </c>
      <c r="C3350" s="551">
        <v>600</v>
      </c>
      <c r="D3350" s="553">
        <v>5805</v>
      </c>
      <c r="E3350" s="551">
        <v>310</v>
      </c>
      <c r="F3350" s="551">
        <v>1</v>
      </c>
      <c r="G3350" s="551">
        <v>10169.01</v>
      </c>
      <c r="H3350" s="551">
        <v>12</v>
      </c>
      <c r="I3350" s="551">
        <v>4</v>
      </c>
      <c r="J3350" s="551">
        <v>0</v>
      </c>
      <c r="K3350" s="527">
        <f t="shared" si="1972"/>
        <v>0.0534022394487511</v>
      </c>
      <c r="L3350" s="528">
        <f t="shared" si="1973"/>
        <v>1.93548387096774</v>
      </c>
      <c r="M3350" s="528">
        <f t="shared" si="1974"/>
        <v>103.359173126615</v>
      </c>
      <c r="N3350" s="528">
        <f t="shared" si="1975"/>
        <v>16.94835</v>
      </c>
      <c r="O3350" s="528">
        <f t="shared" si="1976"/>
        <v>0.0032258064516129</v>
      </c>
      <c r="P3350" s="529">
        <f t="shared" si="1977"/>
        <v>37.5</v>
      </c>
      <c r="Q3350" s="24">
        <f t="shared" si="1978"/>
        <v>16</v>
      </c>
      <c r="R3350" s="530">
        <f t="shared" si="1979"/>
        <v>0.0516129032258065</v>
      </c>
    </row>
    <row r="3351" spans="1:18">
      <c r="A3351" s="524"/>
      <c r="B3351" s="540" t="s">
        <v>99</v>
      </c>
      <c r="C3351" s="551">
        <v>1464.3</v>
      </c>
      <c r="D3351" s="556">
        <v>27731</v>
      </c>
      <c r="E3351" s="551">
        <v>590</v>
      </c>
      <c r="F3351" s="551">
        <v>1</v>
      </c>
      <c r="G3351" s="551">
        <v>12362</v>
      </c>
      <c r="H3351" s="555">
        <v>6</v>
      </c>
      <c r="I3351" s="555">
        <v>2</v>
      </c>
      <c r="J3351" s="555">
        <v>1</v>
      </c>
      <c r="K3351" s="527">
        <f t="shared" si="1972"/>
        <v>0.0212758284951859</v>
      </c>
      <c r="L3351" s="528">
        <f t="shared" si="1973"/>
        <v>2.48186440677966</v>
      </c>
      <c r="M3351" s="528">
        <f t="shared" si="1974"/>
        <v>52.8037214669503</v>
      </c>
      <c r="N3351" s="528">
        <f t="shared" si="1975"/>
        <v>8.44225909991122</v>
      </c>
      <c r="O3351" s="528">
        <f t="shared" si="1976"/>
        <v>0.00169491525423729</v>
      </c>
      <c r="P3351" s="529">
        <f t="shared" si="1977"/>
        <v>183.0375</v>
      </c>
      <c r="Q3351" s="24">
        <f t="shared" si="1978"/>
        <v>8</v>
      </c>
      <c r="R3351" s="530">
        <f t="shared" si="1979"/>
        <v>0.0135593220338983</v>
      </c>
    </row>
    <row r="3352" spans="1:18">
      <c r="A3352" s="524"/>
      <c r="B3352" s="540" t="s">
        <v>100</v>
      </c>
      <c r="C3352" s="552">
        <v>0</v>
      </c>
      <c r="D3352" s="553">
        <v>0</v>
      </c>
      <c r="E3352" s="553">
        <v>0</v>
      </c>
      <c r="F3352" s="551">
        <v>0</v>
      </c>
      <c r="G3352" s="551">
        <v>0</v>
      </c>
      <c r="H3352" s="551">
        <v>0</v>
      </c>
      <c r="I3352" s="551">
        <v>0</v>
      </c>
      <c r="J3352" s="551">
        <v>0</v>
      </c>
      <c r="K3352" s="527">
        <f t="shared" si="1972"/>
        <v>0</v>
      </c>
      <c r="L3352" s="528">
        <f t="shared" si="1973"/>
        <v>0</v>
      </c>
      <c r="M3352" s="528">
        <f t="shared" si="1974"/>
        <v>0</v>
      </c>
      <c r="N3352" s="528">
        <f t="shared" si="1975"/>
        <v>0</v>
      </c>
      <c r="O3352" s="528">
        <f t="shared" si="1976"/>
        <v>0</v>
      </c>
      <c r="P3352" s="529">
        <f t="shared" si="1977"/>
        <v>0</v>
      </c>
      <c r="Q3352" s="24">
        <f t="shared" si="1978"/>
        <v>0</v>
      </c>
      <c r="R3352" s="530">
        <f t="shared" si="1979"/>
        <v>0</v>
      </c>
    </row>
    <row r="3353" spans="1:18">
      <c r="A3353" s="524"/>
      <c r="B3353" s="540" t="s">
        <v>101</v>
      </c>
      <c r="C3353" s="552">
        <v>244.66</v>
      </c>
      <c r="D3353" s="553">
        <v>10845</v>
      </c>
      <c r="E3353" s="551">
        <v>714</v>
      </c>
      <c r="F3353" s="551">
        <v>0</v>
      </c>
      <c r="G3353" s="551">
        <v>0</v>
      </c>
      <c r="H3353" s="551">
        <v>8</v>
      </c>
      <c r="I3353" s="551">
        <v>2</v>
      </c>
      <c r="J3353" s="551">
        <v>3</v>
      </c>
      <c r="K3353" s="527">
        <f t="shared" si="1972"/>
        <v>0.0658367911479945</v>
      </c>
      <c r="L3353" s="528">
        <f t="shared" si="1973"/>
        <v>0.34266106442577</v>
      </c>
      <c r="M3353" s="528">
        <f t="shared" si="1974"/>
        <v>22.5597049331489</v>
      </c>
      <c r="N3353" s="528">
        <f t="shared" si="1975"/>
        <v>0</v>
      </c>
      <c r="O3353" s="528">
        <f t="shared" si="1976"/>
        <v>0</v>
      </c>
      <c r="P3353" s="529">
        <f t="shared" si="1977"/>
        <v>24.466</v>
      </c>
      <c r="Q3353" s="24">
        <f t="shared" si="1978"/>
        <v>10</v>
      </c>
      <c r="R3353" s="530">
        <f t="shared" si="1979"/>
        <v>0.0140056022408964</v>
      </c>
    </row>
    <row r="3354" spans="1:18">
      <c r="A3354" s="524"/>
      <c r="B3354" s="531" t="s">
        <v>96</v>
      </c>
      <c r="C3354" s="533">
        <f t="shared" ref="C3354:J3354" si="1986">SUM(C3350:C3353)</f>
        <v>2308.96</v>
      </c>
      <c r="D3354" s="533">
        <f t="shared" si="1986"/>
        <v>44381</v>
      </c>
      <c r="E3354" s="533">
        <f t="shared" si="1986"/>
        <v>1614</v>
      </c>
      <c r="F3354" s="533">
        <f t="shared" si="1986"/>
        <v>2</v>
      </c>
      <c r="G3354" s="533">
        <f t="shared" si="1986"/>
        <v>22531.01</v>
      </c>
      <c r="H3354" s="533">
        <f t="shared" si="1986"/>
        <v>26</v>
      </c>
      <c r="I3354" s="533">
        <f t="shared" si="1986"/>
        <v>8</v>
      </c>
      <c r="J3354" s="533">
        <f t="shared" si="1986"/>
        <v>4</v>
      </c>
      <c r="K3354" s="534">
        <f t="shared" si="1972"/>
        <v>0.0363669137694058</v>
      </c>
      <c r="L3354" s="535">
        <f t="shared" si="1973"/>
        <v>1.4305824039653</v>
      </c>
      <c r="M3354" s="535">
        <f t="shared" si="1974"/>
        <v>52.0258669250355</v>
      </c>
      <c r="N3354" s="535">
        <f t="shared" si="1975"/>
        <v>9.75807722957522</v>
      </c>
      <c r="O3354" s="535">
        <f t="shared" si="1976"/>
        <v>0.00123915737298637</v>
      </c>
      <c r="P3354" s="536">
        <f t="shared" si="1977"/>
        <v>67.9105882352941</v>
      </c>
      <c r="Q3354" s="531">
        <f t="shared" si="1978"/>
        <v>34</v>
      </c>
      <c r="R3354" s="537">
        <f t="shared" si="1979"/>
        <v>0.0210656753407683</v>
      </c>
    </row>
    <row r="3355" spans="1:18">
      <c r="A3355" s="524">
        <v>46121</v>
      </c>
      <c r="B3355" s="540" t="s">
        <v>98</v>
      </c>
      <c r="C3355" s="551">
        <v>600</v>
      </c>
      <c r="D3355" s="553">
        <v>5988</v>
      </c>
      <c r="E3355" s="551">
        <v>319</v>
      </c>
      <c r="F3355" s="551">
        <v>1</v>
      </c>
      <c r="G3355" s="551">
        <v>27174</v>
      </c>
      <c r="H3355" s="551">
        <v>10</v>
      </c>
      <c r="I3355" s="551">
        <v>2</v>
      </c>
      <c r="J3355" s="551">
        <v>1</v>
      </c>
      <c r="K3355" s="527">
        <f t="shared" si="1972"/>
        <v>0.0532732130928524</v>
      </c>
      <c r="L3355" s="528">
        <f t="shared" si="1973"/>
        <v>1.88087774294671</v>
      </c>
      <c r="M3355" s="528">
        <f t="shared" si="1974"/>
        <v>100.200400801603</v>
      </c>
      <c r="N3355" s="528">
        <f t="shared" si="1975"/>
        <v>45.29</v>
      </c>
      <c r="O3355" s="528">
        <f t="shared" si="1976"/>
        <v>0.00313479623824451</v>
      </c>
      <c r="P3355" s="529">
        <f t="shared" si="1977"/>
        <v>50</v>
      </c>
      <c r="Q3355" s="24">
        <f t="shared" si="1978"/>
        <v>12</v>
      </c>
      <c r="R3355" s="530">
        <f t="shared" si="1979"/>
        <v>0.0376175548589342</v>
      </c>
    </row>
    <row r="3356" spans="1:18">
      <c r="A3356" s="524"/>
      <c r="B3356" s="540" t="s">
        <v>99</v>
      </c>
      <c r="C3356" s="551">
        <v>0</v>
      </c>
      <c r="D3356" s="556">
        <v>0</v>
      </c>
      <c r="E3356" s="551">
        <v>0</v>
      </c>
      <c r="F3356" s="551">
        <v>0</v>
      </c>
      <c r="G3356" s="551">
        <v>0</v>
      </c>
      <c r="H3356" s="555">
        <v>0</v>
      </c>
      <c r="I3356" s="555">
        <v>0</v>
      </c>
      <c r="J3356" s="555">
        <v>0</v>
      </c>
      <c r="K3356" s="527">
        <f t="shared" si="1972"/>
        <v>0</v>
      </c>
      <c r="L3356" s="528">
        <f t="shared" si="1973"/>
        <v>0</v>
      </c>
      <c r="M3356" s="528">
        <f t="shared" si="1974"/>
        <v>0</v>
      </c>
      <c r="N3356" s="528">
        <f t="shared" si="1975"/>
        <v>0</v>
      </c>
      <c r="O3356" s="528">
        <f t="shared" si="1976"/>
        <v>0</v>
      </c>
      <c r="P3356" s="529">
        <f t="shared" si="1977"/>
        <v>0</v>
      </c>
      <c r="Q3356" s="24">
        <f t="shared" si="1978"/>
        <v>0</v>
      </c>
      <c r="R3356" s="530">
        <f t="shared" si="1979"/>
        <v>0</v>
      </c>
    </row>
    <row r="3357" spans="1:18">
      <c r="A3357" s="524"/>
      <c r="B3357" s="540" t="s">
        <v>100</v>
      </c>
      <c r="C3357" s="552">
        <v>0</v>
      </c>
      <c r="D3357" s="553">
        <v>0</v>
      </c>
      <c r="E3357" s="553">
        <v>0</v>
      </c>
      <c r="F3357" s="551">
        <v>0</v>
      </c>
      <c r="G3357" s="551">
        <v>0</v>
      </c>
      <c r="H3357" s="551">
        <v>0</v>
      </c>
      <c r="I3357" s="551">
        <v>0</v>
      </c>
      <c r="J3357" s="551">
        <v>0</v>
      </c>
      <c r="K3357" s="527">
        <f t="shared" si="1972"/>
        <v>0</v>
      </c>
      <c r="L3357" s="528">
        <f t="shared" si="1973"/>
        <v>0</v>
      </c>
      <c r="M3357" s="528">
        <f t="shared" si="1974"/>
        <v>0</v>
      </c>
      <c r="N3357" s="528">
        <f t="shared" si="1975"/>
        <v>0</v>
      </c>
      <c r="O3357" s="528">
        <f t="shared" si="1976"/>
        <v>0</v>
      </c>
      <c r="P3357" s="529">
        <f t="shared" si="1977"/>
        <v>0</v>
      </c>
      <c r="Q3357" s="24">
        <f t="shared" si="1978"/>
        <v>0</v>
      </c>
      <c r="R3357" s="530">
        <f t="shared" si="1979"/>
        <v>0</v>
      </c>
    </row>
    <row r="3358" spans="1:18">
      <c r="A3358" s="524"/>
      <c r="B3358" s="540" t="s">
        <v>101</v>
      </c>
      <c r="C3358" s="552">
        <v>275.23</v>
      </c>
      <c r="D3358" s="553">
        <v>7775</v>
      </c>
      <c r="E3358" s="551">
        <v>542</v>
      </c>
      <c r="F3358" s="551">
        <v>1</v>
      </c>
      <c r="G3358" s="551">
        <v>4890</v>
      </c>
      <c r="H3358" s="551">
        <v>15</v>
      </c>
      <c r="I3358" s="551">
        <v>0</v>
      </c>
      <c r="J3358" s="551">
        <v>1</v>
      </c>
      <c r="K3358" s="527">
        <f t="shared" si="1972"/>
        <v>0.0697106109324759</v>
      </c>
      <c r="L3358" s="528">
        <f t="shared" si="1973"/>
        <v>0.50780442804428</v>
      </c>
      <c r="M3358" s="528">
        <f t="shared" si="1974"/>
        <v>35.3993569131833</v>
      </c>
      <c r="N3358" s="528">
        <f t="shared" si="1975"/>
        <v>17.7669585437634</v>
      </c>
      <c r="O3358" s="528">
        <f t="shared" si="1976"/>
        <v>0.0018450184501845</v>
      </c>
      <c r="P3358" s="529">
        <f t="shared" si="1977"/>
        <v>18.3486666666667</v>
      </c>
      <c r="Q3358" s="24">
        <f t="shared" si="1978"/>
        <v>15</v>
      </c>
      <c r="R3358" s="530">
        <f t="shared" si="1979"/>
        <v>0.0276752767527675</v>
      </c>
    </row>
    <row r="3359" spans="1:18">
      <c r="A3359" s="524"/>
      <c r="B3359" s="531" t="s">
        <v>96</v>
      </c>
      <c r="C3359" s="533">
        <f t="shared" ref="C3359:J3359" si="1987">SUM(C3355:C3358)</f>
        <v>875.23</v>
      </c>
      <c r="D3359" s="533">
        <f t="shared" si="1987"/>
        <v>13763</v>
      </c>
      <c r="E3359" s="533">
        <f t="shared" si="1987"/>
        <v>861</v>
      </c>
      <c r="F3359" s="533">
        <f t="shared" si="1987"/>
        <v>2</v>
      </c>
      <c r="G3359" s="533">
        <f t="shared" si="1987"/>
        <v>32064</v>
      </c>
      <c r="H3359" s="533">
        <f t="shared" si="1987"/>
        <v>25</v>
      </c>
      <c r="I3359" s="533">
        <f t="shared" si="1987"/>
        <v>2</v>
      </c>
      <c r="J3359" s="533">
        <f t="shared" si="1987"/>
        <v>2</v>
      </c>
      <c r="K3359" s="534">
        <f t="shared" si="1972"/>
        <v>0.0625590350940929</v>
      </c>
      <c r="L3359" s="535">
        <f t="shared" si="1973"/>
        <v>1.01652729384437</v>
      </c>
      <c r="M3359" s="535">
        <f t="shared" si="1974"/>
        <v>63.592966649713</v>
      </c>
      <c r="N3359" s="535">
        <f t="shared" si="1975"/>
        <v>36.6349416724747</v>
      </c>
      <c r="O3359" s="535">
        <f t="shared" si="1976"/>
        <v>0.00232288037166086</v>
      </c>
      <c r="P3359" s="536">
        <f t="shared" si="1977"/>
        <v>32.4159259259259</v>
      </c>
      <c r="Q3359" s="531">
        <f t="shared" si="1978"/>
        <v>27</v>
      </c>
      <c r="R3359" s="537">
        <f t="shared" si="1979"/>
        <v>0.0313588850174216</v>
      </c>
    </row>
    <row r="3360" spans="1:18">
      <c r="A3360" s="524">
        <v>46122</v>
      </c>
      <c r="B3360" s="540" t="s">
        <v>98</v>
      </c>
      <c r="C3360" s="551">
        <v>600</v>
      </c>
      <c r="D3360" s="553">
        <v>8712</v>
      </c>
      <c r="E3360" s="551">
        <v>346</v>
      </c>
      <c r="F3360" s="551">
        <v>0</v>
      </c>
      <c r="G3360" s="551">
        <v>0</v>
      </c>
      <c r="H3360" s="551">
        <v>4</v>
      </c>
      <c r="I3360" s="551">
        <v>2</v>
      </c>
      <c r="J3360" s="551">
        <v>1</v>
      </c>
      <c r="K3360" s="527">
        <f t="shared" si="1972"/>
        <v>0.0397153351698806</v>
      </c>
      <c r="L3360" s="528">
        <f t="shared" si="1973"/>
        <v>1.73410404624277</v>
      </c>
      <c r="M3360" s="528">
        <f t="shared" si="1974"/>
        <v>68.870523415978</v>
      </c>
      <c r="N3360" s="528">
        <f t="shared" si="1975"/>
        <v>0</v>
      </c>
      <c r="O3360" s="528">
        <f t="shared" si="1976"/>
        <v>0</v>
      </c>
      <c r="P3360" s="529">
        <f t="shared" si="1977"/>
        <v>100</v>
      </c>
      <c r="Q3360" s="24">
        <f t="shared" si="1978"/>
        <v>6</v>
      </c>
      <c r="R3360" s="530">
        <f t="shared" si="1979"/>
        <v>0.0173410404624277</v>
      </c>
    </row>
    <row r="3361" spans="1:18">
      <c r="A3361" s="524"/>
      <c r="B3361" s="540" t="s">
        <v>99</v>
      </c>
      <c r="C3361" s="551">
        <v>2484.5</v>
      </c>
      <c r="D3361" s="556">
        <v>33907</v>
      </c>
      <c r="E3361" s="551">
        <v>1140</v>
      </c>
      <c r="F3361" s="551">
        <v>3</v>
      </c>
      <c r="G3361" s="551">
        <v>40389</v>
      </c>
      <c r="H3361" s="555">
        <v>18</v>
      </c>
      <c r="I3361" s="555">
        <v>0</v>
      </c>
      <c r="J3361" s="555">
        <v>2</v>
      </c>
      <c r="K3361" s="527">
        <f t="shared" si="1972"/>
        <v>0.033621376117026</v>
      </c>
      <c r="L3361" s="528">
        <f t="shared" si="1973"/>
        <v>2.17938596491228</v>
      </c>
      <c r="M3361" s="528">
        <f t="shared" si="1974"/>
        <v>73.2739552304834</v>
      </c>
      <c r="N3361" s="528">
        <f t="shared" si="1975"/>
        <v>16.2563896156168</v>
      </c>
      <c r="O3361" s="528">
        <f t="shared" si="1976"/>
        <v>0.00263157894736842</v>
      </c>
      <c r="P3361" s="529">
        <f t="shared" si="1977"/>
        <v>138.027777777778</v>
      </c>
      <c r="Q3361" s="24">
        <f t="shared" si="1978"/>
        <v>18</v>
      </c>
      <c r="R3361" s="530">
        <f t="shared" si="1979"/>
        <v>0.0157894736842105</v>
      </c>
    </row>
    <row r="3362" spans="1:18">
      <c r="A3362" s="524"/>
      <c r="B3362" s="540" t="s">
        <v>100</v>
      </c>
      <c r="C3362" s="552">
        <v>0</v>
      </c>
      <c r="D3362" s="553">
        <v>0</v>
      </c>
      <c r="E3362" s="553">
        <v>0</v>
      </c>
      <c r="F3362" s="551">
        <v>0</v>
      </c>
      <c r="G3362" s="551">
        <v>0</v>
      </c>
      <c r="H3362" s="551">
        <v>0</v>
      </c>
      <c r="I3362" s="551">
        <v>0</v>
      </c>
      <c r="J3362" s="551">
        <v>0</v>
      </c>
      <c r="K3362" s="527">
        <f t="shared" si="1972"/>
        <v>0</v>
      </c>
      <c r="L3362" s="528">
        <f t="shared" si="1973"/>
        <v>0</v>
      </c>
      <c r="M3362" s="528">
        <f t="shared" si="1974"/>
        <v>0</v>
      </c>
      <c r="N3362" s="528">
        <f t="shared" si="1975"/>
        <v>0</v>
      </c>
      <c r="O3362" s="528">
        <f t="shared" si="1976"/>
        <v>0</v>
      </c>
      <c r="P3362" s="529">
        <f t="shared" si="1977"/>
        <v>0</v>
      </c>
      <c r="Q3362" s="24">
        <f t="shared" si="1978"/>
        <v>0</v>
      </c>
      <c r="R3362" s="530">
        <f t="shared" si="1979"/>
        <v>0</v>
      </c>
    </row>
    <row r="3363" spans="1:18">
      <c r="A3363" s="524"/>
      <c r="B3363" s="540" t="s">
        <v>101</v>
      </c>
      <c r="C3363" s="552">
        <v>237.89</v>
      </c>
      <c r="D3363" s="553">
        <v>9021</v>
      </c>
      <c r="E3363" s="551">
        <v>602</v>
      </c>
      <c r="F3363" s="551">
        <v>0</v>
      </c>
      <c r="G3363" s="551">
        <v>0</v>
      </c>
      <c r="H3363" s="551">
        <v>9</v>
      </c>
      <c r="I3363" s="551">
        <v>0</v>
      </c>
      <c r="J3363" s="551">
        <v>0</v>
      </c>
      <c r="K3363" s="527">
        <f t="shared" si="1972"/>
        <v>0.0667331781398958</v>
      </c>
      <c r="L3363" s="528">
        <f t="shared" si="1973"/>
        <v>0.395166112956811</v>
      </c>
      <c r="M3363" s="528">
        <f t="shared" si="1974"/>
        <v>26.370690610797</v>
      </c>
      <c r="N3363" s="528">
        <f t="shared" si="1975"/>
        <v>0</v>
      </c>
      <c r="O3363" s="528">
        <f t="shared" si="1976"/>
        <v>0</v>
      </c>
      <c r="P3363" s="529">
        <f t="shared" si="1977"/>
        <v>26.4322222222222</v>
      </c>
      <c r="Q3363" s="24">
        <f t="shared" si="1978"/>
        <v>9</v>
      </c>
      <c r="R3363" s="530">
        <f t="shared" si="1979"/>
        <v>0.0149501661129568</v>
      </c>
    </row>
    <row r="3364" spans="1:18">
      <c r="A3364" s="524"/>
      <c r="B3364" s="531" t="s">
        <v>96</v>
      </c>
      <c r="C3364" s="533">
        <f t="shared" ref="C3364:J3364" si="1988">SUM(C3360:C3363)</f>
        <v>3322.39</v>
      </c>
      <c r="D3364" s="533">
        <f t="shared" si="1988"/>
        <v>51640</v>
      </c>
      <c r="E3364" s="533">
        <f t="shared" si="1988"/>
        <v>2088</v>
      </c>
      <c r="F3364" s="533">
        <f t="shared" si="1988"/>
        <v>3</v>
      </c>
      <c r="G3364" s="533">
        <f t="shared" si="1988"/>
        <v>40389</v>
      </c>
      <c r="H3364" s="533">
        <f t="shared" si="1988"/>
        <v>31</v>
      </c>
      <c r="I3364" s="533">
        <f t="shared" si="1988"/>
        <v>2</v>
      </c>
      <c r="J3364" s="533">
        <f t="shared" si="1988"/>
        <v>3</v>
      </c>
      <c r="K3364" s="534">
        <f t="shared" si="1972"/>
        <v>0.0404337722695585</v>
      </c>
      <c r="L3364" s="535">
        <f t="shared" si="1973"/>
        <v>1.59118295019157</v>
      </c>
      <c r="M3364" s="535">
        <f t="shared" si="1974"/>
        <v>64.3375290472502</v>
      </c>
      <c r="N3364" s="535">
        <f t="shared" si="1975"/>
        <v>12.1566101511261</v>
      </c>
      <c r="O3364" s="535">
        <f t="shared" si="1976"/>
        <v>0.0014367816091954</v>
      </c>
      <c r="P3364" s="536">
        <f t="shared" si="1977"/>
        <v>100.678484848485</v>
      </c>
      <c r="Q3364" s="531">
        <f t="shared" si="1978"/>
        <v>33</v>
      </c>
      <c r="R3364" s="537">
        <f t="shared" si="1979"/>
        <v>0.0158045977011494</v>
      </c>
    </row>
    <row r="3365" spans="1:18">
      <c r="A3365" s="524">
        <v>46123</v>
      </c>
      <c r="B3365" s="540" t="s">
        <v>98</v>
      </c>
      <c r="C3365" s="551">
        <v>600</v>
      </c>
      <c r="D3365" s="553">
        <v>9296</v>
      </c>
      <c r="E3365" s="551">
        <v>378</v>
      </c>
      <c r="F3365" s="551">
        <v>0</v>
      </c>
      <c r="G3365" s="551">
        <v>0</v>
      </c>
      <c r="H3365" s="551">
        <v>13</v>
      </c>
      <c r="I3365" s="551">
        <v>7</v>
      </c>
      <c r="J3365" s="551">
        <v>0</v>
      </c>
      <c r="K3365" s="527">
        <f t="shared" si="1972"/>
        <v>0.0406626506024096</v>
      </c>
      <c r="L3365" s="528">
        <f t="shared" si="1973"/>
        <v>1.58730158730159</v>
      </c>
      <c r="M3365" s="528">
        <f t="shared" si="1974"/>
        <v>64.5438898450947</v>
      </c>
      <c r="N3365" s="528">
        <f t="shared" si="1975"/>
        <v>0</v>
      </c>
      <c r="O3365" s="528">
        <f t="shared" si="1976"/>
        <v>0</v>
      </c>
      <c r="P3365" s="529">
        <f t="shared" si="1977"/>
        <v>30</v>
      </c>
      <c r="Q3365" s="24">
        <f t="shared" si="1978"/>
        <v>20</v>
      </c>
      <c r="R3365" s="530">
        <f t="shared" si="1979"/>
        <v>0.0529100529100529</v>
      </c>
    </row>
    <row r="3366" spans="1:18">
      <c r="A3366" s="524"/>
      <c r="B3366" s="540" t="s">
        <v>99</v>
      </c>
      <c r="C3366" s="551">
        <v>1477.51</v>
      </c>
      <c r="D3366" s="556">
        <v>24343</v>
      </c>
      <c r="E3366" s="551">
        <v>519</v>
      </c>
      <c r="F3366" s="551">
        <v>0</v>
      </c>
      <c r="G3366" s="551">
        <v>0</v>
      </c>
      <c r="H3366" s="555">
        <v>9</v>
      </c>
      <c r="I3366" s="555">
        <v>1</v>
      </c>
      <c r="J3366" s="555">
        <v>2</v>
      </c>
      <c r="K3366" s="527">
        <f t="shared" si="1972"/>
        <v>0.021320297416095</v>
      </c>
      <c r="L3366" s="528">
        <f t="shared" si="1973"/>
        <v>2.84684007707129</v>
      </c>
      <c r="M3366" s="528">
        <f t="shared" si="1974"/>
        <v>60.6954771392187</v>
      </c>
      <c r="N3366" s="528">
        <f t="shared" si="1975"/>
        <v>0</v>
      </c>
      <c r="O3366" s="528">
        <f t="shared" si="1976"/>
        <v>0</v>
      </c>
      <c r="P3366" s="529">
        <f t="shared" si="1977"/>
        <v>147.751</v>
      </c>
      <c r="Q3366" s="24">
        <f t="shared" si="1978"/>
        <v>10</v>
      </c>
      <c r="R3366" s="530">
        <f t="shared" si="1979"/>
        <v>0.0192678227360308</v>
      </c>
    </row>
    <row r="3367" spans="1:18">
      <c r="A3367" s="524"/>
      <c r="B3367" s="540" t="s">
        <v>100</v>
      </c>
      <c r="C3367" s="552">
        <v>0</v>
      </c>
      <c r="D3367" s="553">
        <v>0</v>
      </c>
      <c r="E3367" s="553">
        <v>0</v>
      </c>
      <c r="F3367" s="551">
        <v>0</v>
      </c>
      <c r="G3367" s="551">
        <v>0</v>
      </c>
      <c r="H3367" s="551">
        <v>0</v>
      </c>
      <c r="I3367" s="551">
        <v>0</v>
      </c>
      <c r="J3367" s="551">
        <v>0</v>
      </c>
      <c r="K3367" s="527">
        <f t="shared" si="1972"/>
        <v>0</v>
      </c>
      <c r="L3367" s="528">
        <f t="shared" si="1973"/>
        <v>0</v>
      </c>
      <c r="M3367" s="528">
        <f t="shared" si="1974"/>
        <v>0</v>
      </c>
      <c r="N3367" s="528">
        <f t="shared" si="1975"/>
        <v>0</v>
      </c>
      <c r="O3367" s="528">
        <f t="shared" si="1976"/>
        <v>0</v>
      </c>
      <c r="P3367" s="529">
        <f t="shared" si="1977"/>
        <v>0</v>
      </c>
      <c r="Q3367" s="24">
        <f t="shared" si="1978"/>
        <v>0</v>
      </c>
      <c r="R3367" s="530">
        <f t="shared" si="1979"/>
        <v>0</v>
      </c>
    </row>
    <row r="3368" spans="1:18">
      <c r="A3368" s="524"/>
      <c r="B3368" s="540" t="s">
        <v>101</v>
      </c>
      <c r="C3368" s="552">
        <v>229.59</v>
      </c>
      <c r="D3368" s="553">
        <v>13161</v>
      </c>
      <c r="E3368" s="551">
        <v>681</v>
      </c>
      <c r="F3368" s="551">
        <v>0</v>
      </c>
      <c r="G3368" s="551">
        <v>0</v>
      </c>
      <c r="H3368" s="551">
        <v>4</v>
      </c>
      <c r="I3368" s="551">
        <v>1</v>
      </c>
      <c r="J3368" s="551">
        <v>0</v>
      </c>
      <c r="K3368" s="527">
        <f t="shared" si="1972"/>
        <v>0.051743788465922</v>
      </c>
      <c r="L3368" s="528">
        <f t="shared" si="1973"/>
        <v>0.337136563876652</v>
      </c>
      <c r="M3368" s="528">
        <f t="shared" si="1974"/>
        <v>17.4447230453613</v>
      </c>
      <c r="N3368" s="528">
        <f t="shared" si="1975"/>
        <v>0</v>
      </c>
      <c r="O3368" s="528">
        <f t="shared" si="1976"/>
        <v>0</v>
      </c>
      <c r="P3368" s="529">
        <f t="shared" si="1977"/>
        <v>45.918</v>
      </c>
      <c r="Q3368" s="24">
        <f t="shared" si="1978"/>
        <v>5</v>
      </c>
      <c r="R3368" s="530">
        <f t="shared" si="1979"/>
        <v>0.00734214390602056</v>
      </c>
    </row>
    <row r="3369" spans="1:18">
      <c r="A3369" s="524"/>
      <c r="B3369" s="531" t="s">
        <v>96</v>
      </c>
      <c r="C3369" s="533">
        <f t="shared" ref="C3369:J3369" si="1989">SUM(C3365:C3368)</f>
        <v>2307.1</v>
      </c>
      <c r="D3369" s="533">
        <f t="shared" si="1989"/>
        <v>46800</v>
      </c>
      <c r="E3369" s="533">
        <f t="shared" si="1989"/>
        <v>1578</v>
      </c>
      <c r="F3369" s="533">
        <f t="shared" si="1989"/>
        <v>0</v>
      </c>
      <c r="G3369" s="533">
        <f t="shared" si="1989"/>
        <v>0</v>
      </c>
      <c r="H3369" s="533">
        <f t="shared" si="1989"/>
        <v>26</v>
      </c>
      <c r="I3369" s="533">
        <f t="shared" si="1989"/>
        <v>9</v>
      </c>
      <c r="J3369" s="533">
        <f t="shared" si="1989"/>
        <v>2</v>
      </c>
      <c r="K3369" s="534">
        <f t="shared" si="1972"/>
        <v>0.0337179487179487</v>
      </c>
      <c r="L3369" s="535">
        <f t="shared" si="1973"/>
        <v>1.46204055766793</v>
      </c>
      <c r="M3369" s="535">
        <f t="shared" si="1974"/>
        <v>49.2970085470086</v>
      </c>
      <c r="N3369" s="535">
        <f t="shared" si="1975"/>
        <v>0</v>
      </c>
      <c r="O3369" s="535">
        <f t="shared" si="1976"/>
        <v>0</v>
      </c>
      <c r="P3369" s="536">
        <f t="shared" si="1977"/>
        <v>65.9171428571429</v>
      </c>
      <c r="Q3369" s="531">
        <f t="shared" si="1978"/>
        <v>35</v>
      </c>
      <c r="R3369" s="537">
        <f t="shared" si="1979"/>
        <v>0.0221799746514575</v>
      </c>
    </row>
    <row r="3370" spans="1:18">
      <c r="A3370" s="524">
        <v>46124</v>
      </c>
      <c r="B3370" s="540" t="s">
        <v>98</v>
      </c>
      <c r="C3370" s="551">
        <v>600</v>
      </c>
      <c r="D3370" s="553">
        <v>9877</v>
      </c>
      <c r="E3370" s="551">
        <v>406</v>
      </c>
      <c r="F3370" s="551">
        <v>0</v>
      </c>
      <c r="G3370" s="551">
        <v>0</v>
      </c>
      <c r="H3370" s="551">
        <v>11</v>
      </c>
      <c r="I3370" s="551">
        <v>5</v>
      </c>
      <c r="J3370" s="551">
        <v>1</v>
      </c>
      <c r="K3370" s="527">
        <f t="shared" si="1972"/>
        <v>0.0411055988660524</v>
      </c>
      <c r="L3370" s="528">
        <f t="shared" si="1973"/>
        <v>1.47783251231527</v>
      </c>
      <c r="M3370" s="528">
        <f t="shared" si="1974"/>
        <v>60.747190442442</v>
      </c>
      <c r="N3370" s="528">
        <f t="shared" si="1975"/>
        <v>0</v>
      </c>
      <c r="O3370" s="528">
        <f t="shared" si="1976"/>
        <v>0</v>
      </c>
      <c r="P3370" s="529">
        <f t="shared" si="1977"/>
        <v>37.5</v>
      </c>
      <c r="Q3370" s="24">
        <f t="shared" si="1978"/>
        <v>16</v>
      </c>
      <c r="R3370" s="530">
        <f t="shared" si="1979"/>
        <v>0.0394088669950739</v>
      </c>
    </row>
    <row r="3371" spans="1:18">
      <c r="A3371" s="524"/>
      <c r="B3371" s="540" t="s">
        <v>99</v>
      </c>
      <c r="C3371" s="551">
        <v>1500</v>
      </c>
      <c r="D3371" s="556">
        <v>37530</v>
      </c>
      <c r="E3371" s="551">
        <v>775</v>
      </c>
      <c r="F3371" s="551">
        <v>0</v>
      </c>
      <c r="G3371" s="551">
        <v>0</v>
      </c>
      <c r="H3371" s="555">
        <v>9</v>
      </c>
      <c r="I3371" s="555">
        <v>1</v>
      </c>
      <c r="J3371" s="555">
        <v>6</v>
      </c>
      <c r="K3371" s="527">
        <f t="shared" si="1972"/>
        <v>0.0206501465494271</v>
      </c>
      <c r="L3371" s="528">
        <f t="shared" si="1973"/>
        <v>1.93548387096774</v>
      </c>
      <c r="M3371" s="528">
        <f t="shared" si="1974"/>
        <v>39.9680255795364</v>
      </c>
      <c r="N3371" s="528">
        <f t="shared" si="1975"/>
        <v>0</v>
      </c>
      <c r="O3371" s="528">
        <f t="shared" si="1976"/>
        <v>0</v>
      </c>
      <c r="P3371" s="529">
        <f t="shared" si="1977"/>
        <v>150</v>
      </c>
      <c r="Q3371" s="24">
        <f t="shared" si="1978"/>
        <v>10</v>
      </c>
      <c r="R3371" s="530">
        <f t="shared" si="1979"/>
        <v>0.0129032258064516</v>
      </c>
    </row>
    <row r="3372" spans="1:18">
      <c r="A3372" s="524"/>
      <c r="B3372" s="540" t="s">
        <v>100</v>
      </c>
      <c r="C3372" s="552">
        <v>0</v>
      </c>
      <c r="D3372" s="553">
        <v>0</v>
      </c>
      <c r="E3372" s="553">
        <v>0</v>
      </c>
      <c r="F3372" s="551">
        <v>0</v>
      </c>
      <c r="G3372" s="551">
        <v>0</v>
      </c>
      <c r="H3372" s="551">
        <v>0</v>
      </c>
      <c r="I3372" s="551">
        <v>0</v>
      </c>
      <c r="J3372" s="551">
        <v>0</v>
      </c>
      <c r="K3372" s="527">
        <f t="shared" si="1972"/>
        <v>0</v>
      </c>
      <c r="L3372" s="528">
        <f t="shared" si="1973"/>
        <v>0</v>
      </c>
      <c r="M3372" s="528">
        <f t="shared" si="1974"/>
        <v>0</v>
      </c>
      <c r="N3372" s="528">
        <f t="shared" si="1975"/>
        <v>0</v>
      </c>
      <c r="O3372" s="528">
        <f t="shared" si="1976"/>
        <v>0</v>
      </c>
      <c r="P3372" s="529">
        <f t="shared" si="1977"/>
        <v>0</v>
      </c>
      <c r="Q3372" s="24">
        <f t="shared" si="1978"/>
        <v>0</v>
      </c>
      <c r="R3372" s="530">
        <f t="shared" si="1979"/>
        <v>0</v>
      </c>
    </row>
    <row r="3373" spans="1:18">
      <c r="A3373" s="524"/>
      <c r="B3373" s="540" t="s">
        <v>101</v>
      </c>
      <c r="C3373" s="552">
        <v>214.48</v>
      </c>
      <c r="D3373" s="553">
        <v>7424</v>
      </c>
      <c r="E3373" s="551">
        <v>461</v>
      </c>
      <c r="F3373" s="551">
        <v>0</v>
      </c>
      <c r="G3373" s="551">
        <v>0</v>
      </c>
      <c r="H3373" s="551">
        <v>8</v>
      </c>
      <c r="I3373" s="551">
        <v>1</v>
      </c>
      <c r="J3373" s="551">
        <v>0</v>
      </c>
      <c r="K3373" s="527">
        <f t="shared" si="1972"/>
        <v>0.0620959051724138</v>
      </c>
      <c r="L3373" s="528">
        <f t="shared" si="1973"/>
        <v>0.465249457700651</v>
      </c>
      <c r="M3373" s="528">
        <f t="shared" si="1974"/>
        <v>28.8900862068966</v>
      </c>
      <c r="N3373" s="528">
        <f t="shared" si="1975"/>
        <v>0</v>
      </c>
      <c r="O3373" s="528">
        <f t="shared" si="1976"/>
        <v>0</v>
      </c>
      <c r="P3373" s="529">
        <f t="shared" si="1977"/>
        <v>23.8311111111111</v>
      </c>
      <c r="Q3373" s="24">
        <f t="shared" si="1978"/>
        <v>9</v>
      </c>
      <c r="R3373" s="530">
        <f t="shared" si="1979"/>
        <v>0.0195227765726681</v>
      </c>
    </row>
    <row r="3374" spans="1:18">
      <c r="A3374" s="524"/>
      <c r="B3374" s="531" t="s">
        <v>96</v>
      </c>
      <c r="C3374" s="533">
        <f t="shared" ref="C3374:J3374" si="1990">SUM(C3370:C3373)</f>
        <v>2314.48</v>
      </c>
      <c r="D3374" s="533">
        <f t="shared" si="1990"/>
        <v>54831</v>
      </c>
      <c r="E3374" s="533">
        <f t="shared" si="1990"/>
        <v>1642</v>
      </c>
      <c r="F3374" s="533">
        <f t="shared" si="1990"/>
        <v>0</v>
      </c>
      <c r="G3374" s="533">
        <f t="shared" si="1990"/>
        <v>0</v>
      </c>
      <c r="H3374" s="533">
        <f t="shared" si="1990"/>
        <v>28</v>
      </c>
      <c r="I3374" s="533">
        <f t="shared" si="1990"/>
        <v>7</v>
      </c>
      <c r="J3374" s="533">
        <f t="shared" si="1990"/>
        <v>7</v>
      </c>
      <c r="K3374" s="534">
        <f t="shared" si="1972"/>
        <v>0.0299465630756324</v>
      </c>
      <c r="L3374" s="535">
        <f t="shared" si="1973"/>
        <v>1.40954933008526</v>
      </c>
      <c r="M3374" s="535">
        <f t="shared" si="1974"/>
        <v>42.2111579216137</v>
      </c>
      <c r="N3374" s="535">
        <f t="shared" si="1975"/>
        <v>0</v>
      </c>
      <c r="O3374" s="535">
        <f t="shared" si="1976"/>
        <v>0</v>
      </c>
      <c r="P3374" s="536">
        <f t="shared" si="1977"/>
        <v>66.128</v>
      </c>
      <c r="Q3374" s="531">
        <f t="shared" si="1978"/>
        <v>35</v>
      </c>
      <c r="R3374" s="537">
        <f t="shared" si="1979"/>
        <v>0.0213154689403167</v>
      </c>
    </row>
    <row r="3375" spans="1:18">
      <c r="A3375" s="524">
        <v>46125</v>
      </c>
      <c r="B3375" s="540" t="s">
        <v>98</v>
      </c>
      <c r="C3375" s="551">
        <v>597.7</v>
      </c>
      <c r="D3375" s="553">
        <v>8177</v>
      </c>
      <c r="E3375" s="551">
        <v>354</v>
      </c>
      <c r="F3375" s="551">
        <v>2</v>
      </c>
      <c r="G3375" s="551">
        <v>46388</v>
      </c>
      <c r="H3375" s="551">
        <v>6</v>
      </c>
      <c r="I3375" s="551">
        <v>0</v>
      </c>
      <c r="J3375" s="551">
        <v>0</v>
      </c>
      <c r="K3375" s="527">
        <f t="shared" si="1972"/>
        <v>0.0432921609392198</v>
      </c>
      <c r="L3375" s="528">
        <f t="shared" si="1973"/>
        <v>1.68841807909605</v>
      </c>
      <c r="M3375" s="528">
        <f t="shared" si="1974"/>
        <v>73.0952672129143</v>
      </c>
      <c r="N3375" s="528">
        <f t="shared" si="1975"/>
        <v>77.6108415593107</v>
      </c>
      <c r="O3375" s="528">
        <f t="shared" si="1976"/>
        <v>0.00564971751412429</v>
      </c>
      <c r="P3375" s="529">
        <f t="shared" si="1977"/>
        <v>99.6166666666667</v>
      </c>
      <c r="Q3375" s="24">
        <f t="shared" si="1978"/>
        <v>6</v>
      </c>
      <c r="R3375" s="530">
        <f t="shared" si="1979"/>
        <v>0.0169491525423729</v>
      </c>
    </row>
    <row r="3376" spans="1:18">
      <c r="A3376" s="524"/>
      <c r="B3376" s="540" t="s">
        <v>99</v>
      </c>
      <c r="C3376" s="551">
        <v>2472.43</v>
      </c>
      <c r="D3376" s="556">
        <v>32706</v>
      </c>
      <c r="E3376" s="551">
        <v>1513</v>
      </c>
      <c r="F3376" s="551">
        <v>9</v>
      </c>
      <c r="G3376" s="551">
        <v>85878.04</v>
      </c>
      <c r="H3376" s="555">
        <v>22</v>
      </c>
      <c r="I3376" s="555">
        <v>3</v>
      </c>
      <c r="J3376" s="555">
        <v>3</v>
      </c>
      <c r="K3376" s="527">
        <f t="shared" si="1972"/>
        <v>0.0462606249617807</v>
      </c>
      <c r="L3376" s="528">
        <f t="shared" si="1973"/>
        <v>1.63412425644415</v>
      </c>
      <c r="M3376" s="528">
        <f t="shared" si="1974"/>
        <v>75.5956093683116</v>
      </c>
      <c r="N3376" s="528">
        <f t="shared" si="1975"/>
        <v>34.7342654797102</v>
      </c>
      <c r="O3376" s="528">
        <f t="shared" si="1976"/>
        <v>0.00594844679444812</v>
      </c>
      <c r="P3376" s="529">
        <f t="shared" si="1977"/>
        <v>98.8972</v>
      </c>
      <c r="Q3376" s="24">
        <f t="shared" si="1978"/>
        <v>25</v>
      </c>
      <c r="R3376" s="530">
        <f t="shared" si="1979"/>
        <v>0.0165234633179114</v>
      </c>
    </row>
    <row r="3377" spans="1:18">
      <c r="A3377" s="524"/>
      <c r="B3377" s="540" t="s">
        <v>100</v>
      </c>
      <c r="C3377" s="552">
        <v>0</v>
      </c>
      <c r="D3377" s="553">
        <v>0</v>
      </c>
      <c r="E3377" s="553">
        <v>0</v>
      </c>
      <c r="F3377" s="551">
        <v>0</v>
      </c>
      <c r="G3377" s="551">
        <v>0</v>
      </c>
      <c r="H3377" s="551">
        <v>0</v>
      </c>
      <c r="I3377" s="551">
        <v>0</v>
      </c>
      <c r="J3377" s="551">
        <v>0</v>
      </c>
      <c r="K3377" s="527">
        <f t="shared" si="1972"/>
        <v>0</v>
      </c>
      <c r="L3377" s="528">
        <f t="shared" si="1973"/>
        <v>0</v>
      </c>
      <c r="M3377" s="528">
        <f t="shared" si="1974"/>
        <v>0</v>
      </c>
      <c r="N3377" s="528">
        <f t="shared" si="1975"/>
        <v>0</v>
      </c>
      <c r="O3377" s="528">
        <f t="shared" si="1976"/>
        <v>0</v>
      </c>
      <c r="P3377" s="529">
        <f t="shared" si="1977"/>
        <v>0</v>
      </c>
      <c r="Q3377" s="24">
        <f t="shared" si="1978"/>
        <v>0</v>
      </c>
      <c r="R3377" s="530">
        <f t="shared" si="1979"/>
        <v>0</v>
      </c>
    </row>
    <row r="3378" spans="1:18">
      <c r="A3378" s="524"/>
      <c r="B3378" s="540" t="s">
        <v>101</v>
      </c>
      <c r="C3378" s="552">
        <v>158.54</v>
      </c>
      <c r="D3378" s="553">
        <v>5331</v>
      </c>
      <c r="E3378" s="551">
        <v>309</v>
      </c>
      <c r="F3378" s="551">
        <v>0</v>
      </c>
      <c r="G3378" s="551">
        <v>0</v>
      </c>
      <c r="H3378" s="551">
        <v>7</v>
      </c>
      <c r="I3378" s="551">
        <v>1</v>
      </c>
      <c r="J3378" s="551">
        <v>0</v>
      </c>
      <c r="K3378" s="527">
        <f t="shared" si="1972"/>
        <v>0.0579628587507034</v>
      </c>
      <c r="L3378" s="528">
        <f t="shared" si="1973"/>
        <v>0.513074433656958</v>
      </c>
      <c r="M3378" s="528">
        <f t="shared" si="1974"/>
        <v>29.7392609266554</v>
      </c>
      <c r="N3378" s="528">
        <f t="shared" si="1975"/>
        <v>0</v>
      </c>
      <c r="O3378" s="528">
        <f t="shared" si="1976"/>
        <v>0</v>
      </c>
      <c r="P3378" s="529">
        <f t="shared" si="1977"/>
        <v>19.8175</v>
      </c>
      <c r="Q3378" s="24">
        <f t="shared" si="1978"/>
        <v>8</v>
      </c>
      <c r="R3378" s="530">
        <f t="shared" si="1979"/>
        <v>0.0258899676375405</v>
      </c>
    </row>
    <row r="3379" spans="1:18">
      <c r="A3379" s="524"/>
      <c r="B3379" s="531" t="s">
        <v>96</v>
      </c>
      <c r="C3379" s="533">
        <f t="shared" ref="C3379:J3379" si="1991">SUM(C3375:C3378)</f>
        <v>3228.67</v>
      </c>
      <c r="D3379" s="533">
        <f t="shared" si="1991"/>
        <v>46214</v>
      </c>
      <c r="E3379" s="533">
        <f t="shared" si="1991"/>
        <v>2176</v>
      </c>
      <c r="F3379" s="533">
        <f t="shared" si="1991"/>
        <v>11</v>
      </c>
      <c r="G3379" s="533">
        <f t="shared" si="1991"/>
        <v>132266.04</v>
      </c>
      <c r="H3379" s="533">
        <f t="shared" si="1991"/>
        <v>35</v>
      </c>
      <c r="I3379" s="533">
        <f t="shared" si="1991"/>
        <v>4</v>
      </c>
      <c r="J3379" s="533">
        <f t="shared" si="1991"/>
        <v>3</v>
      </c>
      <c r="K3379" s="534">
        <f t="shared" si="1972"/>
        <v>0.0470852988271952</v>
      </c>
      <c r="L3379" s="535">
        <f t="shared" si="1973"/>
        <v>1.48376378676471</v>
      </c>
      <c r="M3379" s="535">
        <f t="shared" si="1974"/>
        <v>69.863461288787</v>
      </c>
      <c r="N3379" s="535">
        <f t="shared" si="1975"/>
        <v>40.9661067870052</v>
      </c>
      <c r="O3379" s="535">
        <f t="shared" si="1976"/>
        <v>0.00505514705882353</v>
      </c>
      <c r="P3379" s="536">
        <f t="shared" si="1977"/>
        <v>82.7864102564103</v>
      </c>
      <c r="Q3379" s="531">
        <f t="shared" si="1978"/>
        <v>39</v>
      </c>
      <c r="R3379" s="537">
        <f t="shared" si="1979"/>
        <v>0.0179227941176471</v>
      </c>
    </row>
    <row r="3380" spans="1:18">
      <c r="A3380" s="524">
        <v>46126</v>
      </c>
      <c r="B3380" s="540" t="s">
        <v>98</v>
      </c>
      <c r="C3380" s="551">
        <v>600</v>
      </c>
      <c r="D3380" s="553">
        <v>8762</v>
      </c>
      <c r="E3380" s="551">
        <v>363</v>
      </c>
      <c r="F3380" s="551">
        <v>3</v>
      </c>
      <c r="G3380" s="551">
        <v>30522</v>
      </c>
      <c r="H3380" s="551">
        <v>13</v>
      </c>
      <c r="I3380" s="551">
        <v>3</v>
      </c>
      <c r="J3380" s="551">
        <v>0</v>
      </c>
      <c r="K3380" s="527">
        <f t="shared" si="1972"/>
        <v>0.0414288975119836</v>
      </c>
      <c r="L3380" s="528">
        <f t="shared" si="1973"/>
        <v>1.65289256198347</v>
      </c>
      <c r="M3380" s="528">
        <f t="shared" si="1974"/>
        <v>68.4775165487332</v>
      </c>
      <c r="N3380" s="528">
        <f t="shared" si="1975"/>
        <v>50.87</v>
      </c>
      <c r="O3380" s="528">
        <f t="shared" si="1976"/>
        <v>0.00826446280991736</v>
      </c>
      <c r="P3380" s="529">
        <f t="shared" si="1977"/>
        <v>37.5</v>
      </c>
      <c r="Q3380" s="24">
        <f t="shared" si="1978"/>
        <v>16</v>
      </c>
      <c r="R3380" s="530">
        <f t="shared" si="1979"/>
        <v>0.0440771349862259</v>
      </c>
    </row>
    <row r="3381" spans="1:18">
      <c r="A3381" s="524"/>
      <c r="B3381" s="540" t="s">
        <v>99</v>
      </c>
      <c r="C3381" s="551">
        <v>0</v>
      </c>
      <c r="D3381" s="556">
        <v>0</v>
      </c>
      <c r="E3381" s="551">
        <v>0</v>
      </c>
      <c r="F3381" s="551">
        <v>0</v>
      </c>
      <c r="G3381" s="551">
        <v>0</v>
      </c>
      <c r="H3381" s="555">
        <v>0</v>
      </c>
      <c r="I3381" s="555">
        <v>0</v>
      </c>
      <c r="J3381" s="555">
        <v>0</v>
      </c>
      <c r="K3381" s="527">
        <f t="shared" si="1972"/>
        <v>0</v>
      </c>
      <c r="L3381" s="528">
        <f t="shared" si="1973"/>
        <v>0</v>
      </c>
      <c r="M3381" s="528">
        <f t="shared" si="1974"/>
        <v>0</v>
      </c>
      <c r="N3381" s="528">
        <f t="shared" si="1975"/>
        <v>0</v>
      </c>
      <c r="O3381" s="528">
        <f t="shared" si="1976"/>
        <v>0</v>
      </c>
      <c r="P3381" s="529">
        <f t="shared" si="1977"/>
        <v>0</v>
      </c>
      <c r="Q3381" s="24">
        <f t="shared" si="1978"/>
        <v>0</v>
      </c>
      <c r="R3381" s="530">
        <f t="shared" si="1979"/>
        <v>0</v>
      </c>
    </row>
    <row r="3382" spans="1:18">
      <c r="A3382" s="524"/>
      <c r="B3382" s="540" t="s">
        <v>100</v>
      </c>
      <c r="C3382" s="552">
        <v>0</v>
      </c>
      <c r="D3382" s="553">
        <v>0</v>
      </c>
      <c r="E3382" s="553">
        <v>0</v>
      </c>
      <c r="F3382" s="551">
        <v>0</v>
      </c>
      <c r="G3382" s="551">
        <v>0</v>
      </c>
      <c r="H3382" s="551">
        <v>0</v>
      </c>
      <c r="I3382" s="551">
        <v>0</v>
      </c>
      <c r="J3382" s="551">
        <v>0</v>
      </c>
      <c r="K3382" s="527">
        <f t="shared" si="1972"/>
        <v>0</v>
      </c>
      <c r="L3382" s="528">
        <f t="shared" si="1973"/>
        <v>0</v>
      </c>
      <c r="M3382" s="528">
        <f t="shared" si="1974"/>
        <v>0</v>
      </c>
      <c r="N3382" s="528">
        <f t="shared" si="1975"/>
        <v>0</v>
      </c>
      <c r="O3382" s="528">
        <f t="shared" si="1976"/>
        <v>0</v>
      </c>
      <c r="P3382" s="529">
        <f t="shared" si="1977"/>
        <v>0</v>
      </c>
      <c r="Q3382" s="24">
        <f t="shared" si="1978"/>
        <v>0</v>
      </c>
      <c r="R3382" s="530">
        <f t="shared" si="1979"/>
        <v>0</v>
      </c>
    </row>
    <row r="3383" spans="1:18">
      <c r="A3383" s="524"/>
      <c r="B3383" s="540" t="s">
        <v>101</v>
      </c>
      <c r="C3383" s="552">
        <v>100</v>
      </c>
      <c r="D3383" s="553">
        <v>1959</v>
      </c>
      <c r="E3383" s="551">
        <v>111</v>
      </c>
      <c r="F3383" s="551">
        <v>0</v>
      </c>
      <c r="G3383" s="551">
        <v>0</v>
      </c>
      <c r="H3383" s="551">
        <v>2</v>
      </c>
      <c r="I3383" s="551">
        <v>0</v>
      </c>
      <c r="J3383" s="551">
        <v>0</v>
      </c>
      <c r="K3383" s="527">
        <f t="shared" si="1972"/>
        <v>0.0566615620214395</v>
      </c>
      <c r="L3383" s="528">
        <f t="shared" si="1973"/>
        <v>0.900900900900901</v>
      </c>
      <c r="M3383" s="528">
        <f t="shared" si="1974"/>
        <v>51.0464522715671</v>
      </c>
      <c r="N3383" s="528">
        <f t="shared" si="1975"/>
        <v>0</v>
      </c>
      <c r="O3383" s="528">
        <f t="shared" si="1976"/>
        <v>0</v>
      </c>
      <c r="P3383" s="529">
        <f t="shared" si="1977"/>
        <v>50</v>
      </c>
      <c r="Q3383" s="24">
        <f t="shared" si="1978"/>
        <v>2</v>
      </c>
      <c r="R3383" s="530">
        <f t="shared" si="1979"/>
        <v>0.018018018018018</v>
      </c>
    </row>
    <row r="3384" spans="1:18">
      <c r="A3384" s="524"/>
      <c r="B3384" s="531" t="s">
        <v>96</v>
      </c>
      <c r="C3384" s="533">
        <f t="shared" ref="C3384:J3384" si="1992">SUM(C3380:C3383)</f>
        <v>700</v>
      </c>
      <c r="D3384" s="533">
        <f t="shared" si="1992"/>
        <v>10721</v>
      </c>
      <c r="E3384" s="533">
        <f t="shared" si="1992"/>
        <v>474</v>
      </c>
      <c r="F3384" s="533">
        <f t="shared" si="1992"/>
        <v>3</v>
      </c>
      <c r="G3384" s="533">
        <f t="shared" si="1992"/>
        <v>30522</v>
      </c>
      <c r="H3384" s="533">
        <f t="shared" si="1992"/>
        <v>15</v>
      </c>
      <c r="I3384" s="533">
        <f t="shared" si="1992"/>
        <v>3</v>
      </c>
      <c r="J3384" s="533">
        <f t="shared" si="1992"/>
        <v>0</v>
      </c>
      <c r="K3384" s="534">
        <f t="shared" si="1972"/>
        <v>0.0442122936293256</v>
      </c>
      <c r="L3384" s="535">
        <f t="shared" si="1973"/>
        <v>1.47679324894515</v>
      </c>
      <c r="M3384" s="535">
        <f t="shared" si="1974"/>
        <v>65.2924167521686</v>
      </c>
      <c r="N3384" s="535">
        <f t="shared" si="1975"/>
        <v>43.6028571428571</v>
      </c>
      <c r="O3384" s="535">
        <f t="shared" si="1976"/>
        <v>0.00632911392405063</v>
      </c>
      <c r="P3384" s="536">
        <f t="shared" si="1977"/>
        <v>38.8888888888889</v>
      </c>
      <c r="Q3384" s="531">
        <f t="shared" si="1978"/>
        <v>18</v>
      </c>
      <c r="R3384" s="537">
        <f t="shared" si="1979"/>
        <v>0.0379746835443038</v>
      </c>
    </row>
    <row r="3385" spans="1:18">
      <c r="A3385" s="524">
        <v>46127</v>
      </c>
      <c r="B3385" s="540" t="s">
        <v>98</v>
      </c>
      <c r="C3385" s="551">
        <v>600</v>
      </c>
      <c r="D3385" s="553">
        <v>7476</v>
      </c>
      <c r="E3385" s="551">
        <v>299</v>
      </c>
      <c r="F3385" s="551">
        <v>3</v>
      </c>
      <c r="G3385" s="551">
        <v>26332</v>
      </c>
      <c r="H3385" s="551">
        <v>12</v>
      </c>
      <c r="I3385" s="551">
        <v>4</v>
      </c>
      <c r="J3385" s="551">
        <v>0</v>
      </c>
      <c r="K3385" s="527">
        <f t="shared" si="1972"/>
        <v>0.0399946495452113</v>
      </c>
      <c r="L3385" s="528">
        <f t="shared" si="1973"/>
        <v>2.0066889632107</v>
      </c>
      <c r="M3385" s="528">
        <f t="shared" si="1974"/>
        <v>80.2568218298555</v>
      </c>
      <c r="N3385" s="528">
        <f t="shared" si="1975"/>
        <v>43.8866666666667</v>
      </c>
      <c r="O3385" s="528">
        <f t="shared" si="1976"/>
        <v>0.0100334448160535</v>
      </c>
      <c r="P3385" s="529">
        <f t="shared" si="1977"/>
        <v>37.5</v>
      </c>
      <c r="Q3385" s="24">
        <f t="shared" si="1978"/>
        <v>16</v>
      </c>
      <c r="R3385" s="530">
        <f t="shared" si="1979"/>
        <v>0.0535117056856187</v>
      </c>
    </row>
    <row r="3386" spans="1:18">
      <c r="A3386" s="524"/>
      <c r="B3386" s="540" t="s">
        <v>99</v>
      </c>
      <c r="C3386" s="551">
        <v>1500</v>
      </c>
      <c r="D3386" s="556">
        <v>17143</v>
      </c>
      <c r="E3386" s="551">
        <v>630</v>
      </c>
      <c r="F3386" s="551">
        <v>1</v>
      </c>
      <c r="G3386" s="551">
        <v>4676</v>
      </c>
      <c r="H3386" s="555">
        <v>10</v>
      </c>
      <c r="I3386" s="555">
        <v>0</v>
      </c>
      <c r="J3386" s="555">
        <v>2</v>
      </c>
      <c r="K3386" s="527">
        <f t="shared" si="1972"/>
        <v>0.0367496937525521</v>
      </c>
      <c r="L3386" s="528">
        <f t="shared" si="1973"/>
        <v>2.38095238095238</v>
      </c>
      <c r="M3386" s="528">
        <f t="shared" si="1974"/>
        <v>87.4992708394097</v>
      </c>
      <c r="N3386" s="528">
        <f t="shared" si="1975"/>
        <v>3.11733333333333</v>
      </c>
      <c r="O3386" s="528">
        <f t="shared" si="1976"/>
        <v>0.00158730158730159</v>
      </c>
      <c r="P3386" s="529">
        <f t="shared" si="1977"/>
        <v>150</v>
      </c>
      <c r="Q3386" s="24">
        <f t="shared" si="1978"/>
        <v>10</v>
      </c>
      <c r="R3386" s="530">
        <f t="shared" si="1979"/>
        <v>0.0158730158730159</v>
      </c>
    </row>
    <row r="3387" spans="1:18">
      <c r="A3387" s="524"/>
      <c r="B3387" s="540" t="s">
        <v>100</v>
      </c>
      <c r="C3387" s="552">
        <v>0</v>
      </c>
      <c r="D3387" s="553">
        <v>0</v>
      </c>
      <c r="E3387" s="553">
        <v>0</v>
      </c>
      <c r="F3387" s="551">
        <v>0</v>
      </c>
      <c r="G3387" s="551">
        <v>0</v>
      </c>
      <c r="H3387" s="551">
        <v>0</v>
      </c>
      <c r="I3387" s="551">
        <v>0</v>
      </c>
      <c r="J3387" s="551">
        <v>0</v>
      </c>
      <c r="K3387" s="527">
        <f t="shared" ref="K3387:K3450" si="1993">IF(E3387=0,0,E3387/D3387)</f>
        <v>0</v>
      </c>
      <c r="L3387" s="528">
        <f t="shared" ref="L3387:L3450" si="1994">IF(C3387=0,0,C3387/E3387)</f>
        <v>0</v>
      </c>
      <c r="M3387" s="528">
        <f t="shared" ref="M3387:M3450" si="1995">IF(D3387=0,0,C3387/D3387*1000)</f>
        <v>0</v>
      </c>
      <c r="N3387" s="528">
        <f t="shared" ref="N3387:N3450" si="1996">IF(G3387=0,0,G3387/C3387)</f>
        <v>0</v>
      </c>
      <c r="O3387" s="528">
        <f t="shared" ref="O3387:O3450" si="1997">IF(F3387=0,0,F3387/E3387)</f>
        <v>0</v>
      </c>
      <c r="P3387" s="529">
        <f t="shared" ref="P3387:P3450" si="1998">IF(H3387+I3387=0,0,C3387/(H3387+I3387))</f>
        <v>0</v>
      </c>
      <c r="Q3387" s="24">
        <f t="shared" ref="Q3387:Q3450" si="1999">H3387+I3387</f>
        <v>0</v>
      </c>
      <c r="R3387" s="530">
        <f t="shared" ref="R3387:R3450" si="2000">IF(Q3387=0,0,Q3387/E3387)</f>
        <v>0</v>
      </c>
    </row>
    <row r="3388" spans="1:18">
      <c r="A3388" s="524"/>
      <c r="B3388" s="540" t="s">
        <v>101</v>
      </c>
      <c r="C3388" s="552">
        <v>100</v>
      </c>
      <c r="D3388" s="553">
        <v>787</v>
      </c>
      <c r="E3388" s="551">
        <v>65</v>
      </c>
      <c r="F3388" s="551">
        <v>0</v>
      </c>
      <c r="G3388" s="551">
        <v>0</v>
      </c>
      <c r="H3388" s="551">
        <v>2</v>
      </c>
      <c r="I3388" s="551">
        <v>0</v>
      </c>
      <c r="J3388" s="551">
        <v>0</v>
      </c>
      <c r="K3388" s="527">
        <f t="shared" si="1993"/>
        <v>0.0825921219822109</v>
      </c>
      <c r="L3388" s="528">
        <f t="shared" si="1994"/>
        <v>1.53846153846154</v>
      </c>
      <c r="M3388" s="528">
        <f t="shared" si="1995"/>
        <v>127.064803049555</v>
      </c>
      <c r="N3388" s="528">
        <f t="shared" si="1996"/>
        <v>0</v>
      </c>
      <c r="O3388" s="528">
        <f t="shared" si="1997"/>
        <v>0</v>
      </c>
      <c r="P3388" s="529">
        <f t="shared" si="1998"/>
        <v>50</v>
      </c>
      <c r="Q3388" s="24">
        <f t="shared" si="1999"/>
        <v>2</v>
      </c>
      <c r="R3388" s="530">
        <f t="shared" si="2000"/>
        <v>0.0307692307692308</v>
      </c>
    </row>
    <row r="3389" spans="1:18">
      <c r="A3389" s="524"/>
      <c r="B3389" s="531" t="s">
        <v>96</v>
      </c>
      <c r="C3389" s="533">
        <f t="shared" ref="C3389:J3389" si="2001">SUM(C3385:C3388)</f>
        <v>2200</v>
      </c>
      <c r="D3389" s="533">
        <f t="shared" si="2001"/>
        <v>25406</v>
      </c>
      <c r="E3389" s="533">
        <f t="shared" si="2001"/>
        <v>994</v>
      </c>
      <c r="F3389" s="533">
        <f t="shared" si="2001"/>
        <v>4</v>
      </c>
      <c r="G3389" s="533">
        <f t="shared" si="2001"/>
        <v>31008</v>
      </c>
      <c r="H3389" s="533">
        <f t="shared" si="2001"/>
        <v>24</v>
      </c>
      <c r="I3389" s="533">
        <f t="shared" si="2001"/>
        <v>4</v>
      </c>
      <c r="J3389" s="533">
        <f t="shared" si="2001"/>
        <v>2</v>
      </c>
      <c r="K3389" s="534">
        <f t="shared" si="1993"/>
        <v>0.039124616232386</v>
      </c>
      <c r="L3389" s="535">
        <f t="shared" si="1994"/>
        <v>2.21327967806841</v>
      </c>
      <c r="M3389" s="535">
        <f t="shared" si="1995"/>
        <v>86.5937180193655</v>
      </c>
      <c r="N3389" s="535">
        <f t="shared" si="1996"/>
        <v>14.0945454545455</v>
      </c>
      <c r="O3389" s="535">
        <f t="shared" si="1997"/>
        <v>0.00402414486921529</v>
      </c>
      <c r="P3389" s="536">
        <f t="shared" si="1998"/>
        <v>78.5714285714286</v>
      </c>
      <c r="Q3389" s="531">
        <f t="shared" si="1999"/>
        <v>28</v>
      </c>
      <c r="R3389" s="537">
        <f t="shared" si="2000"/>
        <v>0.028169014084507</v>
      </c>
    </row>
    <row r="3390" spans="1:18">
      <c r="A3390" s="524">
        <v>46128</v>
      </c>
      <c r="B3390" s="540" t="s">
        <v>98</v>
      </c>
      <c r="C3390" s="551">
        <v>600</v>
      </c>
      <c r="D3390" s="553">
        <v>8019</v>
      </c>
      <c r="E3390" s="551">
        <v>362</v>
      </c>
      <c r="F3390" s="551">
        <v>5</v>
      </c>
      <c r="G3390" s="551">
        <v>116639.02</v>
      </c>
      <c r="H3390" s="551">
        <v>35</v>
      </c>
      <c r="I3390" s="551">
        <v>2</v>
      </c>
      <c r="J3390" s="551">
        <v>0</v>
      </c>
      <c r="K3390" s="527">
        <f t="shared" si="1993"/>
        <v>0.0451427858835266</v>
      </c>
      <c r="L3390" s="528">
        <f t="shared" si="1994"/>
        <v>1.65745856353591</v>
      </c>
      <c r="M3390" s="528">
        <f t="shared" si="1995"/>
        <v>74.8222970445193</v>
      </c>
      <c r="N3390" s="528">
        <f t="shared" si="1996"/>
        <v>194.398366666667</v>
      </c>
      <c r="O3390" s="528">
        <f t="shared" si="1997"/>
        <v>0.0138121546961326</v>
      </c>
      <c r="P3390" s="529">
        <f t="shared" si="1998"/>
        <v>16.2162162162162</v>
      </c>
      <c r="Q3390" s="24">
        <f t="shared" si="1999"/>
        <v>37</v>
      </c>
      <c r="R3390" s="530">
        <f t="shared" si="2000"/>
        <v>0.102209944751381</v>
      </c>
    </row>
    <row r="3391" spans="1:18">
      <c r="A3391" s="524"/>
      <c r="B3391" s="540" t="s">
        <v>99</v>
      </c>
      <c r="C3391" s="551">
        <v>0</v>
      </c>
      <c r="D3391" s="556">
        <v>0</v>
      </c>
      <c r="E3391" s="551">
        <v>0</v>
      </c>
      <c r="F3391" s="551">
        <v>0</v>
      </c>
      <c r="G3391" s="551">
        <v>0</v>
      </c>
      <c r="H3391" s="555">
        <v>0</v>
      </c>
      <c r="I3391" s="555">
        <v>0</v>
      </c>
      <c r="J3391" s="555">
        <v>0</v>
      </c>
      <c r="K3391" s="527">
        <f t="shared" si="1993"/>
        <v>0</v>
      </c>
      <c r="L3391" s="528">
        <f t="shared" si="1994"/>
        <v>0</v>
      </c>
      <c r="M3391" s="528">
        <f t="shared" si="1995"/>
        <v>0</v>
      </c>
      <c r="N3391" s="528">
        <f t="shared" si="1996"/>
        <v>0</v>
      </c>
      <c r="O3391" s="528">
        <f t="shared" si="1997"/>
        <v>0</v>
      </c>
      <c r="P3391" s="529">
        <f t="shared" si="1998"/>
        <v>0</v>
      </c>
      <c r="Q3391" s="24">
        <f t="shared" si="1999"/>
        <v>0</v>
      </c>
      <c r="R3391" s="530">
        <f t="shared" si="2000"/>
        <v>0</v>
      </c>
    </row>
    <row r="3392" spans="1:18">
      <c r="A3392" s="524"/>
      <c r="B3392" s="540" t="s">
        <v>100</v>
      </c>
      <c r="C3392" s="552">
        <v>0</v>
      </c>
      <c r="D3392" s="553">
        <v>0</v>
      </c>
      <c r="E3392" s="553">
        <v>0</v>
      </c>
      <c r="F3392" s="551">
        <v>0</v>
      </c>
      <c r="G3392" s="551">
        <v>0</v>
      </c>
      <c r="H3392" s="551">
        <v>0</v>
      </c>
      <c r="I3392" s="551">
        <v>0</v>
      </c>
      <c r="J3392" s="551">
        <v>0</v>
      </c>
      <c r="K3392" s="527">
        <f t="shared" si="1993"/>
        <v>0</v>
      </c>
      <c r="L3392" s="528">
        <f t="shared" si="1994"/>
        <v>0</v>
      </c>
      <c r="M3392" s="528">
        <f t="shared" si="1995"/>
        <v>0</v>
      </c>
      <c r="N3392" s="528">
        <f t="shared" si="1996"/>
        <v>0</v>
      </c>
      <c r="O3392" s="528">
        <f t="shared" si="1997"/>
        <v>0</v>
      </c>
      <c r="P3392" s="529">
        <f t="shared" si="1998"/>
        <v>0</v>
      </c>
      <c r="Q3392" s="24">
        <f t="shared" si="1999"/>
        <v>0</v>
      </c>
      <c r="R3392" s="530">
        <f t="shared" si="2000"/>
        <v>0</v>
      </c>
    </row>
    <row r="3393" spans="1:18">
      <c r="A3393" s="524"/>
      <c r="B3393" s="540" t="s">
        <v>101</v>
      </c>
      <c r="C3393" s="552">
        <v>81.58</v>
      </c>
      <c r="D3393" s="553">
        <v>1523</v>
      </c>
      <c r="E3393" s="551">
        <v>82</v>
      </c>
      <c r="F3393" s="551">
        <v>1</v>
      </c>
      <c r="G3393" s="551">
        <v>3760</v>
      </c>
      <c r="H3393" s="551">
        <v>1</v>
      </c>
      <c r="I3393" s="551">
        <v>0</v>
      </c>
      <c r="J3393" s="551">
        <v>0</v>
      </c>
      <c r="K3393" s="527">
        <f t="shared" si="1993"/>
        <v>0.0538411030860144</v>
      </c>
      <c r="L3393" s="528">
        <f t="shared" si="1994"/>
        <v>0.994878048780488</v>
      </c>
      <c r="M3393" s="528">
        <f t="shared" si="1995"/>
        <v>53.5653315824031</v>
      </c>
      <c r="N3393" s="528">
        <f t="shared" si="1996"/>
        <v>46.089727874479</v>
      </c>
      <c r="O3393" s="528">
        <f t="shared" si="1997"/>
        <v>0.0121951219512195</v>
      </c>
      <c r="P3393" s="529">
        <f t="shared" si="1998"/>
        <v>81.58</v>
      </c>
      <c r="Q3393" s="24">
        <f t="shared" si="1999"/>
        <v>1</v>
      </c>
      <c r="R3393" s="530">
        <f t="shared" si="2000"/>
        <v>0.0121951219512195</v>
      </c>
    </row>
    <row r="3394" spans="1:18">
      <c r="A3394" s="524"/>
      <c r="B3394" s="531" t="s">
        <v>96</v>
      </c>
      <c r="C3394" s="533">
        <f t="shared" ref="C3394:J3394" si="2002">SUM(C3390:C3393)</f>
        <v>681.58</v>
      </c>
      <c r="D3394" s="533">
        <f t="shared" si="2002"/>
        <v>9542</v>
      </c>
      <c r="E3394" s="533">
        <f t="shared" si="2002"/>
        <v>444</v>
      </c>
      <c r="F3394" s="533">
        <f t="shared" si="2002"/>
        <v>6</v>
      </c>
      <c r="G3394" s="533">
        <f t="shared" si="2002"/>
        <v>120399.02</v>
      </c>
      <c r="H3394" s="533">
        <f t="shared" si="2002"/>
        <v>36</v>
      </c>
      <c r="I3394" s="533">
        <f t="shared" si="2002"/>
        <v>2</v>
      </c>
      <c r="J3394" s="533">
        <f t="shared" si="2002"/>
        <v>0</v>
      </c>
      <c r="K3394" s="534">
        <f t="shared" si="1993"/>
        <v>0.0465311255501991</v>
      </c>
      <c r="L3394" s="535">
        <f t="shared" si="1994"/>
        <v>1.53509009009009</v>
      </c>
      <c r="M3394" s="535">
        <f t="shared" si="1995"/>
        <v>71.4294697128485</v>
      </c>
      <c r="N3394" s="535">
        <f t="shared" si="1996"/>
        <v>176.646937997007</v>
      </c>
      <c r="O3394" s="535">
        <f t="shared" si="1997"/>
        <v>0.0135135135135135</v>
      </c>
      <c r="P3394" s="536">
        <f t="shared" si="1998"/>
        <v>17.9363157894737</v>
      </c>
      <c r="Q3394" s="531">
        <f t="shared" si="1999"/>
        <v>38</v>
      </c>
      <c r="R3394" s="537">
        <f t="shared" si="2000"/>
        <v>0.0855855855855856</v>
      </c>
    </row>
    <row r="3395" spans="1:18">
      <c r="A3395" s="524">
        <v>46129</v>
      </c>
      <c r="B3395" s="540" t="s">
        <v>98</v>
      </c>
      <c r="C3395" s="551">
        <v>598.66</v>
      </c>
      <c r="D3395" s="553">
        <v>9480</v>
      </c>
      <c r="E3395" s="551">
        <v>330</v>
      </c>
      <c r="F3395" s="551">
        <v>0</v>
      </c>
      <c r="G3395" s="551">
        <v>0</v>
      </c>
      <c r="H3395" s="551">
        <v>9</v>
      </c>
      <c r="I3395" s="551">
        <v>5</v>
      </c>
      <c r="J3395" s="551">
        <v>0</v>
      </c>
      <c r="K3395" s="527">
        <f t="shared" si="1993"/>
        <v>0.0348101265822785</v>
      </c>
      <c r="L3395" s="528">
        <f t="shared" si="1994"/>
        <v>1.81412121212121</v>
      </c>
      <c r="M3395" s="528">
        <f t="shared" si="1995"/>
        <v>63.1497890295359</v>
      </c>
      <c r="N3395" s="528">
        <f t="shared" si="1996"/>
        <v>0</v>
      </c>
      <c r="O3395" s="528">
        <f t="shared" si="1997"/>
        <v>0</v>
      </c>
      <c r="P3395" s="529">
        <f t="shared" si="1998"/>
        <v>42.7614285714286</v>
      </c>
      <c r="Q3395" s="24">
        <f t="shared" si="1999"/>
        <v>14</v>
      </c>
      <c r="R3395" s="530">
        <f t="shared" si="2000"/>
        <v>0.0424242424242424</v>
      </c>
    </row>
    <row r="3396" spans="1:18">
      <c r="A3396" s="524"/>
      <c r="B3396" s="540" t="s">
        <v>99</v>
      </c>
      <c r="C3396" s="551">
        <v>1500</v>
      </c>
      <c r="D3396" s="556">
        <v>21145</v>
      </c>
      <c r="E3396" s="551">
        <v>618</v>
      </c>
      <c r="F3396" s="551">
        <v>1</v>
      </c>
      <c r="G3396" s="551">
        <v>21714</v>
      </c>
      <c r="H3396" s="555">
        <v>28</v>
      </c>
      <c r="I3396" s="555">
        <v>0</v>
      </c>
      <c r="J3396" s="555">
        <v>0</v>
      </c>
      <c r="K3396" s="527">
        <f t="shared" si="1993"/>
        <v>0.0292267675573422</v>
      </c>
      <c r="L3396" s="528">
        <f t="shared" si="1994"/>
        <v>2.42718446601942</v>
      </c>
      <c r="M3396" s="528">
        <f t="shared" si="1995"/>
        <v>70.9387562071412</v>
      </c>
      <c r="N3396" s="528">
        <f t="shared" si="1996"/>
        <v>14.476</v>
      </c>
      <c r="O3396" s="528">
        <f t="shared" si="1997"/>
        <v>0.00161812297734628</v>
      </c>
      <c r="P3396" s="529">
        <f t="shared" si="1998"/>
        <v>53.5714285714286</v>
      </c>
      <c r="Q3396" s="24">
        <f t="shared" si="1999"/>
        <v>28</v>
      </c>
      <c r="R3396" s="530">
        <f t="shared" si="2000"/>
        <v>0.0453074433656958</v>
      </c>
    </row>
    <row r="3397" spans="1:18">
      <c r="A3397" s="524"/>
      <c r="B3397" s="540" t="s">
        <v>100</v>
      </c>
      <c r="C3397" s="552">
        <v>0</v>
      </c>
      <c r="D3397" s="553">
        <v>0</v>
      </c>
      <c r="E3397" s="553">
        <v>0</v>
      </c>
      <c r="F3397" s="551">
        <v>0</v>
      </c>
      <c r="G3397" s="551">
        <v>0</v>
      </c>
      <c r="H3397" s="551">
        <v>0</v>
      </c>
      <c r="I3397" s="551">
        <v>0</v>
      </c>
      <c r="J3397" s="551">
        <v>0</v>
      </c>
      <c r="K3397" s="527">
        <f t="shared" si="1993"/>
        <v>0</v>
      </c>
      <c r="L3397" s="528">
        <f t="shared" si="1994"/>
        <v>0</v>
      </c>
      <c r="M3397" s="528">
        <f t="shared" si="1995"/>
        <v>0</v>
      </c>
      <c r="N3397" s="528">
        <f t="shared" si="1996"/>
        <v>0</v>
      </c>
      <c r="O3397" s="528">
        <f t="shared" si="1997"/>
        <v>0</v>
      </c>
      <c r="P3397" s="529">
        <f t="shared" si="1998"/>
        <v>0</v>
      </c>
      <c r="Q3397" s="24">
        <f t="shared" si="1999"/>
        <v>0</v>
      </c>
      <c r="R3397" s="530">
        <f t="shared" si="2000"/>
        <v>0</v>
      </c>
    </row>
    <row r="3398" spans="1:18">
      <c r="A3398" s="524"/>
      <c r="B3398" s="540" t="s">
        <v>101</v>
      </c>
      <c r="C3398" s="552">
        <v>0</v>
      </c>
      <c r="D3398" s="553">
        <v>0</v>
      </c>
      <c r="E3398" s="551">
        <v>0</v>
      </c>
      <c r="F3398" s="551">
        <v>0</v>
      </c>
      <c r="G3398" s="551">
        <v>0</v>
      </c>
      <c r="H3398" s="551">
        <v>0</v>
      </c>
      <c r="I3398" s="551">
        <v>0</v>
      </c>
      <c r="J3398" s="551">
        <v>0</v>
      </c>
      <c r="K3398" s="527">
        <f t="shared" si="1993"/>
        <v>0</v>
      </c>
      <c r="L3398" s="528">
        <f t="shared" si="1994"/>
        <v>0</v>
      </c>
      <c r="M3398" s="528">
        <f t="shared" si="1995"/>
        <v>0</v>
      </c>
      <c r="N3398" s="528">
        <f t="shared" si="1996"/>
        <v>0</v>
      </c>
      <c r="O3398" s="528">
        <f t="shared" si="1997"/>
        <v>0</v>
      </c>
      <c r="P3398" s="529">
        <f t="shared" si="1998"/>
        <v>0</v>
      </c>
      <c r="Q3398" s="24">
        <f t="shared" si="1999"/>
        <v>0</v>
      </c>
      <c r="R3398" s="530">
        <f t="shared" si="2000"/>
        <v>0</v>
      </c>
    </row>
    <row r="3399" spans="1:18">
      <c r="A3399" s="524"/>
      <c r="B3399" s="531" t="s">
        <v>96</v>
      </c>
      <c r="C3399" s="533">
        <f t="shared" ref="C3399:J3399" si="2003">SUM(C3395:C3398)</f>
        <v>2098.66</v>
      </c>
      <c r="D3399" s="533">
        <f t="shared" si="2003"/>
        <v>30625</v>
      </c>
      <c r="E3399" s="533">
        <f t="shared" si="2003"/>
        <v>948</v>
      </c>
      <c r="F3399" s="533">
        <f t="shared" si="2003"/>
        <v>1</v>
      </c>
      <c r="G3399" s="533">
        <f t="shared" si="2003"/>
        <v>21714</v>
      </c>
      <c r="H3399" s="533">
        <f t="shared" si="2003"/>
        <v>37</v>
      </c>
      <c r="I3399" s="533">
        <f t="shared" si="2003"/>
        <v>5</v>
      </c>
      <c r="J3399" s="533">
        <f t="shared" si="2003"/>
        <v>0</v>
      </c>
      <c r="K3399" s="534">
        <f t="shared" si="1993"/>
        <v>0.0309551020408163</v>
      </c>
      <c r="L3399" s="535">
        <f t="shared" si="1994"/>
        <v>2.21377637130802</v>
      </c>
      <c r="M3399" s="535">
        <f t="shared" si="1995"/>
        <v>68.5276734693877</v>
      </c>
      <c r="N3399" s="535">
        <f t="shared" si="1996"/>
        <v>10.3466021175417</v>
      </c>
      <c r="O3399" s="535">
        <f t="shared" si="1997"/>
        <v>0.00105485232067511</v>
      </c>
      <c r="P3399" s="536">
        <f t="shared" si="1998"/>
        <v>49.9680952380952</v>
      </c>
      <c r="Q3399" s="531">
        <f t="shared" si="1999"/>
        <v>42</v>
      </c>
      <c r="R3399" s="537">
        <f t="shared" si="2000"/>
        <v>0.0443037974683544</v>
      </c>
    </row>
    <row r="3400" spans="1:18">
      <c r="A3400" s="524">
        <v>46130</v>
      </c>
      <c r="B3400" s="540" t="s">
        <v>98</v>
      </c>
      <c r="C3400" s="551">
        <v>598.12</v>
      </c>
      <c r="D3400" s="553">
        <v>10554</v>
      </c>
      <c r="E3400" s="551">
        <v>396</v>
      </c>
      <c r="F3400" s="551">
        <v>1</v>
      </c>
      <c r="G3400" s="551">
        <v>8770</v>
      </c>
      <c r="H3400" s="551">
        <v>15</v>
      </c>
      <c r="I3400" s="551">
        <v>5</v>
      </c>
      <c r="J3400" s="551">
        <v>1</v>
      </c>
      <c r="K3400" s="527">
        <f t="shared" si="1993"/>
        <v>0.0375213189312109</v>
      </c>
      <c r="L3400" s="528">
        <f t="shared" si="1994"/>
        <v>1.51040404040404</v>
      </c>
      <c r="M3400" s="528">
        <f t="shared" si="1995"/>
        <v>56.6723517149896</v>
      </c>
      <c r="N3400" s="528">
        <f t="shared" si="1996"/>
        <v>14.6626095097974</v>
      </c>
      <c r="O3400" s="528">
        <f t="shared" si="1997"/>
        <v>0.00252525252525253</v>
      </c>
      <c r="P3400" s="529">
        <f t="shared" si="1998"/>
        <v>29.906</v>
      </c>
      <c r="Q3400" s="24">
        <f t="shared" si="1999"/>
        <v>20</v>
      </c>
      <c r="R3400" s="530">
        <f t="shared" si="2000"/>
        <v>0.0505050505050505</v>
      </c>
    </row>
    <row r="3401" spans="1:18">
      <c r="A3401" s="524"/>
      <c r="B3401" s="540" t="s">
        <v>99</v>
      </c>
      <c r="C3401" s="551">
        <v>1500</v>
      </c>
      <c r="D3401" s="556">
        <v>16511</v>
      </c>
      <c r="E3401" s="551">
        <v>680</v>
      </c>
      <c r="F3401" s="551">
        <v>2</v>
      </c>
      <c r="G3401" s="551">
        <v>18940</v>
      </c>
      <c r="H3401" s="555">
        <v>10</v>
      </c>
      <c r="I3401" s="555">
        <v>1</v>
      </c>
      <c r="J3401" s="555">
        <v>2</v>
      </c>
      <c r="K3401" s="527">
        <f t="shared" si="1993"/>
        <v>0.0411846647689419</v>
      </c>
      <c r="L3401" s="528">
        <f t="shared" si="1994"/>
        <v>2.20588235294118</v>
      </c>
      <c r="M3401" s="528">
        <f t="shared" si="1995"/>
        <v>90.8485252256072</v>
      </c>
      <c r="N3401" s="528">
        <f t="shared" si="1996"/>
        <v>12.6266666666667</v>
      </c>
      <c r="O3401" s="528">
        <f t="shared" si="1997"/>
        <v>0.00294117647058824</v>
      </c>
      <c r="P3401" s="529">
        <f t="shared" si="1998"/>
        <v>136.363636363636</v>
      </c>
      <c r="Q3401" s="24">
        <f t="shared" si="1999"/>
        <v>11</v>
      </c>
      <c r="R3401" s="530">
        <f t="shared" si="2000"/>
        <v>0.0161764705882353</v>
      </c>
    </row>
    <row r="3402" spans="1:18">
      <c r="A3402" s="524"/>
      <c r="B3402" s="540" t="s">
        <v>100</v>
      </c>
      <c r="C3402" s="552">
        <v>0</v>
      </c>
      <c r="D3402" s="553">
        <v>0</v>
      </c>
      <c r="E3402" s="553">
        <v>0</v>
      </c>
      <c r="F3402" s="551">
        <v>0</v>
      </c>
      <c r="G3402" s="551">
        <v>0</v>
      </c>
      <c r="H3402" s="551">
        <v>0</v>
      </c>
      <c r="I3402" s="551">
        <v>0</v>
      </c>
      <c r="J3402" s="551">
        <v>0</v>
      </c>
      <c r="K3402" s="527">
        <f t="shared" si="1993"/>
        <v>0</v>
      </c>
      <c r="L3402" s="528">
        <f t="shared" si="1994"/>
        <v>0</v>
      </c>
      <c r="M3402" s="528">
        <f t="shared" si="1995"/>
        <v>0</v>
      </c>
      <c r="N3402" s="528">
        <f t="shared" si="1996"/>
        <v>0</v>
      </c>
      <c r="O3402" s="528">
        <f t="shared" si="1997"/>
        <v>0</v>
      </c>
      <c r="P3402" s="529">
        <f t="shared" si="1998"/>
        <v>0</v>
      </c>
      <c r="Q3402" s="24">
        <f t="shared" si="1999"/>
        <v>0</v>
      </c>
      <c r="R3402" s="530">
        <f t="shared" si="2000"/>
        <v>0</v>
      </c>
    </row>
    <row r="3403" spans="1:18">
      <c r="A3403" s="524"/>
      <c r="B3403" s="540" t="s">
        <v>101</v>
      </c>
      <c r="C3403" s="552">
        <v>0</v>
      </c>
      <c r="D3403" s="553">
        <v>0</v>
      </c>
      <c r="E3403" s="551">
        <v>0</v>
      </c>
      <c r="F3403" s="551">
        <v>0</v>
      </c>
      <c r="G3403" s="551">
        <v>0</v>
      </c>
      <c r="H3403" s="551">
        <v>0</v>
      </c>
      <c r="I3403" s="551">
        <v>0</v>
      </c>
      <c r="J3403" s="551">
        <v>0</v>
      </c>
      <c r="K3403" s="527">
        <f t="shared" si="1993"/>
        <v>0</v>
      </c>
      <c r="L3403" s="528">
        <f t="shared" si="1994"/>
        <v>0</v>
      </c>
      <c r="M3403" s="528">
        <f t="shared" si="1995"/>
        <v>0</v>
      </c>
      <c r="N3403" s="528">
        <f t="shared" si="1996"/>
        <v>0</v>
      </c>
      <c r="O3403" s="528">
        <f t="shared" si="1997"/>
        <v>0</v>
      </c>
      <c r="P3403" s="529">
        <f t="shared" si="1998"/>
        <v>0</v>
      </c>
      <c r="Q3403" s="24">
        <f t="shared" si="1999"/>
        <v>0</v>
      </c>
      <c r="R3403" s="530">
        <f t="shared" si="2000"/>
        <v>0</v>
      </c>
    </row>
    <row r="3404" spans="1:18">
      <c r="A3404" s="524"/>
      <c r="B3404" s="531" t="s">
        <v>96</v>
      </c>
      <c r="C3404" s="533">
        <f t="shared" ref="C3404:J3404" si="2004">SUM(C3400:C3403)</f>
        <v>2098.12</v>
      </c>
      <c r="D3404" s="533">
        <f t="shared" si="2004"/>
        <v>27065</v>
      </c>
      <c r="E3404" s="533">
        <f t="shared" si="2004"/>
        <v>1076</v>
      </c>
      <c r="F3404" s="533">
        <f t="shared" si="2004"/>
        <v>3</v>
      </c>
      <c r="G3404" s="533">
        <f t="shared" si="2004"/>
        <v>27710</v>
      </c>
      <c r="H3404" s="533">
        <f t="shared" si="2004"/>
        <v>25</v>
      </c>
      <c r="I3404" s="533">
        <f t="shared" si="2004"/>
        <v>6</v>
      </c>
      <c r="J3404" s="533">
        <f t="shared" si="2004"/>
        <v>3</v>
      </c>
      <c r="K3404" s="534">
        <f t="shared" si="1993"/>
        <v>0.0397561426196194</v>
      </c>
      <c r="L3404" s="535">
        <f t="shared" si="1994"/>
        <v>1.94992565055762</v>
      </c>
      <c r="M3404" s="535">
        <f t="shared" si="1995"/>
        <v>77.521522261223</v>
      </c>
      <c r="N3404" s="535">
        <f t="shared" si="1996"/>
        <v>13.2070615598726</v>
      </c>
      <c r="O3404" s="535">
        <f t="shared" si="1997"/>
        <v>0.00278810408921933</v>
      </c>
      <c r="P3404" s="536">
        <f t="shared" si="1998"/>
        <v>67.6812903225806</v>
      </c>
      <c r="Q3404" s="531">
        <f t="shared" si="1999"/>
        <v>31</v>
      </c>
      <c r="R3404" s="537">
        <f t="shared" si="2000"/>
        <v>0.0288104089219331</v>
      </c>
    </row>
    <row r="3405" spans="1:18">
      <c r="A3405" s="524">
        <v>46131</v>
      </c>
      <c r="B3405" s="540" t="s">
        <v>98</v>
      </c>
      <c r="C3405" s="551">
        <v>600</v>
      </c>
      <c r="D3405" s="553">
        <v>10165</v>
      </c>
      <c r="E3405" s="551">
        <v>378</v>
      </c>
      <c r="F3405" s="551">
        <v>1</v>
      </c>
      <c r="G3405" s="551">
        <v>14134</v>
      </c>
      <c r="H3405" s="551">
        <v>14</v>
      </c>
      <c r="I3405" s="551">
        <v>1</v>
      </c>
      <c r="J3405" s="551">
        <v>1</v>
      </c>
      <c r="K3405" s="527">
        <f t="shared" si="1993"/>
        <v>0.0371864240039351</v>
      </c>
      <c r="L3405" s="528">
        <f t="shared" si="1994"/>
        <v>1.58730158730159</v>
      </c>
      <c r="M3405" s="528">
        <f t="shared" si="1995"/>
        <v>59.026069847516</v>
      </c>
      <c r="N3405" s="528">
        <f t="shared" si="1996"/>
        <v>23.5566666666667</v>
      </c>
      <c r="O3405" s="528">
        <f t="shared" si="1997"/>
        <v>0.00264550264550265</v>
      </c>
      <c r="P3405" s="529">
        <f t="shared" si="1998"/>
        <v>40</v>
      </c>
      <c r="Q3405" s="24">
        <f t="shared" si="1999"/>
        <v>15</v>
      </c>
      <c r="R3405" s="530">
        <f t="shared" si="2000"/>
        <v>0.0396825396825397</v>
      </c>
    </row>
    <row r="3406" spans="1:18">
      <c r="A3406" s="524"/>
      <c r="B3406" s="540" t="s">
        <v>99</v>
      </c>
      <c r="C3406" s="551">
        <v>1437.1</v>
      </c>
      <c r="D3406" s="556">
        <v>18564</v>
      </c>
      <c r="E3406" s="551">
        <v>539</v>
      </c>
      <c r="F3406" s="551">
        <v>0</v>
      </c>
      <c r="G3406" s="551">
        <v>0</v>
      </c>
      <c r="H3406" s="555">
        <v>24</v>
      </c>
      <c r="I3406" s="555">
        <v>1</v>
      </c>
      <c r="J3406" s="555">
        <v>2</v>
      </c>
      <c r="K3406" s="527">
        <f t="shared" si="1993"/>
        <v>0.0290346907993967</v>
      </c>
      <c r="L3406" s="528">
        <f t="shared" si="1994"/>
        <v>2.66623376623377</v>
      </c>
      <c r="M3406" s="528">
        <f t="shared" si="1995"/>
        <v>77.4132730015083</v>
      </c>
      <c r="N3406" s="528">
        <f t="shared" si="1996"/>
        <v>0</v>
      </c>
      <c r="O3406" s="528">
        <f t="shared" si="1997"/>
        <v>0</v>
      </c>
      <c r="P3406" s="529">
        <f t="shared" si="1998"/>
        <v>57.484</v>
      </c>
      <c r="Q3406" s="24">
        <f t="shared" si="1999"/>
        <v>25</v>
      </c>
      <c r="R3406" s="530">
        <f t="shared" si="2000"/>
        <v>0.0463821892393321</v>
      </c>
    </row>
    <row r="3407" spans="1:18">
      <c r="A3407" s="524"/>
      <c r="B3407" s="540" t="s">
        <v>100</v>
      </c>
      <c r="C3407" s="552">
        <v>0</v>
      </c>
      <c r="D3407" s="553">
        <v>0</v>
      </c>
      <c r="E3407" s="553">
        <v>0</v>
      </c>
      <c r="F3407" s="551">
        <v>0</v>
      </c>
      <c r="G3407" s="551">
        <v>0</v>
      </c>
      <c r="H3407" s="551">
        <v>0</v>
      </c>
      <c r="I3407" s="551">
        <v>0</v>
      </c>
      <c r="J3407" s="551">
        <v>0</v>
      </c>
      <c r="K3407" s="527">
        <f t="shared" si="1993"/>
        <v>0</v>
      </c>
      <c r="L3407" s="528">
        <f t="shared" si="1994"/>
        <v>0</v>
      </c>
      <c r="M3407" s="528">
        <f t="shared" si="1995"/>
        <v>0</v>
      </c>
      <c r="N3407" s="528">
        <f t="shared" si="1996"/>
        <v>0</v>
      </c>
      <c r="O3407" s="528">
        <f t="shared" si="1997"/>
        <v>0</v>
      </c>
      <c r="P3407" s="529">
        <f t="shared" si="1998"/>
        <v>0</v>
      </c>
      <c r="Q3407" s="24">
        <f t="shared" si="1999"/>
        <v>0</v>
      </c>
      <c r="R3407" s="530">
        <f t="shared" si="2000"/>
        <v>0</v>
      </c>
    </row>
    <row r="3408" spans="1:18">
      <c r="A3408" s="524"/>
      <c r="B3408" s="540" t="s">
        <v>101</v>
      </c>
      <c r="C3408" s="552">
        <v>0</v>
      </c>
      <c r="D3408" s="553">
        <v>0</v>
      </c>
      <c r="E3408" s="551">
        <v>0</v>
      </c>
      <c r="F3408" s="551">
        <v>0</v>
      </c>
      <c r="G3408" s="551">
        <v>0</v>
      </c>
      <c r="H3408" s="551">
        <v>0</v>
      </c>
      <c r="I3408" s="551">
        <v>0</v>
      </c>
      <c r="J3408" s="551">
        <v>0</v>
      </c>
      <c r="K3408" s="527">
        <f t="shared" si="1993"/>
        <v>0</v>
      </c>
      <c r="L3408" s="528">
        <f t="shared" si="1994"/>
        <v>0</v>
      </c>
      <c r="M3408" s="528">
        <f t="shared" si="1995"/>
        <v>0</v>
      </c>
      <c r="N3408" s="528">
        <f t="shared" si="1996"/>
        <v>0</v>
      </c>
      <c r="O3408" s="528">
        <f t="shared" si="1997"/>
        <v>0</v>
      </c>
      <c r="P3408" s="529">
        <f t="shared" si="1998"/>
        <v>0</v>
      </c>
      <c r="Q3408" s="24">
        <f t="shared" si="1999"/>
        <v>0</v>
      </c>
      <c r="R3408" s="530">
        <f t="shared" si="2000"/>
        <v>0</v>
      </c>
    </row>
    <row r="3409" spans="1:18">
      <c r="A3409" s="524"/>
      <c r="B3409" s="531" t="s">
        <v>96</v>
      </c>
      <c r="C3409" s="533">
        <f t="shared" ref="C3409:J3409" si="2005">SUM(C3405:C3408)</f>
        <v>2037.1</v>
      </c>
      <c r="D3409" s="533">
        <f t="shared" si="2005"/>
        <v>28729</v>
      </c>
      <c r="E3409" s="533">
        <f t="shared" si="2005"/>
        <v>917</v>
      </c>
      <c r="F3409" s="533">
        <f t="shared" si="2005"/>
        <v>1</v>
      </c>
      <c r="G3409" s="533">
        <f t="shared" si="2005"/>
        <v>14134</v>
      </c>
      <c r="H3409" s="533">
        <f t="shared" si="2005"/>
        <v>38</v>
      </c>
      <c r="I3409" s="533">
        <f t="shared" si="2005"/>
        <v>2</v>
      </c>
      <c r="J3409" s="533">
        <f t="shared" si="2005"/>
        <v>3</v>
      </c>
      <c r="K3409" s="534">
        <f t="shared" si="1993"/>
        <v>0.03191896689756</v>
      </c>
      <c r="L3409" s="535">
        <f t="shared" si="1994"/>
        <v>2.22148309705562</v>
      </c>
      <c r="M3409" s="535">
        <f t="shared" si="1995"/>
        <v>70.9074454384072</v>
      </c>
      <c r="N3409" s="535">
        <f t="shared" si="1996"/>
        <v>6.93829463452948</v>
      </c>
      <c r="O3409" s="535">
        <f t="shared" si="1997"/>
        <v>0.00109051254089422</v>
      </c>
      <c r="P3409" s="536">
        <f t="shared" si="1998"/>
        <v>50.9275</v>
      </c>
      <c r="Q3409" s="531">
        <f t="shared" si="1999"/>
        <v>40</v>
      </c>
      <c r="R3409" s="537">
        <f t="shared" si="2000"/>
        <v>0.0436205016357688</v>
      </c>
    </row>
    <row r="3410" spans="1:18">
      <c r="A3410" s="524">
        <v>46132</v>
      </c>
      <c r="B3410" s="540" t="s">
        <v>98</v>
      </c>
      <c r="C3410" s="551">
        <v>600</v>
      </c>
      <c r="D3410" s="553">
        <v>12855</v>
      </c>
      <c r="E3410" s="551">
        <v>369</v>
      </c>
      <c r="F3410" s="551">
        <v>0</v>
      </c>
      <c r="G3410" s="551">
        <v>0</v>
      </c>
      <c r="H3410" s="551">
        <v>9</v>
      </c>
      <c r="I3410" s="551">
        <v>2</v>
      </c>
      <c r="J3410" s="551">
        <v>1</v>
      </c>
      <c r="K3410" s="527">
        <f t="shared" si="1993"/>
        <v>0.0287047841306884</v>
      </c>
      <c r="L3410" s="528">
        <f t="shared" si="1994"/>
        <v>1.6260162601626</v>
      </c>
      <c r="M3410" s="528">
        <f t="shared" si="1995"/>
        <v>46.6744457409568</v>
      </c>
      <c r="N3410" s="528">
        <f t="shared" si="1996"/>
        <v>0</v>
      </c>
      <c r="O3410" s="528">
        <f t="shared" si="1997"/>
        <v>0</v>
      </c>
      <c r="P3410" s="529">
        <f t="shared" si="1998"/>
        <v>54.5454545454545</v>
      </c>
      <c r="Q3410" s="24">
        <f t="shared" si="1999"/>
        <v>11</v>
      </c>
      <c r="R3410" s="530">
        <f t="shared" si="2000"/>
        <v>0.029810298102981</v>
      </c>
    </row>
    <row r="3411" spans="1:18">
      <c r="A3411" s="524"/>
      <c r="B3411" s="540" t="s">
        <v>99</v>
      </c>
      <c r="C3411" s="551">
        <v>1500</v>
      </c>
      <c r="D3411" s="556">
        <v>25102</v>
      </c>
      <c r="E3411" s="551">
        <v>638</v>
      </c>
      <c r="F3411" s="551">
        <v>0</v>
      </c>
      <c r="G3411" s="551">
        <v>0</v>
      </c>
      <c r="H3411" s="555">
        <v>15</v>
      </c>
      <c r="I3411" s="555">
        <v>1</v>
      </c>
      <c r="J3411" s="555">
        <v>0</v>
      </c>
      <c r="K3411" s="527">
        <f t="shared" si="1993"/>
        <v>0.0254163014899211</v>
      </c>
      <c r="L3411" s="528">
        <f t="shared" si="1994"/>
        <v>2.35109717868339</v>
      </c>
      <c r="M3411" s="528">
        <f t="shared" si="1995"/>
        <v>59.7561947255199</v>
      </c>
      <c r="N3411" s="528">
        <f t="shared" si="1996"/>
        <v>0</v>
      </c>
      <c r="O3411" s="528">
        <f t="shared" si="1997"/>
        <v>0</v>
      </c>
      <c r="P3411" s="529">
        <f t="shared" si="1998"/>
        <v>93.75</v>
      </c>
      <c r="Q3411" s="24">
        <f t="shared" si="1999"/>
        <v>16</v>
      </c>
      <c r="R3411" s="530">
        <f t="shared" si="2000"/>
        <v>0.0250783699059561</v>
      </c>
    </row>
    <row r="3412" spans="1:18">
      <c r="A3412" s="524"/>
      <c r="B3412" s="540" t="s">
        <v>100</v>
      </c>
      <c r="C3412" s="552">
        <v>0</v>
      </c>
      <c r="D3412" s="553">
        <v>0</v>
      </c>
      <c r="E3412" s="553">
        <v>0</v>
      </c>
      <c r="F3412" s="551">
        <v>0</v>
      </c>
      <c r="G3412" s="551">
        <v>0</v>
      </c>
      <c r="H3412" s="551">
        <v>0</v>
      </c>
      <c r="I3412" s="551">
        <v>0</v>
      </c>
      <c r="J3412" s="551">
        <v>0</v>
      </c>
      <c r="K3412" s="527">
        <f t="shared" si="1993"/>
        <v>0</v>
      </c>
      <c r="L3412" s="528">
        <f t="shared" si="1994"/>
        <v>0</v>
      </c>
      <c r="M3412" s="528">
        <f t="shared" si="1995"/>
        <v>0</v>
      </c>
      <c r="N3412" s="528">
        <f t="shared" si="1996"/>
        <v>0</v>
      </c>
      <c r="O3412" s="528">
        <f t="shared" si="1997"/>
        <v>0</v>
      </c>
      <c r="P3412" s="529">
        <f t="shared" si="1998"/>
        <v>0</v>
      </c>
      <c r="Q3412" s="24">
        <f t="shared" si="1999"/>
        <v>0</v>
      </c>
      <c r="R3412" s="530">
        <f t="shared" si="2000"/>
        <v>0</v>
      </c>
    </row>
    <row r="3413" spans="1:18">
      <c r="A3413" s="524"/>
      <c r="B3413" s="540" t="s">
        <v>101</v>
      </c>
      <c r="C3413" s="552">
        <v>0</v>
      </c>
      <c r="D3413" s="553">
        <v>0</v>
      </c>
      <c r="E3413" s="551">
        <v>0</v>
      </c>
      <c r="F3413" s="551">
        <v>0</v>
      </c>
      <c r="G3413" s="551">
        <v>0</v>
      </c>
      <c r="H3413" s="551">
        <v>0</v>
      </c>
      <c r="I3413" s="551">
        <v>0</v>
      </c>
      <c r="J3413" s="551">
        <v>0</v>
      </c>
      <c r="K3413" s="527">
        <f t="shared" si="1993"/>
        <v>0</v>
      </c>
      <c r="L3413" s="528">
        <f t="shared" si="1994"/>
        <v>0</v>
      </c>
      <c r="M3413" s="528">
        <f t="shared" si="1995"/>
        <v>0</v>
      </c>
      <c r="N3413" s="528">
        <f t="shared" si="1996"/>
        <v>0</v>
      </c>
      <c r="O3413" s="528">
        <f t="shared" si="1997"/>
        <v>0</v>
      </c>
      <c r="P3413" s="529">
        <f t="shared" si="1998"/>
        <v>0</v>
      </c>
      <c r="Q3413" s="24">
        <f t="shared" si="1999"/>
        <v>0</v>
      </c>
      <c r="R3413" s="530">
        <f t="shared" si="2000"/>
        <v>0</v>
      </c>
    </row>
    <row r="3414" spans="1:18">
      <c r="A3414" s="524"/>
      <c r="B3414" s="531" t="s">
        <v>96</v>
      </c>
      <c r="C3414" s="533">
        <f t="shared" ref="C3414:J3414" si="2006">SUM(C3410:C3413)</f>
        <v>2100</v>
      </c>
      <c r="D3414" s="533">
        <f t="shared" si="2006"/>
        <v>37957</v>
      </c>
      <c r="E3414" s="533">
        <f t="shared" si="2006"/>
        <v>1007</v>
      </c>
      <c r="F3414" s="533">
        <f t="shared" si="2006"/>
        <v>0</v>
      </c>
      <c r="G3414" s="533">
        <f t="shared" si="2006"/>
        <v>0</v>
      </c>
      <c r="H3414" s="533">
        <f t="shared" si="2006"/>
        <v>24</v>
      </c>
      <c r="I3414" s="533">
        <f t="shared" si="2006"/>
        <v>3</v>
      </c>
      <c r="J3414" s="533">
        <f t="shared" si="2006"/>
        <v>1</v>
      </c>
      <c r="K3414" s="534">
        <f t="shared" si="1993"/>
        <v>0.0265300208130253</v>
      </c>
      <c r="L3414" s="535">
        <f t="shared" si="1994"/>
        <v>2.08540218470705</v>
      </c>
      <c r="M3414" s="535">
        <f t="shared" si="1995"/>
        <v>55.3257633638064</v>
      </c>
      <c r="N3414" s="535">
        <f t="shared" si="1996"/>
        <v>0</v>
      </c>
      <c r="O3414" s="535">
        <f t="shared" si="1997"/>
        <v>0</v>
      </c>
      <c r="P3414" s="536">
        <f t="shared" si="1998"/>
        <v>77.7777777777778</v>
      </c>
      <c r="Q3414" s="531">
        <f t="shared" si="1999"/>
        <v>27</v>
      </c>
      <c r="R3414" s="537">
        <f t="shared" si="2000"/>
        <v>0.0268123138033764</v>
      </c>
    </row>
    <row r="3415" spans="1:18">
      <c r="A3415" s="524">
        <v>46133</v>
      </c>
      <c r="B3415" s="540" t="s">
        <v>98</v>
      </c>
      <c r="C3415" s="551">
        <v>893.89</v>
      </c>
      <c r="D3415" s="553">
        <v>15765</v>
      </c>
      <c r="E3415" s="551">
        <v>497</v>
      </c>
      <c r="F3415" s="551">
        <v>0</v>
      </c>
      <c r="G3415" s="551">
        <v>0</v>
      </c>
      <c r="H3415" s="551">
        <v>8</v>
      </c>
      <c r="I3415" s="551">
        <v>1</v>
      </c>
      <c r="J3415" s="551">
        <v>1</v>
      </c>
      <c r="K3415" s="527">
        <f t="shared" si="1993"/>
        <v>0.0315255312400888</v>
      </c>
      <c r="L3415" s="528">
        <f t="shared" si="1994"/>
        <v>1.79857142857143</v>
      </c>
      <c r="M3415" s="528">
        <f t="shared" si="1995"/>
        <v>56.7009197589597</v>
      </c>
      <c r="N3415" s="528">
        <f t="shared" si="1996"/>
        <v>0</v>
      </c>
      <c r="O3415" s="528">
        <f t="shared" si="1997"/>
        <v>0</v>
      </c>
      <c r="P3415" s="529">
        <f t="shared" si="1998"/>
        <v>99.3211111111111</v>
      </c>
      <c r="Q3415" s="24">
        <f t="shared" si="1999"/>
        <v>9</v>
      </c>
      <c r="R3415" s="530">
        <f t="shared" si="2000"/>
        <v>0.0181086519114688</v>
      </c>
    </row>
    <row r="3416" spans="1:18">
      <c r="A3416" s="524"/>
      <c r="B3416" s="540" t="s">
        <v>99</v>
      </c>
      <c r="C3416" s="551">
        <v>0</v>
      </c>
      <c r="D3416" s="556">
        <v>0</v>
      </c>
      <c r="E3416" s="551">
        <v>0</v>
      </c>
      <c r="F3416" s="551">
        <v>0</v>
      </c>
      <c r="G3416" s="551">
        <v>0</v>
      </c>
      <c r="H3416" s="555">
        <v>0</v>
      </c>
      <c r="I3416" s="555">
        <v>0</v>
      </c>
      <c r="J3416" s="555">
        <v>0</v>
      </c>
      <c r="K3416" s="527">
        <f t="shared" si="1993"/>
        <v>0</v>
      </c>
      <c r="L3416" s="528">
        <f t="shared" si="1994"/>
        <v>0</v>
      </c>
      <c r="M3416" s="528">
        <f t="shared" si="1995"/>
        <v>0</v>
      </c>
      <c r="N3416" s="528">
        <f t="shared" si="1996"/>
        <v>0</v>
      </c>
      <c r="O3416" s="528">
        <f t="shared" si="1997"/>
        <v>0</v>
      </c>
      <c r="P3416" s="529">
        <f t="shared" si="1998"/>
        <v>0</v>
      </c>
      <c r="Q3416" s="24">
        <f t="shared" si="1999"/>
        <v>0</v>
      </c>
      <c r="R3416" s="530">
        <f t="shared" si="2000"/>
        <v>0</v>
      </c>
    </row>
    <row r="3417" spans="1:18">
      <c r="A3417" s="524"/>
      <c r="B3417" s="540" t="s">
        <v>100</v>
      </c>
      <c r="C3417" s="552">
        <v>0</v>
      </c>
      <c r="D3417" s="553">
        <v>0</v>
      </c>
      <c r="E3417" s="553">
        <v>0</v>
      </c>
      <c r="F3417" s="551">
        <v>0</v>
      </c>
      <c r="G3417" s="551">
        <v>0</v>
      </c>
      <c r="H3417" s="551">
        <v>0</v>
      </c>
      <c r="I3417" s="551">
        <v>0</v>
      </c>
      <c r="J3417" s="551">
        <v>0</v>
      </c>
      <c r="K3417" s="527">
        <f t="shared" si="1993"/>
        <v>0</v>
      </c>
      <c r="L3417" s="528">
        <f t="shared" si="1994"/>
        <v>0</v>
      </c>
      <c r="M3417" s="528">
        <f t="shared" si="1995"/>
        <v>0</v>
      </c>
      <c r="N3417" s="528">
        <f t="shared" si="1996"/>
        <v>0</v>
      </c>
      <c r="O3417" s="528">
        <f t="shared" si="1997"/>
        <v>0</v>
      </c>
      <c r="P3417" s="529">
        <f t="shared" si="1998"/>
        <v>0</v>
      </c>
      <c r="Q3417" s="24">
        <f t="shared" si="1999"/>
        <v>0</v>
      </c>
      <c r="R3417" s="530">
        <f t="shared" si="2000"/>
        <v>0</v>
      </c>
    </row>
    <row r="3418" spans="1:18">
      <c r="A3418" s="524"/>
      <c r="B3418" s="540" t="s">
        <v>101</v>
      </c>
      <c r="C3418" s="552">
        <v>0</v>
      </c>
      <c r="D3418" s="553">
        <v>0</v>
      </c>
      <c r="E3418" s="551">
        <v>0</v>
      </c>
      <c r="F3418" s="551">
        <v>0</v>
      </c>
      <c r="G3418" s="551">
        <v>0</v>
      </c>
      <c r="H3418" s="551">
        <v>0</v>
      </c>
      <c r="I3418" s="551">
        <v>0</v>
      </c>
      <c r="J3418" s="551">
        <v>0</v>
      </c>
      <c r="K3418" s="527">
        <f t="shared" si="1993"/>
        <v>0</v>
      </c>
      <c r="L3418" s="528">
        <f t="shared" si="1994"/>
        <v>0</v>
      </c>
      <c r="M3418" s="528">
        <f t="shared" si="1995"/>
        <v>0</v>
      </c>
      <c r="N3418" s="528">
        <f t="shared" si="1996"/>
        <v>0</v>
      </c>
      <c r="O3418" s="528">
        <f t="shared" si="1997"/>
        <v>0</v>
      </c>
      <c r="P3418" s="529">
        <f t="shared" si="1998"/>
        <v>0</v>
      </c>
      <c r="Q3418" s="24">
        <f t="shared" si="1999"/>
        <v>0</v>
      </c>
      <c r="R3418" s="530">
        <f t="shared" si="2000"/>
        <v>0</v>
      </c>
    </row>
    <row r="3419" spans="1:18">
      <c r="A3419" s="524"/>
      <c r="B3419" s="531" t="s">
        <v>96</v>
      </c>
      <c r="C3419" s="533">
        <f t="shared" ref="C3419:J3419" si="2007">SUM(C3415:C3418)</f>
        <v>893.89</v>
      </c>
      <c r="D3419" s="533">
        <f t="shared" si="2007"/>
        <v>15765</v>
      </c>
      <c r="E3419" s="533">
        <f t="shared" si="2007"/>
        <v>497</v>
      </c>
      <c r="F3419" s="533">
        <f t="shared" si="2007"/>
        <v>0</v>
      </c>
      <c r="G3419" s="533">
        <f t="shared" si="2007"/>
        <v>0</v>
      </c>
      <c r="H3419" s="533">
        <f t="shared" si="2007"/>
        <v>8</v>
      </c>
      <c r="I3419" s="533">
        <f t="shared" si="2007"/>
        <v>1</v>
      </c>
      <c r="J3419" s="533">
        <f t="shared" si="2007"/>
        <v>1</v>
      </c>
      <c r="K3419" s="534">
        <f t="shared" si="1993"/>
        <v>0.0315255312400888</v>
      </c>
      <c r="L3419" s="535">
        <f t="shared" si="1994"/>
        <v>1.79857142857143</v>
      </c>
      <c r="M3419" s="535">
        <f t="shared" si="1995"/>
        <v>56.7009197589597</v>
      </c>
      <c r="N3419" s="535">
        <f t="shared" si="1996"/>
        <v>0</v>
      </c>
      <c r="O3419" s="535">
        <f t="shared" si="1997"/>
        <v>0</v>
      </c>
      <c r="P3419" s="536">
        <f t="shared" si="1998"/>
        <v>99.3211111111111</v>
      </c>
      <c r="Q3419" s="531">
        <f t="shared" si="1999"/>
        <v>9</v>
      </c>
      <c r="R3419" s="537">
        <f t="shared" si="2000"/>
        <v>0.0181086519114688</v>
      </c>
    </row>
    <row r="3420" spans="1:18">
      <c r="A3420" s="524">
        <v>46134</v>
      </c>
      <c r="B3420" s="540" t="s">
        <v>98</v>
      </c>
      <c r="C3420" s="551">
        <v>900</v>
      </c>
      <c r="D3420" s="553">
        <v>7931</v>
      </c>
      <c r="E3420" s="551">
        <v>355</v>
      </c>
      <c r="F3420" s="551">
        <v>2</v>
      </c>
      <c r="G3420" s="551">
        <v>31803</v>
      </c>
      <c r="H3420" s="551">
        <v>13</v>
      </c>
      <c r="I3420" s="551">
        <v>0</v>
      </c>
      <c r="J3420" s="551">
        <v>0</v>
      </c>
      <c r="K3420" s="527">
        <f t="shared" si="1993"/>
        <v>0.0447610641785399</v>
      </c>
      <c r="L3420" s="528">
        <f t="shared" si="1994"/>
        <v>2.53521126760563</v>
      </c>
      <c r="M3420" s="528">
        <f t="shared" si="1995"/>
        <v>113.478754255453</v>
      </c>
      <c r="N3420" s="528">
        <f t="shared" si="1996"/>
        <v>35.3366666666667</v>
      </c>
      <c r="O3420" s="528">
        <f t="shared" si="1997"/>
        <v>0.00563380281690141</v>
      </c>
      <c r="P3420" s="529">
        <f t="shared" si="1998"/>
        <v>69.2307692307692</v>
      </c>
      <c r="Q3420" s="24">
        <f t="shared" si="1999"/>
        <v>13</v>
      </c>
      <c r="R3420" s="530">
        <f t="shared" si="2000"/>
        <v>0.0366197183098592</v>
      </c>
    </row>
    <row r="3421" spans="1:18">
      <c r="A3421" s="524"/>
      <c r="B3421" s="540" t="s">
        <v>99</v>
      </c>
      <c r="C3421" s="551">
        <v>0</v>
      </c>
      <c r="D3421" s="556">
        <v>0</v>
      </c>
      <c r="E3421" s="551">
        <v>0</v>
      </c>
      <c r="F3421" s="551">
        <v>0</v>
      </c>
      <c r="G3421" s="551">
        <v>0</v>
      </c>
      <c r="H3421" s="555">
        <v>0</v>
      </c>
      <c r="I3421" s="555">
        <v>0</v>
      </c>
      <c r="J3421" s="555">
        <v>0</v>
      </c>
      <c r="K3421" s="527">
        <f t="shared" si="1993"/>
        <v>0</v>
      </c>
      <c r="L3421" s="528">
        <f t="shared" si="1994"/>
        <v>0</v>
      </c>
      <c r="M3421" s="528">
        <f t="shared" si="1995"/>
        <v>0</v>
      </c>
      <c r="N3421" s="528">
        <f t="shared" si="1996"/>
        <v>0</v>
      </c>
      <c r="O3421" s="528">
        <f t="shared" si="1997"/>
        <v>0</v>
      </c>
      <c r="P3421" s="529">
        <f t="shared" si="1998"/>
        <v>0</v>
      </c>
      <c r="Q3421" s="24">
        <f t="shared" si="1999"/>
        <v>0</v>
      </c>
      <c r="R3421" s="530">
        <f t="shared" si="2000"/>
        <v>0</v>
      </c>
    </row>
    <row r="3422" spans="1:18">
      <c r="A3422" s="524"/>
      <c r="B3422" s="540" t="s">
        <v>100</v>
      </c>
      <c r="C3422" s="552">
        <v>0</v>
      </c>
      <c r="D3422" s="553">
        <v>0</v>
      </c>
      <c r="E3422" s="553">
        <v>0</v>
      </c>
      <c r="F3422" s="551">
        <v>0</v>
      </c>
      <c r="G3422" s="551">
        <v>0</v>
      </c>
      <c r="H3422" s="551">
        <v>0</v>
      </c>
      <c r="I3422" s="551">
        <v>0</v>
      </c>
      <c r="J3422" s="551">
        <v>0</v>
      </c>
      <c r="K3422" s="527">
        <f t="shared" si="1993"/>
        <v>0</v>
      </c>
      <c r="L3422" s="528">
        <f t="shared" si="1994"/>
        <v>0</v>
      </c>
      <c r="M3422" s="528">
        <f t="shared" si="1995"/>
        <v>0</v>
      </c>
      <c r="N3422" s="528">
        <f t="shared" si="1996"/>
        <v>0</v>
      </c>
      <c r="O3422" s="528">
        <f t="shared" si="1997"/>
        <v>0</v>
      </c>
      <c r="P3422" s="529">
        <f t="shared" si="1998"/>
        <v>0</v>
      </c>
      <c r="Q3422" s="24">
        <f t="shared" si="1999"/>
        <v>0</v>
      </c>
      <c r="R3422" s="530">
        <f t="shared" si="2000"/>
        <v>0</v>
      </c>
    </row>
    <row r="3423" spans="1:18">
      <c r="A3423" s="524"/>
      <c r="B3423" s="540" t="s">
        <v>101</v>
      </c>
      <c r="C3423" s="552">
        <v>0</v>
      </c>
      <c r="D3423" s="553">
        <v>0</v>
      </c>
      <c r="E3423" s="551">
        <v>0</v>
      </c>
      <c r="F3423" s="551">
        <v>0</v>
      </c>
      <c r="G3423" s="551">
        <v>0</v>
      </c>
      <c r="H3423" s="551">
        <v>0</v>
      </c>
      <c r="I3423" s="551">
        <v>0</v>
      </c>
      <c r="J3423" s="551">
        <v>0</v>
      </c>
      <c r="K3423" s="527">
        <f t="shared" si="1993"/>
        <v>0</v>
      </c>
      <c r="L3423" s="528">
        <f t="shared" si="1994"/>
        <v>0</v>
      </c>
      <c r="M3423" s="528">
        <f t="shared" si="1995"/>
        <v>0</v>
      </c>
      <c r="N3423" s="528">
        <f t="shared" si="1996"/>
        <v>0</v>
      </c>
      <c r="O3423" s="528">
        <f t="shared" si="1997"/>
        <v>0</v>
      </c>
      <c r="P3423" s="529">
        <f t="shared" si="1998"/>
        <v>0</v>
      </c>
      <c r="Q3423" s="24">
        <f t="shared" si="1999"/>
        <v>0</v>
      </c>
      <c r="R3423" s="530">
        <f t="shared" si="2000"/>
        <v>0</v>
      </c>
    </row>
    <row r="3424" spans="1:18">
      <c r="A3424" s="524"/>
      <c r="B3424" s="531" t="s">
        <v>96</v>
      </c>
      <c r="C3424" s="533">
        <f t="shared" ref="C3424:J3424" si="2008">SUM(C3420:C3423)</f>
        <v>900</v>
      </c>
      <c r="D3424" s="533">
        <f t="shared" si="2008"/>
        <v>7931</v>
      </c>
      <c r="E3424" s="533">
        <f t="shared" si="2008"/>
        <v>355</v>
      </c>
      <c r="F3424" s="533">
        <f t="shared" si="2008"/>
        <v>2</v>
      </c>
      <c r="G3424" s="533">
        <f t="shared" si="2008"/>
        <v>31803</v>
      </c>
      <c r="H3424" s="533">
        <f t="shared" si="2008"/>
        <v>13</v>
      </c>
      <c r="I3424" s="533">
        <f t="shared" si="2008"/>
        <v>0</v>
      </c>
      <c r="J3424" s="533">
        <f t="shared" si="2008"/>
        <v>0</v>
      </c>
      <c r="K3424" s="534">
        <f t="shared" si="1993"/>
        <v>0.0447610641785399</v>
      </c>
      <c r="L3424" s="535">
        <f t="shared" si="1994"/>
        <v>2.53521126760563</v>
      </c>
      <c r="M3424" s="535">
        <f t="shared" si="1995"/>
        <v>113.478754255453</v>
      </c>
      <c r="N3424" s="535">
        <f t="shared" si="1996"/>
        <v>35.3366666666667</v>
      </c>
      <c r="O3424" s="535">
        <f t="shared" si="1997"/>
        <v>0.00563380281690141</v>
      </c>
      <c r="P3424" s="536">
        <f t="shared" si="1998"/>
        <v>69.2307692307692</v>
      </c>
      <c r="Q3424" s="531">
        <f t="shared" si="1999"/>
        <v>13</v>
      </c>
      <c r="R3424" s="537">
        <f t="shared" si="2000"/>
        <v>0.0366197183098592</v>
      </c>
    </row>
    <row r="3425" spans="1:18">
      <c r="A3425" s="524">
        <v>46135</v>
      </c>
      <c r="B3425" s="540" t="s">
        <v>98</v>
      </c>
      <c r="C3425" s="551">
        <v>900</v>
      </c>
      <c r="D3425" s="553">
        <v>7513</v>
      </c>
      <c r="E3425" s="551">
        <v>408</v>
      </c>
      <c r="F3425" s="551">
        <v>0</v>
      </c>
      <c r="G3425" s="551">
        <v>0</v>
      </c>
      <c r="H3425" s="551">
        <v>7</v>
      </c>
      <c r="I3425" s="551">
        <v>5</v>
      </c>
      <c r="J3425" s="551">
        <v>2</v>
      </c>
      <c r="K3425" s="527">
        <f t="shared" si="1993"/>
        <v>0.0543058698256356</v>
      </c>
      <c r="L3425" s="528">
        <f t="shared" si="1994"/>
        <v>2.20588235294118</v>
      </c>
      <c r="M3425" s="528">
        <f t="shared" si="1995"/>
        <v>119.79235990949</v>
      </c>
      <c r="N3425" s="528">
        <f t="shared" si="1996"/>
        <v>0</v>
      </c>
      <c r="O3425" s="528">
        <f t="shared" si="1997"/>
        <v>0</v>
      </c>
      <c r="P3425" s="529">
        <f t="shared" si="1998"/>
        <v>75</v>
      </c>
      <c r="Q3425" s="24">
        <f t="shared" si="1999"/>
        <v>12</v>
      </c>
      <c r="R3425" s="530">
        <f t="shared" si="2000"/>
        <v>0.0294117647058824</v>
      </c>
    </row>
    <row r="3426" spans="1:18">
      <c r="A3426" s="524"/>
      <c r="B3426" s="540" t="s">
        <v>99</v>
      </c>
      <c r="C3426" s="551">
        <v>0</v>
      </c>
      <c r="D3426" s="556">
        <v>0</v>
      </c>
      <c r="E3426" s="551">
        <v>0</v>
      </c>
      <c r="F3426" s="551">
        <v>0</v>
      </c>
      <c r="G3426" s="551">
        <v>0</v>
      </c>
      <c r="H3426" s="555">
        <v>0</v>
      </c>
      <c r="I3426" s="555">
        <v>0</v>
      </c>
      <c r="J3426" s="555">
        <v>0</v>
      </c>
      <c r="K3426" s="527">
        <f t="shared" si="1993"/>
        <v>0</v>
      </c>
      <c r="L3426" s="528">
        <f t="shared" si="1994"/>
        <v>0</v>
      </c>
      <c r="M3426" s="528">
        <f t="shared" si="1995"/>
        <v>0</v>
      </c>
      <c r="N3426" s="528">
        <f t="shared" si="1996"/>
        <v>0</v>
      </c>
      <c r="O3426" s="528">
        <f t="shared" si="1997"/>
        <v>0</v>
      </c>
      <c r="P3426" s="529">
        <f t="shared" si="1998"/>
        <v>0</v>
      </c>
      <c r="Q3426" s="24">
        <f t="shared" si="1999"/>
        <v>0</v>
      </c>
      <c r="R3426" s="530">
        <f t="shared" si="2000"/>
        <v>0</v>
      </c>
    </row>
    <row r="3427" spans="1:18">
      <c r="A3427" s="524"/>
      <c r="B3427" s="540" t="s">
        <v>100</v>
      </c>
      <c r="C3427" s="552">
        <v>0</v>
      </c>
      <c r="D3427" s="553">
        <v>0</v>
      </c>
      <c r="E3427" s="553">
        <v>0</v>
      </c>
      <c r="F3427" s="551">
        <v>0</v>
      </c>
      <c r="G3427" s="551">
        <v>0</v>
      </c>
      <c r="H3427" s="551">
        <v>0</v>
      </c>
      <c r="I3427" s="551">
        <v>0</v>
      </c>
      <c r="J3427" s="551">
        <v>0</v>
      </c>
      <c r="K3427" s="527">
        <f t="shared" si="1993"/>
        <v>0</v>
      </c>
      <c r="L3427" s="528">
        <f t="shared" si="1994"/>
        <v>0</v>
      </c>
      <c r="M3427" s="528">
        <f t="shared" si="1995"/>
        <v>0</v>
      </c>
      <c r="N3427" s="528">
        <f t="shared" si="1996"/>
        <v>0</v>
      </c>
      <c r="O3427" s="528">
        <f t="shared" si="1997"/>
        <v>0</v>
      </c>
      <c r="P3427" s="529">
        <f t="shared" si="1998"/>
        <v>0</v>
      </c>
      <c r="Q3427" s="24">
        <f t="shared" si="1999"/>
        <v>0</v>
      </c>
      <c r="R3427" s="530">
        <f t="shared" si="2000"/>
        <v>0</v>
      </c>
    </row>
    <row r="3428" spans="1:18">
      <c r="A3428" s="524"/>
      <c r="B3428" s="540" t="s">
        <v>101</v>
      </c>
      <c r="C3428" s="552">
        <v>0</v>
      </c>
      <c r="D3428" s="553">
        <v>0</v>
      </c>
      <c r="E3428" s="551">
        <v>0</v>
      </c>
      <c r="F3428" s="551">
        <v>0</v>
      </c>
      <c r="G3428" s="551">
        <v>0</v>
      </c>
      <c r="H3428" s="551">
        <v>0</v>
      </c>
      <c r="I3428" s="551">
        <v>0</v>
      </c>
      <c r="J3428" s="551">
        <v>0</v>
      </c>
      <c r="K3428" s="527">
        <f t="shared" si="1993"/>
        <v>0</v>
      </c>
      <c r="L3428" s="528">
        <f t="shared" si="1994"/>
        <v>0</v>
      </c>
      <c r="M3428" s="528">
        <f t="shared" si="1995"/>
        <v>0</v>
      </c>
      <c r="N3428" s="528">
        <f t="shared" si="1996"/>
        <v>0</v>
      </c>
      <c r="O3428" s="528">
        <f t="shared" si="1997"/>
        <v>0</v>
      </c>
      <c r="P3428" s="529">
        <f t="shared" si="1998"/>
        <v>0</v>
      </c>
      <c r="Q3428" s="24">
        <f t="shared" si="1999"/>
        <v>0</v>
      </c>
      <c r="R3428" s="530">
        <f t="shared" si="2000"/>
        <v>0</v>
      </c>
    </row>
    <row r="3429" spans="1:18">
      <c r="A3429" s="524"/>
      <c r="B3429" s="531" t="s">
        <v>96</v>
      </c>
      <c r="C3429" s="533">
        <f t="shared" ref="C3429:J3429" si="2009">SUM(C3425:C3428)</f>
        <v>900</v>
      </c>
      <c r="D3429" s="533">
        <f t="shared" si="2009"/>
        <v>7513</v>
      </c>
      <c r="E3429" s="533">
        <f t="shared" si="2009"/>
        <v>408</v>
      </c>
      <c r="F3429" s="533">
        <f t="shared" si="2009"/>
        <v>0</v>
      </c>
      <c r="G3429" s="533">
        <f t="shared" si="2009"/>
        <v>0</v>
      </c>
      <c r="H3429" s="533">
        <f t="shared" si="2009"/>
        <v>7</v>
      </c>
      <c r="I3429" s="533">
        <f t="shared" si="2009"/>
        <v>5</v>
      </c>
      <c r="J3429" s="533">
        <f t="shared" si="2009"/>
        <v>2</v>
      </c>
      <c r="K3429" s="534">
        <f t="shared" si="1993"/>
        <v>0.0543058698256356</v>
      </c>
      <c r="L3429" s="535">
        <f t="shared" si="1994"/>
        <v>2.20588235294118</v>
      </c>
      <c r="M3429" s="535">
        <f t="shared" si="1995"/>
        <v>119.79235990949</v>
      </c>
      <c r="N3429" s="535">
        <f t="shared" si="1996"/>
        <v>0</v>
      </c>
      <c r="O3429" s="535">
        <f t="shared" si="1997"/>
        <v>0</v>
      </c>
      <c r="P3429" s="536">
        <f t="shared" si="1998"/>
        <v>75</v>
      </c>
      <c r="Q3429" s="531">
        <f t="shared" si="1999"/>
        <v>12</v>
      </c>
      <c r="R3429" s="537">
        <f t="shared" si="2000"/>
        <v>0.0294117647058824</v>
      </c>
    </row>
    <row r="3430" spans="1:18">
      <c r="A3430" s="524">
        <v>46136</v>
      </c>
      <c r="B3430" s="540" t="s">
        <v>98</v>
      </c>
      <c r="C3430" s="551">
        <v>900</v>
      </c>
      <c r="D3430" s="553">
        <v>11305</v>
      </c>
      <c r="E3430" s="551">
        <v>411</v>
      </c>
      <c r="F3430" s="551">
        <v>2</v>
      </c>
      <c r="G3430" s="551">
        <v>22271</v>
      </c>
      <c r="H3430" s="551">
        <v>7</v>
      </c>
      <c r="I3430" s="551">
        <v>1</v>
      </c>
      <c r="J3430" s="551">
        <v>1</v>
      </c>
      <c r="K3430" s="527">
        <f t="shared" si="1993"/>
        <v>0.0363555948695268</v>
      </c>
      <c r="L3430" s="528">
        <f t="shared" si="1994"/>
        <v>2.18978102189781</v>
      </c>
      <c r="M3430" s="528">
        <f t="shared" si="1995"/>
        <v>79.6107916850951</v>
      </c>
      <c r="N3430" s="528">
        <f t="shared" si="1996"/>
        <v>24.7455555555556</v>
      </c>
      <c r="O3430" s="528">
        <f t="shared" si="1997"/>
        <v>0.0048661800486618</v>
      </c>
      <c r="P3430" s="529">
        <f t="shared" si="1998"/>
        <v>112.5</v>
      </c>
      <c r="Q3430" s="24">
        <f t="shared" si="1999"/>
        <v>8</v>
      </c>
      <c r="R3430" s="530">
        <f t="shared" si="2000"/>
        <v>0.0194647201946472</v>
      </c>
    </row>
    <row r="3431" spans="1:18">
      <c r="A3431" s="524"/>
      <c r="B3431" s="540" t="s">
        <v>99</v>
      </c>
      <c r="C3431" s="551">
        <v>1473.06</v>
      </c>
      <c r="D3431" s="556">
        <v>16538</v>
      </c>
      <c r="E3431" s="551">
        <v>684</v>
      </c>
      <c r="F3431" s="551">
        <v>0</v>
      </c>
      <c r="G3431" s="551">
        <v>0</v>
      </c>
      <c r="H3431" s="555">
        <v>8</v>
      </c>
      <c r="I3431" s="555">
        <v>1</v>
      </c>
      <c r="J3431" s="555">
        <v>1</v>
      </c>
      <c r="K3431" s="527">
        <f t="shared" si="1993"/>
        <v>0.0413592937477325</v>
      </c>
      <c r="L3431" s="528">
        <f t="shared" si="1994"/>
        <v>2.15359649122807</v>
      </c>
      <c r="M3431" s="528">
        <f t="shared" si="1995"/>
        <v>89.0712298947878</v>
      </c>
      <c r="N3431" s="528">
        <f t="shared" si="1996"/>
        <v>0</v>
      </c>
      <c r="O3431" s="528">
        <f t="shared" si="1997"/>
        <v>0</v>
      </c>
      <c r="P3431" s="529">
        <f t="shared" si="1998"/>
        <v>163.673333333333</v>
      </c>
      <c r="Q3431" s="24">
        <f t="shared" si="1999"/>
        <v>9</v>
      </c>
      <c r="R3431" s="530">
        <f t="shared" si="2000"/>
        <v>0.0131578947368421</v>
      </c>
    </row>
    <row r="3432" spans="1:18">
      <c r="A3432" s="524"/>
      <c r="B3432" s="540" t="s">
        <v>100</v>
      </c>
      <c r="C3432" s="552">
        <v>0</v>
      </c>
      <c r="D3432" s="553">
        <v>0</v>
      </c>
      <c r="E3432" s="553">
        <v>0</v>
      </c>
      <c r="F3432" s="551">
        <v>0</v>
      </c>
      <c r="G3432" s="551">
        <v>0</v>
      </c>
      <c r="H3432" s="551">
        <v>0</v>
      </c>
      <c r="I3432" s="551">
        <v>0</v>
      </c>
      <c r="J3432" s="551">
        <v>0</v>
      </c>
      <c r="K3432" s="527">
        <f t="shared" si="1993"/>
        <v>0</v>
      </c>
      <c r="L3432" s="528">
        <f t="shared" si="1994"/>
        <v>0</v>
      </c>
      <c r="M3432" s="528">
        <f t="shared" si="1995"/>
        <v>0</v>
      </c>
      <c r="N3432" s="528">
        <f t="shared" si="1996"/>
        <v>0</v>
      </c>
      <c r="O3432" s="528">
        <f t="shared" si="1997"/>
        <v>0</v>
      </c>
      <c r="P3432" s="529">
        <f t="shared" si="1998"/>
        <v>0</v>
      </c>
      <c r="Q3432" s="24">
        <f t="shared" si="1999"/>
        <v>0</v>
      </c>
      <c r="R3432" s="530">
        <f t="shared" si="2000"/>
        <v>0</v>
      </c>
    </row>
    <row r="3433" spans="1:18">
      <c r="A3433" s="524"/>
      <c r="B3433" s="540" t="s">
        <v>101</v>
      </c>
      <c r="C3433" s="552">
        <v>0</v>
      </c>
      <c r="D3433" s="553">
        <v>0</v>
      </c>
      <c r="E3433" s="551">
        <v>0</v>
      </c>
      <c r="F3433" s="551">
        <v>0</v>
      </c>
      <c r="G3433" s="551">
        <v>0</v>
      </c>
      <c r="H3433" s="551">
        <v>0</v>
      </c>
      <c r="I3433" s="551">
        <v>0</v>
      </c>
      <c r="J3433" s="551">
        <v>0</v>
      </c>
      <c r="K3433" s="527">
        <f t="shared" si="1993"/>
        <v>0</v>
      </c>
      <c r="L3433" s="528">
        <f t="shared" si="1994"/>
        <v>0</v>
      </c>
      <c r="M3433" s="528">
        <f t="shared" si="1995"/>
        <v>0</v>
      </c>
      <c r="N3433" s="528">
        <f t="shared" si="1996"/>
        <v>0</v>
      </c>
      <c r="O3433" s="528">
        <f t="shared" si="1997"/>
        <v>0</v>
      </c>
      <c r="P3433" s="529">
        <f t="shared" si="1998"/>
        <v>0</v>
      </c>
      <c r="Q3433" s="24">
        <f t="shared" si="1999"/>
        <v>0</v>
      </c>
      <c r="R3433" s="530">
        <f t="shared" si="2000"/>
        <v>0</v>
      </c>
    </row>
    <row r="3434" spans="1:18">
      <c r="A3434" s="524"/>
      <c r="B3434" s="531" t="s">
        <v>96</v>
      </c>
      <c r="C3434" s="533">
        <f t="shared" ref="C3434:J3434" si="2010">SUM(C3430:C3433)</f>
        <v>2373.06</v>
      </c>
      <c r="D3434" s="533">
        <f t="shared" si="2010"/>
        <v>27843</v>
      </c>
      <c r="E3434" s="533">
        <f t="shared" si="2010"/>
        <v>1095</v>
      </c>
      <c r="F3434" s="533">
        <f t="shared" si="2010"/>
        <v>2</v>
      </c>
      <c r="G3434" s="533">
        <f t="shared" si="2010"/>
        <v>22271</v>
      </c>
      <c r="H3434" s="533">
        <f t="shared" si="2010"/>
        <v>15</v>
      </c>
      <c r="I3434" s="533">
        <f t="shared" si="2010"/>
        <v>2</v>
      </c>
      <c r="J3434" s="533">
        <f t="shared" si="2010"/>
        <v>2</v>
      </c>
      <c r="K3434" s="534">
        <f t="shared" si="1993"/>
        <v>0.0393276586574723</v>
      </c>
      <c r="L3434" s="535">
        <f t="shared" si="1994"/>
        <v>2.16717808219178</v>
      </c>
      <c r="M3434" s="535">
        <f t="shared" si="1995"/>
        <v>85.2300398663937</v>
      </c>
      <c r="N3434" s="535">
        <f t="shared" si="1996"/>
        <v>9.38492916319014</v>
      </c>
      <c r="O3434" s="535">
        <f t="shared" si="1997"/>
        <v>0.00182648401826484</v>
      </c>
      <c r="P3434" s="536">
        <f t="shared" si="1998"/>
        <v>139.591764705882</v>
      </c>
      <c r="Q3434" s="531">
        <f t="shared" si="1999"/>
        <v>17</v>
      </c>
      <c r="R3434" s="537">
        <f t="shared" si="2000"/>
        <v>0.0155251141552511</v>
      </c>
    </row>
    <row r="3435" spans="1:18">
      <c r="A3435" s="524">
        <v>46137</v>
      </c>
      <c r="B3435" s="540" t="s">
        <v>98</v>
      </c>
      <c r="C3435" s="551">
        <v>900</v>
      </c>
      <c r="D3435" s="553">
        <v>10981</v>
      </c>
      <c r="E3435" s="551">
        <v>423</v>
      </c>
      <c r="F3435" s="551">
        <v>1</v>
      </c>
      <c r="G3435" s="551">
        <v>8535</v>
      </c>
      <c r="H3435" s="551">
        <v>11</v>
      </c>
      <c r="I3435" s="551">
        <v>2</v>
      </c>
      <c r="J3435" s="551">
        <v>0</v>
      </c>
      <c r="K3435" s="527">
        <f t="shared" si="1993"/>
        <v>0.0385210818686823</v>
      </c>
      <c r="L3435" s="528">
        <f t="shared" si="1994"/>
        <v>2.12765957446808</v>
      </c>
      <c r="M3435" s="528">
        <f t="shared" si="1995"/>
        <v>81.9597486567708</v>
      </c>
      <c r="N3435" s="528">
        <f t="shared" si="1996"/>
        <v>9.48333333333333</v>
      </c>
      <c r="O3435" s="528">
        <f t="shared" si="1997"/>
        <v>0.00236406619385343</v>
      </c>
      <c r="P3435" s="529">
        <f t="shared" si="1998"/>
        <v>69.2307692307692</v>
      </c>
      <c r="Q3435" s="24">
        <f t="shared" si="1999"/>
        <v>13</v>
      </c>
      <c r="R3435" s="530">
        <f t="shared" si="2000"/>
        <v>0.0307328605200946</v>
      </c>
    </row>
    <row r="3436" spans="1:18">
      <c r="A3436" s="524"/>
      <c r="B3436" s="540" t="s">
        <v>99</v>
      </c>
      <c r="C3436" s="551">
        <v>1452.86</v>
      </c>
      <c r="D3436" s="556">
        <v>26686</v>
      </c>
      <c r="E3436" s="551">
        <v>837</v>
      </c>
      <c r="F3436" s="551">
        <v>0</v>
      </c>
      <c r="G3436" s="551">
        <v>0</v>
      </c>
      <c r="H3436" s="555">
        <v>8</v>
      </c>
      <c r="I3436" s="555">
        <v>0</v>
      </c>
      <c r="J3436" s="555">
        <v>2</v>
      </c>
      <c r="K3436" s="527">
        <f t="shared" si="1993"/>
        <v>0.0313647605486023</v>
      </c>
      <c r="L3436" s="528">
        <f t="shared" si="1994"/>
        <v>1.7357945041816</v>
      </c>
      <c r="M3436" s="528">
        <f t="shared" si="1995"/>
        <v>54.4427789852357</v>
      </c>
      <c r="N3436" s="528">
        <f t="shared" si="1996"/>
        <v>0</v>
      </c>
      <c r="O3436" s="528">
        <f t="shared" si="1997"/>
        <v>0</v>
      </c>
      <c r="P3436" s="529">
        <f t="shared" si="1998"/>
        <v>181.6075</v>
      </c>
      <c r="Q3436" s="24">
        <f t="shared" si="1999"/>
        <v>8</v>
      </c>
      <c r="R3436" s="530">
        <f t="shared" si="2000"/>
        <v>0.00955794504181601</v>
      </c>
    </row>
    <row r="3437" spans="1:18">
      <c r="A3437" s="524"/>
      <c r="B3437" s="540" t="s">
        <v>100</v>
      </c>
      <c r="C3437" s="552">
        <v>0</v>
      </c>
      <c r="D3437" s="553">
        <v>0</v>
      </c>
      <c r="E3437" s="553">
        <v>0</v>
      </c>
      <c r="F3437" s="551">
        <v>0</v>
      </c>
      <c r="G3437" s="551">
        <v>0</v>
      </c>
      <c r="H3437" s="551">
        <v>0</v>
      </c>
      <c r="I3437" s="551">
        <v>0</v>
      </c>
      <c r="J3437" s="551">
        <v>0</v>
      </c>
      <c r="K3437" s="527">
        <f t="shared" si="1993"/>
        <v>0</v>
      </c>
      <c r="L3437" s="528">
        <f t="shared" si="1994"/>
        <v>0</v>
      </c>
      <c r="M3437" s="528">
        <f t="shared" si="1995"/>
        <v>0</v>
      </c>
      <c r="N3437" s="528">
        <f t="shared" si="1996"/>
        <v>0</v>
      </c>
      <c r="O3437" s="528">
        <f t="shared" si="1997"/>
        <v>0</v>
      </c>
      <c r="P3437" s="529">
        <f t="shared" si="1998"/>
        <v>0</v>
      </c>
      <c r="Q3437" s="24">
        <f t="shared" si="1999"/>
        <v>0</v>
      </c>
      <c r="R3437" s="530">
        <f t="shared" si="2000"/>
        <v>0</v>
      </c>
    </row>
    <row r="3438" spans="1:18">
      <c r="A3438" s="524"/>
      <c r="B3438" s="540" t="s">
        <v>101</v>
      </c>
      <c r="C3438" s="552">
        <v>0</v>
      </c>
      <c r="D3438" s="553">
        <v>0</v>
      </c>
      <c r="E3438" s="551">
        <v>0</v>
      </c>
      <c r="F3438" s="551">
        <v>0</v>
      </c>
      <c r="G3438" s="551">
        <v>0</v>
      </c>
      <c r="H3438" s="551">
        <v>0</v>
      </c>
      <c r="I3438" s="551">
        <v>0</v>
      </c>
      <c r="J3438" s="551">
        <v>0</v>
      </c>
      <c r="K3438" s="527">
        <f t="shared" si="1993"/>
        <v>0</v>
      </c>
      <c r="L3438" s="528">
        <f t="shared" si="1994"/>
        <v>0</v>
      </c>
      <c r="M3438" s="528">
        <f t="shared" si="1995"/>
        <v>0</v>
      </c>
      <c r="N3438" s="528">
        <f t="shared" si="1996"/>
        <v>0</v>
      </c>
      <c r="O3438" s="528">
        <f t="shared" si="1997"/>
        <v>0</v>
      </c>
      <c r="P3438" s="529">
        <f t="shared" si="1998"/>
        <v>0</v>
      </c>
      <c r="Q3438" s="24">
        <f t="shared" si="1999"/>
        <v>0</v>
      </c>
      <c r="R3438" s="530">
        <f t="shared" si="2000"/>
        <v>0</v>
      </c>
    </row>
    <row r="3439" spans="1:18">
      <c r="A3439" s="524"/>
      <c r="B3439" s="531" t="s">
        <v>96</v>
      </c>
      <c r="C3439" s="533">
        <f t="shared" ref="C3439:J3439" si="2011">SUM(C3435:C3438)</f>
        <v>2352.86</v>
      </c>
      <c r="D3439" s="533">
        <f t="shared" si="2011"/>
        <v>37667</v>
      </c>
      <c r="E3439" s="533">
        <f t="shared" si="2011"/>
        <v>1260</v>
      </c>
      <c r="F3439" s="533">
        <f t="shared" si="2011"/>
        <v>1</v>
      </c>
      <c r="G3439" s="533">
        <f t="shared" si="2011"/>
        <v>8535</v>
      </c>
      <c r="H3439" s="533">
        <f t="shared" si="2011"/>
        <v>19</v>
      </c>
      <c r="I3439" s="533">
        <f t="shared" si="2011"/>
        <v>2</v>
      </c>
      <c r="J3439" s="533">
        <f t="shared" si="2011"/>
        <v>2</v>
      </c>
      <c r="K3439" s="534">
        <f t="shared" si="1993"/>
        <v>0.0334510314068017</v>
      </c>
      <c r="L3439" s="535">
        <f t="shared" si="1994"/>
        <v>1.86734920634921</v>
      </c>
      <c r="M3439" s="535">
        <f t="shared" si="1995"/>
        <v>62.4647569490536</v>
      </c>
      <c r="N3439" s="535">
        <f t="shared" si="1996"/>
        <v>3.62750014875513</v>
      </c>
      <c r="O3439" s="535">
        <f t="shared" si="1997"/>
        <v>0.000793650793650794</v>
      </c>
      <c r="P3439" s="536">
        <f t="shared" si="1998"/>
        <v>112.040952380952</v>
      </c>
      <c r="Q3439" s="531">
        <f t="shared" si="1999"/>
        <v>21</v>
      </c>
      <c r="R3439" s="537">
        <f t="shared" si="2000"/>
        <v>0.0166666666666667</v>
      </c>
    </row>
    <row r="3440" spans="1:18">
      <c r="A3440" s="524">
        <v>46138</v>
      </c>
      <c r="B3440" s="540" t="s">
        <v>98</v>
      </c>
      <c r="C3440" s="551">
        <v>900</v>
      </c>
      <c r="D3440" s="553">
        <v>11089</v>
      </c>
      <c r="E3440" s="551">
        <v>461</v>
      </c>
      <c r="F3440" s="551">
        <v>0</v>
      </c>
      <c r="G3440" s="551">
        <v>0</v>
      </c>
      <c r="H3440" s="551">
        <v>11</v>
      </c>
      <c r="I3440" s="551">
        <v>3</v>
      </c>
      <c r="J3440" s="551">
        <v>1</v>
      </c>
      <c r="K3440" s="527">
        <f t="shared" si="1993"/>
        <v>0.041572729732167</v>
      </c>
      <c r="L3440" s="528">
        <f t="shared" si="1994"/>
        <v>1.95227765726681</v>
      </c>
      <c r="M3440" s="528">
        <f t="shared" si="1995"/>
        <v>81.1615114077013</v>
      </c>
      <c r="N3440" s="528">
        <f t="shared" si="1996"/>
        <v>0</v>
      </c>
      <c r="O3440" s="528">
        <f t="shared" si="1997"/>
        <v>0</v>
      </c>
      <c r="P3440" s="529">
        <f t="shared" si="1998"/>
        <v>64.2857142857143</v>
      </c>
      <c r="Q3440" s="24">
        <f t="shared" si="1999"/>
        <v>14</v>
      </c>
      <c r="R3440" s="530">
        <f t="shared" si="2000"/>
        <v>0.0303687635574837</v>
      </c>
    </row>
    <row r="3441" spans="1:18">
      <c r="A3441" s="524"/>
      <c r="B3441" s="540" t="s">
        <v>99</v>
      </c>
      <c r="C3441" s="551">
        <v>1452.96</v>
      </c>
      <c r="D3441" s="556">
        <v>24570</v>
      </c>
      <c r="E3441" s="551">
        <v>558</v>
      </c>
      <c r="F3441" s="551">
        <v>0</v>
      </c>
      <c r="G3441" s="551">
        <v>0</v>
      </c>
      <c r="H3441" s="555">
        <v>4</v>
      </c>
      <c r="I3441" s="555">
        <v>2</v>
      </c>
      <c r="J3441" s="555">
        <v>1</v>
      </c>
      <c r="K3441" s="527">
        <f t="shared" si="1993"/>
        <v>0.0227106227106227</v>
      </c>
      <c r="L3441" s="528">
        <f t="shared" si="1994"/>
        <v>2.60387096774194</v>
      </c>
      <c r="M3441" s="528">
        <f t="shared" si="1995"/>
        <v>59.1355311355311</v>
      </c>
      <c r="N3441" s="528">
        <f t="shared" si="1996"/>
        <v>0</v>
      </c>
      <c r="O3441" s="528">
        <f t="shared" si="1997"/>
        <v>0</v>
      </c>
      <c r="P3441" s="529">
        <f t="shared" si="1998"/>
        <v>242.16</v>
      </c>
      <c r="Q3441" s="24">
        <f t="shared" si="1999"/>
        <v>6</v>
      </c>
      <c r="R3441" s="530">
        <f t="shared" si="2000"/>
        <v>0.010752688172043</v>
      </c>
    </row>
    <row r="3442" spans="1:18">
      <c r="A3442" s="524"/>
      <c r="B3442" s="540" t="s">
        <v>100</v>
      </c>
      <c r="C3442" s="552">
        <v>0</v>
      </c>
      <c r="D3442" s="553">
        <v>0</v>
      </c>
      <c r="E3442" s="553">
        <v>0</v>
      </c>
      <c r="F3442" s="551">
        <v>0</v>
      </c>
      <c r="G3442" s="551">
        <v>0</v>
      </c>
      <c r="H3442" s="551">
        <v>0</v>
      </c>
      <c r="I3442" s="551">
        <v>0</v>
      </c>
      <c r="J3442" s="551">
        <v>0</v>
      </c>
      <c r="K3442" s="527">
        <f t="shared" si="1993"/>
        <v>0</v>
      </c>
      <c r="L3442" s="528">
        <f t="shared" si="1994"/>
        <v>0</v>
      </c>
      <c r="M3442" s="528">
        <f t="shared" si="1995"/>
        <v>0</v>
      </c>
      <c r="N3442" s="528">
        <f t="shared" si="1996"/>
        <v>0</v>
      </c>
      <c r="O3442" s="528">
        <f t="shared" si="1997"/>
        <v>0</v>
      </c>
      <c r="P3442" s="529">
        <f t="shared" si="1998"/>
        <v>0</v>
      </c>
      <c r="Q3442" s="24">
        <f t="shared" si="1999"/>
        <v>0</v>
      </c>
      <c r="R3442" s="530">
        <f t="shared" si="2000"/>
        <v>0</v>
      </c>
    </row>
    <row r="3443" spans="1:18">
      <c r="A3443" s="524"/>
      <c r="B3443" s="540" t="s">
        <v>101</v>
      </c>
      <c r="C3443" s="552">
        <v>0</v>
      </c>
      <c r="D3443" s="553">
        <v>0</v>
      </c>
      <c r="E3443" s="551">
        <v>0</v>
      </c>
      <c r="F3443" s="551">
        <v>0</v>
      </c>
      <c r="G3443" s="551">
        <v>0</v>
      </c>
      <c r="H3443" s="551">
        <v>0</v>
      </c>
      <c r="I3443" s="551">
        <v>0</v>
      </c>
      <c r="J3443" s="551">
        <v>0</v>
      </c>
      <c r="K3443" s="527">
        <f t="shared" si="1993"/>
        <v>0</v>
      </c>
      <c r="L3443" s="528">
        <f t="shared" si="1994"/>
        <v>0</v>
      </c>
      <c r="M3443" s="528">
        <f t="shared" si="1995"/>
        <v>0</v>
      </c>
      <c r="N3443" s="528">
        <f t="shared" si="1996"/>
        <v>0</v>
      </c>
      <c r="O3443" s="528">
        <f t="shared" si="1997"/>
        <v>0</v>
      </c>
      <c r="P3443" s="529">
        <f t="shared" si="1998"/>
        <v>0</v>
      </c>
      <c r="Q3443" s="24">
        <f t="shared" si="1999"/>
        <v>0</v>
      </c>
      <c r="R3443" s="530">
        <f t="shared" si="2000"/>
        <v>0</v>
      </c>
    </row>
    <row r="3444" spans="1:18">
      <c r="A3444" s="524"/>
      <c r="B3444" s="531" t="s">
        <v>96</v>
      </c>
      <c r="C3444" s="533">
        <f t="shared" ref="C3444:J3444" si="2012">SUM(C3440:C3443)</f>
        <v>2352.96</v>
      </c>
      <c r="D3444" s="533">
        <f t="shared" si="2012"/>
        <v>35659</v>
      </c>
      <c r="E3444" s="533">
        <f t="shared" si="2012"/>
        <v>1019</v>
      </c>
      <c r="F3444" s="533">
        <f t="shared" si="2012"/>
        <v>0</v>
      </c>
      <c r="G3444" s="533">
        <f t="shared" si="2012"/>
        <v>0</v>
      </c>
      <c r="H3444" s="533">
        <f t="shared" si="2012"/>
        <v>15</v>
      </c>
      <c r="I3444" s="533">
        <f t="shared" si="2012"/>
        <v>5</v>
      </c>
      <c r="J3444" s="533">
        <f t="shared" si="2012"/>
        <v>2</v>
      </c>
      <c r="K3444" s="534">
        <f t="shared" si="1993"/>
        <v>0.0285762360133487</v>
      </c>
      <c r="L3444" s="535">
        <f t="shared" si="1994"/>
        <v>2.30908734052993</v>
      </c>
      <c r="M3444" s="535">
        <f t="shared" si="1995"/>
        <v>65.9850248184189</v>
      </c>
      <c r="N3444" s="535">
        <f t="shared" si="1996"/>
        <v>0</v>
      </c>
      <c r="O3444" s="535">
        <f t="shared" si="1997"/>
        <v>0</v>
      </c>
      <c r="P3444" s="536">
        <f t="shared" si="1998"/>
        <v>117.648</v>
      </c>
      <c r="Q3444" s="531">
        <f t="shared" si="1999"/>
        <v>20</v>
      </c>
      <c r="R3444" s="537">
        <f t="shared" si="2000"/>
        <v>0.0196270853778214</v>
      </c>
    </row>
    <row r="3445" spans="1:18">
      <c r="A3445" s="524">
        <v>46139</v>
      </c>
      <c r="B3445" s="540" t="s">
        <v>98</v>
      </c>
      <c r="C3445" s="551">
        <v>868.84</v>
      </c>
      <c r="D3445" s="553">
        <v>12363</v>
      </c>
      <c r="E3445" s="551">
        <v>457</v>
      </c>
      <c r="F3445" s="551">
        <v>0</v>
      </c>
      <c r="G3445" s="551">
        <v>0</v>
      </c>
      <c r="H3445" s="551">
        <v>17</v>
      </c>
      <c r="I3445" s="551">
        <v>3</v>
      </c>
      <c r="J3445" s="551">
        <v>0</v>
      </c>
      <c r="K3445" s="527">
        <f t="shared" si="1993"/>
        <v>0.0369651379115102</v>
      </c>
      <c r="L3445" s="528">
        <f t="shared" si="1994"/>
        <v>1.90118161925602</v>
      </c>
      <c r="M3445" s="528">
        <f t="shared" si="1995"/>
        <v>70.2774407506269</v>
      </c>
      <c r="N3445" s="528">
        <f t="shared" si="1996"/>
        <v>0</v>
      </c>
      <c r="O3445" s="528">
        <f t="shared" si="1997"/>
        <v>0</v>
      </c>
      <c r="P3445" s="529">
        <f t="shared" si="1998"/>
        <v>43.442</v>
      </c>
      <c r="Q3445" s="24">
        <f t="shared" si="1999"/>
        <v>20</v>
      </c>
      <c r="R3445" s="530">
        <f t="shared" si="2000"/>
        <v>0.0437636761487965</v>
      </c>
    </row>
    <row r="3446" spans="1:18">
      <c r="A3446" s="524"/>
      <c r="B3446" s="540" t="s">
        <v>99</v>
      </c>
      <c r="C3446" s="551">
        <v>1495.72</v>
      </c>
      <c r="D3446" s="556">
        <v>24765</v>
      </c>
      <c r="E3446" s="551">
        <v>501</v>
      </c>
      <c r="F3446" s="551">
        <v>1</v>
      </c>
      <c r="G3446" s="551">
        <v>9057</v>
      </c>
      <c r="H3446" s="555">
        <v>15</v>
      </c>
      <c r="I3446" s="555">
        <v>0</v>
      </c>
      <c r="J3446" s="555">
        <v>1</v>
      </c>
      <c r="K3446" s="527">
        <f t="shared" si="1993"/>
        <v>0.0202301635372502</v>
      </c>
      <c r="L3446" s="528">
        <f t="shared" si="1994"/>
        <v>2.98546906187625</v>
      </c>
      <c r="M3446" s="528">
        <f t="shared" si="1995"/>
        <v>60.3965273571573</v>
      </c>
      <c r="N3446" s="528">
        <f t="shared" si="1996"/>
        <v>6.05527772577755</v>
      </c>
      <c r="O3446" s="528">
        <f t="shared" si="1997"/>
        <v>0.00199600798403194</v>
      </c>
      <c r="P3446" s="529">
        <f t="shared" si="1998"/>
        <v>99.7146666666667</v>
      </c>
      <c r="Q3446" s="24">
        <f t="shared" si="1999"/>
        <v>15</v>
      </c>
      <c r="R3446" s="530">
        <f t="shared" si="2000"/>
        <v>0.029940119760479</v>
      </c>
    </row>
    <row r="3447" spans="1:18">
      <c r="A3447" s="524"/>
      <c r="B3447" s="540" t="s">
        <v>100</v>
      </c>
      <c r="C3447" s="552">
        <v>0</v>
      </c>
      <c r="D3447" s="553">
        <v>0</v>
      </c>
      <c r="E3447" s="553">
        <v>0</v>
      </c>
      <c r="F3447" s="551">
        <v>0</v>
      </c>
      <c r="G3447" s="551">
        <v>0</v>
      </c>
      <c r="H3447" s="551">
        <v>0</v>
      </c>
      <c r="I3447" s="551">
        <v>0</v>
      </c>
      <c r="J3447" s="551">
        <v>0</v>
      </c>
      <c r="K3447" s="527">
        <f t="shared" si="1993"/>
        <v>0</v>
      </c>
      <c r="L3447" s="528">
        <f t="shared" si="1994"/>
        <v>0</v>
      </c>
      <c r="M3447" s="528">
        <f t="shared" si="1995"/>
        <v>0</v>
      </c>
      <c r="N3447" s="528">
        <f t="shared" si="1996"/>
        <v>0</v>
      </c>
      <c r="O3447" s="528">
        <f t="shared" si="1997"/>
        <v>0</v>
      </c>
      <c r="P3447" s="529">
        <f t="shared" si="1998"/>
        <v>0</v>
      </c>
      <c r="Q3447" s="24">
        <f t="shared" si="1999"/>
        <v>0</v>
      </c>
      <c r="R3447" s="530">
        <f t="shared" si="2000"/>
        <v>0</v>
      </c>
    </row>
    <row r="3448" spans="1:18">
      <c r="A3448" s="524"/>
      <c r="B3448" s="540" t="s">
        <v>101</v>
      </c>
      <c r="C3448" s="552">
        <v>0</v>
      </c>
      <c r="D3448" s="553">
        <v>0</v>
      </c>
      <c r="E3448" s="551">
        <v>0</v>
      </c>
      <c r="F3448" s="551">
        <v>0</v>
      </c>
      <c r="G3448" s="551">
        <v>0</v>
      </c>
      <c r="H3448" s="551">
        <v>0</v>
      </c>
      <c r="I3448" s="551">
        <v>0</v>
      </c>
      <c r="J3448" s="551">
        <v>0</v>
      </c>
      <c r="K3448" s="527">
        <f t="shared" si="1993"/>
        <v>0</v>
      </c>
      <c r="L3448" s="528">
        <f t="shared" si="1994"/>
        <v>0</v>
      </c>
      <c r="M3448" s="528">
        <f t="shared" si="1995"/>
        <v>0</v>
      </c>
      <c r="N3448" s="528">
        <f t="shared" si="1996"/>
        <v>0</v>
      </c>
      <c r="O3448" s="528">
        <f t="shared" si="1997"/>
        <v>0</v>
      </c>
      <c r="P3448" s="529">
        <f t="shared" si="1998"/>
        <v>0</v>
      </c>
      <c r="Q3448" s="24">
        <f t="shared" si="1999"/>
        <v>0</v>
      </c>
      <c r="R3448" s="530">
        <f t="shared" si="2000"/>
        <v>0</v>
      </c>
    </row>
    <row r="3449" spans="1:18">
      <c r="A3449" s="524"/>
      <c r="B3449" s="531" t="s">
        <v>96</v>
      </c>
      <c r="C3449" s="533">
        <f t="shared" ref="C3449:J3449" si="2013">SUM(C3445:C3448)</f>
        <v>2364.56</v>
      </c>
      <c r="D3449" s="533">
        <f t="shared" si="2013"/>
        <v>37128</v>
      </c>
      <c r="E3449" s="533">
        <f t="shared" si="2013"/>
        <v>958</v>
      </c>
      <c r="F3449" s="533">
        <f t="shared" si="2013"/>
        <v>1</v>
      </c>
      <c r="G3449" s="533">
        <f t="shared" si="2013"/>
        <v>9057</v>
      </c>
      <c r="H3449" s="533">
        <f t="shared" si="2013"/>
        <v>32</v>
      </c>
      <c r="I3449" s="533">
        <f t="shared" si="2013"/>
        <v>3</v>
      </c>
      <c r="J3449" s="533">
        <f t="shared" si="2013"/>
        <v>1</v>
      </c>
      <c r="K3449" s="534">
        <f t="shared" si="1993"/>
        <v>0.0258026287438052</v>
      </c>
      <c r="L3449" s="535">
        <f t="shared" si="1994"/>
        <v>2.4682254697286</v>
      </c>
      <c r="M3449" s="535">
        <f t="shared" si="1995"/>
        <v>63.6867054514113</v>
      </c>
      <c r="N3449" s="535">
        <f t="shared" si="1996"/>
        <v>3.83031092465406</v>
      </c>
      <c r="O3449" s="535">
        <f t="shared" si="1997"/>
        <v>0.00104384133611691</v>
      </c>
      <c r="P3449" s="536">
        <f t="shared" si="1998"/>
        <v>67.5588571428571</v>
      </c>
      <c r="Q3449" s="531">
        <f t="shared" si="1999"/>
        <v>35</v>
      </c>
      <c r="R3449" s="537">
        <f t="shared" si="2000"/>
        <v>0.0365344467640919</v>
      </c>
    </row>
    <row r="3450" spans="1:18">
      <c r="A3450" s="524">
        <v>46140</v>
      </c>
      <c r="B3450" s="540" t="s">
        <v>98</v>
      </c>
      <c r="C3450" s="551">
        <v>900</v>
      </c>
      <c r="D3450" s="553">
        <v>12652</v>
      </c>
      <c r="E3450" s="551">
        <v>440</v>
      </c>
      <c r="F3450" s="551">
        <v>1</v>
      </c>
      <c r="G3450" s="551">
        <v>13397.01</v>
      </c>
      <c r="H3450" s="551">
        <v>11</v>
      </c>
      <c r="I3450" s="551">
        <v>1</v>
      </c>
      <c r="J3450" s="551">
        <v>0</v>
      </c>
      <c r="K3450" s="527">
        <f t="shared" si="1993"/>
        <v>0.0347771103382864</v>
      </c>
      <c r="L3450" s="528">
        <f t="shared" si="1994"/>
        <v>2.04545454545455</v>
      </c>
      <c r="M3450" s="528">
        <f t="shared" si="1995"/>
        <v>71.1349984192223</v>
      </c>
      <c r="N3450" s="528">
        <f t="shared" si="1996"/>
        <v>14.8855666666667</v>
      </c>
      <c r="O3450" s="528">
        <f t="shared" si="1997"/>
        <v>0.00227272727272727</v>
      </c>
      <c r="P3450" s="529">
        <f t="shared" si="1998"/>
        <v>75</v>
      </c>
      <c r="Q3450" s="24">
        <f t="shared" si="1999"/>
        <v>12</v>
      </c>
      <c r="R3450" s="530">
        <f t="shared" si="2000"/>
        <v>0.0272727272727273</v>
      </c>
    </row>
    <row r="3451" spans="1:18">
      <c r="A3451" s="524"/>
      <c r="B3451" s="540" t="s">
        <v>99</v>
      </c>
      <c r="C3451" s="551">
        <v>1500</v>
      </c>
      <c r="D3451" s="556">
        <v>23755</v>
      </c>
      <c r="E3451" s="551">
        <v>770</v>
      </c>
      <c r="F3451" s="551">
        <v>0</v>
      </c>
      <c r="G3451" s="551">
        <v>0</v>
      </c>
      <c r="H3451" s="555">
        <v>10</v>
      </c>
      <c r="I3451" s="555">
        <v>0</v>
      </c>
      <c r="J3451" s="555">
        <v>1</v>
      </c>
      <c r="K3451" s="527">
        <f t="shared" ref="K3451:K3504" si="2014">IF(E3451=0,0,E3451/D3451)</f>
        <v>0.0324142285834561</v>
      </c>
      <c r="L3451" s="528">
        <f t="shared" ref="L3451:L3504" si="2015">IF(C3451=0,0,C3451/E3451)</f>
        <v>1.94805194805195</v>
      </c>
      <c r="M3451" s="528">
        <f t="shared" ref="M3451:M3504" si="2016">IF(D3451=0,0,C3451/D3451*1000)</f>
        <v>63.1446011366028</v>
      </c>
      <c r="N3451" s="528">
        <f t="shared" ref="N3451:N3504" si="2017">IF(G3451=0,0,G3451/C3451)</f>
        <v>0</v>
      </c>
      <c r="O3451" s="528">
        <f t="shared" ref="O3451:O3504" si="2018">IF(F3451=0,0,F3451/E3451)</f>
        <v>0</v>
      </c>
      <c r="P3451" s="529">
        <f t="shared" ref="P3451:P3504" si="2019">IF(H3451+I3451=0,0,C3451/(H3451+I3451))</f>
        <v>150</v>
      </c>
      <c r="Q3451" s="24">
        <f t="shared" ref="Q3451:Q3504" si="2020">H3451+I3451</f>
        <v>10</v>
      </c>
      <c r="R3451" s="530">
        <f t="shared" ref="R3451:R3504" si="2021">IF(Q3451=0,0,Q3451/E3451)</f>
        <v>0.012987012987013</v>
      </c>
    </row>
    <row r="3452" spans="1:18">
      <c r="A3452" s="524"/>
      <c r="B3452" s="540" t="s">
        <v>100</v>
      </c>
      <c r="C3452" s="552">
        <v>0</v>
      </c>
      <c r="D3452" s="553">
        <v>0</v>
      </c>
      <c r="E3452" s="553">
        <v>0</v>
      </c>
      <c r="F3452" s="551">
        <v>0</v>
      </c>
      <c r="G3452" s="551">
        <v>0</v>
      </c>
      <c r="H3452" s="551">
        <v>0</v>
      </c>
      <c r="I3452" s="551">
        <v>0</v>
      </c>
      <c r="J3452" s="551">
        <v>0</v>
      </c>
      <c r="K3452" s="527">
        <f t="shared" si="2014"/>
        <v>0</v>
      </c>
      <c r="L3452" s="528">
        <f t="shared" si="2015"/>
        <v>0</v>
      </c>
      <c r="M3452" s="528">
        <f t="shared" si="2016"/>
        <v>0</v>
      </c>
      <c r="N3452" s="528">
        <f t="shared" si="2017"/>
        <v>0</v>
      </c>
      <c r="O3452" s="528">
        <f t="shared" si="2018"/>
        <v>0</v>
      </c>
      <c r="P3452" s="529">
        <f t="shared" si="2019"/>
        <v>0</v>
      </c>
      <c r="Q3452" s="24">
        <f t="shared" si="2020"/>
        <v>0</v>
      </c>
      <c r="R3452" s="530">
        <f t="shared" si="2021"/>
        <v>0</v>
      </c>
    </row>
    <row r="3453" spans="1:18">
      <c r="A3453" s="524"/>
      <c r="B3453" s="540" t="s">
        <v>101</v>
      </c>
      <c r="C3453" s="552">
        <v>0</v>
      </c>
      <c r="D3453" s="553">
        <v>0</v>
      </c>
      <c r="E3453" s="551">
        <v>0</v>
      </c>
      <c r="F3453" s="551">
        <v>0</v>
      </c>
      <c r="G3453" s="551">
        <v>0</v>
      </c>
      <c r="H3453" s="551">
        <v>0</v>
      </c>
      <c r="I3453" s="551">
        <v>0</v>
      </c>
      <c r="J3453" s="551">
        <v>0</v>
      </c>
      <c r="K3453" s="527">
        <f t="shared" si="2014"/>
        <v>0</v>
      </c>
      <c r="L3453" s="528">
        <f t="shared" si="2015"/>
        <v>0</v>
      </c>
      <c r="M3453" s="528">
        <f t="shared" si="2016"/>
        <v>0</v>
      </c>
      <c r="N3453" s="528">
        <f t="shared" si="2017"/>
        <v>0</v>
      </c>
      <c r="O3453" s="528">
        <f t="shared" si="2018"/>
        <v>0</v>
      </c>
      <c r="P3453" s="529">
        <f t="shared" si="2019"/>
        <v>0</v>
      </c>
      <c r="Q3453" s="24">
        <f t="shared" si="2020"/>
        <v>0</v>
      </c>
      <c r="R3453" s="530">
        <f t="shared" si="2021"/>
        <v>0</v>
      </c>
    </row>
    <row r="3454" spans="1:18">
      <c r="A3454" s="524"/>
      <c r="B3454" s="531" t="s">
        <v>96</v>
      </c>
      <c r="C3454" s="533">
        <f t="shared" ref="C3454:J3454" si="2022">SUM(C3450:C3453)</f>
        <v>2400</v>
      </c>
      <c r="D3454" s="533">
        <f t="shared" si="2022"/>
        <v>36407</v>
      </c>
      <c r="E3454" s="533">
        <f t="shared" si="2022"/>
        <v>1210</v>
      </c>
      <c r="F3454" s="533">
        <f t="shared" si="2022"/>
        <v>1</v>
      </c>
      <c r="G3454" s="533">
        <f t="shared" si="2022"/>
        <v>13397.01</v>
      </c>
      <c r="H3454" s="533">
        <f t="shared" si="2022"/>
        <v>21</v>
      </c>
      <c r="I3454" s="533">
        <f t="shared" si="2022"/>
        <v>1</v>
      </c>
      <c r="J3454" s="533">
        <f t="shared" si="2022"/>
        <v>1</v>
      </c>
      <c r="K3454" s="534">
        <f t="shared" si="2014"/>
        <v>0.0332353668250611</v>
      </c>
      <c r="L3454" s="535">
        <f t="shared" si="2015"/>
        <v>1.98347107438017</v>
      </c>
      <c r="M3454" s="535">
        <f t="shared" si="2016"/>
        <v>65.9213887439229</v>
      </c>
      <c r="N3454" s="535">
        <f t="shared" si="2017"/>
        <v>5.5820875</v>
      </c>
      <c r="O3454" s="535">
        <f t="shared" si="2018"/>
        <v>0.000826446280991736</v>
      </c>
      <c r="P3454" s="536">
        <f t="shared" si="2019"/>
        <v>109.090909090909</v>
      </c>
      <c r="Q3454" s="531">
        <f t="shared" si="2020"/>
        <v>22</v>
      </c>
      <c r="R3454" s="537">
        <f t="shared" si="2021"/>
        <v>0.0181818181818182</v>
      </c>
    </row>
    <row r="3455" spans="1:18">
      <c r="A3455" s="524">
        <v>46141</v>
      </c>
      <c r="B3455" s="540" t="s">
        <v>98</v>
      </c>
      <c r="C3455" s="551">
        <v>900</v>
      </c>
      <c r="D3455" s="553">
        <v>13116</v>
      </c>
      <c r="E3455" s="551">
        <v>470</v>
      </c>
      <c r="F3455" s="551">
        <v>0</v>
      </c>
      <c r="G3455" s="551">
        <v>0</v>
      </c>
      <c r="H3455" s="551">
        <v>8</v>
      </c>
      <c r="I3455" s="551">
        <v>3</v>
      </c>
      <c r="J3455" s="551">
        <v>0</v>
      </c>
      <c r="K3455" s="527">
        <f t="shared" si="2014"/>
        <v>0.0358340957609027</v>
      </c>
      <c r="L3455" s="528">
        <f t="shared" si="2015"/>
        <v>1.91489361702128</v>
      </c>
      <c r="M3455" s="528">
        <f t="shared" si="2016"/>
        <v>68.6184812442818</v>
      </c>
      <c r="N3455" s="528">
        <f t="shared" si="2017"/>
        <v>0</v>
      </c>
      <c r="O3455" s="528">
        <f t="shared" si="2018"/>
        <v>0</v>
      </c>
      <c r="P3455" s="529">
        <f t="shared" si="2019"/>
        <v>81.8181818181818</v>
      </c>
      <c r="Q3455" s="24">
        <f t="shared" si="2020"/>
        <v>11</v>
      </c>
      <c r="R3455" s="530">
        <f t="shared" si="2021"/>
        <v>0.0234042553191489</v>
      </c>
    </row>
    <row r="3456" spans="1:18">
      <c r="A3456" s="524"/>
      <c r="B3456" s="540" t="s">
        <v>99</v>
      </c>
      <c r="C3456" s="551">
        <v>1410.6</v>
      </c>
      <c r="D3456" s="556">
        <v>25460</v>
      </c>
      <c r="E3456" s="551">
        <v>605</v>
      </c>
      <c r="F3456" s="551">
        <v>1</v>
      </c>
      <c r="G3456" s="551">
        <v>11600</v>
      </c>
      <c r="H3456" s="555">
        <v>10</v>
      </c>
      <c r="I3456" s="555">
        <v>1</v>
      </c>
      <c r="J3456" s="555">
        <v>1</v>
      </c>
      <c r="K3456" s="527">
        <f t="shared" si="2014"/>
        <v>0.0237627651217596</v>
      </c>
      <c r="L3456" s="528">
        <f t="shared" si="2015"/>
        <v>2.33157024793388</v>
      </c>
      <c r="M3456" s="528">
        <f t="shared" si="2016"/>
        <v>55.4045561665357</v>
      </c>
      <c r="N3456" s="528">
        <f t="shared" si="2017"/>
        <v>8.22345101375301</v>
      </c>
      <c r="O3456" s="528">
        <f t="shared" si="2018"/>
        <v>0.00165289256198347</v>
      </c>
      <c r="P3456" s="529">
        <f t="shared" si="2019"/>
        <v>128.236363636364</v>
      </c>
      <c r="Q3456" s="24">
        <f t="shared" si="2020"/>
        <v>11</v>
      </c>
      <c r="R3456" s="530">
        <f t="shared" si="2021"/>
        <v>0.0181818181818182</v>
      </c>
    </row>
    <row r="3457" spans="1:18">
      <c r="A3457" s="524"/>
      <c r="B3457" s="540" t="s">
        <v>100</v>
      </c>
      <c r="C3457" s="552">
        <v>0</v>
      </c>
      <c r="D3457" s="553">
        <v>0</v>
      </c>
      <c r="E3457" s="553">
        <v>0</v>
      </c>
      <c r="F3457" s="551">
        <v>0</v>
      </c>
      <c r="G3457" s="551">
        <v>0</v>
      </c>
      <c r="H3457" s="551">
        <v>0</v>
      </c>
      <c r="I3457" s="551">
        <v>0</v>
      </c>
      <c r="J3457" s="551">
        <v>0</v>
      </c>
      <c r="K3457" s="527">
        <f t="shared" si="2014"/>
        <v>0</v>
      </c>
      <c r="L3457" s="528">
        <f t="shared" si="2015"/>
        <v>0</v>
      </c>
      <c r="M3457" s="528">
        <f t="shared" si="2016"/>
        <v>0</v>
      </c>
      <c r="N3457" s="528">
        <f t="shared" si="2017"/>
        <v>0</v>
      </c>
      <c r="O3457" s="528">
        <f t="shared" si="2018"/>
        <v>0</v>
      </c>
      <c r="P3457" s="529">
        <f t="shared" si="2019"/>
        <v>0</v>
      </c>
      <c r="Q3457" s="24">
        <f t="shared" si="2020"/>
        <v>0</v>
      </c>
      <c r="R3457" s="530">
        <f t="shared" si="2021"/>
        <v>0</v>
      </c>
    </row>
    <row r="3458" spans="1:18">
      <c r="A3458" s="524"/>
      <c r="B3458" s="540" t="s">
        <v>101</v>
      </c>
      <c r="C3458" s="552">
        <v>0</v>
      </c>
      <c r="D3458" s="553">
        <v>0</v>
      </c>
      <c r="E3458" s="551">
        <v>0</v>
      </c>
      <c r="F3458" s="551">
        <v>0</v>
      </c>
      <c r="G3458" s="551">
        <v>0</v>
      </c>
      <c r="H3458" s="551">
        <v>0</v>
      </c>
      <c r="I3458" s="551">
        <v>0</v>
      </c>
      <c r="J3458" s="551">
        <v>0</v>
      </c>
      <c r="K3458" s="527">
        <f t="shared" si="2014"/>
        <v>0</v>
      </c>
      <c r="L3458" s="528">
        <f t="shared" si="2015"/>
        <v>0</v>
      </c>
      <c r="M3458" s="528">
        <f t="shared" si="2016"/>
        <v>0</v>
      </c>
      <c r="N3458" s="528">
        <f t="shared" si="2017"/>
        <v>0</v>
      </c>
      <c r="O3458" s="528">
        <f t="shared" si="2018"/>
        <v>0</v>
      </c>
      <c r="P3458" s="529">
        <f t="shared" si="2019"/>
        <v>0</v>
      </c>
      <c r="Q3458" s="24">
        <f t="shared" si="2020"/>
        <v>0</v>
      </c>
      <c r="R3458" s="530">
        <f t="shared" si="2021"/>
        <v>0</v>
      </c>
    </row>
    <row r="3459" spans="1:18">
      <c r="A3459" s="524"/>
      <c r="B3459" s="531" t="s">
        <v>96</v>
      </c>
      <c r="C3459" s="533">
        <f t="shared" ref="C3459:J3459" si="2023">SUM(C3455:C3458)</f>
        <v>2310.6</v>
      </c>
      <c r="D3459" s="533">
        <f t="shared" si="2023"/>
        <v>38576</v>
      </c>
      <c r="E3459" s="533">
        <f t="shared" si="2023"/>
        <v>1075</v>
      </c>
      <c r="F3459" s="533">
        <f t="shared" si="2023"/>
        <v>1</v>
      </c>
      <c r="G3459" s="533">
        <f t="shared" si="2023"/>
        <v>11600</v>
      </c>
      <c r="H3459" s="533">
        <f t="shared" si="2023"/>
        <v>18</v>
      </c>
      <c r="I3459" s="533">
        <f t="shared" si="2023"/>
        <v>4</v>
      </c>
      <c r="J3459" s="533">
        <f t="shared" si="2023"/>
        <v>1</v>
      </c>
      <c r="K3459" s="534">
        <f t="shared" si="2014"/>
        <v>0.0278670676068022</v>
      </c>
      <c r="L3459" s="535">
        <f t="shared" si="2015"/>
        <v>2.14939534883721</v>
      </c>
      <c r="M3459" s="535">
        <f t="shared" si="2016"/>
        <v>59.8973454997926</v>
      </c>
      <c r="N3459" s="535">
        <f t="shared" si="2017"/>
        <v>5.0203410369601</v>
      </c>
      <c r="O3459" s="535">
        <f t="shared" si="2018"/>
        <v>0.000930232558139535</v>
      </c>
      <c r="P3459" s="536">
        <f t="shared" si="2019"/>
        <v>105.027272727273</v>
      </c>
      <c r="Q3459" s="531">
        <f t="shared" si="2020"/>
        <v>22</v>
      </c>
      <c r="R3459" s="537">
        <f t="shared" si="2021"/>
        <v>0.0204651162790698</v>
      </c>
    </row>
    <row r="3460" spans="1:18">
      <c r="A3460" s="524">
        <v>46142</v>
      </c>
      <c r="B3460" s="540" t="s">
        <v>98</v>
      </c>
      <c r="C3460" s="551">
        <v>900</v>
      </c>
      <c r="D3460" s="553">
        <v>12938</v>
      </c>
      <c r="E3460" s="551">
        <v>424</v>
      </c>
      <c r="F3460" s="551">
        <v>1</v>
      </c>
      <c r="G3460" s="551">
        <v>11905.01</v>
      </c>
      <c r="H3460" s="551">
        <v>7</v>
      </c>
      <c r="I3460" s="551">
        <v>2</v>
      </c>
      <c r="J3460" s="551">
        <v>0</v>
      </c>
      <c r="K3460" s="527">
        <f t="shared" si="2014"/>
        <v>0.0327716803215335</v>
      </c>
      <c r="L3460" s="528">
        <f t="shared" si="2015"/>
        <v>2.12264150943396</v>
      </c>
      <c r="M3460" s="528">
        <f t="shared" si="2016"/>
        <v>69.5625289843871</v>
      </c>
      <c r="N3460" s="528">
        <f t="shared" si="2017"/>
        <v>13.2277888888889</v>
      </c>
      <c r="O3460" s="528">
        <f t="shared" si="2018"/>
        <v>0.00235849056603774</v>
      </c>
      <c r="P3460" s="529">
        <f t="shared" si="2019"/>
        <v>100</v>
      </c>
      <c r="Q3460" s="24">
        <f t="shared" si="2020"/>
        <v>9</v>
      </c>
      <c r="R3460" s="530">
        <f t="shared" si="2021"/>
        <v>0.0212264150943396</v>
      </c>
    </row>
    <row r="3461" spans="1:18">
      <c r="A3461" s="524"/>
      <c r="B3461" s="540" t="s">
        <v>99</v>
      </c>
      <c r="C3461" s="551">
        <v>0</v>
      </c>
      <c r="D3461" s="556">
        <v>3</v>
      </c>
      <c r="E3461" s="551">
        <v>0</v>
      </c>
      <c r="F3461" s="551">
        <v>0</v>
      </c>
      <c r="G3461" s="551">
        <v>0</v>
      </c>
      <c r="H3461" s="555">
        <v>0</v>
      </c>
      <c r="I3461" s="555">
        <v>0</v>
      </c>
      <c r="J3461" s="555">
        <v>0</v>
      </c>
      <c r="K3461" s="527">
        <f t="shared" si="2014"/>
        <v>0</v>
      </c>
      <c r="L3461" s="528">
        <f t="shared" si="2015"/>
        <v>0</v>
      </c>
      <c r="M3461" s="528">
        <f t="shared" si="2016"/>
        <v>0</v>
      </c>
      <c r="N3461" s="528">
        <f t="shared" si="2017"/>
        <v>0</v>
      </c>
      <c r="O3461" s="528">
        <f t="shared" si="2018"/>
        <v>0</v>
      </c>
      <c r="P3461" s="529">
        <f t="shared" si="2019"/>
        <v>0</v>
      </c>
      <c r="Q3461" s="24">
        <f t="shared" si="2020"/>
        <v>0</v>
      </c>
      <c r="R3461" s="530">
        <f t="shared" si="2021"/>
        <v>0</v>
      </c>
    </row>
    <row r="3462" spans="1:18">
      <c r="A3462" s="524"/>
      <c r="B3462" s="540" t="s">
        <v>100</v>
      </c>
      <c r="C3462" s="552">
        <v>0</v>
      </c>
      <c r="D3462" s="553">
        <v>0</v>
      </c>
      <c r="E3462" s="553">
        <v>0</v>
      </c>
      <c r="F3462" s="551">
        <v>0</v>
      </c>
      <c r="G3462" s="551">
        <v>0</v>
      </c>
      <c r="H3462" s="551">
        <v>0</v>
      </c>
      <c r="I3462" s="551">
        <v>0</v>
      </c>
      <c r="J3462" s="551">
        <v>0</v>
      </c>
      <c r="K3462" s="527">
        <f t="shared" si="2014"/>
        <v>0</v>
      </c>
      <c r="L3462" s="528">
        <f t="shared" si="2015"/>
        <v>0</v>
      </c>
      <c r="M3462" s="528">
        <f t="shared" si="2016"/>
        <v>0</v>
      </c>
      <c r="N3462" s="528">
        <f t="shared" si="2017"/>
        <v>0</v>
      </c>
      <c r="O3462" s="528">
        <f t="shared" si="2018"/>
        <v>0</v>
      </c>
      <c r="P3462" s="529">
        <f t="shared" si="2019"/>
        <v>0</v>
      </c>
      <c r="Q3462" s="24">
        <f t="shared" si="2020"/>
        <v>0</v>
      </c>
      <c r="R3462" s="530">
        <f t="shared" si="2021"/>
        <v>0</v>
      </c>
    </row>
    <row r="3463" spans="1:18">
      <c r="A3463" s="524"/>
      <c r="B3463" s="540" t="s">
        <v>101</v>
      </c>
      <c r="C3463" s="552">
        <v>0</v>
      </c>
      <c r="D3463" s="553">
        <v>0</v>
      </c>
      <c r="E3463" s="551">
        <v>0</v>
      </c>
      <c r="F3463" s="551">
        <v>0</v>
      </c>
      <c r="G3463" s="551">
        <v>0</v>
      </c>
      <c r="H3463" s="551">
        <v>0</v>
      </c>
      <c r="I3463" s="551">
        <v>0</v>
      </c>
      <c r="J3463" s="551">
        <v>0</v>
      </c>
      <c r="K3463" s="527">
        <f t="shared" si="2014"/>
        <v>0</v>
      </c>
      <c r="L3463" s="528">
        <f t="shared" si="2015"/>
        <v>0</v>
      </c>
      <c r="M3463" s="528">
        <f t="shared" si="2016"/>
        <v>0</v>
      </c>
      <c r="N3463" s="528">
        <f t="shared" si="2017"/>
        <v>0</v>
      </c>
      <c r="O3463" s="528">
        <f t="shared" si="2018"/>
        <v>0</v>
      </c>
      <c r="P3463" s="529">
        <f t="shared" si="2019"/>
        <v>0</v>
      </c>
      <c r="Q3463" s="24">
        <f t="shared" si="2020"/>
        <v>0</v>
      </c>
      <c r="R3463" s="530">
        <f t="shared" si="2021"/>
        <v>0</v>
      </c>
    </row>
    <row r="3464" spans="1:18">
      <c r="A3464" s="524"/>
      <c r="B3464" s="531" t="s">
        <v>96</v>
      </c>
      <c r="C3464" s="533">
        <f t="shared" ref="C3464:J3464" si="2024">SUM(C3460:C3463)</f>
        <v>900</v>
      </c>
      <c r="D3464" s="533">
        <f t="shared" si="2024"/>
        <v>12941</v>
      </c>
      <c r="E3464" s="533">
        <f t="shared" si="2024"/>
        <v>424</v>
      </c>
      <c r="F3464" s="533">
        <f t="shared" si="2024"/>
        <v>1</v>
      </c>
      <c r="G3464" s="533">
        <f t="shared" si="2024"/>
        <v>11905.01</v>
      </c>
      <c r="H3464" s="533">
        <f t="shared" si="2024"/>
        <v>7</v>
      </c>
      <c r="I3464" s="533">
        <f t="shared" si="2024"/>
        <v>2</v>
      </c>
      <c r="J3464" s="533">
        <f t="shared" si="2024"/>
        <v>0</v>
      </c>
      <c r="K3464" s="534">
        <f t="shared" si="2014"/>
        <v>0.0327640831465884</v>
      </c>
      <c r="L3464" s="535">
        <f t="shared" si="2015"/>
        <v>2.12264150943396</v>
      </c>
      <c r="M3464" s="535">
        <f t="shared" si="2016"/>
        <v>69.5464029054942</v>
      </c>
      <c r="N3464" s="535">
        <f t="shared" si="2017"/>
        <v>13.2277888888889</v>
      </c>
      <c r="O3464" s="535">
        <f t="shared" si="2018"/>
        <v>0.00235849056603774</v>
      </c>
      <c r="P3464" s="536">
        <f t="shared" si="2019"/>
        <v>100</v>
      </c>
      <c r="Q3464" s="531">
        <f t="shared" si="2020"/>
        <v>9</v>
      </c>
      <c r="R3464" s="537">
        <f t="shared" si="2021"/>
        <v>0.0212264150943396</v>
      </c>
    </row>
    <row r="3465" spans="1:18">
      <c r="A3465" s="524">
        <v>46143</v>
      </c>
      <c r="B3465" s="540" t="s">
        <v>98</v>
      </c>
      <c r="C3465" s="551">
        <v>890.37</v>
      </c>
      <c r="D3465" s="553">
        <v>10420</v>
      </c>
      <c r="E3465" s="551">
        <v>433</v>
      </c>
      <c r="F3465" s="551">
        <v>0</v>
      </c>
      <c r="G3465" s="551">
        <v>0</v>
      </c>
      <c r="H3465" s="551">
        <v>3</v>
      </c>
      <c r="I3465" s="551">
        <v>1</v>
      </c>
      <c r="J3465" s="551">
        <v>0</v>
      </c>
      <c r="K3465" s="527">
        <f t="shared" si="2014"/>
        <v>0.0415547024952015</v>
      </c>
      <c r="L3465" s="528">
        <f t="shared" si="2015"/>
        <v>2.0562817551963</v>
      </c>
      <c r="M3465" s="528">
        <f t="shared" si="2016"/>
        <v>85.4481765834933</v>
      </c>
      <c r="N3465" s="528">
        <f t="shared" si="2017"/>
        <v>0</v>
      </c>
      <c r="O3465" s="528">
        <f t="shared" si="2018"/>
        <v>0</v>
      </c>
      <c r="P3465" s="529">
        <f t="shared" si="2019"/>
        <v>222.5925</v>
      </c>
      <c r="Q3465" s="24">
        <f t="shared" si="2020"/>
        <v>4</v>
      </c>
      <c r="R3465" s="530">
        <f t="shared" si="2021"/>
        <v>0.0092378752886836</v>
      </c>
    </row>
    <row r="3466" spans="1:18">
      <c r="A3466" s="524"/>
      <c r="B3466" s="540" t="s">
        <v>99</v>
      </c>
      <c r="C3466" s="551">
        <v>0</v>
      </c>
      <c r="D3466" s="556">
        <v>3</v>
      </c>
      <c r="E3466" s="551">
        <v>0</v>
      </c>
      <c r="F3466" s="551">
        <v>0</v>
      </c>
      <c r="G3466" s="551">
        <v>0</v>
      </c>
      <c r="H3466" s="555">
        <v>0</v>
      </c>
      <c r="I3466" s="555">
        <v>0</v>
      </c>
      <c r="J3466" s="555">
        <v>0</v>
      </c>
      <c r="K3466" s="527">
        <f t="shared" si="2014"/>
        <v>0</v>
      </c>
      <c r="L3466" s="528">
        <f t="shared" si="2015"/>
        <v>0</v>
      </c>
      <c r="M3466" s="528">
        <f t="shared" si="2016"/>
        <v>0</v>
      </c>
      <c r="N3466" s="528">
        <f t="shared" si="2017"/>
        <v>0</v>
      </c>
      <c r="O3466" s="528">
        <f t="shared" si="2018"/>
        <v>0</v>
      </c>
      <c r="P3466" s="529">
        <f t="shared" si="2019"/>
        <v>0</v>
      </c>
      <c r="Q3466" s="24">
        <f t="shared" si="2020"/>
        <v>0</v>
      </c>
      <c r="R3466" s="530">
        <f t="shared" si="2021"/>
        <v>0</v>
      </c>
    </row>
    <row r="3467" spans="1:18">
      <c r="A3467" s="524"/>
      <c r="B3467" s="540" t="s">
        <v>100</v>
      </c>
      <c r="C3467" s="552">
        <v>0</v>
      </c>
      <c r="D3467" s="553">
        <v>0</v>
      </c>
      <c r="E3467" s="553">
        <v>0</v>
      </c>
      <c r="F3467" s="551">
        <v>0</v>
      </c>
      <c r="G3467" s="551">
        <v>0</v>
      </c>
      <c r="H3467" s="551">
        <v>0</v>
      </c>
      <c r="I3467" s="551">
        <v>0</v>
      </c>
      <c r="J3467" s="551">
        <v>0</v>
      </c>
      <c r="K3467" s="527">
        <f t="shared" si="2014"/>
        <v>0</v>
      </c>
      <c r="L3467" s="528">
        <f t="shared" si="2015"/>
        <v>0</v>
      </c>
      <c r="M3467" s="528">
        <f t="shared" si="2016"/>
        <v>0</v>
      </c>
      <c r="N3467" s="528">
        <f t="shared" si="2017"/>
        <v>0</v>
      </c>
      <c r="O3467" s="528">
        <f t="shared" si="2018"/>
        <v>0</v>
      </c>
      <c r="P3467" s="529">
        <f t="shared" si="2019"/>
        <v>0</v>
      </c>
      <c r="Q3467" s="24">
        <f t="shared" si="2020"/>
        <v>0</v>
      </c>
      <c r="R3467" s="530">
        <f t="shared" si="2021"/>
        <v>0</v>
      </c>
    </row>
    <row r="3468" spans="1:18">
      <c r="A3468" s="524"/>
      <c r="B3468" s="540" t="s">
        <v>101</v>
      </c>
      <c r="C3468" s="552">
        <v>0</v>
      </c>
      <c r="D3468" s="553">
        <v>0</v>
      </c>
      <c r="E3468" s="551">
        <v>0</v>
      </c>
      <c r="F3468" s="551">
        <v>0</v>
      </c>
      <c r="G3468" s="551">
        <v>0</v>
      </c>
      <c r="H3468" s="551">
        <v>0</v>
      </c>
      <c r="I3468" s="551">
        <v>0</v>
      </c>
      <c r="J3468" s="551">
        <v>0</v>
      </c>
      <c r="K3468" s="527">
        <f t="shared" si="2014"/>
        <v>0</v>
      </c>
      <c r="L3468" s="528">
        <f t="shared" si="2015"/>
        <v>0</v>
      </c>
      <c r="M3468" s="528">
        <f t="shared" si="2016"/>
        <v>0</v>
      </c>
      <c r="N3468" s="528">
        <f t="shared" si="2017"/>
        <v>0</v>
      </c>
      <c r="O3468" s="528">
        <f t="shared" si="2018"/>
        <v>0</v>
      </c>
      <c r="P3468" s="529">
        <f t="shared" si="2019"/>
        <v>0</v>
      </c>
      <c r="Q3468" s="24">
        <f t="shared" si="2020"/>
        <v>0</v>
      </c>
      <c r="R3468" s="530">
        <f t="shared" si="2021"/>
        <v>0</v>
      </c>
    </row>
    <row r="3469" spans="1:18">
      <c r="A3469" s="524"/>
      <c r="B3469" s="531" t="s">
        <v>96</v>
      </c>
      <c r="C3469" s="533">
        <f t="shared" ref="C3469:J3469" si="2025">SUM(C3465:C3468)</f>
        <v>890.37</v>
      </c>
      <c r="D3469" s="533">
        <f t="shared" si="2025"/>
        <v>10423</v>
      </c>
      <c r="E3469" s="533">
        <f t="shared" si="2025"/>
        <v>433</v>
      </c>
      <c r="F3469" s="533">
        <f t="shared" si="2025"/>
        <v>0</v>
      </c>
      <c r="G3469" s="533">
        <f t="shared" si="2025"/>
        <v>0</v>
      </c>
      <c r="H3469" s="533">
        <f t="shared" si="2025"/>
        <v>3</v>
      </c>
      <c r="I3469" s="533">
        <f t="shared" si="2025"/>
        <v>1</v>
      </c>
      <c r="J3469" s="533">
        <f t="shared" si="2025"/>
        <v>0</v>
      </c>
      <c r="K3469" s="534">
        <f t="shared" si="2014"/>
        <v>0.0415427420128562</v>
      </c>
      <c r="L3469" s="535">
        <f t="shared" si="2015"/>
        <v>2.0562817551963</v>
      </c>
      <c r="M3469" s="535">
        <f t="shared" si="2016"/>
        <v>85.4235824618632</v>
      </c>
      <c r="N3469" s="535">
        <f t="shared" si="2017"/>
        <v>0</v>
      </c>
      <c r="O3469" s="535">
        <f t="shared" si="2018"/>
        <v>0</v>
      </c>
      <c r="P3469" s="536">
        <f t="shared" si="2019"/>
        <v>222.5925</v>
      </c>
      <c r="Q3469" s="531">
        <f t="shared" si="2020"/>
        <v>4</v>
      </c>
      <c r="R3469" s="537">
        <f t="shared" si="2021"/>
        <v>0.0092378752886836</v>
      </c>
    </row>
    <row r="3470" spans="1:18">
      <c r="A3470" s="524">
        <v>46144</v>
      </c>
      <c r="B3470" s="540" t="s">
        <v>98</v>
      </c>
      <c r="C3470" s="551">
        <v>1200</v>
      </c>
      <c r="D3470" s="553">
        <v>16515</v>
      </c>
      <c r="E3470" s="551">
        <v>585</v>
      </c>
      <c r="F3470" s="551">
        <v>0</v>
      </c>
      <c r="G3470" s="551">
        <v>0</v>
      </c>
      <c r="H3470" s="551">
        <v>8</v>
      </c>
      <c r="I3470" s="551">
        <v>3</v>
      </c>
      <c r="J3470" s="551">
        <v>1</v>
      </c>
      <c r="K3470" s="527">
        <f t="shared" si="2014"/>
        <v>0.0354223433242507</v>
      </c>
      <c r="L3470" s="528">
        <f t="shared" si="2015"/>
        <v>2.05128205128205</v>
      </c>
      <c r="M3470" s="528">
        <f t="shared" si="2016"/>
        <v>72.661217075386</v>
      </c>
      <c r="N3470" s="528">
        <f t="shared" si="2017"/>
        <v>0</v>
      </c>
      <c r="O3470" s="528">
        <f t="shared" si="2018"/>
        <v>0</v>
      </c>
      <c r="P3470" s="529">
        <f t="shared" si="2019"/>
        <v>109.090909090909</v>
      </c>
      <c r="Q3470" s="24">
        <f t="shared" si="2020"/>
        <v>11</v>
      </c>
      <c r="R3470" s="530">
        <f t="shared" si="2021"/>
        <v>0.0188034188034188</v>
      </c>
    </row>
    <row r="3471" spans="1:18">
      <c r="A3471" s="524"/>
      <c r="B3471" s="540" t="s">
        <v>99</v>
      </c>
      <c r="C3471" s="551">
        <v>0</v>
      </c>
      <c r="D3471" s="556">
        <v>0</v>
      </c>
      <c r="E3471" s="551">
        <v>0</v>
      </c>
      <c r="F3471" s="551">
        <v>0</v>
      </c>
      <c r="G3471" s="551">
        <v>0</v>
      </c>
      <c r="H3471" s="555">
        <v>0</v>
      </c>
      <c r="I3471" s="555">
        <v>0</v>
      </c>
      <c r="J3471" s="555">
        <v>0</v>
      </c>
      <c r="K3471" s="527">
        <f t="shared" si="2014"/>
        <v>0</v>
      </c>
      <c r="L3471" s="528">
        <f t="shared" si="2015"/>
        <v>0</v>
      </c>
      <c r="M3471" s="528">
        <f t="shared" si="2016"/>
        <v>0</v>
      </c>
      <c r="N3471" s="528">
        <f t="shared" si="2017"/>
        <v>0</v>
      </c>
      <c r="O3471" s="528">
        <f t="shared" si="2018"/>
        <v>0</v>
      </c>
      <c r="P3471" s="529">
        <f t="shared" si="2019"/>
        <v>0</v>
      </c>
      <c r="Q3471" s="24">
        <f t="shared" si="2020"/>
        <v>0</v>
      </c>
      <c r="R3471" s="530">
        <f t="shared" si="2021"/>
        <v>0</v>
      </c>
    </row>
    <row r="3472" spans="1:18">
      <c r="A3472" s="524"/>
      <c r="B3472" s="540" t="s">
        <v>100</v>
      </c>
      <c r="C3472" s="552">
        <v>115.76</v>
      </c>
      <c r="D3472" s="553">
        <v>1088</v>
      </c>
      <c r="E3472" s="553">
        <v>80</v>
      </c>
      <c r="F3472" s="551">
        <v>0</v>
      </c>
      <c r="G3472" s="551">
        <v>0</v>
      </c>
      <c r="H3472" s="551">
        <v>2</v>
      </c>
      <c r="I3472" s="551">
        <v>2</v>
      </c>
      <c r="J3472" s="551">
        <v>0</v>
      </c>
      <c r="K3472" s="527">
        <f t="shared" si="2014"/>
        <v>0.0735294117647059</v>
      </c>
      <c r="L3472" s="528">
        <f t="shared" si="2015"/>
        <v>1.447</v>
      </c>
      <c r="M3472" s="528">
        <f t="shared" si="2016"/>
        <v>106.397058823529</v>
      </c>
      <c r="N3472" s="528">
        <f t="shared" si="2017"/>
        <v>0</v>
      </c>
      <c r="O3472" s="528">
        <f t="shared" si="2018"/>
        <v>0</v>
      </c>
      <c r="P3472" s="529">
        <f t="shared" si="2019"/>
        <v>28.94</v>
      </c>
      <c r="Q3472" s="24">
        <f t="shared" si="2020"/>
        <v>4</v>
      </c>
      <c r="R3472" s="530">
        <f t="shared" si="2021"/>
        <v>0.05</v>
      </c>
    </row>
    <row r="3473" spans="1:18">
      <c r="A3473" s="524"/>
      <c r="B3473" s="540" t="s">
        <v>101</v>
      </c>
      <c r="C3473" s="552">
        <v>0</v>
      </c>
      <c r="D3473" s="553">
        <v>0</v>
      </c>
      <c r="E3473" s="551">
        <v>0</v>
      </c>
      <c r="F3473" s="551">
        <v>0</v>
      </c>
      <c r="G3473" s="551">
        <v>0</v>
      </c>
      <c r="H3473" s="551">
        <v>0</v>
      </c>
      <c r="I3473" s="551">
        <v>0</v>
      </c>
      <c r="J3473" s="551">
        <v>0</v>
      </c>
      <c r="K3473" s="527">
        <f t="shared" si="2014"/>
        <v>0</v>
      </c>
      <c r="L3473" s="528">
        <f t="shared" si="2015"/>
        <v>0</v>
      </c>
      <c r="M3473" s="528">
        <f t="shared" si="2016"/>
        <v>0</v>
      </c>
      <c r="N3473" s="528">
        <f t="shared" si="2017"/>
        <v>0</v>
      </c>
      <c r="O3473" s="528">
        <f t="shared" si="2018"/>
        <v>0</v>
      </c>
      <c r="P3473" s="529">
        <f t="shared" si="2019"/>
        <v>0</v>
      </c>
      <c r="Q3473" s="24">
        <f t="shared" si="2020"/>
        <v>0</v>
      </c>
      <c r="R3473" s="530">
        <f t="shared" si="2021"/>
        <v>0</v>
      </c>
    </row>
    <row r="3474" spans="1:18">
      <c r="A3474" s="524"/>
      <c r="B3474" s="531" t="s">
        <v>96</v>
      </c>
      <c r="C3474" s="533">
        <f t="shared" ref="C3474:J3474" si="2026">SUM(C3470:C3473)</f>
        <v>1315.76</v>
      </c>
      <c r="D3474" s="533">
        <f t="shared" si="2026"/>
        <v>17603</v>
      </c>
      <c r="E3474" s="533">
        <f t="shared" si="2026"/>
        <v>665</v>
      </c>
      <c r="F3474" s="533">
        <f t="shared" si="2026"/>
        <v>0</v>
      </c>
      <c r="G3474" s="533">
        <f t="shared" si="2026"/>
        <v>0</v>
      </c>
      <c r="H3474" s="533">
        <f t="shared" si="2026"/>
        <v>10</v>
      </c>
      <c r="I3474" s="533">
        <f t="shared" si="2026"/>
        <v>5</v>
      </c>
      <c r="J3474" s="533">
        <f t="shared" si="2026"/>
        <v>1</v>
      </c>
      <c r="K3474" s="534">
        <f t="shared" si="2014"/>
        <v>0.0377776515366699</v>
      </c>
      <c r="L3474" s="535">
        <f t="shared" si="2015"/>
        <v>1.97858646616541</v>
      </c>
      <c r="M3474" s="535">
        <f t="shared" si="2016"/>
        <v>74.7463500539681</v>
      </c>
      <c r="N3474" s="535">
        <f t="shared" si="2017"/>
        <v>0</v>
      </c>
      <c r="O3474" s="535">
        <f t="shared" si="2018"/>
        <v>0</v>
      </c>
      <c r="P3474" s="536">
        <f t="shared" si="2019"/>
        <v>87.7173333333333</v>
      </c>
      <c r="Q3474" s="531">
        <f t="shared" si="2020"/>
        <v>15</v>
      </c>
      <c r="R3474" s="537">
        <f t="shared" si="2021"/>
        <v>0.0225563909774436</v>
      </c>
    </row>
    <row r="3475" spans="1:18">
      <c r="A3475" s="524">
        <v>46145</v>
      </c>
      <c r="B3475" s="540" t="s">
        <v>98</v>
      </c>
      <c r="C3475" s="551">
        <v>1200</v>
      </c>
      <c r="D3475" s="553">
        <v>16349</v>
      </c>
      <c r="E3475" s="551">
        <v>588</v>
      </c>
      <c r="F3475" s="551">
        <v>1</v>
      </c>
      <c r="G3475" s="551">
        <v>8765</v>
      </c>
      <c r="H3475" s="551">
        <v>22</v>
      </c>
      <c r="I3475" s="551">
        <v>2</v>
      </c>
      <c r="J3475" s="551">
        <v>4</v>
      </c>
      <c r="K3475" s="527">
        <f t="shared" si="2014"/>
        <v>0.0359655024772157</v>
      </c>
      <c r="L3475" s="528">
        <f t="shared" si="2015"/>
        <v>2.04081632653061</v>
      </c>
      <c r="M3475" s="528">
        <f t="shared" si="2016"/>
        <v>73.398984647379</v>
      </c>
      <c r="N3475" s="528">
        <f t="shared" si="2017"/>
        <v>7.30416666666667</v>
      </c>
      <c r="O3475" s="528">
        <f t="shared" si="2018"/>
        <v>0.00170068027210884</v>
      </c>
      <c r="P3475" s="529">
        <f t="shared" si="2019"/>
        <v>50</v>
      </c>
      <c r="Q3475" s="24">
        <f t="shared" si="2020"/>
        <v>24</v>
      </c>
      <c r="R3475" s="530">
        <f t="shared" si="2021"/>
        <v>0.0408163265306122</v>
      </c>
    </row>
    <row r="3476" spans="1:18">
      <c r="A3476" s="524"/>
      <c r="B3476" s="540" t="s">
        <v>99</v>
      </c>
      <c r="C3476" s="551">
        <v>0</v>
      </c>
      <c r="D3476" s="556">
        <v>0</v>
      </c>
      <c r="E3476" s="551">
        <v>0</v>
      </c>
      <c r="F3476" s="551">
        <v>0</v>
      </c>
      <c r="G3476" s="551">
        <v>0</v>
      </c>
      <c r="H3476" s="555">
        <v>0</v>
      </c>
      <c r="I3476" s="555">
        <v>0</v>
      </c>
      <c r="J3476" s="555">
        <v>0</v>
      </c>
      <c r="K3476" s="527">
        <f t="shared" si="2014"/>
        <v>0</v>
      </c>
      <c r="L3476" s="528">
        <f t="shared" si="2015"/>
        <v>0</v>
      </c>
      <c r="M3476" s="528">
        <f t="shared" si="2016"/>
        <v>0</v>
      </c>
      <c r="N3476" s="528">
        <f t="shared" si="2017"/>
        <v>0</v>
      </c>
      <c r="O3476" s="528">
        <f t="shared" si="2018"/>
        <v>0</v>
      </c>
      <c r="P3476" s="529">
        <f t="shared" si="2019"/>
        <v>0</v>
      </c>
      <c r="Q3476" s="24">
        <f t="shared" si="2020"/>
        <v>0</v>
      </c>
      <c r="R3476" s="530">
        <f t="shared" si="2021"/>
        <v>0</v>
      </c>
    </row>
    <row r="3477" spans="1:18">
      <c r="A3477" s="524"/>
      <c r="B3477" s="540" t="s">
        <v>100</v>
      </c>
      <c r="C3477" s="552">
        <v>92.94</v>
      </c>
      <c r="D3477" s="553">
        <v>1012</v>
      </c>
      <c r="E3477" s="553">
        <v>70</v>
      </c>
      <c r="F3477" s="551">
        <v>0</v>
      </c>
      <c r="G3477" s="551">
        <v>0</v>
      </c>
      <c r="H3477" s="551">
        <v>1</v>
      </c>
      <c r="I3477" s="551">
        <v>1</v>
      </c>
      <c r="J3477" s="551">
        <v>0</v>
      </c>
      <c r="K3477" s="527">
        <f t="shared" si="2014"/>
        <v>0.0691699604743083</v>
      </c>
      <c r="L3477" s="528">
        <f t="shared" si="2015"/>
        <v>1.32771428571429</v>
      </c>
      <c r="M3477" s="528">
        <f t="shared" si="2016"/>
        <v>91.8379446640316</v>
      </c>
      <c r="N3477" s="528">
        <f t="shared" si="2017"/>
        <v>0</v>
      </c>
      <c r="O3477" s="528">
        <f t="shared" si="2018"/>
        <v>0</v>
      </c>
      <c r="P3477" s="529">
        <f t="shared" si="2019"/>
        <v>46.47</v>
      </c>
      <c r="Q3477" s="24">
        <f t="shared" si="2020"/>
        <v>2</v>
      </c>
      <c r="R3477" s="530">
        <f t="shared" si="2021"/>
        <v>0.0285714285714286</v>
      </c>
    </row>
    <row r="3478" spans="1:18">
      <c r="A3478" s="524"/>
      <c r="B3478" s="540" t="s">
        <v>101</v>
      </c>
      <c r="C3478" s="552">
        <v>0</v>
      </c>
      <c r="D3478" s="553">
        <v>0</v>
      </c>
      <c r="E3478" s="551">
        <v>0</v>
      </c>
      <c r="F3478" s="551">
        <v>0</v>
      </c>
      <c r="G3478" s="551">
        <v>0</v>
      </c>
      <c r="H3478" s="551">
        <v>0</v>
      </c>
      <c r="I3478" s="551">
        <v>0</v>
      </c>
      <c r="J3478" s="551">
        <v>0</v>
      </c>
      <c r="K3478" s="527">
        <f t="shared" si="2014"/>
        <v>0</v>
      </c>
      <c r="L3478" s="528">
        <f t="shared" si="2015"/>
        <v>0</v>
      </c>
      <c r="M3478" s="528">
        <f t="shared" si="2016"/>
        <v>0</v>
      </c>
      <c r="N3478" s="528">
        <f t="shared" si="2017"/>
        <v>0</v>
      </c>
      <c r="O3478" s="528">
        <f t="shared" si="2018"/>
        <v>0</v>
      </c>
      <c r="P3478" s="529">
        <f t="shared" si="2019"/>
        <v>0</v>
      </c>
      <c r="Q3478" s="24">
        <f t="shared" si="2020"/>
        <v>0</v>
      </c>
      <c r="R3478" s="530">
        <f t="shared" si="2021"/>
        <v>0</v>
      </c>
    </row>
    <row r="3479" spans="1:18">
      <c r="A3479" s="524"/>
      <c r="B3479" s="531" t="s">
        <v>96</v>
      </c>
      <c r="C3479" s="533">
        <f t="shared" ref="C3479:J3479" si="2027">SUM(C3475:C3478)</f>
        <v>1292.94</v>
      </c>
      <c r="D3479" s="533">
        <f t="shared" si="2027"/>
        <v>17361</v>
      </c>
      <c r="E3479" s="533">
        <f t="shared" si="2027"/>
        <v>658</v>
      </c>
      <c r="F3479" s="533">
        <f t="shared" si="2027"/>
        <v>1</v>
      </c>
      <c r="G3479" s="533">
        <f t="shared" si="2027"/>
        <v>8765</v>
      </c>
      <c r="H3479" s="533">
        <f t="shared" si="2027"/>
        <v>23</v>
      </c>
      <c r="I3479" s="533">
        <f t="shared" si="2027"/>
        <v>3</v>
      </c>
      <c r="J3479" s="533">
        <f t="shared" si="2027"/>
        <v>4</v>
      </c>
      <c r="K3479" s="534">
        <f t="shared" si="2014"/>
        <v>0.0379010425666724</v>
      </c>
      <c r="L3479" s="535">
        <f t="shared" si="2015"/>
        <v>1.96495440729483</v>
      </c>
      <c r="M3479" s="535">
        <f t="shared" si="2016"/>
        <v>74.473820632452</v>
      </c>
      <c r="N3479" s="535">
        <f t="shared" si="2017"/>
        <v>6.77912354788312</v>
      </c>
      <c r="O3479" s="535">
        <f t="shared" si="2018"/>
        <v>0.00151975683890578</v>
      </c>
      <c r="P3479" s="536">
        <f t="shared" si="2019"/>
        <v>49.7284615384615</v>
      </c>
      <c r="Q3479" s="531">
        <f t="shared" si="2020"/>
        <v>26</v>
      </c>
      <c r="R3479" s="537">
        <f t="shared" si="2021"/>
        <v>0.0395136778115502</v>
      </c>
    </row>
    <row r="3480" spans="1:18">
      <c r="A3480" s="524">
        <v>46146</v>
      </c>
      <c r="B3480" s="540" t="s">
        <v>98</v>
      </c>
      <c r="C3480" s="551">
        <v>1200</v>
      </c>
      <c r="D3480" s="553">
        <v>17116</v>
      </c>
      <c r="E3480" s="551">
        <v>578</v>
      </c>
      <c r="F3480" s="551">
        <v>0</v>
      </c>
      <c r="G3480" s="551">
        <v>0</v>
      </c>
      <c r="H3480" s="551">
        <v>14</v>
      </c>
      <c r="I3480" s="551">
        <v>5</v>
      </c>
      <c r="J3480" s="551">
        <v>2</v>
      </c>
      <c r="K3480" s="527">
        <f t="shared" si="2014"/>
        <v>0.0337695723299836</v>
      </c>
      <c r="L3480" s="528">
        <f t="shared" si="2015"/>
        <v>2.07612456747405</v>
      </c>
      <c r="M3480" s="528">
        <f t="shared" si="2016"/>
        <v>70.1098387473709</v>
      </c>
      <c r="N3480" s="528">
        <f t="shared" si="2017"/>
        <v>0</v>
      </c>
      <c r="O3480" s="528">
        <f t="shared" si="2018"/>
        <v>0</v>
      </c>
      <c r="P3480" s="529">
        <f t="shared" si="2019"/>
        <v>63.1578947368421</v>
      </c>
      <c r="Q3480" s="24">
        <f t="shared" si="2020"/>
        <v>19</v>
      </c>
      <c r="R3480" s="530">
        <f t="shared" si="2021"/>
        <v>0.0328719723183391</v>
      </c>
    </row>
    <row r="3481" spans="1:18">
      <c r="A3481" s="524"/>
      <c r="B3481" s="540" t="s">
        <v>99</v>
      </c>
      <c r="C3481" s="551">
        <v>0</v>
      </c>
      <c r="D3481" s="556">
        <v>0</v>
      </c>
      <c r="E3481" s="551">
        <v>0</v>
      </c>
      <c r="F3481" s="551">
        <v>0</v>
      </c>
      <c r="G3481" s="551">
        <v>0</v>
      </c>
      <c r="H3481" s="555">
        <v>0</v>
      </c>
      <c r="I3481" s="555">
        <v>0</v>
      </c>
      <c r="J3481" s="555">
        <v>0</v>
      </c>
      <c r="K3481" s="527">
        <f t="shared" si="2014"/>
        <v>0</v>
      </c>
      <c r="L3481" s="528">
        <f t="shared" si="2015"/>
        <v>0</v>
      </c>
      <c r="M3481" s="528">
        <f t="shared" si="2016"/>
        <v>0</v>
      </c>
      <c r="N3481" s="528">
        <f t="shared" si="2017"/>
        <v>0</v>
      </c>
      <c r="O3481" s="528">
        <f t="shared" si="2018"/>
        <v>0</v>
      </c>
      <c r="P3481" s="529">
        <f t="shared" si="2019"/>
        <v>0</v>
      </c>
      <c r="Q3481" s="24">
        <f t="shared" si="2020"/>
        <v>0</v>
      </c>
      <c r="R3481" s="530">
        <f t="shared" si="2021"/>
        <v>0</v>
      </c>
    </row>
    <row r="3482" spans="1:18">
      <c r="A3482" s="524"/>
      <c r="B3482" s="540" t="s">
        <v>100</v>
      </c>
      <c r="C3482" s="552">
        <v>200</v>
      </c>
      <c r="D3482" s="553">
        <v>1458</v>
      </c>
      <c r="E3482" s="553">
        <v>86</v>
      </c>
      <c r="F3482" s="551">
        <v>1</v>
      </c>
      <c r="G3482" s="551">
        <v>16155</v>
      </c>
      <c r="H3482" s="551">
        <v>18</v>
      </c>
      <c r="I3482" s="551">
        <v>0</v>
      </c>
      <c r="J3482" s="551">
        <v>0</v>
      </c>
      <c r="K3482" s="527">
        <f t="shared" si="2014"/>
        <v>0.0589849108367627</v>
      </c>
      <c r="L3482" s="528">
        <f t="shared" si="2015"/>
        <v>2.32558139534884</v>
      </c>
      <c r="M3482" s="528">
        <f t="shared" si="2016"/>
        <v>137.174211248285</v>
      </c>
      <c r="N3482" s="528">
        <f t="shared" si="2017"/>
        <v>80.775</v>
      </c>
      <c r="O3482" s="528">
        <f t="shared" si="2018"/>
        <v>0.0116279069767442</v>
      </c>
      <c r="P3482" s="529">
        <f t="shared" si="2019"/>
        <v>11.1111111111111</v>
      </c>
      <c r="Q3482" s="24">
        <f t="shared" si="2020"/>
        <v>18</v>
      </c>
      <c r="R3482" s="530">
        <f t="shared" si="2021"/>
        <v>0.209302325581395</v>
      </c>
    </row>
    <row r="3483" spans="1:18">
      <c r="A3483" s="524"/>
      <c r="B3483" s="540" t="s">
        <v>101</v>
      </c>
      <c r="C3483" s="552">
        <v>0</v>
      </c>
      <c r="D3483" s="553">
        <v>0</v>
      </c>
      <c r="E3483" s="551">
        <v>0</v>
      </c>
      <c r="F3483" s="551">
        <v>0</v>
      </c>
      <c r="G3483" s="551">
        <v>0</v>
      </c>
      <c r="H3483" s="551">
        <v>0</v>
      </c>
      <c r="I3483" s="551">
        <v>0</v>
      </c>
      <c r="J3483" s="551">
        <v>0</v>
      </c>
      <c r="K3483" s="527">
        <f t="shared" si="2014"/>
        <v>0</v>
      </c>
      <c r="L3483" s="528">
        <f t="shared" si="2015"/>
        <v>0</v>
      </c>
      <c r="M3483" s="528">
        <f t="shared" si="2016"/>
        <v>0</v>
      </c>
      <c r="N3483" s="528">
        <f t="shared" si="2017"/>
        <v>0</v>
      </c>
      <c r="O3483" s="528">
        <f t="shared" si="2018"/>
        <v>0</v>
      </c>
      <c r="P3483" s="529">
        <f t="shared" si="2019"/>
        <v>0</v>
      </c>
      <c r="Q3483" s="24">
        <f t="shared" si="2020"/>
        <v>0</v>
      </c>
      <c r="R3483" s="530">
        <f t="shared" si="2021"/>
        <v>0</v>
      </c>
    </row>
    <row r="3484" spans="1:18">
      <c r="A3484" s="524"/>
      <c r="B3484" s="531" t="s">
        <v>96</v>
      </c>
      <c r="C3484" s="533">
        <f t="shared" ref="C3484:J3484" si="2028">SUM(C3480:C3483)</f>
        <v>1400</v>
      </c>
      <c r="D3484" s="533">
        <f t="shared" si="2028"/>
        <v>18574</v>
      </c>
      <c r="E3484" s="533">
        <f t="shared" si="2028"/>
        <v>664</v>
      </c>
      <c r="F3484" s="533">
        <f t="shared" si="2028"/>
        <v>1</v>
      </c>
      <c r="G3484" s="533">
        <f t="shared" si="2028"/>
        <v>16155</v>
      </c>
      <c r="H3484" s="533">
        <f t="shared" si="2028"/>
        <v>32</v>
      </c>
      <c r="I3484" s="533">
        <f t="shared" si="2028"/>
        <v>5</v>
      </c>
      <c r="J3484" s="533">
        <f t="shared" si="2028"/>
        <v>2</v>
      </c>
      <c r="K3484" s="534">
        <f t="shared" si="2014"/>
        <v>0.0357488963066652</v>
      </c>
      <c r="L3484" s="535">
        <f t="shared" si="2015"/>
        <v>2.10843373493976</v>
      </c>
      <c r="M3484" s="535">
        <f t="shared" si="2016"/>
        <v>75.3741789598363</v>
      </c>
      <c r="N3484" s="535">
        <f t="shared" si="2017"/>
        <v>11.5392857142857</v>
      </c>
      <c r="O3484" s="535">
        <f t="shared" si="2018"/>
        <v>0.00150602409638554</v>
      </c>
      <c r="P3484" s="536">
        <f t="shared" si="2019"/>
        <v>37.8378378378378</v>
      </c>
      <c r="Q3484" s="531">
        <f t="shared" si="2020"/>
        <v>37</v>
      </c>
      <c r="R3484" s="537">
        <f t="shared" si="2021"/>
        <v>0.0557228915662651</v>
      </c>
    </row>
    <row r="3485" spans="1:18">
      <c r="A3485" s="524">
        <v>46147</v>
      </c>
      <c r="B3485" s="540" t="s">
        <v>98</v>
      </c>
      <c r="C3485" s="551">
        <v>1198.42</v>
      </c>
      <c r="D3485" s="553">
        <v>14723</v>
      </c>
      <c r="E3485" s="551">
        <v>514</v>
      </c>
      <c r="F3485" s="551">
        <v>0</v>
      </c>
      <c r="G3485" s="551">
        <v>0</v>
      </c>
      <c r="H3485" s="551">
        <v>26</v>
      </c>
      <c r="I3485" s="551">
        <v>2</v>
      </c>
      <c r="J3485" s="551">
        <v>0</v>
      </c>
      <c r="K3485" s="527">
        <f t="shared" si="2014"/>
        <v>0.0349113631732663</v>
      </c>
      <c r="L3485" s="528">
        <f t="shared" si="2015"/>
        <v>2.33155642023346</v>
      </c>
      <c r="M3485" s="528">
        <f t="shared" si="2016"/>
        <v>81.3978129457312</v>
      </c>
      <c r="N3485" s="528">
        <f t="shared" si="2017"/>
        <v>0</v>
      </c>
      <c r="O3485" s="528">
        <f t="shared" si="2018"/>
        <v>0</v>
      </c>
      <c r="P3485" s="529">
        <f t="shared" si="2019"/>
        <v>42.8007142857143</v>
      </c>
      <c r="Q3485" s="24">
        <f t="shared" si="2020"/>
        <v>28</v>
      </c>
      <c r="R3485" s="530">
        <f t="shared" si="2021"/>
        <v>0.0544747081712062</v>
      </c>
    </row>
    <row r="3486" spans="1:18">
      <c r="A3486" s="524"/>
      <c r="B3486" s="540" t="s">
        <v>99</v>
      </c>
      <c r="C3486" s="551">
        <v>0</v>
      </c>
      <c r="D3486" s="556">
        <v>0</v>
      </c>
      <c r="E3486" s="551">
        <v>0</v>
      </c>
      <c r="F3486" s="551">
        <v>0</v>
      </c>
      <c r="G3486" s="551">
        <v>0</v>
      </c>
      <c r="H3486" s="555">
        <v>0</v>
      </c>
      <c r="I3486" s="555">
        <v>0</v>
      </c>
      <c r="J3486" s="555">
        <v>0</v>
      </c>
      <c r="K3486" s="527">
        <f t="shared" si="2014"/>
        <v>0</v>
      </c>
      <c r="L3486" s="528">
        <f t="shared" si="2015"/>
        <v>0</v>
      </c>
      <c r="M3486" s="528">
        <f t="shared" si="2016"/>
        <v>0</v>
      </c>
      <c r="N3486" s="528">
        <f t="shared" si="2017"/>
        <v>0</v>
      </c>
      <c r="O3486" s="528">
        <f t="shared" si="2018"/>
        <v>0</v>
      </c>
      <c r="P3486" s="529">
        <f t="shared" si="2019"/>
        <v>0</v>
      </c>
      <c r="Q3486" s="24">
        <f t="shared" si="2020"/>
        <v>0</v>
      </c>
      <c r="R3486" s="530">
        <f t="shared" si="2021"/>
        <v>0</v>
      </c>
    </row>
    <row r="3487" spans="1:18">
      <c r="A3487" s="524"/>
      <c r="B3487" s="540" t="s">
        <v>100</v>
      </c>
      <c r="C3487" s="552">
        <v>152.27</v>
      </c>
      <c r="D3487" s="553">
        <v>2177</v>
      </c>
      <c r="E3487" s="553">
        <v>154</v>
      </c>
      <c r="F3487" s="551">
        <v>0</v>
      </c>
      <c r="G3487" s="551">
        <v>0</v>
      </c>
      <c r="H3487" s="551">
        <v>1</v>
      </c>
      <c r="I3487" s="551">
        <v>0</v>
      </c>
      <c r="J3487" s="551">
        <v>0</v>
      </c>
      <c r="K3487" s="527">
        <f t="shared" si="2014"/>
        <v>0.0707395498392283</v>
      </c>
      <c r="L3487" s="528">
        <f t="shared" si="2015"/>
        <v>0.988766233766234</v>
      </c>
      <c r="M3487" s="528">
        <f t="shared" si="2016"/>
        <v>69.9448782728525</v>
      </c>
      <c r="N3487" s="528">
        <f t="shared" si="2017"/>
        <v>0</v>
      </c>
      <c r="O3487" s="528">
        <f t="shared" si="2018"/>
        <v>0</v>
      </c>
      <c r="P3487" s="529">
        <f t="shared" si="2019"/>
        <v>152.27</v>
      </c>
      <c r="Q3487" s="24">
        <f t="shared" si="2020"/>
        <v>1</v>
      </c>
      <c r="R3487" s="530">
        <f t="shared" si="2021"/>
        <v>0.00649350649350649</v>
      </c>
    </row>
    <row r="3488" spans="1:18">
      <c r="A3488" s="524"/>
      <c r="B3488" s="540" t="s">
        <v>101</v>
      </c>
      <c r="C3488" s="552">
        <v>0</v>
      </c>
      <c r="D3488" s="553">
        <v>0</v>
      </c>
      <c r="E3488" s="551">
        <v>0</v>
      </c>
      <c r="F3488" s="551">
        <v>0</v>
      </c>
      <c r="G3488" s="551">
        <v>0</v>
      </c>
      <c r="H3488" s="551">
        <v>0</v>
      </c>
      <c r="I3488" s="551">
        <v>0</v>
      </c>
      <c r="J3488" s="551">
        <v>0</v>
      </c>
      <c r="K3488" s="527">
        <f t="shared" si="2014"/>
        <v>0</v>
      </c>
      <c r="L3488" s="528">
        <f t="shared" si="2015"/>
        <v>0</v>
      </c>
      <c r="M3488" s="528">
        <f t="shared" si="2016"/>
        <v>0</v>
      </c>
      <c r="N3488" s="528">
        <f t="shared" si="2017"/>
        <v>0</v>
      </c>
      <c r="O3488" s="528">
        <f t="shared" si="2018"/>
        <v>0</v>
      </c>
      <c r="P3488" s="529">
        <f t="shared" si="2019"/>
        <v>0</v>
      </c>
      <c r="Q3488" s="24">
        <f t="shared" si="2020"/>
        <v>0</v>
      </c>
      <c r="R3488" s="530">
        <f t="shared" si="2021"/>
        <v>0</v>
      </c>
    </row>
    <row r="3489" spans="1:18">
      <c r="A3489" s="524"/>
      <c r="B3489" s="531" t="s">
        <v>96</v>
      </c>
      <c r="C3489" s="533">
        <f t="shared" ref="C3489:J3489" si="2029">SUM(C3485:C3488)</f>
        <v>1350.69</v>
      </c>
      <c r="D3489" s="533">
        <f t="shared" si="2029"/>
        <v>16900</v>
      </c>
      <c r="E3489" s="533">
        <f t="shared" si="2029"/>
        <v>668</v>
      </c>
      <c r="F3489" s="533">
        <f t="shared" si="2029"/>
        <v>0</v>
      </c>
      <c r="G3489" s="533">
        <f t="shared" si="2029"/>
        <v>0</v>
      </c>
      <c r="H3489" s="533">
        <f t="shared" si="2029"/>
        <v>27</v>
      </c>
      <c r="I3489" s="533">
        <f t="shared" si="2029"/>
        <v>2</v>
      </c>
      <c r="J3489" s="533">
        <f t="shared" si="2029"/>
        <v>0</v>
      </c>
      <c r="K3489" s="534">
        <f t="shared" si="2014"/>
        <v>0.0395266272189349</v>
      </c>
      <c r="L3489" s="535">
        <f t="shared" si="2015"/>
        <v>2.02199101796407</v>
      </c>
      <c r="M3489" s="535">
        <f t="shared" si="2016"/>
        <v>79.9224852071006</v>
      </c>
      <c r="N3489" s="535">
        <f t="shared" si="2017"/>
        <v>0</v>
      </c>
      <c r="O3489" s="535">
        <f t="shared" si="2018"/>
        <v>0</v>
      </c>
      <c r="P3489" s="536">
        <f t="shared" si="2019"/>
        <v>46.5755172413793</v>
      </c>
      <c r="Q3489" s="531">
        <f t="shared" si="2020"/>
        <v>29</v>
      </c>
      <c r="R3489" s="537">
        <f t="shared" si="2021"/>
        <v>0.0434131736526946</v>
      </c>
    </row>
    <row r="3490" spans="1:18">
      <c r="A3490" s="524">
        <v>46148</v>
      </c>
      <c r="B3490" s="540" t="s">
        <v>98</v>
      </c>
      <c r="C3490" s="551">
        <v>1349.56</v>
      </c>
      <c r="D3490" s="553">
        <v>13689</v>
      </c>
      <c r="E3490" s="551">
        <v>640</v>
      </c>
      <c r="F3490" s="551">
        <v>0</v>
      </c>
      <c r="G3490" s="551">
        <v>0</v>
      </c>
      <c r="H3490" s="551">
        <v>17</v>
      </c>
      <c r="I3490" s="551">
        <v>1</v>
      </c>
      <c r="J3490" s="551">
        <v>1</v>
      </c>
      <c r="K3490" s="527">
        <f t="shared" si="2014"/>
        <v>0.0467528672656878</v>
      </c>
      <c r="L3490" s="528">
        <f t="shared" si="2015"/>
        <v>2.1086875</v>
      </c>
      <c r="M3490" s="528">
        <f t="shared" si="2016"/>
        <v>98.587186792315</v>
      </c>
      <c r="N3490" s="528">
        <f t="shared" si="2017"/>
        <v>0</v>
      </c>
      <c r="O3490" s="528">
        <f t="shared" si="2018"/>
        <v>0</v>
      </c>
      <c r="P3490" s="529">
        <f t="shared" si="2019"/>
        <v>74.9755555555556</v>
      </c>
      <c r="Q3490" s="24">
        <f t="shared" si="2020"/>
        <v>18</v>
      </c>
      <c r="R3490" s="530">
        <f t="shared" si="2021"/>
        <v>0.028125</v>
      </c>
    </row>
    <row r="3491" spans="1:18">
      <c r="A3491" s="524"/>
      <c r="B3491" s="540" t="s">
        <v>99</v>
      </c>
      <c r="C3491" s="551">
        <v>1434.43</v>
      </c>
      <c r="D3491" s="556">
        <v>18565</v>
      </c>
      <c r="E3491" s="551">
        <v>747</v>
      </c>
      <c r="F3491" s="551">
        <v>1</v>
      </c>
      <c r="G3491" s="551">
        <v>12245</v>
      </c>
      <c r="H3491" s="555">
        <v>4</v>
      </c>
      <c r="I3491" s="555">
        <v>0</v>
      </c>
      <c r="J3491" s="555">
        <v>0</v>
      </c>
      <c r="K3491" s="527">
        <f t="shared" si="2014"/>
        <v>0.0402370051171559</v>
      </c>
      <c r="L3491" s="528">
        <f t="shared" si="2015"/>
        <v>1.92025435073628</v>
      </c>
      <c r="M3491" s="528">
        <f t="shared" si="2016"/>
        <v>77.2652841368166</v>
      </c>
      <c r="N3491" s="528">
        <f t="shared" si="2017"/>
        <v>8.53649184693572</v>
      </c>
      <c r="O3491" s="528">
        <f t="shared" si="2018"/>
        <v>0.00133868808567604</v>
      </c>
      <c r="P3491" s="529">
        <f t="shared" si="2019"/>
        <v>358.6075</v>
      </c>
      <c r="Q3491" s="24">
        <f t="shared" si="2020"/>
        <v>4</v>
      </c>
      <c r="R3491" s="530">
        <f t="shared" si="2021"/>
        <v>0.00535475234270415</v>
      </c>
    </row>
    <row r="3492" spans="1:18">
      <c r="A3492" s="524"/>
      <c r="B3492" s="540" t="s">
        <v>100</v>
      </c>
      <c r="C3492" s="552">
        <v>0</v>
      </c>
      <c r="D3492" s="553">
        <v>0</v>
      </c>
      <c r="E3492" s="553">
        <v>0</v>
      </c>
      <c r="F3492" s="551">
        <v>0</v>
      </c>
      <c r="G3492" s="551">
        <v>0</v>
      </c>
      <c r="H3492" s="551">
        <v>0</v>
      </c>
      <c r="I3492" s="551">
        <v>0</v>
      </c>
      <c r="J3492" s="551">
        <v>0</v>
      </c>
      <c r="K3492" s="527">
        <f t="shared" si="2014"/>
        <v>0</v>
      </c>
      <c r="L3492" s="528">
        <f t="shared" si="2015"/>
        <v>0</v>
      </c>
      <c r="M3492" s="528">
        <f t="shared" si="2016"/>
        <v>0</v>
      </c>
      <c r="N3492" s="528">
        <f t="shared" si="2017"/>
        <v>0</v>
      </c>
      <c r="O3492" s="528">
        <f t="shared" si="2018"/>
        <v>0</v>
      </c>
      <c r="P3492" s="529">
        <f t="shared" si="2019"/>
        <v>0</v>
      </c>
      <c r="Q3492" s="24">
        <f t="shared" si="2020"/>
        <v>0</v>
      </c>
      <c r="R3492" s="530">
        <f t="shared" si="2021"/>
        <v>0</v>
      </c>
    </row>
    <row r="3493" spans="1:18">
      <c r="A3493" s="524"/>
      <c r="B3493" s="540" t="s">
        <v>101</v>
      </c>
      <c r="C3493" s="552">
        <v>200</v>
      </c>
      <c r="D3493" s="553">
        <v>2047</v>
      </c>
      <c r="E3493" s="551">
        <v>127</v>
      </c>
      <c r="F3493" s="551">
        <v>0</v>
      </c>
      <c r="G3493" s="551">
        <v>0</v>
      </c>
      <c r="H3493" s="551">
        <v>9</v>
      </c>
      <c r="I3493" s="551">
        <v>1</v>
      </c>
      <c r="J3493" s="551">
        <v>0</v>
      </c>
      <c r="K3493" s="527">
        <f t="shared" si="2014"/>
        <v>0.0620420127015144</v>
      </c>
      <c r="L3493" s="528">
        <f t="shared" si="2015"/>
        <v>1.5748031496063</v>
      </c>
      <c r="M3493" s="528">
        <f t="shared" si="2016"/>
        <v>97.7039570102589</v>
      </c>
      <c r="N3493" s="528">
        <f t="shared" si="2017"/>
        <v>0</v>
      </c>
      <c r="O3493" s="528">
        <f t="shared" si="2018"/>
        <v>0</v>
      </c>
      <c r="P3493" s="529">
        <f t="shared" si="2019"/>
        <v>20</v>
      </c>
      <c r="Q3493" s="24">
        <f t="shared" si="2020"/>
        <v>10</v>
      </c>
      <c r="R3493" s="530">
        <f t="shared" si="2021"/>
        <v>0.078740157480315</v>
      </c>
    </row>
    <row r="3494" spans="1:18">
      <c r="A3494" s="524"/>
      <c r="B3494" s="531" t="s">
        <v>96</v>
      </c>
      <c r="C3494" s="533">
        <f t="shared" ref="C3494:J3494" si="2030">SUM(C3490:C3493)</f>
        <v>2983.99</v>
      </c>
      <c r="D3494" s="533">
        <f t="shared" si="2030"/>
        <v>34301</v>
      </c>
      <c r="E3494" s="533">
        <f t="shared" si="2030"/>
        <v>1514</v>
      </c>
      <c r="F3494" s="533">
        <f t="shared" si="2030"/>
        <v>1</v>
      </c>
      <c r="G3494" s="533">
        <f t="shared" si="2030"/>
        <v>12245</v>
      </c>
      <c r="H3494" s="533">
        <f t="shared" si="2030"/>
        <v>30</v>
      </c>
      <c r="I3494" s="533">
        <f t="shared" si="2030"/>
        <v>2</v>
      </c>
      <c r="J3494" s="533">
        <f t="shared" si="2030"/>
        <v>1</v>
      </c>
      <c r="K3494" s="534">
        <f t="shared" si="2014"/>
        <v>0.0441386548497128</v>
      </c>
      <c r="L3494" s="535">
        <f t="shared" si="2015"/>
        <v>1.97093130779392</v>
      </c>
      <c r="M3494" s="535">
        <f t="shared" si="2016"/>
        <v>86.9942567272091</v>
      </c>
      <c r="N3494" s="535">
        <f t="shared" si="2017"/>
        <v>4.10356603071726</v>
      </c>
      <c r="O3494" s="535">
        <f t="shared" si="2018"/>
        <v>0.000660501981505945</v>
      </c>
      <c r="P3494" s="536">
        <f t="shared" si="2019"/>
        <v>93.2496875</v>
      </c>
      <c r="Q3494" s="531">
        <f t="shared" si="2020"/>
        <v>32</v>
      </c>
      <c r="R3494" s="537">
        <f t="shared" si="2021"/>
        <v>0.0211360634081902</v>
      </c>
    </row>
    <row r="3495" spans="1:18">
      <c r="A3495" s="524">
        <v>46149</v>
      </c>
      <c r="B3495" s="540" t="s">
        <v>98</v>
      </c>
      <c r="C3495" s="551">
        <v>1574.12</v>
      </c>
      <c r="D3495" s="553">
        <v>13889</v>
      </c>
      <c r="E3495" s="551">
        <v>595</v>
      </c>
      <c r="F3495" s="551">
        <v>0</v>
      </c>
      <c r="G3495" s="551">
        <v>0</v>
      </c>
      <c r="H3495" s="551">
        <v>25</v>
      </c>
      <c r="I3495" s="551">
        <v>7</v>
      </c>
      <c r="J3495" s="551">
        <v>0</v>
      </c>
      <c r="K3495" s="527">
        <f t="shared" si="2014"/>
        <v>0.0428396572827417</v>
      </c>
      <c r="L3495" s="528">
        <f t="shared" si="2015"/>
        <v>2.64557983193277</v>
      </c>
      <c r="M3495" s="528">
        <f t="shared" si="2016"/>
        <v>113.335733314133</v>
      </c>
      <c r="N3495" s="528">
        <f t="shared" si="2017"/>
        <v>0</v>
      </c>
      <c r="O3495" s="528">
        <f t="shared" si="2018"/>
        <v>0</v>
      </c>
      <c r="P3495" s="529">
        <f t="shared" si="2019"/>
        <v>49.19125</v>
      </c>
      <c r="Q3495" s="24">
        <f t="shared" si="2020"/>
        <v>32</v>
      </c>
      <c r="R3495" s="530">
        <f t="shared" si="2021"/>
        <v>0.053781512605042</v>
      </c>
    </row>
    <row r="3496" spans="1:18">
      <c r="A3496" s="524"/>
      <c r="B3496" s="540" t="s">
        <v>99</v>
      </c>
      <c r="C3496" s="551">
        <v>693.42</v>
      </c>
      <c r="D3496" s="556">
        <v>22163</v>
      </c>
      <c r="E3496" s="551">
        <v>463</v>
      </c>
      <c r="F3496" s="551">
        <v>0</v>
      </c>
      <c r="G3496" s="551">
        <v>0</v>
      </c>
      <c r="H3496" s="555">
        <v>6</v>
      </c>
      <c r="I3496" s="555">
        <v>1</v>
      </c>
      <c r="J3496" s="555">
        <v>0</v>
      </c>
      <c r="K3496" s="527">
        <f t="shared" si="2014"/>
        <v>0.0208906736452646</v>
      </c>
      <c r="L3496" s="528">
        <f t="shared" si="2015"/>
        <v>1.49766738660907</v>
      </c>
      <c r="M3496" s="528">
        <f t="shared" si="2016"/>
        <v>31.2872806028065</v>
      </c>
      <c r="N3496" s="528">
        <f t="shared" si="2017"/>
        <v>0</v>
      </c>
      <c r="O3496" s="528">
        <f t="shared" si="2018"/>
        <v>0</v>
      </c>
      <c r="P3496" s="529">
        <f t="shared" si="2019"/>
        <v>99.06</v>
      </c>
      <c r="Q3496" s="24">
        <f t="shared" si="2020"/>
        <v>7</v>
      </c>
      <c r="R3496" s="530">
        <f t="shared" si="2021"/>
        <v>0.0151187904967603</v>
      </c>
    </row>
    <row r="3497" spans="1:18">
      <c r="A3497" s="524"/>
      <c r="B3497" s="540" t="s">
        <v>100</v>
      </c>
      <c r="C3497" s="552"/>
      <c r="D3497" s="553"/>
      <c r="E3497" s="553"/>
      <c r="F3497" s="551"/>
      <c r="G3497" s="551"/>
      <c r="H3497" s="551"/>
      <c r="I3497" s="551"/>
      <c r="J3497" s="551"/>
      <c r="K3497" s="527">
        <f t="shared" si="2014"/>
        <v>0</v>
      </c>
      <c r="L3497" s="528">
        <f t="shared" si="2015"/>
        <v>0</v>
      </c>
      <c r="M3497" s="528">
        <f t="shared" si="2016"/>
        <v>0</v>
      </c>
      <c r="N3497" s="528">
        <f t="shared" si="2017"/>
        <v>0</v>
      </c>
      <c r="O3497" s="528">
        <f t="shared" si="2018"/>
        <v>0</v>
      </c>
      <c r="P3497" s="529">
        <f t="shared" si="2019"/>
        <v>0</v>
      </c>
      <c r="Q3497" s="24">
        <f t="shared" si="2020"/>
        <v>0</v>
      </c>
      <c r="R3497" s="530">
        <f t="shared" si="2021"/>
        <v>0</v>
      </c>
    </row>
    <row r="3498" spans="1:18">
      <c r="A3498" s="524"/>
      <c r="B3498" s="540" t="s">
        <v>101</v>
      </c>
      <c r="C3498" s="552">
        <v>203.44</v>
      </c>
      <c r="D3498" s="553">
        <v>3795</v>
      </c>
      <c r="E3498" s="551">
        <v>194</v>
      </c>
      <c r="F3498" s="551">
        <v>0</v>
      </c>
      <c r="G3498" s="551">
        <v>0</v>
      </c>
      <c r="H3498" s="551">
        <v>15</v>
      </c>
      <c r="I3498" s="551">
        <v>0</v>
      </c>
      <c r="J3498" s="551">
        <v>1</v>
      </c>
      <c r="K3498" s="527">
        <f t="shared" si="2014"/>
        <v>0.0511198945981555</v>
      </c>
      <c r="L3498" s="528">
        <f t="shared" si="2015"/>
        <v>1.04865979381443</v>
      </c>
      <c r="M3498" s="528">
        <f t="shared" si="2016"/>
        <v>53.6073781291173</v>
      </c>
      <c r="N3498" s="528">
        <f t="shared" si="2017"/>
        <v>0</v>
      </c>
      <c r="O3498" s="528">
        <f t="shared" si="2018"/>
        <v>0</v>
      </c>
      <c r="P3498" s="529">
        <f t="shared" si="2019"/>
        <v>13.5626666666667</v>
      </c>
      <c r="Q3498" s="24">
        <f t="shared" si="2020"/>
        <v>15</v>
      </c>
      <c r="R3498" s="530">
        <f t="shared" si="2021"/>
        <v>0.077319587628866</v>
      </c>
    </row>
    <row r="3499" spans="1:18">
      <c r="A3499" s="524"/>
      <c r="B3499" s="531" t="s">
        <v>96</v>
      </c>
      <c r="C3499" s="533">
        <f t="shared" ref="C3499:J3499" si="2031">SUM(C3495:C3498)</f>
        <v>2470.98</v>
      </c>
      <c r="D3499" s="533">
        <f t="shared" si="2031"/>
        <v>39847</v>
      </c>
      <c r="E3499" s="533">
        <f t="shared" si="2031"/>
        <v>1252</v>
      </c>
      <c r="F3499" s="533">
        <f t="shared" si="2031"/>
        <v>0</v>
      </c>
      <c r="G3499" s="533">
        <f t="shared" si="2031"/>
        <v>0</v>
      </c>
      <c r="H3499" s="533">
        <f t="shared" si="2031"/>
        <v>46</v>
      </c>
      <c r="I3499" s="533">
        <f t="shared" si="2031"/>
        <v>8</v>
      </c>
      <c r="J3499" s="533">
        <f t="shared" si="2031"/>
        <v>1</v>
      </c>
      <c r="K3499" s="534">
        <f t="shared" si="2014"/>
        <v>0.0314201821969032</v>
      </c>
      <c r="L3499" s="535">
        <f t="shared" si="2015"/>
        <v>1.97362619808307</v>
      </c>
      <c r="M3499" s="535">
        <f t="shared" si="2016"/>
        <v>62.0116947323512</v>
      </c>
      <c r="N3499" s="535">
        <f t="shared" si="2017"/>
        <v>0</v>
      </c>
      <c r="O3499" s="535">
        <f t="shared" si="2018"/>
        <v>0</v>
      </c>
      <c r="P3499" s="536">
        <f t="shared" si="2019"/>
        <v>45.7588888888889</v>
      </c>
      <c r="Q3499" s="531">
        <f t="shared" si="2020"/>
        <v>54</v>
      </c>
      <c r="R3499" s="537">
        <f t="shared" si="2021"/>
        <v>0.0431309904153355</v>
      </c>
    </row>
    <row r="3500" spans="1:18">
      <c r="A3500" s="524">
        <v>46150</v>
      </c>
      <c r="B3500" s="540" t="s">
        <v>98</v>
      </c>
      <c r="C3500" s="551">
        <v>1328.03</v>
      </c>
      <c r="D3500" s="553">
        <v>15727</v>
      </c>
      <c r="E3500" s="551">
        <v>655</v>
      </c>
      <c r="F3500" s="551">
        <v>0</v>
      </c>
      <c r="G3500" s="551">
        <v>0</v>
      </c>
      <c r="H3500" s="551">
        <v>15</v>
      </c>
      <c r="I3500" s="551">
        <v>1</v>
      </c>
      <c r="J3500" s="551">
        <v>0</v>
      </c>
      <c r="K3500" s="527">
        <f t="shared" si="2014"/>
        <v>0.0416481210656832</v>
      </c>
      <c r="L3500" s="528">
        <f t="shared" si="2015"/>
        <v>2.02752671755725</v>
      </c>
      <c r="M3500" s="528">
        <f t="shared" si="2016"/>
        <v>84.4426781967317</v>
      </c>
      <c r="N3500" s="528">
        <f t="shared" si="2017"/>
        <v>0</v>
      </c>
      <c r="O3500" s="528">
        <f t="shared" si="2018"/>
        <v>0</v>
      </c>
      <c r="P3500" s="529">
        <f t="shared" si="2019"/>
        <v>83.001875</v>
      </c>
      <c r="Q3500" s="24">
        <f t="shared" si="2020"/>
        <v>16</v>
      </c>
      <c r="R3500" s="530">
        <f t="shared" si="2021"/>
        <v>0.0244274809160305</v>
      </c>
    </row>
    <row r="3501" spans="1:18">
      <c r="A3501" s="524"/>
      <c r="B3501" s="540" t="s">
        <v>99</v>
      </c>
      <c r="C3501" s="551">
        <v>1500</v>
      </c>
      <c r="D3501" s="556">
        <v>23907</v>
      </c>
      <c r="E3501" s="551">
        <v>782</v>
      </c>
      <c r="F3501" s="551">
        <v>0</v>
      </c>
      <c r="G3501" s="551">
        <v>0</v>
      </c>
      <c r="H3501" s="555">
        <v>8</v>
      </c>
      <c r="I3501" s="555">
        <v>1</v>
      </c>
      <c r="J3501" s="555">
        <v>0</v>
      </c>
      <c r="K3501" s="527">
        <f t="shared" si="2014"/>
        <v>0.0327100849123688</v>
      </c>
      <c r="L3501" s="528">
        <f t="shared" si="2015"/>
        <v>1.91815856777494</v>
      </c>
      <c r="M3501" s="528">
        <f t="shared" si="2016"/>
        <v>62.7431296273058</v>
      </c>
      <c r="N3501" s="528">
        <f t="shared" si="2017"/>
        <v>0</v>
      </c>
      <c r="O3501" s="528">
        <f t="shared" si="2018"/>
        <v>0</v>
      </c>
      <c r="P3501" s="529">
        <f t="shared" si="2019"/>
        <v>166.666666666667</v>
      </c>
      <c r="Q3501" s="24">
        <f t="shared" si="2020"/>
        <v>9</v>
      </c>
      <c r="R3501" s="530">
        <f t="shared" si="2021"/>
        <v>0.0115089514066496</v>
      </c>
    </row>
    <row r="3502" spans="1:18">
      <c r="A3502" s="524"/>
      <c r="B3502" s="540" t="s">
        <v>100</v>
      </c>
      <c r="C3502" s="552"/>
      <c r="D3502" s="553"/>
      <c r="E3502" s="553"/>
      <c r="F3502" s="551"/>
      <c r="G3502" s="551"/>
      <c r="H3502" s="551"/>
      <c r="I3502" s="551"/>
      <c r="J3502" s="551"/>
      <c r="K3502" s="527">
        <f t="shared" si="2014"/>
        <v>0</v>
      </c>
      <c r="L3502" s="528">
        <f t="shared" si="2015"/>
        <v>0</v>
      </c>
      <c r="M3502" s="528">
        <f t="shared" si="2016"/>
        <v>0</v>
      </c>
      <c r="N3502" s="528">
        <f t="shared" si="2017"/>
        <v>0</v>
      </c>
      <c r="O3502" s="528">
        <f t="shared" si="2018"/>
        <v>0</v>
      </c>
      <c r="P3502" s="529">
        <f t="shared" si="2019"/>
        <v>0</v>
      </c>
      <c r="Q3502" s="24">
        <f t="shared" si="2020"/>
        <v>0</v>
      </c>
      <c r="R3502" s="530">
        <f t="shared" si="2021"/>
        <v>0</v>
      </c>
    </row>
    <row r="3503" spans="1:18">
      <c r="A3503" s="524"/>
      <c r="B3503" s="540" t="s">
        <v>101</v>
      </c>
      <c r="C3503" s="552">
        <v>297.5</v>
      </c>
      <c r="D3503" s="553">
        <v>5337</v>
      </c>
      <c r="E3503" s="551">
        <v>175</v>
      </c>
      <c r="F3503" s="551">
        <v>0</v>
      </c>
      <c r="G3503" s="551">
        <v>0</v>
      </c>
      <c r="H3503" s="551">
        <v>17</v>
      </c>
      <c r="I3503" s="551">
        <v>0</v>
      </c>
      <c r="J3503" s="551">
        <v>0</v>
      </c>
      <c r="K3503" s="527">
        <f t="shared" si="2014"/>
        <v>0.0327899569046281</v>
      </c>
      <c r="L3503" s="528">
        <f t="shared" si="2015"/>
        <v>1.7</v>
      </c>
      <c r="M3503" s="528">
        <f t="shared" si="2016"/>
        <v>55.7429267378677</v>
      </c>
      <c r="N3503" s="528">
        <f t="shared" si="2017"/>
        <v>0</v>
      </c>
      <c r="O3503" s="528">
        <f t="shared" si="2018"/>
        <v>0</v>
      </c>
      <c r="P3503" s="529">
        <f t="shared" si="2019"/>
        <v>17.5</v>
      </c>
      <c r="Q3503" s="24">
        <f t="shared" si="2020"/>
        <v>17</v>
      </c>
      <c r="R3503" s="530">
        <f t="shared" si="2021"/>
        <v>0.0971428571428571</v>
      </c>
    </row>
    <row r="3504" spans="1:18">
      <c r="A3504" s="524"/>
      <c r="B3504" s="531" t="s">
        <v>96</v>
      </c>
      <c r="C3504" s="533">
        <f t="shared" ref="C3504:J3504" si="2032">SUM(C3500:C3503)</f>
        <v>3125.53</v>
      </c>
      <c r="D3504" s="533">
        <f t="shared" si="2032"/>
        <v>44971</v>
      </c>
      <c r="E3504" s="533">
        <f t="shared" si="2032"/>
        <v>1612</v>
      </c>
      <c r="F3504" s="533">
        <f t="shared" si="2032"/>
        <v>0</v>
      </c>
      <c r="G3504" s="533">
        <f t="shared" si="2032"/>
        <v>0</v>
      </c>
      <c r="H3504" s="533">
        <f t="shared" si="2032"/>
        <v>40</v>
      </c>
      <c r="I3504" s="533">
        <f t="shared" si="2032"/>
        <v>2</v>
      </c>
      <c r="J3504" s="533">
        <f t="shared" si="2032"/>
        <v>0</v>
      </c>
      <c r="K3504" s="534">
        <f t="shared" si="2014"/>
        <v>0.0358453225411932</v>
      </c>
      <c r="L3504" s="535">
        <f t="shared" si="2015"/>
        <v>1.93891439205955</v>
      </c>
      <c r="M3504" s="535">
        <f t="shared" si="2016"/>
        <v>69.5010117631362</v>
      </c>
      <c r="N3504" s="535">
        <f t="shared" si="2017"/>
        <v>0</v>
      </c>
      <c r="O3504" s="535">
        <f t="shared" si="2018"/>
        <v>0</v>
      </c>
      <c r="P3504" s="536">
        <f t="shared" si="2019"/>
        <v>74.417380952381</v>
      </c>
      <c r="Q3504" s="531">
        <f t="shared" si="2020"/>
        <v>42</v>
      </c>
      <c r="R3504" s="537">
        <f t="shared" si="2021"/>
        <v>0.0260545905707196</v>
      </c>
    </row>
  </sheetData>
  <autoFilter xmlns:etc="http://www.wps.cn/officeDocument/2017/etCustomData" ref="A1:R3504" etc:filterBottomFollowUsedRange="0">
    <filterColumn colId="0">
      <filters>
        <dateGroupItem year="2024" month="11" dateTimeGrouping="month"/>
      </filters>
    </filterColumn>
    <extLst/>
  </autoFilter>
  <mergeCells count="707">
    <mergeCell ref="A2:A7"/>
    <mergeCell ref="A8:A13"/>
    <mergeCell ref="A14:A19"/>
    <mergeCell ref="A20:A25"/>
    <mergeCell ref="A26:A31"/>
    <mergeCell ref="A32:A37"/>
    <mergeCell ref="A38:A43"/>
    <mergeCell ref="A44:A49"/>
    <mergeCell ref="A50:A55"/>
    <mergeCell ref="A56:A61"/>
    <mergeCell ref="A62:A67"/>
    <mergeCell ref="A68:A73"/>
    <mergeCell ref="A74:A79"/>
    <mergeCell ref="A80:A85"/>
    <mergeCell ref="A86:A91"/>
    <mergeCell ref="A92:A97"/>
    <mergeCell ref="A98:A103"/>
    <mergeCell ref="A104:A109"/>
    <mergeCell ref="A110:A115"/>
    <mergeCell ref="A116:A121"/>
    <mergeCell ref="A122:A127"/>
    <mergeCell ref="A128:A133"/>
    <mergeCell ref="A134:A139"/>
    <mergeCell ref="A140:A145"/>
    <mergeCell ref="A146:A151"/>
    <mergeCell ref="A152:A157"/>
    <mergeCell ref="A158:A163"/>
    <mergeCell ref="A164:A169"/>
    <mergeCell ref="A170:A175"/>
    <mergeCell ref="A176:A181"/>
    <mergeCell ref="A182:A186"/>
    <mergeCell ref="A187:A191"/>
    <mergeCell ref="A192:A196"/>
    <mergeCell ref="A197:A201"/>
    <mergeCell ref="A202:A206"/>
    <mergeCell ref="A207:A211"/>
    <mergeCell ref="A212:A216"/>
    <mergeCell ref="A217:A221"/>
    <mergeCell ref="A222:A226"/>
    <mergeCell ref="A227:A231"/>
    <mergeCell ref="A232:A236"/>
    <mergeCell ref="A237:A241"/>
    <mergeCell ref="A242:A246"/>
    <mergeCell ref="A247:A251"/>
    <mergeCell ref="A252:A256"/>
    <mergeCell ref="A257:A261"/>
    <mergeCell ref="A262:A266"/>
    <mergeCell ref="A267:A271"/>
    <mergeCell ref="A272:A276"/>
    <mergeCell ref="A277:A281"/>
    <mergeCell ref="A282:A286"/>
    <mergeCell ref="A287:A291"/>
    <mergeCell ref="A292:A296"/>
    <mergeCell ref="A297:A301"/>
    <mergeCell ref="A302:A306"/>
    <mergeCell ref="A307:A311"/>
    <mergeCell ref="A312:A316"/>
    <mergeCell ref="A317:A322"/>
    <mergeCell ref="A323:A327"/>
    <mergeCell ref="A328:A332"/>
    <mergeCell ref="A333:A337"/>
    <mergeCell ref="A338:A341"/>
    <mergeCell ref="A342:A345"/>
    <mergeCell ref="A346:A349"/>
    <mergeCell ref="A350:A353"/>
    <mergeCell ref="A354:A357"/>
    <mergeCell ref="A358:A361"/>
    <mergeCell ref="A362:A365"/>
    <mergeCell ref="A366:A369"/>
    <mergeCell ref="A370:A373"/>
    <mergeCell ref="A374:A377"/>
    <mergeCell ref="A378:A381"/>
    <mergeCell ref="A382:A385"/>
    <mergeCell ref="A386:A389"/>
    <mergeCell ref="A390:A393"/>
    <mergeCell ref="A394:A397"/>
    <mergeCell ref="A398:A401"/>
    <mergeCell ref="A402:A405"/>
    <mergeCell ref="A406:A409"/>
    <mergeCell ref="A410:A413"/>
    <mergeCell ref="A414:A417"/>
    <mergeCell ref="A418:A421"/>
    <mergeCell ref="A422:A425"/>
    <mergeCell ref="A426:A429"/>
    <mergeCell ref="A430:A433"/>
    <mergeCell ref="A434:A437"/>
    <mergeCell ref="A438:A441"/>
    <mergeCell ref="A442:A445"/>
    <mergeCell ref="A446:A449"/>
    <mergeCell ref="A450:A453"/>
    <mergeCell ref="A454:A457"/>
    <mergeCell ref="A458:A461"/>
    <mergeCell ref="A462:A465"/>
    <mergeCell ref="A466:A469"/>
    <mergeCell ref="A470:A473"/>
    <mergeCell ref="A474:A477"/>
    <mergeCell ref="A478:A481"/>
    <mergeCell ref="A482:A485"/>
    <mergeCell ref="A486:A489"/>
    <mergeCell ref="A490:A493"/>
    <mergeCell ref="A494:A497"/>
    <mergeCell ref="A498:A501"/>
    <mergeCell ref="A502:A505"/>
    <mergeCell ref="A506:A509"/>
    <mergeCell ref="A510:A513"/>
    <mergeCell ref="A514:A517"/>
    <mergeCell ref="A518:A521"/>
    <mergeCell ref="A522:A525"/>
    <mergeCell ref="A526:A529"/>
    <mergeCell ref="A530:A533"/>
    <mergeCell ref="A534:A537"/>
    <mergeCell ref="A538:A541"/>
    <mergeCell ref="A542:A545"/>
    <mergeCell ref="A546:A549"/>
    <mergeCell ref="A550:A553"/>
    <mergeCell ref="A554:A558"/>
    <mergeCell ref="A559:A562"/>
    <mergeCell ref="A563:A567"/>
    <mergeCell ref="A568:A572"/>
    <mergeCell ref="A573:A576"/>
    <mergeCell ref="A577:A580"/>
    <mergeCell ref="A581:A584"/>
    <mergeCell ref="A585:A588"/>
    <mergeCell ref="A589:A592"/>
    <mergeCell ref="A593:A596"/>
    <mergeCell ref="A597:A600"/>
    <mergeCell ref="A601:A604"/>
    <mergeCell ref="A605:A609"/>
    <mergeCell ref="A610:A614"/>
    <mergeCell ref="A615:A619"/>
    <mergeCell ref="A620:A624"/>
    <mergeCell ref="A625:A629"/>
    <mergeCell ref="A630:A634"/>
    <mergeCell ref="A635:A639"/>
    <mergeCell ref="A640:A644"/>
    <mergeCell ref="A645:A649"/>
    <mergeCell ref="A650:A654"/>
    <mergeCell ref="A655:A659"/>
    <mergeCell ref="A660:A664"/>
    <mergeCell ref="A665:A669"/>
    <mergeCell ref="A670:A674"/>
    <mergeCell ref="A675:A679"/>
    <mergeCell ref="A680:A684"/>
    <mergeCell ref="A685:A689"/>
    <mergeCell ref="A690:A694"/>
    <mergeCell ref="A695:A699"/>
    <mergeCell ref="A700:A704"/>
    <mergeCell ref="A705:A709"/>
    <mergeCell ref="A710:A714"/>
    <mergeCell ref="A715:A719"/>
    <mergeCell ref="A720:A724"/>
    <mergeCell ref="A725:A729"/>
    <mergeCell ref="A730:A734"/>
    <mergeCell ref="A735:A739"/>
    <mergeCell ref="A740:A744"/>
    <mergeCell ref="A745:A749"/>
    <mergeCell ref="A750:A754"/>
    <mergeCell ref="A755:A759"/>
    <mergeCell ref="A760:A764"/>
    <mergeCell ref="A765:A769"/>
    <mergeCell ref="A770:A774"/>
    <mergeCell ref="A775:A779"/>
    <mergeCell ref="A780:A784"/>
    <mergeCell ref="A785:A789"/>
    <mergeCell ref="A790:A794"/>
    <mergeCell ref="A795:A799"/>
    <mergeCell ref="A800:A804"/>
    <mergeCell ref="A805:A809"/>
    <mergeCell ref="A810:A814"/>
    <mergeCell ref="A815:A819"/>
    <mergeCell ref="A820:A824"/>
    <mergeCell ref="A825:A829"/>
    <mergeCell ref="A830:A834"/>
    <mergeCell ref="A835:A839"/>
    <mergeCell ref="A840:A844"/>
    <mergeCell ref="A845:A849"/>
    <mergeCell ref="A850:A854"/>
    <mergeCell ref="A855:A859"/>
    <mergeCell ref="A860:A864"/>
    <mergeCell ref="A865:A869"/>
    <mergeCell ref="A870:A874"/>
    <mergeCell ref="A875:A879"/>
    <mergeCell ref="A880:A884"/>
    <mergeCell ref="A885:A889"/>
    <mergeCell ref="A890:A894"/>
    <mergeCell ref="A895:A899"/>
    <mergeCell ref="A900:A904"/>
    <mergeCell ref="A905:A909"/>
    <mergeCell ref="A910:A914"/>
    <mergeCell ref="A915:A919"/>
    <mergeCell ref="A920:A924"/>
    <mergeCell ref="A925:A929"/>
    <mergeCell ref="A930:A934"/>
    <mergeCell ref="A935:A939"/>
    <mergeCell ref="A940:A944"/>
    <mergeCell ref="A945:A949"/>
    <mergeCell ref="A950:A954"/>
    <mergeCell ref="A955:A959"/>
    <mergeCell ref="A960:A964"/>
    <mergeCell ref="A965:A969"/>
    <mergeCell ref="A970:A974"/>
    <mergeCell ref="A975:A979"/>
    <mergeCell ref="A980:A984"/>
    <mergeCell ref="A985:A989"/>
    <mergeCell ref="A990:A994"/>
    <mergeCell ref="A995:A999"/>
    <mergeCell ref="A1000:A1004"/>
    <mergeCell ref="A1005:A1009"/>
    <mergeCell ref="A1010:A1014"/>
    <mergeCell ref="A1015:A1019"/>
    <mergeCell ref="A1020:A1024"/>
    <mergeCell ref="A1025:A1029"/>
    <mergeCell ref="A1030:A1034"/>
    <mergeCell ref="A1035:A1039"/>
    <mergeCell ref="A1040:A1044"/>
    <mergeCell ref="A1045:A1049"/>
    <mergeCell ref="A1050:A1054"/>
    <mergeCell ref="A1055:A1059"/>
    <mergeCell ref="A1060:A1064"/>
    <mergeCell ref="A1065:A1069"/>
    <mergeCell ref="A1070:A1074"/>
    <mergeCell ref="A1075:A1079"/>
    <mergeCell ref="A1080:A1084"/>
    <mergeCell ref="A1085:A1089"/>
    <mergeCell ref="A1090:A1094"/>
    <mergeCell ref="A1095:A1099"/>
    <mergeCell ref="A1100:A1104"/>
    <mergeCell ref="A1105:A1109"/>
    <mergeCell ref="A1110:A1114"/>
    <mergeCell ref="A1115:A1119"/>
    <mergeCell ref="A1120:A1124"/>
    <mergeCell ref="A1125:A1129"/>
    <mergeCell ref="A1130:A1134"/>
    <mergeCell ref="A1135:A1139"/>
    <mergeCell ref="A1140:A1144"/>
    <mergeCell ref="A1145:A1149"/>
    <mergeCell ref="A1150:A1154"/>
    <mergeCell ref="A1155:A1159"/>
    <mergeCell ref="A1160:A1164"/>
    <mergeCell ref="A1165:A1169"/>
    <mergeCell ref="A1170:A1174"/>
    <mergeCell ref="A1175:A1179"/>
    <mergeCell ref="A1180:A1184"/>
    <mergeCell ref="A1185:A1189"/>
    <mergeCell ref="A1190:A1194"/>
    <mergeCell ref="A1195:A1199"/>
    <mergeCell ref="A1200:A1204"/>
    <mergeCell ref="A1205:A1209"/>
    <mergeCell ref="A1210:A1214"/>
    <mergeCell ref="A1215:A1219"/>
    <mergeCell ref="A1220:A1224"/>
    <mergeCell ref="A1225:A1229"/>
    <mergeCell ref="A1230:A1234"/>
    <mergeCell ref="A1235:A1239"/>
    <mergeCell ref="A1240:A1244"/>
    <mergeCell ref="A1245:A1249"/>
    <mergeCell ref="A1250:A1254"/>
    <mergeCell ref="A1255:A1259"/>
    <mergeCell ref="A1260:A1264"/>
    <mergeCell ref="A1265:A1269"/>
    <mergeCell ref="A1270:A1274"/>
    <mergeCell ref="A1275:A1279"/>
    <mergeCell ref="A1280:A1284"/>
    <mergeCell ref="A1285:A1289"/>
    <mergeCell ref="A1290:A1294"/>
    <mergeCell ref="A1295:A1299"/>
    <mergeCell ref="A1300:A1304"/>
    <mergeCell ref="A1305:A1309"/>
    <mergeCell ref="A1310:A1314"/>
    <mergeCell ref="A1315:A1319"/>
    <mergeCell ref="A1320:A1324"/>
    <mergeCell ref="A1325:A1329"/>
    <mergeCell ref="A1330:A1334"/>
    <mergeCell ref="A1335:A1339"/>
    <mergeCell ref="A1340:A1344"/>
    <mergeCell ref="A1345:A1349"/>
    <mergeCell ref="A1350:A1354"/>
    <mergeCell ref="A1355:A1359"/>
    <mergeCell ref="A1360:A1364"/>
    <mergeCell ref="A1365:A1369"/>
    <mergeCell ref="A1370:A1374"/>
    <mergeCell ref="A1375:A1379"/>
    <mergeCell ref="A1380:A1384"/>
    <mergeCell ref="A1385:A1389"/>
    <mergeCell ref="A1390:A1394"/>
    <mergeCell ref="A1395:A1399"/>
    <mergeCell ref="A1400:A1404"/>
    <mergeCell ref="A1405:A1409"/>
    <mergeCell ref="A1410:A1414"/>
    <mergeCell ref="A1415:A1419"/>
    <mergeCell ref="A1420:A1424"/>
    <mergeCell ref="A1425:A1429"/>
    <mergeCell ref="A1430:A1434"/>
    <mergeCell ref="A1435:A1439"/>
    <mergeCell ref="A1440:A1444"/>
    <mergeCell ref="A1445:A1449"/>
    <mergeCell ref="A1450:A1454"/>
    <mergeCell ref="A1455:A1459"/>
    <mergeCell ref="A1460:A1464"/>
    <mergeCell ref="A1465:A1469"/>
    <mergeCell ref="A1470:A1474"/>
    <mergeCell ref="A1475:A1479"/>
    <mergeCell ref="A1480:A1484"/>
    <mergeCell ref="A1485:A1489"/>
    <mergeCell ref="A1490:A1494"/>
    <mergeCell ref="A1495:A1499"/>
    <mergeCell ref="A1500:A1504"/>
    <mergeCell ref="A1505:A1509"/>
    <mergeCell ref="A1510:A1514"/>
    <mergeCell ref="A1515:A1519"/>
    <mergeCell ref="A1520:A1524"/>
    <mergeCell ref="A1525:A1529"/>
    <mergeCell ref="A1530:A1534"/>
    <mergeCell ref="A1535:A1539"/>
    <mergeCell ref="A1540:A1544"/>
    <mergeCell ref="A1545:A1549"/>
    <mergeCell ref="A1550:A1554"/>
    <mergeCell ref="A1555:A1559"/>
    <mergeCell ref="A1560:A1564"/>
    <mergeCell ref="A1565:A1569"/>
    <mergeCell ref="A1570:A1574"/>
    <mergeCell ref="A1575:A1579"/>
    <mergeCell ref="A1580:A1584"/>
    <mergeCell ref="A1585:A1589"/>
    <mergeCell ref="A1590:A1594"/>
    <mergeCell ref="A1595:A1599"/>
    <mergeCell ref="A1600:A1604"/>
    <mergeCell ref="A1605:A1609"/>
    <mergeCell ref="A1610:A1614"/>
    <mergeCell ref="A1615:A1619"/>
    <mergeCell ref="A1620:A1624"/>
    <mergeCell ref="A1625:A1629"/>
    <mergeCell ref="A1630:A1634"/>
    <mergeCell ref="A1635:A1639"/>
    <mergeCell ref="A1640:A1644"/>
    <mergeCell ref="A1645:A1649"/>
    <mergeCell ref="A1650:A1654"/>
    <mergeCell ref="A1655:A1659"/>
    <mergeCell ref="A1660:A1664"/>
    <mergeCell ref="A1665:A1669"/>
    <mergeCell ref="A1670:A1674"/>
    <mergeCell ref="A1675:A1679"/>
    <mergeCell ref="A1680:A1684"/>
    <mergeCell ref="A1685:A1689"/>
    <mergeCell ref="A1690:A1694"/>
    <mergeCell ref="A1695:A1699"/>
    <mergeCell ref="A1700:A1704"/>
    <mergeCell ref="A1705:A1709"/>
    <mergeCell ref="A1710:A1714"/>
    <mergeCell ref="A1715:A1719"/>
    <mergeCell ref="A1720:A1724"/>
    <mergeCell ref="A1725:A1729"/>
    <mergeCell ref="A1730:A1734"/>
    <mergeCell ref="A1735:A1739"/>
    <mergeCell ref="A1740:A1744"/>
    <mergeCell ref="A1745:A1749"/>
    <mergeCell ref="A1750:A1754"/>
    <mergeCell ref="A1755:A1759"/>
    <mergeCell ref="A1760:A1764"/>
    <mergeCell ref="A1765:A1769"/>
    <mergeCell ref="A1770:A1774"/>
    <mergeCell ref="A1775:A1779"/>
    <mergeCell ref="A1780:A1784"/>
    <mergeCell ref="A1785:A1789"/>
    <mergeCell ref="A1790:A1794"/>
    <mergeCell ref="A1795:A1799"/>
    <mergeCell ref="A1800:A1804"/>
    <mergeCell ref="A1805:A1809"/>
    <mergeCell ref="A1810:A1814"/>
    <mergeCell ref="A1815:A1819"/>
    <mergeCell ref="A1820:A1824"/>
    <mergeCell ref="A1825:A1829"/>
    <mergeCell ref="A1830:A1834"/>
    <mergeCell ref="A1835:A1839"/>
    <mergeCell ref="A1840:A1844"/>
    <mergeCell ref="A1845:A1849"/>
    <mergeCell ref="A1850:A1854"/>
    <mergeCell ref="A1855:A1859"/>
    <mergeCell ref="A1860:A1864"/>
    <mergeCell ref="A1865:A1869"/>
    <mergeCell ref="A1870:A1874"/>
    <mergeCell ref="A1875:A1879"/>
    <mergeCell ref="A1880:A1884"/>
    <mergeCell ref="A1885:A1889"/>
    <mergeCell ref="A1890:A1894"/>
    <mergeCell ref="A1895:A1899"/>
    <mergeCell ref="A1900:A1904"/>
    <mergeCell ref="A1905:A1909"/>
    <mergeCell ref="A1910:A1914"/>
    <mergeCell ref="A1915:A1919"/>
    <mergeCell ref="A1920:A1924"/>
    <mergeCell ref="A1925:A1929"/>
    <mergeCell ref="A1930:A1934"/>
    <mergeCell ref="A1935:A1939"/>
    <mergeCell ref="A1940:A1944"/>
    <mergeCell ref="A1945:A1949"/>
    <mergeCell ref="A1950:A1954"/>
    <mergeCell ref="A1955:A1959"/>
    <mergeCell ref="A1960:A1964"/>
    <mergeCell ref="A1965:A1969"/>
    <mergeCell ref="A1970:A1974"/>
    <mergeCell ref="A1975:A1979"/>
    <mergeCell ref="A1980:A1984"/>
    <mergeCell ref="A1985:A1989"/>
    <mergeCell ref="A1990:A1994"/>
    <mergeCell ref="A1995:A1999"/>
    <mergeCell ref="A2000:A2004"/>
    <mergeCell ref="A2005:A2009"/>
    <mergeCell ref="A2010:A2014"/>
    <mergeCell ref="A2015:A2019"/>
    <mergeCell ref="A2020:A2024"/>
    <mergeCell ref="A2025:A2029"/>
    <mergeCell ref="A2030:A2034"/>
    <mergeCell ref="A2035:A2039"/>
    <mergeCell ref="A2040:A2044"/>
    <mergeCell ref="A2045:A2049"/>
    <mergeCell ref="A2050:A2054"/>
    <mergeCell ref="A2055:A2059"/>
    <mergeCell ref="A2060:A2064"/>
    <mergeCell ref="A2065:A2069"/>
    <mergeCell ref="A2070:A2074"/>
    <mergeCell ref="A2075:A2079"/>
    <mergeCell ref="A2080:A2084"/>
    <mergeCell ref="A2085:A2089"/>
    <mergeCell ref="A2090:A2094"/>
    <mergeCell ref="A2095:A2099"/>
    <mergeCell ref="A2100:A2104"/>
    <mergeCell ref="A2105:A2109"/>
    <mergeCell ref="A2110:A2114"/>
    <mergeCell ref="A2115:A2119"/>
    <mergeCell ref="A2120:A2124"/>
    <mergeCell ref="A2125:A2129"/>
    <mergeCell ref="A2130:A2134"/>
    <mergeCell ref="A2135:A2139"/>
    <mergeCell ref="A2140:A2144"/>
    <mergeCell ref="A2145:A2149"/>
    <mergeCell ref="A2150:A2154"/>
    <mergeCell ref="A2155:A2159"/>
    <mergeCell ref="A2160:A2164"/>
    <mergeCell ref="A2165:A2169"/>
    <mergeCell ref="A2170:A2174"/>
    <mergeCell ref="A2175:A2179"/>
    <mergeCell ref="A2180:A2184"/>
    <mergeCell ref="A2185:A2189"/>
    <mergeCell ref="A2190:A2194"/>
    <mergeCell ref="A2195:A2199"/>
    <mergeCell ref="A2200:A2204"/>
    <mergeCell ref="A2205:A2209"/>
    <mergeCell ref="A2210:A2214"/>
    <mergeCell ref="A2215:A2219"/>
    <mergeCell ref="A2220:A2224"/>
    <mergeCell ref="A2225:A2229"/>
    <mergeCell ref="A2230:A2234"/>
    <mergeCell ref="A2235:A2239"/>
    <mergeCell ref="A2240:A2244"/>
    <mergeCell ref="A2245:A2249"/>
    <mergeCell ref="A2250:A2254"/>
    <mergeCell ref="A2255:A2259"/>
    <mergeCell ref="A2260:A2264"/>
    <mergeCell ref="A2265:A2269"/>
    <mergeCell ref="A2270:A2274"/>
    <mergeCell ref="A2275:A2279"/>
    <mergeCell ref="A2280:A2284"/>
    <mergeCell ref="A2285:A2289"/>
    <mergeCell ref="A2290:A2294"/>
    <mergeCell ref="A2295:A2299"/>
    <mergeCell ref="A2300:A2304"/>
    <mergeCell ref="A2305:A2309"/>
    <mergeCell ref="A2310:A2314"/>
    <mergeCell ref="A2315:A2319"/>
    <mergeCell ref="A2320:A2324"/>
    <mergeCell ref="A2325:A2329"/>
    <mergeCell ref="A2330:A2334"/>
    <mergeCell ref="A2335:A2339"/>
    <mergeCell ref="A2340:A2344"/>
    <mergeCell ref="A2345:A2349"/>
    <mergeCell ref="A2350:A2354"/>
    <mergeCell ref="A2355:A2359"/>
    <mergeCell ref="A2360:A2364"/>
    <mergeCell ref="A2365:A2369"/>
    <mergeCell ref="A2370:A2374"/>
    <mergeCell ref="A2375:A2379"/>
    <mergeCell ref="A2380:A2384"/>
    <mergeCell ref="A2385:A2389"/>
    <mergeCell ref="A2390:A2394"/>
    <mergeCell ref="A2395:A2399"/>
    <mergeCell ref="A2400:A2404"/>
    <mergeCell ref="A2405:A2409"/>
    <mergeCell ref="A2410:A2414"/>
    <mergeCell ref="A2415:A2419"/>
    <mergeCell ref="A2420:A2424"/>
    <mergeCell ref="A2425:A2429"/>
    <mergeCell ref="A2430:A2434"/>
    <mergeCell ref="A2435:A2439"/>
    <mergeCell ref="A2440:A2444"/>
    <mergeCell ref="A2445:A2449"/>
    <mergeCell ref="A2450:A2454"/>
    <mergeCell ref="A2455:A2459"/>
    <mergeCell ref="A2460:A2464"/>
    <mergeCell ref="A2465:A2469"/>
    <mergeCell ref="A2470:A2474"/>
    <mergeCell ref="A2475:A2479"/>
    <mergeCell ref="A2480:A2484"/>
    <mergeCell ref="A2485:A2489"/>
    <mergeCell ref="A2490:A2494"/>
    <mergeCell ref="A2495:A2499"/>
    <mergeCell ref="A2500:A2504"/>
    <mergeCell ref="A2505:A2509"/>
    <mergeCell ref="A2510:A2514"/>
    <mergeCell ref="A2515:A2519"/>
    <mergeCell ref="A2520:A2524"/>
    <mergeCell ref="A2525:A2529"/>
    <mergeCell ref="A2530:A2534"/>
    <mergeCell ref="A2535:A2539"/>
    <mergeCell ref="A2540:A2544"/>
    <mergeCell ref="A2545:A2549"/>
    <mergeCell ref="A2550:A2554"/>
    <mergeCell ref="A2555:A2559"/>
    <mergeCell ref="A2560:A2564"/>
    <mergeCell ref="A2565:A2569"/>
    <mergeCell ref="A2570:A2574"/>
    <mergeCell ref="A2575:A2579"/>
    <mergeCell ref="A2580:A2584"/>
    <mergeCell ref="A2585:A2589"/>
    <mergeCell ref="A2590:A2594"/>
    <mergeCell ref="A2595:A2599"/>
    <mergeCell ref="A2600:A2604"/>
    <mergeCell ref="A2605:A2609"/>
    <mergeCell ref="A2610:A2614"/>
    <mergeCell ref="A2615:A2619"/>
    <mergeCell ref="A2620:A2624"/>
    <mergeCell ref="A2625:A2629"/>
    <mergeCell ref="A2630:A2634"/>
    <mergeCell ref="A2635:A2639"/>
    <mergeCell ref="A2640:A2644"/>
    <mergeCell ref="A2645:A2649"/>
    <mergeCell ref="A2650:A2654"/>
    <mergeCell ref="A2655:A2659"/>
    <mergeCell ref="A2660:A2664"/>
    <mergeCell ref="A2665:A2669"/>
    <mergeCell ref="A2670:A2674"/>
    <mergeCell ref="A2675:A2679"/>
    <mergeCell ref="A2680:A2684"/>
    <mergeCell ref="A2685:A2689"/>
    <mergeCell ref="A2690:A2694"/>
    <mergeCell ref="A2695:A2699"/>
    <mergeCell ref="A2700:A2704"/>
    <mergeCell ref="A2705:A2709"/>
    <mergeCell ref="A2710:A2714"/>
    <mergeCell ref="A2715:A2719"/>
    <mergeCell ref="A2720:A2724"/>
    <mergeCell ref="A2725:A2729"/>
    <mergeCell ref="A2730:A2734"/>
    <mergeCell ref="A2735:A2739"/>
    <mergeCell ref="A2740:A2744"/>
    <mergeCell ref="A2745:A2749"/>
    <mergeCell ref="A2750:A2754"/>
    <mergeCell ref="A2755:A2759"/>
    <mergeCell ref="A2760:A2764"/>
    <mergeCell ref="A2765:A2769"/>
    <mergeCell ref="A2770:A2774"/>
    <mergeCell ref="A2775:A2779"/>
    <mergeCell ref="A2780:A2784"/>
    <mergeCell ref="A2785:A2789"/>
    <mergeCell ref="A2790:A2794"/>
    <mergeCell ref="A2795:A2799"/>
    <mergeCell ref="A2800:A2804"/>
    <mergeCell ref="A2805:A2809"/>
    <mergeCell ref="A2810:A2814"/>
    <mergeCell ref="A2815:A2819"/>
    <mergeCell ref="A2820:A2824"/>
    <mergeCell ref="A2825:A2829"/>
    <mergeCell ref="A2830:A2834"/>
    <mergeCell ref="A2835:A2839"/>
    <mergeCell ref="A2840:A2844"/>
    <mergeCell ref="A2845:A2849"/>
    <mergeCell ref="A2850:A2854"/>
    <mergeCell ref="A2855:A2859"/>
    <mergeCell ref="A2860:A2864"/>
    <mergeCell ref="A2865:A2869"/>
    <mergeCell ref="A2870:A2874"/>
    <mergeCell ref="A2875:A2879"/>
    <mergeCell ref="A2880:A2884"/>
    <mergeCell ref="A2885:A2889"/>
    <mergeCell ref="A2890:A2894"/>
    <mergeCell ref="A2895:A2899"/>
    <mergeCell ref="A2900:A2904"/>
    <mergeCell ref="A2905:A2909"/>
    <mergeCell ref="A2910:A2914"/>
    <mergeCell ref="A2915:A2919"/>
    <mergeCell ref="A2920:A2924"/>
    <mergeCell ref="A2925:A2929"/>
    <mergeCell ref="A2930:A2934"/>
    <mergeCell ref="A2935:A2939"/>
    <mergeCell ref="A2940:A2944"/>
    <mergeCell ref="A2945:A2949"/>
    <mergeCell ref="A2950:A2954"/>
    <mergeCell ref="A2955:A2959"/>
    <mergeCell ref="A2960:A2964"/>
    <mergeCell ref="A2965:A2969"/>
    <mergeCell ref="A2970:A2974"/>
    <mergeCell ref="A2975:A2979"/>
    <mergeCell ref="A2980:A2984"/>
    <mergeCell ref="A2985:A2989"/>
    <mergeCell ref="A2990:A2994"/>
    <mergeCell ref="A2995:A2999"/>
    <mergeCell ref="A3000:A3004"/>
    <mergeCell ref="A3005:A3009"/>
    <mergeCell ref="A3010:A3014"/>
    <mergeCell ref="A3015:A3019"/>
    <mergeCell ref="A3020:A3024"/>
    <mergeCell ref="A3025:A3029"/>
    <mergeCell ref="A3030:A3034"/>
    <mergeCell ref="A3035:A3039"/>
    <mergeCell ref="A3040:A3044"/>
    <mergeCell ref="A3045:A3049"/>
    <mergeCell ref="A3050:A3054"/>
    <mergeCell ref="A3055:A3059"/>
    <mergeCell ref="A3060:A3064"/>
    <mergeCell ref="A3065:A3069"/>
    <mergeCell ref="A3070:A3074"/>
    <mergeCell ref="A3075:A3079"/>
    <mergeCell ref="A3080:A3084"/>
    <mergeCell ref="A3085:A3089"/>
    <mergeCell ref="A3090:A3094"/>
    <mergeCell ref="A3095:A3099"/>
    <mergeCell ref="A3100:A3104"/>
    <mergeCell ref="A3105:A3109"/>
    <mergeCell ref="A3110:A3114"/>
    <mergeCell ref="A3115:A3119"/>
    <mergeCell ref="A3120:A3124"/>
    <mergeCell ref="A3125:A3129"/>
    <mergeCell ref="A3130:A3134"/>
    <mergeCell ref="A3135:A3139"/>
    <mergeCell ref="A3140:A3144"/>
    <mergeCell ref="A3145:A3149"/>
    <mergeCell ref="A3150:A3154"/>
    <mergeCell ref="A3155:A3159"/>
    <mergeCell ref="A3160:A3164"/>
    <mergeCell ref="A3165:A3169"/>
    <mergeCell ref="A3170:A3174"/>
    <mergeCell ref="A3175:A3179"/>
    <mergeCell ref="A3180:A3184"/>
    <mergeCell ref="A3185:A3189"/>
    <mergeCell ref="A3190:A3194"/>
    <mergeCell ref="A3195:A3199"/>
    <mergeCell ref="A3200:A3204"/>
    <mergeCell ref="A3205:A3209"/>
    <mergeCell ref="A3210:A3214"/>
    <mergeCell ref="A3215:A3219"/>
    <mergeCell ref="A3220:A3224"/>
    <mergeCell ref="A3225:A3229"/>
    <mergeCell ref="A3230:A3234"/>
    <mergeCell ref="A3235:A3239"/>
    <mergeCell ref="A3240:A3244"/>
    <mergeCell ref="A3245:A3249"/>
    <mergeCell ref="A3250:A3254"/>
    <mergeCell ref="A3255:A3259"/>
    <mergeCell ref="A3260:A3264"/>
    <mergeCell ref="A3265:A3269"/>
    <mergeCell ref="A3270:A3274"/>
    <mergeCell ref="A3275:A3279"/>
    <mergeCell ref="A3280:A3284"/>
    <mergeCell ref="A3285:A3289"/>
    <mergeCell ref="A3290:A3294"/>
    <mergeCell ref="A3295:A3299"/>
    <mergeCell ref="A3300:A3304"/>
    <mergeCell ref="A3305:A3309"/>
    <mergeCell ref="A3310:A3314"/>
    <mergeCell ref="A3315:A3319"/>
    <mergeCell ref="A3320:A3324"/>
    <mergeCell ref="A3325:A3329"/>
    <mergeCell ref="A3330:A3334"/>
    <mergeCell ref="A3335:A3339"/>
    <mergeCell ref="A3340:A3344"/>
    <mergeCell ref="A3345:A3349"/>
    <mergeCell ref="A3350:A3354"/>
    <mergeCell ref="A3355:A3359"/>
    <mergeCell ref="A3360:A3364"/>
    <mergeCell ref="A3365:A3369"/>
    <mergeCell ref="A3370:A3374"/>
    <mergeCell ref="A3375:A3379"/>
    <mergeCell ref="A3380:A3384"/>
    <mergeCell ref="A3385:A3389"/>
    <mergeCell ref="A3390:A3394"/>
    <mergeCell ref="A3395:A3399"/>
    <mergeCell ref="A3400:A3404"/>
    <mergeCell ref="A3405:A3409"/>
    <mergeCell ref="A3410:A3414"/>
    <mergeCell ref="A3415:A3419"/>
    <mergeCell ref="A3420:A3424"/>
    <mergeCell ref="A3425:A3429"/>
    <mergeCell ref="A3430:A3434"/>
    <mergeCell ref="A3435:A3439"/>
    <mergeCell ref="A3440:A3444"/>
    <mergeCell ref="A3445:A3449"/>
    <mergeCell ref="A3450:A3454"/>
    <mergeCell ref="A3455:A3459"/>
    <mergeCell ref="A3460:A3464"/>
    <mergeCell ref="A3465:A3469"/>
    <mergeCell ref="A3470:A3474"/>
    <mergeCell ref="A3475:A3479"/>
    <mergeCell ref="A3480:A3484"/>
    <mergeCell ref="A3485:A3489"/>
    <mergeCell ref="A3490:A3494"/>
    <mergeCell ref="A3495:A3499"/>
    <mergeCell ref="A3500:A3504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53"/>
  <sheetViews>
    <sheetView zoomScale="85" zoomScaleNormal="85" workbookViewId="0">
      <pane xSplit="1" ySplit="2" topLeftCell="AM627" activePane="bottomRight" state="frozen"/>
      <selection/>
      <selection pane="topRight"/>
      <selection pane="bottomLeft"/>
      <selection pane="bottomRight" activeCell="I1485" sqref="I1485"/>
    </sheetView>
  </sheetViews>
  <sheetFormatPr defaultColWidth="9" defaultRowHeight="13.8"/>
  <cols>
    <col min="1" max="1" width="10.1296296296296" style="61" customWidth="1"/>
    <col min="2" max="2" width="9.12962962962963" style="62" customWidth="1"/>
    <col min="3" max="3" width="9.12962962962963" style="63" customWidth="1"/>
    <col min="4" max="4" width="9.12962962962963" style="62" customWidth="1"/>
    <col min="5" max="5" width="9.51851851851852" style="64" customWidth="1"/>
    <col min="6" max="6" width="8.87962962962963" style="64" customWidth="1"/>
    <col min="7" max="7" width="10.3796296296296" style="64" customWidth="1"/>
    <col min="8" max="8" width="10.3796296296296" style="62" customWidth="1"/>
    <col min="9" max="9" width="10.3796296296296" style="63" customWidth="1"/>
    <col min="10" max="10" width="10.5185185185185" style="65" customWidth="1"/>
    <col min="11" max="12" width="9.12962962962963" style="66" customWidth="1"/>
    <col min="13" max="13" width="10" style="64" customWidth="1"/>
    <col min="14" max="14" width="8.62962962962963" style="62" customWidth="1"/>
    <col min="15" max="15" width="8.62962962962963" style="63" customWidth="1"/>
    <col min="16" max="16" width="10.5185185185185" style="62" customWidth="1"/>
    <col min="17" max="17" width="8.62962962962963" style="62" customWidth="1"/>
    <col min="18" max="18" width="8.62962962962963" style="66" customWidth="1"/>
    <col min="19" max="19" width="10.75" style="64" customWidth="1"/>
    <col min="20" max="20" width="8.62962962962963" style="62" customWidth="1"/>
    <col min="21" max="21" width="8.62962962962963" style="63" customWidth="1"/>
    <col min="22" max="22" width="10" style="62" customWidth="1"/>
    <col min="23" max="24" width="8.62962962962963" style="62" customWidth="1"/>
    <col min="25" max="25" width="9.37962962962963" style="67" customWidth="1"/>
    <col min="26" max="26" width="8" style="57" customWidth="1"/>
    <col min="27" max="27" width="12.8796296296296" style="68" customWidth="1"/>
    <col min="28" max="28" width="9.37962962962963" style="69"/>
    <col min="29" max="29" width="11.5185185185185" style="70" customWidth="1"/>
    <col min="30" max="30" width="12.6296296296296" style="70"/>
    <col min="31" max="32" width="9.25" style="70"/>
    <col min="33" max="33" width="12.6296296296296" style="71"/>
    <col min="34" max="34" width="12.6296296296296" style="70"/>
    <col min="35" max="16383" width="9" style="70"/>
  </cols>
  <sheetData>
    <row r="1" s="57" customFormat="1" ht="14.4" spans="1:34">
      <c r="A1" s="72" t="s">
        <v>103</v>
      </c>
      <c r="B1" s="73" t="s">
        <v>104</v>
      </c>
      <c r="C1" s="74"/>
      <c r="D1" s="73"/>
      <c r="E1" s="73"/>
      <c r="F1" s="73"/>
      <c r="G1" s="75"/>
      <c r="H1" s="73" t="s">
        <v>105</v>
      </c>
      <c r="I1" s="74"/>
      <c r="J1" s="73"/>
      <c r="K1" s="73"/>
      <c r="L1" s="73"/>
      <c r="M1" s="75"/>
      <c r="N1" s="73" t="s">
        <v>106</v>
      </c>
      <c r="O1" s="74"/>
      <c r="P1" s="73"/>
      <c r="Q1" s="73"/>
      <c r="R1" s="73"/>
      <c r="S1" s="75"/>
      <c r="T1" s="73" t="s">
        <v>107</v>
      </c>
      <c r="U1" s="74"/>
      <c r="V1" s="73"/>
      <c r="W1" s="73"/>
      <c r="X1" s="73"/>
      <c r="Y1" s="75"/>
      <c r="Z1" s="76" t="s">
        <v>108</v>
      </c>
      <c r="AA1" s="68"/>
      <c r="AB1" s="67"/>
      <c r="AG1" s="77"/>
    </row>
    <row r="2" ht="15.15" spans="1:34">
      <c r="A2" s="78"/>
      <c r="B2" s="79" t="s">
        <v>109</v>
      </c>
      <c r="C2" s="80" t="s">
        <v>110</v>
      </c>
      <c r="D2" s="79" t="s">
        <v>111</v>
      </c>
      <c r="E2" s="81" t="s">
        <v>112</v>
      </c>
      <c r="F2" s="81" t="s">
        <v>113</v>
      </c>
      <c r="G2" s="82" t="s">
        <v>114</v>
      </c>
      <c r="H2" s="79" t="s">
        <v>109</v>
      </c>
      <c r="I2" s="83"/>
      <c r="J2" s="84" t="s">
        <v>111</v>
      </c>
      <c r="K2" s="85" t="s">
        <v>112</v>
      </c>
      <c r="L2" s="85" t="s">
        <v>113</v>
      </c>
      <c r="M2" s="82" t="s">
        <v>114</v>
      </c>
      <c r="N2" s="79" t="s">
        <v>109</v>
      </c>
      <c r="O2" s="83"/>
      <c r="P2" s="79" t="s">
        <v>111</v>
      </c>
      <c r="Q2" s="85" t="s">
        <v>112</v>
      </c>
      <c r="R2" s="85" t="s">
        <v>113</v>
      </c>
      <c r="S2" s="82" t="s">
        <v>114</v>
      </c>
      <c r="T2" s="79" t="s">
        <v>109</v>
      </c>
      <c r="U2" s="83"/>
      <c r="V2" s="79" t="s">
        <v>111</v>
      </c>
      <c r="W2" s="85" t="s">
        <v>112</v>
      </c>
      <c r="X2" s="85" t="s">
        <v>113</v>
      </c>
      <c r="Y2" s="82" t="s">
        <v>114</v>
      </c>
      <c r="Z2" s="86"/>
      <c r="AA2" s="68" t="s">
        <v>115</v>
      </c>
      <c r="AB2" s="69" t="s">
        <v>116</v>
      </c>
      <c r="AC2" s="70" t="s">
        <v>117</v>
      </c>
      <c r="AD2" s="70" t="s">
        <v>72</v>
      </c>
      <c r="AE2" s="70" t="s">
        <v>73</v>
      </c>
      <c r="AF2" s="70" t="s">
        <v>118</v>
      </c>
      <c r="AG2" s="71" t="s">
        <v>119</v>
      </c>
      <c r="AH2" s="70" t="s">
        <v>120</v>
      </c>
    </row>
    <row r="3" spans="1:34">
      <c r="A3" s="87">
        <v>44562</v>
      </c>
      <c r="B3" s="88">
        <v>0</v>
      </c>
      <c r="C3" s="89"/>
      <c r="D3" s="90">
        <v>0</v>
      </c>
      <c r="E3" s="91">
        <v>0</v>
      </c>
      <c r="F3" s="92">
        <v>0</v>
      </c>
      <c r="G3" s="93"/>
      <c r="H3" s="94">
        <v>300</v>
      </c>
      <c r="I3" s="89"/>
      <c r="J3" s="95">
        <v>297.4</v>
      </c>
      <c r="K3" s="96">
        <v>1241</v>
      </c>
      <c r="L3" s="97">
        <v>72</v>
      </c>
      <c r="M3" s="93"/>
      <c r="N3" s="98">
        <v>0</v>
      </c>
      <c r="O3" s="99"/>
      <c r="P3" s="100">
        <v>0</v>
      </c>
      <c r="Q3" s="96">
        <v>0</v>
      </c>
      <c r="R3" s="101">
        <v>0</v>
      </c>
      <c r="S3" s="93"/>
      <c r="T3" s="98"/>
      <c r="U3" s="99"/>
      <c r="V3" s="100"/>
      <c r="W3" s="100"/>
      <c r="X3" s="102"/>
      <c r="Y3" s="103"/>
      <c r="Z3" s="104"/>
    </row>
    <row r="4" spans="1:34">
      <c r="A4" s="105">
        <v>44563</v>
      </c>
      <c r="B4" s="106">
        <v>300</v>
      </c>
      <c r="C4" s="107"/>
      <c r="D4" s="108">
        <v>141.11</v>
      </c>
      <c r="E4" s="109">
        <v>280</v>
      </c>
      <c r="F4" s="110">
        <v>18</v>
      </c>
      <c r="G4" s="111"/>
      <c r="H4" s="112">
        <v>300</v>
      </c>
      <c r="I4" s="107"/>
      <c r="J4" s="113">
        <v>300</v>
      </c>
      <c r="K4" s="114">
        <v>1079</v>
      </c>
      <c r="L4" s="115">
        <v>64</v>
      </c>
      <c r="M4" s="111"/>
      <c r="N4" s="116">
        <v>300</v>
      </c>
      <c r="O4" s="117"/>
      <c r="P4" s="108">
        <v>288.05</v>
      </c>
      <c r="Q4" s="114">
        <v>3395</v>
      </c>
      <c r="R4" s="118">
        <v>134</v>
      </c>
      <c r="S4" s="111"/>
      <c r="T4" s="116"/>
      <c r="U4" s="117"/>
      <c r="V4" s="108"/>
      <c r="W4" s="108"/>
      <c r="X4" s="119"/>
      <c r="Y4" s="120"/>
      <c r="Z4" s="121"/>
    </row>
    <row r="5" spans="1:34">
      <c r="A5" s="105">
        <v>44564</v>
      </c>
      <c r="B5" s="106">
        <v>300</v>
      </c>
      <c r="C5" s="107"/>
      <c r="D5" s="108">
        <v>118.68</v>
      </c>
      <c r="E5" s="109">
        <v>270</v>
      </c>
      <c r="F5" s="110">
        <v>21</v>
      </c>
      <c r="G5" s="111"/>
      <c r="H5" s="112">
        <v>300</v>
      </c>
      <c r="I5" s="107"/>
      <c r="J5" s="113">
        <v>300</v>
      </c>
      <c r="K5" s="114">
        <v>1582</v>
      </c>
      <c r="L5" s="115">
        <v>60</v>
      </c>
      <c r="M5" s="111"/>
      <c r="N5" s="116">
        <v>300</v>
      </c>
      <c r="O5" s="117"/>
      <c r="P5" s="108">
        <v>275.69</v>
      </c>
      <c r="Q5" s="114">
        <v>3783</v>
      </c>
      <c r="R5" s="118">
        <v>157</v>
      </c>
      <c r="S5" s="111"/>
      <c r="T5" s="116"/>
      <c r="U5" s="117"/>
      <c r="V5" s="108"/>
      <c r="W5" s="108"/>
      <c r="X5" s="119"/>
      <c r="Y5" s="120"/>
      <c r="Z5" s="121"/>
    </row>
    <row r="6" spans="1:34">
      <c r="A6" s="105">
        <v>44565</v>
      </c>
      <c r="B6" s="106">
        <v>0</v>
      </c>
      <c r="C6" s="107"/>
      <c r="D6" s="108">
        <v>0</v>
      </c>
      <c r="E6" s="109">
        <v>0</v>
      </c>
      <c r="F6" s="110">
        <v>0</v>
      </c>
      <c r="G6" s="111"/>
      <c r="H6" s="112">
        <v>300</v>
      </c>
      <c r="I6" s="107"/>
      <c r="J6" s="113">
        <v>300</v>
      </c>
      <c r="K6" s="114">
        <v>1396</v>
      </c>
      <c r="L6" s="115">
        <v>69</v>
      </c>
      <c r="M6" s="111"/>
      <c r="N6" s="116">
        <v>0</v>
      </c>
      <c r="O6" s="117"/>
      <c r="P6" s="108">
        <v>0</v>
      </c>
      <c r="Q6" s="114">
        <v>0</v>
      </c>
      <c r="R6" s="118">
        <v>0</v>
      </c>
      <c r="S6" s="111"/>
      <c r="T6" s="116"/>
      <c r="U6" s="117"/>
      <c r="V6" s="108"/>
      <c r="W6" s="108"/>
      <c r="X6" s="119"/>
      <c r="Y6" s="120"/>
      <c r="Z6" s="121"/>
    </row>
    <row r="7" spans="1:34">
      <c r="A7" s="105">
        <v>44566</v>
      </c>
      <c r="B7" s="106">
        <v>300</v>
      </c>
      <c r="C7" s="107"/>
      <c r="D7" s="108">
        <v>113.75</v>
      </c>
      <c r="E7" s="109">
        <v>208</v>
      </c>
      <c r="F7" s="110">
        <v>17</v>
      </c>
      <c r="G7" s="111"/>
      <c r="H7" s="112">
        <v>300</v>
      </c>
      <c r="I7" s="107"/>
      <c r="J7" s="113">
        <v>300</v>
      </c>
      <c r="K7" s="114">
        <v>2385</v>
      </c>
      <c r="L7" s="115">
        <v>88</v>
      </c>
      <c r="M7" s="111"/>
      <c r="N7" s="116">
        <v>300</v>
      </c>
      <c r="O7" s="117"/>
      <c r="P7" s="108">
        <v>296.31</v>
      </c>
      <c r="Q7" s="114">
        <v>5283</v>
      </c>
      <c r="R7" s="118">
        <v>188</v>
      </c>
      <c r="S7" s="111"/>
      <c r="T7" s="116"/>
      <c r="U7" s="117"/>
      <c r="V7" s="108"/>
      <c r="W7" s="108"/>
      <c r="X7" s="119"/>
      <c r="Y7" s="120"/>
      <c r="Z7" s="121"/>
    </row>
    <row r="8" spans="1:34">
      <c r="A8" s="105">
        <v>44567</v>
      </c>
      <c r="B8" s="106">
        <v>300</v>
      </c>
      <c r="C8" s="107"/>
      <c r="D8" s="108">
        <v>113.06</v>
      </c>
      <c r="E8" s="109">
        <v>270</v>
      </c>
      <c r="F8" s="110">
        <v>9</v>
      </c>
      <c r="G8" s="111"/>
      <c r="H8" s="112">
        <v>300</v>
      </c>
      <c r="I8" s="107"/>
      <c r="J8" s="113">
        <v>293.49</v>
      </c>
      <c r="K8" s="114">
        <v>1801</v>
      </c>
      <c r="L8" s="115">
        <v>98</v>
      </c>
      <c r="M8" s="111"/>
      <c r="N8" s="116">
        <v>300</v>
      </c>
      <c r="O8" s="117"/>
      <c r="P8" s="108">
        <v>300</v>
      </c>
      <c r="Q8" s="114">
        <v>5245</v>
      </c>
      <c r="R8" s="118">
        <v>171</v>
      </c>
      <c r="S8" s="111"/>
      <c r="T8" s="116"/>
      <c r="U8" s="117"/>
      <c r="V8" s="108"/>
      <c r="W8" s="108"/>
      <c r="X8" s="119"/>
      <c r="Y8" s="120"/>
      <c r="Z8" s="121"/>
    </row>
    <row r="9" spans="1:34">
      <c r="A9" s="105">
        <v>44568</v>
      </c>
      <c r="B9" s="106">
        <v>300</v>
      </c>
      <c r="C9" s="107"/>
      <c r="D9" s="108">
        <v>120.42</v>
      </c>
      <c r="E9" s="109">
        <v>269</v>
      </c>
      <c r="F9" s="110">
        <v>8</v>
      </c>
      <c r="G9" s="111"/>
      <c r="H9" s="112">
        <v>300</v>
      </c>
      <c r="I9" s="107"/>
      <c r="J9" s="113">
        <v>300</v>
      </c>
      <c r="K9" s="114">
        <v>1232</v>
      </c>
      <c r="L9" s="115">
        <v>76</v>
      </c>
      <c r="M9" s="111"/>
      <c r="N9" s="116">
        <v>300</v>
      </c>
      <c r="O9" s="117"/>
      <c r="P9" s="108">
        <v>292.78</v>
      </c>
      <c r="Q9" s="114">
        <v>12969</v>
      </c>
      <c r="R9" s="118">
        <v>316</v>
      </c>
      <c r="S9" s="111"/>
      <c r="T9" s="116"/>
      <c r="U9" s="117"/>
      <c r="V9" s="108"/>
      <c r="W9" s="108"/>
      <c r="X9" s="119"/>
      <c r="Y9" s="120"/>
      <c r="Z9" s="121"/>
    </row>
    <row r="10" spans="1:34">
      <c r="A10" s="105">
        <v>44569</v>
      </c>
      <c r="B10" s="106">
        <v>0</v>
      </c>
      <c r="C10" s="107"/>
      <c r="D10" s="108">
        <v>0</v>
      </c>
      <c r="E10" s="109">
        <v>0</v>
      </c>
      <c r="F10" s="110">
        <v>0</v>
      </c>
      <c r="G10" s="111"/>
      <c r="H10" s="112">
        <v>300</v>
      </c>
      <c r="I10" s="107"/>
      <c r="J10" s="113">
        <v>300</v>
      </c>
      <c r="K10" s="114">
        <v>1317</v>
      </c>
      <c r="L10" s="115">
        <v>71</v>
      </c>
      <c r="M10" s="111"/>
      <c r="N10" s="116">
        <v>0</v>
      </c>
      <c r="O10" s="117"/>
      <c r="P10" s="108">
        <v>0</v>
      </c>
      <c r="Q10" s="114">
        <v>0</v>
      </c>
      <c r="R10" s="118">
        <v>0</v>
      </c>
      <c r="S10" s="111"/>
      <c r="T10" s="116"/>
      <c r="U10" s="117"/>
      <c r="V10" s="108"/>
      <c r="W10" s="108"/>
      <c r="X10" s="119"/>
      <c r="Y10" s="120"/>
      <c r="Z10" s="121"/>
    </row>
    <row r="11" spans="1:34">
      <c r="A11" s="105">
        <v>44570</v>
      </c>
      <c r="B11" s="106">
        <v>0</v>
      </c>
      <c r="C11" s="107"/>
      <c r="D11" s="122">
        <v>0</v>
      </c>
      <c r="E11" s="109">
        <v>0</v>
      </c>
      <c r="F11" s="110">
        <v>0</v>
      </c>
      <c r="G11" s="111"/>
      <c r="H11" s="112">
        <v>300</v>
      </c>
      <c r="I11" s="107"/>
      <c r="J11" s="113">
        <v>300</v>
      </c>
      <c r="K11" s="114">
        <v>956</v>
      </c>
      <c r="L11" s="115">
        <v>67</v>
      </c>
      <c r="M11" s="111"/>
      <c r="N11" s="116">
        <v>300</v>
      </c>
      <c r="O11" s="117"/>
      <c r="P11" s="108">
        <v>261.56</v>
      </c>
      <c r="Q11" s="114">
        <v>16078</v>
      </c>
      <c r="R11" s="118">
        <v>373</v>
      </c>
      <c r="S11" s="111"/>
      <c r="T11" s="116"/>
      <c r="U11" s="117"/>
      <c r="V11" s="108"/>
      <c r="W11" s="108"/>
      <c r="X11" s="119"/>
      <c r="Y11" s="120"/>
      <c r="Z11" s="121"/>
    </row>
    <row r="12" spans="1:34">
      <c r="A12" s="105">
        <v>44571</v>
      </c>
      <c r="B12" s="106">
        <v>300</v>
      </c>
      <c r="C12" s="107"/>
      <c r="D12" s="108">
        <v>124.15</v>
      </c>
      <c r="E12" s="109">
        <v>309</v>
      </c>
      <c r="F12" s="110">
        <v>14</v>
      </c>
      <c r="G12" s="111"/>
      <c r="H12" s="112">
        <v>300</v>
      </c>
      <c r="I12" s="107"/>
      <c r="J12" s="113">
        <v>289.61</v>
      </c>
      <c r="K12" s="114">
        <v>1876</v>
      </c>
      <c r="L12" s="115">
        <v>100</v>
      </c>
      <c r="M12" s="111"/>
      <c r="N12" s="116">
        <v>300</v>
      </c>
      <c r="O12" s="117"/>
      <c r="P12" s="108">
        <v>215.32</v>
      </c>
      <c r="Q12" s="114">
        <v>25734</v>
      </c>
      <c r="R12" s="118">
        <v>389</v>
      </c>
      <c r="S12" s="111"/>
      <c r="T12" s="116"/>
      <c r="U12" s="117"/>
      <c r="V12" s="108"/>
      <c r="W12" s="108"/>
      <c r="X12" s="119"/>
      <c r="Y12" s="120"/>
      <c r="Z12" s="121"/>
    </row>
    <row r="13" spans="1:34">
      <c r="A13" s="105">
        <v>44572</v>
      </c>
      <c r="B13" s="106">
        <v>300</v>
      </c>
      <c r="C13" s="107"/>
      <c r="D13" s="108">
        <v>154.37</v>
      </c>
      <c r="E13" s="109">
        <v>344</v>
      </c>
      <c r="F13" s="110">
        <v>21</v>
      </c>
      <c r="G13" s="111"/>
      <c r="H13" s="112">
        <v>300</v>
      </c>
      <c r="I13" s="107"/>
      <c r="J13" s="113">
        <v>300</v>
      </c>
      <c r="K13" s="114">
        <v>1470</v>
      </c>
      <c r="L13" s="115">
        <v>78</v>
      </c>
      <c r="M13" s="111"/>
      <c r="N13" s="116">
        <v>0</v>
      </c>
      <c r="O13" s="117"/>
      <c r="P13" s="108">
        <v>0</v>
      </c>
      <c r="Q13" s="114">
        <v>0</v>
      </c>
      <c r="R13" s="118">
        <v>0</v>
      </c>
      <c r="S13" s="111"/>
      <c r="T13" s="116"/>
      <c r="U13" s="117"/>
      <c r="V13" s="108"/>
      <c r="W13" s="108"/>
      <c r="X13" s="119"/>
      <c r="Y13" s="120"/>
      <c r="Z13" s="121"/>
    </row>
    <row r="14" spans="1:34">
      <c r="A14" s="105">
        <v>44573</v>
      </c>
      <c r="B14" s="106">
        <v>300</v>
      </c>
      <c r="C14" s="107"/>
      <c r="D14" s="108">
        <v>136.44</v>
      </c>
      <c r="E14" s="109">
        <v>309</v>
      </c>
      <c r="F14" s="110">
        <v>14</v>
      </c>
      <c r="G14" s="111"/>
      <c r="H14" s="112">
        <v>300</v>
      </c>
      <c r="I14" s="107"/>
      <c r="J14" s="113">
        <v>293.65</v>
      </c>
      <c r="K14" s="114">
        <v>1460</v>
      </c>
      <c r="L14" s="115">
        <v>72</v>
      </c>
      <c r="M14" s="111"/>
      <c r="N14" s="116">
        <v>0</v>
      </c>
      <c r="O14" s="117"/>
      <c r="P14" s="108">
        <v>0</v>
      </c>
      <c r="Q14" s="114">
        <v>0</v>
      </c>
      <c r="R14" s="118">
        <v>0</v>
      </c>
      <c r="S14" s="111"/>
      <c r="T14" s="116"/>
      <c r="U14" s="117"/>
      <c r="V14" s="108"/>
      <c r="W14" s="108"/>
      <c r="X14" s="119"/>
      <c r="Y14" s="120"/>
      <c r="Z14" s="121"/>
    </row>
    <row r="15" spans="1:34">
      <c r="A15" s="105">
        <v>44574</v>
      </c>
      <c r="B15" s="106">
        <v>300</v>
      </c>
      <c r="C15" s="107"/>
      <c r="D15" s="108">
        <v>117.46</v>
      </c>
      <c r="E15" s="109">
        <v>288</v>
      </c>
      <c r="F15" s="110">
        <v>8</v>
      </c>
      <c r="G15" s="111"/>
      <c r="H15" s="112">
        <v>300</v>
      </c>
      <c r="I15" s="107"/>
      <c r="J15" s="113">
        <v>300</v>
      </c>
      <c r="K15" s="114">
        <v>1125</v>
      </c>
      <c r="L15" s="115">
        <v>57</v>
      </c>
      <c r="M15" s="111"/>
      <c r="N15" s="116">
        <v>0</v>
      </c>
      <c r="O15" s="117"/>
      <c r="P15" s="108">
        <v>0</v>
      </c>
      <c r="Q15" s="114">
        <v>0</v>
      </c>
      <c r="R15" s="118">
        <v>0</v>
      </c>
      <c r="S15" s="111"/>
      <c r="T15" s="116"/>
      <c r="U15" s="117"/>
      <c r="V15" s="108"/>
      <c r="W15" s="108"/>
      <c r="X15" s="119"/>
      <c r="Y15" s="120"/>
      <c r="Z15" s="121"/>
    </row>
    <row r="16" spans="1:34">
      <c r="A16" s="105">
        <v>44575</v>
      </c>
      <c r="B16" s="106">
        <v>300</v>
      </c>
      <c r="C16" s="107"/>
      <c r="D16" s="108">
        <v>110.84</v>
      </c>
      <c r="E16" s="109">
        <v>267</v>
      </c>
      <c r="F16" s="110">
        <v>15</v>
      </c>
      <c r="G16" s="111"/>
      <c r="H16" s="112">
        <v>300</v>
      </c>
      <c r="I16" s="107"/>
      <c r="J16" s="113">
        <v>300</v>
      </c>
      <c r="K16" s="114">
        <v>930</v>
      </c>
      <c r="L16" s="115">
        <v>59</v>
      </c>
      <c r="M16" s="111"/>
      <c r="N16" s="116">
        <v>0</v>
      </c>
      <c r="O16" s="117"/>
      <c r="P16" s="108">
        <v>0</v>
      </c>
      <c r="Q16" s="114">
        <v>0</v>
      </c>
      <c r="R16" s="118">
        <v>0</v>
      </c>
      <c r="S16" s="111"/>
      <c r="T16" s="116"/>
      <c r="U16" s="117"/>
      <c r="V16" s="108"/>
      <c r="W16" s="108"/>
      <c r="X16" s="119"/>
      <c r="Y16" s="120"/>
      <c r="Z16" s="121"/>
    </row>
    <row r="17" spans="1:26">
      <c r="A17" s="105">
        <v>44576</v>
      </c>
      <c r="B17" s="106">
        <v>0</v>
      </c>
      <c r="C17" s="107"/>
      <c r="D17" s="108">
        <v>0</v>
      </c>
      <c r="E17" s="109">
        <v>0</v>
      </c>
      <c r="F17" s="110">
        <v>0</v>
      </c>
      <c r="G17" s="111"/>
      <c r="H17" s="112">
        <v>300</v>
      </c>
      <c r="I17" s="107"/>
      <c r="J17" s="113">
        <v>300</v>
      </c>
      <c r="K17" s="114">
        <v>2590</v>
      </c>
      <c r="L17" s="115">
        <v>80</v>
      </c>
      <c r="M17" s="111"/>
      <c r="N17" s="116">
        <v>0</v>
      </c>
      <c r="O17" s="117"/>
      <c r="P17" s="108">
        <v>0</v>
      </c>
      <c r="Q17" s="114">
        <v>0</v>
      </c>
      <c r="R17" s="118">
        <v>0</v>
      </c>
      <c r="S17" s="111"/>
      <c r="T17" s="116"/>
      <c r="U17" s="117"/>
      <c r="V17" s="108"/>
      <c r="W17" s="108"/>
      <c r="X17" s="119"/>
      <c r="Y17" s="120"/>
      <c r="Z17" s="121"/>
    </row>
    <row r="18" spans="1:26">
      <c r="A18" s="105">
        <v>44577</v>
      </c>
      <c r="B18" s="106">
        <v>0</v>
      </c>
      <c r="C18" s="107"/>
      <c r="D18" s="108">
        <v>0</v>
      </c>
      <c r="E18" s="109">
        <v>0</v>
      </c>
      <c r="F18" s="110">
        <v>0</v>
      </c>
      <c r="G18" s="111"/>
      <c r="H18" s="112">
        <v>300</v>
      </c>
      <c r="I18" s="107"/>
      <c r="J18" s="113">
        <v>300</v>
      </c>
      <c r="K18" s="114">
        <v>2512</v>
      </c>
      <c r="L18" s="115">
        <v>47</v>
      </c>
      <c r="M18" s="111"/>
      <c r="N18" s="116">
        <v>0</v>
      </c>
      <c r="O18" s="117"/>
      <c r="P18" s="108">
        <v>0</v>
      </c>
      <c r="Q18" s="114">
        <v>0</v>
      </c>
      <c r="R18" s="118">
        <v>0</v>
      </c>
      <c r="S18" s="111"/>
      <c r="T18" s="116"/>
      <c r="U18" s="117"/>
      <c r="V18" s="108"/>
      <c r="W18" s="108"/>
      <c r="X18" s="119"/>
      <c r="Y18" s="120"/>
      <c r="Z18" s="121"/>
    </row>
    <row r="19" spans="1:26">
      <c r="A19" s="105">
        <v>44578</v>
      </c>
      <c r="B19" s="106">
        <v>300</v>
      </c>
      <c r="C19" s="107"/>
      <c r="D19" s="108">
        <v>158.32</v>
      </c>
      <c r="E19" s="109">
        <v>440</v>
      </c>
      <c r="F19" s="110">
        <v>20</v>
      </c>
      <c r="G19" s="111"/>
      <c r="H19" s="112">
        <v>300</v>
      </c>
      <c r="I19" s="107"/>
      <c r="J19" s="113">
        <v>300</v>
      </c>
      <c r="K19" s="114">
        <v>3004</v>
      </c>
      <c r="L19" s="115">
        <v>72</v>
      </c>
      <c r="M19" s="111"/>
      <c r="N19" s="116">
        <v>0</v>
      </c>
      <c r="O19" s="117"/>
      <c r="P19" s="108">
        <v>0</v>
      </c>
      <c r="Q19" s="114">
        <v>0</v>
      </c>
      <c r="R19" s="118">
        <v>0</v>
      </c>
      <c r="S19" s="111"/>
      <c r="T19" s="116"/>
      <c r="U19" s="117"/>
      <c r="V19" s="108"/>
      <c r="W19" s="108"/>
      <c r="X19" s="119"/>
      <c r="Y19" s="120"/>
      <c r="Z19" s="121"/>
    </row>
    <row r="20" spans="1:26">
      <c r="A20" s="105">
        <v>44579</v>
      </c>
      <c r="B20" s="106">
        <v>300</v>
      </c>
      <c r="C20" s="107"/>
      <c r="D20" s="108">
        <v>109.48</v>
      </c>
      <c r="E20" s="109">
        <v>269</v>
      </c>
      <c r="F20" s="110">
        <v>11</v>
      </c>
      <c r="G20" s="111"/>
      <c r="H20" s="112">
        <v>300</v>
      </c>
      <c r="I20" s="107"/>
      <c r="J20" s="113">
        <v>300</v>
      </c>
      <c r="K20" s="114">
        <v>2426</v>
      </c>
      <c r="L20" s="115">
        <v>63</v>
      </c>
      <c r="M20" s="111"/>
      <c r="N20" s="116">
        <v>0</v>
      </c>
      <c r="O20" s="117"/>
      <c r="P20" s="108">
        <v>0</v>
      </c>
      <c r="Q20" s="114">
        <v>0</v>
      </c>
      <c r="R20" s="118">
        <v>0</v>
      </c>
      <c r="S20" s="111"/>
      <c r="T20" s="116"/>
      <c r="U20" s="117"/>
      <c r="V20" s="108"/>
      <c r="W20" s="108"/>
      <c r="X20" s="119"/>
      <c r="Y20" s="120"/>
      <c r="Z20" s="121"/>
    </row>
    <row r="21" spans="1:26">
      <c r="A21" s="105">
        <v>44580</v>
      </c>
      <c r="B21" s="106">
        <v>300</v>
      </c>
      <c r="C21" s="107"/>
      <c r="D21" s="108">
        <v>101.52</v>
      </c>
      <c r="E21" s="109">
        <v>239</v>
      </c>
      <c r="F21" s="110">
        <v>14</v>
      </c>
      <c r="G21" s="111"/>
      <c r="H21" s="112">
        <v>300</v>
      </c>
      <c r="I21" s="107"/>
      <c r="J21" s="113">
        <v>300</v>
      </c>
      <c r="K21" s="114">
        <v>2750</v>
      </c>
      <c r="L21" s="115">
        <v>52</v>
      </c>
      <c r="M21" s="111"/>
      <c r="N21" s="116">
        <v>0</v>
      </c>
      <c r="O21" s="117"/>
      <c r="P21" s="108">
        <v>0</v>
      </c>
      <c r="Q21" s="114">
        <v>0</v>
      </c>
      <c r="R21" s="118">
        <v>0</v>
      </c>
      <c r="S21" s="111"/>
      <c r="T21" s="116"/>
      <c r="U21" s="117"/>
      <c r="V21" s="108"/>
      <c r="W21" s="108"/>
      <c r="X21" s="119"/>
      <c r="Y21" s="120"/>
      <c r="Z21" s="121"/>
    </row>
    <row r="22" spans="1:26">
      <c r="A22" s="105">
        <v>44581</v>
      </c>
      <c r="B22" s="106">
        <v>300</v>
      </c>
      <c r="C22" s="107"/>
      <c r="D22" s="108">
        <v>105.69</v>
      </c>
      <c r="E22" s="109">
        <v>239</v>
      </c>
      <c r="F22" s="110">
        <v>11</v>
      </c>
      <c r="G22" s="111"/>
      <c r="H22" s="112">
        <v>300</v>
      </c>
      <c r="I22" s="107"/>
      <c r="J22" s="113">
        <v>300</v>
      </c>
      <c r="K22" s="114">
        <v>2690</v>
      </c>
      <c r="L22" s="115">
        <v>59</v>
      </c>
      <c r="M22" s="111"/>
      <c r="N22" s="116">
        <v>0</v>
      </c>
      <c r="O22" s="117"/>
      <c r="P22" s="108">
        <v>0</v>
      </c>
      <c r="Q22" s="114">
        <v>0</v>
      </c>
      <c r="R22" s="118">
        <v>0</v>
      </c>
      <c r="S22" s="111"/>
      <c r="T22" s="116"/>
      <c r="U22" s="117"/>
      <c r="V22" s="108"/>
      <c r="W22" s="108"/>
      <c r="X22" s="119"/>
      <c r="Y22" s="120"/>
      <c r="Z22" s="121"/>
    </row>
    <row r="23" spans="1:26">
      <c r="A23" s="105">
        <v>44582</v>
      </c>
      <c r="B23" s="106">
        <v>300</v>
      </c>
      <c r="C23" s="107"/>
      <c r="D23" s="108">
        <v>74.17</v>
      </c>
      <c r="E23" s="109">
        <v>222</v>
      </c>
      <c r="F23" s="110">
        <v>12</v>
      </c>
      <c r="G23" s="111"/>
      <c r="H23" s="112">
        <v>300</v>
      </c>
      <c r="I23" s="107"/>
      <c r="J23" s="113">
        <v>222.87</v>
      </c>
      <c r="K23" s="114">
        <v>1007</v>
      </c>
      <c r="L23" s="115">
        <v>55</v>
      </c>
      <c r="M23" s="111"/>
      <c r="N23" s="116">
        <v>0</v>
      </c>
      <c r="O23" s="117"/>
      <c r="P23" s="108">
        <v>0</v>
      </c>
      <c r="Q23" s="114">
        <v>0</v>
      </c>
      <c r="R23" s="118">
        <v>0</v>
      </c>
      <c r="S23" s="111"/>
      <c r="T23" s="116"/>
      <c r="U23" s="117"/>
      <c r="V23" s="108"/>
      <c r="W23" s="108"/>
      <c r="X23" s="119"/>
      <c r="Y23" s="120"/>
      <c r="Z23" s="121"/>
    </row>
    <row r="24" spans="1:26">
      <c r="A24" s="105">
        <v>44583</v>
      </c>
      <c r="B24" s="106">
        <v>0</v>
      </c>
      <c r="C24" s="107"/>
      <c r="D24" s="108">
        <v>54.33</v>
      </c>
      <c r="E24" s="109">
        <v>160</v>
      </c>
      <c r="F24" s="110">
        <v>9</v>
      </c>
      <c r="G24" s="111"/>
      <c r="H24" s="112">
        <v>300</v>
      </c>
      <c r="I24" s="107"/>
      <c r="J24" s="113">
        <v>0</v>
      </c>
      <c r="K24" s="114">
        <v>0</v>
      </c>
      <c r="L24" s="115">
        <v>0</v>
      </c>
      <c r="M24" s="111"/>
      <c r="N24" s="116">
        <v>0</v>
      </c>
      <c r="O24" s="117"/>
      <c r="P24" s="108">
        <v>0</v>
      </c>
      <c r="Q24" s="114">
        <v>0</v>
      </c>
      <c r="R24" s="118">
        <v>0</v>
      </c>
      <c r="S24" s="111"/>
      <c r="T24" s="116"/>
      <c r="U24" s="117"/>
      <c r="V24" s="108"/>
      <c r="W24" s="108"/>
      <c r="X24" s="119"/>
      <c r="Y24" s="120"/>
      <c r="Z24" s="121"/>
    </row>
    <row r="25" spans="1:26">
      <c r="A25" s="105">
        <v>44584</v>
      </c>
      <c r="B25" s="106">
        <v>0</v>
      </c>
      <c r="C25" s="107"/>
      <c r="D25" s="108">
        <v>42.23</v>
      </c>
      <c r="E25" s="109">
        <v>131</v>
      </c>
      <c r="F25" s="110">
        <v>8</v>
      </c>
      <c r="G25" s="111"/>
      <c r="H25" s="112">
        <v>300</v>
      </c>
      <c r="I25" s="107"/>
      <c r="J25" s="113">
        <v>0</v>
      </c>
      <c r="K25" s="114">
        <v>0</v>
      </c>
      <c r="L25" s="115">
        <v>0</v>
      </c>
      <c r="M25" s="111"/>
      <c r="N25" s="116">
        <v>0</v>
      </c>
      <c r="O25" s="117"/>
      <c r="P25" s="108">
        <v>0</v>
      </c>
      <c r="Q25" s="114">
        <v>0</v>
      </c>
      <c r="R25" s="118">
        <v>0</v>
      </c>
      <c r="S25" s="111"/>
      <c r="T25" s="116"/>
      <c r="U25" s="117"/>
      <c r="V25" s="108"/>
      <c r="W25" s="108"/>
      <c r="X25" s="119"/>
      <c r="Y25" s="120"/>
      <c r="Z25" s="121"/>
    </row>
    <row r="26" spans="1:26">
      <c r="A26" s="105">
        <v>44585</v>
      </c>
      <c r="B26" s="106">
        <v>300</v>
      </c>
      <c r="C26" s="107"/>
      <c r="D26" s="108">
        <v>64.93</v>
      </c>
      <c r="E26" s="109">
        <v>183</v>
      </c>
      <c r="F26" s="110">
        <v>4</v>
      </c>
      <c r="G26" s="111"/>
      <c r="H26" s="112">
        <v>300</v>
      </c>
      <c r="I26" s="107"/>
      <c r="J26" s="113">
        <v>0</v>
      </c>
      <c r="K26" s="114">
        <v>0</v>
      </c>
      <c r="L26" s="115">
        <v>0</v>
      </c>
      <c r="M26" s="111"/>
      <c r="N26" s="116">
        <v>0</v>
      </c>
      <c r="O26" s="117"/>
      <c r="P26" s="108">
        <v>0</v>
      </c>
      <c r="Q26" s="114">
        <v>0</v>
      </c>
      <c r="R26" s="118">
        <v>0</v>
      </c>
      <c r="S26" s="111"/>
      <c r="T26" s="116"/>
      <c r="U26" s="117"/>
      <c r="V26" s="108"/>
      <c r="W26" s="108"/>
      <c r="X26" s="119"/>
      <c r="Y26" s="120"/>
      <c r="Z26" s="121"/>
    </row>
    <row r="27" spans="1:26">
      <c r="A27" s="105">
        <v>44586</v>
      </c>
      <c r="B27" s="106">
        <v>300</v>
      </c>
      <c r="C27" s="107"/>
      <c r="D27" s="108">
        <v>104.34</v>
      </c>
      <c r="E27" s="109">
        <v>246</v>
      </c>
      <c r="F27" s="110">
        <v>23</v>
      </c>
      <c r="G27" s="111"/>
      <c r="H27" s="112">
        <v>300</v>
      </c>
      <c r="I27" s="107"/>
      <c r="J27" s="113">
        <v>0</v>
      </c>
      <c r="K27" s="114">
        <v>0</v>
      </c>
      <c r="L27" s="115">
        <v>0</v>
      </c>
      <c r="M27" s="111"/>
      <c r="N27" s="116">
        <v>0</v>
      </c>
      <c r="O27" s="117"/>
      <c r="P27" s="108">
        <v>0</v>
      </c>
      <c r="Q27" s="114">
        <v>0</v>
      </c>
      <c r="R27" s="118">
        <v>0</v>
      </c>
      <c r="S27" s="111"/>
      <c r="T27" s="116"/>
      <c r="U27" s="117"/>
      <c r="V27" s="108"/>
      <c r="W27" s="108"/>
      <c r="X27" s="119"/>
      <c r="Y27" s="120"/>
      <c r="Z27" s="121"/>
    </row>
    <row r="28" spans="1:26">
      <c r="A28" s="105">
        <v>44587</v>
      </c>
      <c r="B28" s="106">
        <v>300</v>
      </c>
      <c r="C28" s="107"/>
      <c r="D28" s="108">
        <v>61.8</v>
      </c>
      <c r="E28" s="109">
        <v>200</v>
      </c>
      <c r="F28" s="110">
        <v>14</v>
      </c>
      <c r="G28" s="111"/>
      <c r="H28" s="112">
        <v>300</v>
      </c>
      <c r="I28" s="107"/>
      <c r="J28" s="113">
        <v>0</v>
      </c>
      <c r="K28" s="114">
        <v>0</v>
      </c>
      <c r="L28" s="115">
        <v>0</v>
      </c>
      <c r="M28" s="111"/>
      <c r="N28" s="116">
        <v>0</v>
      </c>
      <c r="O28" s="117"/>
      <c r="P28" s="108">
        <v>0</v>
      </c>
      <c r="Q28" s="114">
        <v>0</v>
      </c>
      <c r="R28" s="118">
        <v>0</v>
      </c>
      <c r="S28" s="111"/>
      <c r="T28" s="116"/>
      <c r="U28" s="117"/>
      <c r="V28" s="108"/>
      <c r="W28" s="108"/>
      <c r="X28" s="119"/>
      <c r="Y28" s="120"/>
      <c r="Z28" s="121"/>
    </row>
    <row r="29" spans="1:26">
      <c r="A29" s="105">
        <v>44588</v>
      </c>
      <c r="B29" s="106">
        <v>300</v>
      </c>
      <c r="C29" s="107"/>
      <c r="D29" s="108">
        <v>152.97</v>
      </c>
      <c r="E29" s="109">
        <v>591</v>
      </c>
      <c r="F29" s="110">
        <v>21</v>
      </c>
      <c r="G29" s="111"/>
      <c r="H29" s="112">
        <v>300</v>
      </c>
      <c r="I29" s="107"/>
      <c r="J29" s="113">
        <v>0</v>
      </c>
      <c r="K29" s="114">
        <v>0</v>
      </c>
      <c r="L29" s="115">
        <v>0</v>
      </c>
      <c r="M29" s="111"/>
      <c r="N29" s="116">
        <v>0</v>
      </c>
      <c r="O29" s="117"/>
      <c r="P29" s="108">
        <v>0</v>
      </c>
      <c r="Q29" s="114">
        <v>0</v>
      </c>
      <c r="R29" s="118">
        <v>0</v>
      </c>
      <c r="S29" s="111"/>
      <c r="T29" s="116"/>
      <c r="U29" s="117"/>
      <c r="V29" s="108"/>
      <c r="W29" s="108"/>
      <c r="X29" s="119"/>
      <c r="Y29" s="120"/>
      <c r="Z29" s="121"/>
    </row>
    <row r="30" spans="1:26">
      <c r="A30" s="105">
        <v>44589</v>
      </c>
      <c r="B30" s="106">
        <v>300</v>
      </c>
      <c r="C30" s="107"/>
      <c r="D30" s="108">
        <v>111.56</v>
      </c>
      <c r="E30" s="109">
        <v>433</v>
      </c>
      <c r="F30" s="110">
        <v>13</v>
      </c>
      <c r="G30" s="111"/>
      <c r="H30" s="112">
        <v>300</v>
      </c>
      <c r="I30" s="107"/>
      <c r="J30" s="113">
        <v>0</v>
      </c>
      <c r="K30" s="114">
        <v>0</v>
      </c>
      <c r="L30" s="115">
        <v>0</v>
      </c>
      <c r="M30" s="111"/>
      <c r="N30" s="116">
        <v>0</v>
      </c>
      <c r="O30" s="117"/>
      <c r="P30" s="108">
        <v>0</v>
      </c>
      <c r="Q30" s="114">
        <v>0</v>
      </c>
      <c r="R30" s="118">
        <v>0</v>
      </c>
      <c r="S30" s="111"/>
      <c r="T30" s="116"/>
      <c r="U30" s="117"/>
      <c r="V30" s="108"/>
      <c r="W30" s="108"/>
      <c r="X30" s="119"/>
      <c r="Y30" s="120"/>
      <c r="Z30" s="121"/>
    </row>
    <row r="31" spans="1:26">
      <c r="A31" s="105">
        <v>44590</v>
      </c>
      <c r="B31" s="106">
        <v>0</v>
      </c>
      <c r="C31" s="107"/>
      <c r="D31" s="108">
        <v>80.81</v>
      </c>
      <c r="E31" s="109">
        <v>308</v>
      </c>
      <c r="F31" s="110">
        <v>12</v>
      </c>
      <c r="G31" s="111"/>
      <c r="H31" s="112">
        <v>300</v>
      </c>
      <c r="I31" s="107"/>
      <c r="J31" s="113">
        <v>0</v>
      </c>
      <c r="K31" s="114">
        <v>0</v>
      </c>
      <c r="L31" s="115">
        <v>0</v>
      </c>
      <c r="M31" s="111"/>
      <c r="N31" s="116">
        <v>0</v>
      </c>
      <c r="O31" s="117"/>
      <c r="P31" s="108">
        <v>0</v>
      </c>
      <c r="Q31" s="114">
        <v>0</v>
      </c>
      <c r="R31" s="118">
        <v>0</v>
      </c>
      <c r="S31" s="111"/>
      <c r="T31" s="116"/>
      <c r="U31" s="117"/>
      <c r="V31" s="108"/>
      <c r="W31" s="108"/>
      <c r="X31" s="119"/>
      <c r="Y31" s="120"/>
      <c r="Z31" s="121"/>
    </row>
    <row r="32" spans="1:26">
      <c r="A32" s="105">
        <v>44591</v>
      </c>
      <c r="B32" s="106">
        <v>0</v>
      </c>
      <c r="C32" s="107"/>
      <c r="D32" s="108">
        <v>84.87</v>
      </c>
      <c r="E32" s="109">
        <v>396</v>
      </c>
      <c r="F32" s="110">
        <v>6</v>
      </c>
      <c r="G32" s="111"/>
      <c r="H32" s="112">
        <v>300</v>
      </c>
      <c r="I32" s="107"/>
      <c r="J32" s="113">
        <v>0</v>
      </c>
      <c r="K32" s="114">
        <v>0</v>
      </c>
      <c r="L32" s="115">
        <v>0</v>
      </c>
      <c r="M32" s="111"/>
      <c r="N32" s="116">
        <v>0</v>
      </c>
      <c r="O32" s="117"/>
      <c r="P32" s="108">
        <v>0</v>
      </c>
      <c r="Q32" s="114">
        <v>0</v>
      </c>
      <c r="R32" s="118">
        <v>0</v>
      </c>
      <c r="S32" s="111"/>
      <c r="T32" s="116"/>
      <c r="U32" s="117"/>
      <c r="V32" s="108"/>
      <c r="W32" s="108"/>
      <c r="X32" s="119"/>
      <c r="Y32" s="120"/>
      <c r="Z32" s="121"/>
    </row>
    <row r="33" ht="14.55" spans="1:26">
      <c r="A33" s="123">
        <v>44592</v>
      </c>
      <c r="B33" s="124">
        <v>300</v>
      </c>
      <c r="C33" s="125"/>
      <c r="D33" s="126">
        <v>174.15</v>
      </c>
      <c r="E33" s="127">
        <v>821</v>
      </c>
      <c r="F33" s="128">
        <v>26</v>
      </c>
      <c r="G33" s="129"/>
      <c r="H33" s="130">
        <v>300</v>
      </c>
      <c r="I33" s="125"/>
      <c r="J33" s="131">
        <v>0</v>
      </c>
      <c r="K33" s="132">
        <v>0</v>
      </c>
      <c r="L33" s="133">
        <v>0</v>
      </c>
      <c r="M33" s="134"/>
      <c r="N33" s="135">
        <v>0</v>
      </c>
      <c r="O33" s="136"/>
      <c r="P33" s="137">
        <v>0</v>
      </c>
      <c r="Q33" s="138">
        <v>0</v>
      </c>
      <c r="R33" s="139">
        <v>0</v>
      </c>
      <c r="S33" s="134"/>
      <c r="T33" s="116"/>
      <c r="U33" s="117"/>
      <c r="V33" s="108"/>
      <c r="W33" s="108"/>
      <c r="X33" s="119"/>
      <c r="Y33" s="140"/>
      <c r="Z33" s="141"/>
    </row>
    <row r="34" spans="1:26">
      <c r="A34" s="142">
        <v>44593</v>
      </c>
      <c r="B34" s="143">
        <v>300</v>
      </c>
      <c r="C34" s="144"/>
      <c r="D34" s="145">
        <v>202.51</v>
      </c>
      <c r="E34" s="146">
        <v>936</v>
      </c>
      <c r="F34" s="147">
        <v>34</v>
      </c>
      <c r="G34" s="148"/>
      <c r="H34" s="149">
        <v>300</v>
      </c>
      <c r="I34" s="150"/>
      <c r="J34" s="151">
        <v>0</v>
      </c>
      <c r="K34" s="152">
        <v>0</v>
      </c>
      <c r="L34" s="153">
        <v>0</v>
      </c>
      <c r="M34" s="148"/>
      <c r="N34" s="154">
        <v>0</v>
      </c>
      <c r="O34" s="155"/>
      <c r="P34" s="145">
        <v>0</v>
      </c>
      <c r="Q34" s="156">
        <v>0</v>
      </c>
      <c r="R34" s="157">
        <v>0</v>
      </c>
      <c r="S34" s="158"/>
      <c r="T34" s="159"/>
      <c r="U34" s="160"/>
      <c r="V34" s="159"/>
      <c r="W34" s="159"/>
      <c r="X34" s="159"/>
      <c r="Y34" s="161"/>
      <c r="Z34" s="162"/>
    </row>
    <row r="35" spans="1:26">
      <c r="A35" s="142">
        <v>44594</v>
      </c>
      <c r="B35" s="163">
        <v>300</v>
      </c>
      <c r="C35" s="164"/>
      <c r="D35" s="165">
        <v>199.83</v>
      </c>
      <c r="E35" s="166">
        <v>960</v>
      </c>
      <c r="F35" s="167">
        <v>30</v>
      </c>
      <c r="G35" s="168"/>
      <c r="H35" s="169">
        <v>300</v>
      </c>
      <c r="I35" s="164"/>
      <c r="J35" s="170">
        <v>0</v>
      </c>
      <c r="K35" s="171">
        <v>0</v>
      </c>
      <c r="L35" s="172">
        <v>0</v>
      </c>
      <c r="M35" s="168"/>
      <c r="N35" s="169">
        <v>0</v>
      </c>
      <c r="O35" s="173"/>
      <c r="P35" s="165">
        <v>0</v>
      </c>
      <c r="Q35" s="171">
        <v>0</v>
      </c>
      <c r="R35" s="174">
        <v>0</v>
      </c>
      <c r="S35" s="175"/>
      <c r="T35" s="165"/>
      <c r="U35" s="176"/>
      <c r="V35" s="165"/>
      <c r="W35" s="165"/>
      <c r="X35" s="165"/>
      <c r="Y35" s="177"/>
      <c r="Z35" s="178"/>
    </row>
    <row r="36" spans="1:26">
      <c r="A36" s="142">
        <v>44595</v>
      </c>
      <c r="B36" s="163">
        <v>300</v>
      </c>
      <c r="C36" s="164"/>
      <c r="D36" s="165">
        <v>211.02</v>
      </c>
      <c r="E36" s="166">
        <v>1070</v>
      </c>
      <c r="F36" s="167">
        <v>34</v>
      </c>
      <c r="G36" s="168"/>
      <c r="H36" s="169">
        <v>300</v>
      </c>
      <c r="I36" s="164"/>
      <c r="J36" s="170">
        <v>0</v>
      </c>
      <c r="K36" s="171">
        <v>0</v>
      </c>
      <c r="L36" s="172">
        <v>0</v>
      </c>
      <c r="M36" s="168"/>
      <c r="N36" s="169">
        <v>0</v>
      </c>
      <c r="O36" s="173"/>
      <c r="P36" s="165">
        <v>0</v>
      </c>
      <c r="Q36" s="171">
        <v>0</v>
      </c>
      <c r="R36" s="174">
        <v>0</v>
      </c>
      <c r="S36" s="175"/>
      <c r="T36" s="165"/>
      <c r="U36" s="176"/>
      <c r="V36" s="165"/>
      <c r="W36" s="165"/>
      <c r="X36" s="165"/>
      <c r="Y36" s="177"/>
      <c r="Z36" s="178"/>
    </row>
    <row r="37" spans="1:26">
      <c r="A37" s="142">
        <v>44596</v>
      </c>
      <c r="B37" s="163">
        <v>300</v>
      </c>
      <c r="C37" s="164"/>
      <c r="D37" s="165">
        <v>226.88</v>
      </c>
      <c r="E37" s="166">
        <v>1080</v>
      </c>
      <c r="F37" s="167">
        <v>43</v>
      </c>
      <c r="G37" s="168"/>
      <c r="H37" s="169">
        <v>300</v>
      </c>
      <c r="I37" s="164"/>
      <c r="J37" s="170">
        <v>0</v>
      </c>
      <c r="K37" s="171">
        <v>0</v>
      </c>
      <c r="L37" s="172">
        <v>0</v>
      </c>
      <c r="M37" s="168"/>
      <c r="N37" s="169">
        <v>0</v>
      </c>
      <c r="O37" s="173"/>
      <c r="P37" s="165">
        <v>0</v>
      </c>
      <c r="Q37" s="171">
        <v>0</v>
      </c>
      <c r="R37" s="174">
        <v>0</v>
      </c>
      <c r="S37" s="175"/>
      <c r="T37" s="165"/>
      <c r="U37" s="176"/>
      <c r="V37" s="165"/>
      <c r="W37" s="165"/>
      <c r="X37" s="165"/>
      <c r="Y37" s="177"/>
      <c r="Z37" s="178"/>
    </row>
    <row r="38" spans="1:26">
      <c r="A38" s="142">
        <v>44597</v>
      </c>
      <c r="B38" s="163">
        <v>0</v>
      </c>
      <c r="C38" s="164"/>
      <c r="D38" s="165">
        <v>0</v>
      </c>
      <c r="E38" s="166">
        <v>0</v>
      </c>
      <c r="F38" s="167">
        <v>0</v>
      </c>
      <c r="G38" s="168"/>
      <c r="H38" s="169">
        <v>300</v>
      </c>
      <c r="I38" s="164"/>
      <c r="J38" s="170">
        <v>0</v>
      </c>
      <c r="K38" s="171">
        <v>0</v>
      </c>
      <c r="L38" s="172">
        <v>0</v>
      </c>
      <c r="M38" s="168"/>
      <c r="N38" s="169">
        <v>0</v>
      </c>
      <c r="O38" s="173"/>
      <c r="P38" s="165">
        <v>0</v>
      </c>
      <c r="Q38" s="171">
        <v>0</v>
      </c>
      <c r="R38" s="174">
        <v>0</v>
      </c>
      <c r="S38" s="175"/>
      <c r="T38" s="165"/>
      <c r="U38" s="176"/>
      <c r="V38" s="165"/>
      <c r="W38" s="165"/>
      <c r="X38" s="165"/>
      <c r="Y38" s="177"/>
      <c r="Z38" s="178"/>
    </row>
    <row r="39" spans="1:26">
      <c r="A39" s="142">
        <v>44598</v>
      </c>
      <c r="B39" s="163">
        <v>0</v>
      </c>
      <c r="C39" s="164"/>
      <c r="D39" s="165">
        <v>0</v>
      </c>
      <c r="E39" s="166">
        <v>0</v>
      </c>
      <c r="F39" s="167">
        <v>0</v>
      </c>
      <c r="G39" s="168"/>
      <c r="H39" s="169">
        <v>300</v>
      </c>
      <c r="I39" s="164"/>
      <c r="J39" s="170">
        <v>0</v>
      </c>
      <c r="K39" s="171">
        <v>0</v>
      </c>
      <c r="L39" s="172">
        <v>0</v>
      </c>
      <c r="M39" s="168"/>
      <c r="N39" s="169">
        <v>0</v>
      </c>
      <c r="O39" s="173"/>
      <c r="P39" s="165">
        <v>0</v>
      </c>
      <c r="Q39" s="171">
        <v>0</v>
      </c>
      <c r="R39" s="174">
        <v>0</v>
      </c>
      <c r="S39" s="175"/>
      <c r="T39" s="165"/>
      <c r="U39" s="176"/>
      <c r="V39" s="165"/>
      <c r="W39" s="165"/>
      <c r="X39" s="165"/>
      <c r="Y39" s="177"/>
      <c r="Z39" s="178"/>
    </row>
    <row r="40" spans="1:26">
      <c r="A40" s="142">
        <v>44599</v>
      </c>
      <c r="B40" s="163">
        <v>300</v>
      </c>
      <c r="C40" s="164"/>
      <c r="D40" s="165">
        <v>252.6</v>
      </c>
      <c r="E40" s="166">
        <v>1187</v>
      </c>
      <c r="F40" s="167">
        <v>51</v>
      </c>
      <c r="G40" s="168"/>
      <c r="H40" s="169">
        <v>300</v>
      </c>
      <c r="I40" s="164"/>
      <c r="J40" s="170">
        <v>0</v>
      </c>
      <c r="K40" s="171">
        <v>0</v>
      </c>
      <c r="L40" s="172">
        <v>0</v>
      </c>
      <c r="M40" s="168"/>
      <c r="N40" s="169">
        <v>0</v>
      </c>
      <c r="O40" s="173"/>
      <c r="P40" s="165">
        <v>0</v>
      </c>
      <c r="Q40" s="171">
        <v>0</v>
      </c>
      <c r="R40" s="174">
        <v>0</v>
      </c>
      <c r="S40" s="175"/>
      <c r="T40" s="165"/>
      <c r="U40" s="176"/>
      <c r="V40" s="165"/>
      <c r="W40" s="165"/>
      <c r="X40" s="165"/>
      <c r="Y40" s="177"/>
      <c r="Z40" s="178"/>
    </row>
    <row r="41" spans="1:26">
      <c r="A41" s="142">
        <v>44600</v>
      </c>
      <c r="B41" s="163">
        <v>300</v>
      </c>
      <c r="C41" s="164"/>
      <c r="D41" s="165">
        <v>223.1</v>
      </c>
      <c r="E41" s="166">
        <v>1125</v>
      </c>
      <c r="F41" s="167">
        <v>35</v>
      </c>
      <c r="G41" s="168"/>
      <c r="H41" s="169">
        <v>300</v>
      </c>
      <c r="I41" s="164"/>
      <c r="J41" s="170">
        <v>0</v>
      </c>
      <c r="K41" s="171">
        <v>0</v>
      </c>
      <c r="L41" s="172">
        <v>0</v>
      </c>
      <c r="M41" s="168"/>
      <c r="N41" s="169">
        <v>0</v>
      </c>
      <c r="O41" s="173"/>
      <c r="P41" s="165">
        <v>0</v>
      </c>
      <c r="Q41" s="171">
        <v>0</v>
      </c>
      <c r="R41" s="174">
        <v>0</v>
      </c>
      <c r="S41" s="175"/>
      <c r="T41" s="165"/>
      <c r="U41" s="176"/>
      <c r="V41" s="165"/>
      <c r="W41" s="165"/>
      <c r="X41" s="165"/>
      <c r="Y41" s="177"/>
      <c r="Z41" s="178"/>
    </row>
    <row r="42" spans="1:26">
      <c r="A42" s="142">
        <v>44601</v>
      </c>
      <c r="B42" s="163">
        <v>300</v>
      </c>
      <c r="C42" s="164"/>
      <c r="D42" s="165">
        <v>239.78</v>
      </c>
      <c r="E42" s="166">
        <v>1119</v>
      </c>
      <c r="F42" s="167">
        <v>37</v>
      </c>
      <c r="G42" s="168"/>
      <c r="H42" s="169">
        <v>300</v>
      </c>
      <c r="I42" s="164"/>
      <c r="J42" s="170">
        <v>154.62</v>
      </c>
      <c r="K42" s="171">
        <v>334</v>
      </c>
      <c r="L42" s="172">
        <v>43</v>
      </c>
      <c r="M42" s="168"/>
      <c r="N42" s="169">
        <v>0</v>
      </c>
      <c r="O42" s="173"/>
      <c r="P42" s="165">
        <v>0</v>
      </c>
      <c r="Q42" s="171">
        <v>0</v>
      </c>
      <c r="R42" s="174">
        <v>0</v>
      </c>
      <c r="S42" s="175"/>
      <c r="T42" s="165"/>
      <c r="U42" s="176"/>
      <c r="V42" s="165"/>
      <c r="W42" s="165"/>
      <c r="X42" s="165"/>
      <c r="Y42" s="177"/>
      <c r="Z42" s="178"/>
    </row>
    <row r="43" spans="1:26">
      <c r="A43" s="142">
        <v>44602</v>
      </c>
      <c r="B43" s="163">
        <v>300</v>
      </c>
      <c r="C43" s="164"/>
      <c r="D43" s="165">
        <v>254.88</v>
      </c>
      <c r="E43" s="166">
        <v>1095</v>
      </c>
      <c r="F43" s="167">
        <v>47</v>
      </c>
      <c r="G43" s="168"/>
      <c r="H43" s="169">
        <v>300</v>
      </c>
      <c r="I43" s="164"/>
      <c r="J43" s="170">
        <v>300</v>
      </c>
      <c r="K43" s="171">
        <v>1260</v>
      </c>
      <c r="L43" s="172">
        <v>89</v>
      </c>
      <c r="M43" s="168"/>
      <c r="N43" s="169">
        <v>0</v>
      </c>
      <c r="O43" s="173"/>
      <c r="P43" s="165">
        <v>0</v>
      </c>
      <c r="Q43" s="171">
        <v>0</v>
      </c>
      <c r="R43" s="174">
        <v>0</v>
      </c>
      <c r="S43" s="175"/>
      <c r="T43" s="165"/>
      <c r="U43" s="176"/>
      <c r="V43" s="165"/>
      <c r="W43" s="165"/>
      <c r="X43" s="165"/>
      <c r="Y43" s="177"/>
      <c r="Z43" s="178"/>
    </row>
    <row r="44" spans="1:26">
      <c r="A44" s="142">
        <v>44603</v>
      </c>
      <c r="B44" s="163">
        <v>300</v>
      </c>
      <c r="C44" s="164"/>
      <c r="D44" s="179">
        <v>254.23</v>
      </c>
      <c r="E44" s="166">
        <v>1119</v>
      </c>
      <c r="F44" s="167">
        <v>54</v>
      </c>
      <c r="G44" s="168"/>
      <c r="H44" s="169">
        <v>300</v>
      </c>
      <c r="I44" s="164"/>
      <c r="J44" s="170">
        <v>300</v>
      </c>
      <c r="K44" s="171">
        <v>949</v>
      </c>
      <c r="L44" s="172">
        <v>66</v>
      </c>
      <c r="M44" s="168"/>
      <c r="N44" s="169">
        <v>0</v>
      </c>
      <c r="O44" s="173"/>
      <c r="P44" s="165">
        <v>0</v>
      </c>
      <c r="Q44" s="171">
        <v>0</v>
      </c>
      <c r="R44" s="174">
        <v>0</v>
      </c>
      <c r="S44" s="175"/>
      <c r="T44" s="165"/>
      <c r="U44" s="176"/>
      <c r="V44" s="165"/>
      <c r="W44" s="165"/>
      <c r="X44" s="165"/>
      <c r="Y44" s="177"/>
      <c r="Z44" s="178"/>
    </row>
    <row r="45" spans="1:26">
      <c r="A45" s="142">
        <v>44604</v>
      </c>
      <c r="B45" s="163">
        <v>0</v>
      </c>
      <c r="C45" s="164"/>
      <c r="D45" s="180">
        <v>112.15</v>
      </c>
      <c r="E45" s="166">
        <v>535</v>
      </c>
      <c r="F45" s="167">
        <v>18</v>
      </c>
      <c r="G45" s="168"/>
      <c r="H45" s="169">
        <v>300</v>
      </c>
      <c r="I45" s="164"/>
      <c r="J45" s="170">
        <v>300</v>
      </c>
      <c r="K45" s="171">
        <v>654</v>
      </c>
      <c r="L45" s="172">
        <v>55</v>
      </c>
      <c r="M45" s="168"/>
      <c r="N45" s="169">
        <v>0</v>
      </c>
      <c r="O45" s="173"/>
      <c r="P45" s="165">
        <v>0</v>
      </c>
      <c r="Q45" s="171">
        <v>0</v>
      </c>
      <c r="R45" s="174">
        <v>0</v>
      </c>
      <c r="S45" s="175"/>
      <c r="T45" s="165"/>
      <c r="U45" s="176"/>
      <c r="V45" s="165"/>
      <c r="W45" s="165"/>
      <c r="X45" s="165"/>
      <c r="Y45" s="177"/>
      <c r="Z45" s="178"/>
    </row>
    <row r="46" spans="1:26">
      <c r="A46" s="142">
        <v>44605</v>
      </c>
      <c r="B46" s="163">
        <v>0</v>
      </c>
      <c r="C46" s="164"/>
      <c r="D46" s="179">
        <v>141.26</v>
      </c>
      <c r="E46" s="166">
        <v>614</v>
      </c>
      <c r="F46" s="167">
        <v>23</v>
      </c>
      <c r="G46" s="168"/>
      <c r="H46" s="169">
        <v>300</v>
      </c>
      <c r="I46" s="164"/>
      <c r="J46" s="170">
        <v>300</v>
      </c>
      <c r="K46" s="171">
        <v>559</v>
      </c>
      <c r="L46" s="172">
        <v>54</v>
      </c>
      <c r="M46" s="168"/>
      <c r="N46" s="169">
        <v>0</v>
      </c>
      <c r="O46" s="173"/>
      <c r="P46" s="165">
        <v>0</v>
      </c>
      <c r="Q46" s="171">
        <v>0</v>
      </c>
      <c r="R46" s="174">
        <v>0</v>
      </c>
      <c r="S46" s="175"/>
      <c r="T46" s="165"/>
      <c r="U46" s="176"/>
      <c r="V46" s="165"/>
      <c r="W46" s="165"/>
      <c r="X46" s="165"/>
      <c r="Y46" s="177"/>
      <c r="Z46" s="178"/>
    </row>
    <row r="47" spans="1:26">
      <c r="A47" s="142">
        <v>44606</v>
      </c>
      <c r="B47" s="163">
        <v>300</v>
      </c>
      <c r="C47" s="164"/>
      <c r="D47" s="179">
        <v>225.74</v>
      </c>
      <c r="E47" s="166">
        <v>1145</v>
      </c>
      <c r="F47" s="167">
        <v>40</v>
      </c>
      <c r="G47" s="168"/>
      <c r="H47" s="169">
        <v>300</v>
      </c>
      <c r="I47" s="164"/>
      <c r="J47" s="181">
        <v>300</v>
      </c>
      <c r="K47" s="171">
        <v>1205</v>
      </c>
      <c r="L47" s="172">
        <v>65</v>
      </c>
      <c r="M47" s="168"/>
      <c r="N47" s="169">
        <v>0</v>
      </c>
      <c r="O47" s="173"/>
      <c r="P47" s="165">
        <v>0</v>
      </c>
      <c r="Q47" s="171">
        <v>0</v>
      </c>
      <c r="R47" s="174">
        <v>0</v>
      </c>
      <c r="S47" s="175"/>
      <c r="T47" s="165"/>
      <c r="U47" s="176"/>
      <c r="V47" s="165"/>
      <c r="W47" s="165"/>
      <c r="X47" s="165"/>
      <c r="Y47" s="177"/>
      <c r="Z47" s="178"/>
    </row>
    <row r="48" spans="1:26">
      <c r="A48" s="142">
        <v>44607</v>
      </c>
      <c r="B48" s="163">
        <v>300</v>
      </c>
      <c r="C48" s="164"/>
      <c r="D48" s="179">
        <v>256.6</v>
      </c>
      <c r="E48" s="166">
        <v>1185</v>
      </c>
      <c r="F48" s="167">
        <v>44</v>
      </c>
      <c r="G48" s="168"/>
      <c r="H48" s="169">
        <v>300</v>
      </c>
      <c r="I48" s="164"/>
      <c r="J48" s="181">
        <v>300</v>
      </c>
      <c r="K48" s="171">
        <v>1032</v>
      </c>
      <c r="L48" s="172">
        <v>61</v>
      </c>
      <c r="M48" s="168"/>
      <c r="N48" s="169">
        <v>0</v>
      </c>
      <c r="O48" s="173"/>
      <c r="P48" s="165">
        <v>0</v>
      </c>
      <c r="Q48" s="171">
        <v>0</v>
      </c>
      <c r="R48" s="174">
        <v>0</v>
      </c>
      <c r="S48" s="175"/>
      <c r="T48" s="165"/>
      <c r="U48" s="176"/>
      <c r="V48" s="165"/>
      <c r="W48" s="165"/>
      <c r="X48" s="165"/>
      <c r="Y48" s="177"/>
      <c r="Z48" s="178"/>
    </row>
    <row r="49" spans="1:26">
      <c r="A49" s="142">
        <v>44608</v>
      </c>
      <c r="B49" s="163">
        <v>300</v>
      </c>
      <c r="C49" s="164"/>
      <c r="D49" s="179">
        <v>250.08</v>
      </c>
      <c r="E49" s="166">
        <v>1146</v>
      </c>
      <c r="F49" s="167">
        <v>38</v>
      </c>
      <c r="G49" s="168"/>
      <c r="H49" s="169">
        <v>300</v>
      </c>
      <c r="I49" s="164"/>
      <c r="J49" s="181">
        <v>380.02</v>
      </c>
      <c r="K49" s="171">
        <v>4046</v>
      </c>
      <c r="L49" s="172">
        <v>193</v>
      </c>
      <c r="M49" s="168"/>
      <c r="N49" s="169">
        <v>0</v>
      </c>
      <c r="O49" s="173"/>
      <c r="P49" s="165">
        <v>0</v>
      </c>
      <c r="Q49" s="171">
        <v>0</v>
      </c>
      <c r="R49" s="174">
        <v>0</v>
      </c>
      <c r="S49" s="175"/>
      <c r="T49" s="165"/>
      <c r="U49" s="176"/>
      <c r="V49" s="165"/>
      <c r="W49" s="165"/>
      <c r="X49" s="165"/>
      <c r="Y49" s="161"/>
      <c r="Z49" s="162"/>
    </row>
    <row r="50" spans="1:26">
      <c r="A50" s="182">
        <v>44609</v>
      </c>
      <c r="B50" s="163">
        <v>200</v>
      </c>
      <c r="C50" s="164"/>
      <c r="D50" s="179">
        <v>219.72</v>
      </c>
      <c r="E50" s="166">
        <v>950</v>
      </c>
      <c r="F50" s="167">
        <v>44</v>
      </c>
      <c r="G50" s="168"/>
      <c r="H50" s="169">
        <v>200</v>
      </c>
      <c r="I50" s="164"/>
      <c r="J50" s="181">
        <v>225</v>
      </c>
      <c r="K50" s="183">
        <v>3384</v>
      </c>
      <c r="L50" s="184">
        <v>134</v>
      </c>
      <c r="M50" s="185"/>
      <c r="N50" s="169">
        <v>0</v>
      </c>
      <c r="O50" s="173"/>
      <c r="P50" s="165">
        <v>0</v>
      </c>
      <c r="Q50" s="171">
        <v>0</v>
      </c>
      <c r="R50" s="174">
        <v>0</v>
      </c>
      <c r="S50" s="175"/>
      <c r="T50" s="165"/>
      <c r="U50" s="176"/>
      <c r="V50" s="165"/>
      <c r="W50" s="165"/>
      <c r="X50" s="165"/>
      <c r="Y50" s="177"/>
      <c r="Z50" s="178"/>
    </row>
    <row r="51" spans="1:26">
      <c r="A51" s="182">
        <v>44610</v>
      </c>
      <c r="B51" s="163">
        <v>200</v>
      </c>
      <c r="C51" s="164"/>
      <c r="D51" s="179">
        <v>185.81</v>
      </c>
      <c r="E51" s="166">
        <v>883</v>
      </c>
      <c r="F51" s="167">
        <v>44</v>
      </c>
      <c r="G51" s="168"/>
      <c r="H51" s="169">
        <v>200</v>
      </c>
      <c r="I51" s="164"/>
      <c r="J51" s="181">
        <v>242.02</v>
      </c>
      <c r="K51" s="183">
        <v>4406</v>
      </c>
      <c r="L51" s="184">
        <v>138</v>
      </c>
      <c r="M51" s="185"/>
      <c r="N51" s="169">
        <v>0</v>
      </c>
      <c r="O51" s="173"/>
      <c r="P51" s="165">
        <v>0</v>
      </c>
      <c r="Q51" s="171">
        <v>0</v>
      </c>
      <c r="R51" s="174">
        <v>0</v>
      </c>
      <c r="S51" s="175"/>
      <c r="T51" s="165"/>
      <c r="U51" s="176"/>
      <c r="V51" s="165"/>
      <c r="W51" s="165"/>
      <c r="X51" s="165"/>
      <c r="Y51" s="177"/>
      <c r="Z51" s="178"/>
    </row>
    <row r="52" spans="1:26">
      <c r="A52" s="182">
        <v>44611</v>
      </c>
      <c r="B52" s="163">
        <v>200</v>
      </c>
      <c r="C52" s="164"/>
      <c r="D52" s="179">
        <v>195.14</v>
      </c>
      <c r="E52" s="166">
        <v>880</v>
      </c>
      <c r="F52" s="167">
        <v>34</v>
      </c>
      <c r="G52" s="168"/>
      <c r="H52" s="169">
        <v>200</v>
      </c>
      <c r="I52" s="164"/>
      <c r="J52" s="181">
        <v>245</v>
      </c>
      <c r="K52" s="183">
        <v>4221</v>
      </c>
      <c r="L52" s="184">
        <v>143</v>
      </c>
      <c r="M52" s="185"/>
      <c r="N52" s="169">
        <v>0</v>
      </c>
      <c r="O52" s="173"/>
      <c r="P52" s="165">
        <v>0</v>
      </c>
      <c r="Q52" s="171">
        <v>0</v>
      </c>
      <c r="R52" s="174">
        <v>0</v>
      </c>
      <c r="S52" s="175"/>
      <c r="T52" s="165"/>
      <c r="U52" s="176"/>
      <c r="V52" s="165"/>
      <c r="W52" s="165"/>
      <c r="X52" s="165"/>
      <c r="Y52" s="177"/>
      <c r="Z52" s="178"/>
    </row>
    <row r="53" spans="1:26">
      <c r="A53" s="182">
        <v>44612</v>
      </c>
      <c r="B53" s="163">
        <v>200</v>
      </c>
      <c r="C53" s="164"/>
      <c r="D53" s="179">
        <v>194.54</v>
      </c>
      <c r="E53" s="166">
        <v>893</v>
      </c>
      <c r="F53" s="167">
        <v>38</v>
      </c>
      <c r="G53" s="168"/>
      <c r="H53" s="169">
        <v>200</v>
      </c>
      <c r="I53" s="164"/>
      <c r="J53" s="181">
        <v>279.53</v>
      </c>
      <c r="K53" s="183">
        <v>6126</v>
      </c>
      <c r="L53" s="184">
        <v>187</v>
      </c>
      <c r="M53" s="185"/>
      <c r="N53" s="169">
        <v>0</v>
      </c>
      <c r="O53" s="173"/>
      <c r="P53" s="165">
        <v>0</v>
      </c>
      <c r="Q53" s="171">
        <v>0</v>
      </c>
      <c r="R53" s="174">
        <v>0</v>
      </c>
      <c r="S53" s="175"/>
      <c r="T53" s="165"/>
      <c r="U53" s="176"/>
      <c r="V53" s="165"/>
      <c r="W53" s="165"/>
      <c r="X53" s="165"/>
      <c r="Y53" s="177"/>
      <c r="Z53" s="178"/>
    </row>
    <row r="54" spans="1:26">
      <c r="A54" s="182">
        <v>44613</v>
      </c>
      <c r="B54" s="163">
        <v>250</v>
      </c>
      <c r="C54" s="164"/>
      <c r="D54" s="179">
        <v>197.75</v>
      </c>
      <c r="E54" s="166">
        <v>852</v>
      </c>
      <c r="F54" s="167">
        <v>38</v>
      </c>
      <c r="G54" s="168"/>
      <c r="H54" s="169">
        <v>300</v>
      </c>
      <c r="I54" s="164"/>
      <c r="J54" s="181">
        <v>289.89</v>
      </c>
      <c r="K54" s="183">
        <v>5756</v>
      </c>
      <c r="L54" s="184">
        <v>185</v>
      </c>
      <c r="M54" s="185"/>
      <c r="N54" s="169">
        <v>0</v>
      </c>
      <c r="O54" s="173"/>
      <c r="P54" s="165">
        <v>0</v>
      </c>
      <c r="Q54" s="171">
        <v>0</v>
      </c>
      <c r="R54" s="174">
        <v>0</v>
      </c>
      <c r="S54" s="175"/>
      <c r="T54" s="165"/>
      <c r="U54" s="176"/>
      <c r="V54" s="165"/>
      <c r="W54" s="165"/>
      <c r="X54" s="165"/>
      <c r="Y54" s="177"/>
      <c r="Z54" s="178"/>
    </row>
    <row r="55" spans="1:26">
      <c r="A55" s="182">
        <v>44614</v>
      </c>
      <c r="B55" s="163">
        <v>250</v>
      </c>
      <c r="C55" s="164"/>
      <c r="D55" s="179">
        <v>194.41</v>
      </c>
      <c r="E55" s="166">
        <v>835</v>
      </c>
      <c r="F55" s="167">
        <v>43</v>
      </c>
      <c r="G55" s="168"/>
      <c r="H55" s="169">
        <v>300</v>
      </c>
      <c r="I55" s="164"/>
      <c r="J55" s="181">
        <v>313.68</v>
      </c>
      <c r="K55" s="183">
        <v>6675</v>
      </c>
      <c r="L55" s="184">
        <v>211</v>
      </c>
      <c r="M55" s="185"/>
      <c r="N55" s="169">
        <v>50</v>
      </c>
      <c r="O55" s="173"/>
      <c r="P55" s="186">
        <v>8.16</v>
      </c>
      <c r="Q55" s="171">
        <v>789</v>
      </c>
      <c r="R55" s="174">
        <v>14</v>
      </c>
      <c r="S55" s="175"/>
      <c r="T55" s="165"/>
      <c r="U55" s="176"/>
      <c r="V55" s="165"/>
      <c r="W55" s="165"/>
      <c r="X55" s="165"/>
      <c r="Y55" s="177"/>
      <c r="Z55" s="178"/>
    </row>
    <row r="56" spans="1:26">
      <c r="A56" s="182">
        <v>44615</v>
      </c>
      <c r="B56" s="163">
        <v>250</v>
      </c>
      <c r="C56" s="164"/>
      <c r="D56" s="179">
        <v>194.9</v>
      </c>
      <c r="E56" s="166">
        <v>876</v>
      </c>
      <c r="F56" s="167">
        <v>35</v>
      </c>
      <c r="G56" s="168"/>
      <c r="H56" s="169">
        <v>300</v>
      </c>
      <c r="I56" s="164"/>
      <c r="J56" s="181">
        <v>293.33</v>
      </c>
      <c r="K56" s="183">
        <v>6999</v>
      </c>
      <c r="L56" s="184">
        <v>214</v>
      </c>
      <c r="M56" s="185"/>
      <c r="N56" s="169">
        <v>100</v>
      </c>
      <c r="O56" s="173"/>
      <c r="P56" s="186">
        <v>29.56</v>
      </c>
      <c r="Q56" s="171">
        <v>2828</v>
      </c>
      <c r="R56" s="174">
        <v>42</v>
      </c>
      <c r="S56" s="175"/>
      <c r="T56" s="165"/>
      <c r="U56" s="176"/>
      <c r="V56" s="165"/>
      <c r="W56" s="165"/>
      <c r="X56" s="165"/>
      <c r="Y56" s="177"/>
      <c r="Z56" s="178"/>
    </row>
    <row r="57" spans="1:26">
      <c r="A57" s="182">
        <v>44616</v>
      </c>
      <c r="B57" s="163">
        <v>250</v>
      </c>
      <c r="C57" s="164"/>
      <c r="D57" s="179">
        <v>213.94</v>
      </c>
      <c r="E57" s="166">
        <v>828</v>
      </c>
      <c r="F57" s="167">
        <v>52</v>
      </c>
      <c r="G57" s="168"/>
      <c r="H57" s="169">
        <v>300</v>
      </c>
      <c r="I57" s="164"/>
      <c r="J57" s="181">
        <v>289.51</v>
      </c>
      <c r="K57" s="183">
        <v>5361</v>
      </c>
      <c r="L57" s="184">
        <v>175</v>
      </c>
      <c r="M57" s="185"/>
      <c r="N57" s="169">
        <v>200</v>
      </c>
      <c r="O57" s="173"/>
      <c r="P57" s="186">
        <v>153.08</v>
      </c>
      <c r="Q57" s="171">
        <v>18574</v>
      </c>
      <c r="R57" s="174">
        <v>164</v>
      </c>
      <c r="S57" s="175"/>
      <c r="T57" s="165"/>
      <c r="U57" s="176"/>
      <c r="V57" s="165"/>
      <c r="W57" s="165"/>
      <c r="X57" s="165"/>
      <c r="Y57" s="177"/>
      <c r="Z57" s="178"/>
    </row>
    <row r="58" spans="1:26">
      <c r="A58" s="182">
        <v>44617</v>
      </c>
      <c r="B58" s="163">
        <v>250</v>
      </c>
      <c r="C58" s="164"/>
      <c r="D58" s="179">
        <v>175.78</v>
      </c>
      <c r="E58" s="166">
        <v>748</v>
      </c>
      <c r="F58" s="167">
        <v>22</v>
      </c>
      <c r="G58" s="168"/>
      <c r="H58" s="169">
        <v>300</v>
      </c>
      <c r="I58" s="164"/>
      <c r="J58" s="181">
        <v>315.36</v>
      </c>
      <c r="K58" s="183">
        <v>4917</v>
      </c>
      <c r="L58" s="184">
        <v>175</v>
      </c>
      <c r="M58" s="185"/>
      <c r="N58" s="169">
        <v>300</v>
      </c>
      <c r="O58" s="173"/>
      <c r="P58" s="186">
        <v>269.92</v>
      </c>
      <c r="Q58" s="171">
        <v>44190</v>
      </c>
      <c r="R58" s="174">
        <v>276</v>
      </c>
      <c r="S58" s="175"/>
      <c r="T58" s="165"/>
      <c r="U58" s="176"/>
      <c r="V58" s="165"/>
      <c r="W58" s="165"/>
      <c r="X58" s="165"/>
      <c r="Y58" s="177"/>
      <c r="Z58" s="178"/>
    </row>
    <row r="59" spans="1:26">
      <c r="A59" s="182">
        <v>44618</v>
      </c>
      <c r="B59" s="163">
        <v>250</v>
      </c>
      <c r="C59" s="164"/>
      <c r="D59" s="179">
        <v>177.1</v>
      </c>
      <c r="E59" s="166">
        <v>868</v>
      </c>
      <c r="F59" s="167">
        <v>31</v>
      </c>
      <c r="G59" s="168"/>
      <c r="H59" s="169">
        <v>300</v>
      </c>
      <c r="I59" s="164"/>
      <c r="J59" s="181">
        <v>285.04</v>
      </c>
      <c r="K59" s="183">
        <v>9159</v>
      </c>
      <c r="L59" s="184">
        <v>166</v>
      </c>
      <c r="M59" s="185"/>
      <c r="N59" s="169">
        <v>300</v>
      </c>
      <c r="O59" s="173"/>
      <c r="P59" s="186">
        <v>275</v>
      </c>
      <c r="Q59" s="171">
        <v>32895</v>
      </c>
      <c r="R59" s="174">
        <v>303</v>
      </c>
      <c r="S59" s="175"/>
      <c r="T59" s="165"/>
      <c r="U59" s="176"/>
      <c r="V59" s="165"/>
      <c r="W59" s="165"/>
      <c r="X59" s="165"/>
      <c r="Y59" s="177"/>
      <c r="Z59" s="178"/>
    </row>
    <row r="60" spans="1:26">
      <c r="A60" s="182">
        <v>44619</v>
      </c>
      <c r="B60" s="163">
        <v>250</v>
      </c>
      <c r="C60" s="164"/>
      <c r="D60" s="179">
        <v>202.55</v>
      </c>
      <c r="E60" s="166">
        <v>913</v>
      </c>
      <c r="F60" s="167">
        <v>33</v>
      </c>
      <c r="G60" s="168"/>
      <c r="H60" s="169">
        <v>300</v>
      </c>
      <c r="I60" s="164"/>
      <c r="J60" s="181">
        <v>324.26</v>
      </c>
      <c r="K60" s="183">
        <v>10175</v>
      </c>
      <c r="L60" s="184">
        <v>251</v>
      </c>
      <c r="M60" s="185"/>
      <c r="N60" s="169">
        <v>300</v>
      </c>
      <c r="O60" s="173"/>
      <c r="P60" s="187">
        <v>277.62</v>
      </c>
      <c r="Q60" s="171">
        <v>44328</v>
      </c>
      <c r="R60" s="174">
        <v>380</v>
      </c>
      <c r="S60" s="175"/>
      <c r="T60" s="165"/>
      <c r="U60" s="176"/>
      <c r="V60" s="165"/>
      <c r="W60" s="165"/>
      <c r="X60" s="165"/>
      <c r="Y60" s="177"/>
      <c r="Z60" s="178"/>
    </row>
    <row r="61" ht="14.55" spans="1:26">
      <c r="A61" s="182">
        <v>44620</v>
      </c>
      <c r="B61" s="188">
        <v>250</v>
      </c>
      <c r="C61" s="189"/>
      <c r="D61" s="190">
        <v>224.99</v>
      </c>
      <c r="E61" s="191">
        <v>904</v>
      </c>
      <c r="F61" s="192">
        <v>46</v>
      </c>
      <c r="G61" s="193"/>
      <c r="H61" s="194">
        <v>300</v>
      </c>
      <c r="I61" s="195"/>
      <c r="J61" s="196">
        <v>251.27</v>
      </c>
      <c r="K61" s="183">
        <v>6984</v>
      </c>
      <c r="L61" s="184">
        <v>168</v>
      </c>
      <c r="M61" s="185"/>
      <c r="N61" s="197">
        <v>300</v>
      </c>
      <c r="O61" s="198"/>
      <c r="P61" s="199">
        <v>324.6</v>
      </c>
      <c r="Q61" s="200">
        <v>54023</v>
      </c>
      <c r="R61" s="201">
        <v>470</v>
      </c>
      <c r="S61" s="202"/>
      <c r="T61" s="165"/>
      <c r="U61" s="176"/>
      <c r="V61" s="165"/>
      <c r="W61" s="165"/>
      <c r="X61" s="165"/>
      <c r="Y61" s="203"/>
      <c r="Z61" s="204"/>
    </row>
    <row r="62" spans="1:26">
      <c r="A62" s="182">
        <v>44621</v>
      </c>
      <c r="B62" s="143">
        <v>300</v>
      </c>
      <c r="C62" s="144"/>
      <c r="D62" s="205">
        <v>217.38</v>
      </c>
      <c r="E62" s="146">
        <v>929</v>
      </c>
      <c r="F62" s="147">
        <v>28</v>
      </c>
      <c r="G62" s="206"/>
      <c r="H62" s="154">
        <v>400</v>
      </c>
      <c r="I62" s="144"/>
      <c r="J62" s="207">
        <v>61.75</v>
      </c>
      <c r="K62" s="156">
        <v>4690</v>
      </c>
      <c r="L62" s="157">
        <v>48</v>
      </c>
      <c r="M62" s="206"/>
      <c r="N62" s="154">
        <v>300</v>
      </c>
      <c r="O62" s="155"/>
      <c r="P62" s="208">
        <v>45.61</v>
      </c>
      <c r="Q62" s="156">
        <v>12996</v>
      </c>
      <c r="R62" s="157">
        <v>36</v>
      </c>
      <c r="S62" s="158"/>
      <c r="T62" s="165"/>
      <c r="U62" s="176"/>
      <c r="V62" s="165"/>
      <c r="W62" s="165"/>
      <c r="X62" s="165"/>
      <c r="Y62" s="177"/>
      <c r="Z62" s="178"/>
    </row>
    <row r="63" ht="14.55" spans="1:26">
      <c r="A63" s="182">
        <v>44622</v>
      </c>
      <c r="B63" s="163">
        <v>300</v>
      </c>
      <c r="C63" s="164"/>
      <c r="D63" s="179">
        <v>284.47</v>
      </c>
      <c r="E63" s="209">
        <v>1187</v>
      </c>
      <c r="F63" s="210">
        <v>61</v>
      </c>
      <c r="G63" s="193"/>
      <c r="H63" s="194">
        <v>400</v>
      </c>
      <c r="I63" s="195"/>
      <c r="J63" s="181">
        <v>275.74</v>
      </c>
      <c r="K63" s="183">
        <v>11118</v>
      </c>
      <c r="L63" s="211">
        <v>180</v>
      </c>
      <c r="M63" s="185"/>
      <c r="N63" s="169">
        <v>300</v>
      </c>
      <c r="O63" s="173"/>
      <c r="P63" s="187">
        <v>170.7</v>
      </c>
      <c r="Q63" s="171">
        <v>20669</v>
      </c>
      <c r="R63" s="174">
        <v>114</v>
      </c>
      <c r="S63" s="175"/>
      <c r="T63" s="165"/>
      <c r="U63" s="176"/>
      <c r="V63" s="165"/>
      <c r="W63" s="165"/>
      <c r="X63" s="165"/>
      <c r="Y63" s="203"/>
      <c r="Z63" s="204"/>
    </row>
    <row r="64" spans="1:26">
      <c r="A64" s="182">
        <v>44623</v>
      </c>
      <c r="B64" s="163">
        <v>300</v>
      </c>
      <c r="C64" s="164"/>
      <c r="D64" s="179">
        <v>230.1</v>
      </c>
      <c r="E64" s="166">
        <v>1033</v>
      </c>
      <c r="F64" s="167">
        <v>27</v>
      </c>
      <c r="G64" s="168"/>
      <c r="H64" s="169">
        <v>400</v>
      </c>
      <c r="I64" s="164"/>
      <c r="J64" s="181">
        <v>331.52</v>
      </c>
      <c r="K64" s="171">
        <v>12546</v>
      </c>
      <c r="L64" s="174">
        <v>216</v>
      </c>
      <c r="M64" s="168"/>
      <c r="N64" s="169">
        <v>300</v>
      </c>
      <c r="O64" s="173"/>
      <c r="P64" s="187">
        <v>320.12</v>
      </c>
      <c r="Q64" s="171">
        <v>27182</v>
      </c>
      <c r="R64" s="174">
        <v>189</v>
      </c>
      <c r="S64" s="175"/>
      <c r="T64" s="165"/>
      <c r="U64" s="176"/>
      <c r="V64" s="165"/>
      <c r="W64" s="165"/>
      <c r="X64" s="165"/>
      <c r="Y64" s="177"/>
      <c r="Z64" s="178"/>
    </row>
    <row r="65" ht="14.55" spans="1:26">
      <c r="A65" s="182">
        <v>44624</v>
      </c>
      <c r="B65" s="163">
        <v>300</v>
      </c>
      <c r="C65" s="164"/>
      <c r="D65" s="179">
        <v>234.65</v>
      </c>
      <c r="E65" s="209">
        <v>1083</v>
      </c>
      <c r="F65" s="210">
        <v>35</v>
      </c>
      <c r="G65" s="193"/>
      <c r="H65" s="194">
        <v>400</v>
      </c>
      <c r="I65" s="195"/>
      <c r="J65" s="181">
        <v>339.2</v>
      </c>
      <c r="K65" s="183">
        <v>13649</v>
      </c>
      <c r="L65" s="211">
        <v>311</v>
      </c>
      <c r="M65" s="185"/>
      <c r="N65" s="169">
        <v>300</v>
      </c>
      <c r="O65" s="173"/>
      <c r="P65" s="187">
        <v>353.05</v>
      </c>
      <c r="Q65" s="171">
        <v>26118</v>
      </c>
      <c r="R65" s="174">
        <v>212</v>
      </c>
      <c r="S65" s="175"/>
      <c r="T65" s="165"/>
      <c r="U65" s="176"/>
      <c r="V65" s="165"/>
      <c r="W65" s="165"/>
      <c r="X65" s="165"/>
      <c r="Y65" s="203"/>
      <c r="Z65" s="204"/>
    </row>
    <row r="66" spans="1:26">
      <c r="A66" s="182">
        <v>44625</v>
      </c>
      <c r="B66" s="163">
        <v>300</v>
      </c>
      <c r="C66" s="164"/>
      <c r="D66" s="165">
        <v>255.28</v>
      </c>
      <c r="E66" s="209">
        <v>1150</v>
      </c>
      <c r="F66" s="210">
        <v>35</v>
      </c>
      <c r="G66" s="185"/>
      <c r="H66" s="169">
        <v>500</v>
      </c>
      <c r="I66" s="164"/>
      <c r="J66" s="181">
        <v>377.53</v>
      </c>
      <c r="K66" s="183">
        <v>15861</v>
      </c>
      <c r="L66" s="211">
        <v>262</v>
      </c>
      <c r="M66" s="185"/>
      <c r="N66" s="169">
        <v>400</v>
      </c>
      <c r="O66" s="173"/>
      <c r="P66" s="187">
        <v>416.58</v>
      </c>
      <c r="Q66" s="171">
        <v>38795</v>
      </c>
      <c r="R66" s="174">
        <v>308</v>
      </c>
      <c r="S66" s="175"/>
      <c r="T66" s="165"/>
      <c r="U66" s="176"/>
      <c r="V66" s="165"/>
      <c r="W66" s="165"/>
      <c r="X66" s="165"/>
      <c r="Y66" s="177"/>
      <c r="Z66" s="178"/>
    </row>
    <row r="67" ht="14.55" spans="1:26">
      <c r="A67" s="182">
        <v>44626</v>
      </c>
      <c r="B67" s="163">
        <v>300</v>
      </c>
      <c r="C67" s="164"/>
      <c r="D67" s="165">
        <v>248.76</v>
      </c>
      <c r="E67" s="209">
        <v>1114</v>
      </c>
      <c r="F67" s="210">
        <v>35</v>
      </c>
      <c r="G67" s="193"/>
      <c r="H67" s="194">
        <v>700</v>
      </c>
      <c r="I67" s="195"/>
      <c r="J67" s="181">
        <v>395.13</v>
      </c>
      <c r="K67" s="183">
        <v>13994</v>
      </c>
      <c r="L67" s="211">
        <v>287</v>
      </c>
      <c r="M67" s="185"/>
      <c r="N67" s="169">
        <v>500</v>
      </c>
      <c r="O67" s="173"/>
      <c r="P67" s="187">
        <v>288.13</v>
      </c>
      <c r="Q67" s="171">
        <v>31752</v>
      </c>
      <c r="R67" s="174">
        <v>242</v>
      </c>
      <c r="S67" s="175"/>
      <c r="T67" s="165"/>
      <c r="U67" s="176"/>
      <c r="V67" s="165"/>
      <c r="W67" s="165"/>
      <c r="X67" s="165"/>
      <c r="Y67" s="203"/>
      <c r="Z67" s="204"/>
    </row>
    <row r="68" spans="1:26">
      <c r="A68" s="182">
        <v>44627</v>
      </c>
      <c r="B68" s="163">
        <v>300</v>
      </c>
      <c r="C68" s="164"/>
      <c r="D68" s="165">
        <v>258.42</v>
      </c>
      <c r="E68" s="209">
        <v>1218</v>
      </c>
      <c r="F68" s="210">
        <v>31</v>
      </c>
      <c r="G68" s="185"/>
      <c r="H68" s="169">
        <v>800</v>
      </c>
      <c r="I68" s="164"/>
      <c r="J68" s="181">
        <v>373.98</v>
      </c>
      <c r="K68" s="183">
        <v>11272</v>
      </c>
      <c r="L68" s="211">
        <v>292</v>
      </c>
      <c r="M68" s="185"/>
      <c r="N68" s="169">
        <v>600</v>
      </c>
      <c r="O68" s="173"/>
      <c r="P68" s="187">
        <v>284.46</v>
      </c>
      <c r="Q68" s="171">
        <v>39507</v>
      </c>
      <c r="R68" s="174">
        <v>266</v>
      </c>
      <c r="S68" s="175"/>
      <c r="T68" s="165"/>
      <c r="U68" s="176"/>
      <c r="V68" s="165"/>
      <c r="W68" s="165"/>
      <c r="X68" s="165"/>
      <c r="Y68" s="177"/>
      <c r="Z68" s="178"/>
    </row>
    <row r="69" ht="14.55" spans="1:26">
      <c r="A69" s="182">
        <v>44628</v>
      </c>
      <c r="B69" s="163">
        <v>300</v>
      </c>
      <c r="C69" s="164"/>
      <c r="D69" s="165">
        <v>227.65</v>
      </c>
      <c r="E69" s="209">
        <v>1128</v>
      </c>
      <c r="F69" s="210">
        <v>23</v>
      </c>
      <c r="G69" s="193"/>
      <c r="H69" s="194">
        <v>1000</v>
      </c>
      <c r="I69" s="195"/>
      <c r="J69" s="181">
        <v>308.27</v>
      </c>
      <c r="K69" s="183">
        <v>11058</v>
      </c>
      <c r="L69" s="211">
        <v>283</v>
      </c>
      <c r="M69" s="185"/>
      <c r="N69" s="169">
        <v>600</v>
      </c>
      <c r="O69" s="173"/>
      <c r="P69" s="187">
        <v>152.85</v>
      </c>
      <c r="Q69" s="171">
        <v>22552</v>
      </c>
      <c r="R69" s="174">
        <v>144</v>
      </c>
      <c r="S69" s="175"/>
      <c r="T69" s="165"/>
      <c r="U69" s="176"/>
      <c r="V69" s="165"/>
      <c r="W69" s="165"/>
      <c r="X69" s="165"/>
      <c r="Y69" s="203"/>
      <c r="Z69" s="204"/>
    </row>
    <row r="70" spans="1:26">
      <c r="A70" s="182">
        <v>44629</v>
      </c>
      <c r="B70" s="163">
        <v>250</v>
      </c>
      <c r="C70" s="164"/>
      <c r="D70" s="165">
        <v>183.98</v>
      </c>
      <c r="E70" s="209">
        <v>820</v>
      </c>
      <c r="F70" s="210">
        <v>31</v>
      </c>
      <c r="G70" s="185"/>
      <c r="H70" s="169">
        <v>400</v>
      </c>
      <c r="I70" s="164"/>
      <c r="J70" s="181">
        <v>254.6</v>
      </c>
      <c r="K70" s="183">
        <v>8060</v>
      </c>
      <c r="L70" s="211">
        <v>130</v>
      </c>
      <c r="M70" s="185"/>
      <c r="N70" s="163">
        <v>0</v>
      </c>
      <c r="O70" s="164"/>
      <c r="P70" s="187">
        <v>0</v>
      </c>
      <c r="Q70" s="171">
        <v>0</v>
      </c>
      <c r="R70" s="174">
        <v>0</v>
      </c>
      <c r="S70" s="175"/>
      <c r="T70" s="165"/>
      <c r="U70" s="176"/>
      <c r="V70" s="165"/>
      <c r="W70" s="165"/>
      <c r="X70" s="165"/>
      <c r="Y70" s="177"/>
      <c r="Z70" s="178"/>
    </row>
    <row r="71" ht="14.55" spans="1:26">
      <c r="A71" s="182">
        <v>44630</v>
      </c>
      <c r="B71" s="163">
        <v>250</v>
      </c>
      <c r="C71" s="164"/>
      <c r="D71" s="165">
        <v>196.4</v>
      </c>
      <c r="E71" s="166">
        <v>779</v>
      </c>
      <c r="F71" s="167">
        <v>28</v>
      </c>
      <c r="G71" s="193"/>
      <c r="H71" s="194">
        <v>400</v>
      </c>
      <c r="I71" s="195"/>
      <c r="J71" s="181">
        <v>192.84</v>
      </c>
      <c r="K71" s="183">
        <v>5401</v>
      </c>
      <c r="L71" s="211">
        <v>114</v>
      </c>
      <c r="M71" s="185"/>
      <c r="N71" s="163">
        <v>0</v>
      </c>
      <c r="O71" s="164"/>
      <c r="P71" s="187">
        <v>0</v>
      </c>
      <c r="Q71" s="171">
        <v>0</v>
      </c>
      <c r="R71" s="174">
        <v>0</v>
      </c>
      <c r="S71" s="175"/>
      <c r="T71" s="165"/>
      <c r="U71" s="176"/>
      <c r="V71" s="165"/>
      <c r="W71" s="165"/>
      <c r="X71" s="165"/>
      <c r="Y71" s="203"/>
      <c r="Z71" s="204"/>
    </row>
    <row r="72" spans="1:26">
      <c r="A72" s="182">
        <v>44631</v>
      </c>
      <c r="B72" s="163">
        <v>250</v>
      </c>
      <c r="C72" s="212"/>
      <c r="D72" s="213">
        <v>152.46</v>
      </c>
      <c r="E72" s="166">
        <v>607</v>
      </c>
      <c r="F72" s="167">
        <v>22</v>
      </c>
      <c r="G72" s="168"/>
      <c r="H72" s="169">
        <v>400</v>
      </c>
      <c r="I72" s="164"/>
      <c r="J72" s="181">
        <v>145.23</v>
      </c>
      <c r="K72" s="183">
        <v>5178</v>
      </c>
      <c r="L72" s="211">
        <v>99</v>
      </c>
      <c r="M72" s="185"/>
      <c r="N72" s="163">
        <v>0</v>
      </c>
      <c r="O72" s="164"/>
      <c r="P72" s="187">
        <v>0</v>
      </c>
      <c r="Q72" s="171">
        <v>0</v>
      </c>
      <c r="R72" s="174">
        <v>0</v>
      </c>
      <c r="S72" s="175"/>
      <c r="T72" s="165"/>
      <c r="U72" s="176"/>
      <c r="V72" s="165"/>
      <c r="W72" s="165"/>
      <c r="X72" s="165"/>
      <c r="Y72" s="177"/>
      <c r="Z72" s="178"/>
    </row>
    <row r="73" ht="14.55" spans="1:26">
      <c r="A73" s="182">
        <v>44632</v>
      </c>
      <c r="B73" s="163">
        <v>250</v>
      </c>
      <c r="C73" s="212"/>
      <c r="D73" s="213">
        <v>102.83</v>
      </c>
      <c r="E73" s="166">
        <v>446</v>
      </c>
      <c r="F73" s="167">
        <v>7</v>
      </c>
      <c r="G73" s="193"/>
      <c r="H73" s="194">
        <v>400</v>
      </c>
      <c r="I73" s="195"/>
      <c r="J73" s="181">
        <v>80</v>
      </c>
      <c r="K73" s="183">
        <v>2737</v>
      </c>
      <c r="L73" s="211">
        <v>63</v>
      </c>
      <c r="M73" s="185"/>
      <c r="N73" s="163">
        <v>0</v>
      </c>
      <c r="O73" s="164"/>
      <c r="P73" s="187">
        <v>0</v>
      </c>
      <c r="Q73" s="171">
        <v>0</v>
      </c>
      <c r="R73" s="174">
        <v>0</v>
      </c>
      <c r="S73" s="175"/>
      <c r="T73" s="165"/>
      <c r="U73" s="176"/>
      <c r="V73" s="165"/>
      <c r="W73" s="165"/>
      <c r="X73" s="165"/>
      <c r="Y73" s="203"/>
      <c r="Z73" s="204"/>
    </row>
    <row r="74" spans="1:26">
      <c r="A74" s="182">
        <v>44633</v>
      </c>
      <c r="B74" s="163">
        <v>250</v>
      </c>
      <c r="C74" s="212"/>
      <c r="D74" s="213">
        <v>109.06</v>
      </c>
      <c r="E74" s="166">
        <v>497</v>
      </c>
      <c r="F74" s="167">
        <v>17</v>
      </c>
      <c r="G74" s="168"/>
      <c r="H74" s="169">
        <v>400</v>
      </c>
      <c r="I74" s="164"/>
      <c r="J74" s="181">
        <v>80</v>
      </c>
      <c r="K74" s="183">
        <v>1819</v>
      </c>
      <c r="L74" s="211">
        <v>16</v>
      </c>
      <c r="M74" s="185"/>
      <c r="N74" s="163">
        <v>0</v>
      </c>
      <c r="O74" s="164"/>
      <c r="P74" s="187">
        <v>0</v>
      </c>
      <c r="Q74" s="171">
        <v>0</v>
      </c>
      <c r="R74" s="174">
        <v>0</v>
      </c>
      <c r="S74" s="175"/>
      <c r="T74" s="165"/>
      <c r="U74" s="176"/>
      <c r="V74" s="165"/>
      <c r="W74" s="165"/>
      <c r="X74" s="165"/>
      <c r="Y74" s="177"/>
      <c r="Z74" s="178"/>
    </row>
    <row r="75" ht="14.55" spans="1:26">
      <c r="A75" s="182">
        <v>44634</v>
      </c>
      <c r="B75" s="163">
        <v>250</v>
      </c>
      <c r="C75" s="212"/>
      <c r="D75" s="213">
        <v>77.66</v>
      </c>
      <c r="E75" s="166">
        <v>361</v>
      </c>
      <c r="F75" s="167">
        <v>8</v>
      </c>
      <c r="G75" s="193"/>
      <c r="H75" s="194">
        <v>400</v>
      </c>
      <c r="I75" s="195"/>
      <c r="J75" s="181">
        <v>80</v>
      </c>
      <c r="K75" s="183">
        <v>2241</v>
      </c>
      <c r="L75" s="211">
        <v>34</v>
      </c>
      <c r="M75" s="185"/>
      <c r="N75" s="163">
        <v>0</v>
      </c>
      <c r="O75" s="164"/>
      <c r="P75" s="187">
        <v>0</v>
      </c>
      <c r="Q75" s="171">
        <v>0</v>
      </c>
      <c r="R75" s="174">
        <v>0</v>
      </c>
      <c r="S75" s="175"/>
      <c r="T75" s="165"/>
      <c r="U75" s="176"/>
      <c r="V75" s="165"/>
      <c r="W75" s="165"/>
      <c r="X75" s="165"/>
      <c r="Y75" s="203"/>
      <c r="Z75" s="204"/>
    </row>
    <row r="76" spans="1:26">
      <c r="A76" s="182">
        <v>44635</v>
      </c>
      <c r="B76" s="163">
        <v>250</v>
      </c>
      <c r="C76" s="212"/>
      <c r="D76" s="213">
        <v>85.41</v>
      </c>
      <c r="E76" s="166">
        <v>318</v>
      </c>
      <c r="F76" s="167">
        <v>16</v>
      </c>
      <c r="G76" s="168"/>
      <c r="H76" s="169">
        <v>400</v>
      </c>
      <c r="I76" s="164"/>
      <c r="J76" s="181">
        <v>15.71</v>
      </c>
      <c r="K76" s="183">
        <v>380</v>
      </c>
      <c r="L76" s="211">
        <v>11</v>
      </c>
      <c r="M76" s="185"/>
      <c r="N76" s="163">
        <v>0</v>
      </c>
      <c r="O76" s="164"/>
      <c r="P76" s="187">
        <v>0</v>
      </c>
      <c r="Q76" s="171">
        <v>0</v>
      </c>
      <c r="R76" s="174">
        <v>0</v>
      </c>
      <c r="S76" s="175"/>
      <c r="T76" s="165"/>
      <c r="U76" s="176"/>
      <c r="V76" s="165"/>
      <c r="W76" s="165"/>
      <c r="X76" s="165"/>
      <c r="Y76" s="177"/>
      <c r="Z76" s="178"/>
    </row>
    <row r="77" ht="14.55" spans="1:26">
      <c r="A77" s="182">
        <v>44636</v>
      </c>
      <c r="B77" s="163">
        <v>250</v>
      </c>
      <c r="C77" s="212"/>
      <c r="D77" s="213">
        <v>0.78</v>
      </c>
      <c r="E77" s="166">
        <v>0</v>
      </c>
      <c r="F77" s="167">
        <v>0</v>
      </c>
      <c r="G77" s="193"/>
      <c r="H77" s="194">
        <v>400</v>
      </c>
      <c r="I77" s="195"/>
      <c r="J77" s="181">
        <v>0</v>
      </c>
      <c r="K77" s="183">
        <v>0</v>
      </c>
      <c r="L77" s="211">
        <v>0</v>
      </c>
      <c r="M77" s="185"/>
      <c r="N77" s="163">
        <v>0</v>
      </c>
      <c r="O77" s="164"/>
      <c r="P77" s="187">
        <v>0</v>
      </c>
      <c r="Q77" s="171">
        <v>0</v>
      </c>
      <c r="R77" s="174">
        <v>0</v>
      </c>
      <c r="S77" s="175"/>
      <c r="T77" s="165"/>
      <c r="U77" s="176"/>
      <c r="V77" s="165"/>
      <c r="W77" s="165"/>
      <c r="X77" s="165"/>
      <c r="Y77" s="203"/>
      <c r="Z77" s="204"/>
    </row>
    <row r="78" spans="1:26">
      <c r="A78" s="182">
        <v>44637</v>
      </c>
      <c r="B78" s="163">
        <v>0</v>
      </c>
      <c r="C78" s="212"/>
      <c r="D78" s="213">
        <v>0</v>
      </c>
      <c r="E78" s="166">
        <v>0</v>
      </c>
      <c r="F78" s="167">
        <v>0</v>
      </c>
      <c r="G78" s="168"/>
      <c r="H78" s="163">
        <v>0</v>
      </c>
      <c r="I78" s="164"/>
      <c r="J78" s="181">
        <v>0</v>
      </c>
      <c r="K78" s="183">
        <v>0</v>
      </c>
      <c r="L78" s="211">
        <v>0</v>
      </c>
      <c r="M78" s="185"/>
      <c r="N78" s="163">
        <v>0</v>
      </c>
      <c r="O78" s="164"/>
      <c r="P78" s="187">
        <v>0</v>
      </c>
      <c r="Q78" s="171">
        <v>0</v>
      </c>
      <c r="R78" s="174">
        <v>0</v>
      </c>
      <c r="S78" s="175"/>
      <c r="T78" s="165"/>
      <c r="U78" s="176"/>
      <c r="V78" s="165"/>
      <c r="W78" s="165"/>
      <c r="X78" s="165"/>
      <c r="Y78" s="177"/>
      <c r="Z78" s="178"/>
    </row>
    <row r="79" ht="14.55" spans="1:26">
      <c r="A79" s="182">
        <v>44638</v>
      </c>
      <c r="B79" s="163">
        <v>0</v>
      </c>
      <c r="C79" s="212"/>
      <c r="D79" s="213">
        <v>0</v>
      </c>
      <c r="E79" s="166">
        <v>0</v>
      </c>
      <c r="F79" s="167">
        <v>0</v>
      </c>
      <c r="G79" s="168"/>
      <c r="H79" s="163">
        <v>0</v>
      </c>
      <c r="I79" s="164"/>
      <c r="J79" s="181">
        <v>0</v>
      </c>
      <c r="K79" s="183">
        <v>0</v>
      </c>
      <c r="L79" s="211">
        <v>0</v>
      </c>
      <c r="M79" s="185"/>
      <c r="N79" s="163">
        <v>0</v>
      </c>
      <c r="O79" s="164"/>
      <c r="P79" s="187">
        <v>0</v>
      </c>
      <c r="Q79" s="171">
        <v>0</v>
      </c>
      <c r="R79" s="174">
        <v>0</v>
      </c>
      <c r="S79" s="175"/>
      <c r="T79" s="165"/>
      <c r="U79" s="176"/>
      <c r="V79" s="165"/>
      <c r="W79" s="165"/>
      <c r="X79" s="165"/>
      <c r="Y79" s="203"/>
      <c r="Z79" s="204"/>
    </row>
    <row r="80" spans="1:26">
      <c r="A80" s="182">
        <v>44639</v>
      </c>
      <c r="B80" s="163">
        <v>0</v>
      </c>
      <c r="C80" s="212"/>
      <c r="D80" s="213">
        <v>0</v>
      </c>
      <c r="E80" s="166">
        <v>0</v>
      </c>
      <c r="F80" s="167">
        <v>0</v>
      </c>
      <c r="G80" s="168"/>
      <c r="H80" s="163">
        <v>0</v>
      </c>
      <c r="I80" s="164"/>
      <c r="J80" s="181">
        <v>0</v>
      </c>
      <c r="K80" s="183">
        <v>0</v>
      </c>
      <c r="L80" s="211">
        <v>0</v>
      </c>
      <c r="M80" s="185"/>
      <c r="N80" s="163">
        <v>0</v>
      </c>
      <c r="O80" s="164"/>
      <c r="P80" s="187">
        <v>0</v>
      </c>
      <c r="Q80" s="171">
        <v>0</v>
      </c>
      <c r="R80" s="174">
        <v>0</v>
      </c>
      <c r="S80" s="175"/>
      <c r="T80" s="165"/>
      <c r="U80" s="176"/>
      <c r="V80" s="165"/>
      <c r="W80" s="165"/>
      <c r="X80" s="165"/>
      <c r="Y80" s="177"/>
      <c r="Z80" s="178"/>
    </row>
    <row r="81" ht="14.55" spans="1:26">
      <c r="A81" s="182">
        <v>44640</v>
      </c>
      <c r="B81" s="163">
        <v>0</v>
      </c>
      <c r="C81" s="212"/>
      <c r="D81" s="213">
        <v>0</v>
      </c>
      <c r="E81" s="166">
        <v>0</v>
      </c>
      <c r="F81" s="167">
        <v>0</v>
      </c>
      <c r="G81" s="168"/>
      <c r="H81" s="163">
        <v>0</v>
      </c>
      <c r="I81" s="164"/>
      <c r="J81" s="181">
        <v>0</v>
      </c>
      <c r="K81" s="183">
        <v>0</v>
      </c>
      <c r="L81" s="211">
        <v>0</v>
      </c>
      <c r="M81" s="185"/>
      <c r="N81" s="163">
        <v>0</v>
      </c>
      <c r="O81" s="164"/>
      <c r="P81" s="187">
        <v>0</v>
      </c>
      <c r="Q81" s="171">
        <v>0</v>
      </c>
      <c r="R81" s="174">
        <v>0</v>
      </c>
      <c r="S81" s="175"/>
      <c r="T81" s="165"/>
      <c r="U81" s="176"/>
      <c r="V81" s="165"/>
      <c r="W81" s="165"/>
      <c r="X81" s="165"/>
      <c r="Y81" s="203"/>
      <c r="Z81" s="204"/>
    </row>
    <row r="82" spans="1:26">
      <c r="A82" s="182">
        <v>44641</v>
      </c>
      <c r="B82" s="163">
        <v>0</v>
      </c>
      <c r="C82" s="212"/>
      <c r="D82" s="213">
        <v>0</v>
      </c>
      <c r="E82" s="166">
        <v>0</v>
      </c>
      <c r="F82" s="167">
        <v>0</v>
      </c>
      <c r="G82" s="168"/>
      <c r="H82" s="163">
        <v>0</v>
      </c>
      <c r="I82" s="164"/>
      <c r="J82" s="181">
        <v>0</v>
      </c>
      <c r="K82" s="183">
        <v>0</v>
      </c>
      <c r="L82" s="211">
        <v>0</v>
      </c>
      <c r="M82" s="185"/>
      <c r="N82" s="163">
        <v>0</v>
      </c>
      <c r="O82" s="164"/>
      <c r="P82" s="187">
        <v>0</v>
      </c>
      <c r="Q82" s="171">
        <v>0</v>
      </c>
      <c r="R82" s="174">
        <v>0</v>
      </c>
      <c r="S82" s="175"/>
      <c r="T82" s="165"/>
      <c r="U82" s="176"/>
      <c r="V82" s="165"/>
      <c r="W82" s="165"/>
      <c r="X82" s="165"/>
      <c r="Y82" s="177"/>
      <c r="Z82" s="178"/>
    </row>
    <row r="83" ht="14.55" spans="1:26">
      <c r="A83" s="182">
        <v>44642</v>
      </c>
      <c r="B83" s="163">
        <v>0</v>
      </c>
      <c r="C83" s="212"/>
      <c r="D83" s="213">
        <v>0</v>
      </c>
      <c r="E83" s="166">
        <v>0</v>
      </c>
      <c r="F83" s="167">
        <v>0</v>
      </c>
      <c r="G83" s="168"/>
      <c r="H83" s="163">
        <v>0</v>
      </c>
      <c r="I83" s="164"/>
      <c r="J83" s="181">
        <v>0</v>
      </c>
      <c r="K83" s="183">
        <v>0</v>
      </c>
      <c r="L83" s="211">
        <v>0</v>
      </c>
      <c r="M83" s="185"/>
      <c r="N83" s="163">
        <v>0</v>
      </c>
      <c r="O83" s="164"/>
      <c r="P83" s="187">
        <v>0</v>
      </c>
      <c r="Q83" s="171">
        <v>0</v>
      </c>
      <c r="R83" s="174">
        <v>0</v>
      </c>
      <c r="S83" s="175"/>
      <c r="T83" s="165"/>
      <c r="U83" s="176"/>
      <c r="V83" s="165"/>
      <c r="W83" s="165"/>
      <c r="X83" s="165"/>
      <c r="Y83" s="203"/>
      <c r="Z83" s="204"/>
    </row>
    <row r="84" spans="1:26">
      <c r="A84" s="182">
        <v>44643</v>
      </c>
      <c r="B84" s="163">
        <v>0</v>
      </c>
      <c r="C84" s="212"/>
      <c r="D84" s="213">
        <v>0</v>
      </c>
      <c r="E84" s="166">
        <v>0</v>
      </c>
      <c r="F84" s="167">
        <v>0</v>
      </c>
      <c r="G84" s="168"/>
      <c r="H84" s="163">
        <v>0</v>
      </c>
      <c r="I84" s="164"/>
      <c r="J84" s="181">
        <v>0</v>
      </c>
      <c r="K84" s="183">
        <v>0</v>
      </c>
      <c r="L84" s="211">
        <v>0</v>
      </c>
      <c r="M84" s="185"/>
      <c r="N84" s="163">
        <v>0</v>
      </c>
      <c r="O84" s="164"/>
      <c r="P84" s="187">
        <v>0</v>
      </c>
      <c r="Q84" s="171">
        <v>0</v>
      </c>
      <c r="R84" s="174">
        <v>0</v>
      </c>
      <c r="S84" s="175"/>
      <c r="T84" s="165"/>
      <c r="U84" s="176"/>
      <c r="V84" s="165"/>
      <c r="W84" s="165"/>
      <c r="X84" s="165"/>
      <c r="Y84" s="177"/>
      <c r="Z84" s="178"/>
    </row>
    <row r="85" ht="14.55" spans="1:26">
      <c r="A85" s="182">
        <v>44644</v>
      </c>
      <c r="B85" s="163">
        <v>0</v>
      </c>
      <c r="C85" s="212"/>
      <c r="D85" s="213">
        <v>0</v>
      </c>
      <c r="E85" s="166">
        <v>0</v>
      </c>
      <c r="F85" s="167">
        <v>0</v>
      </c>
      <c r="G85" s="168"/>
      <c r="H85" s="163">
        <v>0</v>
      </c>
      <c r="I85" s="164"/>
      <c r="J85" s="181">
        <v>0</v>
      </c>
      <c r="K85" s="183">
        <v>0</v>
      </c>
      <c r="L85" s="211">
        <v>0</v>
      </c>
      <c r="M85" s="185"/>
      <c r="N85" s="163">
        <v>0</v>
      </c>
      <c r="O85" s="164"/>
      <c r="P85" s="187">
        <v>0</v>
      </c>
      <c r="Q85" s="171">
        <v>0</v>
      </c>
      <c r="R85" s="174">
        <v>0</v>
      </c>
      <c r="S85" s="175"/>
      <c r="T85" s="165"/>
      <c r="U85" s="176"/>
      <c r="V85" s="165"/>
      <c r="W85" s="165"/>
      <c r="X85" s="165"/>
      <c r="Y85" s="203"/>
      <c r="Z85" s="204"/>
    </row>
    <row r="86" spans="1:26">
      <c r="A86" s="182">
        <v>44645</v>
      </c>
      <c r="B86" s="163">
        <v>0</v>
      </c>
      <c r="C86" s="212"/>
      <c r="D86" s="213">
        <v>0</v>
      </c>
      <c r="E86" s="166">
        <v>0</v>
      </c>
      <c r="F86" s="167">
        <v>0</v>
      </c>
      <c r="G86" s="168"/>
      <c r="H86" s="163">
        <v>0</v>
      </c>
      <c r="I86" s="164"/>
      <c r="J86" s="181">
        <v>0</v>
      </c>
      <c r="K86" s="183">
        <v>0</v>
      </c>
      <c r="L86" s="211">
        <v>0</v>
      </c>
      <c r="M86" s="185"/>
      <c r="N86" s="163">
        <v>0</v>
      </c>
      <c r="O86" s="164"/>
      <c r="P86" s="187">
        <v>0</v>
      </c>
      <c r="Q86" s="171">
        <v>0</v>
      </c>
      <c r="R86" s="174">
        <v>0</v>
      </c>
      <c r="S86" s="175"/>
      <c r="T86" s="165"/>
      <c r="U86" s="176"/>
      <c r="V86" s="165"/>
      <c r="W86" s="165"/>
      <c r="X86" s="165"/>
      <c r="Y86" s="177"/>
      <c r="Z86" s="178"/>
    </row>
    <row r="87" ht="14.55" spans="1:26">
      <c r="A87" s="182">
        <v>44646</v>
      </c>
      <c r="B87" s="163">
        <v>0</v>
      </c>
      <c r="C87" s="212"/>
      <c r="D87" s="213">
        <v>0</v>
      </c>
      <c r="E87" s="166">
        <v>0</v>
      </c>
      <c r="F87" s="167">
        <v>0</v>
      </c>
      <c r="G87" s="168"/>
      <c r="H87" s="163">
        <v>0</v>
      </c>
      <c r="I87" s="164"/>
      <c r="J87" s="181">
        <v>0</v>
      </c>
      <c r="K87" s="183">
        <v>0</v>
      </c>
      <c r="L87" s="211">
        <v>0</v>
      </c>
      <c r="M87" s="185"/>
      <c r="N87" s="163">
        <v>0</v>
      </c>
      <c r="O87" s="164"/>
      <c r="P87" s="187">
        <v>0</v>
      </c>
      <c r="Q87" s="171">
        <v>0</v>
      </c>
      <c r="R87" s="174">
        <v>0</v>
      </c>
      <c r="S87" s="175"/>
      <c r="T87" s="165"/>
      <c r="U87" s="176"/>
      <c r="V87" s="165"/>
      <c r="W87" s="165"/>
      <c r="X87" s="165"/>
      <c r="Y87" s="203"/>
      <c r="Z87" s="204"/>
    </row>
    <row r="88" spans="1:26">
      <c r="A88" s="182">
        <v>44647</v>
      </c>
      <c r="B88" s="163">
        <v>0</v>
      </c>
      <c r="C88" s="212"/>
      <c r="D88" s="213">
        <v>0</v>
      </c>
      <c r="E88" s="166">
        <v>0</v>
      </c>
      <c r="F88" s="167">
        <v>0</v>
      </c>
      <c r="G88" s="168"/>
      <c r="H88" s="163">
        <v>0</v>
      </c>
      <c r="I88" s="164"/>
      <c r="J88" s="181">
        <v>0</v>
      </c>
      <c r="K88" s="183">
        <v>0</v>
      </c>
      <c r="L88" s="211">
        <v>0</v>
      </c>
      <c r="M88" s="185"/>
      <c r="N88" s="163">
        <v>0</v>
      </c>
      <c r="O88" s="164"/>
      <c r="P88" s="187">
        <v>0</v>
      </c>
      <c r="Q88" s="171">
        <v>0</v>
      </c>
      <c r="R88" s="174">
        <v>0</v>
      </c>
      <c r="S88" s="175"/>
      <c r="T88" s="165"/>
      <c r="U88" s="176"/>
      <c r="V88" s="165"/>
      <c r="W88" s="165"/>
      <c r="X88" s="165"/>
      <c r="Y88" s="177"/>
      <c r="Z88" s="178"/>
    </row>
    <row r="89" ht="14.55" spans="1:26">
      <c r="A89" s="182">
        <v>44648</v>
      </c>
      <c r="B89" s="163">
        <v>0</v>
      </c>
      <c r="C89" s="212"/>
      <c r="D89" s="213">
        <v>0</v>
      </c>
      <c r="E89" s="166">
        <v>0</v>
      </c>
      <c r="F89" s="167">
        <v>0</v>
      </c>
      <c r="G89" s="168"/>
      <c r="H89" s="163">
        <v>0</v>
      </c>
      <c r="I89" s="164"/>
      <c r="J89" s="181">
        <v>0</v>
      </c>
      <c r="K89" s="183">
        <v>0</v>
      </c>
      <c r="L89" s="211">
        <v>0</v>
      </c>
      <c r="M89" s="185"/>
      <c r="N89" s="163">
        <v>0</v>
      </c>
      <c r="O89" s="164"/>
      <c r="P89" s="187">
        <v>0</v>
      </c>
      <c r="Q89" s="171">
        <v>0</v>
      </c>
      <c r="R89" s="174">
        <v>0</v>
      </c>
      <c r="S89" s="175"/>
      <c r="T89" s="165"/>
      <c r="U89" s="176"/>
      <c r="V89" s="165"/>
      <c r="W89" s="165"/>
      <c r="X89" s="165"/>
      <c r="Y89" s="203"/>
      <c r="Z89" s="204"/>
    </row>
    <row r="90" spans="1:26">
      <c r="A90" s="182">
        <v>44649</v>
      </c>
      <c r="B90" s="163">
        <v>0</v>
      </c>
      <c r="C90" s="212"/>
      <c r="D90" s="213">
        <v>0</v>
      </c>
      <c r="E90" s="166">
        <v>0</v>
      </c>
      <c r="F90" s="167">
        <v>0</v>
      </c>
      <c r="G90" s="168"/>
      <c r="H90" s="163">
        <v>0</v>
      </c>
      <c r="I90" s="164"/>
      <c r="J90" s="181">
        <v>0</v>
      </c>
      <c r="K90" s="183">
        <v>0</v>
      </c>
      <c r="L90" s="211">
        <v>0</v>
      </c>
      <c r="M90" s="185"/>
      <c r="N90" s="163">
        <v>0</v>
      </c>
      <c r="O90" s="164"/>
      <c r="P90" s="187">
        <v>0</v>
      </c>
      <c r="Q90" s="171">
        <v>0</v>
      </c>
      <c r="R90" s="174">
        <v>0</v>
      </c>
      <c r="S90" s="175"/>
      <c r="T90" s="165"/>
      <c r="U90" s="176"/>
      <c r="V90" s="165"/>
      <c r="W90" s="165"/>
      <c r="X90" s="165"/>
      <c r="Y90" s="177"/>
      <c r="Z90" s="178"/>
    </row>
    <row r="91" ht="14.55" spans="1:26">
      <c r="A91" s="182">
        <v>44650</v>
      </c>
      <c r="B91" s="163">
        <v>0</v>
      </c>
      <c r="C91" s="212"/>
      <c r="D91" s="213">
        <v>0</v>
      </c>
      <c r="E91" s="166">
        <v>0</v>
      </c>
      <c r="F91" s="167">
        <v>0</v>
      </c>
      <c r="G91" s="168"/>
      <c r="H91" s="163">
        <v>0</v>
      </c>
      <c r="I91" s="164"/>
      <c r="J91" s="181">
        <v>0</v>
      </c>
      <c r="K91" s="183">
        <v>0</v>
      </c>
      <c r="L91" s="211">
        <v>0</v>
      </c>
      <c r="M91" s="185"/>
      <c r="N91" s="163">
        <v>0</v>
      </c>
      <c r="O91" s="164"/>
      <c r="P91" s="187">
        <v>0</v>
      </c>
      <c r="Q91" s="171">
        <v>0</v>
      </c>
      <c r="R91" s="174">
        <v>0</v>
      </c>
      <c r="S91" s="175"/>
      <c r="T91" s="165"/>
      <c r="U91" s="176"/>
      <c r="V91" s="165"/>
      <c r="W91" s="165"/>
      <c r="X91" s="165"/>
      <c r="Y91" s="203"/>
      <c r="Z91" s="204"/>
    </row>
    <row r="92" ht="14.55" spans="1:26">
      <c r="A92" s="182">
        <v>44651</v>
      </c>
      <c r="B92" s="188">
        <v>0</v>
      </c>
      <c r="C92" s="189"/>
      <c r="D92" s="214">
        <v>0</v>
      </c>
      <c r="E92" s="191">
        <v>0</v>
      </c>
      <c r="F92" s="192">
        <v>0</v>
      </c>
      <c r="G92" s="185"/>
      <c r="H92" s="215">
        <v>0</v>
      </c>
      <c r="I92" s="212"/>
      <c r="J92" s="196">
        <v>0</v>
      </c>
      <c r="K92" s="216">
        <v>0</v>
      </c>
      <c r="L92" s="217">
        <v>0</v>
      </c>
      <c r="M92" s="185"/>
      <c r="N92" s="215">
        <v>0</v>
      </c>
      <c r="O92" s="212"/>
      <c r="P92" s="218">
        <v>0</v>
      </c>
      <c r="Q92" s="183">
        <v>0</v>
      </c>
      <c r="R92" s="211">
        <v>0</v>
      </c>
      <c r="S92" s="202"/>
      <c r="T92" s="165"/>
      <c r="U92" s="176"/>
      <c r="V92" s="165"/>
      <c r="W92" s="165"/>
      <c r="X92" s="165"/>
      <c r="Y92" s="203"/>
      <c r="Z92" s="219"/>
    </row>
    <row r="93" spans="1:26">
      <c r="A93" s="182">
        <v>44652</v>
      </c>
      <c r="B93" s="143">
        <v>0</v>
      </c>
      <c r="C93" s="220"/>
      <c r="D93" s="221">
        <v>0</v>
      </c>
      <c r="E93" s="146">
        <v>0</v>
      </c>
      <c r="F93" s="147">
        <v>0</v>
      </c>
      <c r="G93" s="206"/>
      <c r="H93" s="143">
        <v>0</v>
      </c>
      <c r="I93" s="144"/>
      <c r="J93" s="207">
        <v>0</v>
      </c>
      <c r="K93" s="222">
        <v>0</v>
      </c>
      <c r="L93" s="223">
        <v>0</v>
      </c>
      <c r="M93" s="224"/>
      <c r="N93" s="143">
        <v>0</v>
      </c>
      <c r="O93" s="144"/>
      <c r="P93" s="208">
        <v>0</v>
      </c>
      <c r="Q93" s="225">
        <v>0</v>
      </c>
      <c r="R93" s="226">
        <v>0</v>
      </c>
      <c r="S93" s="158"/>
      <c r="T93" s="165"/>
      <c r="U93" s="176"/>
      <c r="V93" s="165"/>
      <c r="W93" s="165"/>
      <c r="X93" s="165"/>
      <c r="Y93" s="203"/>
      <c r="Z93" s="219"/>
    </row>
    <row r="94" spans="1:26">
      <c r="A94" s="182">
        <v>44653</v>
      </c>
      <c r="B94" s="163">
        <v>0</v>
      </c>
      <c r="C94" s="212"/>
      <c r="D94" s="213">
        <v>0</v>
      </c>
      <c r="E94" s="166">
        <v>0</v>
      </c>
      <c r="F94" s="167">
        <v>0</v>
      </c>
      <c r="G94" s="168"/>
      <c r="H94" s="163">
        <v>0</v>
      </c>
      <c r="I94" s="164"/>
      <c r="J94" s="181">
        <v>0</v>
      </c>
      <c r="K94" s="216">
        <v>0</v>
      </c>
      <c r="L94" s="217">
        <v>0</v>
      </c>
      <c r="M94" s="185"/>
      <c r="N94" s="163">
        <v>0</v>
      </c>
      <c r="O94" s="164"/>
      <c r="P94" s="187">
        <v>0</v>
      </c>
      <c r="Q94" s="227">
        <v>0</v>
      </c>
      <c r="R94" s="228">
        <v>0</v>
      </c>
      <c r="S94" s="175"/>
      <c r="T94" s="165"/>
      <c r="U94" s="176"/>
      <c r="V94" s="165"/>
      <c r="W94" s="165"/>
      <c r="X94" s="165"/>
      <c r="Y94" s="203"/>
      <c r="Z94" s="219"/>
    </row>
    <row r="95" spans="1:26">
      <c r="A95" s="182">
        <v>44654</v>
      </c>
      <c r="B95" s="163">
        <v>0</v>
      </c>
      <c r="C95" s="212"/>
      <c r="D95" s="213">
        <v>0</v>
      </c>
      <c r="E95" s="166">
        <v>0</v>
      </c>
      <c r="F95" s="167">
        <v>0</v>
      </c>
      <c r="G95" s="168"/>
      <c r="H95" s="163">
        <v>0</v>
      </c>
      <c r="I95" s="164"/>
      <c r="J95" s="181">
        <v>0</v>
      </c>
      <c r="K95" s="216">
        <v>0</v>
      </c>
      <c r="L95" s="217">
        <v>0</v>
      </c>
      <c r="M95" s="185"/>
      <c r="N95" s="163">
        <v>0</v>
      </c>
      <c r="O95" s="164"/>
      <c r="P95" s="187">
        <v>0</v>
      </c>
      <c r="Q95" s="227">
        <v>0</v>
      </c>
      <c r="R95" s="228">
        <v>0</v>
      </c>
      <c r="S95" s="175"/>
      <c r="T95" s="165"/>
      <c r="U95" s="176"/>
      <c r="V95" s="165"/>
      <c r="W95" s="165"/>
      <c r="X95" s="165"/>
      <c r="Y95" s="203"/>
      <c r="Z95" s="219"/>
    </row>
    <row r="96" spans="1:26">
      <c r="A96" s="182">
        <v>44655</v>
      </c>
      <c r="B96" s="163">
        <v>0</v>
      </c>
      <c r="C96" s="212"/>
      <c r="D96" s="213">
        <v>0</v>
      </c>
      <c r="E96" s="166">
        <v>0</v>
      </c>
      <c r="F96" s="167">
        <v>0</v>
      </c>
      <c r="G96" s="168"/>
      <c r="H96" s="163">
        <v>0</v>
      </c>
      <c r="I96" s="164"/>
      <c r="J96" s="181">
        <v>0</v>
      </c>
      <c r="K96" s="216">
        <v>0</v>
      </c>
      <c r="L96" s="217">
        <v>0</v>
      </c>
      <c r="M96" s="185"/>
      <c r="N96" s="163">
        <v>0</v>
      </c>
      <c r="O96" s="164"/>
      <c r="P96" s="187">
        <v>0</v>
      </c>
      <c r="Q96" s="227">
        <v>0</v>
      </c>
      <c r="R96" s="228">
        <v>0</v>
      </c>
      <c r="S96" s="175"/>
      <c r="T96" s="165"/>
      <c r="U96" s="176"/>
      <c r="V96" s="165"/>
      <c r="W96" s="165"/>
      <c r="X96" s="165"/>
      <c r="Y96" s="203"/>
      <c r="Z96" s="219"/>
    </row>
    <row r="97" spans="1:26">
      <c r="A97" s="182">
        <v>44656</v>
      </c>
      <c r="B97" s="163">
        <v>0</v>
      </c>
      <c r="C97" s="212"/>
      <c r="D97" s="213">
        <v>0</v>
      </c>
      <c r="E97" s="166">
        <v>0</v>
      </c>
      <c r="F97" s="167">
        <v>0</v>
      </c>
      <c r="G97" s="168"/>
      <c r="H97" s="163">
        <v>0</v>
      </c>
      <c r="I97" s="164"/>
      <c r="J97" s="181">
        <v>0</v>
      </c>
      <c r="K97" s="216">
        <v>0</v>
      </c>
      <c r="L97" s="217">
        <v>0</v>
      </c>
      <c r="M97" s="185"/>
      <c r="N97" s="163">
        <v>0</v>
      </c>
      <c r="O97" s="164"/>
      <c r="P97" s="187">
        <v>0</v>
      </c>
      <c r="Q97" s="227">
        <v>0</v>
      </c>
      <c r="R97" s="228">
        <v>0</v>
      </c>
      <c r="S97" s="175"/>
      <c r="T97" s="165"/>
      <c r="U97" s="176"/>
      <c r="V97" s="165"/>
      <c r="W97" s="165"/>
      <c r="X97" s="165"/>
      <c r="Y97" s="203"/>
      <c r="Z97" s="219"/>
    </row>
    <row r="98" spans="1:26">
      <c r="A98" s="182">
        <v>44657</v>
      </c>
      <c r="B98" s="163">
        <v>0</v>
      </c>
      <c r="C98" s="212"/>
      <c r="D98" s="213">
        <v>0</v>
      </c>
      <c r="E98" s="166">
        <v>0</v>
      </c>
      <c r="F98" s="167">
        <v>0</v>
      </c>
      <c r="G98" s="168"/>
      <c r="H98" s="163">
        <v>0</v>
      </c>
      <c r="I98" s="164"/>
      <c r="J98" s="181">
        <v>0</v>
      </c>
      <c r="K98" s="216">
        <v>0</v>
      </c>
      <c r="L98" s="217">
        <v>0</v>
      </c>
      <c r="M98" s="185"/>
      <c r="N98" s="163">
        <v>0</v>
      </c>
      <c r="O98" s="164"/>
      <c r="P98" s="187">
        <v>0</v>
      </c>
      <c r="Q98" s="227">
        <v>0</v>
      </c>
      <c r="R98" s="228">
        <v>0</v>
      </c>
      <c r="S98" s="175"/>
      <c r="T98" s="165"/>
      <c r="U98" s="176"/>
      <c r="V98" s="165"/>
      <c r="W98" s="165"/>
      <c r="X98" s="165"/>
      <c r="Y98" s="203"/>
      <c r="Z98" s="219"/>
    </row>
    <row r="99" spans="1:26">
      <c r="A99" s="182">
        <v>44658</v>
      </c>
      <c r="B99" s="163">
        <v>0</v>
      </c>
      <c r="C99" s="212"/>
      <c r="D99" s="213">
        <v>0</v>
      </c>
      <c r="E99" s="166">
        <v>0</v>
      </c>
      <c r="F99" s="167">
        <v>0</v>
      </c>
      <c r="G99" s="168"/>
      <c r="H99" s="163">
        <v>0</v>
      </c>
      <c r="I99" s="164"/>
      <c r="J99" s="181">
        <v>0</v>
      </c>
      <c r="K99" s="216">
        <v>0</v>
      </c>
      <c r="L99" s="217">
        <v>0</v>
      </c>
      <c r="M99" s="185"/>
      <c r="N99" s="163">
        <v>0</v>
      </c>
      <c r="O99" s="164"/>
      <c r="P99" s="187">
        <v>0</v>
      </c>
      <c r="Q99" s="227">
        <v>0</v>
      </c>
      <c r="R99" s="228">
        <v>0</v>
      </c>
      <c r="S99" s="175"/>
      <c r="T99" s="165"/>
      <c r="U99" s="176"/>
      <c r="V99" s="165"/>
      <c r="W99" s="165"/>
      <c r="X99" s="165"/>
      <c r="Y99" s="203"/>
      <c r="Z99" s="219"/>
    </row>
    <row r="100" spans="1:26">
      <c r="A100" s="182">
        <v>44659</v>
      </c>
      <c r="B100" s="163">
        <v>0</v>
      </c>
      <c r="C100" s="212"/>
      <c r="D100" s="213">
        <v>0</v>
      </c>
      <c r="E100" s="166">
        <v>0</v>
      </c>
      <c r="F100" s="167">
        <v>0</v>
      </c>
      <c r="G100" s="168"/>
      <c r="H100" s="163">
        <v>0</v>
      </c>
      <c r="I100" s="164"/>
      <c r="J100" s="181">
        <v>0</v>
      </c>
      <c r="K100" s="216">
        <v>0</v>
      </c>
      <c r="L100" s="217">
        <v>0</v>
      </c>
      <c r="M100" s="185"/>
      <c r="N100" s="163">
        <v>0</v>
      </c>
      <c r="O100" s="164"/>
      <c r="P100" s="187">
        <v>0</v>
      </c>
      <c r="Q100" s="227">
        <v>0</v>
      </c>
      <c r="R100" s="228">
        <v>0</v>
      </c>
      <c r="S100" s="175"/>
      <c r="T100" s="165"/>
      <c r="U100" s="176"/>
      <c r="V100" s="165"/>
      <c r="W100" s="165"/>
      <c r="X100" s="165"/>
      <c r="Y100" s="203"/>
      <c r="Z100" s="219"/>
    </row>
    <row r="101" spans="1:26">
      <c r="A101" s="182">
        <v>44660</v>
      </c>
      <c r="B101" s="163">
        <v>0</v>
      </c>
      <c r="C101" s="212"/>
      <c r="D101" s="213">
        <v>0</v>
      </c>
      <c r="E101" s="166">
        <v>0</v>
      </c>
      <c r="F101" s="167">
        <v>0</v>
      </c>
      <c r="G101" s="168"/>
      <c r="H101" s="163">
        <v>0</v>
      </c>
      <c r="I101" s="164"/>
      <c r="J101" s="181">
        <v>0</v>
      </c>
      <c r="K101" s="216">
        <v>0</v>
      </c>
      <c r="L101" s="217">
        <v>0</v>
      </c>
      <c r="M101" s="185"/>
      <c r="N101" s="163">
        <v>0</v>
      </c>
      <c r="O101" s="164"/>
      <c r="P101" s="187">
        <v>0</v>
      </c>
      <c r="Q101" s="227">
        <v>0</v>
      </c>
      <c r="R101" s="228">
        <v>0</v>
      </c>
      <c r="S101" s="175"/>
      <c r="T101" s="165"/>
      <c r="U101" s="176"/>
      <c r="V101" s="165"/>
      <c r="W101" s="165"/>
      <c r="X101" s="165"/>
      <c r="Y101" s="203"/>
      <c r="Z101" s="219"/>
    </row>
    <row r="102" spans="1:26">
      <c r="A102" s="182">
        <v>44661</v>
      </c>
      <c r="B102" s="163">
        <v>0</v>
      </c>
      <c r="C102" s="212"/>
      <c r="D102" s="213">
        <v>0</v>
      </c>
      <c r="E102" s="166">
        <v>0</v>
      </c>
      <c r="F102" s="167">
        <v>0</v>
      </c>
      <c r="G102" s="168"/>
      <c r="H102" s="163">
        <v>0</v>
      </c>
      <c r="I102" s="164"/>
      <c r="J102" s="181">
        <v>0</v>
      </c>
      <c r="K102" s="216">
        <v>0</v>
      </c>
      <c r="L102" s="217">
        <v>0</v>
      </c>
      <c r="M102" s="185"/>
      <c r="N102" s="163">
        <v>0</v>
      </c>
      <c r="O102" s="164"/>
      <c r="P102" s="187">
        <v>0</v>
      </c>
      <c r="Q102" s="227">
        <v>0</v>
      </c>
      <c r="R102" s="228">
        <v>0</v>
      </c>
      <c r="S102" s="175"/>
      <c r="T102" s="165"/>
      <c r="U102" s="176"/>
      <c r="V102" s="165"/>
      <c r="W102" s="165"/>
      <c r="X102" s="165"/>
      <c r="Y102" s="203"/>
      <c r="Z102" s="219"/>
    </row>
    <row r="103" spans="1:26">
      <c r="A103" s="182">
        <v>44662</v>
      </c>
      <c r="B103" s="163">
        <v>0</v>
      </c>
      <c r="C103" s="212"/>
      <c r="D103" s="213">
        <v>0</v>
      </c>
      <c r="E103" s="166">
        <v>0</v>
      </c>
      <c r="F103" s="167">
        <v>0</v>
      </c>
      <c r="G103" s="168"/>
      <c r="H103" s="163">
        <v>0</v>
      </c>
      <c r="I103" s="164"/>
      <c r="J103" s="181">
        <v>0</v>
      </c>
      <c r="K103" s="216">
        <v>0</v>
      </c>
      <c r="L103" s="217">
        <v>0</v>
      </c>
      <c r="M103" s="185"/>
      <c r="N103" s="163">
        <v>0</v>
      </c>
      <c r="O103" s="164"/>
      <c r="P103" s="187">
        <v>0</v>
      </c>
      <c r="Q103" s="227">
        <v>0</v>
      </c>
      <c r="R103" s="228">
        <v>0</v>
      </c>
      <c r="S103" s="175"/>
      <c r="T103" s="165"/>
      <c r="U103" s="176"/>
      <c r="V103" s="165"/>
      <c r="W103" s="165"/>
      <c r="X103" s="165"/>
      <c r="Y103" s="203"/>
      <c r="Z103" s="219"/>
    </row>
    <row r="104" spans="1:26">
      <c r="A104" s="182">
        <v>44663</v>
      </c>
      <c r="B104" s="163">
        <v>0</v>
      </c>
      <c r="C104" s="212"/>
      <c r="D104" s="213">
        <v>0</v>
      </c>
      <c r="E104" s="166">
        <v>0</v>
      </c>
      <c r="F104" s="167">
        <v>0</v>
      </c>
      <c r="G104" s="168"/>
      <c r="H104" s="163">
        <v>0</v>
      </c>
      <c r="I104" s="164"/>
      <c r="J104" s="181">
        <v>0</v>
      </c>
      <c r="K104" s="216">
        <v>0</v>
      </c>
      <c r="L104" s="217">
        <v>0</v>
      </c>
      <c r="M104" s="185"/>
      <c r="N104" s="163">
        <v>0</v>
      </c>
      <c r="O104" s="164"/>
      <c r="P104" s="187">
        <v>0</v>
      </c>
      <c r="Q104" s="227">
        <v>0</v>
      </c>
      <c r="R104" s="228">
        <v>0</v>
      </c>
      <c r="S104" s="175"/>
      <c r="T104" s="165"/>
      <c r="U104" s="176"/>
      <c r="V104" s="165"/>
      <c r="W104" s="165"/>
      <c r="X104" s="165"/>
      <c r="Y104" s="203"/>
      <c r="Z104" s="219"/>
    </row>
    <row r="105" spans="1:26">
      <c r="A105" s="182">
        <v>44664</v>
      </c>
      <c r="B105" s="163">
        <v>0</v>
      </c>
      <c r="C105" s="212"/>
      <c r="D105" s="213">
        <v>0</v>
      </c>
      <c r="E105" s="166">
        <v>0</v>
      </c>
      <c r="F105" s="167">
        <v>0</v>
      </c>
      <c r="G105" s="168"/>
      <c r="H105" s="163">
        <v>0</v>
      </c>
      <c r="I105" s="164"/>
      <c r="J105" s="181">
        <v>0</v>
      </c>
      <c r="K105" s="216">
        <v>0</v>
      </c>
      <c r="L105" s="217">
        <v>0</v>
      </c>
      <c r="M105" s="185"/>
      <c r="N105" s="163">
        <v>0</v>
      </c>
      <c r="O105" s="164"/>
      <c r="P105" s="187">
        <v>0</v>
      </c>
      <c r="Q105" s="227">
        <v>0</v>
      </c>
      <c r="R105" s="228">
        <v>0</v>
      </c>
      <c r="S105" s="175"/>
      <c r="T105" s="165"/>
      <c r="U105" s="176"/>
      <c r="V105" s="165"/>
      <c r="W105" s="165"/>
      <c r="X105" s="165"/>
      <c r="Y105" s="203"/>
      <c r="Z105" s="219"/>
    </row>
    <row r="106" spans="1:26">
      <c r="A106" s="182">
        <v>44665</v>
      </c>
      <c r="B106" s="163">
        <v>0</v>
      </c>
      <c r="C106" s="212"/>
      <c r="D106" s="213">
        <v>0</v>
      </c>
      <c r="E106" s="166">
        <v>0</v>
      </c>
      <c r="F106" s="167">
        <v>0</v>
      </c>
      <c r="G106" s="168"/>
      <c r="H106" s="163">
        <v>0</v>
      </c>
      <c r="I106" s="164"/>
      <c r="J106" s="181">
        <v>0</v>
      </c>
      <c r="K106" s="216">
        <v>0</v>
      </c>
      <c r="L106" s="217">
        <v>0</v>
      </c>
      <c r="M106" s="185"/>
      <c r="N106" s="163">
        <v>0</v>
      </c>
      <c r="O106" s="164"/>
      <c r="P106" s="187">
        <v>0</v>
      </c>
      <c r="Q106" s="227">
        <v>0</v>
      </c>
      <c r="R106" s="228">
        <v>0</v>
      </c>
      <c r="S106" s="175"/>
      <c r="T106" s="165"/>
      <c r="U106" s="176"/>
      <c r="V106" s="165"/>
      <c r="W106" s="165"/>
      <c r="X106" s="165"/>
      <c r="Y106" s="203"/>
      <c r="Z106" s="219"/>
    </row>
    <row r="107" spans="1:26">
      <c r="A107" s="182">
        <v>44666</v>
      </c>
      <c r="B107" s="163">
        <v>0</v>
      </c>
      <c r="C107" s="212"/>
      <c r="D107" s="213">
        <v>0</v>
      </c>
      <c r="E107" s="166">
        <v>0</v>
      </c>
      <c r="F107" s="167">
        <v>0</v>
      </c>
      <c r="G107" s="168"/>
      <c r="H107" s="163">
        <v>0</v>
      </c>
      <c r="I107" s="164"/>
      <c r="J107" s="181">
        <v>0</v>
      </c>
      <c r="K107" s="216">
        <v>0</v>
      </c>
      <c r="L107" s="217">
        <v>0</v>
      </c>
      <c r="M107" s="185"/>
      <c r="N107" s="163">
        <v>0</v>
      </c>
      <c r="O107" s="164"/>
      <c r="P107" s="187">
        <v>0</v>
      </c>
      <c r="Q107" s="227">
        <v>0</v>
      </c>
      <c r="R107" s="228">
        <v>0</v>
      </c>
      <c r="S107" s="175"/>
      <c r="T107" s="165"/>
      <c r="U107" s="176"/>
      <c r="V107" s="165"/>
      <c r="W107" s="165"/>
      <c r="X107" s="165"/>
      <c r="Y107" s="203"/>
      <c r="Z107" s="219"/>
    </row>
    <row r="108" spans="1:26">
      <c r="A108" s="182">
        <v>44667</v>
      </c>
      <c r="B108" s="163">
        <v>0</v>
      </c>
      <c r="C108" s="212"/>
      <c r="D108" s="213">
        <v>0</v>
      </c>
      <c r="E108" s="166">
        <v>0</v>
      </c>
      <c r="F108" s="167">
        <v>0</v>
      </c>
      <c r="G108" s="168"/>
      <c r="H108" s="163">
        <v>0</v>
      </c>
      <c r="I108" s="164"/>
      <c r="J108" s="181">
        <v>0</v>
      </c>
      <c r="K108" s="216">
        <v>0</v>
      </c>
      <c r="L108" s="217">
        <v>0</v>
      </c>
      <c r="M108" s="185"/>
      <c r="N108" s="163">
        <v>0</v>
      </c>
      <c r="O108" s="164"/>
      <c r="P108" s="187">
        <v>0</v>
      </c>
      <c r="Q108" s="227">
        <v>0</v>
      </c>
      <c r="R108" s="228">
        <v>0</v>
      </c>
      <c r="S108" s="175"/>
      <c r="T108" s="165"/>
      <c r="U108" s="176"/>
      <c r="V108" s="165"/>
      <c r="W108" s="165"/>
      <c r="X108" s="165"/>
      <c r="Y108" s="203"/>
      <c r="Z108" s="219"/>
    </row>
    <row r="109" spans="1:26">
      <c r="A109" s="182">
        <v>44668</v>
      </c>
      <c r="B109" s="163">
        <v>0</v>
      </c>
      <c r="C109" s="212"/>
      <c r="D109" s="213">
        <v>0</v>
      </c>
      <c r="E109" s="166">
        <v>0</v>
      </c>
      <c r="F109" s="167">
        <v>0</v>
      </c>
      <c r="G109" s="168"/>
      <c r="H109" s="163">
        <v>0</v>
      </c>
      <c r="I109" s="164"/>
      <c r="J109" s="181">
        <v>0</v>
      </c>
      <c r="K109" s="216">
        <v>0</v>
      </c>
      <c r="L109" s="217">
        <v>0</v>
      </c>
      <c r="M109" s="185"/>
      <c r="N109" s="163">
        <v>0</v>
      </c>
      <c r="O109" s="164"/>
      <c r="P109" s="187">
        <v>0</v>
      </c>
      <c r="Q109" s="227">
        <v>0</v>
      </c>
      <c r="R109" s="228">
        <v>0</v>
      </c>
      <c r="S109" s="175"/>
      <c r="T109" s="165"/>
      <c r="U109" s="176"/>
      <c r="V109" s="165"/>
      <c r="W109" s="165"/>
      <c r="X109" s="165"/>
      <c r="Y109" s="203"/>
      <c r="Z109" s="219"/>
    </row>
    <row r="110" spans="1:26">
      <c r="A110" s="182">
        <v>44669</v>
      </c>
      <c r="B110" s="163">
        <v>0</v>
      </c>
      <c r="C110" s="212"/>
      <c r="D110" s="213">
        <v>0</v>
      </c>
      <c r="E110" s="166">
        <v>0</v>
      </c>
      <c r="F110" s="167">
        <v>0</v>
      </c>
      <c r="G110" s="168"/>
      <c r="H110" s="163">
        <v>0</v>
      </c>
      <c r="I110" s="164"/>
      <c r="J110" s="181">
        <v>0</v>
      </c>
      <c r="K110" s="216">
        <v>0</v>
      </c>
      <c r="L110" s="217">
        <v>0</v>
      </c>
      <c r="M110" s="185"/>
      <c r="N110" s="163">
        <v>0</v>
      </c>
      <c r="O110" s="164"/>
      <c r="P110" s="187">
        <v>0</v>
      </c>
      <c r="Q110" s="227">
        <v>0</v>
      </c>
      <c r="R110" s="228">
        <v>0</v>
      </c>
      <c r="S110" s="175"/>
      <c r="T110" s="165"/>
      <c r="U110" s="176"/>
      <c r="V110" s="165"/>
      <c r="W110" s="165"/>
      <c r="X110" s="165"/>
      <c r="Y110" s="203"/>
      <c r="Z110" s="219"/>
    </row>
    <row r="111" spans="1:26">
      <c r="A111" s="182">
        <v>44670</v>
      </c>
      <c r="B111" s="163">
        <v>0</v>
      </c>
      <c r="C111" s="212"/>
      <c r="D111" s="213">
        <v>0</v>
      </c>
      <c r="E111" s="166">
        <v>0</v>
      </c>
      <c r="F111" s="167">
        <v>0</v>
      </c>
      <c r="G111" s="168"/>
      <c r="H111" s="163">
        <v>0</v>
      </c>
      <c r="I111" s="164"/>
      <c r="J111" s="181">
        <v>0</v>
      </c>
      <c r="K111" s="216">
        <v>0</v>
      </c>
      <c r="L111" s="217">
        <v>0</v>
      </c>
      <c r="M111" s="185"/>
      <c r="N111" s="163">
        <v>0</v>
      </c>
      <c r="O111" s="164"/>
      <c r="P111" s="187">
        <v>0</v>
      </c>
      <c r="Q111" s="227">
        <v>0</v>
      </c>
      <c r="R111" s="228">
        <v>0</v>
      </c>
      <c r="S111" s="175"/>
      <c r="T111" s="165"/>
      <c r="U111" s="176"/>
      <c r="V111" s="165"/>
      <c r="W111" s="165"/>
      <c r="X111" s="165"/>
      <c r="Y111" s="203"/>
      <c r="Z111" s="219"/>
    </row>
    <row r="112" spans="1:26">
      <c r="A112" s="182">
        <v>44671</v>
      </c>
      <c r="B112" s="163">
        <v>0</v>
      </c>
      <c r="C112" s="212"/>
      <c r="D112" s="213">
        <v>0</v>
      </c>
      <c r="E112" s="166">
        <v>0</v>
      </c>
      <c r="F112" s="167">
        <v>0</v>
      </c>
      <c r="G112" s="168"/>
      <c r="H112" s="163">
        <v>0</v>
      </c>
      <c r="I112" s="164"/>
      <c r="J112" s="181">
        <v>0</v>
      </c>
      <c r="K112" s="216">
        <v>0</v>
      </c>
      <c r="L112" s="217">
        <v>0</v>
      </c>
      <c r="M112" s="185"/>
      <c r="N112" s="163">
        <v>0</v>
      </c>
      <c r="O112" s="164"/>
      <c r="P112" s="187">
        <v>0</v>
      </c>
      <c r="Q112" s="227">
        <v>0</v>
      </c>
      <c r="R112" s="228">
        <v>0</v>
      </c>
      <c r="S112" s="175"/>
      <c r="T112" s="165"/>
      <c r="U112" s="176"/>
      <c r="V112" s="165"/>
      <c r="W112" s="165"/>
      <c r="X112" s="165"/>
      <c r="Y112" s="203"/>
      <c r="Z112" s="219"/>
    </row>
    <row r="113" spans="1:26">
      <c r="A113" s="182">
        <v>44672</v>
      </c>
      <c r="B113" s="163">
        <v>0</v>
      </c>
      <c r="C113" s="212"/>
      <c r="D113" s="213">
        <v>0</v>
      </c>
      <c r="E113" s="166">
        <v>0</v>
      </c>
      <c r="F113" s="167">
        <v>0</v>
      </c>
      <c r="G113" s="168"/>
      <c r="H113" s="163">
        <v>0</v>
      </c>
      <c r="I113" s="164"/>
      <c r="J113" s="181">
        <v>0</v>
      </c>
      <c r="K113" s="216">
        <v>0</v>
      </c>
      <c r="L113" s="217">
        <v>0</v>
      </c>
      <c r="M113" s="185"/>
      <c r="N113" s="163">
        <v>0</v>
      </c>
      <c r="O113" s="164"/>
      <c r="P113" s="187">
        <v>0</v>
      </c>
      <c r="Q113" s="227">
        <v>0</v>
      </c>
      <c r="R113" s="228">
        <v>0</v>
      </c>
      <c r="S113" s="175"/>
      <c r="T113" s="165"/>
      <c r="U113" s="176"/>
      <c r="V113" s="165"/>
      <c r="W113" s="165"/>
      <c r="X113" s="165"/>
      <c r="Y113" s="203"/>
      <c r="Z113" s="219"/>
    </row>
    <row r="114" spans="1:26">
      <c r="A114" s="182">
        <v>44673</v>
      </c>
      <c r="B114" s="163">
        <v>0</v>
      </c>
      <c r="C114" s="212"/>
      <c r="D114" s="213">
        <v>0</v>
      </c>
      <c r="E114" s="166">
        <v>0</v>
      </c>
      <c r="F114" s="167">
        <v>0</v>
      </c>
      <c r="G114" s="168"/>
      <c r="H114" s="163">
        <v>0</v>
      </c>
      <c r="I114" s="164"/>
      <c r="J114" s="181">
        <v>0</v>
      </c>
      <c r="K114" s="216">
        <v>0</v>
      </c>
      <c r="L114" s="217">
        <v>0</v>
      </c>
      <c r="M114" s="185"/>
      <c r="N114" s="163">
        <v>0</v>
      </c>
      <c r="O114" s="164"/>
      <c r="P114" s="187">
        <v>0</v>
      </c>
      <c r="Q114" s="227">
        <v>0</v>
      </c>
      <c r="R114" s="228">
        <v>0</v>
      </c>
      <c r="S114" s="175"/>
      <c r="T114" s="165"/>
      <c r="U114" s="176"/>
      <c r="V114" s="165"/>
      <c r="W114" s="165"/>
      <c r="X114" s="165"/>
      <c r="Y114" s="203"/>
      <c r="Z114" s="219"/>
    </row>
    <row r="115" spans="1:26">
      <c r="A115" s="182">
        <v>44674</v>
      </c>
      <c r="B115" s="163">
        <v>0</v>
      </c>
      <c r="C115" s="212"/>
      <c r="D115" s="213">
        <v>0</v>
      </c>
      <c r="E115" s="166">
        <v>0</v>
      </c>
      <c r="F115" s="167">
        <v>0</v>
      </c>
      <c r="G115" s="168"/>
      <c r="H115" s="163">
        <v>0</v>
      </c>
      <c r="I115" s="164"/>
      <c r="J115" s="181">
        <v>0</v>
      </c>
      <c r="K115" s="216">
        <v>0</v>
      </c>
      <c r="L115" s="217">
        <v>0</v>
      </c>
      <c r="M115" s="185"/>
      <c r="N115" s="163">
        <v>0</v>
      </c>
      <c r="O115" s="164"/>
      <c r="P115" s="187">
        <v>0</v>
      </c>
      <c r="Q115" s="227">
        <v>0</v>
      </c>
      <c r="R115" s="228">
        <v>0</v>
      </c>
      <c r="S115" s="175"/>
      <c r="T115" s="165"/>
      <c r="U115" s="176"/>
      <c r="V115" s="165"/>
      <c r="W115" s="165"/>
      <c r="X115" s="165"/>
      <c r="Y115" s="203"/>
      <c r="Z115" s="219"/>
    </row>
    <row r="116" spans="1:26">
      <c r="A116" s="182">
        <v>44675</v>
      </c>
      <c r="B116" s="163">
        <v>0</v>
      </c>
      <c r="C116" s="212"/>
      <c r="D116" s="213">
        <v>0</v>
      </c>
      <c r="E116" s="166">
        <v>0</v>
      </c>
      <c r="F116" s="167">
        <v>0</v>
      </c>
      <c r="G116" s="168"/>
      <c r="H116" s="163">
        <v>0</v>
      </c>
      <c r="I116" s="164"/>
      <c r="J116" s="181">
        <v>0</v>
      </c>
      <c r="K116" s="216">
        <v>0</v>
      </c>
      <c r="L116" s="217">
        <v>0</v>
      </c>
      <c r="M116" s="185"/>
      <c r="N116" s="163">
        <v>0</v>
      </c>
      <c r="O116" s="164"/>
      <c r="P116" s="187">
        <v>0</v>
      </c>
      <c r="Q116" s="227">
        <v>0</v>
      </c>
      <c r="R116" s="228">
        <v>0</v>
      </c>
      <c r="S116" s="175"/>
      <c r="T116" s="165"/>
      <c r="U116" s="176"/>
      <c r="V116" s="165"/>
      <c r="W116" s="165"/>
      <c r="X116" s="165"/>
      <c r="Y116" s="203"/>
      <c r="Z116" s="219"/>
    </row>
    <row r="117" spans="1:26">
      <c r="A117" s="182">
        <v>44676</v>
      </c>
      <c r="B117" s="163">
        <v>0</v>
      </c>
      <c r="C117" s="212"/>
      <c r="D117" s="213">
        <v>0</v>
      </c>
      <c r="E117" s="166">
        <v>0</v>
      </c>
      <c r="F117" s="167">
        <v>0</v>
      </c>
      <c r="G117" s="168"/>
      <c r="H117" s="163">
        <v>0</v>
      </c>
      <c r="I117" s="164"/>
      <c r="J117" s="181">
        <v>0</v>
      </c>
      <c r="K117" s="216">
        <v>0</v>
      </c>
      <c r="L117" s="217">
        <v>0</v>
      </c>
      <c r="M117" s="185"/>
      <c r="N117" s="163">
        <v>0</v>
      </c>
      <c r="O117" s="164"/>
      <c r="P117" s="187">
        <v>0</v>
      </c>
      <c r="Q117" s="227">
        <v>0</v>
      </c>
      <c r="R117" s="228">
        <v>0</v>
      </c>
      <c r="S117" s="175"/>
      <c r="T117" s="165"/>
      <c r="U117" s="176"/>
      <c r="V117" s="165"/>
      <c r="W117" s="165"/>
      <c r="X117" s="165"/>
      <c r="Y117" s="203"/>
      <c r="Z117" s="219"/>
    </row>
    <row r="118" spans="1:26">
      <c r="A118" s="182">
        <v>44677</v>
      </c>
      <c r="B118" s="163">
        <v>0</v>
      </c>
      <c r="C118" s="212"/>
      <c r="D118" s="213">
        <v>0</v>
      </c>
      <c r="E118" s="166">
        <v>0</v>
      </c>
      <c r="F118" s="167">
        <v>0</v>
      </c>
      <c r="G118" s="168"/>
      <c r="H118" s="163">
        <v>0</v>
      </c>
      <c r="I118" s="164"/>
      <c r="J118" s="181">
        <v>0</v>
      </c>
      <c r="K118" s="216">
        <v>0</v>
      </c>
      <c r="L118" s="217">
        <v>0</v>
      </c>
      <c r="M118" s="185"/>
      <c r="N118" s="163">
        <v>0</v>
      </c>
      <c r="O118" s="164"/>
      <c r="P118" s="187">
        <v>0</v>
      </c>
      <c r="Q118" s="227">
        <v>0</v>
      </c>
      <c r="R118" s="228">
        <v>0</v>
      </c>
      <c r="S118" s="175"/>
      <c r="T118" s="165"/>
      <c r="U118" s="176"/>
      <c r="V118" s="165"/>
      <c r="W118" s="165"/>
      <c r="X118" s="165"/>
      <c r="Y118" s="203"/>
      <c r="Z118" s="219"/>
    </row>
    <row r="119" spans="1:26">
      <c r="A119" s="182">
        <v>44678</v>
      </c>
      <c r="B119" s="163">
        <v>0</v>
      </c>
      <c r="C119" s="212"/>
      <c r="D119" s="213">
        <v>0</v>
      </c>
      <c r="E119" s="209">
        <v>0</v>
      </c>
      <c r="F119" s="210">
        <v>0</v>
      </c>
      <c r="G119" s="185"/>
      <c r="H119" s="163">
        <v>0</v>
      </c>
      <c r="I119" s="212"/>
      <c r="J119" s="196">
        <v>0</v>
      </c>
      <c r="K119" s="216">
        <v>0</v>
      </c>
      <c r="L119" s="217">
        <v>0</v>
      </c>
      <c r="M119" s="185"/>
      <c r="N119" s="163">
        <v>0</v>
      </c>
      <c r="O119" s="164"/>
      <c r="P119" s="187">
        <v>0</v>
      </c>
      <c r="Q119" s="227">
        <v>0</v>
      </c>
      <c r="R119" s="228">
        <v>0</v>
      </c>
      <c r="S119" s="175"/>
      <c r="T119" s="165"/>
      <c r="U119" s="176"/>
      <c r="V119" s="165"/>
      <c r="W119" s="165"/>
      <c r="X119" s="165"/>
      <c r="Y119" s="203"/>
      <c r="Z119" s="219"/>
    </row>
    <row r="120" spans="1:26">
      <c r="A120" s="182">
        <v>44679</v>
      </c>
      <c r="B120" s="163">
        <v>0</v>
      </c>
      <c r="C120" s="164"/>
      <c r="D120" s="165">
        <v>0</v>
      </c>
      <c r="E120" s="166">
        <v>0</v>
      </c>
      <c r="F120" s="167">
        <v>0</v>
      </c>
      <c r="G120" s="168"/>
      <c r="H120" s="163">
        <v>0</v>
      </c>
      <c r="I120" s="164"/>
      <c r="J120" s="229">
        <v>0</v>
      </c>
      <c r="K120" s="227">
        <v>0</v>
      </c>
      <c r="L120" s="228">
        <v>0</v>
      </c>
      <c r="M120" s="168"/>
      <c r="N120" s="163">
        <v>0</v>
      </c>
      <c r="O120" s="164"/>
      <c r="P120" s="187">
        <v>0</v>
      </c>
      <c r="Q120" s="227">
        <v>0</v>
      </c>
      <c r="R120" s="228">
        <v>0</v>
      </c>
      <c r="S120" s="175"/>
      <c r="T120" s="165"/>
      <c r="U120" s="176"/>
      <c r="V120" s="165"/>
      <c r="W120" s="165"/>
      <c r="X120" s="165"/>
      <c r="Y120" s="230"/>
      <c r="Z120" s="231"/>
    </row>
    <row r="121" spans="1:26">
      <c r="A121" s="182">
        <v>44680</v>
      </c>
      <c r="B121" s="163">
        <v>0</v>
      </c>
      <c r="C121" s="164"/>
      <c r="D121" s="165">
        <v>0</v>
      </c>
      <c r="E121" s="166">
        <v>0</v>
      </c>
      <c r="F121" s="167">
        <v>0</v>
      </c>
      <c r="G121" s="168"/>
      <c r="H121" s="163">
        <v>0</v>
      </c>
      <c r="I121" s="164"/>
      <c r="J121" s="229">
        <v>0</v>
      </c>
      <c r="K121" s="227">
        <v>0</v>
      </c>
      <c r="L121" s="228">
        <v>0</v>
      </c>
      <c r="M121" s="168"/>
      <c r="N121" s="163">
        <v>0</v>
      </c>
      <c r="O121" s="164"/>
      <c r="P121" s="187">
        <v>0</v>
      </c>
      <c r="Q121" s="227">
        <v>0</v>
      </c>
      <c r="R121" s="228">
        <v>0</v>
      </c>
      <c r="S121" s="175"/>
      <c r="T121" s="165"/>
      <c r="U121" s="176"/>
      <c r="V121" s="165"/>
      <c r="W121" s="165"/>
      <c r="X121" s="165"/>
      <c r="Y121" s="230"/>
      <c r="Z121" s="231"/>
    </row>
    <row r="122" ht="14.55" spans="1:26">
      <c r="A122" s="182">
        <v>44681</v>
      </c>
      <c r="B122" s="188">
        <v>0</v>
      </c>
      <c r="C122" s="189"/>
      <c r="D122" s="214">
        <v>0</v>
      </c>
      <c r="E122" s="191">
        <v>0</v>
      </c>
      <c r="F122" s="192">
        <v>0</v>
      </c>
      <c r="G122" s="232"/>
      <c r="H122" s="188">
        <v>0</v>
      </c>
      <c r="I122" s="189"/>
      <c r="J122" s="233">
        <v>0</v>
      </c>
      <c r="K122" s="234">
        <v>0</v>
      </c>
      <c r="L122" s="235">
        <v>0</v>
      </c>
      <c r="M122" s="232"/>
      <c r="N122" s="188">
        <v>0</v>
      </c>
      <c r="O122" s="189"/>
      <c r="P122" s="199">
        <v>0</v>
      </c>
      <c r="Q122" s="234">
        <v>0</v>
      </c>
      <c r="R122" s="235">
        <v>0</v>
      </c>
      <c r="S122" s="202"/>
      <c r="T122" s="165"/>
      <c r="U122" s="176"/>
      <c r="V122" s="165"/>
      <c r="W122" s="165"/>
      <c r="X122" s="165"/>
      <c r="Y122" s="230"/>
      <c r="Z122" s="231"/>
    </row>
    <row r="123" spans="1:26">
      <c r="A123" s="182">
        <v>44682</v>
      </c>
      <c r="B123" s="236">
        <v>0</v>
      </c>
      <c r="C123" s="150"/>
      <c r="D123" s="159">
        <v>0</v>
      </c>
      <c r="E123" s="237">
        <v>0</v>
      </c>
      <c r="F123" s="238">
        <v>0</v>
      </c>
      <c r="G123" s="148"/>
      <c r="H123" s="236">
        <v>0</v>
      </c>
      <c r="I123" s="150"/>
      <c r="J123" s="239">
        <v>0</v>
      </c>
      <c r="K123" s="152">
        <v>0</v>
      </c>
      <c r="L123" s="240">
        <v>0</v>
      </c>
      <c r="M123" s="148"/>
      <c r="N123" s="236">
        <v>0</v>
      </c>
      <c r="O123" s="150"/>
      <c r="P123" s="241">
        <v>0</v>
      </c>
      <c r="Q123" s="152">
        <v>0</v>
      </c>
      <c r="R123" s="240">
        <v>0</v>
      </c>
      <c r="S123" s="158"/>
      <c r="T123" s="165"/>
      <c r="U123" s="176"/>
      <c r="V123" s="165"/>
      <c r="W123" s="165"/>
      <c r="X123" s="165"/>
      <c r="Y123" s="230"/>
      <c r="Z123" s="231"/>
    </row>
    <row r="124" spans="1:26">
      <c r="A124" s="182">
        <v>44683</v>
      </c>
      <c r="B124" s="163">
        <v>0</v>
      </c>
      <c r="C124" s="164"/>
      <c r="D124" s="165">
        <v>0</v>
      </c>
      <c r="E124" s="166">
        <v>0</v>
      </c>
      <c r="F124" s="167">
        <v>0</v>
      </c>
      <c r="G124" s="168"/>
      <c r="H124" s="163">
        <v>0</v>
      </c>
      <c r="I124" s="164"/>
      <c r="J124" s="229">
        <v>0</v>
      </c>
      <c r="K124" s="171">
        <v>0</v>
      </c>
      <c r="L124" s="174">
        <v>0</v>
      </c>
      <c r="M124" s="168"/>
      <c r="N124" s="163">
        <v>0</v>
      </c>
      <c r="O124" s="164"/>
      <c r="P124" s="187">
        <v>0</v>
      </c>
      <c r="Q124" s="171">
        <v>0</v>
      </c>
      <c r="R124" s="174">
        <v>0</v>
      </c>
      <c r="S124" s="175"/>
      <c r="T124" s="165"/>
      <c r="U124" s="176"/>
      <c r="V124" s="165"/>
      <c r="W124" s="165"/>
      <c r="X124" s="165"/>
      <c r="Y124" s="230"/>
      <c r="Z124" s="231"/>
    </row>
    <row r="125" spans="1:26">
      <c r="A125" s="182">
        <v>44684</v>
      </c>
      <c r="B125" s="163">
        <v>0</v>
      </c>
      <c r="C125" s="164"/>
      <c r="D125" s="165">
        <v>0</v>
      </c>
      <c r="E125" s="166">
        <v>0</v>
      </c>
      <c r="F125" s="167">
        <v>0</v>
      </c>
      <c r="G125" s="168"/>
      <c r="H125" s="163">
        <v>0</v>
      </c>
      <c r="I125" s="164"/>
      <c r="J125" s="229">
        <v>0</v>
      </c>
      <c r="K125" s="171">
        <v>0</v>
      </c>
      <c r="L125" s="174">
        <v>0</v>
      </c>
      <c r="M125" s="168"/>
      <c r="N125" s="163">
        <v>0</v>
      </c>
      <c r="O125" s="164"/>
      <c r="P125" s="187">
        <v>0</v>
      </c>
      <c r="Q125" s="171">
        <v>0</v>
      </c>
      <c r="R125" s="174">
        <v>0</v>
      </c>
      <c r="S125" s="175"/>
      <c r="T125" s="165"/>
      <c r="U125" s="176"/>
      <c r="V125" s="165"/>
      <c r="W125" s="165"/>
      <c r="X125" s="165"/>
      <c r="Y125" s="230"/>
      <c r="Z125" s="231"/>
    </row>
    <row r="126" spans="1:26">
      <c r="A126" s="182">
        <v>44685</v>
      </c>
      <c r="B126" s="163">
        <v>0</v>
      </c>
      <c r="C126" s="164"/>
      <c r="D126" s="165">
        <v>0</v>
      </c>
      <c r="E126" s="166">
        <v>0</v>
      </c>
      <c r="F126" s="167">
        <v>0</v>
      </c>
      <c r="G126" s="168"/>
      <c r="H126" s="163">
        <v>0</v>
      </c>
      <c r="I126" s="164"/>
      <c r="J126" s="229">
        <v>0</v>
      </c>
      <c r="K126" s="171">
        <v>0</v>
      </c>
      <c r="L126" s="174">
        <v>0</v>
      </c>
      <c r="M126" s="168"/>
      <c r="N126" s="163">
        <v>0</v>
      </c>
      <c r="O126" s="164"/>
      <c r="P126" s="187">
        <v>0</v>
      </c>
      <c r="Q126" s="171">
        <v>0</v>
      </c>
      <c r="R126" s="174">
        <v>0</v>
      </c>
      <c r="S126" s="175"/>
      <c r="T126" s="165"/>
      <c r="U126" s="176"/>
      <c r="V126" s="165"/>
      <c r="W126" s="165"/>
      <c r="X126" s="165"/>
      <c r="Y126" s="230"/>
      <c r="Z126" s="231"/>
    </row>
    <row r="127" spans="1:26">
      <c r="A127" s="182">
        <v>44686</v>
      </c>
      <c r="B127" s="163">
        <v>0</v>
      </c>
      <c r="C127" s="164"/>
      <c r="D127" s="165">
        <v>0</v>
      </c>
      <c r="E127" s="166">
        <v>0</v>
      </c>
      <c r="F127" s="167">
        <v>0</v>
      </c>
      <c r="G127" s="168"/>
      <c r="H127" s="163">
        <v>0</v>
      </c>
      <c r="I127" s="164"/>
      <c r="J127" s="229">
        <v>0</v>
      </c>
      <c r="K127" s="171">
        <v>0</v>
      </c>
      <c r="L127" s="174">
        <v>0</v>
      </c>
      <c r="M127" s="168"/>
      <c r="N127" s="163">
        <v>0</v>
      </c>
      <c r="O127" s="164"/>
      <c r="P127" s="187">
        <v>0</v>
      </c>
      <c r="Q127" s="171">
        <v>0</v>
      </c>
      <c r="R127" s="174">
        <v>0</v>
      </c>
      <c r="S127" s="175"/>
      <c r="T127" s="165"/>
      <c r="U127" s="176"/>
      <c r="V127" s="165"/>
      <c r="W127" s="165"/>
      <c r="X127" s="165"/>
      <c r="Y127" s="230"/>
      <c r="Z127" s="231"/>
    </row>
    <row r="128" spans="1:26">
      <c r="A128" s="182">
        <v>44687</v>
      </c>
      <c r="B128" s="163">
        <v>0</v>
      </c>
      <c r="C128" s="164"/>
      <c r="D128" s="165">
        <v>0</v>
      </c>
      <c r="E128" s="166">
        <v>0</v>
      </c>
      <c r="F128" s="167">
        <v>0</v>
      </c>
      <c r="G128" s="168"/>
      <c r="H128" s="163">
        <v>0</v>
      </c>
      <c r="I128" s="164"/>
      <c r="J128" s="229">
        <v>0</v>
      </c>
      <c r="K128" s="171">
        <v>0</v>
      </c>
      <c r="L128" s="174">
        <v>0</v>
      </c>
      <c r="M128" s="168"/>
      <c r="N128" s="163">
        <v>0</v>
      </c>
      <c r="O128" s="164"/>
      <c r="P128" s="187">
        <v>0</v>
      </c>
      <c r="Q128" s="171">
        <v>0</v>
      </c>
      <c r="R128" s="174">
        <v>0</v>
      </c>
      <c r="S128" s="175"/>
      <c r="T128" s="165"/>
      <c r="U128" s="176"/>
      <c r="V128" s="165"/>
      <c r="W128" s="165"/>
      <c r="X128" s="165"/>
      <c r="Y128" s="230"/>
      <c r="Z128" s="231"/>
    </row>
    <row r="129" spans="1:26">
      <c r="A129" s="182">
        <v>44688</v>
      </c>
      <c r="B129" s="163">
        <v>0</v>
      </c>
      <c r="C129" s="164"/>
      <c r="D129" s="165">
        <v>0</v>
      </c>
      <c r="E129" s="166">
        <v>0</v>
      </c>
      <c r="F129" s="167">
        <v>0</v>
      </c>
      <c r="G129" s="168"/>
      <c r="H129" s="163">
        <v>0</v>
      </c>
      <c r="I129" s="164"/>
      <c r="J129" s="229">
        <v>0</v>
      </c>
      <c r="K129" s="171">
        <v>0</v>
      </c>
      <c r="L129" s="174">
        <v>0</v>
      </c>
      <c r="M129" s="168"/>
      <c r="N129" s="163">
        <v>0</v>
      </c>
      <c r="O129" s="164"/>
      <c r="P129" s="187">
        <v>0</v>
      </c>
      <c r="Q129" s="171">
        <v>0</v>
      </c>
      <c r="R129" s="174">
        <v>0</v>
      </c>
      <c r="S129" s="175"/>
      <c r="T129" s="165"/>
      <c r="U129" s="176"/>
      <c r="V129" s="165"/>
      <c r="W129" s="165"/>
      <c r="X129" s="165"/>
      <c r="Y129" s="230"/>
      <c r="Z129" s="231"/>
    </row>
    <row r="130" spans="1:26">
      <c r="A130" s="182">
        <v>44689</v>
      </c>
      <c r="B130" s="163">
        <v>0</v>
      </c>
      <c r="C130" s="164"/>
      <c r="D130" s="165">
        <v>0</v>
      </c>
      <c r="E130" s="166">
        <v>0</v>
      </c>
      <c r="F130" s="167">
        <v>0</v>
      </c>
      <c r="G130" s="168"/>
      <c r="H130" s="163">
        <v>0</v>
      </c>
      <c r="I130" s="164"/>
      <c r="J130" s="229">
        <v>0</v>
      </c>
      <c r="K130" s="171">
        <v>0</v>
      </c>
      <c r="L130" s="174">
        <v>0</v>
      </c>
      <c r="M130" s="168"/>
      <c r="N130" s="163">
        <v>0</v>
      </c>
      <c r="O130" s="164"/>
      <c r="P130" s="187">
        <v>0</v>
      </c>
      <c r="Q130" s="171">
        <v>0</v>
      </c>
      <c r="R130" s="174">
        <v>0</v>
      </c>
      <c r="S130" s="175"/>
      <c r="T130" s="165"/>
      <c r="U130" s="176"/>
      <c r="V130" s="165"/>
      <c r="W130" s="165"/>
      <c r="X130" s="165"/>
      <c r="Y130" s="230"/>
      <c r="Z130" s="231"/>
    </row>
    <row r="131" spans="1:26">
      <c r="A131" s="182">
        <v>44690</v>
      </c>
      <c r="B131" s="163">
        <v>0</v>
      </c>
      <c r="C131" s="164"/>
      <c r="D131" s="165">
        <v>0</v>
      </c>
      <c r="E131" s="166">
        <v>0</v>
      </c>
      <c r="F131" s="167">
        <v>0</v>
      </c>
      <c r="G131" s="168"/>
      <c r="H131" s="163">
        <v>0</v>
      </c>
      <c r="I131" s="164"/>
      <c r="J131" s="229">
        <v>0</v>
      </c>
      <c r="K131" s="171">
        <v>0</v>
      </c>
      <c r="L131" s="174">
        <v>0</v>
      </c>
      <c r="M131" s="168"/>
      <c r="N131" s="163">
        <v>0</v>
      </c>
      <c r="O131" s="164"/>
      <c r="P131" s="187">
        <v>0</v>
      </c>
      <c r="Q131" s="171">
        <v>0</v>
      </c>
      <c r="R131" s="174">
        <v>0</v>
      </c>
      <c r="S131" s="175"/>
      <c r="T131" s="165"/>
      <c r="U131" s="176"/>
      <c r="V131" s="165"/>
      <c r="W131" s="165"/>
      <c r="X131" s="165"/>
      <c r="Y131" s="230"/>
      <c r="Z131" s="231"/>
    </row>
    <row r="132" spans="1:26">
      <c r="A132" s="182">
        <v>44691</v>
      </c>
      <c r="B132" s="163">
        <v>0</v>
      </c>
      <c r="C132" s="164"/>
      <c r="D132" s="165">
        <v>0</v>
      </c>
      <c r="E132" s="166">
        <v>0</v>
      </c>
      <c r="F132" s="167">
        <v>0</v>
      </c>
      <c r="G132" s="168"/>
      <c r="H132" s="163">
        <v>0</v>
      </c>
      <c r="I132" s="164"/>
      <c r="J132" s="229">
        <v>0</v>
      </c>
      <c r="K132" s="171">
        <v>0</v>
      </c>
      <c r="L132" s="174">
        <v>0</v>
      </c>
      <c r="M132" s="168"/>
      <c r="N132" s="163">
        <v>0</v>
      </c>
      <c r="O132" s="164"/>
      <c r="P132" s="187">
        <v>0</v>
      </c>
      <c r="Q132" s="171">
        <v>0</v>
      </c>
      <c r="R132" s="174">
        <v>0</v>
      </c>
      <c r="S132" s="175"/>
      <c r="T132" s="165"/>
      <c r="U132" s="176"/>
      <c r="V132" s="165"/>
      <c r="W132" s="165"/>
      <c r="X132" s="165"/>
      <c r="Y132" s="230"/>
      <c r="Z132" s="231"/>
    </row>
    <row r="133" spans="1:26">
      <c r="A133" s="182">
        <v>44692</v>
      </c>
      <c r="B133" s="163">
        <v>0</v>
      </c>
      <c r="C133" s="164"/>
      <c r="D133" s="165">
        <v>0</v>
      </c>
      <c r="E133" s="166">
        <v>0</v>
      </c>
      <c r="F133" s="167">
        <v>0</v>
      </c>
      <c r="G133" s="168"/>
      <c r="H133" s="163">
        <v>0</v>
      </c>
      <c r="I133" s="164"/>
      <c r="J133" s="229">
        <v>0</v>
      </c>
      <c r="K133" s="171">
        <v>0</v>
      </c>
      <c r="L133" s="174">
        <v>0</v>
      </c>
      <c r="M133" s="168"/>
      <c r="N133" s="163">
        <v>0</v>
      </c>
      <c r="O133" s="164"/>
      <c r="P133" s="187">
        <v>0</v>
      </c>
      <c r="Q133" s="171">
        <v>0</v>
      </c>
      <c r="R133" s="174">
        <v>0</v>
      </c>
      <c r="S133" s="175"/>
      <c r="T133" s="165"/>
      <c r="U133" s="176"/>
      <c r="V133" s="165"/>
      <c r="W133" s="165"/>
      <c r="X133" s="165"/>
      <c r="Y133" s="230"/>
      <c r="Z133" s="231"/>
    </row>
    <row r="134" spans="1:26">
      <c r="A134" s="182">
        <v>44693</v>
      </c>
      <c r="B134" s="163">
        <v>0</v>
      </c>
      <c r="C134" s="164"/>
      <c r="D134" s="165">
        <v>0</v>
      </c>
      <c r="E134" s="166">
        <v>0</v>
      </c>
      <c r="F134" s="167">
        <v>0</v>
      </c>
      <c r="G134" s="168"/>
      <c r="H134" s="163">
        <v>0</v>
      </c>
      <c r="I134" s="164"/>
      <c r="J134" s="229">
        <v>0</v>
      </c>
      <c r="K134" s="171">
        <v>0</v>
      </c>
      <c r="L134" s="174">
        <v>0</v>
      </c>
      <c r="M134" s="168"/>
      <c r="N134" s="163">
        <v>0</v>
      </c>
      <c r="O134" s="164"/>
      <c r="P134" s="187">
        <v>0</v>
      </c>
      <c r="Q134" s="171">
        <v>0</v>
      </c>
      <c r="R134" s="174">
        <v>0</v>
      </c>
      <c r="S134" s="175"/>
      <c r="T134" s="165"/>
      <c r="U134" s="176"/>
      <c r="V134" s="165"/>
      <c r="W134" s="165"/>
      <c r="X134" s="165"/>
      <c r="Y134" s="230"/>
      <c r="Z134" s="231"/>
    </row>
    <row r="135" spans="1:26">
      <c r="A135" s="182">
        <v>44694</v>
      </c>
      <c r="B135" s="163">
        <v>0</v>
      </c>
      <c r="C135" s="164"/>
      <c r="D135" s="165">
        <v>0</v>
      </c>
      <c r="E135" s="166">
        <v>0</v>
      </c>
      <c r="F135" s="167">
        <v>0</v>
      </c>
      <c r="G135" s="168"/>
      <c r="H135" s="163">
        <v>0</v>
      </c>
      <c r="I135" s="164"/>
      <c r="J135" s="229">
        <v>0</v>
      </c>
      <c r="K135" s="171">
        <v>0</v>
      </c>
      <c r="L135" s="174">
        <v>0</v>
      </c>
      <c r="M135" s="168"/>
      <c r="N135" s="163">
        <v>0</v>
      </c>
      <c r="O135" s="164"/>
      <c r="P135" s="187">
        <v>0</v>
      </c>
      <c r="Q135" s="171">
        <v>0</v>
      </c>
      <c r="R135" s="174">
        <v>0</v>
      </c>
      <c r="S135" s="175"/>
      <c r="T135" s="165"/>
      <c r="U135" s="176"/>
      <c r="V135" s="165"/>
      <c r="W135" s="165"/>
      <c r="X135" s="165"/>
      <c r="Y135" s="230"/>
      <c r="Z135" s="231"/>
    </row>
    <row r="136" spans="1:26">
      <c r="A136" s="182">
        <v>44695</v>
      </c>
      <c r="B136" s="163">
        <v>0</v>
      </c>
      <c r="C136" s="164"/>
      <c r="D136" s="165">
        <v>0</v>
      </c>
      <c r="E136" s="166">
        <v>0</v>
      </c>
      <c r="F136" s="167">
        <v>0</v>
      </c>
      <c r="G136" s="168"/>
      <c r="H136" s="163">
        <v>0</v>
      </c>
      <c r="I136" s="164"/>
      <c r="J136" s="229">
        <v>0</v>
      </c>
      <c r="K136" s="171">
        <v>0</v>
      </c>
      <c r="L136" s="174">
        <v>0</v>
      </c>
      <c r="M136" s="168"/>
      <c r="N136" s="163">
        <v>0</v>
      </c>
      <c r="O136" s="164"/>
      <c r="P136" s="187">
        <v>0</v>
      </c>
      <c r="Q136" s="171">
        <v>0</v>
      </c>
      <c r="R136" s="174">
        <v>0</v>
      </c>
      <c r="S136" s="175"/>
      <c r="T136" s="165"/>
      <c r="U136" s="176"/>
      <c r="V136" s="165"/>
      <c r="W136" s="165"/>
      <c r="X136" s="165"/>
      <c r="Y136" s="230"/>
      <c r="Z136" s="231"/>
    </row>
    <row r="137" spans="1:26">
      <c r="A137" s="182">
        <v>44696</v>
      </c>
      <c r="B137" s="163">
        <v>0</v>
      </c>
      <c r="C137" s="164"/>
      <c r="D137" s="165">
        <v>0</v>
      </c>
      <c r="E137" s="166">
        <v>0</v>
      </c>
      <c r="F137" s="167">
        <v>0</v>
      </c>
      <c r="G137" s="168"/>
      <c r="H137" s="163">
        <v>0</v>
      </c>
      <c r="I137" s="164"/>
      <c r="J137" s="229">
        <v>0</v>
      </c>
      <c r="K137" s="171">
        <v>0</v>
      </c>
      <c r="L137" s="174">
        <v>0</v>
      </c>
      <c r="M137" s="168"/>
      <c r="N137" s="163">
        <v>0</v>
      </c>
      <c r="O137" s="164"/>
      <c r="P137" s="187">
        <v>0</v>
      </c>
      <c r="Q137" s="171">
        <v>0</v>
      </c>
      <c r="R137" s="174">
        <v>0</v>
      </c>
      <c r="S137" s="175"/>
      <c r="T137" s="165"/>
      <c r="U137" s="176"/>
      <c r="V137" s="165"/>
      <c r="W137" s="165"/>
      <c r="X137" s="165"/>
      <c r="Y137" s="230"/>
      <c r="Z137" s="231"/>
    </row>
    <row r="138" spans="1:26">
      <c r="A138" s="182">
        <v>44697</v>
      </c>
      <c r="B138" s="163">
        <v>0</v>
      </c>
      <c r="C138" s="164"/>
      <c r="D138" s="165">
        <v>0</v>
      </c>
      <c r="E138" s="166">
        <v>0</v>
      </c>
      <c r="F138" s="167">
        <v>0</v>
      </c>
      <c r="G138" s="168"/>
      <c r="H138" s="163">
        <v>0</v>
      </c>
      <c r="I138" s="164"/>
      <c r="J138" s="229">
        <v>0</v>
      </c>
      <c r="K138" s="171">
        <v>0</v>
      </c>
      <c r="L138" s="174">
        <v>0</v>
      </c>
      <c r="M138" s="168"/>
      <c r="N138" s="163">
        <v>0</v>
      </c>
      <c r="O138" s="164"/>
      <c r="P138" s="187">
        <v>0</v>
      </c>
      <c r="Q138" s="171">
        <v>0</v>
      </c>
      <c r="R138" s="174">
        <v>0</v>
      </c>
      <c r="S138" s="175"/>
      <c r="T138" s="165"/>
      <c r="U138" s="176"/>
      <c r="V138" s="165"/>
      <c r="W138" s="165"/>
      <c r="X138" s="165"/>
      <c r="Y138" s="230"/>
      <c r="Z138" s="231"/>
    </row>
    <row r="139" spans="1:26">
      <c r="A139" s="182">
        <v>44698</v>
      </c>
      <c r="B139" s="163">
        <v>0</v>
      </c>
      <c r="C139" s="164"/>
      <c r="D139" s="165">
        <v>0</v>
      </c>
      <c r="E139" s="166">
        <v>0</v>
      </c>
      <c r="F139" s="167">
        <v>0</v>
      </c>
      <c r="G139" s="168"/>
      <c r="H139" s="163">
        <v>0</v>
      </c>
      <c r="I139" s="164"/>
      <c r="J139" s="229">
        <v>0</v>
      </c>
      <c r="K139" s="171">
        <v>0</v>
      </c>
      <c r="L139" s="174">
        <v>0</v>
      </c>
      <c r="M139" s="168"/>
      <c r="N139" s="163">
        <v>0</v>
      </c>
      <c r="O139" s="164"/>
      <c r="P139" s="187">
        <v>0</v>
      </c>
      <c r="Q139" s="171">
        <v>0</v>
      </c>
      <c r="R139" s="174">
        <v>0</v>
      </c>
      <c r="S139" s="175"/>
      <c r="T139" s="165"/>
      <c r="U139" s="176"/>
      <c r="V139" s="165"/>
      <c r="W139" s="165"/>
      <c r="X139" s="165"/>
      <c r="Y139" s="230"/>
      <c r="Z139" s="231"/>
    </row>
    <row r="140" spans="1:26">
      <c r="A140" s="182">
        <v>44699</v>
      </c>
      <c r="B140" s="163">
        <v>0</v>
      </c>
      <c r="C140" s="164"/>
      <c r="D140" s="165">
        <v>0</v>
      </c>
      <c r="E140" s="166">
        <v>0</v>
      </c>
      <c r="F140" s="167">
        <v>0</v>
      </c>
      <c r="G140" s="168"/>
      <c r="H140" s="163">
        <v>0</v>
      </c>
      <c r="I140" s="164"/>
      <c r="J140" s="229">
        <v>0</v>
      </c>
      <c r="K140" s="171">
        <v>0</v>
      </c>
      <c r="L140" s="174">
        <v>0</v>
      </c>
      <c r="M140" s="168"/>
      <c r="N140" s="163">
        <v>0</v>
      </c>
      <c r="O140" s="164"/>
      <c r="P140" s="187">
        <v>0</v>
      </c>
      <c r="Q140" s="171">
        <v>0</v>
      </c>
      <c r="R140" s="174">
        <v>0</v>
      </c>
      <c r="S140" s="175"/>
      <c r="T140" s="165"/>
      <c r="U140" s="176"/>
      <c r="V140" s="165"/>
      <c r="W140" s="165"/>
      <c r="X140" s="165"/>
      <c r="Y140" s="230"/>
      <c r="Z140" s="231"/>
    </row>
    <row r="141" spans="1:26">
      <c r="A141" s="182">
        <v>44700</v>
      </c>
      <c r="B141" s="163">
        <v>0</v>
      </c>
      <c r="C141" s="164"/>
      <c r="D141" s="165">
        <v>0</v>
      </c>
      <c r="E141" s="166">
        <v>0</v>
      </c>
      <c r="F141" s="167">
        <v>0</v>
      </c>
      <c r="G141" s="168"/>
      <c r="H141" s="163">
        <v>0</v>
      </c>
      <c r="I141" s="164"/>
      <c r="J141" s="229">
        <v>0</v>
      </c>
      <c r="K141" s="171">
        <v>0</v>
      </c>
      <c r="L141" s="174">
        <v>0</v>
      </c>
      <c r="M141" s="168"/>
      <c r="N141" s="163">
        <v>0</v>
      </c>
      <c r="O141" s="164"/>
      <c r="P141" s="187">
        <v>0</v>
      </c>
      <c r="Q141" s="171">
        <v>0</v>
      </c>
      <c r="R141" s="174">
        <v>0</v>
      </c>
      <c r="S141" s="175"/>
      <c r="T141" s="165"/>
      <c r="U141" s="176"/>
      <c r="V141" s="165"/>
      <c r="W141" s="165"/>
      <c r="X141" s="165"/>
      <c r="Y141" s="230"/>
      <c r="Z141" s="231"/>
    </row>
    <row r="142" spans="1:26">
      <c r="A142" s="182">
        <v>44701</v>
      </c>
      <c r="B142" s="163">
        <v>0</v>
      </c>
      <c r="C142" s="164"/>
      <c r="D142" s="165">
        <v>0</v>
      </c>
      <c r="E142" s="166">
        <v>0</v>
      </c>
      <c r="F142" s="167">
        <v>0</v>
      </c>
      <c r="G142" s="168"/>
      <c r="H142" s="163">
        <v>0</v>
      </c>
      <c r="I142" s="164"/>
      <c r="J142" s="229">
        <v>0</v>
      </c>
      <c r="K142" s="171">
        <v>0</v>
      </c>
      <c r="L142" s="174">
        <v>0</v>
      </c>
      <c r="M142" s="168"/>
      <c r="N142" s="163">
        <v>0</v>
      </c>
      <c r="O142" s="164"/>
      <c r="P142" s="187">
        <v>0</v>
      </c>
      <c r="Q142" s="171">
        <v>0</v>
      </c>
      <c r="R142" s="174">
        <v>0</v>
      </c>
      <c r="S142" s="175"/>
      <c r="T142" s="165"/>
      <c r="U142" s="176"/>
      <c r="V142" s="165"/>
      <c r="W142" s="165"/>
      <c r="X142" s="165"/>
      <c r="Y142" s="230"/>
      <c r="Z142" s="231"/>
    </row>
    <row r="143" spans="1:26">
      <c r="A143" s="182">
        <v>44702</v>
      </c>
      <c r="B143" s="163">
        <v>0</v>
      </c>
      <c r="C143" s="164"/>
      <c r="D143" s="165">
        <v>0</v>
      </c>
      <c r="E143" s="166">
        <v>0</v>
      </c>
      <c r="F143" s="167">
        <v>0</v>
      </c>
      <c r="G143" s="168"/>
      <c r="H143" s="163">
        <v>0</v>
      </c>
      <c r="I143" s="164"/>
      <c r="J143" s="229">
        <v>0</v>
      </c>
      <c r="K143" s="171">
        <v>0</v>
      </c>
      <c r="L143" s="174">
        <v>0</v>
      </c>
      <c r="M143" s="168"/>
      <c r="N143" s="163">
        <v>0</v>
      </c>
      <c r="O143" s="164"/>
      <c r="P143" s="187">
        <v>0</v>
      </c>
      <c r="Q143" s="171">
        <v>0</v>
      </c>
      <c r="R143" s="174">
        <v>0</v>
      </c>
      <c r="S143" s="175"/>
      <c r="T143" s="165"/>
      <c r="U143" s="176"/>
      <c r="V143" s="165"/>
      <c r="W143" s="165"/>
      <c r="X143" s="165"/>
      <c r="Y143" s="230"/>
      <c r="Z143" s="231"/>
    </row>
    <row r="144" spans="1:26">
      <c r="A144" s="182">
        <v>44703</v>
      </c>
      <c r="B144" s="163">
        <v>0</v>
      </c>
      <c r="C144" s="164"/>
      <c r="D144" s="165">
        <v>0</v>
      </c>
      <c r="E144" s="166">
        <v>0</v>
      </c>
      <c r="F144" s="167">
        <v>0</v>
      </c>
      <c r="G144" s="168"/>
      <c r="H144" s="163">
        <v>0</v>
      </c>
      <c r="I144" s="164"/>
      <c r="J144" s="229">
        <v>0</v>
      </c>
      <c r="K144" s="171">
        <v>0</v>
      </c>
      <c r="L144" s="174">
        <v>0</v>
      </c>
      <c r="M144" s="168"/>
      <c r="N144" s="163">
        <v>0</v>
      </c>
      <c r="O144" s="164"/>
      <c r="P144" s="187">
        <v>0</v>
      </c>
      <c r="Q144" s="171">
        <v>0</v>
      </c>
      <c r="R144" s="174">
        <v>0</v>
      </c>
      <c r="S144" s="175"/>
      <c r="T144" s="165"/>
      <c r="U144" s="176"/>
      <c r="V144" s="165"/>
      <c r="W144" s="165"/>
      <c r="X144" s="165"/>
      <c r="Y144" s="230"/>
      <c r="Z144" s="231"/>
    </row>
    <row r="145" spans="1:26">
      <c r="A145" s="182">
        <v>44704</v>
      </c>
      <c r="B145" s="163">
        <v>0</v>
      </c>
      <c r="C145" s="164"/>
      <c r="D145" s="165">
        <v>0</v>
      </c>
      <c r="E145" s="166">
        <v>0</v>
      </c>
      <c r="F145" s="167">
        <v>0</v>
      </c>
      <c r="G145" s="168"/>
      <c r="H145" s="163">
        <v>0</v>
      </c>
      <c r="I145" s="164"/>
      <c r="J145" s="229">
        <v>0</v>
      </c>
      <c r="K145" s="171">
        <v>0</v>
      </c>
      <c r="L145" s="174">
        <v>0</v>
      </c>
      <c r="M145" s="168"/>
      <c r="N145" s="163">
        <v>0</v>
      </c>
      <c r="O145" s="164"/>
      <c r="P145" s="187">
        <v>0</v>
      </c>
      <c r="Q145" s="171">
        <v>0</v>
      </c>
      <c r="R145" s="174">
        <v>0</v>
      </c>
      <c r="S145" s="175"/>
      <c r="T145" s="165"/>
      <c r="U145" s="176"/>
      <c r="V145" s="165"/>
      <c r="W145" s="165"/>
      <c r="X145" s="165"/>
      <c r="Y145" s="230"/>
      <c r="Z145" s="231"/>
    </row>
    <row r="146" spans="1:26">
      <c r="A146" s="182">
        <v>44705</v>
      </c>
      <c r="B146" s="163">
        <v>0</v>
      </c>
      <c r="C146" s="164"/>
      <c r="D146" s="165">
        <v>0</v>
      </c>
      <c r="E146" s="166">
        <v>0</v>
      </c>
      <c r="F146" s="167">
        <v>0</v>
      </c>
      <c r="G146" s="168"/>
      <c r="H146" s="163">
        <v>0</v>
      </c>
      <c r="I146" s="164"/>
      <c r="J146" s="229">
        <v>0</v>
      </c>
      <c r="K146" s="171">
        <v>0</v>
      </c>
      <c r="L146" s="174">
        <v>0</v>
      </c>
      <c r="M146" s="168"/>
      <c r="N146" s="163">
        <v>0</v>
      </c>
      <c r="O146" s="164"/>
      <c r="P146" s="187">
        <v>0</v>
      </c>
      <c r="Q146" s="171">
        <v>0</v>
      </c>
      <c r="R146" s="174">
        <v>0</v>
      </c>
      <c r="S146" s="175"/>
      <c r="T146" s="165"/>
      <c r="U146" s="176"/>
      <c r="V146" s="165"/>
      <c r="W146" s="165"/>
      <c r="X146" s="165"/>
      <c r="Y146" s="230"/>
      <c r="Z146" s="231"/>
    </row>
    <row r="147" spans="1:26">
      <c r="A147" s="182">
        <v>44706</v>
      </c>
      <c r="B147" s="163">
        <v>0</v>
      </c>
      <c r="C147" s="164"/>
      <c r="D147" s="165">
        <v>0</v>
      </c>
      <c r="E147" s="166">
        <v>0</v>
      </c>
      <c r="F147" s="167">
        <v>0</v>
      </c>
      <c r="G147" s="168"/>
      <c r="H147" s="163">
        <v>0</v>
      </c>
      <c r="I147" s="164"/>
      <c r="J147" s="229">
        <v>0</v>
      </c>
      <c r="K147" s="171">
        <v>0</v>
      </c>
      <c r="L147" s="174">
        <v>0</v>
      </c>
      <c r="M147" s="168"/>
      <c r="N147" s="163">
        <v>0</v>
      </c>
      <c r="O147" s="164"/>
      <c r="P147" s="187">
        <v>0</v>
      </c>
      <c r="Q147" s="171">
        <v>0</v>
      </c>
      <c r="R147" s="174">
        <v>0</v>
      </c>
      <c r="S147" s="175"/>
      <c r="T147" s="165"/>
      <c r="U147" s="176"/>
      <c r="V147" s="165"/>
      <c r="W147" s="165"/>
      <c r="X147" s="165"/>
      <c r="Y147" s="230"/>
      <c r="Z147" s="231"/>
    </row>
    <row r="148" spans="1:26">
      <c r="A148" s="182">
        <v>44707</v>
      </c>
      <c r="B148" s="163">
        <v>0</v>
      </c>
      <c r="C148" s="164"/>
      <c r="D148" s="165">
        <v>0</v>
      </c>
      <c r="E148" s="166">
        <v>0</v>
      </c>
      <c r="F148" s="167">
        <v>0</v>
      </c>
      <c r="G148" s="168"/>
      <c r="H148" s="163">
        <v>0</v>
      </c>
      <c r="I148" s="164"/>
      <c r="J148" s="229">
        <v>0</v>
      </c>
      <c r="K148" s="171">
        <v>0</v>
      </c>
      <c r="L148" s="174">
        <v>0</v>
      </c>
      <c r="M148" s="168"/>
      <c r="N148" s="163">
        <v>0</v>
      </c>
      <c r="O148" s="164"/>
      <c r="P148" s="187">
        <v>0</v>
      </c>
      <c r="Q148" s="171">
        <v>0</v>
      </c>
      <c r="R148" s="174">
        <v>0</v>
      </c>
      <c r="S148" s="175"/>
      <c r="T148" s="165"/>
      <c r="U148" s="176"/>
      <c r="V148" s="165"/>
      <c r="W148" s="165"/>
      <c r="X148" s="165"/>
      <c r="Y148" s="230"/>
      <c r="Z148" s="231"/>
    </row>
    <row r="149" ht="14.55" spans="1:26">
      <c r="A149" s="182">
        <v>44708</v>
      </c>
      <c r="B149" s="163">
        <v>0</v>
      </c>
      <c r="C149" s="164"/>
      <c r="D149" s="165">
        <v>0</v>
      </c>
      <c r="E149" s="166">
        <v>0</v>
      </c>
      <c r="F149" s="167">
        <v>0</v>
      </c>
      <c r="G149" s="168"/>
      <c r="H149" s="163">
        <v>0</v>
      </c>
      <c r="I149" s="164"/>
      <c r="J149" s="229">
        <v>0</v>
      </c>
      <c r="K149" s="171">
        <v>0</v>
      </c>
      <c r="L149" s="174">
        <v>0</v>
      </c>
      <c r="M149" s="168"/>
      <c r="N149" s="163">
        <v>0</v>
      </c>
      <c r="O149" s="164"/>
      <c r="P149" s="187">
        <v>0</v>
      </c>
      <c r="Q149" s="171">
        <v>0</v>
      </c>
      <c r="R149" s="174">
        <v>0</v>
      </c>
      <c r="S149" s="175"/>
      <c r="T149" s="165"/>
      <c r="U149" s="176"/>
      <c r="V149" s="165"/>
      <c r="W149" s="165"/>
      <c r="X149" s="165"/>
      <c r="Y149" s="230"/>
      <c r="Z149" s="231"/>
    </row>
    <row r="150" hidden="1" spans="1:26">
      <c r="A150" s="182">
        <v>44709</v>
      </c>
      <c r="B150" s="169"/>
      <c r="C150" s="173"/>
      <c r="D150" s="165"/>
      <c r="E150" s="166"/>
      <c r="F150" s="167"/>
      <c r="G150" s="242"/>
      <c r="H150" s="243"/>
      <c r="I150" s="244"/>
      <c r="J150" s="245"/>
      <c r="K150" s="171"/>
      <c r="L150" s="174"/>
      <c r="M150" s="168"/>
      <c r="N150" s="169"/>
      <c r="O150" s="173"/>
      <c r="P150" s="165"/>
      <c r="Q150" s="171"/>
      <c r="R150" s="174"/>
      <c r="S150" s="175"/>
      <c r="T150" s="165"/>
      <c r="U150" s="176"/>
      <c r="V150" s="165"/>
      <c r="W150" s="165"/>
      <c r="X150" s="165"/>
      <c r="Y150" s="230"/>
      <c r="Z150" s="231"/>
    </row>
    <row r="151" hidden="1" spans="1:26">
      <c r="A151" s="182">
        <v>44710</v>
      </c>
      <c r="B151" s="169"/>
      <c r="C151" s="173"/>
      <c r="D151" s="165"/>
      <c r="E151" s="166"/>
      <c r="F151" s="167"/>
      <c r="G151" s="242"/>
      <c r="H151" s="243"/>
      <c r="I151" s="244"/>
      <c r="J151" s="245"/>
      <c r="K151" s="171"/>
      <c r="L151" s="174"/>
      <c r="M151" s="168"/>
      <c r="N151" s="169"/>
      <c r="O151" s="173"/>
      <c r="P151" s="165"/>
      <c r="Q151" s="171"/>
      <c r="R151" s="174"/>
      <c r="S151" s="175"/>
      <c r="T151" s="165"/>
      <c r="U151" s="176"/>
      <c r="V151" s="165"/>
      <c r="W151" s="165"/>
      <c r="X151" s="165"/>
      <c r="Y151" s="230"/>
      <c r="Z151" s="231"/>
    </row>
    <row r="152" hidden="1" spans="1:26">
      <c r="A152" s="182">
        <v>44711</v>
      </c>
      <c r="B152" s="169"/>
      <c r="C152" s="173"/>
      <c r="D152" s="165"/>
      <c r="E152" s="166"/>
      <c r="F152" s="167"/>
      <c r="G152" s="242"/>
      <c r="H152" s="243"/>
      <c r="I152" s="244"/>
      <c r="J152" s="245"/>
      <c r="K152" s="171"/>
      <c r="L152" s="174"/>
      <c r="M152" s="168"/>
      <c r="N152" s="169"/>
      <c r="O152" s="173"/>
      <c r="P152" s="165"/>
      <c r="Q152" s="171"/>
      <c r="R152" s="174"/>
      <c r="S152" s="175"/>
      <c r="T152" s="165"/>
      <c r="U152" s="176"/>
      <c r="V152" s="165"/>
      <c r="W152" s="165"/>
      <c r="X152" s="165"/>
      <c r="Y152" s="230"/>
      <c r="Z152" s="231"/>
    </row>
    <row r="153" ht="14.55" hidden="1" spans="1:26">
      <c r="A153" s="246">
        <v>44712</v>
      </c>
      <c r="B153" s="247"/>
      <c r="C153" s="248"/>
      <c r="D153" s="213"/>
      <c r="E153" s="209"/>
      <c r="F153" s="210"/>
      <c r="G153" s="193"/>
      <c r="H153" s="194"/>
      <c r="I153" s="249"/>
      <c r="J153" s="250"/>
      <c r="K153" s="183"/>
      <c r="L153" s="211"/>
      <c r="M153" s="185"/>
      <c r="N153" s="247"/>
      <c r="O153" s="248"/>
      <c r="P153" s="213"/>
      <c r="Q153" s="183"/>
      <c r="R153" s="211"/>
      <c r="S153" s="202"/>
      <c r="T153" s="213"/>
      <c r="U153" s="251"/>
      <c r="V153" s="213"/>
      <c r="W153" s="213"/>
      <c r="X153" s="213"/>
      <c r="Y153" s="252"/>
      <c r="Z153" s="253"/>
    </row>
    <row r="154" spans="1:26">
      <c r="A154" s="254" t="s">
        <v>121</v>
      </c>
      <c r="B154" s="255">
        <f>SUM(B3:B153)</f>
        <v>17100</v>
      </c>
      <c r="C154" s="256"/>
      <c r="D154" s="255">
        <f>SUM(D3:D153)</f>
        <v>11024.03</v>
      </c>
      <c r="E154" s="257">
        <f>SUM(E3:E153)</f>
        <v>45108</v>
      </c>
      <c r="F154" s="257"/>
      <c r="G154" s="257"/>
      <c r="H154" s="255">
        <f>SUM(H3:H153)</f>
        <v>25100</v>
      </c>
      <c r="I154" s="256"/>
      <c r="J154" s="258">
        <f>SUM(J3:J153)</f>
        <v>15197.05</v>
      </c>
      <c r="K154" s="255">
        <f>SUM(K3:K153)</f>
        <v>241035</v>
      </c>
      <c r="L154" s="259"/>
      <c r="M154" s="257"/>
      <c r="N154" s="255">
        <f>SUM(N3:N153)</f>
        <v>6950</v>
      </c>
      <c r="O154" s="256"/>
      <c r="P154" s="255">
        <f>SUM(P3:P153)</f>
        <v>5299.15</v>
      </c>
      <c r="Q154" s="255">
        <f>SUM(Q3:Q153)</f>
        <v>489685</v>
      </c>
      <c r="R154" s="255">
        <f>SUM(R3:R153)</f>
        <v>4888</v>
      </c>
      <c r="S154" s="257"/>
      <c r="T154" s="255"/>
      <c r="U154" s="256"/>
      <c r="V154" s="255"/>
      <c r="W154" s="255"/>
      <c r="X154" s="255"/>
      <c r="Y154" s="260"/>
      <c r="Z154" s="261"/>
    </row>
    <row r="155" ht="14.55" spans="1:26">
      <c r="A155" s="262" t="s">
        <v>122</v>
      </c>
      <c r="B155" s="263">
        <f>AVERAGE(B3:B153)</f>
        <v>116.326530612245</v>
      </c>
      <c r="C155" s="264"/>
      <c r="D155" s="263">
        <f>AVERAGE(D3:D153)</f>
        <v>74.9934013605442</v>
      </c>
      <c r="E155" s="265">
        <f>AVERAGE(E3:E153)</f>
        <v>306.857142857143</v>
      </c>
      <c r="F155" s="265"/>
      <c r="G155" s="265"/>
      <c r="H155" s="263">
        <f>AVERAGE(H3:H153)</f>
        <v>170.748299319728</v>
      </c>
      <c r="I155" s="264"/>
      <c r="J155" s="266">
        <f>AVERAGE(J3:J153)</f>
        <v>103.381292517007</v>
      </c>
      <c r="K155" s="263">
        <f>AVERAGE(K3:K153)</f>
        <v>1639.69387755102</v>
      </c>
      <c r="L155" s="267"/>
      <c r="M155" s="265"/>
      <c r="N155" s="263">
        <f>AVERAGE(N3:N153)</f>
        <v>47.2789115646259</v>
      </c>
      <c r="O155" s="264"/>
      <c r="P155" s="263">
        <f>AVERAGE(P3:P153)</f>
        <v>36.0486394557823</v>
      </c>
      <c r="Q155" s="263">
        <f>AVERAGE(Q3:Q153)</f>
        <v>3331.19047619048</v>
      </c>
      <c r="R155" s="263">
        <f>AVERAGE(R3:R153)</f>
        <v>33.2517006802721</v>
      </c>
      <c r="S155" s="265"/>
      <c r="T155" s="263"/>
      <c r="U155" s="264"/>
      <c r="V155" s="263"/>
      <c r="W155" s="263"/>
      <c r="X155" s="263"/>
      <c r="Y155" s="268"/>
      <c r="Z155" s="269"/>
    </row>
    <row r="156" spans="1:26">
      <c r="A156" s="182">
        <v>45146</v>
      </c>
      <c r="B156" s="165">
        <v>500</v>
      </c>
      <c r="C156" s="176"/>
      <c r="D156" s="270">
        <v>0</v>
      </c>
      <c r="E156" s="166">
        <v>0</v>
      </c>
      <c r="F156" s="167">
        <v>0</v>
      </c>
      <c r="G156" s="175"/>
      <c r="H156" s="165">
        <v>2000</v>
      </c>
      <c r="I156" s="176"/>
      <c r="J156" s="245">
        <v>0</v>
      </c>
      <c r="K156" s="171">
        <v>0</v>
      </c>
      <c r="L156" s="174">
        <v>0</v>
      </c>
      <c r="M156" s="175"/>
      <c r="N156" s="165">
        <v>2000</v>
      </c>
      <c r="O156" s="176"/>
      <c r="P156" s="165">
        <v>0</v>
      </c>
      <c r="Q156" s="171">
        <v>0</v>
      </c>
      <c r="R156" s="174">
        <v>0</v>
      </c>
      <c r="S156" s="175"/>
      <c r="T156" s="165">
        <v>0</v>
      </c>
      <c r="U156" s="176"/>
      <c r="V156" s="165">
        <v>0</v>
      </c>
      <c r="W156" s="271">
        <v>0</v>
      </c>
      <c r="X156" s="271">
        <v>0</v>
      </c>
      <c r="Y156" s="272"/>
      <c r="Z156" s="273"/>
    </row>
    <row r="157" spans="1:26">
      <c r="A157" s="182">
        <v>45147</v>
      </c>
      <c r="B157" s="165">
        <v>500</v>
      </c>
      <c r="C157" s="176"/>
      <c r="D157" s="270">
        <v>0</v>
      </c>
      <c r="E157" s="166">
        <v>0</v>
      </c>
      <c r="F157" s="167">
        <v>0</v>
      </c>
      <c r="G157" s="175"/>
      <c r="H157" s="165">
        <v>2000</v>
      </c>
      <c r="I157" s="176"/>
      <c r="J157" s="245">
        <v>0</v>
      </c>
      <c r="K157" s="171">
        <v>0</v>
      </c>
      <c r="L157" s="174">
        <v>0</v>
      </c>
      <c r="M157" s="175"/>
      <c r="N157" s="165">
        <v>2000</v>
      </c>
      <c r="O157" s="176"/>
      <c r="P157" s="165">
        <v>0</v>
      </c>
      <c r="Q157" s="171">
        <v>0</v>
      </c>
      <c r="R157" s="174">
        <v>0</v>
      </c>
      <c r="S157" s="175"/>
      <c r="T157" s="165">
        <v>0</v>
      </c>
      <c r="U157" s="176"/>
      <c r="V157" s="165">
        <v>0</v>
      </c>
      <c r="W157" s="271">
        <v>0</v>
      </c>
      <c r="X157" s="271">
        <v>0</v>
      </c>
      <c r="Y157" s="272"/>
      <c r="Z157" s="273"/>
    </row>
    <row r="158" spans="1:26">
      <c r="A158" s="182">
        <v>45148</v>
      </c>
      <c r="B158" s="165">
        <v>500</v>
      </c>
      <c r="C158" s="176"/>
      <c r="D158" s="270">
        <v>0</v>
      </c>
      <c r="E158" s="166">
        <v>0</v>
      </c>
      <c r="F158" s="167">
        <v>0</v>
      </c>
      <c r="G158" s="175"/>
      <c r="H158" s="165">
        <v>2000</v>
      </c>
      <c r="I158" s="176"/>
      <c r="J158" s="245">
        <v>0</v>
      </c>
      <c r="K158" s="171">
        <v>0</v>
      </c>
      <c r="L158" s="174">
        <v>0</v>
      </c>
      <c r="M158" s="175"/>
      <c r="N158" s="165">
        <v>2000</v>
      </c>
      <c r="O158" s="176"/>
      <c r="P158" s="165">
        <v>0</v>
      </c>
      <c r="Q158" s="171">
        <v>0</v>
      </c>
      <c r="R158" s="174">
        <v>0</v>
      </c>
      <c r="S158" s="175"/>
      <c r="T158" s="165">
        <v>0</v>
      </c>
      <c r="U158" s="176"/>
      <c r="V158" s="165">
        <v>0</v>
      </c>
      <c r="W158" s="271">
        <v>0</v>
      </c>
      <c r="X158" s="271">
        <v>0</v>
      </c>
      <c r="Y158" s="272"/>
      <c r="Z158" s="273"/>
    </row>
    <row r="159" spans="1:26">
      <c r="A159" s="182">
        <v>45149</v>
      </c>
      <c r="B159" s="165">
        <v>500</v>
      </c>
      <c r="C159" s="176"/>
      <c r="D159" s="270">
        <v>0</v>
      </c>
      <c r="E159" s="166">
        <v>0</v>
      </c>
      <c r="F159" s="167">
        <v>0</v>
      </c>
      <c r="G159" s="175"/>
      <c r="H159" s="165">
        <v>2000</v>
      </c>
      <c r="I159" s="176"/>
      <c r="J159" s="245">
        <v>0</v>
      </c>
      <c r="K159" s="171">
        <v>0</v>
      </c>
      <c r="L159" s="174">
        <v>0</v>
      </c>
      <c r="M159" s="175"/>
      <c r="N159" s="165">
        <v>2000</v>
      </c>
      <c r="O159" s="176"/>
      <c r="P159" s="165">
        <v>0</v>
      </c>
      <c r="Q159" s="171">
        <v>0</v>
      </c>
      <c r="R159" s="174">
        <v>0</v>
      </c>
      <c r="S159" s="175"/>
      <c r="T159" s="165">
        <v>0</v>
      </c>
      <c r="U159" s="176"/>
      <c r="V159" s="165">
        <v>0</v>
      </c>
      <c r="W159" s="271">
        <v>0</v>
      </c>
      <c r="X159" s="271">
        <v>0</v>
      </c>
      <c r="Y159" s="272"/>
      <c r="Z159" s="273"/>
    </row>
    <row r="160" spans="1:26">
      <c r="A160" s="182">
        <v>45150</v>
      </c>
      <c r="B160" s="165">
        <v>500</v>
      </c>
      <c r="C160" s="176"/>
      <c r="D160" s="270">
        <v>0</v>
      </c>
      <c r="E160" s="166">
        <v>0</v>
      </c>
      <c r="F160" s="167">
        <v>0</v>
      </c>
      <c r="G160" s="175"/>
      <c r="H160" s="165">
        <v>2000</v>
      </c>
      <c r="I160" s="176"/>
      <c r="J160" s="245">
        <v>0</v>
      </c>
      <c r="K160" s="171">
        <v>0</v>
      </c>
      <c r="L160" s="174">
        <v>0</v>
      </c>
      <c r="M160" s="175"/>
      <c r="N160" s="165">
        <v>2000</v>
      </c>
      <c r="O160" s="176"/>
      <c r="P160" s="165">
        <v>0</v>
      </c>
      <c r="Q160" s="171">
        <v>0</v>
      </c>
      <c r="R160" s="174">
        <v>0</v>
      </c>
      <c r="S160" s="175"/>
      <c r="T160" s="165">
        <v>0</v>
      </c>
      <c r="U160" s="176"/>
      <c r="V160" s="165">
        <v>0</v>
      </c>
      <c r="W160" s="271">
        <v>0</v>
      </c>
      <c r="X160" s="271">
        <v>0</v>
      </c>
      <c r="Y160" s="272"/>
      <c r="Z160" s="273"/>
    </row>
    <row r="161" ht="14.55" spans="1:33">
      <c r="A161" s="182">
        <v>45151</v>
      </c>
      <c r="B161" s="165">
        <v>500</v>
      </c>
      <c r="C161" s="176"/>
      <c r="D161" s="270">
        <v>0</v>
      </c>
      <c r="E161" s="166">
        <v>0</v>
      </c>
      <c r="F161" s="167">
        <v>0</v>
      </c>
      <c r="G161" s="175"/>
      <c r="H161" s="165">
        <v>2000</v>
      </c>
      <c r="I161" s="176"/>
      <c r="J161" s="245">
        <v>0</v>
      </c>
      <c r="K161" s="171">
        <v>0</v>
      </c>
      <c r="L161" s="174">
        <v>0</v>
      </c>
      <c r="M161" s="175"/>
      <c r="N161" s="165">
        <v>2000</v>
      </c>
      <c r="O161" s="176"/>
      <c r="P161" s="165">
        <v>0</v>
      </c>
      <c r="Q161" s="171">
        <v>0</v>
      </c>
      <c r="R161" s="174">
        <v>0</v>
      </c>
      <c r="S161" s="175"/>
      <c r="T161" s="165">
        <v>0</v>
      </c>
      <c r="U161" s="176"/>
      <c r="V161" s="165">
        <v>0</v>
      </c>
      <c r="W161" s="271">
        <v>0</v>
      </c>
      <c r="X161" s="271">
        <v>0</v>
      </c>
      <c r="Y161" s="272"/>
      <c r="Z161" s="273"/>
    </row>
    <row r="162" s="58" customFormat="1" spans="1:33">
      <c r="A162" s="274" t="s">
        <v>121</v>
      </c>
      <c r="B162" s="275">
        <f>SUM(B156:B161)</f>
        <v>3000</v>
      </c>
      <c r="C162" s="276"/>
      <c r="D162" s="275">
        <f>SUM(D156:D161)</f>
        <v>0</v>
      </c>
      <c r="E162" s="277">
        <f>SUM(E156:E161)</f>
        <v>0</v>
      </c>
      <c r="F162" s="277">
        <f>SUM(F156:F161)</f>
        <v>0</v>
      </c>
      <c r="G162" s="277"/>
      <c r="H162" s="275">
        <f>SUM(H156:H161)</f>
        <v>12000</v>
      </c>
      <c r="I162" s="276"/>
      <c r="J162" s="278">
        <f>SUM(J156:J161)</f>
        <v>0</v>
      </c>
      <c r="K162" s="275">
        <f>SUM(K156:K161)</f>
        <v>0</v>
      </c>
      <c r="L162" s="275">
        <f>SUM(L156:L161)</f>
        <v>0</v>
      </c>
      <c r="M162" s="277"/>
      <c r="N162" s="275">
        <f>SUM(N156:N161)</f>
        <v>12000</v>
      </c>
      <c r="O162" s="276"/>
      <c r="P162" s="275">
        <v>0</v>
      </c>
      <c r="Q162" s="275">
        <f>SUM(Q156:Q161)</f>
        <v>0</v>
      </c>
      <c r="R162" s="275">
        <f>SUM(R156:R161)</f>
        <v>0</v>
      </c>
      <c r="S162" s="277"/>
      <c r="T162" s="275">
        <f>SUM(T156:T161)</f>
        <v>0</v>
      </c>
      <c r="U162" s="276"/>
      <c r="V162" s="275">
        <f>SUM(V156:V161)</f>
        <v>0</v>
      </c>
      <c r="W162" s="279">
        <f>SUM(W156:W161)</f>
        <v>0</v>
      </c>
      <c r="X162" s="279">
        <f>SUM(X156:X161)</f>
        <v>0</v>
      </c>
      <c r="Y162" s="280"/>
      <c r="Z162" s="281"/>
      <c r="AA162" s="282"/>
      <c r="AB162" s="283"/>
      <c r="AG162" s="284"/>
    </row>
    <row r="163" spans="1:33">
      <c r="A163" s="182">
        <v>45152</v>
      </c>
      <c r="B163" s="165">
        <v>800</v>
      </c>
      <c r="C163" s="176"/>
      <c r="D163" s="165">
        <f t="shared" ref="D163:D172" si="0">SUM(D157:D162)</f>
        <v>0</v>
      </c>
      <c r="E163" s="166">
        <v>0</v>
      </c>
      <c r="F163" s="167">
        <v>0</v>
      </c>
      <c r="G163" s="175"/>
      <c r="H163" s="165">
        <v>3000</v>
      </c>
      <c r="I163" s="176"/>
      <c r="J163" s="245">
        <f t="shared" ref="J163:J172" si="1">SUM(J157:J162)</f>
        <v>0</v>
      </c>
      <c r="K163" s="171">
        <v>0</v>
      </c>
      <c r="L163" s="174">
        <v>0</v>
      </c>
      <c r="M163" s="175"/>
      <c r="N163" s="165">
        <v>2500</v>
      </c>
      <c r="O163" s="176"/>
      <c r="P163" s="165">
        <v>0</v>
      </c>
      <c r="Q163" s="171">
        <v>0</v>
      </c>
      <c r="R163" s="174">
        <v>0</v>
      </c>
      <c r="S163" s="175"/>
      <c r="T163" s="165">
        <v>0</v>
      </c>
      <c r="U163" s="176"/>
      <c r="V163" s="165">
        <v>0</v>
      </c>
      <c r="W163" s="271">
        <v>0</v>
      </c>
      <c r="X163" s="271">
        <v>0</v>
      </c>
      <c r="Y163" s="272"/>
      <c r="Z163" s="273"/>
    </row>
    <row r="164" spans="1:33">
      <c r="A164" s="182">
        <v>45153</v>
      </c>
      <c r="B164" s="165">
        <v>800</v>
      </c>
      <c r="C164" s="176"/>
      <c r="D164" s="165">
        <f t="shared" si="0"/>
        <v>0</v>
      </c>
      <c r="E164" s="166">
        <v>0</v>
      </c>
      <c r="F164" s="167">
        <v>0</v>
      </c>
      <c r="G164" s="175"/>
      <c r="H164" s="165">
        <v>3000</v>
      </c>
      <c r="I164" s="176"/>
      <c r="J164" s="245">
        <f t="shared" si="1"/>
        <v>0</v>
      </c>
      <c r="K164" s="171">
        <v>0</v>
      </c>
      <c r="L164" s="174">
        <v>0</v>
      </c>
      <c r="M164" s="175"/>
      <c r="N164" s="165">
        <v>2500</v>
      </c>
      <c r="O164" s="176"/>
      <c r="P164" s="165">
        <v>0</v>
      </c>
      <c r="Q164" s="171">
        <v>0</v>
      </c>
      <c r="R164" s="174">
        <v>0</v>
      </c>
      <c r="S164" s="175"/>
      <c r="T164" s="165">
        <v>0</v>
      </c>
      <c r="U164" s="176"/>
      <c r="V164" s="165">
        <v>0</v>
      </c>
      <c r="W164" s="271">
        <v>0</v>
      </c>
      <c r="X164" s="271">
        <v>0</v>
      </c>
      <c r="Y164" s="272"/>
      <c r="Z164" s="273"/>
    </row>
    <row r="165" spans="1:33">
      <c r="A165" s="182">
        <v>45154</v>
      </c>
      <c r="B165" s="165">
        <v>800</v>
      </c>
      <c r="C165" s="176"/>
      <c r="D165" s="165">
        <f t="shared" si="0"/>
        <v>0</v>
      </c>
      <c r="E165" s="166">
        <v>0</v>
      </c>
      <c r="F165" s="167">
        <v>0</v>
      </c>
      <c r="G165" s="175"/>
      <c r="H165" s="165">
        <v>3000</v>
      </c>
      <c r="I165" s="176"/>
      <c r="J165" s="245">
        <f t="shared" si="1"/>
        <v>0</v>
      </c>
      <c r="K165" s="171">
        <v>0</v>
      </c>
      <c r="L165" s="174">
        <v>0</v>
      </c>
      <c r="M165" s="175"/>
      <c r="N165" s="165">
        <v>2500</v>
      </c>
      <c r="O165" s="251"/>
      <c r="P165" s="213">
        <v>0</v>
      </c>
      <c r="Q165" s="171">
        <v>0</v>
      </c>
      <c r="R165" s="174">
        <v>0</v>
      </c>
      <c r="S165" s="202"/>
      <c r="T165" s="213">
        <v>0</v>
      </c>
      <c r="U165" s="251"/>
      <c r="V165" s="165">
        <v>0</v>
      </c>
      <c r="W165" s="271">
        <v>0</v>
      </c>
      <c r="X165" s="271">
        <v>0</v>
      </c>
      <c r="Y165" s="272"/>
      <c r="Z165" s="273"/>
    </row>
    <row r="166" spans="1:33">
      <c r="A166" s="182">
        <v>45155</v>
      </c>
      <c r="B166" s="165">
        <v>800</v>
      </c>
      <c r="C166" s="176"/>
      <c r="D166" s="165">
        <f t="shared" si="0"/>
        <v>0</v>
      </c>
      <c r="E166" s="166">
        <v>0</v>
      </c>
      <c r="F166" s="167">
        <v>0</v>
      </c>
      <c r="G166" s="175"/>
      <c r="H166" s="165">
        <v>3000</v>
      </c>
      <c r="I166" s="176"/>
      <c r="J166" s="245">
        <f t="shared" si="1"/>
        <v>0</v>
      </c>
      <c r="K166" s="171">
        <v>0</v>
      </c>
      <c r="L166" s="174">
        <v>0</v>
      </c>
      <c r="M166" s="175"/>
      <c r="N166" s="165">
        <v>2500</v>
      </c>
      <c r="O166" s="176"/>
      <c r="P166" s="165">
        <v>0</v>
      </c>
      <c r="Q166" s="171">
        <v>0</v>
      </c>
      <c r="R166" s="174">
        <v>0</v>
      </c>
      <c r="S166" s="175"/>
      <c r="T166" s="165">
        <f>SUM(T160:T165)</f>
        <v>0</v>
      </c>
      <c r="U166" s="176"/>
      <c r="V166" s="165">
        <f>SUM(V160:V165)</f>
        <v>0</v>
      </c>
      <c r="W166" s="271">
        <f>SUM(W160:W165)</f>
        <v>0</v>
      </c>
      <c r="X166" s="271">
        <f>SUM(X160:X165)</f>
        <v>0</v>
      </c>
      <c r="Y166" s="272"/>
      <c r="Z166" s="273"/>
    </row>
    <row r="167" spans="1:33">
      <c r="A167" s="182">
        <v>45156</v>
      </c>
      <c r="B167" s="165">
        <v>800</v>
      </c>
      <c r="C167" s="176"/>
      <c r="D167" s="165">
        <f t="shared" si="0"/>
        <v>0</v>
      </c>
      <c r="E167" s="166">
        <v>0</v>
      </c>
      <c r="F167" s="167">
        <v>0</v>
      </c>
      <c r="G167" s="175"/>
      <c r="H167" s="165">
        <v>3000</v>
      </c>
      <c r="I167" s="176"/>
      <c r="J167" s="245">
        <f t="shared" si="1"/>
        <v>0</v>
      </c>
      <c r="K167" s="171">
        <v>0</v>
      </c>
      <c r="L167" s="174">
        <v>0</v>
      </c>
      <c r="M167" s="175"/>
      <c r="N167" s="165">
        <v>2500</v>
      </c>
      <c r="O167" s="176"/>
      <c r="P167" s="165">
        <v>0</v>
      </c>
      <c r="Q167" s="171">
        <v>0</v>
      </c>
      <c r="R167" s="174">
        <v>0</v>
      </c>
      <c r="S167" s="175"/>
      <c r="T167" s="165">
        <v>0</v>
      </c>
      <c r="U167" s="176"/>
      <c r="V167" s="165">
        <v>0</v>
      </c>
      <c r="W167" s="271">
        <v>0</v>
      </c>
      <c r="X167" s="271">
        <v>0</v>
      </c>
      <c r="Y167" s="272"/>
      <c r="Z167" s="273"/>
    </row>
    <row r="168" spans="1:33">
      <c r="A168" s="182">
        <v>45157</v>
      </c>
      <c r="B168" s="165">
        <v>800</v>
      </c>
      <c r="C168" s="176"/>
      <c r="D168" s="165">
        <f t="shared" si="0"/>
        <v>0</v>
      </c>
      <c r="E168" s="166">
        <v>0</v>
      </c>
      <c r="F168" s="167">
        <v>0</v>
      </c>
      <c r="G168" s="175"/>
      <c r="H168" s="165">
        <v>3000</v>
      </c>
      <c r="I168" s="176"/>
      <c r="J168" s="245">
        <f t="shared" si="1"/>
        <v>0</v>
      </c>
      <c r="K168" s="171">
        <v>0</v>
      </c>
      <c r="L168" s="174">
        <v>0</v>
      </c>
      <c r="M168" s="175"/>
      <c r="N168" s="165">
        <v>2500</v>
      </c>
      <c r="O168" s="176"/>
      <c r="P168" s="165">
        <v>0</v>
      </c>
      <c r="Q168" s="171">
        <v>0</v>
      </c>
      <c r="R168" s="174">
        <v>0</v>
      </c>
      <c r="S168" s="175"/>
      <c r="T168" s="165">
        <v>0</v>
      </c>
      <c r="U168" s="176"/>
      <c r="V168" s="165">
        <v>0</v>
      </c>
      <c r="W168" s="271">
        <v>0</v>
      </c>
      <c r="X168" s="271">
        <v>0</v>
      </c>
      <c r="Y168" s="272"/>
      <c r="Z168" s="273"/>
    </row>
    <row r="169" ht="14.55" spans="1:33">
      <c r="A169" s="246">
        <v>45158</v>
      </c>
      <c r="B169" s="213">
        <v>800</v>
      </c>
      <c r="C169" s="251"/>
      <c r="D169" s="213">
        <f t="shared" si="0"/>
        <v>0</v>
      </c>
      <c r="E169" s="166">
        <v>0</v>
      </c>
      <c r="F169" s="167">
        <v>0</v>
      </c>
      <c r="G169" s="202"/>
      <c r="H169" s="213">
        <v>3000</v>
      </c>
      <c r="I169" s="251"/>
      <c r="J169" s="250">
        <f t="shared" si="1"/>
        <v>0</v>
      </c>
      <c r="K169" s="171">
        <v>0</v>
      </c>
      <c r="L169" s="174">
        <v>0</v>
      </c>
      <c r="M169" s="202"/>
      <c r="N169" s="213">
        <v>2500</v>
      </c>
      <c r="O169" s="251"/>
      <c r="P169" s="213">
        <v>0</v>
      </c>
      <c r="Q169" s="171">
        <v>0</v>
      </c>
      <c r="R169" s="174">
        <v>0</v>
      </c>
      <c r="S169" s="202"/>
      <c r="T169" s="213">
        <v>0</v>
      </c>
      <c r="U169" s="251"/>
      <c r="V169" s="213">
        <v>0</v>
      </c>
      <c r="W169" s="285">
        <v>0</v>
      </c>
      <c r="X169" s="285">
        <v>0</v>
      </c>
      <c r="Y169" s="286"/>
      <c r="Z169" s="287"/>
    </row>
    <row r="170" s="58" customFormat="1" ht="14.55" spans="1:33">
      <c r="A170" s="288" t="s">
        <v>121</v>
      </c>
      <c r="B170" s="289">
        <f>SUM(B163:B169)</f>
        <v>5600</v>
      </c>
      <c r="C170" s="290"/>
      <c r="D170" s="289">
        <f t="shared" si="0"/>
        <v>0</v>
      </c>
      <c r="E170" s="291">
        <f>SUM(E164:E169)</f>
        <v>0</v>
      </c>
      <c r="F170" s="291">
        <f>SUM(F164:F169)</f>
        <v>0</v>
      </c>
      <c r="G170" s="291"/>
      <c r="H170" s="289">
        <f>SUM(H163:H169)</f>
        <v>21000</v>
      </c>
      <c r="I170" s="290"/>
      <c r="J170" s="292">
        <f t="shared" si="1"/>
        <v>0</v>
      </c>
      <c r="K170" s="289">
        <f>SUM(K164:K169)</f>
        <v>0</v>
      </c>
      <c r="L170" s="289">
        <v>0</v>
      </c>
      <c r="M170" s="291"/>
      <c r="N170" s="289">
        <f>SUM(N163:N169)</f>
        <v>17500</v>
      </c>
      <c r="O170" s="290"/>
      <c r="P170" s="289">
        <v>0</v>
      </c>
      <c r="Q170" s="289">
        <v>0</v>
      </c>
      <c r="R170" s="289">
        <v>0</v>
      </c>
      <c r="S170" s="291"/>
      <c r="T170" s="293">
        <v>0</v>
      </c>
      <c r="U170" s="290"/>
      <c r="V170" s="293">
        <v>0</v>
      </c>
      <c r="W170" s="294">
        <v>0</v>
      </c>
      <c r="X170" s="294">
        <v>0</v>
      </c>
      <c r="Y170" s="295"/>
      <c r="Z170" s="296"/>
      <c r="AA170" s="282"/>
      <c r="AB170" s="283"/>
      <c r="AG170" s="284"/>
    </row>
    <row r="171" ht="14.55" spans="1:33">
      <c r="A171" s="297">
        <v>45159</v>
      </c>
      <c r="B171" s="165">
        <v>800</v>
      </c>
      <c r="C171" s="176"/>
      <c r="D171" s="245">
        <f t="shared" si="0"/>
        <v>0</v>
      </c>
      <c r="E171" s="166">
        <v>0</v>
      </c>
      <c r="F171" s="167">
        <v>0</v>
      </c>
      <c r="G171" s="202"/>
      <c r="H171" s="213">
        <v>3000</v>
      </c>
      <c r="I171" s="251"/>
      <c r="J171" s="245">
        <f t="shared" si="1"/>
        <v>0</v>
      </c>
      <c r="K171" s="171">
        <v>0</v>
      </c>
      <c r="L171" s="174">
        <v>0</v>
      </c>
      <c r="M171" s="175"/>
      <c r="N171" s="165">
        <v>2500</v>
      </c>
      <c r="O171" s="176"/>
      <c r="P171" s="165">
        <f>SUM(P165:P170)</f>
        <v>0</v>
      </c>
      <c r="Q171" s="171">
        <v>0</v>
      </c>
      <c r="R171" s="174">
        <v>0</v>
      </c>
      <c r="S171" s="175"/>
      <c r="T171" s="298">
        <v>0</v>
      </c>
      <c r="U171" s="176"/>
      <c r="V171" s="298">
        <f t="shared" ref="V171:X172" si="2">SUM(V165:V170)</f>
        <v>0</v>
      </c>
      <c r="W171" s="271">
        <f t="shared" si="2"/>
        <v>0</v>
      </c>
      <c r="X171" s="271">
        <f t="shared" si="2"/>
        <v>0</v>
      </c>
      <c r="Y171" s="272"/>
      <c r="Z171" s="299"/>
    </row>
    <row r="172" ht="14.55" spans="1:33">
      <c r="A172" s="297">
        <v>45160</v>
      </c>
      <c r="B172" s="165">
        <v>800</v>
      </c>
      <c r="C172" s="176"/>
      <c r="D172" s="245">
        <f t="shared" si="0"/>
        <v>0</v>
      </c>
      <c r="E172" s="166">
        <v>0</v>
      </c>
      <c r="F172" s="167">
        <v>0</v>
      </c>
      <c r="G172" s="202"/>
      <c r="H172" s="213">
        <v>3000</v>
      </c>
      <c r="I172" s="251"/>
      <c r="J172" s="245">
        <f t="shared" si="1"/>
        <v>0</v>
      </c>
      <c r="K172" s="171">
        <v>0</v>
      </c>
      <c r="L172" s="174">
        <v>0</v>
      </c>
      <c r="M172" s="175"/>
      <c r="N172" s="165">
        <v>2500</v>
      </c>
      <c r="O172" s="176"/>
      <c r="P172" s="165">
        <f>SUM(P166:P171)</f>
        <v>0</v>
      </c>
      <c r="Q172" s="171">
        <v>0</v>
      </c>
      <c r="R172" s="174">
        <v>0</v>
      </c>
      <c r="S172" s="175"/>
      <c r="T172" s="298">
        <v>0</v>
      </c>
      <c r="U172" s="176"/>
      <c r="V172" s="298">
        <f t="shared" si="2"/>
        <v>0</v>
      </c>
      <c r="W172" s="271">
        <f t="shared" si="2"/>
        <v>0</v>
      </c>
      <c r="X172" s="271">
        <f t="shared" si="2"/>
        <v>0</v>
      </c>
      <c r="Y172" s="272"/>
      <c r="Z172" s="299"/>
    </row>
    <row r="173" ht="14.55" spans="1:33">
      <c r="A173" s="297">
        <v>45161</v>
      </c>
      <c r="B173" s="165">
        <v>800</v>
      </c>
      <c r="C173" s="176"/>
      <c r="D173" s="245">
        <v>41.51</v>
      </c>
      <c r="E173" s="166">
        <v>55</v>
      </c>
      <c r="F173" s="167">
        <v>11</v>
      </c>
      <c r="G173" s="202"/>
      <c r="H173" s="213">
        <v>3000</v>
      </c>
      <c r="I173" s="251"/>
      <c r="J173" s="245">
        <v>288.65</v>
      </c>
      <c r="K173" s="171">
        <v>1606</v>
      </c>
      <c r="L173" s="174">
        <v>167</v>
      </c>
      <c r="M173" s="175"/>
      <c r="N173" s="165">
        <v>2500</v>
      </c>
      <c r="O173" s="176"/>
      <c r="P173" s="245">
        <v>184.75</v>
      </c>
      <c r="Q173" s="171">
        <v>5119</v>
      </c>
      <c r="R173" s="174">
        <v>61</v>
      </c>
      <c r="S173" s="175"/>
      <c r="T173" s="298">
        <v>300</v>
      </c>
      <c r="U173" s="176"/>
      <c r="V173" s="298">
        <v>100</v>
      </c>
      <c r="W173" s="271">
        <v>3753</v>
      </c>
      <c r="X173" s="271">
        <v>62</v>
      </c>
      <c r="Y173" s="272"/>
      <c r="Z173" s="299"/>
    </row>
    <row r="174" ht="14.55" spans="1:33">
      <c r="A174" s="297">
        <v>45162</v>
      </c>
      <c r="B174" s="165">
        <v>800</v>
      </c>
      <c r="C174" s="176"/>
      <c r="D174" s="245">
        <v>88.95</v>
      </c>
      <c r="E174" s="166">
        <v>121</v>
      </c>
      <c r="F174" s="167">
        <v>23</v>
      </c>
      <c r="G174" s="202"/>
      <c r="H174" s="213">
        <v>3000</v>
      </c>
      <c r="I174" s="251"/>
      <c r="J174" s="245">
        <v>895.63</v>
      </c>
      <c r="K174" s="171">
        <v>3159</v>
      </c>
      <c r="L174" s="174">
        <v>238</v>
      </c>
      <c r="M174" s="175"/>
      <c r="N174" s="165">
        <v>2500</v>
      </c>
      <c r="O174" s="176"/>
      <c r="P174" s="245">
        <v>599.69</v>
      </c>
      <c r="Q174" s="171">
        <v>81627</v>
      </c>
      <c r="R174" s="174">
        <v>528</v>
      </c>
      <c r="S174" s="175"/>
      <c r="T174" s="298">
        <v>300</v>
      </c>
      <c r="U174" s="176"/>
      <c r="V174" s="298">
        <v>100</v>
      </c>
      <c r="W174" s="271">
        <v>427</v>
      </c>
      <c r="X174" s="271">
        <v>57</v>
      </c>
      <c r="Y174" s="272"/>
      <c r="Z174" s="299"/>
    </row>
    <row r="175" ht="14.55" spans="1:33">
      <c r="A175" s="297">
        <v>45163</v>
      </c>
      <c r="B175" s="165">
        <v>800</v>
      </c>
      <c r="C175" s="176"/>
      <c r="D175" s="245">
        <v>57.71</v>
      </c>
      <c r="E175" s="300">
        <v>71</v>
      </c>
      <c r="F175" s="166">
        <v>20</v>
      </c>
      <c r="G175" s="209"/>
      <c r="H175" s="213">
        <v>3000</v>
      </c>
      <c r="I175" s="251"/>
      <c r="J175" s="245">
        <v>1291.54</v>
      </c>
      <c r="K175" s="171">
        <v>4344</v>
      </c>
      <c r="L175" s="174">
        <v>308</v>
      </c>
      <c r="M175" s="175"/>
      <c r="N175" s="165">
        <v>2500</v>
      </c>
      <c r="O175" s="176"/>
      <c r="P175" s="245">
        <v>800</v>
      </c>
      <c r="Q175" s="171">
        <v>97621</v>
      </c>
      <c r="R175" s="174">
        <v>529</v>
      </c>
      <c r="S175" s="175"/>
      <c r="T175" s="298">
        <v>300</v>
      </c>
      <c r="U175" s="176"/>
      <c r="V175" s="298">
        <v>100</v>
      </c>
      <c r="W175" s="271">
        <v>369</v>
      </c>
      <c r="X175" s="271">
        <v>83</v>
      </c>
      <c r="Y175" s="272"/>
      <c r="Z175" s="299"/>
    </row>
    <row r="176" ht="14.55" spans="1:33">
      <c r="A176" s="297">
        <v>45164</v>
      </c>
      <c r="B176" s="165">
        <v>400</v>
      </c>
      <c r="C176" s="176"/>
      <c r="D176" s="245">
        <v>52.67</v>
      </c>
      <c r="E176" s="166">
        <v>66</v>
      </c>
      <c r="F176" s="167">
        <v>25</v>
      </c>
      <c r="G176" s="202"/>
      <c r="H176" s="213">
        <v>1500</v>
      </c>
      <c r="I176" s="251"/>
      <c r="J176" s="245">
        <v>813.1</v>
      </c>
      <c r="K176" s="171">
        <v>3110</v>
      </c>
      <c r="L176" s="174">
        <v>287</v>
      </c>
      <c r="M176" s="175"/>
      <c r="N176" s="165">
        <v>1250</v>
      </c>
      <c r="O176" s="176"/>
      <c r="P176" s="245">
        <v>397.93</v>
      </c>
      <c r="Q176" s="171">
        <v>47392</v>
      </c>
      <c r="R176" s="174">
        <v>274</v>
      </c>
      <c r="S176" s="175"/>
      <c r="T176" s="298">
        <v>150</v>
      </c>
      <c r="U176" s="176"/>
      <c r="V176" s="298">
        <v>100</v>
      </c>
      <c r="W176" s="271">
        <v>1022</v>
      </c>
      <c r="X176" s="271">
        <v>57</v>
      </c>
      <c r="Y176" s="272"/>
      <c r="Z176" s="299"/>
    </row>
    <row r="177" spans="1:33">
      <c r="A177" s="301">
        <v>45165</v>
      </c>
      <c r="B177" s="213">
        <v>400</v>
      </c>
      <c r="C177" s="251"/>
      <c r="D177" s="250">
        <v>60.94</v>
      </c>
      <c r="E177" s="209">
        <v>74</v>
      </c>
      <c r="F177" s="210">
        <v>33</v>
      </c>
      <c r="G177" s="202"/>
      <c r="H177" s="213">
        <v>1500</v>
      </c>
      <c r="I177" s="251"/>
      <c r="J177" s="250">
        <v>834.92</v>
      </c>
      <c r="K177" s="183">
        <v>4137</v>
      </c>
      <c r="L177" s="211">
        <v>334</v>
      </c>
      <c r="M177" s="202"/>
      <c r="N177" s="165">
        <v>1250</v>
      </c>
      <c r="O177" s="251"/>
      <c r="P177" s="250">
        <v>400</v>
      </c>
      <c r="Q177" s="183">
        <v>36959</v>
      </c>
      <c r="R177" s="211">
        <v>242</v>
      </c>
      <c r="S177" s="202"/>
      <c r="T177" s="298">
        <v>150</v>
      </c>
      <c r="U177" s="251"/>
      <c r="V177" s="302">
        <v>100</v>
      </c>
      <c r="W177" s="285">
        <v>1470</v>
      </c>
      <c r="X177" s="285">
        <v>113</v>
      </c>
      <c r="Y177" s="286"/>
      <c r="Z177" s="303"/>
    </row>
    <row r="178" spans="1:33">
      <c r="A178" s="304">
        <v>45166</v>
      </c>
      <c r="B178" s="165">
        <v>400</v>
      </c>
      <c r="C178" s="176"/>
      <c r="D178" s="245">
        <v>46.2</v>
      </c>
      <c r="E178" s="166">
        <v>63</v>
      </c>
      <c r="F178" s="166">
        <v>14</v>
      </c>
      <c r="G178" s="209"/>
      <c r="H178" s="213">
        <v>1500</v>
      </c>
      <c r="I178" s="251"/>
      <c r="J178" s="245">
        <v>857.92</v>
      </c>
      <c r="K178" s="171">
        <v>3601</v>
      </c>
      <c r="L178" s="171">
        <v>306</v>
      </c>
      <c r="M178" s="166"/>
      <c r="N178" s="165">
        <v>1250</v>
      </c>
      <c r="O178" s="176"/>
      <c r="P178" s="245">
        <v>400</v>
      </c>
      <c r="Q178" s="305">
        <v>48084</v>
      </c>
      <c r="R178" s="171">
        <v>288</v>
      </c>
      <c r="S178" s="166"/>
      <c r="T178" s="298">
        <v>150</v>
      </c>
      <c r="U178" s="176"/>
      <c r="V178" s="298">
        <v>99.85</v>
      </c>
      <c r="W178" s="305">
        <v>836</v>
      </c>
      <c r="X178" s="271">
        <v>70</v>
      </c>
      <c r="Y178" s="306"/>
      <c r="Z178" s="307"/>
    </row>
    <row r="179" spans="1:33">
      <c r="A179" s="304">
        <v>45167</v>
      </c>
      <c r="B179" s="165">
        <v>400</v>
      </c>
      <c r="C179" s="176"/>
      <c r="D179" s="245">
        <v>39.78</v>
      </c>
      <c r="E179" s="166">
        <v>66</v>
      </c>
      <c r="F179" s="166">
        <v>19</v>
      </c>
      <c r="G179" s="209"/>
      <c r="H179" s="213">
        <v>1500</v>
      </c>
      <c r="I179" s="251"/>
      <c r="J179" s="245">
        <v>1022.76</v>
      </c>
      <c r="K179" s="171">
        <v>3926</v>
      </c>
      <c r="L179" s="171">
        <v>312</v>
      </c>
      <c r="M179" s="166"/>
      <c r="N179" s="165">
        <v>1250</v>
      </c>
      <c r="O179" s="176"/>
      <c r="P179" s="245">
        <v>399.82</v>
      </c>
      <c r="Q179" s="305">
        <v>48128</v>
      </c>
      <c r="R179" s="171">
        <v>271</v>
      </c>
      <c r="S179" s="166"/>
      <c r="T179" s="298">
        <v>150</v>
      </c>
      <c r="U179" s="176"/>
      <c r="V179" s="245">
        <f>99.55+16.56</f>
        <v>116.11</v>
      </c>
      <c r="W179" s="305">
        <f>1117+564</f>
        <v>1681</v>
      </c>
      <c r="X179" s="305">
        <f>89+6</f>
        <v>95</v>
      </c>
      <c r="Y179" s="306"/>
      <c r="Z179" s="308"/>
    </row>
    <row r="180" spans="1:33">
      <c r="A180" s="304">
        <v>45168</v>
      </c>
      <c r="B180" s="165">
        <v>400</v>
      </c>
      <c r="C180" s="176"/>
      <c r="D180" s="245">
        <v>59.82</v>
      </c>
      <c r="E180" s="166">
        <v>79</v>
      </c>
      <c r="F180" s="166">
        <v>19</v>
      </c>
      <c r="G180" s="209"/>
      <c r="H180" s="213">
        <v>1500</v>
      </c>
      <c r="I180" s="251"/>
      <c r="J180" s="245">
        <v>1159.2</v>
      </c>
      <c r="K180" s="171">
        <v>3950</v>
      </c>
      <c r="L180" s="171">
        <v>293</v>
      </c>
      <c r="M180" s="166"/>
      <c r="N180" s="165">
        <v>1250</v>
      </c>
      <c r="O180" s="176"/>
      <c r="P180" s="245">
        <v>399.6</v>
      </c>
      <c r="Q180" s="305">
        <v>34171</v>
      </c>
      <c r="R180" s="171">
        <v>239</v>
      </c>
      <c r="S180" s="166"/>
      <c r="T180" s="298">
        <v>150</v>
      </c>
      <c r="U180" s="176"/>
      <c r="V180" s="245">
        <f>100+49.9</f>
        <v>149.9</v>
      </c>
      <c r="W180" s="305">
        <f>1513+20522</f>
        <v>22035</v>
      </c>
      <c r="X180" s="305">
        <f>89+128</f>
        <v>217</v>
      </c>
      <c r="Y180" s="306"/>
      <c r="Z180" s="308"/>
    </row>
    <row r="181" spans="1:33">
      <c r="A181" s="304">
        <v>45169</v>
      </c>
      <c r="B181" s="165">
        <v>400</v>
      </c>
      <c r="C181" s="176"/>
      <c r="D181" s="245">
        <v>54.85</v>
      </c>
      <c r="E181" s="166">
        <v>75</v>
      </c>
      <c r="F181" s="166">
        <v>16</v>
      </c>
      <c r="G181" s="209"/>
      <c r="H181" s="213">
        <v>1500</v>
      </c>
      <c r="I181" s="251"/>
      <c r="J181" s="245">
        <v>1483.07</v>
      </c>
      <c r="K181" s="171">
        <v>5110</v>
      </c>
      <c r="L181" s="171">
        <v>278</v>
      </c>
      <c r="M181" s="166"/>
      <c r="N181" s="165">
        <v>1250</v>
      </c>
      <c r="O181" s="176"/>
      <c r="P181" s="245">
        <v>595.11</v>
      </c>
      <c r="Q181" s="305">
        <v>44376</v>
      </c>
      <c r="R181" s="171">
        <v>300</v>
      </c>
      <c r="S181" s="166"/>
      <c r="T181" s="298">
        <v>150</v>
      </c>
      <c r="U181" s="176"/>
      <c r="V181" s="245">
        <f>100+49.73</f>
        <v>149.73</v>
      </c>
      <c r="W181" s="305">
        <f>1449+63352</f>
        <v>64801</v>
      </c>
      <c r="X181" s="305">
        <f>86+286</f>
        <v>372</v>
      </c>
      <c r="Y181" s="306"/>
      <c r="Z181" s="308"/>
    </row>
    <row r="182" s="59" customFormat="1" spans="1:33">
      <c r="A182" s="304">
        <v>45170</v>
      </c>
      <c r="B182" s="165">
        <v>400</v>
      </c>
      <c r="C182" s="176"/>
      <c r="D182" s="309">
        <v>43.29</v>
      </c>
      <c r="E182" s="310">
        <v>57</v>
      </c>
      <c r="F182" s="310">
        <v>14</v>
      </c>
      <c r="G182" s="166"/>
      <c r="H182" s="165">
        <v>1500</v>
      </c>
      <c r="I182" s="176"/>
      <c r="J182" s="245">
        <v>1369.86</v>
      </c>
      <c r="K182" s="171">
        <v>4965</v>
      </c>
      <c r="L182" s="171">
        <v>317</v>
      </c>
      <c r="M182" s="166"/>
      <c r="N182" s="165">
        <v>1250</v>
      </c>
      <c r="O182" s="176"/>
      <c r="P182" s="245">
        <v>786.95</v>
      </c>
      <c r="Q182" s="305">
        <v>49923</v>
      </c>
      <c r="R182" s="171">
        <v>400</v>
      </c>
      <c r="S182" s="166"/>
      <c r="T182" s="298">
        <v>150</v>
      </c>
      <c r="U182" s="176"/>
      <c r="V182" s="311">
        <f>100+48.46</f>
        <v>148.46</v>
      </c>
      <c r="W182" s="312">
        <f>1505+88321</f>
        <v>89826</v>
      </c>
      <c r="X182" s="312">
        <f>87+289</f>
        <v>376</v>
      </c>
      <c r="Y182" s="306"/>
      <c r="Z182" s="308"/>
      <c r="AA182" s="313"/>
      <c r="AB182" s="314"/>
      <c r="AG182" s="315"/>
    </row>
    <row r="183" s="59" customFormat="1" spans="1:33">
      <c r="A183" s="304">
        <v>45171</v>
      </c>
      <c r="B183" s="165">
        <v>400</v>
      </c>
      <c r="C183" s="176"/>
      <c r="D183" s="309">
        <v>35.08</v>
      </c>
      <c r="E183" s="310">
        <v>47</v>
      </c>
      <c r="F183" s="310">
        <v>10</v>
      </c>
      <c r="G183" s="166"/>
      <c r="H183" s="165">
        <v>1500</v>
      </c>
      <c r="I183" s="176"/>
      <c r="J183" s="245">
        <v>1599.95</v>
      </c>
      <c r="K183" s="171">
        <v>4791</v>
      </c>
      <c r="L183" s="171">
        <v>304</v>
      </c>
      <c r="M183" s="166"/>
      <c r="N183" s="165">
        <v>1250</v>
      </c>
      <c r="O183" s="176"/>
      <c r="P183" s="245">
        <v>797.06</v>
      </c>
      <c r="Q183" s="305">
        <v>45865</v>
      </c>
      <c r="R183" s="171">
        <v>431</v>
      </c>
      <c r="S183" s="166"/>
      <c r="T183" s="298">
        <v>150</v>
      </c>
      <c r="U183" s="176"/>
      <c r="V183" s="311">
        <f>98.92+48.89</f>
        <v>147.81</v>
      </c>
      <c r="W183" s="312">
        <f>2061+80573</f>
        <v>82634</v>
      </c>
      <c r="X183" s="312">
        <f>115+446</f>
        <v>561</v>
      </c>
      <c r="Y183" s="306"/>
      <c r="Z183" s="308"/>
      <c r="AA183" s="313"/>
      <c r="AB183" s="314"/>
      <c r="AG183" s="315"/>
    </row>
    <row r="184" s="59" customFormat="1" spans="1:33">
      <c r="A184" s="304">
        <v>45172</v>
      </c>
      <c r="B184" s="213">
        <v>400</v>
      </c>
      <c r="C184" s="251"/>
      <c r="D184" s="316">
        <v>32.48</v>
      </c>
      <c r="E184" s="317">
        <v>46</v>
      </c>
      <c r="F184" s="317">
        <v>13</v>
      </c>
      <c r="G184" s="209"/>
      <c r="H184" s="213">
        <v>1500</v>
      </c>
      <c r="I184" s="251"/>
      <c r="J184" s="250">
        <v>1724.22</v>
      </c>
      <c r="K184" s="183">
        <v>5044</v>
      </c>
      <c r="L184" s="183">
        <v>328</v>
      </c>
      <c r="M184" s="209"/>
      <c r="N184" s="213">
        <v>1250</v>
      </c>
      <c r="O184" s="251"/>
      <c r="P184" s="245">
        <v>998.79</v>
      </c>
      <c r="Q184" s="305">
        <v>77473</v>
      </c>
      <c r="R184" s="171">
        <v>697</v>
      </c>
      <c r="S184" s="209"/>
      <c r="T184" s="302">
        <v>150</v>
      </c>
      <c r="U184" s="251"/>
      <c r="V184" s="318">
        <f>99.58+49.56</f>
        <v>149.14</v>
      </c>
      <c r="W184" s="319">
        <f>1772+75598</f>
        <v>77370</v>
      </c>
      <c r="X184" s="319">
        <f>109+485</f>
        <v>594</v>
      </c>
      <c r="Y184" s="320"/>
      <c r="Z184" s="321"/>
      <c r="AA184" s="313"/>
      <c r="AB184" s="314"/>
      <c r="AG184" s="315"/>
    </row>
    <row r="185" spans="1:33">
      <c r="A185" s="304">
        <v>45173</v>
      </c>
      <c r="B185" s="165">
        <v>400</v>
      </c>
      <c r="C185" s="176"/>
      <c r="D185" s="309">
        <v>59.41</v>
      </c>
      <c r="E185" s="310">
        <v>14</v>
      </c>
      <c r="F185" s="310">
        <v>14</v>
      </c>
      <c r="G185" s="166"/>
      <c r="H185" s="165">
        <v>1500</v>
      </c>
      <c r="I185" s="176"/>
      <c r="J185" s="322">
        <v>1837.5</v>
      </c>
      <c r="K185" s="323">
        <v>5638</v>
      </c>
      <c r="L185" s="323">
        <v>339</v>
      </c>
      <c r="M185" s="166"/>
      <c r="N185" s="165">
        <v>1250</v>
      </c>
      <c r="O185" s="176"/>
      <c r="P185" s="309">
        <v>990.33</v>
      </c>
      <c r="Q185" s="324">
        <v>76448</v>
      </c>
      <c r="R185" s="324">
        <v>664</v>
      </c>
      <c r="S185" s="325"/>
      <c r="T185" s="326">
        <v>150</v>
      </c>
      <c r="U185" s="176"/>
      <c r="V185" s="245">
        <v>150</v>
      </c>
      <c r="W185" s="323">
        <f>1643+38704</f>
        <v>40347</v>
      </c>
      <c r="X185" s="323">
        <f>95+278</f>
        <v>373</v>
      </c>
      <c r="Y185" s="306"/>
      <c r="Z185" s="308"/>
    </row>
    <row r="186" spans="1:33">
      <c r="A186" s="304">
        <v>45174</v>
      </c>
      <c r="B186" s="165">
        <v>400</v>
      </c>
      <c r="C186" s="176"/>
      <c r="D186" s="322">
        <v>53.84</v>
      </c>
      <c r="E186" s="327">
        <v>80</v>
      </c>
      <c r="F186" s="166">
        <v>24</v>
      </c>
      <c r="G186" s="166"/>
      <c r="H186" s="165">
        <v>1500</v>
      </c>
      <c r="I186" s="251"/>
      <c r="J186" s="328">
        <v>1749.89</v>
      </c>
      <c r="K186" s="329">
        <v>5758</v>
      </c>
      <c r="L186" s="329">
        <v>338</v>
      </c>
      <c r="M186" s="209"/>
      <c r="N186" s="165">
        <v>1250</v>
      </c>
      <c r="O186" s="176"/>
      <c r="P186" s="245">
        <v>996</v>
      </c>
      <c r="Q186" s="324">
        <v>93419</v>
      </c>
      <c r="R186" s="324">
        <v>661</v>
      </c>
      <c r="S186" s="166"/>
      <c r="T186" s="298">
        <v>150</v>
      </c>
      <c r="U186" s="176"/>
      <c r="V186" s="245">
        <v>149</v>
      </c>
      <c r="W186" s="323">
        <f>1870+26465</f>
        <v>28335</v>
      </c>
      <c r="X186" s="323">
        <f>104+190</f>
        <v>294</v>
      </c>
      <c r="Y186" s="306"/>
      <c r="Z186" s="308"/>
    </row>
    <row r="187" spans="1:33">
      <c r="A187" s="304">
        <v>45175</v>
      </c>
      <c r="B187" s="165">
        <v>300</v>
      </c>
      <c r="C187" s="330"/>
      <c r="D187" s="331">
        <v>42.45</v>
      </c>
      <c r="E187" s="332">
        <v>56</v>
      </c>
      <c r="F187" s="166">
        <v>18</v>
      </c>
      <c r="G187" s="166"/>
      <c r="H187" s="165">
        <v>1200</v>
      </c>
      <c r="I187" s="251"/>
      <c r="J187" s="250">
        <v>598</v>
      </c>
      <c r="K187" s="333">
        <v>52996</v>
      </c>
      <c r="L187" s="334">
        <v>349</v>
      </c>
      <c r="M187" s="202"/>
      <c r="N187" s="165">
        <v>1000</v>
      </c>
      <c r="O187" s="176"/>
      <c r="P187" s="335">
        <v>598.37</v>
      </c>
      <c r="Q187" s="324">
        <v>52996</v>
      </c>
      <c r="R187" s="171">
        <v>349</v>
      </c>
      <c r="S187" s="166"/>
      <c r="T187" s="298">
        <v>200</v>
      </c>
      <c r="U187" s="336"/>
      <c r="V187" s="337">
        <f>98.92+48.82</f>
        <v>147.74</v>
      </c>
      <c r="W187" s="338">
        <f>1920+10265</f>
        <v>12185</v>
      </c>
      <c r="X187" s="338">
        <f>85+98</f>
        <v>183</v>
      </c>
      <c r="Y187" s="339"/>
      <c r="Z187" s="308"/>
    </row>
    <row r="188" spans="1:33">
      <c r="A188" s="304">
        <v>45176</v>
      </c>
      <c r="B188" s="165">
        <v>300</v>
      </c>
      <c r="C188" s="173"/>
      <c r="D188" s="340">
        <v>33.75</v>
      </c>
      <c r="E188" s="341">
        <v>43</v>
      </c>
      <c r="F188" s="209">
        <v>15</v>
      </c>
      <c r="G188" s="202"/>
      <c r="H188" s="342">
        <v>1200</v>
      </c>
      <c r="I188" s="343"/>
      <c r="J188" s="344">
        <v>1071</v>
      </c>
      <c r="K188" s="323">
        <v>4041</v>
      </c>
      <c r="L188" s="323">
        <v>252</v>
      </c>
      <c r="M188" s="345"/>
      <c r="N188" s="346">
        <v>1000</v>
      </c>
      <c r="O188" s="248"/>
      <c r="P188" s="347">
        <v>597.96</v>
      </c>
      <c r="Q188" s="305">
        <v>66060</v>
      </c>
      <c r="R188" s="171">
        <v>464</v>
      </c>
      <c r="S188" s="209"/>
      <c r="T188" s="302">
        <v>200</v>
      </c>
      <c r="U188" s="251"/>
      <c r="V188" s="250">
        <v>150</v>
      </c>
      <c r="W188" s="329">
        <f>2272+9284</f>
        <v>11556</v>
      </c>
      <c r="X188" s="329">
        <f>116+110</f>
        <v>226</v>
      </c>
      <c r="Y188" s="320"/>
      <c r="Z188" s="321"/>
    </row>
    <row r="189" spans="1:33">
      <c r="A189" s="304">
        <v>45177</v>
      </c>
      <c r="B189" s="165">
        <v>300</v>
      </c>
      <c r="C189" s="173"/>
      <c r="D189" s="348">
        <v>55</v>
      </c>
      <c r="E189" s="327">
        <v>77</v>
      </c>
      <c r="F189" s="327">
        <v>22</v>
      </c>
      <c r="G189" s="175"/>
      <c r="H189" s="349">
        <v>1200</v>
      </c>
      <c r="I189" s="350"/>
      <c r="J189" s="344">
        <v>1099</v>
      </c>
      <c r="K189" s="323">
        <v>3217</v>
      </c>
      <c r="L189" s="323">
        <v>258</v>
      </c>
      <c r="M189" s="351"/>
      <c r="N189" s="352">
        <v>1000</v>
      </c>
      <c r="O189" s="173"/>
      <c r="P189" s="245">
        <v>600</v>
      </c>
      <c r="Q189" s="324">
        <v>54139</v>
      </c>
      <c r="R189" s="324">
        <v>364</v>
      </c>
      <c r="S189" s="166"/>
      <c r="T189" s="298">
        <v>200</v>
      </c>
      <c r="U189" s="173"/>
      <c r="V189" s="348">
        <f>100+48.75</f>
        <v>148.75</v>
      </c>
      <c r="W189" s="305">
        <f>2550+13526</f>
        <v>16076</v>
      </c>
      <c r="X189" s="305">
        <f>128+127</f>
        <v>255</v>
      </c>
      <c r="Y189" s="306"/>
      <c r="Z189" s="308"/>
    </row>
    <row r="190" spans="1:33">
      <c r="A190" s="304">
        <v>45178</v>
      </c>
      <c r="B190" s="165">
        <v>300</v>
      </c>
      <c r="C190" s="248"/>
      <c r="D190" s="353">
        <v>31</v>
      </c>
      <c r="E190" s="341">
        <v>43</v>
      </c>
      <c r="F190" s="341">
        <v>11</v>
      </c>
      <c r="G190" s="202"/>
      <c r="H190" s="349">
        <v>1200</v>
      </c>
      <c r="I190" s="350"/>
      <c r="J190" s="344">
        <v>1087</v>
      </c>
      <c r="K190" s="323">
        <v>5056</v>
      </c>
      <c r="L190" s="323">
        <v>296</v>
      </c>
      <c r="M190" s="351"/>
      <c r="N190" s="352">
        <v>1000</v>
      </c>
      <c r="O190" s="173"/>
      <c r="P190" s="245">
        <v>599</v>
      </c>
      <c r="Q190" s="324">
        <v>53535</v>
      </c>
      <c r="R190" s="324">
        <v>398</v>
      </c>
      <c r="S190" s="166"/>
      <c r="T190" s="298">
        <v>200</v>
      </c>
      <c r="U190" s="173"/>
      <c r="V190" s="348">
        <f>100+49.28</f>
        <v>149.28</v>
      </c>
      <c r="W190" s="305">
        <f>4958+12449</f>
        <v>17407</v>
      </c>
      <c r="X190" s="305">
        <f>253+134</f>
        <v>387</v>
      </c>
      <c r="Y190" s="306"/>
      <c r="Z190" s="308"/>
    </row>
    <row r="191" spans="1:33">
      <c r="A191" s="304">
        <v>45179</v>
      </c>
      <c r="B191" s="165">
        <v>300</v>
      </c>
      <c r="C191" s="173"/>
      <c r="D191" s="348">
        <v>39</v>
      </c>
      <c r="E191" s="310">
        <v>50</v>
      </c>
      <c r="F191" s="310">
        <v>23</v>
      </c>
      <c r="G191" s="175"/>
      <c r="H191" s="349">
        <v>1200</v>
      </c>
      <c r="I191" s="350"/>
      <c r="J191" s="344">
        <v>1091</v>
      </c>
      <c r="K191" s="323">
        <v>3615</v>
      </c>
      <c r="L191" s="323">
        <v>273</v>
      </c>
      <c r="M191" s="351"/>
      <c r="N191" s="352">
        <v>1000</v>
      </c>
      <c r="O191" s="173"/>
      <c r="P191" s="245">
        <v>599</v>
      </c>
      <c r="Q191" s="324">
        <v>54545</v>
      </c>
      <c r="R191" s="324">
        <v>376</v>
      </c>
      <c r="S191" s="166"/>
      <c r="T191" s="298">
        <v>200</v>
      </c>
      <c r="U191" s="173"/>
      <c r="V191" s="348">
        <f>100+47.9</f>
        <v>147.9</v>
      </c>
      <c r="W191" s="305">
        <f>4448+12765</f>
        <v>17213</v>
      </c>
      <c r="X191" s="305">
        <f>300+128</f>
        <v>428</v>
      </c>
      <c r="Y191" s="306"/>
      <c r="Z191" s="308"/>
    </row>
    <row r="192" spans="1:33">
      <c r="A192" s="304">
        <v>45180</v>
      </c>
      <c r="B192" s="165">
        <v>300</v>
      </c>
      <c r="C192" s="173"/>
      <c r="D192" s="348">
        <v>42</v>
      </c>
      <c r="E192" s="310">
        <v>60</v>
      </c>
      <c r="F192" s="166">
        <v>17</v>
      </c>
      <c r="G192" s="166"/>
      <c r="H192" s="165">
        <v>1200</v>
      </c>
      <c r="I192" s="354"/>
      <c r="J192" s="355">
        <v>1266</v>
      </c>
      <c r="K192" s="329">
        <v>3880</v>
      </c>
      <c r="L192" s="329">
        <v>281</v>
      </c>
      <c r="M192" s="209"/>
      <c r="N192" s="165">
        <v>1000</v>
      </c>
      <c r="O192" s="354"/>
      <c r="P192" s="355">
        <v>800</v>
      </c>
      <c r="Q192" s="356">
        <v>78486</v>
      </c>
      <c r="R192" s="356">
        <v>561</v>
      </c>
      <c r="S192" s="357"/>
      <c r="T192" s="298">
        <v>200</v>
      </c>
      <c r="U192" s="354"/>
      <c r="V192" s="355">
        <v>150</v>
      </c>
      <c r="W192" s="356">
        <f>3506+13717</f>
        <v>17223</v>
      </c>
      <c r="X192" s="356">
        <f>115+228</f>
        <v>343</v>
      </c>
      <c r="Y192" s="358"/>
      <c r="Z192" s="308"/>
    </row>
    <row r="193" spans="1:26">
      <c r="A193" s="304">
        <v>45181</v>
      </c>
      <c r="B193" s="165">
        <v>300</v>
      </c>
      <c r="C193" s="336"/>
      <c r="D193" s="359">
        <v>42</v>
      </c>
      <c r="E193" s="360">
        <v>64</v>
      </c>
      <c r="F193" s="360">
        <v>41</v>
      </c>
      <c r="G193" s="237"/>
      <c r="H193" s="165">
        <v>1200</v>
      </c>
      <c r="I193" s="248"/>
      <c r="J193" s="353">
        <v>1168</v>
      </c>
      <c r="K193" s="333">
        <v>4358</v>
      </c>
      <c r="L193" s="334">
        <v>275</v>
      </c>
      <c r="M193" s="202"/>
      <c r="N193" s="165">
        <v>1000</v>
      </c>
      <c r="O193" s="173"/>
      <c r="P193" s="348">
        <v>599</v>
      </c>
      <c r="Q193" s="324">
        <v>64340</v>
      </c>
      <c r="R193" s="324">
        <v>514</v>
      </c>
      <c r="S193" s="166"/>
      <c r="T193" s="298">
        <v>200</v>
      </c>
      <c r="U193" s="173"/>
      <c r="V193" s="348">
        <v>206</v>
      </c>
      <c r="W193" s="324">
        <v>11164</v>
      </c>
      <c r="X193" s="324">
        <v>187</v>
      </c>
      <c r="Y193" s="306"/>
      <c r="Z193" s="308"/>
    </row>
    <row r="194" spans="1:26">
      <c r="A194" s="304">
        <v>45182</v>
      </c>
      <c r="B194" s="165">
        <v>300</v>
      </c>
      <c r="C194" s="173"/>
      <c r="D194" s="361">
        <v>62</v>
      </c>
      <c r="E194" s="310">
        <v>79</v>
      </c>
      <c r="F194" s="166">
        <v>35</v>
      </c>
      <c r="G194" s="166"/>
      <c r="H194" s="165">
        <v>1200</v>
      </c>
      <c r="I194" s="176"/>
      <c r="J194" s="245">
        <v>1159</v>
      </c>
      <c r="K194" s="324">
        <v>5160</v>
      </c>
      <c r="L194" s="324">
        <v>320</v>
      </c>
      <c r="M194" s="166"/>
      <c r="N194" s="165">
        <v>1000</v>
      </c>
      <c r="O194" s="176"/>
      <c r="P194" s="245">
        <v>599</v>
      </c>
      <c r="Q194" s="305">
        <v>93030</v>
      </c>
      <c r="R194" s="324">
        <v>502</v>
      </c>
      <c r="S194" s="166"/>
      <c r="T194" s="298">
        <v>200</v>
      </c>
      <c r="U194" s="176"/>
      <c r="V194" s="245">
        <v>145</v>
      </c>
      <c r="W194" s="324">
        <f>14620+3933</f>
        <v>18553</v>
      </c>
      <c r="X194" s="324">
        <f>116+265</f>
        <v>381</v>
      </c>
      <c r="Y194" s="306"/>
      <c r="Z194" s="308"/>
    </row>
    <row r="195" spans="1:26">
      <c r="A195" s="304">
        <v>45183</v>
      </c>
      <c r="B195" s="165">
        <v>300</v>
      </c>
      <c r="C195" s="173"/>
      <c r="D195" s="348">
        <v>67</v>
      </c>
      <c r="E195" s="310">
        <v>97</v>
      </c>
      <c r="F195" s="310">
        <v>37</v>
      </c>
      <c r="G195" s="166"/>
      <c r="H195" s="165">
        <v>1200</v>
      </c>
      <c r="I195" s="176"/>
      <c r="J195" s="245">
        <v>1167</v>
      </c>
      <c r="K195" s="324">
        <v>4273</v>
      </c>
      <c r="L195" s="324">
        <v>314</v>
      </c>
      <c r="M195" s="166"/>
      <c r="N195" s="165">
        <v>1000</v>
      </c>
      <c r="O195" s="176"/>
      <c r="P195" s="245">
        <v>597.68</v>
      </c>
      <c r="Q195" s="362">
        <v>82856</v>
      </c>
      <c r="R195" s="362">
        <v>368</v>
      </c>
      <c r="S195" s="166"/>
      <c r="T195" s="298">
        <v>200</v>
      </c>
      <c r="U195" s="176"/>
      <c r="V195" s="245">
        <v>142.38</v>
      </c>
      <c r="W195" s="324">
        <f>3416+4903</f>
        <v>8319</v>
      </c>
      <c r="X195" s="324">
        <f>206+41</f>
        <v>247</v>
      </c>
      <c r="Y195" s="306"/>
      <c r="Z195" s="308"/>
    </row>
    <row r="196" spans="1:26">
      <c r="A196" s="304">
        <v>45184</v>
      </c>
      <c r="B196" s="165">
        <v>300</v>
      </c>
      <c r="C196" s="150"/>
      <c r="D196" s="363">
        <v>34</v>
      </c>
      <c r="E196" s="310">
        <v>48</v>
      </c>
      <c r="F196" s="310">
        <v>17</v>
      </c>
      <c r="G196" s="166"/>
      <c r="H196" s="165">
        <v>1200</v>
      </c>
      <c r="I196" s="336"/>
      <c r="J196" s="337">
        <v>1244.2</v>
      </c>
      <c r="K196" s="338">
        <v>5496</v>
      </c>
      <c r="L196" s="338">
        <v>376</v>
      </c>
      <c r="M196" s="237"/>
      <c r="N196" s="165">
        <v>1000</v>
      </c>
      <c r="O196" s="336"/>
      <c r="P196" s="359">
        <v>697.93</v>
      </c>
      <c r="Q196" s="364">
        <v>66348</v>
      </c>
      <c r="R196" s="365">
        <v>383</v>
      </c>
      <c r="S196" s="237"/>
      <c r="T196" s="298">
        <v>200</v>
      </c>
      <c r="U196" s="336"/>
      <c r="V196" s="366">
        <f>43.62+99.83</f>
        <v>143.45</v>
      </c>
      <c r="W196" s="364">
        <f>6174+1749</f>
        <v>7923</v>
      </c>
      <c r="X196" s="364">
        <f>45+124</f>
        <v>169</v>
      </c>
      <c r="Y196" s="339"/>
      <c r="Z196" s="308"/>
    </row>
    <row r="197" spans="1:26">
      <c r="A197" s="304">
        <v>45185</v>
      </c>
      <c r="B197" s="165">
        <v>300</v>
      </c>
      <c r="C197" s="164"/>
      <c r="D197" s="367">
        <v>39</v>
      </c>
      <c r="E197" s="310">
        <v>62</v>
      </c>
      <c r="F197" s="310">
        <v>23</v>
      </c>
      <c r="G197" s="166"/>
      <c r="H197" s="165">
        <v>1200</v>
      </c>
      <c r="I197" s="173"/>
      <c r="J197" s="368">
        <v>1253.73</v>
      </c>
      <c r="K197" s="323">
        <v>5070</v>
      </c>
      <c r="L197" s="323">
        <v>304</v>
      </c>
      <c r="M197" s="166"/>
      <c r="N197" s="165">
        <v>1000</v>
      </c>
      <c r="O197" s="173"/>
      <c r="P197" s="348">
        <v>699.34</v>
      </c>
      <c r="Q197" s="324">
        <v>54980</v>
      </c>
      <c r="R197" s="324">
        <v>408</v>
      </c>
      <c r="S197" s="166"/>
      <c r="T197" s="298">
        <v>200</v>
      </c>
      <c r="U197" s="173"/>
      <c r="V197" s="340">
        <f>98.94+49.95</f>
        <v>148.89</v>
      </c>
      <c r="W197" s="324">
        <f>3872+1803</f>
        <v>5675</v>
      </c>
      <c r="X197" s="324">
        <f>40+124</f>
        <v>164</v>
      </c>
      <c r="Y197" s="306"/>
      <c r="Z197" s="308"/>
    </row>
    <row r="198" spans="1:26">
      <c r="A198" s="304">
        <v>45186</v>
      </c>
      <c r="B198" s="213">
        <v>300</v>
      </c>
      <c r="C198" s="212"/>
      <c r="D198" s="369">
        <v>25</v>
      </c>
      <c r="E198" s="317">
        <v>34</v>
      </c>
      <c r="F198" s="317">
        <v>7</v>
      </c>
      <c r="G198" s="209"/>
      <c r="H198" s="213">
        <v>1200</v>
      </c>
      <c r="I198" s="248"/>
      <c r="J198" s="370">
        <v>1253.09</v>
      </c>
      <c r="K198" s="329">
        <v>4825</v>
      </c>
      <c r="L198" s="329">
        <v>314</v>
      </c>
      <c r="M198" s="209"/>
      <c r="N198" s="213">
        <v>1000</v>
      </c>
      <c r="O198" s="248"/>
      <c r="P198" s="353">
        <v>698.74</v>
      </c>
      <c r="Q198" s="333">
        <v>50580</v>
      </c>
      <c r="R198" s="333">
        <v>438</v>
      </c>
      <c r="S198" s="209"/>
      <c r="T198" s="302">
        <v>200</v>
      </c>
      <c r="U198" s="248"/>
      <c r="V198" s="371">
        <f>99.76+43.62</f>
        <v>143.38</v>
      </c>
      <c r="W198" s="333">
        <f>4798+2062</f>
        <v>6860</v>
      </c>
      <c r="X198" s="333">
        <f>40+159</f>
        <v>199</v>
      </c>
      <c r="Y198" s="320"/>
      <c r="Z198" s="308"/>
    </row>
    <row r="199" spans="1:26">
      <c r="A199" s="304">
        <v>45187</v>
      </c>
      <c r="B199" s="165">
        <v>300</v>
      </c>
      <c r="C199" s="176"/>
      <c r="D199" s="309">
        <v>45.44</v>
      </c>
      <c r="E199" s="310">
        <v>58</v>
      </c>
      <c r="F199" s="310">
        <v>25</v>
      </c>
      <c r="G199" s="166"/>
      <c r="H199" s="165">
        <v>1200</v>
      </c>
      <c r="I199" s="248"/>
      <c r="J199" s="353">
        <v>1249</v>
      </c>
      <c r="K199" s="333">
        <v>4509</v>
      </c>
      <c r="L199" s="334">
        <v>319</v>
      </c>
      <c r="M199" s="202"/>
      <c r="N199" s="165">
        <v>1000</v>
      </c>
      <c r="O199" s="173"/>
      <c r="P199" s="348">
        <v>696.6</v>
      </c>
      <c r="Q199" s="324">
        <v>35104</v>
      </c>
      <c r="R199" s="324">
        <v>356</v>
      </c>
      <c r="S199" s="166"/>
      <c r="T199" s="298">
        <v>200</v>
      </c>
      <c r="U199" s="173"/>
      <c r="V199" s="348">
        <v>141.52</v>
      </c>
      <c r="W199" s="324">
        <f>2252+2877</f>
        <v>5129</v>
      </c>
      <c r="X199" s="324">
        <f>132+49</f>
        <v>181</v>
      </c>
      <c r="Y199" s="372"/>
      <c r="Z199" s="373"/>
    </row>
    <row r="200" spans="1:26">
      <c r="A200" s="304">
        <v>45188</v>
      </c>
      <c r="B200" s="165">
        <v>300</v>
      </c>
      <c r="C200" s="354"/>
      <c r="D200" s="355">
        <v>53.95</v>
      </c>
      <c r="E200" s="374">
        <v>70</v>
      </c>
      <c r="F200" s="374">
        <v>26</v>
      </c>
      <c r="G200" s="357"/>
      <c r="H200" s="213">
        <v>1200</v>
      </c>
      <c r="I200" s="248"/>
      <c r="J200" s="340">
        <v>1275.97</v>
      </c>
      <c r="K200" s="324">
        <v>5064</v>
      </c>
      <c r="L200" s="324">
        <v>346</v>
      </c>
      <c r="M200" s="166"/>
      <c r="N200" s="165">
        <v>1000</v>
      </c>
      <c r="O200" s="160"/>
      <c r="P200" s="375">
        <v>694.48</v>
      </c>
      <c r="Q200" s="338">
        <v>48874</v>
      </c>
      <c r="R200" s="338">
        <v>353</v>
      </c>
      <c r="S200" s="237"/>
      <c r="T200" s="298">
        <v>200</v>
      </c>
      <c r="U200" s="336"/>
      <c r="V200" s="337">
        <f>99.11+48.96</f>
        <v>148.07</v>
      </c>
      <c r="W200" s="338">
        <f>3065+2559</f>
        <v>5624</v>
      </c>
      <c r="X200" s="338">
        <f>31+158</f>
        <v>189</v>
      </c>
      <c r="Y200" s="372"/>
      <c r="Z200" s="376"/>
    </row>
    <row r="201" spans="1:26">
      <c r="A201" s="304">
        <v>45189</v>
      </c>
      <c r="B201" s="165">
        <v>300</v>
      </c>
      <c r="C201" s="173"/>
      <c r="D201" s="348">
        <v>48.63</v>
      </c>
      <c r="E201" s="310">
        <v>64</v>
      </c>
      <c r="F201" s="310">
        <v>37</v>
      </c>
      <c r="G201" s="166"/>
      <c r="H201" s="165">
        <v>1200</v>
      </c>
      <c r="I201" s="173"/>
      <c r="J201" s="340">
        <v>1472.28</v>
      </c>
      <c r="K201" s="324">
        <v>5314</v>
      </c>
      <c r="L201" s="324">
        <v>449</v>
      </c>
      <c r="M201" s="166"/>
      <c r="N201" s="165">
        <v>1000</v>
      </c>
      <c r="O201" s="354"/>
      <c r="P201" s="377">
        <v>698.71</v>
      </c>
      <c r="Q201" s="378">
        <v>41941</v>
      </c>
      <c r="R201" s="378">
        <v>256</v>
      </c>
      <c r="S201" s="357"/>
      <c r="T201" s="302">
        <v>200</v>
      </c>
      <c r="U201" s="354"/>
      <c r="V201" s="355">
        <v>313</v>
      </c>
      <c r="W201" s="379">
        <f>3484+630</f>
        <v>4114</v>
      </c>
      <c r="X201" s="379">
        <v>175</v>
      </c>
      <c r="Y201" s="380"/>
      <c r="Z201" s="376"/>
    </row>
    <row r="202" spans="1:26">
      <c r="A202" s="304">
        <v>45190</v>
      </c>
      <c r="B202" s="165">
        <v>300</v>
      </c>
      <c r="C202" s="330"/>
      <c r="D202" s="381">
        <v>62.29</v>
      </c>
      <c r="E202" s="382">
        <v>79</v>
      </c>
      <c r="F202" s="383">
        <v>55</v>
      </c>
      <c r="G202" s="384"/>
      <c r="H202" s="213">
        <v>1200</v>
      </c>
      <c r="I202" s="251"/>
      <c r="J202" s="322">
        <v>1515.88</v>
      </c>
      <c r="K202" s="323">
        <v>8512</v>
      </c>
      <c r="L202" s="323">
        <v>517</v>
      </c>
      <c r="M202" s="166"/>
      <c r="N202" s="165">
        <v>1000</v>
      </c>
      <c r="O202" s="176"/>
      <c r="P202" s="322">
        <v>694.88</v>
      </c>
      <c r="Q202" s="323">
        <v>38046</v>
      </c>
      <c r="R202" s="323">
        <v>310</v>
      </c>
      <c r="S202" s="385"/>
      <c r="T202" s="386">
        <v>200</v>
      </c>
      <c r="U202" s="387"/>
      <c r="V202" s="322">
        <f>51.78+88.78+97.76+95.17+93.5+22.8+100+100</f>
        <v>649.79</v>
      </c>
      <c r="W202" s="323">
        <f>63+263+450+731+147+34+283+3735</f>
        <v>5706</v>
      </c>
      <c r="X202" s="323">
        <v>205</v>
      </c>
      <c r="Y202" s="388"/>
      <c r="Z202" s="376"/>
    </row>
    <row r="203" spans="1:26">
      <c r="A203" s="304">
        <v>45191</v>
      </c>
      <c r="B203" s="165">
        <v>300</v>
      </c>
      <c r="C203" s="176"/>
      <c r="D203" s="245">
        <v>23.37</v>
      </c>
      <c r="E203" s="166">
        <v>25</v>
      </c>
      <c r="F203" s="166">
        <v>17</v>
      </c>
      <c r="G203" s="166"/>
      <c r="H203" s="165">
        <v>1200</v>
      </c>
      <c r="I203" s="176"/>
      <c r="J203" s="245">
        <v>1294.16</v>
      </c>
      <c r="K203" s="171">
        <v>9806</v>
      </c>
      <c r="L203" s="171">
        <v>460</v>
      </c>
      <c r="M203" s="166"/>
      <c r="N203" s="165">
        <v>1000</v>
      </c>
      <c r="O203" s="160"/>
      <c r="P203" s="389">
        <v>699.22</v>
      </c>
      <c r="Q203" s="152">
        <v>42050</v>
      </c>
      <c r="R203" s="152">
        <v>229</v>
      </c>
      <c r="S203" s="237"/>
      <c r="T203" s="390">
        <v>200</v>
      </c>
      <c r="U203" s="160"/>
      <c r="V203" s="389">
        <v>100</v>
      </c>
      <c r="W203" s="391">
        <v>3966</v>
      </c>
      <c r="X203" s="391">
        <v>253</v>
      </c>
      <c r="Y203" s="372"/>
      <c r="Z203" s="376"/>
    </row>
    <row r="204" spans="1:26">
      <c r="A204" s="304">
        <v>45192</v>
      </c>
      <c r="B204" s="165">
        <v>300</v>
      </c>
      <c r="C204" s="176"/>
      <c r="D204" s="245">
        <v>15.43</v>
      </c>
      <c r="E204" s="166">
        <v>15</v>
      </c>
      <c r="F204" s="166">
        <v>8</v>
      </c>
      <c r="G204" s="209"/>
      <c r="H204" s="213">
        <v>1200</v>
      </c>
      <c r="I204" s="251"/>
      <c r="J204" s="245">
        <v>1288.01</v>
      </c>
      <c r="K204" s="171">
        <v>10665</v>
      </c>
      <c r="L204" s="171">
        <v>475</v>
      </c>
      <c r="M204" s="166"/>
      <c r="N204" s="165">
        <v>1000</v>
      </c>
      <c r="O204" s="176"/>
      <c r="P204" s="245">
        <v>696.31</v>
      </c>
      <c r="Q204" s="171">
        <v>25659</v>
      </c>
      <c r="R204" s="171">
        <v>174</v>
      </c>
      <c r="S204" s="209"/>
      <c r="T204" s="302">
        <v>200</v>
      </c>
      <c r="U204" s="251"/>
      <c r="V204" s="245">
        <f>99.6+29.45</f>
        <v>129.05</v>
      </c>
      <c r="W204" s="305">
        <f>2447+2754</f>
        <v>5201</v>
      </c>
      <c r="X204" s="305">
        <f>177+16</f>
        <v>193</v>
      </c>
      <c r="Y204" s="388"/>
      <c r="Z204" s="376"/>
    </row>
    <row r="205" spans="1:26">
      <c r="A205" s="304">
        <v>45193</v>
      </c>
      <c r="B205" s="165">
        <v>300</v>
      </c>
      <c r="C205" s="176"/>
      <c r="D205" s="245">
        <v>22.53</v>
      </c>
      <c r="E205" s="166">
        <v>27</v>
      </c>
      <c r="F205" s="166">
        <v>12</v>
      </c>
      <c r="G205" s="166"/>
      <c r="H205" s="165">
        <v>1200</v>
      </c>
      <c r="I205" s="176"/>
      <c r="J205" s="245">
        <v>1362.06</v>
      </c>
      <c r="K205" s="171">
        <v>8373</v>
      </c>
      <c r="L205" s="171">
        <v>467</v>
      </c>
      <c r="M205" s="166"/>
      <c r="N205" s="165">
        <v>1000</v>
      </c>
      <c r="O205" s="176"/>
      <c r="P205" s="245">
        <v>698.28</v>
      </c>
      <c r="Q205" s="171">
        <v>28629</v>
      </c>
      <c r="R205" s="171">
        <v>201</v>
      </c>
      <c r="S205" s="166"/>
      <c r="T205" s="298">
        <v>200</v>
      </c>
      <c r="U205" s="176"/>
      <c r="V205" s="245">
        <f>100+46.71</f>
        <v>146.71</v>
      </c>
      <c r="W205" s="305">
        <f>1498+3753</f>
        <v>5251</v>
      </c>
      <c r="X205" s="305">
        <f>288+136</f>
        <v>424</v>
      </c>
      <c r="Y205" s="388"/>
      <c r="Z205" s="376"/>
    </row>
    <row r="206" spans="1:26">
      <c r="A206" s="304">
        <v>45194</v>
      </c>
      <c r="B206" s="165">
        <v>300</v>
      </c>
      <c r="C206" s="176"/>
      <c r="D206" s="245">
        <v>28.21</v>
      </c>
      <c r="E206" s="166">
        <v>39</v>
      </c>
      <c r="F206" s="166">
        <v>21</v>
      </c>
      <c r="G206" s="209"/>
      <c r="H206" s="213">
        <v>1200</v>
      </c>
      <c r="I206" s="251"/>
      <c r="J206" s="245">
        <v>1448.14</v>
      </c>
      <c r="K206" s="171">
        <v>10018</v>
      </c>
      <c r="L206" s="171">
        <v>498</v>
      </c>
      <c r="M206" s="166"/>
      <c r="N206" s="165">
        <v>1000</v>
      </c>
      <c r="O206" s="176"/>
      <c r="P206" s="245">
        <v>697.48</v>
      </c>
      <c r="Q206" s="305">
        <v>23518</v>
      </c>
      <c r="R206" s="171">
        <v>179</v>
      </c>
      <c r="S206" s="166"/>
      <c r="T206" s="298">
        <v>200</v>
      </c>
      <c r="U206" s="176"/>
      <c r="V206" s="245">
        <f>99.7+100+100+91.89+99.38+100+49.71</f>
        <v>640.68</v>
      </c>
      <c r="W206" s="305">
        <f>50434+2967+2825</f>
        <v>56226</v>
      </c>
      <c r="X206" s="305">
        <f>229+198+60</f>
        <v>487</v>
      </c>
      <c r="Y206" s="306"/>
      <c r="Z206" s="308"/>
    </row>
    <row r="207" spans="1:26">
      <c r="A207" s="304">
        <v>45195</v>
      </c>
      <c r="B207" s="165">
        <v>300</v>
      </c>
      <c r="C207" s="176"/>
      <c r="D207" s="245">
        <v>8.9</v>
      </c>
      <c r="E207" s="166">
        <v>14</v>
      </c>
      <c r="F207" s="166">
        <v>6</v>
      </c>
      <c r="G207" s="166"/>
      <c r="H207" s="165">
        <v>1200</v>
      </c>
      <c r="I207" s="176"/>
      <c r="J207" s="245">
        <v>1098.25</v>
      </c>
      <c r="K207" s="171">
        <v>6835</v>
      </c>
      <c r="L207" s="171">
        <v>420</v>
      </c>
      <c r="M207" s="166"/>
      <c r="N207" s="165">
        <v>1000</v>
      </c>
      <c r="O207" s="176"/>
      <c r="P207" s="245">
        <v>697.11</v>
      </c>
      <c r="Q207" s="305">
        <v>30484</v>
      </c>
      <c r="R207" s="171">
        <v>188</v>
      </c>
      <c r="S207" s="166"/>
      <c r="T207" s="298">
        <v>200</v>
      </c>
      <c r="U207" s="176"/>
      <c r="V207" s="245">
        <f>49.8+100</f>
        <v>149.8</v>
      </c>
      <c r="W207" s="305">
        <f>1818+61479</f>
        <v>63297</v>
      </c>
      <c r="X207" s="305">
        <f>225+121</f>
        <v>346</v>
      </c>
      <c r="Y207" s="306"/>
      <c r="Z207" s="308"/>
    </row>
    <row r="208" spans="1:26">
      <c r="A208" s="304">
        <v>45196</v>
      </c>
      <c r="B208" s="392">
        <v>300</v>
      </c>
      <c r="C208" s="176"/>
      <c r="D208" s="393">
        <v>20.3</v>
      </c>
      <c r="E208" s="394">
        <v>26</v>
      </c>
      <c r="F208" s="394">
        <v>5</v>
      </c>
      <c r="G208" s="395"/>
      <c r="H208" s="396">
        <v>1200</v>
      </c>
      <c r="I208" s="251"/>
      <c r="J208" s="397">
        <v>1201.85</v>
      </c>
      <c r="K208" s="398">
        <v>9339</v>
      </c>
      <c r="L208" s="399">
        <v>473</v>
      </c>
      <c r="M208" s="325"/>
      <c r="N208" s="392">
        <v>1000</v>
      </c>
      <c r="O208" s="176"/>
      <c r="P208" s="393">
        <v>696.2</v>
      </c>
      <c r="Q208" s="400">
        <v>23318</v>
      </c>
      <c r="R208" s="400">
        <v>227</v>
      </c>
      <c r="S208" s="325"/>
      <c r="T208" s="326">
        <v>200</v>
      </c>
      <c r="U208" s="176"/>
      <c r="V208" s="393">
        <f>100+49.82</f>
        <v>149.82</v>
      </c>
      <c r="W208" s="398">
        <v>52701</v>
      </c>
      <c r="X208" s="400">
        <f>190+105</f>
        <v>295</v>
      </c>
      <c r="Y208" s="401"/>
      <c r="Z208" s="402"/>
    </row>
    <row r="209" spans="1:33">
      <c r="A209" s="304">
        <v>45197</v>
      </c>
      <c r="B209" s="392">
        <v>300</v>
      </c>
      <c r="C209" s="176"/>
      <c r="D209" s="393">
        <v>42.4</v>
      </c>
      <c r="E209" s="394">
        <v>44</v>
      </c>
      <c r="F209" s="394">
        <v>24</v>
      </c>
      <c r="G209" s="325"/>
      <c r="H209" s="392">
        <v>1200</v>
      </c>
      <c r="I209" s="176"/>
      <c r="J209" s="393">
        <v>850.47</v>
      </c>
      <c r="K209" s="400">
        <v>7733</v>
      </c>
      <c r="L209" s="400">
        <v>364</v>
      </c>
      <c r="M209" s="325"/>
      <c r="N209" s="392">
        <v>1000</v>
      </c>
      <c r="O209" s="176"/>
      <c r="P209" s="393">
        <v>699.39</v>
      </c>
      <c r="Q209" s="400">
        <v>34380</v>
      </c>
      <c r="R209" s="400">
        <v>227</v>
      </c>
      <c r="S209" s="325"/>
      <c r="T209" s="326">
        <v>200</v>
      </c>
      <c r="U209" s="176"/>
      <c r="V209" s="393">
        <f>483.78+99.82+49.58</f>
        <v>633.18</v>
      </c>
      <c r="W209" s="400">
        <f>44226+1495+7689</f>
        <v>53410</v>
      </c>
      <c r="X209" s="400">
        <f>225+108+195</f>
        <v>528</v>
      </c>
      <c r="Y209" s="401"/>
      <c r="Z209" s="402"/>
    </row>
    <row r="210" spans="1:33">
      <c r="A210" s="304">
        <v>45198</v>
      </c>
      <c r="B210" s="392">
        <v>300</v>
      </c>
      <c r="C210" s="176"/>
      <c r="D210" s="403">
        <v>15.5</v>
      </c>
      <c r="E210" s="404">
        <v>16</v>
      </c>
      <c r="F210" s="404">
        <v>5</v>
      </c>
      <c r="G210" s="395"/>
      <c r="H210" s="396">
        <v>1200</v>
      </c>
      <c r="I210" s="251"/>
      <c r="J210" s="403">
        <v>934.87</v>
      </c>
      <c r="K210" s="405">
        <v>4412</v>
      </c>
      <c r="L210" s="405">
        <v>369</v>
      </c>
      <c r="M210" s="325"/>
      <c r="N210" s="392">
        <v>1000</v>
      </c>
      <c r="O210" s="176"/>
      <c r="P210" s="403">
        <v>700</v>
      </c>
      <c r="Q210" s="405">
        <v>22019</v>
      </c>
      <c r="R210" s="405">
        <v>219</v>
      </c>
      <c r="S210" s="325"/>
      <c r="T210" s="326">
        <v>200</v>
      </c>
      <c r="U210" s="176"/>
      <c r="V210" s="403">
        <f>100+49.36</f>
        <v>149.36</v>
      </c>
      <c r="W210" s="398">
        <v>18104</v>
      </c>
      <c r="X210" s="405">
        <f>72+130</f>
        <v>202</v>
      </c>
      <c r="Y210" s="401"/>
      <c r="Z210" s="402"/>
    </row>
    <row r="211" spans="1:33">
      <c r="A211" s="304">
        <v>45199</v>
      </c>
      <c r="B211" s="392">
        <v>300</v>
      </c>
      <c r="C211" s="176"/>
      <c r="D211" s="393">
        <v>6.96</v>
      </c>
      <c r="E211" s="394">
        <v>9</v>
      </c>
      <c r="F211" s="394">
        <v>4</v>
      </c>
      <c r="G211" s="325"/>
      <c r="H211" s="392">
        <v>1200</v>
      </c>
      <c r="I211" s="176"/>
      <c r="J211" s="393">
        <v>930.79</v>
      </c>
      <c r="K211" s="400">
        <v>4654</v>
      </c>
      <c r="L211" s="400">
        <v>441</v>
      </c>
      <c r="M211" s="325"/>
      <c r="N211" s="392">
        <v>1000</v>
      </c>
      <c r="O211" s="176"/>
      <c r="P211" s="393">
        <v>698.25</v>
      </c>
      <c r="Q211" s="400">
        <v>24936</v>
      </c>
      <c r="R211" s="400">
        <v>258</v>
      </c>
      <c r="S211" s="325"/>
      <c r="T211" s="326">
        <v>200</v>
      </c>
      <c r="U211" s="176"/>
      <c r="V211" s="393">
        <f>99.47+49.69</f>
        <v>149.16</v>
      </c>
      <c r="W211" s="400">
        <f>1442+7575</f>
        <v>9017</v>
      </c>
      <c r="X211" s="400">
        <f>64+99</f>
        <v>163</v>
      </c>
      <c r="Y211" s="401"/>
      <c r="Z211" s="402"/>
    </row>
    <row r="212" s="58" customFormat="1" spans="1:33">
      <c r="A212" s="304">
        <v>45200</v>
      </c>
      <c r="B212" s="392">
        <v>300</v>
      </c>
      <c r="C212" s="176"/>
      <c r="D212" s="403">
        <v>33.36</v>
      </c>
      <c r="E212" s="404">
        <v>47</v>
      </c>
      <c r="F212" s="404">
        <v>13</v>
      </c>
      <c r="G212" s="395"/>
      <c r="H212" s="396">
        <v>1200</v>
      </c>
      <c r="I212" s="251"/>
      <c r="J212" s="403">
        <v>1067.82</v>
      </c>
      <c r="K212" s="405">
        <v>7702</v>
      </c>
      <c r="L212" s="399">
        <v>425</v>
      </c>
      <c r="M212" s="325"/>
      <c r="N212" s="392">
        <v>1000</v>
      </c>
      <c r="O212" s="176"/>
      <c r="P212" s="403">
        <v>697.07</v>
      </c>
      <c r="Q212" s="405">
        <v>23695</v>
      </c>
      <c r="R212" s="399">
        <v>289</v>
      </c>
      <c r="S212" s="325"/>
      <c r="T212" s="326">
        <v>200</v>
      </c>
      <c r="U212" s="176"/>
      <c r="V212" s="403">
        <f>49.51+98.24</f>
        <v>147.75</v>
      </c>
      <c r="W212" s="405">
        <v>6236</v>
      </c>
      <c r="X212" s="399">
        <v>130</v>
      </c>
      <c r="Y212" s="401"/>
      <c r="Z212" s="402"/>
      <c r="AA212" s="282"/>
      <c r="AB212" s="283"/>
      <c r="AG212" s="284"/>
    </row>
    <row r="213" spans="1:33">
      <c r="A213" s="304">
        <v>45201</v>
      </c>
      <c r="B213" s="392">
        <v>300</v>
      </c>
      <c r="C213" s="176"/>
      <c r="D213" s="393">
        <v>68.35</v>
      </c>
      <c r="E213" s="394">
        <v>73</v>
      </c>
      <c r="F213" s="394">
        <v>26</v>
      </c>
      <c r="G213" s="325"/>
      <c r="H213" s="392">
        <v>1200</v>
      </c>
      <c r="I213" s="176"/>
      <c r="J213" s="393">
        <v>1085.62</v>
      </c>
      <c r="K213" s="400">
        <v>9448</v>
      </c>
      <c r="L213" s="400">
        <v>430</v>
      </c>
      <c r="M213" s="325"/>
      <c r="N213" s="392">
        <v>1000</v>
      </c>
      <c r="O213" s="176"/>
      <c r="P213" s="393">
        <v>693.74</v>
      </c>
      <c r="Q213" s="400">
        <v>24200</v>
      </c>
      <c r="R213" s="400">
        <v>243</v>
      </c>
      <c r="S213" s="325"/>
      <c r="T213" s="326">
        <v>200</v>
      </c>
      <c r="U213" s="176"/>
      <c r="V213" s="393">
        <f>49.16+99.87</f>
        <v>149.03</v>
      </c>
      <c r="W213" s="400">
        <v>5775</v>
      </c>
      <c r="X213" s="400">
        <f>91+90</f>
        <v>181</v>
      </c>
      <c r="Y213" s="401"/>
      <c r="Z213" s="402"/>
    </row>
    <row r="214" spans="1:33">
      <c r="A214" s="304">
        <v>45202</v>
      </c>
      <c r="B214" s="392">
        <v>300</v>
      </c>
      <c r="C214" s="176"/>
      <c r="D214" s="393">
        <v>63.92</v>
      </c>
      <c r="E214" s="394">
        <v>74</v>
      </c>
      <c r="F214" s="394">
        <v>25</v>
      </c>
      <c r="G214" s="395"/>
      <c r="H214" s="396">
        <v>1200</v>
      </c>
      <c r="I214" s="251"/>
      <c r="J214" s="393">
        <v>1111.04</v>
      </c>
      <c r="K214" s="400">
        <v>12012</v>
      </c>
      <c r="L214" s="400">
        <v>439</v>
      </c>
      <c r="M214" s="325"/>
      <c r="N214" s="392">
        <v>1000</v>
      </c>
      <c r="O214" s="176"/>
      <c r="P214" s="393">
        <v>690.35</v>
      </c>
      <c r="Q214" s="400">
        <v>23775</v>
      </c>
      <c r="R214" s="400">
        <v>303</v>
      </c>
      <c r="S214" s="325"/>
      <c r="T214" s="326">
        <v>200</v>
      </c>
      <c r="U214" s="176"/>
      <c r="V214" s="393">
        <f>49.36+99.23</f>
        <v>148.59</v>
      </c>
      <c r="W214" s="400">
        <v>5499</v>
      </c>
      <c r="X214" s="400">
        <f>54+102</f>
        <v>156</v>
      </c>
      <c r="Y214" s="401"/>
      <c r="Z214" s="402"/>
    </row>
    <row r="215" spans="1:33">
      <c r="A215" s="304">
        <v>45203</v>
      </c>
      <c r="B215" s="392">
        <v>300</v>
      </c>
      <c r="C215" s="176"/>
      <c r="D215" s="393">
        <v>80.56</v>
      </c>
      <c r="E215" s="394">
        <v>95</v>
      </c>
      <c r="F215" s="394">
        <v>43</v>
      </c>
      <c r="G215" s="325"/>
      <c r="H215" s="392">
        <v>1200</v>
      </c>
      <c r="I215" s="176"/>
      <c r="J215" s="393">
        <v>1341.5</v>
      </c>
      <c r="K215" s="400">
        <v>11444</v>
      </c>
      <c r="L215" s="400">
        <v>599</v>
      </c>
      <c r="M215" s="325"/>
      <c r="N215" s="392">
        <v>1000</v>
      </c>
      <c r="O215" s="176"/>
      <c r="P215" s="393">
        <v>684.89</v>
      </c>
      <c r="Q215" s="400">
        <v>15146</v>
      </c>
      <c r="R215" s="400">
        <v>222</v>
      </c>
      <c r="S215" s="325"/>
      <c r="T215" s="326">
        <v>200</v>
      </c>
      <c r="U215" s="176"/>
      <c r="V215" s="393">
        <f>47.82+100</f>
        <v>147.82</v>
      </c>
      <c r="W215" s="400">
        <v>5674</v>
      </c>
      <c r="X215" s="400">
        <f>91+77</f>
        <v>168</v>
      </c>
      <c r="Y215" s="401"/>
      <c r="Z215" s="402"/>
    </row>
    <row r="216" spans="1:33">
      <c r="A216" s="304">
        <v>45204</v>
      </c>
      <c r="B216" s="392">
        <v>300</v>
      </c>
      <c r="C216" s="176"/>
      <c r="D216" s="393">
        <v>78.19</v>
      </c>
      <c r="E216" s="394">
        <v>93</v>
      </c>
      <c r="F216" s="394">
        <v>35</v>
      </c>
      <c r="G216" s="395"/>
      <c r="H216" s="396">
        <v>1200</v>
      </c>
      <c r="I216" s="354"/>
      <c r="J216" s="406">
        <v>1250.2</v>
      </c>
      <c r="K216" s="400">
        <v>9497</v>
      </c>
      <c r="L216" s="400">
        <v>529</v>
      </c>
      <c r="M216" s="325"/>
      <c r="N216" s="392">
        <v>1000</v>
      </c>
      <c r="O216" s="176"/>
      <c r="P216" s="393">
        <v>691.46</v>
      </c>
      <c r="Q216" s="400">
        <v>22962</v>
      </c>
      <c r="R216" s="400">
        <v>308</v>
      </c>
      <c r="S216" s="325"/>
      <c r="T216" s="326">
        <v>200</v>
      </c>
      <c r="U216" s="176"/>
      <c r="V216" s="393">
        <f>49.25+100</f>
        <v>149.25</v>
      </c>
      <c r="W216" s="400">
        <v>4376</v>
      </c>
      <c r="X216" s="400">
        <f>48+102</f>
        <v>150</v>
      </c>
      <c r="Y216" s="401"/>
      <c r="Z216" s="402"/>
    </row>
    <row r="217" spans="1:33">
      <c r="A217" s="304">
        <v>45205</v>
      </c>
      <c r="B217" s="392">
        <v>300</v>
      </c>
      <c r="C217" s="176"/>
      <c r="D217" s="393">
        <v>101.82</v>
      </c>
      <c r="E217" s="394">
        <v>130</v>
      </c>
      <c r="F217" s="394">
        <v>47</v>
      </c>
      <c r="G217" s="325"/>
      <c r="H217" s="392">
        <v>1200</v>
      </c>
      <c r="I217" s="176"/>
      <c r="J217" s="393">
        <v>1369.6</v>
      </c>
      <c r="K217" s="400">
        <v>9711</v>
      </c>
      <c r="L217" s="407">
        <v>601</v>
      </c>
      <c r="M217" s="325"/>
      <c r="N217" s="392">
        <v>1000</v>
      </c>
      <c r="O217" s="176"/>
      <c r="P217" s="393">
        <v>687.2</v>
      </c>
      <c r="Q217" s="400">
        <v>12697</v>
      </c>
      <c r="R217" s="407">
        <v>227</v>
      </c>
      <c r="S217" s="325"/>
      <c r="T217" s="326">
        <v>200</v>
      </c>
      <c r="U217" s="336"/>
      <c r="V217" s="408">
        <v>148.17</v>
      </c>
      <c r="W217" s="400">
        <v>3952</v>
      </c>
      <c r="X217" s="407">
        <v>155</v>
      </c>
      <c r="Y217" s="401"/>
      <c r="Z217" s="402"/>
    </row>
    <row r="218" spans="1:33">
      <c r="A218" s="304">
        <v>45206</v>
      </c>
      <c r="B218" s="392">
        <v>300</v>
      </c>
      <c r="C218" s="251"/>
      <c r="D218" s="409">
        <v>135</v>
      </c>
      <c r="E218" s="410">
        <v>155</v>
      </c>
      <c r="F218" s="410">
        <v>65</v>
      </c>
      <c r="G218" s="395"/>
      <c r="H218" s="396">
        <v>1200</v>
      </c>
      <c r="I218" s="251"/>
      <c r="J218" s="409">
        <v>1378.33</v>
      </c>
      <c r="K218" s="411">
        <v>8430</v>
      </c>
      <c r="L218" s="412">
        <v>537</v>
      </c>
      <c r="M218" s="395"/>
      <c r="N218" s="392">
        <v>1000</v>
      </c>
      <c r="O218" s="251"/>
      <c r="P218" s="409">
        <v>700</v>
      </c>
      <c r="Q218" s="411">
        <v>24491</v>
      </c>
      <c r="R218" s="412">
        <v>351</v>
      </c>
      <c r="S218" s="395"/>
      <c r="T218" s="326">
        <v>200</v>
      </c>
      <c r="U218" s="251"/>
      <c r="V218" s="409">
        <f>41.79+98.43</f>
        <v>140.22</v>
      </c>
      <c r="W218" s="411">
        <v>2623</v>
      </c>
      <c r="X218" s="412">
        <v>112</v>
      </c>
      <c r="Y218" s="413"/>
      <c r="Z218" s="402"/>
    </row>
    <row r="219" spans="1:33">
      <c r="A219" s="304">
        <v>45207</v>
      </c>
      <c r="B219" s="392">
        <v>300</v>
      </c>
      <c r="C219" s="176"/>
      <c r="D219" s="393">
        <v>134.06</v>
      </c>
      <c r="E219" s="394">
        <v>170</v>
      </c>
      <c r="F219" s="394">
        <v>64</v>
      </c>
      <c r="G219" s="325"/>
      <c r="H219" s="392">
        <v>1200</v>
      </c>
      <c r="I219" s="176"/>
      <c r="J219" s="393">
        <v>1374.33</v>
      </c>
      <c r="K219" s="400">
        <v>8291</v>
      </c>
      <c r="L219" s="407">
        <v>533</v>
      </c>
      <c r="M219" s="325"/>
      <c r="N219" s="392">
        <v>1000</v>
      </c>
      <c r="O219" s="176"/>
      <c r="P219" s="393">
        <v>697.59</v>
      </c>
      <c r="Q219" s="400">
        <v>21002</v>
      </c>
      <c r="R219" s="407">
        <v>315</v>
      </c>
      <c r="S219" s="325"/>
      <c r="T219" s="326">
        <v>200</v>
      </c>
      <c r="U219" s="176"/>
      <c r="V219" s="393">
        <f>45.74+99.97</f>
        <v>145.71</v>
      </c>
      <c r="W219" s="400">
        <v>3106</v>
      </c>
      <c r="X219" s="407">
        <v>115</v>
      </c>
      <c r="Y219" s="401"/>
      <c r="Z219" s="402"/>
    </row>
    <row r="220" spans="1:33">
      <c r="A220" s="304">
        <v>45208</v>
      </c>
      <c r="B220" s="392">
        <v>300</v>
      </c>
      <c r="C220" s="176"/>
      <c r="D220" s="393">
        <v>97.23</v>
      </c>
      <c r="E220" s="394">
        <v>127</v>
      </c>
      <c r="F220" s="394">
        <v>51</v>
      </c>
      <c r="G220" s="395"/>
      <c r="H220" s="396">
        <v>1200</v>
      </c>
      <c r="I220" s="251"/>
      <c r="J220" s="393">
        <v>1359.15</v>
      </c>
      <c r="K220" s="400">
        <v>9252</v>
      </c>
      <c r="L220" s="407">
        <v>543</v>
      </c>
      <c r="M220" s="325"/>
      <c r="N220" s="392">
        <v>1000</v>
      </c>
      <c r="O220" s="176"/>
      <c r="P220" s="393">
        <v>694.05</v>
      </c>
      <c r="Q220" s="400">
        <v>25015</v>
      </c>
      <c r="R220" s="407">
        <v>332</v>
      </c>
      <c r="S220" s="325"/>
      <c r="T220" s="326">
        <v>200</v>
      </c>
      <c r="U220" s="176"/>
      <c r="V220" s="393">
        <f>48.36+100</f>
        <v>148.36</v>
      </c>
      <c r="W220" s="400">
        <v>2501</v>
      </c>
      <c r="X220" s="407">
        <v>92</v>
      </c>
      <c r="Y220" s="401"/>
      <c r="Z220" s="402"/>
    </row>
    <row r="221" spans="1:33">
      <c r="A221" s="304">
        <v>45209</v>
      </c>
      <c r="B221" s="392">
        <v>300</v>
      </c>
      <c r="C221" s="176"/>
      <c r="D221" s="309">
        <v>133.6</v>
      </c>
      <c r="E221" s="325">
        <v>182</v>
      </c>
      <c r="F221" s="310">
        <v>75</v>
      </c>
      <c r="G221" s="325"/>
      <c r="H221" s="392">
        <v>1200</v>
      </c>
      <c r="I221" s="176"/>
      <c r="J221" s="309">
        <v>1469.09</v>
      </c>
      <c r="K221" s="324">
        <v>9461</v>
      </c>
      <c r="L221" s="324">
        <v>605</v>
      </c>
      <c r="M221" s="325"/>
      <c r="N221" s="392">
        <v>1000</v>
      </c>
      <c r="O221" s="176"/>
      <c r="P221" s="309">
        <v>684.79</v>
      </c>
      <c r="Q221" s="414">
        <v>27099</v>
      </c>
      <c r="R221" s="324">
        <v>444</v>
      </c>
      <c r="S221" s="325"/>
      <c r="T221" s="326">
        <v>200</v>
      </c>
      <c r="U221" s="176"/>
      <c r="V221" s="229">
        <v>132.33</v>
      </c>
      <c r="W221" s="324">
        <f>1282+901</f>
        <v>2183</v>
      </c>
      <c r="X221" s="324">
        <f>83+22</f>
        <v>105</v>
      </c>
      <c r="Y221" s="401"/>
      <c r="Z221" s="402"/>
    </row>
    <row r="222" spans="1:33">
      <c r="A222" s="304">
        <v>45210</v>
      </c>
      <c r="B222" s="392">
        <v>300</v>
      </c>
      <c r="C222" s="176"/>
      <c r="D222" s="229">
        <v>115</v>
      </c>
      <c r="E222" s="325">
        <v>138</v>
      </c>
      <c r="F222" s="310">
        <v>44</v>
      </c>
      <c r="G222" s="325"/>
      <c r="H222" s="392">
        <v>1200</v>
      </c>
      <c r="I222" s="176"/>
      <c r="J222" s="309">
        <v>1470.94</v>
      </c>
      <c r="K222" s="324">
        <v>10217</v>
      </c>
      <c r="L222" s="324">
        <v>607</v>
      </c>
      <c r="M222" s="325"/>
      <c r="N222" s="392">
        <v>1000</v>
      </c>
      <c r="O222" s="176"/>
      <c r="P222" s="309">
        <v>686.99</v>
      </c>
      <c r="Q222" s="324">
        <v>18651</v>
      </c>
      <c r="R222" s="324">
        <v>278</v>
      </c>
      <c r="S222" s="325"/>
      <c r="T222" s="326">
        <v>200</v>
      </c>
      <c r="U222" s="176"/>
      <c r="V222" s="229">
        <v>149</v>
      </c>
      <c r="W222" s="324">
        <f>801+872</f>
        <v>1673</v>
      </c>
      <c r="X222" s="324">
        <f>29+67</f>
        <v>96</v>
      </c>
      <c r="Y222" s="415"/>
      <c r="Z222" s="416"/>
    </row>
    <row r="223" s="59" customFormat="1" spans="1:33">
      <c r="A223" s="304">
        <v>45211</v>
      </c>
      <c r="B223" s="392">
        <v>300</v>
      </c>
      <c r="C223" s="176"/>
      <c r="D223" s="309">
        <v>187.59</v>
      </c>
      <c r="E223" s="310">
        <v>226</v>
      </c>
      <c r="F223" s="310">
        <v>91</v>
      </c>
      <c r="G223" s="325"/>
      <c r="H223" s="392">
        <v>1200</v>
      </c>
      <c r="I223" s="176"/>
      <c r="J223" s="309">
        <v>1368.39</v>
      </c>
      <c r="K223" s="324">
        <v>6461</v>
      </c>
      <c r="L223" s="324">
        <v>550</v>
      </c>
      <c r="M223" s="325"/>
      <c r="N223" s="392">
        <v>1000</v>
      </c>
      <c r="O223" s="176"/>
      <c r="P223" s="229">
        <v>696</v>
      </c>
      <c r="Q223" s="324">
        <v>17603</v>
      </c>
      <c r="R223" s="227">
        <v>325</v>
      </c>
      <c r="S223" s="325"/>
      <c r="T223" s="326">
        <v>200</v>
      </c>
      <c r="U223" s="176"/>
      <c r="V223" s="403">
        <f>100+24.16</f>
        <v>124.16</v>
      </c>
      <c r="W223" s="417">
        <f>1171+399</f>
        <v>1570</v>
      </c>
      <c r="X223" s="417">
        <f>72+15</f>
        <v>87</v>
      </c>
      <c r="Y223" s="401"/>
      <c r="Z223" s="402"/>
      <c r="AA223" s="313"/>
      <c r="AB223" s="314"/>
      <c r="AG223" s="315"/>
    </row>
    <row r="224" spans="1:33">
      <c r="A224" s="304">
        <v>45212</v>
      </c>
      <c r="B224" s="392">
        <v>300</v>
      </c>
      <c r="C224" s="336"/>
      <c r="D224" s="418">
        <v>118</v>
      </c>
      <c r="E224" s="419">
        <v>147</v>
      </c>
      <c r="F224" s="360">
        <v>55</v>
      </c>
      <c r="G224" s="419"/>
      <c r="H224" s="392">
        <v>1200</v>
      </c>
      <c r="I224" s="336"/>
      <c r="J224" s="366">
        <v>907.12</v>
      </c>
      <c r="K224" s="364">
        <v>3561</v>
      </c>
      <c r="L224" s="364">
        <v>454</v>
      </c>
      <c r="M224" s="419"/>
      <c r="N224" s="392">
        <v>1000</v>
      </c>
      <c r="O224" s="173"/>
      <c r="P224" s="340">
        <v>699.89</v>
      </c>
      <c r="Q224" s="324">
        <v>8432</v>
      </c>
      <c r="R224" s="324">
        <v>172</v>
      </c>
      <c r="S224" s="325"/>
      <c r="T224" s="326">
        <v>200</v>
      </c>
      <c r="U224" s="176"/>
      <c r="V224" s="229">
        <v>99.07</v>
      </c>
      <c r="W224" s="324">
        <v>1019</v>
      </c>
      <c r="X224" s="420">
        <v>66</v>
      </c>
      <c r="Y224" s="421"/>
      <c r="Z224" s="402"/>
    </row>
    <row r="225" spans="1:26">
      <c r="A225" s="304">
        <v>45213</v>
      </c>
      <c r="B225" s="392">
        <v>300</v>
      </c>
      <c r="C225" s="173"/>
      <c r="D225" s="422">
        <v>130</v>
      </c>
      <c r="E225" s="325">
        <v>140</v>
      </c>
      <c r="F225" s="310">
        <v>63</v>
      </c>
      <c r="G225" s="325"/>
      <c r="H225" s="392">
        <v>1200</v>
      </c>
      <c r="I225" s="173"/>
      <c r="J225" s="340">
        <v>835.85</v>
      </c>
      <c r="K225" s="324">
        <v>4354</v>
      </c>
      <c r="L225" s="324">
        <v>504</v>
      </c>
      <c r="M225" s="325"/>
      <c r="N225" s="392">
        <v>1000</v>
      </c>
      <c r="O225" s="173"/>
      <c r="P225" s="340">
        <v>700</v>
      </c>
      <c r="Q225" s="324">
        <v>10343</v>
      </c>
      <c r="R225" s="324">
        <v>176</v>
      </c>
      <c r="S225" s="325"/>
      <c r="T225" s="326">
        <v>200</v>
      </c>
      <c r="U225" s="176"/>
      <c r="V225" s="229">
        <v>98.13</v>
      </c>
      <c r="W225" s="324">
        <v>1079</v>
      </c>
      <c r="X225" s="420">
        <v>83</v>
      </c>
      <c r="Y225" s="421"/>
      <c r="Z225" s="402"/>
    </row>
    <row r="226" spans="1:26">
      <c r="A226" s="304">
        <v>45214</v>
      </c>
      <c r="B226" s="392">
        <v>300</v>
      </c>
      <c r="C226" s="173"/>
      <c r="D226" s="422">
        <v>149</v>
      </c>
      <c r="E226" s="325">
        <v>167</v>
      </c>
      <c r="F226" s="310">
        <v>83</v>
      </c>
      <c r="G226" s="325"/>
      <c r="H226" s="392">
        <v>1200</v>
      </c>
      <c r="I226" s="173"/>
      <c r="J226" s="340">
        <v>895.32</v>
      </c>
      <c r="K226" s="324">
        <v>4354</v>
      </c>
      <c r="L226" s="324">
        <v>466</v>
      </c>
      <c r="M226" s="325"/>
      <c r="N226" s="392">
        <v>1000</v>
      </c>
      <c r="O226" s="173"/>
      <c r="P226" s="340">
        <v>696.39</v>
      </c>
      <c r="Q226" s="324">
        <v>8449</v>
      </c>
      <c r="R226" s="324">
        <v>151</v>
      </c>
      <c r="S226" s="325"/>
      <c r="T226" s="326">
        <v>200</v>
      </c>
      <c r="U226" s="176"/>
      <c r="V226" s="229">
        <v>99.53</v>
      </c>
      <c r="W226" s="324">
        <v>1082</v>
      </c>
      <c r="X226" s="420">
        <v>60</v>
      </c>
      <c r="Y226" s="421"/>
      <c r="Z226" s="402"/>
    </row>
    <row r="227" spans="1:26">
      <c r="A227" s="304">
        <v>45215</v>
      </c>
      <c r="B227" s="392">
        <v>300</v>
      </c>
      <c r="C227" s="173"/>
      <c r="D227" s="422">
        <v>260</v>
      </c>
      <c r="E227" s="325">
        <v>306</v>
      </c>
      <c r="F227" s="310">
        <v>142</v>
      </c>
      <c r="G227" s="325"/>
      <c r="H227" s="392">
        <v>1200</v>
      </c>
      <c r="I227" s="176"/>
      <c r="J227" s="309">
        <v>1241.53</v>
      </c>
      <c r="K227" s="324">
        <v>4666</v>
      </c>
      <c r="L227" s="324">
        <v>585</v>
      </c>
      <c r="M227" s="325"/>
      <c r="N227" s="392">
        <v>1000</v>
      </c>
      <c r="O227" s="176"/>
      <c r="P227" s="309">
        <v>696.19</v>
      </c>
      <c r="Q227" s="414">
        <v>12419</v>
      </c>
      <c r="R227" s="324">
        <v>163</v>
      </c>
      <c r="S227" s="325"/>
      <c r="T227" s="326">
        <v>200</v>
      </c>
      <c r="U227" s="176"/>
      <c r="V227" s="229">
        <v>100</v>
      </c>
      <c r="W227" s="324">
        <v>2121</v>
      </c>
      <c r="X227" s="324">
        <v>68</v>
      </c>
      <c r="Y227" s="423"/>
      <c r="Z227" s="424"/>
    </row>
    <row r="228" spans="1:26">
      <c r="A228" s="304">
        <v>45216</v>
      </c>
      <c r="B228" s="392">
        <v>300</v>
      </c>
      <c r="C228" s="251"/>
      <c r="D228" s="425">
        <v>299.09</v>
      </c>
      <c r="E228" s="395">
        <v>403</v>
      </c>
      <c r="F228" s="395">
        <v>174</v>
      </c>
      <c r="G228" s="395"/>
      <c r="H228" s="396">
        <v>1200</v>
      </c>
      <c r="I228" s="354"/>
      <c r="J228" s="426">
        <v>1230</v>
      </c>
      <c r="K228" s="427">
        <v>3063</v>
      </c>
      <c r="L228" s="428">
        <v>540</v>
      </c>
      <c r="M228" s="395"/>
      <c r="N228" s="396">
        <v>1000</v>
      </c>
      <c r="O228" s="251"/>
      <c r="P228" s="316">
        <v>695.86</v>
      </c>
      <c r="Q228" s="429">
        <v>7584</v>
      </c>
      <c r="R228" s="333">
        <v>151</v>
      </c>
      <c r="S228" s="395"/>
      <c r="T228" s="430">
        <v>200</v>
      </c>
      <c r="U228" s="354"/>
      <c r="V228" s="426">
        <v>125</v>
      </c>
      <c r="W228" s="333">
        <f>1919+721</f>
        <v>2640</v>
      </c>
      <c r="X228" s="333">
        <f>87+13</f>
        <v>100</v>
      </c>
      <c r="Y228" s="413"/>
      <c r="Z228" s="402"/>
    </row>
    <row r="229" spans="1:26">
      <c r="A229" s="304">
        <v>45217</v>
      </c>
      <c r="B229" s="392">
        <v>600</v>
      </c>
      <c r="C229" s="173"/>
      <c r="D229" s="340">
        <v>524.38</v>
      </c>
      <c r="E229" s="166">
        <v>724</v>
      </c>
      <c r="F229" s="310">
        <v>273</v>
      </c>
      <c r="G229" s="325"/>
      <c r="H229" s="392">
        <v>1500</v>
      </c>
      <c r="I229" s="176"/>
      <c r="J229" s="309">
        <v>1388.99</v>
      </c>
      <c r="K229" s="324">
        <v>3107</v>
      </c>
      <c r="L229" s="324">
        <v>646</v>
      </c>
      <c r="M229" s="325"/>
      <c r="N229" s="392">
        <v>1200</v>
      </c>
      <c r="O229" s="176"/>
      <c r="P229" s="309">
        <v>898.81</v>
      </c>
      <c r="Q229" s="324">
        <v>13386</v>
      </c>
      <c r="R229" s="227">
        <v>196</v>
      </c>
      <c r="S229" s="325"/>
      <c r="T229" s="326">
        <v>200</v>
      </c>
      <c r="U229" s="173"/>
      <c r="V229" s="368">
        <f>100+48.75</f>
        <v>148.75</v>
      </c>
      <c r="W229" s="323">
        <f>3272+518</f>
        <v>3790</v>
      </c>
      <c r="X229" s="323">
        <f>105+20</f>
        <v>125</v>
      </c>
      <c r="Y229" s="401"/>
      <c r="Z229" s="402"/>
    </row>
    <row r="230" spans="1:26">
      <c r="A230" s="304">
        <v>45218</v>
      </c>
      <c r="B230" s="392">
        <v>600</v>
      </c>
      <c r="C230" s="330"/>
      <c r="D230" s="381">
        <v>431.5</v>
      </c>
      <c r="E230" s="382">
        <v>556</v>
      </c>
      <c r="F230" s="383">
        <v>189</v>
      </c>
      <c r="G230" s="431"/>
      <c r="H230" s="392">
        <v>1500</v>
      </c>
      <c r="I230" s="330"/>
      <c r="J230" s="381">
        <v>1489.2</v>
      </c>
      <c r="K230" s="356">
        <v>4569</v>
      </c>
      <c r="L230" s="432">
        <v>590</v>
      </c>
      <c r="M230" s="431"/>
      <c r="N230" s="392">
        <v>1200</v>
      </c>
      <c r="O230" s="176"/>
      <c r="P230" s="229">
        <v>882.19</v>
      </c>
      <c r="Q230" s="414">
        <v>13174</v>
      </c>
      <c r="R230" s="227">
        <v>275</v>
      </c>
      <c r="S230" s="325"/>
      <c r="T230" s="326">
        <v>200</v>
      </c>
      <c r="U230" s="176"/>
      <c r="V230" s="322">
        <f>100+48.91</f>
        <v>148.91</v>
      </c>
      <c r="W230" s="323">
        <f>3140+1586</f>
        <v>4726</v>
      </c>
      <c r="X230" s="323">
        <f>32+105</f>
        <v>137</v>
      </c>
      <c r="Y230" s="401"/>
      <c r="Z230" s="402"/>
    </row>
    <row r="231" spans="1:26">
      <c r="A231" s="304">
        <v>45219</v>
      </c>
      <c r="B231" s="392">
        <v>600</v>
      </c>
      <c r="C231" s="173"/>
      <c r="D231" s="340">
        <v>262.89</v>
      </c>
      <c r="E231" s="310">
        <v>324</v>
      </c>
      <c r="F231" s="310">
        <v>117</v>
      </c>
      <c r="G231" s="433"/>
      <c r="H231" s="434">
        <v>1500</v>
      </c>
      <c r="I231" s="350"/>
      <c r="J231" s="322">
        <v>1092.9</v>
      </c>
      <c r="K231" s="323">
        <v>3795</v>
      </c>
      <c r="L231" s="323">
        <v>472</v>
      </c>
      <c r="M231" s="435"/>
      <c r="N231" s="436">
        <v>1200</v>
      </c>
      <c r="O231" s="173"/>
      <c r="P231" s="229">
        <v>884.93</v>
      </c>
      <c r="Q231" s="414">
        <v>23435</v>
      </c>
      <c r="R231" s="227">
        <v>320</v>
      </c>
      <c r="S231" s="325"/>
      <c r="T231" s="326">
        <v>200</v>
      </c>
      <c r="U231" s="160"/>
      <c r="V231" s="375">
        <f>49.99+100</f>
        <v>149.99</v>
      </c>
      <c r="W231" s="338">
        <f>4136+953</f>
        <v>5089</v>
      </c>
      <c r="X231" s="338">
        <f>37+82</f>
        <v>119</v>
      </c>
      <c r="Y231" s="437"/>
      <c r="Z231" s="438"/>
    </row>
    <row r="232" spans="1:26">
      <c r="A232" s="304">
        <v>45220</v>
      </c>
      <c r="B232" s="392">
        <v>600</v>
      </c>
      <c r="C232" s="173"/>
      <c r="D232" s="340">
        <v>266.84</v>
      </c>
      <c r="E232" s="310">
        <v>396</v>
      </c>
      <c r="F232" s="310">
        <v>165</v>
      </c>
      <c r="G232" s="433"/>
      <c r="H232" s="434">
        <v>1500</v>
      </c>
      <c r="I232" s="350"/>
      <c r="J232" s="322">
        <v>1263.09</v>
      </c>
      <c r="K232" s="323">
        <v>3723</v>
      </c>
      <c r="L232" s="323">
        <v>537</v>
      </c>
      <c r="M232" s="435"/>
      <c r="N232" s="436">
        <v>1200</v>
      </c>
      <c r="O232" s="173"/>
      <c r="P232" s="229">
        <v>888.88</v>
      </c>
      <c r="Q232" s="414">
        <v>26456</v>
      </c>
      <c r="R232" s="227">
        <v>336</v>
      </c>
      <c r="S232" s="325"/>
      <c r="T232" s="326">
        <v>200</v>
      </c>
      <c r="U232" s="176"/>
      <c r="V232" s="322">
        <f>45.49+100</f>
        <v>145.49</v>
      </c>
      <c r="W232" s="323">
        <f>866+883</f>
        <v>1749</v>
      </c>
      <c r="X232" s="323">
        <f>25+90</f>
        <v>115</v>
      </c>
      <c r="Y232" s="439"/>
      <c r="Z232" s="438"/>
    </row>
    <row r="233" spans="1:26">
      <c r="A233" s="304">
        <v>45221</v>
      </c>
      <c r="B233" s="392">
        <v>600</v>
      </c>
      <c r="C233" s="173"/>
      <c r="D233" s="340">
        <v>341.23</v>
      </c>
      <c r="E233" s="310">
        <v>393</v>
      </c>
      <c r="F233" s="310">
        <v>184</v>
      </c>
      <c r="G233" s="433"/>
      <c r="H233" s="434">
        <v>1500</v>
      </c>
      <c r="I233" s="343"/>
      <c r="J233" s="328">
        <v>1390.1</v>
      </c>
      <c r="K233" s="329">
        <v>3946</v>
      </c>
      <c r="L233" s="329">
        <v>587</v>
      </c>
      <c r="M233" s="440"/>
      <c r="N233" s="436">
        <v>1200</v>
      </c>
      <c r="O233" s="173"/>
      <c r="P233" s="229">
        <v>897.95</v>
      </c>
      <c r="Q233" s="414">
        <v>29288</v>
      </c>
      <c r="R233" s="227">
        <v>344</v>
      </c>
      <c r="S233" s="325"/>
      <c r="T233" s="326">
        <v>200</v>
      </c>
      <c r="U233" s="176"/>
      <c r="V233" s="322">
        <f>47.28+99.81</f>
        <v>147.09</v>
      </c>
      <c r="W233" s="323">
        <f>455+1052</f>
        <v>1507</v>
      </c>
      <c r="X233" s="323">
        <f>19+92</f>
        <v>111</v>
      </c>
      <c r="Y233" s="439"/>
      <c r="Z233" s="438"/>
    </row>
    <row r="234" spans="1:26">
      <c r="A234" s="304">
        <v>45222</v>
      </c>
      <c r="B234" s="396">
        <v>600</v>
      </c>
      <c r="C234" s="248"/>
      <c r="D234" s="370">
        <v>270.09</v>
      </c>
      <c r="E234" s="341">
        <v>284</v>
      </c>
      <c r="F234" s="395">
        <v>127</v>
      </c>
      <c r="G234" s="395"/>
      <c r="H234" s="396">
        <v>1500</v>
      </c>
      <c r="I234" s="248"/>
      <c r="J234" s="371">
        <v>1335.95</v>
      </c>
      <c r="K234" s="333">
        <v>4284</v>
      </c>
      <c r="L234" s="334">
        <v>512</v>
      </c>
      <c r="M234" s="441"/>
      <c r="N234" s="396">
        <v>1200</v>
      </c>
      <c r="O234" s="330"/>
      <c r="P234" s="381">
        <v>891.34</v>
      </c>
      <c r="Q234" s="356">
        <v>44231</v>
      </c>
      <c r="R234" s="432">
        <v>323</v>
      </c>
      <c r="S234" s="431"/>
      <c r="T234" s="430">
        <v>200</v>
      </c>
      <c r="U234" s="251"/>
      <c r="V234" s="328">
        <f>48.48+100</f>
        <v>148.48</v>
      </c>
      <c r="W234" s="329">
        <f>697+533</f>
        <v>1230</v>
      </c>
      <c r="X234" s="329">
        <f>69+25</f>
        <v>94</v>
      </c>
      <c r="Y234" s="413"/>
      <c r="Z234" s="442"/>
    </row>
    <row r="235" spans="1:26">
      <c r="A235" s="304">
        <v>45223</v>
      </c>
      <c r="B235" s="392">
        <v>900</v>
      </c>
      <c r="C235" s="176"/>
      <c r="D235" s="443">
        <v>533.46</v>
      </c>
      <c r="E235" s="394">
        <v>565</v>
      </c>
      <c r="F235" s="404">
        <v>257</v>
      </c>
      <c r="G235" s="325"/>
      <c r="H235" s="392">
        <v>3000</v>
      </c>
      <c r="I235" s="176"/>
      <c r="J235" s="393">
        <v>2977.19</v>
      </c>
      <c r="K235" s="407">
        <v>5946</v>
      </c>
      <c r="L235" s="405">
        <v>896</v>
      </c>
      <c r="M235" s="325"/>
      <c r="N235" s="392">
        <v>2000</v>
      </c>
      <c r="O235" s="176"/>
      <c r="P235" s="393">
        <v>1268.72</v>
      </c>
      <c r="Q235" s="407">
        <v>70816</v>
      </c>
      <c r="R235" s="405">
        <v>540</v>
      </c>
      <c r="S235" s="325"/>
      <c r="T235" s="326">
        <v>200</v>
      </c>
      <c r="U235" s="176"/>
      <c r="V235" s="393">
        <v>146.62</v>
      </c>
      <c r="W235" s="407">
        <f>428+606</f>
        <v>1034</v>
      </c>
      <c r="X235" s="405">
        <v>84</v>
      </c>
      <c r="Y235" s="401"/>
      <c r="Z235" s="402"/>
    </row>
    <row r="236" spans="1:26">
      <c r="A236" s="304">
        <v>45224</v>
      </c>
      <c r="B236" s="392">
        <v>900</v>
      </c>
      <c r="C236" s="176"/>
      <c r="D236" s="443">
        <v>581.49</v>
      </c>
      <c r="E236" s="394">
        <v>616</v>
      </c>
      <c r="F236" s="404">
        <v>339</v>
      </c>
      <c r="G236" s="325"/>
      <c r="H236" s="392">
        <v>3000</v>
      </c>
      <c r="I236" s="176"/>
      <c r="J236" s="444">
        <v>3045.95</v>
      </c>
      <c r="K236" s="407">
        <v>6426</v>
      </c>
      <c r="L236" s="405">
        <v>767</v>
      </c>
      <c r="M236" s="325"/>
      <c r="N236" s="392">
        <v>2000</v>
      </c>
      <c r="O236" s="176"/>
      <c r="P236" s="444">
        <v>993.67</v>
      </c>
      <c r="Q236" s="407">
        <v>34867</v>
      </c>
      <c r="R236" s="405">
        <v>331</v>
      </c>
      <c r="S236" s="325"/>
      <c r="T236" s="326">
        <v>200</v>
      </c>
      <c r="U236" s="176"/>
      <c r="V236" s="393">
        <v>3536.38</v>
      </c>
      <c r="W236" s="399">
        <f>620+968</f>
        <v>1588</v>
      </c>
      <c r="X236" s="405">
        <v>615</v>
      </c>
      <c r="Y236" s="401"/>
      <c r="Z236" s="402"/>
    </row>
    <row r="237" spans="1:26">
      <c r="A237" s="304">
        <v>45225</v>
      </c>
      <c r="B237" s="392">
        <v>900</v>
      </c>
      <c r="C237" s="176"/>
      <c r="D237" s="443">
        <v>442.8</v>
      </c>
      <c r="E237" s="394">
        <v>502</v>
      </c>
      <c r="F237" s="404">
        <v>213</v>
      </c>
      <c r="G237" s="325"/>
      <c r="H237" s="392">
        <v>3000</v>
      </c>
      <c r="I237" s="176"/>
      <c r="J237" s="444">
        <v>2480.84</v>
      </c>
      <c r="K237" s="407">
        <v>5143</v>
      </c>
      <c r="L237" s="405">
        <v>670</v>
      </c>
      <c r="M237" s="325"/>
      <c r="N237" s="392">
        <v>2000</v>
      </c>
      <c r="O237" s="176"/>
      <c r="P237" s="444">
        <v>590.72</v>
      </c>
      <c r="Q237" s="407">
        <v>12147</v>
      </c>
      <c r="R237" s="405">
        <v>158</v>
      </c>
      <c r="S237" s="325"/>
      <c r="T237" s="326">
        <v>200</v>
      </c>
      <c r="U237" s="176"/>
      <c r="V237" s="393">
        <v>150</v>
      </c>
      <c r="W237" s="399">
        <f>901+711</f>
        <v>1612</v>
      </c>
      <c r="X237" s="405">
        <v>121</v>
      </c>
      <c r="Y237" s="401"/>
      <c r="Z237" s="402"/>
    </row>
    <row r="238" spans="1:26">
      <c r="A238" s="304">
        <v>45226</v>
      </c>
      <c r="B238" s="392">
        <v>900</v>
      </c>
      <c r="C238" s="176"/>
      <c r="D238" s="443">
        <v>464.24</v>
      </c>
      <c r="E238" s="394">
        <v>549</v>
      </c>
      <c r="F238" s="404">
        <v>198</v>
      </c>
      <c r="G238" s="325"/>
      <c r="H238" s="392">
        <v>3000</v>
      </c>
      <c r="I238" s="176"/>
      <c r="J238" s="444">
        <v>3227.27</v>
      </c>
      <c r="K238" s="407">
        <v>7030</v>
      </c>
      <c r="L238" s="405">
        <v>857</v>
      </c>
      <c r="M238" s="325"/>
      <c r="N238" s="392">
        <v>2000</v>
      </c>
      <c r="O238" s="176"/>
      <c r="P238" s="444">
        <v>1464.16</v>
      </c>
      <c r="Q238" s="407">
        <v>28357</v>
      </c>
      <c r="R238" s="405">
        <v>393</v>
      </c>
      <c r="S238" s="325"/>
      <c r="T238" s="326">
        <v>200</v>
      </c>
      <c r="U238" s="176"/>
      <c r="V238" s="393">
        <v>145</v>
      </c>
      <c r="W238" s="399">
        <f>985+670</f>
        <v>1655</v>
      </c>
      <c r="X238" s="405">
        <v>128</v>
      </c>
      <c r="Y238" s="401"/>
      <c r="Z238" s="402"/>
    </row>
    <row r="239" spans="1:26">
      <c r="A239" s="304">
        <v>45227</v>
      </c>
      <c r="B239" s="392">
        <v>900</v>
      </c>
      <c r="C239" s="176"/>
      <c r="D239" s="443">
        <v>397.79</v>
      </c>
      <c r="E239" s="394">
        <v>479</v>
      </c>
      <c r="F239" s="404">
        <v>192</v>
      </c>
      <c r="G239" s="325"/>
      <c r="H239" s="392">
        <v>3000</v>
      </c>
      <c r="I239" s="176"/>
      <c r="J239" s="393">
        <v>2963.19</v>
      </c>
      <c r="K239" s="400">
        <v>6879</v>
      </c>
      <c r="L239" s="405">
        <v>813</v>
      </c>
      <c r="M239" s="325"/>
      <c r="N239" s="392">
        <v>2000</v>
      </c>
      <c r="O239" s="176"/>
      <c r="P239" s="393">
        <v>1296.41</v>
      </c>
      <c r="Q239" s="400">
        <v>34355</v>
      </c>
      <c r="R239" s="405">
        <v>355</v>
      </c>
      <c r="S239" s="325"/>
      <c r="T239" s="326">
        <v>200</v>
      </c>
      <c r="U239" s="176"/>
      <c r="V239" s="393">
        <f>100+44.57+47.98</f>
        <v>192.55</v>
      </c>
      <c r="W239" s="400">
        <f>541+2191+1055</f>
        <v>3787</v>
      </c>
      <c r="X239" s="405">
        <v>191</v>
      </c>
      <c r="Y239" s="401"/>
      <c r="Z239" s="402"/>
    </row>
    <row r="240" spans="1:26">
      <c r="A240" s="304">
        <v>45228</v>
      </c>
      <c r="B240" s="392">
        <v>900</v>
      </c>
      <c r="C240" s="176"/>
      <c r="D240" s="443">
        <v>498.83</v>
      </c>
      <c r="E240" s="394">
        <v>464</v>
      </c>
      <c r="F240" s="404">
        <v>213</v>
      </c>
      <c r="G240" s="325"/>
      <c r="H240" s="392">
        <v>3000</v>
      </c>
      <c r="I240" s="176"/>
      <c r="J240" s="444">
        <v>2688.85</v>
      </c>
      <c r="K240" s="445">
        <v>6981</v>
      </c>
      <c r="L240" s="405">
        <v>714</v>
      </c>
      <c r="M240" s="325"/>
      <c r="N240" s="392">
        <v>2000</v>
      </c>
      <c r="O240" s="176"/>
      <c r="P240" s="444">
        <v>1380.41</v>
      </c>
      <c r="Q240" s="445">
        <v>20524</v>
      </c>
      <c r="R240" s="405">
        <v>371</v>
      </c>
      <c r="S240" s="325"/>
      <c r="T240" s="326">
        <v>200</v>
      </c>
      <c r="U240" s="176"/>
      <c r="V240" s="393">
        <v>146.63</v>
      </c>
      <c r="W240" s="445">
        <f>1102+645</f>
        <v>1747</v>
      </c>
      <c r="X240" s="405">
        <v>98</v>
      </c>
      <c r="Y240" s="401"/>
      <c r="Z240" s="402"/>
    </row>
    <row r="241" spans="1:26">
      <c r="A241" s="304">
        <v>45229</v>
      </c>
      <c r="B241" s="392">
        <v>900</v>
      </c>
      <c r="C241" s="176"/>
      <c r="D241" s="443">
        <v>359.4</v>
      </c>
      <c r="E241" s="394">
        <v>332</v>
      </c>
      <c r="F241" s="404">
        <v>133</v>
      </c>
      <c r="G241" s="325"/>
      <c r="H241" s="392">
        <v>3000</v>
      </c>
      <c r="I241" s="176"/>
      <c r="J241" s="393">
        <v>2545.54</v>
      </c>
      <c r="K241" s="445">
        <v>9368</v>
      </c>
      <c r="L241" s="405">
        <v>730</v>
      </c>
      <c r="M241" s="325"/>
      <c r="N241" s="392">
        <v>2000</v>
      </c>
      <c r="O241" s="176"/>
      <c r="P241" s="393">
        <v>1197.27</v>
      </c>
      <c r="Q241" s="445">
        <v>23978</v>
      </c>
      <c r="R241" s="405">
        <v>300</v>
      </c>
      <c r="S241" s="325"/>
      <c r="T241" s="326">
        <v>200</v>
      </c>
      <c r="U241" s="176"/>
      <c r="V241" s="393">
        <v>691.99</v>
      </c>
      <c r="W241" s="445">
        <f>742+709</f>
        <v>1451</v>
      </c>
      <c r="X241" s="405">
        <v>236</v>
      </c>
      <c r="Y241" s="401"/>
      <c r="Z241" s="402"/>
    </row>
    <row r="242" spans="1:26">
      <c r="A242" s="304">
        <v>45230</v>
      </c>
      <c r="B242" s="392">
        <v>900</v>
      </c>
      <c r="C242" s="176"/>
      <c r="D242" s="443">
        <v>445.63</v>
      </c>
      <c r="E242" s="394">
        <v>391</v>
      </c>
      <c r="F242" s="404">
        <v>160</v>
      </c>
      <c r="G242" s="325"/>
      <c r="H242" s="392">
        <v>3000</v>
      </c>
      <c r="I242" s="176"/>
      <c r="J242" s="393">
        <v>8913.97</v>
      </c>
      <c r="K242" s="445">
        <v>16089</v>
      </c>
      <c r="L242" s="405">
        <v>1213</v>
      </c>
      <c r="M242" s="325"/>
      <c r="N242" s="392">
        <v>2000</v>
      </c>
      <c r="O242" s="176"/>
      <c r="P242" s="393">
        <v>5129.72</v>
      </c>
      <c r="Q242" s="445">
        <v>128319</v>
      </c>
      <c r="R242" s="399">
        <v>2206</v>
      </c>
      <c r="S242" s="325"/>
      <c r="T242" s="326">
        <v>200</v>
      </c>
      <c r="U242" s="176"/>
      <c r="V242" s="393">
        <f>335.21+496.38+500</f>
        <v>1331.59</v>
      </c>
      <c r="W242" s="445">
        <f>2891+2460+2274</f>
        <v>7625</v>
      </c>
      <c r="X242" s="405">
        <v>369</v>
      </c>
      <c r="Y242" s="401"/>
      <c r="Z242" s="402"/>
    </row>
    <row r="243" spans="1:26">
      <c r="A243" s="304">
        <v>45231</v>
      </c>
      <c r="B243" s="392">
        <v>900</v>
      </c>
      <c r="C243" s="176"/>
      <c r="D243" s="443">
        <v>446.27</v>
      </c>
      <c r="E243" s="394">
        <v>407</v>
      </c>
      <c r="F243" s="404">
        <v>192</v>
      </c>
      <c r="G243" s="325"/>
      <c r="H243" s="392">
        <v>3000</v>
      </c>
      <c r="I243" s="176"/>
      <c r="J243" s="444">
        <v>4213.87</v>
      </c>
      <c r="K243" s="445">
        <v>11116</v>
      </c>
      <c r="L243" s="405">
        <v>868</v>
      </c>
      <c r="M243" s="325"/>
      <c r="N243" s="392">
        <v>2000</v>
      </c>
      <c r="O243" s="176"/>
      <c r="P243" s="444">
        <v>2220.29</v>
      </c>
      <c r="Q243" s="445">
        <v>68420</v>
      </c>
      <c r="R243" s="399">
        <v>1360</v>
      </c>
      <c r="S243" s="325"/>
      <c r="T243" s="326">
        <v>200</v>
      </c>
      <c r="U243" s="176"/>
      <c r="V243" s="393">
        <v>989.49</v>
      </c>
      <c r="W243" s="445">
        <f>1148+714</f>
        <v>1862</v>
      </c>
      <c r="X243" s="405">
        <v>261</v>
      </c>
      <c r="Y243" s="401"/>
      <c r="Z243" s="402"/>
    </row>
    <row r="244" spans="1:26">
      <c r="A244" s="304">
        <v>45232</v>
      </c>
      <c r="B244" s="392">
        <v>900</v>
      </c>
      <c r="C244" s="176"/>
      <c r="D244" s="443">
        <v>412.61</v>
      </c>
      <c r="E244" s="394">
        <v>352</v>
      </c>
      <c r="F244" s="404">
        <v>157</v>
      </c>
      <c r="G244" s="325"/>
      <c r="H244" s="392">
        <v>3000</v>
      </c>
      <c r="I244" s="176"/>
      <c r="J244" s="444">
        <v>3751.24</v>
      </c>
      <c r="K244" s="445">
        <v>11653</v>
      </c>
      <c r="L244" s="405">
        <v>797</v>
      </c>
      <c r="M244" s="325"/>
      <c r="N244" s="392">
        <v>2000</v>
      </c>
      <c r="O244" s="176"/>
      <c r="P244" s="444">
        <v>1852.27</v>
      </c>
      <c r="Q244" s="445">
        <v>96894</v>
      </c>
      <c r="R244" s="399">
        <v>1399</v>
      </c>
      <c r="S244" s="325"/>
      <c r="T244" s="326">
        <v>200</v>
      </c>
      <c r="U244" s="176"/>
      <c r="V244" s="446">
        <f>94.29+99.35+48.3</f>
        <v>241.94</v>
      </c>
      <c r="W244" s="445">
        <f>2295+964</f>
        <v>3259</v>
      </c>
      <c r="X244" s="405">
        <v>147</v>
      </c>
      <c r="Y244" s="401"/>
      <c r="Z244" s="402"/>
    </row>
    <row r="245" spans="1:26">
      <c r="A245" s="304">
        <v>45233</v>
      </c>
      <c r="B245" s="392">
        <v>900</v>
      </c>
      <c r="C245" s="176"/>
      <c r="D245" s="443">
        <v>364.25</v>
      </c>
      <c r="E245" s="394">
        <v>353</v>
      </c>
      <c r="F245" s="404">
        <v>128</v>
      </c>
      <c r="G245" s="325"/>
      <c r="H245" s="392">
        <v>3000</v>
      </c>
      <c r="I245" s="176"/>
      <c r="J245" s="444">
        <v>3735.33</v>
      </c>
      <c r="K245" s="445">
        <v>9232</v>
      </c>
      <c r="L245" s="405">
        <v>676</v>
      </c>
      <c r="M245" s="325"/>
      <c r="N245" s="392">
        <v>2000</v>
      </c>
      <c r="O245" s="176"/>
      <c r="P245" s="444">
        <v>1757.44</v>
      </c>
      <c r="Q245" s="445">
        <v>112427</v>
      </c>
      <c r="R245" s="399">
        <v>1480</v>
      </c>
      <c r="S245" s="325"/>
      <c r="T245" s="326">
        <v>200</v>
      </c>
      <c r="U245" s="176"/>
      <c r="V245" s="393">
        <f>99.37+49.99+62.26</f>
        <v>211.62</v>
      </c>
      <c r="W245" s="445">
        <f>3369+932</f>
        <v>4301</v>
      </c>
      <c r="X245" s="405">
        <v>188</v>
      </c>
      <c r="Y245" s="401"/>
      <c r="Z245" s="402"/>
    </row>
    <row r="246" spans="1:26">
      <c r="A246" s="304">
        <v>45234</v>
      </c>
      <c r="B246" s="392">
        <v>900</v>
      </c>
      <c r="C246" s="176"/>
      <c r="D246" s="443">
        <v>306.63</v>
      </c>
      <c r="E246" s="394">
        <v>287</v>
      </c>
      <c r="F246" s="404">
        <v>129</v>
      </c>
      <c r="G246" s="325"/>
      <c r="H246" s="392">
        <v>3000</v>
      </c>
      <c r="I246" s="176"/>
      <c r="J246" s="444">
        <v>3645.96</v>
      </c>
      <c r="K246" s="445">
        <v>11216</v>
      </c>
      <c r="L246" s="405">
        <v>797</v>
      </c>
      <c r="M246" s="325"/>
      <c r="N246" s="392">
        <v>2000</v>
      </c>
      <c r="O246" s="176"/>
      <c r="P246" s="444">
        <v>1562.58</v>
      </c>
      <c r="Q246" s="445">
        <v>103860</v>
      </c>
      <c r="R246" s="399">
        <v>1579</v>
      </c>
      <c r="S246" s="325"/>
      <c r="T246" s="326">
        <v>200</v>
      </c>
      <c r="U246" s="176"/>
      <c r="V246" s="443">
        <f>90.1+99.32+47.5</f>
        <v>236.92</v>
      </c>
      <c r="W246" s="447">
        <f>3296+910+2262</f>
        <v>6468</v>
      </c>
      <c r="X246" s="405">
        <v>250</v>
      </c>
      <c r="Y246" s="401"/>
      <c r="Z246" s="402"/>
    </row>
    <row r="247" spans="1:26">
      <c r="A247" s="304">
        <v>45235</v>
      </c>
      <c r="B247" s="392">
        <v>900</v>
      </c>
      <c r="C247" s="176"/>
      <c r="D247" s="443">
        <v>383.78</v>
      </c>
      <c r="E247" s="394">
        <v>426</v>
      </c>
      <c r="F247" s="404">
        <v>219</v>
      </c>
      <c r="G247" s="325"/>
      <c r="H247" s="392">
        <v>3000</v>
      </c>
      <c r="I247" s="176"/>
      <c r="J247" s="444">
        <v>4354.76</v>
      </c>
      <c r="K247" s="445">
        <v>11741</v>
      </c>
      <c r="L247" s="405">
        <v>1057</v>
      </c>
      <c r="M247" s="325"/>
      <c r="N247" s="392">
        <v>2000</v>
      </c>
      <c r="O247" s="176"/>
      <c r="P247" s="444">
        <v>1578.11</v>
      </c>
      <c r="Q247" s="445">
        <v>101153</v>
      </c>
      <c r="R247" s="399">
        <v>1607</v>
      </c>
      <c r="S247" s="325"/>
      <c r="T247" s="326">
        <v>200</v>
      </c>
      <c r="U247" s="176"/>
      <c r="V247" s="393">
        <f>179.28+49.51</f>
        <v>228.79</v>
      </c>
      <c r="W247" s="447">
        <f>3557+1292+2456</f>
        <v>7305</v>
      </c>
      <c r="X247" s="405">
        <v>295</v>
      </c>
      <c r="Y247" s="401"/>
      <c r="Z247" s="402"/>
    </row>
    <row r="248" spans="1:26">
      <c r="A248" s="304">
        <v>45236</v>
      </c>
      <c r="B248" s="392">
        <v>900</v>
      </c>
      <c r="C248" s="176"/>
      <c r="D248" s="443">
        <v>350.08</v>
      </c>
      <c r="E248" s="404">
        <v>381</v>
      </c>
      <c r="F248" s="404">
        <v>169</v>
      </c>
      <c r="G248" s="325"/>
      <c r="H248" s="392">
        <v>3000</v>
      </c>
      <c r="I248" s="176"/>
      <c r="J248" s="444">
        <v>4224.21</v>
      </c>
      <c r="K248" s="407">
        <v>11756</v>
      </c>
      <c r="L248" s="405">
        <v>968</v>
      </c>
      <c r="M248" s="325"/>
      <c r="N248" s="392">
        <v>2000</v>
      </c>
      <c r="O248" s="176"/>
      <c r="P248" s="444">
        <v>1768.28</v>
      </c>
      <c r="Q248" s="445">
        <v>167156</v>
      </c>
      <c r="R248" s="399">
        <v>1706</v>
      </c>
      <c r="S248" s="325"/>
      <c r="T248" s="326">
        <v>200</v>
      </c>
      <c r="U248" s="176"/>
      <c r="V248" s="443">
        <f>80.18+99.1+49.51</f>
        <v>228.79</v>
      </c>
      <c r="W248" s="447">
        <f>2916+1376+1729</f>
        <v>6021</v>
      </c>
      <c r="X248" s="405">
        <v>295</v>
      </c>
      <c r="Y248" s="401"/>
      <c r="Z248" s="402"/>
    </row>
    <row r="249" spans="1:26">
      <c r="A249" s="304">
        <v>45237</v>
      </c>
      <c r="B249" s="392">
        <v>900</v>
      </c>
      <c r="C249" s="176"/>
      <c r="D249" s="403">
        <v>287.43</v>
      </c>
      <c r="E249" s="404">
        <v>308</v>
      </c>
      <c r="F249" s="404">
        <v>149</v>
      </c>
      <c r="G249" s="325"/>
      <c r="H249" s="392">
        <v>3000</v>
      </c>
      <c r="I249" s="176"/>
      <c r="J249" s="393">
        <v>3889.46</v>
      </c>
      <c r="K249" s="407">
        <v>11123</v>
      </c>
      <c r="L249" s="445">
        <v>895</v>
      </c>
      <c r="M249" s="325"/>
      <c r="N249" s="392">
        <v>2000</v>
      </c>
      <c r="O249" s="176"/>
      <c r="P249" s="393">
        <v>1780.53</v>
      </c>
      <c r="Q249" s="445">
        <v>170437</v>
      </c>
      <c r="R249" s="445">
        <v>1737</v>
      </c>
      <c r="S249" s="325"/>
      <c r="T249" s="326">
        <v>200</v>
      </c>
      <c r="U249" s="176"/>
      <c r="V249" s="443">
        <f>83.7+198.18+48.9</f>
        <v>330.78</v>
      </c>
      <c r="W249" s="447">
        <f>2945+3239+495</f>
        <v>6679</v>
      </c>
      <c r="X249" s="399">
        <f>69+179+20</f>
        <v>268</v>
      </c>
      <c r="Y249" s="401"/>
      <c r="Z249" s="402"/>
    </row>
    <row r="250" spans="1:26">
      <c r="A250" s="304">
        <v>45238</v>
      </c>
      <c r="B250" s="392">
        <v>900</v>
      </c>
      <c r="C250" s="176"/>
      <c r="D250" s="443">
        <v>308.15</v>
      </c>
      <c r="E250" s="404">
        <v>303</v>
      </c>
      <c r="F250" s="404">
        <v>138</v>
      </c>
      <c r="G250" s="325"/>
      <c r="H250" s="392">
        <v>3000</v>
      </c>
      <c r="I250" s="176"/>
      <c r="J250" s="443">
        <v>4255.42</v>
      </c>
      <c r="K250" s="399">
        <v>11267</v>
      </c>
      <c r="L250" s="405">
        <v>913</v>
      </c>
      <c r="M250" s="325"/>
      <c r="N250" s="392">
        <v>2000</v>
      </c>
      <c r="O250" s="176"/>
      <c r="P250" s="443">
        <v>1773.77</v>
      </c>
      <c r="Q250" s="398">
        <v>150841</v>
      </c>
      <c r="R250" s="399">
        <v>1603</v>
      </c>
      <c r="S250" s="325"/>
      <c r="T250" s="326">
        <v>200</v>
      </c>
      <c r="U250" s="176"/>
      <c r="V250" s="403">
        <f>81.65+49.74+200</f>
        <v>331.39</v>
      </c>
      <c r="W250" s="405">
        <f>2790+621+2654</f>
        <v>6065</v>
      </c>
      <c r="X250" s="405">
        <f>47+22+168</f>
        <v>237</v>
      </c>
      <c r="Y250" s="306"/>
      <c r="Z250" s="308"/>
    </row>
    <row r="251" spans="1:26">
      <c r="A251" s="304">
        <v>45239</v>
      </c>
      <c r="B251" s="392">
        <v>900</v>
      </c>
      <c r="C251" s="176"/>
      <c r="D251" s="443">
        <v>335.75</v>
      </c>
      <c r="E251" s="404">
        <v>302</v>
      </c>
      <c r="F251" s="404">
        <v>133</v>
      </c>
      <c r="G251" s="325"/>
      <c r="H251" s="392">
        <v>3000</v>
      </c>
      <c r="I251" s="176"/>
      <c r="J251" s="443">
        <v>4281.38</v>
      </c>
      <c r="K251" s="399">
        <v>12095</v>
      </c>
      <c r="L251" s="405">
        <v>908</v>
      </c>
      <c r="M251" s="325"/>
      <c r="N251" s="392">
        <v>2000</v>
      </c>
      <c r="O251" s="176"/>
      <c r="P251" s="443">
        <v>1781.34</v>
      </c>
      <c r="Q251" s="398">
        <v>213228</v>
      </c>
      <c r="R251" s="405">
        <v>1731</v>
      </c>
      <c r="S251" s="325"/>
      <c r="T251" s="326">
        <v>200</v>
      </c>
      <c r="U251" s="176"/>
      <c r="V251" s="448">
        <f>73.46+45.13+144.03+500</f>
        <v>762.62</v>
      </c>
      <c r="W251" s="405">
        <f>3020+763+2204+1545</f>
        <v>7532</v>
      </c>
      <c r="X251" s="405">
        <f>94+121+24+56</f>
        <v>295</v>
      </c>
      <c r="Y251" s="306"/>
      <c r="Z251" s="308"/>
    </row>
    <row r="252" spans="1:26">
      <c r="A252" s="304">
        <v>45240</v>
      </c>
      <c r="B252" s="392">
        <v>900</v>
      </c>
      <c r="C252" s="176"/>
      <c r="D252" s="403">
        <v>183.99</v>
      </c>
      <c r="E252" s="404">
        <v>162</v>
      </c>
      <c r="F252" s="404">
        <v>62</v>
      </c>
      <c r="G252" s="325"/>
      <c r="H252" s="392">
        <v>3000</v>
      </c>
      <c r="I252" s="176"/>
      <c r="J252" s="393">
        <v>4494.95</v>
      </c>
      <c r="K252" s="407">
        <v>10394</v>
      </c>
      <c r="L252" s="445">
        <v>928</v>
      </c>
      <c r="M252" s="325"/>
      <c r="N252" s="392">
        <v>2000</v>
      </c>
      <c r="O252" s="176"/>
      <c r="P252" s="393">
        <v>2184.47</v>
      </c>
      <c r="Q252" s="445">
        <v>213260</v>
      </c>
      <c r="R252" s="445">
        <v>1981</v>
      </c>
      <c r="S252" s="325"/>
      <c r="T252" s="326">
        <v>200</v>
      </c>
      <c r="U252" s="176"/>
      <c r="V252" s="443">
        <f>88.57+198.58+47.84</f>
        <v>334.99</v>
      </c>
      <c r="W252" s="399">
        <f>1506+2110+1551</f>
        <v>5167</v>
      </c>
      <c r="X252" s="399">
        <f>33+173+15</f>
        <v>221</v>
      </c>
      <c r="Y252" s="306"/>
      <c r="Z252" s="308"/>
    </row>
    <row r="253" spans="1:26">
      <c r="A253" s="304">
        <v>45241</v>
      </c>
      <c r="B253" s="392">
        <v>900</v>
      </c>
      <c r="C253" s="176"/>
      <c r="D253" s="393">
        <v>115.77</v>
      </c>
      <c r="E253" s="394">
        <v>96</v>
      </c>
      <c r="F253" s="394">
        <v>30</v>
      </c>
      <c r="G253" s="325"/>
      <c r="H253" s="392">
        <v>3000</v>
      </c>
      <c r="I253" s="176"/>
      <c r="J253" s="393">
        <v>5276.98</v>
      </c>
      <c r="K253" s="445">
        <v>11759</v>
      </c>
      <c r="L253" s="445">
        <v>1047</v>
      </c>
      <c r="M253" s="325"/>
      <c r="N253" s="392">
        <v>2000</v>
      </c>
      <c r="O253" s="176"/>
      <c r="P253" s="393">
        <v>2902.97</v>
      </c>
      <c r="Q253" s="445">
        <v>284084</v>
      </c>
      <c r="R253" s="445">
        <v>2463</v>
      </c>
      <c r="S253" s="325"/>
      <c r="T253" s="326">
        <v>200</v>
      </c>
      <c r="U253" s="176"/>
      <c r="V253" s="443">
        <f>123.61+198.36+48.66+1244.81</f>
        <v>1615.44</v>
      </c>
      <c r="W253" s="399">
        <f>2494+2660+952+6637</f>
        <v>12743</v>
      </c>
      <c r="X253" s="399">
        <f>77+164+29+451</f>
        <v>721</v>
      </c>
      <c r="Y253" s="306"/>
      <c r="Z253" s="308"/>
    </row>
    <row r="254" spans="1:26">
      <c r="A254" s="304">
        <v>45242</v>
      </c>
      <c r="B254" s="392">
        <v>900</v>
      </c>
      <c r="C254" s="176"/>
      <c r="D254" s="393">
        <v>300.85</v>
      </c>
      <c r="E254" s="394">
        <v>266</v>
      </c>
      <c r="F254" s="394">
        <v>115</v>
      </c>
      <c r="G254" s="325"/>
      <c r="H254" s="392">
        <v>3000</v>
      </c>
      <c r="I254" s="176"/>
      <c r="J254" s="393">
        <v>3325.97</v>
      </c>
      <c r="K254" s="445">
        <v>10727</v>
      </c>
      <c r="L254" s="445">
        <v>828</v>
      </c>
      <c r="M254" s="325"/>
      <c r="N254" s="392">
        <v>2000</v>
      </c>
      <c r="O254" s="176"/>
      <c r="P254" s="393">
        <v>1584.87</v>
      </c>
      <c r="Q254" s="445">
        <v>263426</v>
      </c>
      <c r="R254" s="445">
        <v>2116</v>
      </c>
      <c r="S254" s="325"/>
      <c r="T254" s="326">
        <v>200</v>
      </c>
      <c r="U254" s="176"/>
      <c r="V254" s="443">
        <f>52.35+199.77+43.35</f>
        <v>295.47</v>
      </c>
      <c r="W254" s="399">
        <f>2148+6852+1120</f>
        <v>10120</v>
      </c>
      <c r="X254" s="399">
        <f>70+461+38</f>
        <v>569</v>
      </c>
      <c r="Y254" s="306"/>
      <c r="Z254" s="308"/>
    </row>
    <row r="255" spans="1:26">
      <c r="A255" s="304">
        <v>45243</v>
      </c>
      <c r="B255" s="392">
        <v>900</v>
      </c>
      <c r="C255" s="176"/>
      <c r="D255" s="449">
        <v>206.85</v>
      </c>
      <c r="E255" s="404">
        <v>219</v>
      </c>
      <c r="F255" s="404">
        <v>93</v>
      </c>
      <c r="G255" s="325"/>
      <c r="H255" s="392">
        <v>3000</v>
      </c>
      <c r="I255" s="176"/>
      <c r="J255" s="443">
        <v>2877.89</v>
      </c>
      <c r="K255" s="399">
        <v>12093</v>
      </c>
      <c r="L255" s="405">
        <v>835</v>
      </c>
      <c r="M255" s="325"/>
      <c r="N255" s="392">
        <v>2000</v>
      </c>
      <c r="O255" s="176"/>
      <c r="P255" s="449">
        <v>1594.74</v>
      </c>
      <c r="Q255" s="398">
        <v>272087</v>
      </c>
      <c r="R255" s="405">
        <v>1915</v>
      </c>
      <c r="S255" s="325"/>
      <c r="T255" s="326">
        <v>200</v>
      </c>
      <c r="U255" s="176"/>
      <c r="V255" s="403">
        <f>56.49+49.43+199.41</f>
        <v>305.33</v>
      </c>
      <c r="W255" s="399">
        <f>6706+2683+4891</f>
        <v>14280</v>
      </c>
      <c r="X255" s="405">
        <f>62+39+342</f>
        <v>443</v>
      </c>
      <c r="Y255" s="306"/>
      <c r="Z255" s="308"/>
    </row>
    <row r="256" spans="1:26">
      <c r="A256" s="304">
        <v>45244</v>
      </c>
      <c r="B256" s="392">
        <v>500</v>
      </c>
      <c r="C256" s="176"/>
      <c r="D256" s="449">
        <v>191.78</v>
      </c>
      <c r="E256" s="310">
        <v>219</v>
      </c>
      <c r="F256" s="325">
        <v>73</v>
      </c>
      <c r="G256" s="325"/>
      <c r="H256" s="392">
        <v>2000</v>
      </c>
      <c r="I256" s="176"/>
      <c r="J256" s="443">
        <v>2012.29</v>
      </c>
      <c r="K256" s="324">
        <v>9606</v>
      </c>
      <c r="L256" s="324">
        <v>610</v>
      </c>
      <c r="M256" s="325"/>
      <c r="N256" s="392">
        <v>1500</v>
      </c>
      <c r="O256" s="176"/>
      <c r="P256" s="449">
        <v>1528.01</v>
      </c>
      <c r="Q256" s="324">
        <v>80854</v>
      </c>
      <c r="R256" s="324">
        <v>955</v>
      </c>
      <c r="S256" s="325"/>
      <c r="T256" s="326">
        <v>300</v>
      </c>
      <c r="U256" s="176"/>
      <c r="V256" s="443">
        <v>279</v>
      </c>
      <c r="W256" s="324">
        <f>1390+5623</f>
        <v>7013</v>
      </c>
      <c r="X256" s="324">
        <f>54+330</f>
        <v>384</v>
      </c>
      <c r="Y256" s="339"/>
      <c r="Z256" s="450"/>
    </row>
    <row r="257" ht="14.4" spans="1:33">
      <c r="A257" s="304">
        <v>45245</v>
      </c>
      <c r="B257" s="392">
        <v>500</v>
      </c>
      <c r="C257" s="251"/>
      <c r="D257" s="316">
        <v>142.03</v>
      </c>
      <c r="E257" s="209">
        <v>160</v>
      </c>
      <c r="F257" s="317">
        <v>57</v>
      </c>
      <c r="G257" s="395"/>
      <c r="H257" s="396">
        <v>2000</v>
      </c>
      <c r="I257" s="251"/>
      <c r="J257" s="451">
        <v>2317</v>
      </c>
      <c r="K257" s="333">
        <v>10156</v>
      </c>
      <c r="L257" s="333">
        <v>704</v>
      </c>
      <c r="M257" s="395"/>
      <c r="N257" s="396">
        <v>1500</v>
      </c>
      <c r="O257" s="251"/>
      <c r="P257" s="452">
        <v>1570.24</v>
      </c>
      <c r="Q257" s="333">
        <v>96746</v>
      </c>
      <c r="R257" s="333">
        <v>1035</v>
      </c>
      <c r="S257" s="395"/>
      <c r="T257" s="430">
        <v>300</v>
      </c>
      <c r="U257" s="251"/>
      <c r="V257" s="451">
        <v>250</v>
      </c>
      <c r="W257" s="333">
        <f>2743+4010</f>
        <v>6753</v>
      </c>
      <c r="X257" s="333">
        <f>70+291</f>
        <v>361</v>
      </c>
      <c r="Y257" s="453"/>
      <c r="Z257" s="60"/>
    </row>
    <row r="258" spans="1:33">
      <c r="A258" s="304">
        <v>45246</v>
      </c>
      <c r="B258" s="392">
        <v>500</v>
      </c>
      <c r="C258" s="173"/>
      <c r="D258" s="340">
        <v>155.54</v>
      </c>
      <c r="E258" s="166">
        <v>169</v>
      </c>
      <c r="F258" s="310">
        <v>67</v>
      </c>
      <c r="G258" s="325"/>
      <c r="H258" s="392">
        <v>2000</v>
      </c>
      <c r="I258" s="176"/>
      <c r="J258" s="245">
        <v>2201.35</v>
      </c>
      <c r="K258" s="171">
        <v>8378</v>
      </c>
      <c r="L258" s="171">
        <v>614</v>
      </c>
      <c r="M258" s="325"/>
      <c r="N258" s="392">
        <v>1500</v>
      </c>
      <c r="O258" s="176"/>
      <c r="P258" s="245">
        <v>1269.92</v>
      </c>
      <c r="Q258" s="171">
        <v>173831</v>
      </c>
      <c r="R258" s="171">
        <v>1083</v>
      </c>
      <c r="S258" s="325"/>
      <c r="T258" s="326">
        <v>300</v>
      </c>
      <c r="U258" s="176"/>
      <c r="V258" s="245">
        <f>36.91+199.08</f>
        <v>235.99</v>
      </c>
      <c r="W258" s="171">
        <f>2573+6862</f>
        <v>9435</v>
      </c>
      <c r="X258" s="305">
        <f>44+374</f>
        <v>418</v>
      </c>
      <c r="Y258" s="320"/>
      <c r="Z258" s="321"/>
    </row>
    <row r="259" spans="1:33">
      <c r="A259" s="304">
        <v>45247</v>
      </c>
      <c r="B259" s="392">
        <v>500</v>
      </c>
      <c r="C259" s="173"/>
      <c r="D259" s="368">
        <v>153.19</v>
      </c>
      <c r="E259" s="327">
        <v>180</v>
      </c>
      <c r="F259" s="327">
        <v>58</v>
      </c>
      <c r="G259" s="395"/>
      <c r="H259" s="396">
        <v>2000</v>
      </c>
      <c r="I259" s="251"/>
      <c r="J259" s="322">
        <v>2018.14</v>
      </c>
      <c r="K259" s="329">
        <v>6890</v>
      </c>
      <c r="L259" s="329">
        <v>582</v>
      </c>
      <c r="M259" s="395"/>
      <c r="N259" s="396">
        <v>1500</v>
      </c>
      <c r="O259" s="251"/>
      <c r="P259" s="328">
        <v>1296.19</v>
      </c>
      <c r="Q259" s="329">
        <v>156221</v>
      </c>
      <c r="R259" s="329">
        <v>1085</v>
      </c>
      <c r="S259" s="395"/>
      <c r="T259" s="430">
        <v>300</v>
      </c>
      <c r="U259" s="251"/>
      <c r="V259" s="328">
        <f>12.05+199.34</f>
        <v>211.39</v>
      </c>
      <c r="W259" s="329">
        <f>2567+5777</f>
        <v>8344</v>
      </c>
      <c r="X259" s="323">
        <f>19+337</f>
        <v>356</v>
      </c>
      <c r="Y259" s="454"/>
      <c r="Z259" s="455"/>
    </row>
    <row r="260" spans="1:33">
      <c r="A260" s="304">
        <v>45248</v>
      </c>
      <c r="B260" s="396">
        <v>500</v>
      </c>
      <c r="C260" s="248"/>
      <c r="D260" s="370">
        <v>118.25</v>
      </c>
      <c r="E260" s="341">
        <v>135</v>
      </c>
      <c r="F260" s="341">
        <v>61</v>
      </c>
      <c r="G260" s="395"/>
      <c r="H260" s="396">
        <v>2000</v>
      </c>
      <c r="I260" s="251"/>
      <c r="J260" s="328">
        <v>1915.23</v>
      </c>
      <c r="K260" s="329">
        <v>7000</v>
      </c>
      <c r="L260" s="329">
        <v>571</v>
      </c>
      <c r="M260" s="456"/>
      <c r="N260" s="457">
        <v>1500</v>
      </c>
      <c r="O260" s="458"/>
      <c r="P260" s="328">
        <v>1286.92</v>
      </c>
      <c r="Q260" s="329">
        <v>123219</v>
      </c>
      <c r="R260" s="329">
        <v>1000</v>
      </c>
      <c r="S260" s="456"/>
      <c r="T260" s="459">
        <v>300</v>
      </c>
      <c r="U260" s="458"/>
      <c r="V260" s="328">
        <f>198.81+30.5</f>
        <v>229.31</v>
      </c>
      <c r="W260" s="329">
        <f>4004+1381</f>
        <v>5385</v>
      </c>
      <c r="X260" s="329">
        <f>261+37</f>
        <v>298</v>
      </c>
      <c r="Y260" s="460"/>
      <c r="Z260" s="455"/>
    </row>
    <row r="261" spans="1:33">
      <c r="A261" s="304">
        <v>45249</v>
      </c>
      <c r="B261" s="392">
        <v>500</v>
      </c>
      <c r="C261" s="176"/>
      <c r="D261" s="309">
        <v>119.68</v>
      </c>
      <c r="E261" s="310">
        <v>141</v>
      </c>
      <c r="F261" s="310">
        <v>31</v>
      </c>
      <c r="G261" s="325"/>
      <c r="H261" s="392">
        <v>2000</v>
      </c>
      <c r="I261" s="176"/>
      <c r="J261" s="309">
        <v>1931.67</v>
      </c>
      <c r="K261" s="324">
        <v>7671</v>
      </c>
      <c r="L261" s="324">
        <v>615</v>
      </c>
      <c r="M261" s="325"/>
      <c r="N261" s="392">
        <v>1500</v>
      </c>
      <c r="O261" s="176"/>
      <c r="P261" s="309">
        <v>1281.55</v>
      </c>
      <c r="Q261" s="324">
        <v>114244</v>
      </c>
      <c r="R261" s="324">
        <v>1015</v>
      </c>
      <c r="S261" s="325"/>
      <c r="T261" s="326">
        <v>300</v>
      </c>
      <c r="U261" s="176"/>
      <c r="V261" s="309">
        <f>24.15+198.74</f>
        <v>222.89</v>
      </c>
      <c r="W261" s="324">
        <f>1292+6610</f>
        <v>7902</v>
      </c>
      <c r="X261" s="324">
        <f>22+288</f>
        <v>310</v>
      </c>
      <c r="Y261" s="461"/>
      <c r="Z261" s="462"/>
    </row>
    <row r="262" spans="1:33">
      <c r="A262" s="304">
        <v>45250</v>
      </c>
      <c r="B262" s="396">
        <v>500</v>
      </c>
      <c r="C262" s="251"/>
      <c r="D262" s="316">
        <v>131.84</v>
      </c>
      <c r="E262" s="317">
        <v>148</v>
      </c>
      <c r="F262" s="317">
        <v>62</v>
      </c>
      <c r="G262" s="395"/>
      <c r="H262" s="396">
        <v>2000</v>
      </c>
      <c r="I262" s="251"/>
      <c r="J262" s="451">
        <v>1927.64</v>
      </c>
      <c r="K262" s="427">
        <v>7957</v>
      </c>
      <c r="L262" s="463">
        <v>622</v>
      </c>
      <c r="M262" s="395"/>
      <c r="N262" s="396">
        <v>1500</v>
      </c>
      <c r="O262" s="251"/>
      <c r="P262" s="250">
        <v>1274.69</v>
      </c>
      <c r="Q262" s="464">
        <v>80741</v>
      </c>
      <c r="R262" s="183">
        <v>1132</v>
      </c>
      <c r="S262" s="395"/>
      <c r="T262" s="430">
        <v>300</v>
      </c>
      <c r="U262" s="251"/>
      <c r="V262" s="250">
        <v>247.87</v>
      </c>
      <c r="W262" s="183">
        <v>9378</v>
      </c>
      <c r="X262" s="465">
        <v>319</v>
      </c>
      <c r="Y262" s="461"/>
      <c r="Z262" s="466"/>
    </row>
    <row r="263" spans="1:33">
      <c r="A263" s="304">
        <v>45251</v>
      </c>
      <c r="B263" s="392">
        <v>500</v>
      </c>
      <c r="C263" s="176"/>
      <c r="D263" s="443">
        <v>177.2</v>
      </c>
      <c r="E263" s="404">
        <v>209</v>
      </c>
      <c r="F263" s="467">
        <v>70</v>
      </c>
      <c r="G263" s="395"/>
      <c r="H263" s="396">
        <v>2000</v>
      </c>
      <c r="I263" s="251"/>
      <c r="J263" s="451">
        <v>1898.73</v>
      </c>
      <c r="K263" s="427">
        <v>8283</v>
      </c>
      <c r="L263" s="463">
        <v>656</v>
      </c>
      <c r="M263" s="395"/>
      <c r="N263" s="396">
        <v>1500</v>
      </c>
      <c r="O263" s="251"/>
      <c r="P263" s="468">
        <v>1274.59</v>
      </c>
      <c r="Q263" s="427">
        <v>64413</v>
      </c>
      <c r="R263" s="463">
        <v>1105</v>
      </c>
      <c r="S263" s="395"/>
      <c r="T263" s="326">
        <v>300</v>
      </c>
      <c r="U263" s="176"/>
      <c r="V263" s="403">
        <f>51.24+198.24</f>
        <v>249.48</v>
      </c>
      <c r="W263" s="399">
        <f>6754+3266</f>
        <v>10020</v>
      </c>
      <c r="X263" s="405">
        <f>41+210</f>
        <v>251</v>
      </c>
      <c r="Y263" s="306"/>
      <c r="Z263" s="308"/>
    </row>
    <row r="264" spans="1:33">
      <c r="A264" s="304">
        <v>45252</v>
      </c>
      <c r="B264" s="392">
        <v>500</v>
      </c>
      <c r="C264" s="176"/>
      <c r="D264" s="309">
        <v>172.16</v>
      </c>
      <c r="E264" s="469">
        <v>177</v>
      </c>
      <c r="F264" s="327">
        <v>57</v>
      </c>
      <c r="G264" s="470"/>
      <c r="H264" s="471">
        <v>2000</v>
      </c>
      <c r="I264" s="387"/>
      <c r="J264" s="322">
        <v>1914</v>
      </c>
      <c r="K264" s="323">
        <v>7351</v>
      </c>
      <c r="L264" s="323">
        <v>647</v>
      </c>
      <c r="M264" s="470"/>
      <c r="N264" s="471">
        <v>1500</v>
      </c>
      <c r="O264" s="387"/>
      <c r="P264" s="472">
        <v>1259.54</v>
      </c>
      <c r="Q264" s="323">
        <v>43992</v>
      </c>
      <c r="R264" s="323">
        <v>1039</v>
      </c>
      <c r="S264" s="325"/>
      <c r="T264" s="326">
        <v>300</v>
      </c>
      <c r="U264" s="176"/>
      <c r="V264" s="403">
        <f>47.49+198.66</f>
        <v>246.15</v>
      </c>
      <c r="W264" s="399">
        <f>2971+5889</f>
        <v>8860</v>
      </c>
      <c r="X264" s="417">
        <f>52+308</f>
        <v>360</v>
      </c>
      <c r="Y264" s="306"/>
      <c r="Z264" s="308"/>
    </row>
    <row r="265" spans="1:33">
      <c r="A265" s="304">
        <v>45253</v>
      </c>
      <c r="B265" s="392">
        <v>500</v>
      </c>
      <c r="C265" s="176"/>
      <c r="D265" s="309">
        <v>127.15</v>
      </c>
      <c r="E265" s="469">
        <v>138</v>
      </c>
      <c r="F265" s="327">
        <v>50</v>
      </c>
      <c r="G265" s="470"/>
      <c r="H265" s="471">
        <v>2000</v>
      </c>
      <c r="I265" s="387"/>
      <c r="J265" s="473">
        <v>1870.75</v>
      </c>
      <c r="K265" s="474">
        <v>5988</v>
      </c>
      <c r="L265" s="475">
        <v>622</v>
      </c>
      <c r="M265" s="470"/>
      <c r="N265" s="471">
        <v>1500</v>
      </c>
      <c r="O265" s="387"/>
      <c r="P265" s="322">
        <v>1275.28</v>
      </c>
      <c r="Q265" s="323">
        <v>48274</v>
      </c>
      <c r="R265" s="323">
        <v>1086</v>
      </c>
      <c r="S265" s="325"/>
      <c r="T265" s="326">
        <v>300</v>
      </c>
      <c r="U265" s="176"/>
      <c r="V265" s="245">
        <f>50.12+199.91</f>
        <v>250.03</v>
      </c>
      <c r="W265" s="171">
        <f>2989+15237</f>
        <v>18226</v>
      </c>
      <c r="X265" s="476">
        <f>47+338</f>
        <v>385</v>
      </c>
      <c r="Y265" s="477"/>
      <c r="Z265" s="308"/>
    </row>
    <row r="266" spans="1:33">
      <c r="A266" s="304">
        <v>45254</v>
      </c>
      <c r="B266" s="392">
        <v>500</v>
      </c>
      <c r="C266" s="176"/>
      <c r="D266" s="309">
        <v>123.9</v>
      </c>
      <c r="E266" s="469">
        <v>141</v>
      </c>
      <c r="F266" s="327">
        <v>33</v>
      </c>
      <c r="G266" s="470"/>
      <c r="H266" s="471">
        <v>2000</v>
      </c>
      <c r="I266" s="387"/>
      <c r="J266" s="473">
        <v>1811.22</v>
      </c>
      <c r="K266" s="475">
        <v>6422</v>
      </c>
      <c r="L266" s="475">
        <v>597</v>
      </c>
      <c r="M266" s="470"/>
      <c r="N266" s="471">
        <v>1500</v>
      </c>
      <c r="O266" s="387"/>
      <c r="P266" s="344">
        <v>1287.33</v>
      </c>
      <c r="Q266" s="478">
        <v>40651</v>
      </c>
      <c r="R266" s="478">
        <v>1199</v>
      </c>
      <c r="S266" s="325"/>
      <c r="T266" s="326">
        <v>300</v>
      </c>
      <c r="U266" s="176"/>
      <c r="V266" s="245">
        <v>247.17</v>
      </c>
      <c r="W266" s="171">
        <v>8500</v>
      </c>
      <c r="X266" s="305">
        <v>388</v>
      </c>
      <c r="Y266" s="306"/>
      <c r="Z266" s="308"/>
    </row>
    <row r="267" spans="1:33">
      <c r="A267" s="304">
        <v>45255</v>
      </c>
      <c r="B267" s="392">
        <v>500</v>
      </c>
      <c r="C267" s="176"/>
      <c r="D267" s="309">
        <v>121.4</v>
      </c>
      <c r="E267" s="469">
        <v>143</v>
      </c>
      <c r="F267" s="327">
        <v>41</v>
      </c>
      <c r="G267" s="470"/>
      <c r="H267" s="471">
        <v>2000</v>
      </c>
      <c r="I267" s="387"/>
      <c r="J267" s="344">
        <v>1820.46</v>
      </c>
      <c r="K267" s="478">
        <v>5904</v>
      </c>
      <c r="L267" s="478">
        <v>571</v>
      </c>
      <c r="M267" s="470"/>
      <c r="N267" s="471">
        <v>1500</v>
      </c>
      <c r="O267" s="387"/>
      <c r="P267" s="344">
        <v>1276.98</v>
      </c>
      <c r="Q267" s="478">
        <v>47204</v>
      </c>
      <c r="R267" s="478">
        <v>1209</v>
      </c>
      <c r="S267" s="325"/>
      <c r="T267" s="326">
        <v>300</v>
      </c>
      <c r="U267" s="176"/>
      <c r="V267" s="245">
        <v>241.46</v>
      </c>
      <c r="W267" s="171">
        <v>9289</v>
      </c>
      <c r="X267" s="305">
        <v>723</v>
      </c>
      <c r="Y267" s="306"/>
      <c r="Z267" s="308"/>
    </row>
    <row r="268" spans="1:33">
      <c r="A268" s="304">
        <v>45256</v>
      </c>
      <c r="B268" s="392">
        <v>500</v>
      </c>
      <c r="C268" s="176"/>
      <c r="D268" s="309">
        <v>155.02</v>
      </c>
      <c r="E268" s="469">
        <v>161</v>
      </c>
      <c r="F268" s="327">
        <v>54</v>
      </c>
      <c r="G268" s="470"/>
      <c r="H268" s="471">
        <v>2000</v>
      </c>
      <c r="I268" s="387"/>
      <c r="J268" s="344">
        <v>1797.64</v>
      </c>
      <c r="K268" s="478">
        <v>6356</v>
      </c>
      <c r="L268" s="478">
        <v>597</v>
      </c>
      <c r="M268" s="470"/>
      <c r="N268" s="471">
        <v>1500</v>
      </c>
      <c r="O268" s="387"/>
      <c r="P268" s="344">
        <v>1280.68</v>
      </c>
      <c r="Q268" s="478">
        <v>45527</v>
      </c>
      <c r="R268" s="478">
        <v>1220</v>
      </c>
      <c r="S268" s="325"/>
      <c r="T268" s="326">
        <v>300</v>
      </c>
      <c r="U268" s="176"/>
      <c r="V268" s="245">
        <v>224.14</v>
      </c>
      <c r="W268" s="171">
        <v>8852</v>
      </c>
      <c r="X268" s="305">
        <v>641</v>
      </c>
      <c r="Y268" s="306"/>
      <c r="Z268" s="308"/>
    </row>
    <row r="269" spans="1:33">
      <c r="A269" s="304">
        <v>45257</v>
      </c>
      <c r="B269" s="396">
        <v>500</v>
      </c>
      <c r="C269" s="251"/>
      <c r="D269" s="479">
        <v>128.73</v>
      </c>
      <c r="E269" s="480">
        <v>153</v>
      </c>
      <c r="F269" s="481">
        <v>52</v>
      </c>
      <c r="G269" s="456"/>
      <c r="H269" s="457">
        <v>2000</v>
      </c>
      <c r="I269" s="458"/>
      <c r="J269" s="482">
        <v>1811.51</v>
      </c>
      <c r="K269" s="483">
        <v>6217</v>
      </c>
      <c r="L269" s="484">
        <v>583</v>
      </c>
      <c r="M269" s="456"/>
      <c r="N269" s="457">
        <v>1500</v>
      </c>
      <c r="O269" s="458"/>
      <c r="P269" s="482">
        <v>1278.71</v>
      </c>
      <c r="Q269" s="483">
        <v>55526</v>
      </c>
      <c r="R269" s="485">
        <v>1262</v>
      </c>
      <c r="S269" s="395"/>
      <c r="T269" s="430">
        <v>300</v>
      </c>
      <c r="U269" s="251"/>
      <c r="V269" s="403">
        <f>34.5+199.27</f>
        <v>233.77</v>
      </c>
      <c r="W269" s="399">
        <f>1803+5808</f>
        <v>7611</v>
      </c>
      <c r="X269" s="417">
        <f>32+482</f>
        <v>514</v>
      </c>
      <c r="Y269" s="320"/>
      <c r="Z269" s="321"/>
    </row>
    <row r="270" s="60" customFormat="1" spans="1:33">
      <c r="A270" s="304">
        <v>45258</v>
      </c>
      <c r="B270" s="392">
        <v>500</v>
      </c>
      <c r="C270" s="176"/>
      <c r="D270" s="443">
        <v>122.79</v>
      </c>
      <c r="E270" s="404">
        <v>144</v>
      </c>
      <c r="F270" s="404">
        <v>57</v>
      </c>
      <c r="G270" s="325"/>
      <c r="H270" s="392">
        <v>2000</v>
      </c>
      <c r="I270" s="176"/>
      <c r="J270" s="486">
        <v>1823.44</v>
      </c>
      <c r="K270" s="399">
        <v>7311</v>
      </c>
      <c r="L270" s="417">
        <v>628</v>
      </c>
      <c r="M270" s="325"/>
      <c r="N270" s="392">
        <v>1500</v>
      </c>
      <c r="O270" s="176"/>
      <c r="P270" s="245">
        <v>1563.42</v>
      </c>
      <c r="Q270" s="171">
        <v>66257</v>
      </c>
      <c r="R270" s="171">
        <v>1391</v>
      </c>
      <c r="S270" s="325"/>
      <c r="T270" s="326">
        <v>300</v>
      </c>
      <c r="U270" s="176"/>
      <c r="V270" s="403">
        <f>31.91+199.96</f>
        <v>231.87</v>
      </c>
      <c r="W270" s="399">
        <f>1866+7376</f>
        <v>9242</v>
      </c>
      <c r="X270" s="417">
        <f>36+357</f>
        <v>393</v>
      </c>
      <c r="Y270" s="306"/>
      <c r="Z270" s="308"/>
      <c r="AA270" s="313"/>
      <c r="AB270" s="453"/>
      <c r="AG270" s="487"/>
    </row>
    <row r="271" spans="1:33">
      <c r="A271" s="304">
        <v>45259</v>
      </c>
      <c r="B271" s="392">
        <v>500</v>
      </c>
      <c r="C271" s="251"/>
      <c r="D271" s="316">
        <v>134.5</v>
      </c>
      <c r="E271" s="317">
        <v>180</v>
      </c>
      <c r="F271" s="317">
        <v>66</v>
      </c>
      <c r="G271" s="395"/>
      <c r="H271" s="396">
        <v>2000</v>
      </c>
      <c r="I271" s="488"/>
      <c r="J271" s="489">
        <v>1777.93</v>
      </c>
      <c r="K271" s="490">
        <v>8562</v>
      </c>
      <c r="L271" s="490">
        <v>683</v>
      </c>
      <c r="M271" s="491"/>
      <c r="N271" s="396">
        <v>1500</v>
      </c>
      <c r="O271" s="251"/>
      <c r="P271" s="492">
        <v>1561.9</v>
      </c>
      <c r="Q271" s="493">
        <v>128965</v>
      </c>
      <c r="R271" s="494">
        <v>1759</v>
      </c>
      <c r="S271" s="395"/>
      <c r="T271" s="430">
        <v>300</v>
      </c>
      <c r="U271" s="488"/>
      <c r="V271" s="495">
        <f>50.5+196.77</f>
        <v>247.27</v>
      </c>
      <c r="W271" s="496">
        <f>1925+23801</f>
        <v>25726</v>
      </c>
      <c r="X271" s="490">
        <f>37+388</f>
        <v>425</v>
      </c>
      <c r="Y271" s="358"/>
      <c r="Z271" s="321"/>
    </row>
    <row r="272" spans="1:33">
      <c r="A272" s="304">
        <v>45260</v>
      </c>
      <c r="B272" s="396">
        <v>500</v>
      </c>
      <c r="C272" s="251"/>
      <c r="D272" s="479">
        <v>108.49</v>
      </c>
      <c r="E272" s="481">
        <v>136</v>
      </c>
      <c r="F272" s="481">
        <v>47</v>
      </c>
      <c r="G272" s="456"/>
      <c r="H272" s="457">
        <v>2000</v>
      </c>
      <c r="I272" s="458"/>
      <c r="J272" s="328">
        <v>1824.84</v>
      </c>
      <c r="K272" s="329">
        <v>7708</v>
      </c>
      <c r="L272" s="329">
        <v>643</v>
      </c>
      <c r="M272" s="456"/>
      <c r="N272" s="457">
        <v>1500</v>
      </c>
      <c r="O272" s="458"/>
      <c r="P272" s="482">
        <v>1560.51</v>
      </c>
      <c r="Q272" s="483">
        <v>121320</v>
      </c>
      <c r="R272" s="485">
        <v>1824</v>
      </c>
      <c r="S272" s="456"/>
      <c r="T272" s="459">
        <v>300</v>
      </c>
      <c r="U272" s="458"/>
      <c r="V272" s="497">
        <f>23.87+197.88</f>
        <v>221.75</v>
      </c>
      <c r="W272" s="483">
        <f>602+4173</f>
        <v>4775</v>
      </c>
      <c r="X272" s="485">
        <f>17+172</f>
        <v>189</v>
      </c>
      <c r="Y272" s="498"/>
      <c r="Z272" s="499"/>
    </row>
    <row r="273" ht="15" spans="1:26">
      <c r="A273" s="304">
        <v>45261</v>
      </c>
      <c r="B273" s="392">
        <v>500</v>
      </c>
      <c r="C273" s="176"/>
      <c r="D273" s="245">
        <v>112.26</v>
      </c>
      <c r="E273" s="166">
        <v>127</v>
      </c>
      <c r="F273" s="166">
        <v>40</v>
      </c>
      <c r="G273" s="325"/>
      <c r="H273" s="392">
        <v>2000</v>
      </c>
      <c r="I273" s="176"/>
      <c r="J273" s="245">
        <v>2420.01</v>
      </c>
      <c r="K273" s="171">
        <v>7250</v>
      </c>
      <c r="L273" s="171">
        <v>609</v>
      </c>
      <c r="M273" s="325"/>
      <c r="N273" s="392">
        <v>1500</v>
      </c>
      <c r="O273" s="176"/>
      <c r="P273" s="245">
        <v>2142.51</v>
      </c>
      <c r="Q273" s="171">
        <v>208159</v>
      </c>
      <c r="R273" s="171">
        <v>2431</v>
      </c>
      <c r="S273" s="325"/>
      <c r="T273" s="326">
        <v>300</v>
      </c>
      <c r="U273" s="176"/>
      <c r="V273" s="245">
        <v>238.56</v>
      </c>
      <c r="W273" s="500">
        <f>1987+5401</f>
        <v>7388</v>
      </c>
      <c r="X273" s="305">
        <v>205</v>
      </c>
      <c r="Y273" s="306"/>
      <c r="Z273" s="308"/>
    </row>
    <row r="274" spans="1:26">
      <c r="A274" s="304">
        <v>45262</v>
      </c>
      <c r="B274" s="392">
        <v>500</v>
      </c>
      <c r="C274" s="176"/>
      <c r="D274" s="245">
        <v>79.17</v>
      </c>
      <c r="E274" s="166">
        <v>101</v>
      </c>
      <c r="F274" s="166">
        <v>39</v>
      </c>
      <c r="G274" s="325"/>
      <c r="H274" s="392">
        <v>2000</v>
      </c>
      <c r="I274" s="176"/>
      <c r="J274" s="245">
        <v>4043.45</v>
      </c>
      <c r="K274" s="445">
        <v>10903</v>
      </c>
      <c r="L274" s="171">
        <v>748</v>
      </c>
      <c r="M274" s="325"/>
      <c r="N274" s="392">
        <v>1500</v>
      </c>
      <c r="O274" s="176"/>
      <c r="P274" s="245">
        <v>3450.74</v>
      </c>
      <c r="Q274" s="171">
        <v>286950</v>
      </c>
      <c r="R274" s="171">
        <v>4020</v>
      </c>
      <c r="S274" s="325"/>
      <c r="T274" s="326">
        <v>300</v>
      </c>
      <c r="U274" s="176"/>
      <c r="V274" s="245">
        <v>234.42</v>
      </c>
      <c r="W274" s="171">
        <v>9223</v>
      </c>
      <c r="X274" s="305">
        <v>275</v>
      </c>
      <c r="Y274" s="306"/>
      <c r="Z274" s="308"/>
    </row>
    <row r="275" spans="1:26">
      <c r="A275" s="304">
        <v>45263</v>
      </c>
      <c r="B275" s="392">
        <v>500</v>
      </c>
      <c r="C275" s="176"/>
      <c r="D275" s="245">
        <v>103.21</v>
      </c>
      <c r="E275" s="166">
        <v>116</v>
      </c>
      <c r="F275" s="166">
        <v>53</v>
      </c>
      <c r="G275" s="325"/>
      <c r="H275" s="392">
        <v>2000</v>
      </c>
      <c r="I275" s="176"/>
      <c r="J275" s="245">
        <v>5694.11</v>
      </c>
      <c r="K275" s="171">
        <v>13897</v>
      </c>
      <c r="L275" s="171">
        <v>841</v>
      </c>
      <c r="M275" s="325"/>
      <c r="N275" s="392">
        <v>1500</v>
      </c>
      <c r="O275" s="176"/>
      <c r="P275" s="245">
        <v>4477.45</v>
      </c>
      <c r="Q275" s="171">
        <v>476133</v>
      </c>
      <c r="R275" s="171">
        <v>5957</v>
      </c>
      <c r="S275" s="325"/>
      <c r="T275" s="326">
        <v>300</v>
      </c>
      <c r="U275" s="176"/>
      <c r="V275" s="245">
        <v>281.55</v>
      </c>
      <c r="W275" s="171">
        <v>50391</v>
      </c>
      <c r="X275" s="305">
        <v>484</v>
      </c>
      <c r="Y275" s="306"/>
      <c r="Z275" s="308">
        <f>F275+L275+R275+X275</f>
        <v>7335</v>
      </c>
    </row>
    <row r="276" spans="1:26">
      <c r="A276" s="304">
        <v>45264</v>
      </c>
      <c r="B276" s="392">
        <v>500</v>
      </c>
      <c r="C276" s="176"/>
      <c r="D276" s="245">
        <v>128.94</v>
      </c>
      <c r="E276" s="166">
        <v>137</v>
      </c>
      <c r="F276" s="166">
        <v>63</v>
      </c>
      <c r="G276" s="325"/>
      <c r="H276" s="392">
        <v>2000</v>
      </c>
      <c r="I276" s="176"/>
      <c r="J276" s="245">
        <v>4251.86</v>
      </c>
      <c r="K276" s="171">
        <v>10737</v>
      </c>
      <c r="L276" s="171">
        <v>719</v>
      </c>
      <c r="M276" s="325"/>
      <c r="N276" s="392">
        <v>1500</v>
      </c>
      <c r="O276" s="176"/>
      <c r="P276" s="245">
        <v>2031.54</v>
      </c>
      <c r="Q276" s="171">
        <v>242645</v>
      </c>
      <c r="R276" s="171">
        <v>2544</v>
      </c>
      <c r="S276" s="325"/>
      <c r="T276" s="326">
        <v>300</v>
      </c>
      <c r="U276" s="176"/>
      <c r="V276" s="245">
        <v>295.41</v>
      </c>
      <c r="W276" s="171">
        <v>48157</v>
      </c>
      <c r="X276" s="305">
        <v>417</v>
      </c>
      <c r="Y276" s="306"/>
      <c r="Z276" s="308"/>
    </row>
    <row r="277" spans="1:26">
      <c r="A277" s="304">
        <v>45265</v>
      </c>
      <c r="B277" s="392">
        <v>500</v>
      </c>
      <c r="C277" s="176"/>
      <c r="D277" s="245">
        <v>132</v>
      </c>
      <c r="E277" s="166">
        <v>142</v>
      </c>
      <c r="F277" s="166">
        <v>60</v>
      </c>
      <c r="G277" s="325"/>
      <c r="H277" s="392">
        <v>2000</v>
      </c>
      <c r="I277" s="176"/>
      <c r="J277" s="245">
        <v>3579.86</v>
      </c>
      <c r="K277" s="171">
        <v>11360</v>
      </c>
      <c r="L277" s="171">
        <v>572</v>
      </c>
      <c r="M277" s="325"/>
      <c r="N277" s="392">
        <v>1500</v>
      </c>
      <c r="O277" s="176"/>
      <c r="P277" s="245">
        <v>1770.97</v>
      </c>
      <c r="Q277" s="171">
        <v>195342</v>
      </c>
      <c r="R277" s="171">
        <v>2545</v>
      </c>
      <c r="S277" s="325"/>
      <c r="T277" s="326">
        <v>300</v>
      </c>
      <c r="U277" s="176"/>
      <c r="V277" s="245">
        <v>339.81</v>
      </c>
      <c r="W277" s="171">
        <v>34517</v>
      </c>
      <c r="X277" s="305">
        <v>455</v>
      </c>
      <c r="Y277" s="306"/>
      <c r="Z277" s="308"/>
    </row>
    <row r="278" spans="1:26">
      <c r="A278" s="304">
        <v>45266</v>
      </c>
      <c r="B278" s="392">
        <v>500</v>
      </c>
      <c r="C278" s="176"/>
      <c r="D278" s="245">
        <v>125.49</v>
      </c>
      <c r="E278" s="166">
        <v>147</v>
      </c>
      <c r="F278" s="166">
        <v>50</v>
      </c>
      <c r="G278" s="325"/>
      <c r="H278" s="392">
        <v>2000</v>
      </c>
      <c r="I278" s="176"/>
      <c r="J278" s="245">
        <v>3364.99</v>
      </c>
      <c r="K278" s="171">
        <v>13074</v>
      </c>
      <c r="L278" s="171">
        <v>802</v>
      </c>
      <c r="M278" s="325"/>
      <c r="N278" s="392">
        <v>1500</v>
      </c>
      <c r="O278" s="176"/>
      <c r="P278" s="245">
        <v>1390.72</v>
      </c>
      <c r="Q278" s="171">
        <v>189602</v>
      </c>
      <c r="R278" s="171">
        <v>1604</v>
      </c>
      <c r="S278" s="325"/>
      <c r="T278" s="326">
        <v>300</v>
      </c>
      <c r="U278" s="176"/>
      <c r="V278" s="245">
        <v>496.84</v>
      </c>
      <c r="W278" s="171">
        <v>91865</v>
      </c>
      <c r="X278" s="305">
        <v>827</v>
      </c>
      <c r="Y278" s="306"/>
      <c r="Z278" s="308"/>
    </row>
    <row r="279" spans="1:26">
      <c r="A279" s="304">
        <v>45267</v>
      </c>
      <c r="B279" s="392">
        <v>500</v>
      </c>
      <c r="C279" s="176"/>
      <c r="D279" s="245">
        <v>131.58</v>
      </c>
      <c r="E279" s="166">
        <v>146</v>
      </c>
      <c r="F279" s="166">
        <v>66</v>
      </c>
      <c r="G279" s="325"/>
      <c r="H279" s="392">
        <v>2000</v>
      </c>
      <c r="I279" s="176"/>
      <c r="J279" s="245">
        <v>3711.06</v>
      </c>
      <c r="K279" s="171">
        <v>13399</v>
      </c>
      <c r="L279" s="171">
        <v>870</v>
      </c>
      <c r="M279" s="325"/>
      <c r="N279" s="392">
        <v>1500</v>
      </c>
      <c r="O279" s="176"/>
      <c r="P279" s="245">
        <v>1338.59</v>
      </c>
      <c r="Q279" s="171">
        <v>171791</v>
      </c>
      <c r="R279" s="171">
        <v>1946</v>
      </c>
      <c r="S279" s="325"/>
      <c r="T279" s="326">
        <v>300</v>
      </c>
      <c r="U279" s="176"/>
      <c r="V279" s="245">
        <v>436.96</v>
      </c>
      <c r="W279" s="171">
        <v>44731</v>
      </c>
      <c r="X279" s="305">
        <v>537</v>
      </c>
      <c r="Y279" s="306"/>
      <c r="Z279" s="308"/>
    </row>
    <row r="280" spans="1:26">
      <c r="A280" s="304">
        <v>45268</v>
      </c>
      <c r="B280" s="392">
        <v>500</v>
      </c>
      <c r="C280" s="176"/>
      <c r="D280" s="245">
        <v>131.9</v>
      </c>
      <c r="E280" s="166">
        <v>143</v>
      </c>
      <c r="F280" s="166">
        <v>60</v>
      </c>
      <c r="G280" s="325"/>
      <c r="H280" s="392">
        <v>2000</v>
      </c>
      <c r="I280" s="176"/>
      <c r="J280" s="245">
        <v>3547.1</v>
      </c>
      <c r="K280" s="171">
        <v>17099</v>
      </c>
      <c r="L280" s="171">
        <v>790</v>
      </c>
      <c r="M280" s="325"/>
      <c r="N280" s="392">
        <v>1500</v>
      </c>
      <c r="O280" s="176"/>
      <c r="P280" s="245">
        <v>2431.91</v>
      </c>
      <c r="Q280" s="171">
        <v>237366</v>
      </c>
      <c r="R280" s="171">
        <v>1732</v>
      </c>
      <c r="S280" s="325"/>
      <c r="T280" s="326">
        <v>300</v>
      </c>
      <c r="U280" s="176"/>
      <c r="V280" s="245">
        <v>396.92</v>
      </c>
      <c r="W280" s="171">
        <v>65855</v>
      </c>
      <c r="X280" s="305">
        <v>494</v>
      </c>
      <c r="Y280" s="306"/>
      <c r="Z280" s="308"/>
    </row>
    <row r="281" spans="1:26">
      <c r="A281" s="304">
        <v>45269</v>
      </c>
      <c r="B281" s="392">
        <v>500</v>
      </c>
      <c r="C281" s="176"/>
      <c r="D281" s="245">
        <v>141.79</v>
      </c>
      <c r="E281" s="166">
        <v>190</v>
      </c>
      <c r="F281" s="166">
        <v>75</v>
      </c>
      <c r="G281" s="325"/>
      <c r="H281" s="392">
        <v>5000</v>
      </c>
      <c r="I281" s="176"/>
      <c r="J281" s="245">
        <v>5337.765</v>
      </c>
      <c r="K281" s="171">
        <v>16450</v>
      </c>
      <c r="L281" s="171">
        <v>993</v>
      </c>
      <c r="M281" s="325"/>
      <c r="N281" s="392">
        <v>5000</v>
      </c>
      <c r="O281" s="176"/>
      <c r="P281" s="245">
        <v>3774.14</v>
      </c>
      <c r="Q281" s="171">
        <v>257683</v>
      </c>
      <c r="R281" s="171">
        <v>3267</v>
      </c>
      <c r="S281" s="325"/>
      <c r="T281" s="326">
        <v>300</v>
      </c>
      <c r="U281" s="176"/>
      <c r="V281" s="245">
        <v>537.92</v>
      </c>
      <c r="W281" s="171">
        <v>42852</v>
      </c>
      <c r="X281" s="305">
        <v>617</v>
      </c>
      <c r="Y281" s="306"/>
      <c r="Z281" s="308"/>
    </row>
    <row r="282" spans="1:26">
      <c r="A282" s="304">
        <v>45270</v>
      </c>
      <c r="B282" s="392">
        <v>500</v>
      </c>
      <c r="C282" s="176"/>
      <c r="D282" s="245">
        <v>177.22</v>
      </c>
      <c r="E282" s="166">
        <v>216</v>
      </c>
      <c r="F282" s="166">
        <v>64</v>
      </c>
      <c r="G282" s="325"/>
      <c r="H282" s="392">
        <v>5000</v>
      </c>
      <c r="I282" s="176"/>
      <c r="J282" s="245">
        <v>6430.67</v>
      </c>
      <c r="K282" s="171">
        <v>13621</v>
      </c>
      <c r="L282" s="171">
        <v>1280</v>
      </c>
      <c r="M282" s="325"/>
      <c r="N282" s="392">
        <v>5000</v>
      </c>
      <c r="O282" s="176"/>
      <c r="P282" s="245">
        <v>4969.68</v>
      </c>
      <c r="Q282" s="171">
        <v>203853</v>
      </c>
      <c r="R282" s="171">
        <v>3535</v>
      </c>
      <c r="S282" s="325"/>
      <c r="T282" s="326">
        <v>300</v>
      </c>
      <c r="U282" s="176"/>
      <c r="V282" s="245">
        <v>541.23</v>
      </c>
      <c r="W282" s="171">
        <v>42159</v>
      </c>
      <c r="X282" s="305">
        <v>529</v>
      </c>
      <c r="Y282" s="306"/>
      <c r="Z282" s="308"/>
    </row>
    <row r="283" spans="1:26">
      <c r="A283" s="304">
        <v>45271</v>
      </c>
      <c r="B283" s="392">
        <v>500</v>
      </c>
      <c r="C283" s="176"/>
      <c r="D283" s="245">
        <v>40.61</v>
      </c>
      <c r="E283" s="166">
        <v>41</v>
      </c>
      <c r="F283" s="166">
        <v>18</v>
      </c>
      <c r="G283" s="325"/>
      <c r="H283" s="392">
        <v>5000</v>
      </c>
      <c r="I283" s="176"/>
      <c r="J283" s="245">
        <v>6024.31</v>
      </c>
      <c r="K283" s="171">
        <v>11896</v>
      </c>
      <c r="L283" s="171">
        <v>1088</v>
      </c>
      <c r="M283" s="325"/>
      <c r="N283" s="392">
        <v>5000</v>
      </c>
      <c r="O283" s="176"/>
      <c r="P283" s="245">
        <v>5177.08</v>
      </c>
      <c r="Q283" s="171">
        <v>193771</v>
      </c>
      <c r="R283" s="171">
        <v>5903</v>
      </c>
      <c r="S283" s="325"/>
      <c r="T283" s="326">
        <v>300</v>
      </c>
      <c r="U283" s="176"/>
      <c r="V283" s="245">
        <v>427.23</v>
      </c>
      <c r="W283" s="171">
        <v>43511</v>
      </c>
      <c r="X283" s="305">
        <v>748</v>
      </c>
      <c r="Y283" s="306"/>
      <c r="Z283" s="308"/>
    </row>
    <row r="284" spans="1:26">
      <c r="A284" s="304">
        <v>45272</v>
      </c>
      <c r="B284" s="392">
        <v>500</v>
      </c>
      <c r="C284" s="176"/>
      <c r="D284" s="245">
        <v>158.54</v>
      </c>
      <c r="E284" s="166">
        <v>173</v>
      </c>
      <c r="F284" s="166">
        <v>64</v>
      </c>
      <c r="G284" s="325"/>
      <c r="H284" s="392">
        <v>5000</v>
      </c>
      <c r="I284" s="176"/>
      <c r="J284" s="245">
        <v>6414.14</v>
      </c>
      <c r="K284" s="171">
        <v>14223</v>
      </c>
      <c r="L284" s="171">
        <v>1002</v>
      </c>
      <c r="M284" s="325"/>
      <c r="N284" s="392">
        <v>5000</v>
      </c>
      <c r="O284" s="176"/>
      <c r="P284" s="245">
        <v>8216.16</v>
      </c>
      <c r="Q284" s="171">
        <v>370796</v>
      </c>
      <c r="R284" s="171">
        <v>7693</v>
      </c>
      <c r="S284" s="325"/>
      <c r="T284" s="326">
        <v>300</v>
      </c>
      <c r="U284" s="176"/>
      <c r="V284" s="245">
        <v>1857.18</v>
      </c>
      <c r="W284" s="171">
        <v>29553</v>
      </c>
      <c r="X284" s="305">
        <v>522</v>
      </c>
      <c r="Y284" s="306"/>
      <c r="Z284" s="308"/>
    </row>
    <row r="285" spans="1:26">
      <c r="A285" s="304">
        <v>45273</v>
      </c>
      <c r="B285" s="392">
        <v>500</v>
      </c>
      <c r="C285" s="176"/>
      <c r="D285" s="245">
        <v>146.99</v>
      </c>
      <c r="E285" s="166">
        <v>152</v>
      </c>
      <c r="F285" s="166">
        <v>40</v>
      </c>
      <c r="G285" s="325"/>
      <c r="H285" s="392">
        <v>5000</v>
      </c>
      <c r="I285" s="176"/>
      <c r="J285" s="245">
        <v>6113.77</v>
      </c>
      <c r="K285" s="171">
        <v>15157</v>
      </c>
      <c r="L285" s="171">
        <v>985</v>
      </c>
      <c r="M285" s="325"/>
      <c r="N285" s="392">
        <v>5000</v>
      </c>
      <c r="O285" s="176"/>
      <c r="P285" s="245">
        <v>8331.55</v>
      </c>
      <c r="Q285" s="171">
        <v>480247</v>
      </c>
      <c r="R285" s="171">
        <v>10342</v>
      </c>
      <c r="S285" s="325"/>
      <c r="T285" s="326">
        <v>300</v>
      </c>
      <c r="U285" s="176"/>
      <c r="V285" s="245">
        <v>414.37</v>
      </c>
      <c r="W285" s="171">
        <v>31171</v>
      </c>
      <c r="X285" s="305">
        <v>564</v>
      </c>
      <c r="Y285" s="306"/>
      <c r="Z285" s="308"/>
    </row>
    <row r="286" spans="1:26">
      <c r="A286" s="304">
        <v>45274</v>
      </c>
      <c r="B286" s="392">
        <v>500</v>
      </c>
      <c r="C286" s="173"/>
      <c r="D286" s="348">
        <v>122.55</v>
      </c>
      <c r="E286" s="166">
        <v>131</v>
      </c>
      <c r="F286" s="166">
        <v>41</v>
      </c>
      <c r="G286" s="325"/>
      <c r="H286" s="392">
        <v>5000</v>
      </c>
      <c r="I286" s="176"/>
      <c r="J286" s="245">
        <v>5391.41</v>
      </c>
      <c r="K286" s="171">
        <v>10979</v>
      </c>
      <c r="L286" s="171">
        <v>831</v>
      </c>
      <c r="M286" s="325"/>
      <c r="N286" s="392">
        <v>5000</v>
      </c>
      <c r="O286" s="176"/>
      <c r="P286" s="245">
        <v>5103.34</v>
      </c>
      <c r="Q286" s="171">
        <v>214535</v>
      </c>
      <c r="R286" s="171">
        <v>8630</v>
      </c>
      <c r="S286" s="325"/>
      <c r="T286" s="326">
        <v>300</v>
      </c>
      <c r="U286" s="176"/>
      <c r="V286" s="245">
        <v>368.84</v>
      </c>
      <c r="W286" s="171">
        <v>11142</v>
      </c>
      <c r="X286" s="305">
        <v>343</v>
      </c>
      <c r="Y286" s="306"/>
      <c r="Z286" s="308"/>
    </row>
    <row r="287" spans="1:26">
      <c r="A287" s="304">
        <v>45275</v>
      </c>
      <c r="B287" s="392">
        <v>500</v>
      </c>
      <c r="C287" s="176"/>
      <c r="D287" s="309">
        <v>89.38</v>
      </c>
      <c r="E287" s="310">
        <v>106</v>
      </c>
      <c r="F287" s="310">
        <v>34</v>
      </c>
      <c r="G287" s="325"/>
      <c r="H287" s="392">
        <v>5000</v>
      </c>
      <c r="I287" s="176"/>
      <c r="J287" s="245">
        <v>5304.13</v>
      </c>
      <c r="K287" s="171">
        <v>11092</v>
      </c>
      <c r="L287" s="171">
        <v>830</v>
      </c>
      <c r="M287" s="325"/>
      <c r="N287" s="392">
        <v>5000</v>
      </c>
      <c r="O287" s="176"/>
      <c r="P287" s="245">
        <v>5076.99</v>
      </c>
      <c r="Q287" s="171">
        <v>300101</v>
      </c>
      <c r="R287" s="171">
        <v>9921</v>
      </c>
      <c r="S287" s="325"/>
      <c r="T287" s="326">
        <v>300</v>
      </c>
      <c r="U287" s="176"/>
      <c r="V287" s="245">
        <v>358.15</v>
      </c>
      <c r="W287" s="171">
        <v>10430</v>
      </c>
      <c r="X287" s="305">
        <v>376</v>
      </c>
      <c r="Y287" s="306"/>
      <c r="Z287" s="308"/>
    </row>
    <row r="288" spans="1:26">
      <c r="A288" s="304">
        <v>45276</v>
      </c>
      <c r="B288" s="392">
        <v>500</v>
      </c>
      <c r="C288" s="176"/>
      <c r="D288" s="309">
        <v>78.2</v>
      </c>
      <c r="E288" s="310">
        <v>84</v>
      </c>
      <c r="F288" s="310">
        <v>44</v>
      </c>
      <c r="G288" s="325"/>
      <c r="H288" s="392">
        <v>5000</v>
      </c>
      <c r="I288" s="176"/>
      <c r="J288" s="245">
        <v>4881.17</v>
      </c>
      <c r="K288" s="171">
        <v>10573</v>
      </c>
      <c r="L288" s="171">
        <v>800</v>
      </c>
      <c r="M288" s="325"/>
      <c r="N288" s="392">
        <v>5000</v>
      </c>
      <c r="O288" s="176"/>
      <c r="P288" s="245">
        <v>5083.69</v>
      </c>
      <c r="Q288" s="171">
        <v>249751</v>
      </c>
      <c r="R288" s="171">
        <v>9131</v>
      </c>
      <c r="S288" s="325"/>
      <c r="T288" s="326">
        <v>300</v>
      </c>
      <c r="U288" s="176"/>
      <c r="V288" s="245">
        <v>383.44</v>
      </c>
      <c r="W288" s="171">
        <v>13537</v>
      </c>
      <c r="X288" s="305">
        <v>492</v>
      </c>
      <c r="Y288" s="306"/>
      <c r="Z288" s="308"/>
    </row>
    <row r="289" spans="1:26">
      <c r="A289" s="304">
        <v>45277</v>
      </c>
      <c r="B289" s="392">
        <v>500</v>
      </c>
      <c r="C289" s="176"/>
      <c r="D289" s="309">
        <v>88.08</v>
      </c>
      <c r="E289" s="310">
        <v>104</v>
      </c>
      <c r="F289" s="310">
        <v>46</v>
      </c>
      <c r="G289" s="325"/>
      <c r="H289" s="392">
        <v>5000</v>
      </c>
      <c r="I289" s="176"/>
      <c r="J289" s="245">
        <v>5396.7</v>
      </c>
      <c r="K289" s="171">
        <v>10262</v>
      </c>
      <c r="L289" s="171">
        <v>826</v>
      </c>
      <c r="M289" s="325"/>
      <c r="N289" s="392">
        <v>5000</v>
      </c>
      <c r="O289" s="176"/>
      <c r="P289" s="245">
        <v>5090.01</v>
      </c>
      <c r="Q289" s="171">
        <v>261839</v>
      </c>
      <c r="R289" s="171">
        <v>8093</v>
      </c>
      <c r="S289" s="325"/>
      <c r="T289" s="326">
        <v>300</v>
      </c>
      <c r="U289" s="176"/>
      <c r="V289" s="245">
        <v>416.18</v>
      </c>
      <c r="W289" s="171">
        <v>15323</v>
      </c>
      <c r="X289" s="305">
        <v>511</v>
      </c>
      <c r="Y289" s="306"/>
      <c r="Z289" s="308"/>
    </row>
    <row r="290" spans="1:26">
      <c r="A290" s="304">
        <v>45278</v>
      </c>
      <c r="B290" s="392">
        <v>500</v>
      </c>
      <c r="C290" s="173"/>
      <c r="D290" s="348">
        <v>116.59</v>
      </c>
      <c r="E290" s="166">
        <v>125</v>
      </c>
      <c r="F290" s="166">
        <v>50</v>
      </c>
      <c r="G290" s="325"/>
      <c r="H290" s="392">
        <v>5000</v>
      </c>
      <c r="I290" s="176"/>
      <c r="J290" s="245">
        <v>6965.16</v>
      </c>
      <c r="K290" s="171">
        <v>12658</v>
      </c>
      <c r="L290" s="171">
        <v>998</v>
      </c>
      <c r="M290" s="325"/>
      <c r="N290" s="392">
        <v>5000</v>
      </c>
      <c r="O290" s="176"/>
      <c r="P290" s="245">
        <v>4040.3</v>
      </c>
      <c r="Q290" s="171">
        <v>218062</v>
      </c>
      <c r="R290" s="171">
        <v>6800</v>
      </c>
      <c r="S290" s="325"/>
      <c r="T290" s="326">
        <v>300</v>
      </c>
      <c r="U290" s="176"/>
      <c r="V290" s="245">
        <v>468.54</v>
      </c>
      <c r="W290" s="171">
        <v>18659</v>
      </c>
      <c r="X290" s="305">
        <v>419</v>
      </c>
      <c r="Y290" s="306"/>
      <c r="Z290" s="308"/>
    </row>
    <row r="291" spans="1:26">
      <c r="A291" s="304">
        <v>45279</v>
      </c>
      <c r="B291" s="392">
        <v>500</v>
      </c>
      <c r="C291" s="173"/>
      <c r="D291" s="348">
        <v>115.13</v>
      </c>
      <c r="E291" s="166">
        <v>110</v>
      </c>
      <c r="F291" s="166">
        <v>44</v>
      </c>
      <c r="G291" s="325"/>
      <c r="H291" s="392">
        <v>5000</v>
      </c>
      <c r="I291" s="176"/>
      <c r="J291" s="245">
        <v>5654.38</v>
      </c>
      <c r="K291" s="171">
        <v>11387</v>
      </c>
      <c r="L291" s="171">
        <v>790</v>
      </c>
      <c r="M291" s="325"/>
      <c r="N291" s="392">
        <v>5000</v>
      </c>
      <c r="O291" s="176"/>
      <c r="P291" s="245">
        <v>4107.82</v>
      </c>
      <c r="Q291" s="171">
        <v>220974</v>
      </c>
      <c r="R291" s="171">
        <v>6775</v>
      </c>
      <c r="S291" s="325"/>
      <c r="T291" s="326">
        <v>300</v>
      </c>
      <c r="U291" s="176"/>
      <c r="V291" s="245">
        <v>414.67</v>
      </c>
      <c r="W291" s="171">
        <v>15811</v>
      </c>
      <c r="X291" s="305">
        <v>374</v>
      </c>
      <c r="Y291" s="306"/>
      <c r="Z291" s="308"/>
    </row>
    <row r="292" spans="1:26">
      <c r="A292" s="304">
        <v>45280</v>
      </c>
      <c r="B292" s="392">
        <v>500</v>
      </c>
      <c r="C292" s="176"/>
      <c r="D292" s="245">
        <v>109.62</v>
      </c>
      <c r="E292" s="166">
        <v>116</v>
      </c>
      <c r="F292" s="166">
        <v>42</v>
      </c>
      <c r="G292" s="325"/>
      <c r="H292" s="392">
        <v>2000</v>
      </c>
      <c r="I292" s="176"/>
      <c r="J292" s="245">
        <v>2758.46</v>
      </c>
      <c r="K292" s="171">
        <v>5468</v>
      </c>
      <c r="L292" s="171">
        <v>437</v>
      </c>
      <c r="M292" s="325"/>
      <c r="N292" s="392">
        <v>1500</v>
      </c>
      <c r="O292" s="176"/>
      <c r="P292" s="245">
        <v>1630.81</v>
      </c>
      <c r="Q292" s="171">
        <v>56285</v>
      </c>
      <c r="R292" s="171">
        <v>1699</v>
      </c>
      <c r="S292" s="325"/>
      <c r="T292" s="326">
        <v>300</v>
      </c>
      <c r="U292" s="176"/>
      <c r="V292" s="245">
        <v>294.39</v>
      </c>
      <c r="W292" s="171">
        <v>21257</v>
      </c>
      <c r="X292" s="305">
        <v>373</v>
      </c>
      <c r="Y292" s="306"/>
      <c r="Z292" s="308"/>
    </row>
    <row r="293" spans="1:26">
      <c r="A293" s="304">
        <v>45281</v>
      </c>
      <c r="B293" s="392">
        <v>500</v>
      </c>
      <c r="C293" s="176"/>
      <c r="D293" s="245">
        <v>150.81</v>
      </c>
      <c r="E293" s="166">
        <v>159</v>
      </c>
      <c r="F293" s="166">
        <v>43</v>
      </c>
      <c r="G293" s="325"/>
      <c r="H293" s="392">
        <v>2000</v>
      </c>
      <c r="I293" s="176"/>
      <c r="J293" s="245">
        <v>2605.35</v>
      </c>
      <c r="K293" s="171">
        <v>4047</v>
      </c>
      <c r="L293" s="171">
        <v>423</v>
      </c>
      <c r="M293" s="325"/>
      <c r="N293" s="392">
        <v>1500</v>
      </c>
      <c r="O293" s="176"/>
      <c r="P293" s="245">
        <v>1163.46</v>
      </c>
      <c r="Q293" s="171">
        <v>44456</v>
      </c>
      <c r="R293" s="171">
        <v>1022</v>
      </c>
      <c r="S293" s="325"/>
      <c r="T293" s="326">
        <v>300</v>
      </c>
      <c r="U293" s="176"/>
      <c r="V293" s="245">
        <v>360.64</v>
      </c>
      <c r="W293" s="171">
        <v>25706</v>
      </c>
      <c r="X293" s="305">
        <v>354</v>
      </c>
      <c r="Y293" s="306"/>
      <c r="Z293" s="308"/>
    </row>
    <row r="294" spans="1:26">
      <c r="A294" s="304">
        <v>45282</v>
      </c>
      <c r="B294" s="392">
        <v>500</v>
      </c>
      <c r="C294" s="176"/>
      <c r="D294" s="245">
        <v>137.58</v>
      </c>
      <c r="E294" s="166">
        <v>153</v>
      </c>
      <c r="F294" s="166">
        <v>41</v>
      </c>
      <c r="G294" s="325"/>
      <c r="H294" s="392">
        <v>2000</v>
      </c>
      <c r="I294" s="176"/>
      <c r="J294" s="245">
        <v>1566.8</v>
      </c>
      <c r="K294" s="171">
        <v>3527</v>
      </c>
      <c r="L294" s="171">
        <v>330</v>
      </c>
      <c r="M294" s="325"/>
      <c r="N294" s="392">
        <v>1500</v>
      </c>
      <c r="O294" s="176"/>
      <c r="P294" s="245">
        <v>1179.8</v>
      </c>
      <c r="Q294" s="171">
        <v>57610</v>
      </c>
      <c r="R294" s="171">
        <v>1641</v>
      </c>
      <c r="S294" s="325"/>
      <c r="T294" s="326">
        <v>300</v>
      </c>
      <c r="U294" s="176"/>
      <c r="V294" s="245">
        <v>302.45</v>
      </c>
      <c r="W294" s="171">
        <v>25515</v>
      </c>
      <c r="X294" s="305">
        <v>416</v>
      </c>
      <c r="Y294" s="306"/>
      <c r="Z294" s="308"/>
    </row>
    <row r="295" spans="1:26">
      <c r="A295" s="304">
        <v>45283</v>
      </c>
      <c r="B295" s="392">
        <v>500</v>
      </c>
      <c r="C295" s="176"/>
      <c r="D295" s="245">
        <v>93.45</v>
      </c>
      <c r="E295" s="166">
        <v>100</v>
      </c>
      <c r="F295" s="166">
        <v>41</v>
      </c>
      <c r="G295" s="325"/>
      <c r="H295" s="392">
        <v>2000</v>
      </c>
      <c r="I295" s="176"/>
      <c r="J295" s="245">
        <v>1561.02</v>
      </c>
      <c r="K295" s="171">
        <v>4711</v>
      </c>
      <c r="L295" s="171">
        <v>373</v>
      </c>
      <c r="M295" s="325"/>
      <c r="N295" s="392">
        <v>1500</v>
      </c>
      <c r="O295" s="176"/>
      <c r="P295" s="245">
        <v>1177.29</v>
      </c>
      <c r="Q295" s="171">
        <v>53157</v>
      </c>
      <c r="R295" s="171">
        <v>1398</v>
      </c>
      <c r="S295" s="325"/>
      <c r="T295" s="326">
        <v>300</v>
      </c>
      <c r="U295" s="176"/>
      <c r="V295" s="245">
        <v>359.02</v>
      </c>
      <c r="W295" s="171">
        <v>15292</v>
      </c>
      <c r="X295" s="305">
        <v>261</v>
      </c>
      <c r="Y295" s="306"/>
      <c r="Z295" s="308"/>
    </row>
    <row r="296" spans="1:26">
      <c r="A296" s="304">
        <v>45284</v>
      </c>
      <c r="B296" s="392">
        <v>500</v>
      </c>
      <c r="C296" s="176"/>
      <c r="D296" s="245">
        <v>107.48</v>
      </c>
      <c r="E296" s="166">
        <v>111</v>
      </c>
      <c r="F296" s="166">
        <v>38</v>
      </c>
      <c r="G296" s="325"/>
      <c r="H296" s="392">
        <v>2000</v>
      </c>
      <c r="I296" s="176"/>
      <c r="J296" s="245">
        <v>1745.25</v>
      </c>
      <c r="K296" s="171">
        <v>4110</v>
      </c>
      <c r="L296" s="171">
        <v>394</v>
      </c>
      <c r="M296" s="325"/>
      <c r="N296" s="392">
        <v>1500</v>
      </c>
      <c r="O296" s="176"/>
      <c r="P296" s="245">
        <v>1186.03</v>
      </c>
      <c r="Q296" s="171">
        <v>50425</v>
      </c>
      <c r="R296" s="171">
        <v>1481</v>
      </c>
      <c r="S296" s="325"/>
      <c r="T296" s="326">
        <v>300</v>
      </c>
      <c r="U296" s="176"/>
      <c r="V296" s="245">
        <v>350.17</v>
      </c>
      <c r="W296" s="171">
        <v>14759</v>
      </c>
      <c r="X296" s="305">
        <v>269</v>
      </c>
      <c r="Y296" s="306"/>
      <c r="Z296" s="308"/>
    </row>
    <row r="297" spans="1:26">
      <c r="A297" s="304">
        <v>45285</v>
      </c>
      <c r="B297" s="392">
        <v>500</v>
      </c>
      <c r="C297" s="176"/>
      <c r="D297" s="245">
        <v>159.62</v>
      </c>
      <c r="E297" s="166">
        <v>182</v>
      </c>
      <c r="F297" s="166">
        <v>42</v>
      </c>
      <c r="G297" s="325"/>
      <c r="H297" s="392">
        <v>2000</v>
      </c>
      <c r="I297" s="176"/>
      <c r="J297" s="245">
        <v>2250</v>
      </c>
      <c r="K297" s="171">
        <v>4783</v>
      </c>
      <c r="L297" s="171">
        <v>414</v>
      </c>
      <c r="M297" s="325"/>
      <c r="N297" s="392">
        <v>1500</v>
      </c>
      <c r="O297" s="176"/>
      <c r="P297" s="245">
        <v>1409.24</v>
      </c>
      <c r="Q297" s="305">
        <v>55063</v>
      </c>
      <c r="R297" s="171">
        <v>1487</v>
      </c>
      <c r="S297" s="325"/>
      <c r="T297" s="326">
        <v>300</v>
      </c>
      <c r="U297" s="176"/>
      <c r="V297" s="245">
        <v>361.63</v>
      </c>
      <c r="W297" s="305">
        <v>51995</v>
      </c>
      <c r="X297" s="305">
        <v>528</v>
      </c>
      <c r="Y297" s="306"/>
      <c r="Z297" s="308"/>
    </row>
    <row r="298" spans="1:26">
      <c r="A298" s="304">
        <v>45286</v>
      </c>
      <c r="B298" s="392">
        <v>500</v>
      </c>
      <c r="C298" s="176"/>
      <c r="D298" s="245">
        <v>127.95</v>
      </c>
      <c r="E298" s="166">
        <v>139</v>
      </c>
      <c r="F298" s="166">
        <v>45</v>
      </c>
      <c r="G298" s="325"/>
      <c r="H298" s="392">
        <v>2000</v>
      </c>
      <c r="I298" s="176"/>
      <c r="J298" s="245">
        <v>2125.91</v>
      </c>
      <c r="K298" s="171">
        <v>4994</v>
      </c>
      <c r="L298" s="171">
        <v>415</v>
      </c>
      <c r="M298" s="325"/>
      <c r="N298" s="392">
        <v>1500</v>
      </c>
      <c r="O298" s="176"/>
      <c r="P298" s="245">
        <v>1358.5</v>
      </c>
      <c r="Q298" s="305">
        <v>52715</v>
      </c>
      <c r="R298" s="171">
        <v>1045</v>
      </c>
      <c r="S298" s="325"/>
      <c r="T298" s="326">
        <v>300</v>
      </c>
      <c r="U298" s="176"/>
      <c r="V298" s="245">
        <f>88.45+195.27</f>
        <v>283.72</v>
      </c>
      <c r="W298" s="305">
        <f>5338+30747</f>
        <v>36085</v>
      </c>
      <c r="X298" s="305">
        <f>92+326</f>
        <v>418</v>
      </c>
      <c r="Y298" s="306"/>
      <c r="Z298" s="308"/>
    </row>
    <row r="299" spans="1:26">
      <c r="A299" s="304">
        <v>45287</v>
      </c>
      <c r="B299" s="392">
        <v>500</v>
      </c>
      <c r="C299" s="176"/>
      <c r="D299" s="245">
        <v>130.27</v>
      </c>
      <c r="E299" s="166">
        <v>132</v>
      </c>
      <c r="F299" s="166">
        <v>41</v>
      </c>
      <c r="G299" s="325"/>
      <c r="H299" s="392">
        <v>2000</v>
      </c>
      <c r="I299" s="176"/>
      <c r="J299" s="245">
        <v>1783.47</v>
      </c>
      <c r="K299" s="171">
        <v>4998</v>
      </c>
      <c r="L299" s="171">
        <v>372</v>
      </c>
      <c r="M299" s="325"/>
      <c r="N299" s="392">
        <v>1500</v>
      </c>
      <c r="O299" s="176"/>
      <c r="P299" s="245">
        <v>1369.39</v>
      </c>
      <c r="Q299" s="305">
        <v>93745</v>
      </c>
      <c r="R299" s="171">
        <v>1140</v>
      </c>
      <c r="S299" s="325"/>
      <c r="T299" s="326">
        <v>300</v>
      </c>
      <c r="U299" s="176"/>
      <c r="V299" s="245">
        <f>188.85+78.85</f>
        <v>267.7</v>
      </c>
      <c r="W299" s="171">
        <f>20786+6312</f>
        <v>27098</v>
      </c>
      <c r="X299" s="305">
        <f>242+103</f>
        <v>345</v>
      </c>
      <c r="Y299" s="306"/>
      <c r="Z299" s="308"/>
    </row>
    <row r="300" spans="1:26">
      <c r="A300" s="304">
        <v>45288</v>
      </c>
      <c r="B300" s="392">
        <v>500</v>
      </c>
      <c r="C300" s="173"/>
      <c r="D300" s="361">
        <v>126.21</v>
      </c>
      <c r="E300" s="404">
        <v>133</v>
      </c>
      <c r="F300" s="404">
        <v>45</v>
      </c>
      <c r="G300" s="325"/>
      <c r="H300" s="392">
        <v>2000</v>
      </c>
      <c r="I300" s="176"/>
      <c r="J300" s="443">
        <v>2048.29</v>
      </c>
      <c r="K300" s="417">
        <v>7077</v>
      </c>
      <c r="L300" s="417">
        <v>496</v>
      </c>
      <c r="M300" s="325"/>
      <c r="N300" s="392">
        <v>1500</v>
      </c>
      <c r="O300" s="176"/>
      <c r="P300" s="443">
        <v>1335.16</v>
      </c>
      <c r="Q300" s="399">
        <v>70964</v>
      </c>
      <c r="R300" s="417">
        <v>1720</v>
      </c>
      <c r="S300" s="325"/>
      <c r="T300" s="326">
        <v>300</v>
      </c>
      <c r="U300" s="176"/>
      <c r="V300" s="403">
        <f>80.89+189.23</f>
        <v>270.12</v>
      </c>
      <c r="W300" s="399">
        <f>4627+16012</f>
        <v>20639</v>
      </c>
      <c r="X300" s="501">
        <f>67+238</f>
        <v>305</v>
      </c>
      <c r="Y300" s="477"/>
      <c r="Z300" s="308"/>
    </row>
    <row r="301" spans="1:26">
      <c r="A301" s="304">
        <v>45289</v>
      </c>
      <c r="B301" s="392">
        <v>500</v>
      </c>
      <c r="C301" s="176"/>
      <c r="D301" s="245">
        <v>130.87</v>
      </c>
      <c r="E301" s="166">
        <v>164</v>
      </c>
      <c r="F301" s="166">
        <v>54</v>
      </c>
      <c r="G301" s="325"/>
      <c r="H301" s="392">
        <v>2000</v>
      </c>
      <c r="I301" s="176"/>
      <c r="J301" s="245">
        <v>2570.89</v>
      </c>
      <c r="K301" s="171">
        <v>7030</v>
      </c>
      <c r="L301" s="171">
        <v>530</v>
      </c>
      <c r="M301" s="325"/>
      <c r="N301" s="392">
        <v>1500</v>
      </c>
      <c r="O301" s="176"/>
      <c r="P301" s="245">
        <v>1363.78</v>
      </c>
      <c r="Q301" s="171">
        <v>82597</v>
      </c>
      <c r="R301" s="171">
        <v>1693</v>
      </c>
      <c r="S301" s="325"/>
      <c r="T301" s="326">
        <v>300</v>
      </c>
      <c r="U301" s="176"/>
      <c r="V301" s="229">
        <f>70.54+81.22+193.79</f>
        <v>345.55</v>
      </c>
      <c r="W301" s="502">
        <f>2074+1111+12585</f>
        <v>15770</v>
      </c>
      <c r="X301" s="305">
        <f>50+27+202</f>
        <v>279</v>
      </c>
      <c r="Y301" s="306"/>
      <c r="Z301" s="308"/>
    </row>
    <row r="302" spans="1:26">
      <c r="A302" s="304">
        <v>45290</v>
      </c>
      <c r="B302" s="392">
        <v>500</v>
      </c>
      <c r="C302" s="176"/>
      <c r="D302" s="245">
        <v>130.87</v>
      </c>
      <c r="E302" s="166">
        <v>130.87</v>
      </c>
      <c r="F302" s="166">
        <v>82</v>
      </c>
      <c r="G302" s="325"/>
      <c r="H302" s="392">
        <v>2000</v>
      </c>
      <c r="I302" s="176"/>
      <c r="J302" s="245">
        <v>2892.09</v>
      </c>
      <c r="K302" s="171">
        <v>6056</v>
      </c>
      <c r="L302" s="171">
        <v>572</v>
      </c>
      <c r="M302" s="325"/>
      <c r="N302" s="392">
        <v>1500</v>
      </c>
      <c r="O302" s="176"/>
      <c r="P302" s="245">
        <v>1370.65</v>
      </c>
      <c r="Q302" s="171">
        <v>69354</v>
      </c>
      <c r="R302" s="171">
        <v>1934</v>
      </c>
      <c r="S302" s="325"/>
      <c r="T302" s="326">
        <v>300</v>
      </c>
      <c r="U302" s="176"/>
      <c r="V302" s="245">
        <f>81.31+95.45+196.14</f>
        <v>372.9</v>
      </c>
      <c r="W302" s="503">
        <f>3078+1188+11475</f>
        <v>15741</v>
      </c>
      <c r="X302" s="305">
        <f>60+36+204</f>
        <v>300</v>
      </c>
      <c r="Y302" s="306"/>
      <c r="Z302" s="308"/>
    </row>
    <row r="303" spans="1:26">
      <c r="A303" s="304">
        <v>45291</v>
      </c>
      <c r="B303" s="392">
        <v>500</v>
      </c>
      <c r="C303" s="176"/>
      <c r="D303" s="245">
        <v>159.16</v>
      </c>
      <c r="E303" s="166">
        <v>205</v>
      </c>
      <c r="F303" s="166">
        <v>59</v>
      </c>
      <c r="G303" s="325"/>
      <c r="H303" s="392">
        <v>2000</v>
      </c>
      <c r="I303" s="176"/>
      <c r="J303" s="245">
        <v>2911.11</v>
      </c>
      <c r="K303" s="171">
        <v>6668</v>
      </c>
      <c r="L303" s="171">
        <v>573</v>
      </c>
      <c r="M303" s="325"/>
      <c r="N303" s="392">
        <v>1500</v>
      </c>
      <c r="O303" s="176"/>
      <c r="P303" s="245">
        <v>1374.65</v>
      </c>
      <c r="Q303" s="171">
        <v>42995</v>
      </c>
      <c r="R303" s="171">
        <v>1415</v>
      </c>
      <c r="S303" s="325"/>
      <c r="T303" s="326">
        <v>300</v>
      </c>
      <c r="U303" s="176"/>
      <c r="V303" s="245">
        <f>76.67+64.71+196.4</f>
        <v>337.78</v>
      </c>
      <c r="W303" s="171">
        <f>4569+1628+11480</f>
        <v>17677</v>
      </c>
      <c r="X303" s="305">
        <f>56+35+194</f>
        <v>285</v>
      </c>
      <c r="Y303" s="306"/>
      <c r="Z303" s="308"/>
    </row>
    <row r="304" spans="1:26">
      <c r="A304" s="304">
        <v>45292</v>
      </c>
      <c r="B304" s="392">
        <v>500</v>
      </c>
      <c r="C304" s="173"/>
      <c r="D304" s="348">
        <v>132.83</v>
      </c>
      <c r="E304" s="166">
        <v>141</v>
      </c>
      <c r="F304" s="166">
        <v>33</v>
      </c>
      <c r="G304" s="325"/>
      <c r="H304" s="392">
        <v>2000</v>
      </c>
      <c r="I304" s="176"/>
      <c r="J304" s="245">
        <v>2996.34</v>
      </c>
      <c r="K304" s="171">
        <v>6794</v>
      </c>
      <c r="L304" s="171">
        <v>601</v>
      </c>
      <c r="M304" s="325"/>
      <c r="N304" s="392">
        <v>1500</v>
      </c>
      <c r="O304" s="176"/>
      <c r="P304" s="245">
        <v>1372.52</v>
      </c>
      <c r="Q304" s="171">
        <v>43855</v>
      </c>
      <c r="R304" s="171">
        <v>1654</v>
      </c>
      <c r="S304" s="325"/>
      <c r="T304" s="326">
        <v>300</v>
      </c>
      <c r="U304" s="176"/>
      <c r="V304" s="245">
        <f>82.48+82.5+187.38</f>
        <v>352.36</v>
      </c>
      <c r="W304" s="171">
        <f>1691+4255+11856</f>
        <v>17802</v>
      </c>
      <c r="X304" s="305">
        <f>34+94+190</f>
        <v>318</v>
      </c>
      <c r="Y304" s="306"/>
      <c r="Z304" s="308"/>
    </row>
    <row r="305" spans="1:26">
      <c r="A305" s="304">
        <v>45293</v>
      </c>
      <c r="B305" s="392">
        <v>500</v>
      </c>
      <c r="C305" s="173"/>
      <c r="D305" s="348">
        <v>222.18</v>
      </c>
      <c r="E305" s="166">
        <v>261</v>
      </c>
      <c r="F305" s="166">
        <v>111</v>
      </c>
      <c r="G305" s="325"/>
      <c r="H305" s="392">
        <v>2000</v>
      </c>
      <c r="I305" s="176"/>
      <c r="J305" s="245">
        <v>2987.48</v>
      </c>
      <c r="K305" s="171">
        <v>8129</v>
      </c>
      <c r="L305" s="171">
        <v>688</v>
      </c>
      <c r="M305" s="325"/>
      <c r="N305" s="392">
        <v>1500</v>
      </c>
      <c r="O305" s="176"/>
      <c r="P305" s="245">
        <v>1363.09</v>
      </c>
      <c r="Q305" s="171">
        <v>77956</v>
      </c>
      <c r="R305" s="171">
        <v>1502</v>
      </c>
      <c r="S305" s="325"/>
      <c r="T305" s="326">
        <v>300</v>
      </c>
      <c r="U305" s="176"/>
      <c r="V305" s="245">
        <v>329.55</v>
      </c>
      <c r="W305" s="171">
        <v>22648</v>
      </c>
      <c r="X305" s="305">
        <v>389</v>
      </c>
      <c r="Y305" s="306"/>
      <c r="Z305" s="308"/>
    </row>
    <row r="306" spans="1:26">
      <c r="A306" s="304">
        <v>45294</v>
      </c>
      <c r="B306" s="392">
        <v>500</v>
      </c>
      <c r="C306" s="173"/>
      <c r="D306" s="348">
        <v>273.52</v>
      </c>
      <c r="E306" s="166">
        <v>287</v>
      </c>
      <c r="F306" s="166">
        <v>112</v>
      </c>
      <c r="G306" s="325"/>
      <c r="H306" s="392">
        <v>2000</v>
      </c>
      <c r="I306" s="176"/>
      <c r="J306" s="245">
        <v>2968.11</v>
      </c>
      <c r="K306" s="171">
        <v>8223</v>
      </c>
      <c r="L306" s="171">
        <v>836</v>
      </c>
      <c r="M306" s="325"/>
      <c r="N306" s="392">
        <v>1500</v>
      </c>
      <c r="O306" s="176"/>
      <c r="P306" s="245">
        <v>1360.46</v>
      </c>
      <c r="Q306" s="171">
        <v>71435</v>
      </c>
      <c r="R306" s="171">
        <v>1740</v>
      </c>
      <c r="S306" s="325"/>
      <c r="T306" s="326">
        <v>300</v>
      </c>
      <c r="U306" s="176"/>
      <c r="V306" s="245">
        <v>340.46</v>
      </c>
      <c r="W306" s="171">
        <v>24286</v>
      </c>
      <c r="X306" s="305">
        <v>332</v>
      </c>
      <c r="Y306" s="306"/>
      <c r="Z306" s="308"/>
    </row>
    <row r="307" spans="1:26">
      <c r="A307" s="304">
        <v>45295</v>
      </c>
      <c r="B307" s="392">
        <v>500</v>
      </c>
      <c r="C307" s="173"/>
      <c r="D307" s="348">
        <v>210.89</v>
      </c>
      <c r="E307" s="166">
        <v>211</v>
      </c>
      <c r="F307" s="166">
        <v>76</v>
      </c>
      <c r="G307" s="325"/>
      <c r="H307" s="392">
        <v>2000</v>
      </c>
      <c r="I307" s="176"/>
      <c r="J307" s="245">
        <v>2827.71</v>
      </c>
      <c r="K307" s="171">
        <v>7414</v>
      </c>
      <c r="L307" s="171">
        <v>826</v>
      </c>
      <c r="M307" s="325"/>
      <c r="N307" s="392">
        <v>1500</v>
      </c>
      <c r="O307" s="176"/>
      <c r="P307" s="245">
        <v>1362.6</v>
      </c>
      <c r="Q307" s="171">
        <v>56741</v>
      </c>
      <c r="R307" s="171">
        <v>1718</v>
      </c>
      <c r="S307" s="325"/>
      <c r="T307" s="326">
        <v>300</v>
      </c>
      <c r="U307" s="176"/>
      <c r="V307" s="245">
        <v>350.79</v>
      </c>
      <c r="W307" s="171">
        <v>19409</v>
      </c>
      <c r="X307" s="305">
        <v>286</v>
      </c>
      <c r="Y307" s="306"/>
      <c r="Z307" s="308"/>
    </row>
    <row r="308" spans="1:26">
      <c r="A308" s="304">
        <v>45296</v>
      </c>
      <c r="B308" s="392">
        <v>500</v>
      </c>
      <c r="C308" s="173"/>
      <c r="D308" s="348">
        <v>158.59</v>
      </c>
      <c r="E308" s="166">
        <v>158.59</v>
      </c>
      <c r="F308" s="166">
        <v>60</v>
      </c>
      <c r="G308" s="325"/>
      <c r="H308" s="392">
        <v>2000</v>
      </c>
      <c r="I308" s="176"/>
      <c r="J308" s="245">
        <v>1911.85</v>
      </c>
      <c r="K308" s="171">
        <v>7142</v>
      </c>
      <c r="L308" s="171">
        <v>597</v>
      </c>
      <c r="M308" s="325"/>
      <c r="N308" s="392">
        <v>1500</v>
      </c>
      <c r="O308" s="176"/>
      <c r="P308" s="245">
        <v>1273.91</v>
      </c>
      <c r="Q308" s="171">
        <v>106653</v>
      </c>
      <c r="R308" s="171">
        <v>2624</v>
      </c>
      <c r="S308" s="325"/>
      <c r="T308" s="326">
        <v>300</v>
      </c>
      <c r="U308" s="176"/>
      <c r="V308" s="245">
        <v>316.76</v>
      </c>
      <c r="W308" s="171">
        <v>16777</v>
      </c>
      <c r="X308" s="305">
        <v>270</v>
      </c>
      <c r="Y308" s="306"/>
      <c r="Z308" s="308"/>
    </row>
    <row r="309" spans="1:26">
      <c r="A309" s="304">
        <v>45297</v>
      </c>
      <c r="B309" s="392">
        <v>500</v>
      </c>
      <c r="C309" s="173"/>
      <c r="D309" s="348">
        <v>156.88</v>
      </c>
      <c r="E309" s="166">
        <v>162</v>
      </c>
      <c r="F309" s="166">
        <v>48</v>
      </c>
      <c r="G309" s="325"/>
      <c r="H309" s="392">
        <v>2000</v>
      </c>
      <c r="I309" s="176"/>
      <c r="J309" s="245">
        <v>2332.51</v>
      </c>
      <c r="K309" s="171">
        <v>6304</v>
      </c>
      <c r="L309" s="171">
        <v>648</v>
      </c>
      <c r="M309" s="325"/>
      <c r="N309" s="392">
        <v>1500</v>
      </c>
      <c r="O309" s="176"/>
      <c r="P309" s="245">
        <v>1350.9</v>
      </c>
      <c r="Q309" s="171">
        <v>701549</v>
      </c>
      <c r="R309" s="171">
        <v>6591</v>
      </c>
      <c r="S309" s="325"/>
      <c r="T309" s="326">
        <v>300</v>
      </c>
      <c r="U309" s="176"/>
      <c r="V309" s="245">
        <v>342.68</v>
      </c>
      <c r="W309" s="171">
        <v>12599</v>
      </c>
      <c r="X309" s="305">
        <v>274</v>
      </c>
      <c r="Y309" s="306"/>
      <c r="Z309" s="308"/>
    </row>
    <row r="310" spans="1:26">
      <c r="A310" s="304">
        <v>45298</v>
      </c>
      <c r="B310" s="392">
        <v>500</v>
      </c>
      <c r="C310" s="173"/>
      <c r="D310" s="348">
        <v>176.11</v>
      </c>
      <c r="E310" s="166">
        <v>191</v>
      </c>
      <c r="F310" s="166">
        <v>52</v>
      </c>
      <c r="G310" s="325"/>
      <c r="H310" s="392">
        <v>2000</v>
      </c>
      <c r="I310" s="176"/>
      <c r="J310" s="245">
        <v>2783.59</v>
      </c>
      <c r="K310" s="171">
        <v>6220</v>
      </c>
      <c r="L310" s="171">
        <v>680</v>
      </c>
      <c r="M310" s="325"/>
      <c r="N310" s="392">
        <v>1500</v>
      </c>
      <c r="O310" s="176"/>
      <c r="P310" s="245">
        <v>1303.64</v>
      </c>
      <c r="Q310" s="171">
        <v>859177</v>
      </c>
      <c r="R310" s="171">
        <v>6289</v>
      </c>
      <c r="S310" s="325"/>
      <c r="T310" s="326">
        <v>300</v>
      </c>
      <c r="U310" s="176"/>
      <c r="V310" s="245">
        <v>350.65</v>
      </c>
      <c r="W310" s="171">
        <v>18667</v>
      </c>
      <c r="X310" s="305">
        <v>305</v>
      </c>
      <c r="Y310" s="306"/>
      <c r="Z310" s="308"/>
    </row>
    <row r="311" spans="1:26">
      <c r="A311" s="304">
        <v>45299</v>
      </c>
      <c r="B311" s="392">
        <v>500</v>
      </c>
      <c r="C311" s="173"/>
      <c r="D311" s="348">
        <v>219.91</v>
      </c>
      <c r="E311" s="166">
        <v>235</v>
      </c>
      <c r="F311" s="166">
        <v>71</v>
      </c>
      <c r="G311" s="325"/>
      <c r="H311" s="392">
        <v>2000</v>
      </c>
      <c r="I311" s="176"/>
      <c r="J311" s="245">
        <v>2694.91</v>
      </c>
      <c r="K311" s="171">
        <v>6646</v>
      </c>
      <c r="L311" s="171">
        <v>707</v>
      </c>
      <c r="M311" s="325"/>
      <c r="N311" s="392">
        <v>1500</v>
      </c>
      <c r="O311" s="176"/>
      <c r="P311" s="245">
        <v>1281.12</v>
      </c>
      <c r="Q311" s="171">
        <v>843784</v>
      </c>
      <c r="R311" s="171">
        <v>7945</v>
      </c>
      <c r="S311" s="325"/>
      <c r="T311" s="326">
        <v>300</v>
      </c>
      <c r="U311" s="176"/>
      <c r="V311" s="245">
        <v>295.55</v>
      </c>
      <c r="W311" s="171">
        <v>15505</v>
      </c>
      <c r="X311" s="305">
        <v>294</v>
      </c>
      <c r="Y311" s="306"/>
      <c r="Z311" s="308"/>
    </row>
    <row r="312" spans="1:26">
      <c r="A312" s="304">
        <v>45300</v>
      </c>
      <c r="B312" s="392">
        <v>500</v>
      </c>
      <c r="C312" s="176"/>
      <c r="D312" s="245">
        <v>117.54</v>
      </c>
      <c r="E312" s="166">
        <v>135</v>
      </c>
      <c r="F312" s="166">
        <v>30</v>
      </c>
      <c r="G312" s="325"/>
      <c r="H312" s="392">
        <v>2000</v>
      </c>
      <c r="I312" s="176"/>
      <c r="J312" s="245">
        <v>2444.84</v>
      </c>
      <c r="K312" s="171">
        <v>5723</v>
      </c>
      <c r="L312" s="171">
        <v>645</v>
      </c>
      <c r="M312" s="325"/>
      <c r="N312" s="392">
        <v>1500</v>
      </c>
      <c r="O312" s="176"/>
      <c r="P312" s="245">
        <v>1314.95</v>
      </c>
      <c r="Q312" s="171">
        <v>952080</v>
      </c>
      <c r="R312" s="171">
        <v>7264</v>
      </c>
      <c r="S312" s="325"/>
      <c r="T312" s="326">
        <v>300</v>
      </c>
      <c r="U312" s="176"/>
      <c r="V312" s="245">
        <v>311.61</v>
      </c>
      <c r="W312" s="171">
        <v>21669</v>
      </c>
      <c r="X312" s="305">
        <v>356</v>
      </c>
      <c r="Y312" s="306"/>
      <c r="Z312" s="308"/>
    </row>
    <row r="313" spans="1:26">
      <c r="A313" s="304">
        <v>45301</v>
      </c>
      <c r="B313" s="392">
        <v>500</v>
      </c>
      <c r="C313" s="173"/>
      <c r="D313" s="348">
        <v>156.85</v>
      </c>
      <c r="E313" s="166">
        <v>155</v>
      </c>
      <c r="F313" s="166">
        <v>39</v>
      </c>
      <c r="G313" s="325"/>
      <c r="H313" s="392">
        <v>2000</v>
      </c>
      <c r="I313" s="176"/>
      <c r="J313" s="245">
        <v>1706.18</v>
      </c>
      <c r="K313" s="171">
        <v>4050</v>
      </c>
      <c r="L313" s="171">
        <v>468</v>
      </c>
      <c r="M313" s="325"/>
      <c r="N313" s="392">
        <v>1500</v>
      </c>
      <c r="O313" s="176"/>
      <c r="P313" s="245">
        <v>1311.68</v>
      </c>
      <c r="Q313" s="171">
        <v>855370</v>
      </c>
      <c r="R313" s="171">
        <v>7408</v>
      </c>
      <c r="S313" s="325"/>
      <c r="T313" s="326">
        <v>300</v>
      </c>
      <c r="U313" s="176"/>
      <c r="V313" s="245">
        <v>382.55</v>
      </c>
      <c r="W313" s="171">
        <v>32567</v>
      </c>
      <c r="X313" s="305">
        <v>394</v>
      </c>
      <c r="Y313" s="306"/>
      <c r="Z313" s="308"/>
    </row>
    <row r="314" spans="1:26">
      <c r="A314" s="304">
        <v>45302</v>
      </c>
      <c r="B314" s="392">
        <v>500</v>
      </c>
      <c r="C314" s="173"/>
      <c r="D314" s="348">
        <v>120.46</v>
      </c>
      <c r="E314" s="166">
        <v>132</v>
      </c>
      <c r="F314" s="166">
        <v>47</v>
      </c>
      <c r="G314" s="325"/>
      <c r="H314" s="392">
        <v>2000</v>
      </c>
      <c r="I314" s="176"/>
      <c r="J314" s="245">
        <v>1530.95</v>
      </c>
      <c r="K314" s="171">
        <v>4252</v>
      </c>
      <c r="L314" s="171">
        <v>431</v>
      </c>
      <c r="M314" s="325"/>
      <c r="N314" s="392">
        <v>1500</v>
      </c>
      <c r="O314" s="176"/>
      <c r="P314" s="245">
        <v>1358.32</v>
      </c>
      <c r="Q314" s="171">
        <v>767868</v>
      </c>
      <c r="R314" s="171">
        <v>6795</v>
      </c>
      <c r="S314" s="325"/>
      <c r="T314" s="326">
        <v>300</v>
      </c>
      <c r="U314" s="176"/>
      <c r="V314" s="245">
        <v>337.63</v>
      </c>
      <c r="W314" s="171">
        <v>15462</v>
      </c>
      <c r="X314" s="305">
        <v>348</v>
      </c>
      <c r="Y314" s="306"/>
      <c r="Z314" s="308"/>
    </row>
    <row r="315" spans="1:26">
      <c r="A315" s="304">
        <v>45303</v>
      </c>
      <c r="B315" s="392">
        <v>500</v>
      </c>
      <c r="C315" s="173"/>
      <c r="D315" s="348">
        <v>157.43</v>
      </c>
      <c r="E315" s="166">
        <v>181</v>
      </c>
      <c r="F315" s="166">
        <v>40</v>
      </c>
      <c r="G315" s="325"/>
      <c r="H315" s="392">
        <v>2000</v>
      </c>
      <c r="I315" s="176"/>
      <c r="J315" s="245">
        <v>1790.68</v>
      </c>
      <c r="K315" s="171">
        <v>4045</v>
      </c>
      <c r="L315" s="171">
        <v>484</v>
      </c>
      <c r="M315" s="325"/>
      <c r="N315" s="392">
        <v>1500</v>
      </c>
      <c r="O315" s="176"/>
      <c r="P315" s="245">
        <v>1365.64</v>
      </c>
      <c r="Q315" s="171">
        <v>1201257</v>
      </c>
      <c r="R315" s="171">
        <v>7974</v>
      </c>
      <c r="S315" s="325"/>
      <c r="T315" s="326">
        <v>300</v>
      </c>
      <c r="U315" s="176"/>
      <c r="V315" s="245">
        <v>345.94</v>
      </c>
      <c r="W315" s="171">
        <v>21113</v>
      </c>
      <c r="X315" s="305">
        <v>362</v>
      </c>
      <c r="Y315" s="306"/>
      <c r="Z315" s="308"/>
    </row>
    <row r="316" spans="1:26">
      <c r="A316" s="304">
        <v>45304</v>
      </c>
      <c r="B316" s="392">
        <v>500</v>
      </c>
      <c r="C316" s="173"/>
      <c r="D316" s="348">
        <v>100.59</v>
      </c>
      <c r="E316" s="166">
        <v>128</v>
      </c>
      <c r="F316" s="166">
        <v>44</v>
      </c>
      <c r="G316" s="325"/>
      <c r="H316" s="392">
        <v>2000</v>
      </c>
      <c r="I316" s="176"/>
      <c r="J316" s="245">
        <v>1383.36</v>
      </c>
      <c r="K316" s="171">
        <v>3827</v>
      </c>
      <c r="L316" s="171">
        <v>414</v>
      </c>
      <c r="M316" s="325"/>
      <c r="N316" s="392">
        <v>1500</v>
      </c>
      <c r="O316" s="176"/>
      <c r="P316" s="245">
        <v>1377.47</v>
      </c>
      <c r="Q316" s="171">
        <v>1668911</v>
      </c>
      <c r="R316" s="171">
        <v>9331</v>
      </c>
      <c r="S316" s="325"/>
      <c r="T316" s="326">
        <v>300</v>
      </c>
      <c r="U316" s="176"/>
      <c r="V316" s="245">
        <v>357.54</v>
      </c>
      <c r="W316" s="171">
        <v>16212</v>
      </c>
      <c r="X316" s="305">
        <v>332</v>
      </c>
      <c r="Y316" s="306"/>
      <c r="Z316" s="308"/>
    </row>
    <row r="317" spans="1:26">
      <c r="A317" s="304">
        <v>45305</v>
      </c>
      <c r="B317" s="392">
        <v>500</v>
      </c>
      <c r="C317" s="173"/>
      <c r="D317" s="348">
        <v>123.85</v>
      </c>
      <c r="E317" s="166">
        <v>183</v>
      </c>
      <c r="F317" s="166">
        <v>57</v>
      </c>
      <c r="G317" s="325"/>
      <c r="H317" s="392">
        <v>2000</v>
      </c>
      <c r="I317" s="176"/>
      <c r="J317" s="245">
        <v>1815.97</v>
      </c>
      <c r="K317" s="171">
        <v>4150</v>
      </c>
      <c r="L317" s="171">
        <v>536</v>
      </c>
      <c r="M317" s="325"/>
      <c r="N317" s="392">
        <v>1500</v>
      </c>
      <c r="O317" s="176"/>
      <c r="P317" s="245">
        <v>1363.39</v>
      </c>
      <c r="Q317" s="171">
        <v>1421027</v>
      </c>
      <c r="R317" s="171">
        <v>8865</v>
      </c>
      <c r="S317" s="325"/>
      <c r="T317" s="326">
        <v>300</v>
      </c>
      <c r="U317" s="176"/>
      <c r="V317" s="245">
        <v>367.51</v>
      </c>
      <c r="W317" s="171">
        <v>31051</v>
      </c>
      <c r="X317" s="305">
        <v>455</v>
      </c>
      <c r="Y317" s="306"/>
      <c r="Z317" s="308"/>
    </row>
    <row r="318" spans="1:26">
      <c r="A318" s="304">
        <v>45306</v>
      </c>
      <c r="B318" s="392">
        <v>500</v>
      </c>
      <c r="C318" s="173"/>
      <c r="D318" s="348">
        <v>113.45</v>
      </c>
      <c r="E318" s="166">
        <v>149</v>
      </c>
      <c r="F318" s="166">
        <v>55</v>
      </c>
      <c r="G318" s="325"/>
      <c r="H318" s="392">
        <v>2000</v>
      </c>
      <c r="I318" s="176"/>
      <c r="J318" s="245">
        <v>1965.86</v>
      </c>
      <c r="K318" s="171">
        <v>4760</v>
      </c>
      <c r="L318" s="171">
        <v>535</v>
      </c>
      <c r="M318" s="325"/>
      <c r="N318" s="392">
        <v>1500</v>
      </c>
      <c r="O318" s="176"/>
      <c r="P318" s="245">
        <v>1368.59</v>
      </c>
      <c r="Q318" s="171">
        <v>1255480</v>
      </c>
      <c r="R318" s="171">
        <v>8278</v>
      </c>
      <c r="S318" s="325"/>
      <c r="T318" s="326">
        <v>300</v>
      </c>
      <c r="U318" s="176"/>
      <c r="V318" s="245">
        <v>344.61</v>
      </c>
      <c r="W318" s="171">
        <v>27549</v>
      </c>
      <c r="X318" s="305">
        <v>388</v>
      </c>
      <c r="Y318" s="306"/>
      <c r="Z318" s="308"/>
    </row>
    <row r="319" spans="1:26">
      <c r="A319" s="304">
        <v>45307</v>
      </c>
      <c r="B319" s="392">
        <v>500</v>
      </c>
      <c r="C319" s="173"/>
      <c r="D319" s="348">
        <v>152.18</v>
      </c>
      <c r="E319" s="166">
        <v>201</v>
      </c>
      <c r="F319" s="166">
        <v>75</v>
      </c>
      <c r="G319" s="325"/>
      <c r="H319" s="392">
        <v>2000</v>
      </c>
      <c r="I319" s="176"/>
      <c r="J319" s="245">
        <v>2265.95</v>
      </c>
      <c r="K319" s="171">
        <v>5197</v>
      </c>
      <c r="L319" s="171">
        <v>552</v>
      </c>
      <c r="M319" s="325"/>
      <c r="N319" s="392">
        <v>1500</v>
      </c>
      <c r="O319" s="176"/>
      <c r="P319" s="245">
        <v>1372.73</v>
      </c>
      <c r="Q319" s="171">
        <v>1577001</v>
      </c>
      <c r="R319" s="171">
        <v>8615</v>
      </c>
      <c r="S319" s="325"/>
      <c r="T319" s="326">
        <v>300</v>
      </c>
      <c r="U319" s="176"/>
      <c r="V319" s="245">
        <v>1189.36</v>
      </c>
      <c r="W319" s="171">
        <v>28998</v>
      </c>
      <c r="X319" s="305">
        <v>382</v>
      </c>
      <c r="Y319" s="306"/>
      <c r="Z319" s="308"/>
    </row>
    <row r="320" spans="1:26">
      <c r="A320" s="304">
        <v>45308</v>
      </c>
      <c r="B320" s="392">
        <v>500</v>
      </c>
      <c r="C320" s="173"/>
      <c r="D320" s="348">
        <v>134.51</v>
      </c>
      <c r="E320" s="166">
        <v>175</v>
      </c>
      <c r="F320" s="166">
        <v>64</v>
      </c>
      <c r="G320" s="325"/>
      <c r="H320" s="392">
        <v>2000</v>
      </c>
      <c r="I320" s="176"/>
      <c r="J320" s="245">
        <v>1887.44</v>
      </c>
      <c r="K320" s="171">
        <v>4577</v>
      </c>
      <c r="L320" s="171">
        <v>441</v>
      </c>
      <c r="M320" s="325"/>
      <c r="N320" s="392">
        <v>1500</v>
      </c>
      <c r="O320" s="176"/>
      <c r="P320" s="245">
        <v>1350.5</v>
      </c>
      <c r="Q320" s="171">
        <v>1106518</v>
      </c>
      <c r="R320" s="171">
        <v>6807</v>
      </c>
      <c r="S320" s="325"/>
      <c r="T320" s="326">
        <v>300</v>
      </c>
      <c r="U320" s="176"/>
      <c r="V320" s="245">
        <v>346.94</v>
      </c>
      <c r="W320" s="171">
        <v>21737</v>
      </c>
      <c r="X320" s="305">
        <v>331</v>
      </c>
      <c r="Y320" s="306"/>
      <c r="Z320" s="308"/>
    </row>
    <row r="321" spans="1:26">
      <c r="A321" s="304">
        <v>45309</v>
      </c>
      <c r="B321" s="392">
        <v>500</v>
      </c>
      <c r="C321" s="173"/>
      <c r="D321" s="348">
        <v>73.44</v>
      </c>
      <c r="E321" s="166">
        <v>90</v>
      </c>
      <c r="F321" s="166">
        <v>39</v>
      </c>
      <c r="G321" s="325"/>
      <c r="H321" s="392">
        <v>2000</v>
      </c>
      <c r="I321" s="176"/>
      <c r="J321" s="245">
        <v>2045.73</v>
      </c>
      <c r="K321" s="171">
        <v>4094</v>
      </c>
      <c r="L321" s="171">
        <v>459</v>
      </c>
      <c r="M321" s="325"/>
      <c r="N321" s="392">
        <v>1500</v>
      </c>
      <c r="O321" s="176"/>
      <c r="P321" s="245">
        <v>1378.55</v>
      </c>
      <c r="Q321" s="171">
        <v>1383159</v>
      </c>
      <c r="R321" s="171">
        <v>7675</v>
      </c>
      <c r="S321" s="325"/>
      <c r="T321" s="326">
        <v>300</v>
      </c>
      <c r="U321" s="176"/>
      <c r="V321" s="245">
        <v>929.05</v>
      </c>
      <c r="W321" s="171">
        <v>28077</v>
      </c>
      <c r="X321" s="305">
        <v>356</v>
      </c>
      <c r="Y321" s="306"/>
      <c r="Z321" s="308"/>
    </row>
    <row r="322" spans="1:26">
      <c r="A322" s="304">
        <v>45310</v>
      </c>
      <c r="B322" s="392">
        <v>500</v>
      </c>
      <c r="C322" s="173"/>
      <c r="D322" s="348">
        <v>124.2</v>
      </c>
      <c r="E322" s="166">
        <v>152</v>
      </c>
      <c r="F322" s="166">
        <v>59</v>
      </c>
      <c r="G322" s="325"/>
      <c r="H322" s="392">
        <v>2000</v>
      </c>
      <c r="I322" s="176"/>
      <c r="J322" s="245">
        <v>1944.33</v>
      </c>
      <c r="K322" s="171">
        <v>3997</v>
      </c>
      <c r="L322" s="171">
        <v>394</v>
      </c>
      <c r="M322" s="325"/>
      <c r="N322" s="392">
        <v>1500</v>
      </c>
      <c r="O322" s="176"/>
      <c r="P322" s="245">
        <v>1371.95</v>
      </c>
      <c r="Q322" s="171">
        <v>1339468</v>
      </c>
      <c r="R322" s="171">
        <v>7759</v>
      </c>
      <c r="S322" s="325"/>
      <c r="T322" s="326">
        <v>300</v>
      </c>
      <c r="U322" s="176"/>
      <c r="V322" s="245">
        <v>315.36</v>
      </c>
      <c r="W322" s="171">
        <v>20143</v>
      </c>
      <c r="X322" s="305">
        <v>321</v>
      </c>
      <c r="Y322" s="306"/>
      <c r="Z322" s="308"/>
    </row>
    <row r="323" spans="1:26">
      <c r="A323" s="304">
        <v>45311</v>
      </c>
      <c r="B323" s="392">
        <v>500</v>
      </c>
      <c r="C323" s="173"/>
      <c r="D323" s="348">
        <v>105.27</v>
      </c>
      <c r="E323" s="166">
        <v>129</v>
      </c>
      <c r="F323" s="166">
        <v>62</v>
      </c>
      <c r="G323" s="325"/>
      <c r="H323" s="392">
        <v>2000</v>
      </c>
      <c r="I323" s="176"/>
      <c r="J323" s="245">
        <v>1981.61</v>
      </c>
      <c r="K323" s="171">
        <v>4333</v>
      </c>
      <c r="L323" s="171">
        <v>385</v>
      </c>
      <c r="M323" s="325"/>
      <c r="N323" s="392">
        <v>1500</v>
      </c>
      <c r="O323" s="176"/>
      <c r="P323" s="245">
        <v>1373.96</v>
      </c>
      <c r="Q323" s="171">
        <v>1433587</v>
      </c>
      <c r="R323" s="171">
        <v>8971</v>
      </c>
      <c r="S323" s="325"/>
      <c r="T323" s="326">
        <v>300</v>
      </c>
      <c r="U323" s="176"/>
      <c r="V323" s="245">
        <v>366.27</v>
      </c>
      <c r="W323" s="171">
        <v>28256</v>
      </c>
      <c r="X323" s="305">
        <v>417</v>
      </c>
      <c r="Y323" s="306"/>
      <c r="Z323" s="308"/>
    </row>
    <row r="324" spans="1:26">
      <c r="A324" s="304">
        <v>45312</v>
      </c>
      <c r="B324" s="392">
        <v>500</v>
      </c>
      <c r="C324" s="173"/>
      <c r="D324" s="348">
        <v>139.6</v>
      </c>
      <c r="E324" s="166">
        <v>169</v>
      </c>
      <c r="F324" s="166">
        <v>70</v>
      </c>
      <c r="G324" s="325"/>
      <c r="H324" s="392">
        <v>2000</v>
      </c>
      <c r="I324" s="176"/>
      <c r="J324" s="245">
        <v>2142.49</v>
      </c>
      <c r="K324" s="171">
        <v>4422</v>
      </c>
      <c r="L324" s="171">
        <v>416</v>
      </c>
      <c r="M324" s="325"/>
      <c r="N324" s="392">
        <v>1500</v>
      </c>
      <c r="O324" s="176"/>
      <c r="P324" s="245">
        <v>1369.93</v>
      </c>
      <c r="Q324" s="171">
        <v>1622832</v>
      </c>
      <c r="R324" s="171">
        <v>9134</v>
      </c>
      <c r="S324" s="325"/>
      <c r="T324" s="326">
        <v>300</v>
      </c>
      <c r="U324" s="176"/>
      <c r="V324" s="245">
        <v>326.98</v>
      </c>
      <c r="W324" s="171">
        <v>28409</v>
      </c>
      <c r="X324" s="305">
        <v>356</v>
      </c>
      <c r="Y324" s="306"/>
      <c r="Z324" s="308"/>
    </row>
    <row r="325" spans="1:26">
      <c r="A325" s="304">
        <v>45313</v>
      </c>
      <c r="B325" s="392">
        <v>500</v>
      </c>
      <c r="C325" s="173"/>
      <c r="D325" s="348">
        <v>121.86</v>
      </c>
      <c r="E325" s="166">
        <v>156</v>
      </c>
      <c r="F325" s="166">
        <v>54</v>
      </c>
      <c r="G325" s="325"/>
      <c r="H325" s="392">
        <v>2000</v>
      </c>
      <c r="I325" s="176"/>
      <c r="J325" s="245">
        <v>1965.2</v>
      </c>
      <c r="K325" s="171">
        <v>5306</v>
      </c>
      <c r="L325" s="171">
        <v>372</v>
      </c>
      <c r="M325" s="325"/>
      <c r="N325" s="392">
        <v>1500</v>
      </c>
      <c r="O325" s="176"/>
      <c r="P325" s="245">
        <v>1365.11</v>
      </c>
      <c r="Q325" s="171">
        <v>1484159</v>
      </c>
      <c r="R325" s="171">
        <v>8276</v>
      </c>
      <c r="S325" s="325"/>
      <c r="T325" s="326">
        <v>300</v>
      </c>
      <c r="U325" s="176"/>
      <c r="V325" s="245">
        <v>359.8</v>
      </c>
      <c r="W325" s="171">
        <v>34253</v>
      </c>
      <c r="X325" s="305">
        <v>432</v>
      </c>
      <c r="Y325" s="306"/>
      <c r="Z325" s="308"/>
    </row>
    <row r="326" spans="1:26">
      <c r="A326" s="304">
        <v>45314</v>
      </c>
      <c r="B326" s="392">
        <v>500</v>
      </c>
      <c r="C326" s="173"/>
      <c r="D326" s="348">
        <v>120.02</v>
      </c>
      <c r="E326" s="166">
        <v>156</v>
      </c>
      <c r="F326" s="166">
        <v>64</v>
      </c>
      <c r="G326" s="325"/>
      <c r="H326" s="392">
        <v>2000</v>
      </c>
      <c r="I326" s="176"/>
      <c r="J326" s="245">
        <v>1745.64</v>
      </c>
      <c r="K326" s="171">
        <v>5173</v>
      </c>
      <c r="L326" s="171">
        <v>357</v>
      </c>
      <c r="M326" s="325"/>
      <c r="N326" s="392">
        <v>1500</v>
      </c>
      <c r="O326" s="176"/>
      <c r="P326" s="245">
        <v>1076.31</v>
      </c>
      <c r="Q326" s="171">
        <v>1505934</v>
      </c>
      <c r="R326" s="171">
        <v>8570</v>
      </c>
      <c r="S326" s="325"/>
      <c r="T326" s="326">
        <v>300</v>
      </c>
      <c r="U326" s="176"/>
      <c r="V326" s="245">
        <v>371.28</v>
      </c>
      <c r="W326" s="171">
        <v>45695</v>
      </c>
      <c r="X326" s="305">
        <v>450</v>
      </c>
      <c r="Y326" s="306"/>
      <c r="Z326" s="308"/>
    </row>
    <row r="327" spans="1:26">
      <c r="A327" s="304">
        <v>45315</v>
      </c>
      <c r="B327" s="392">
        <v>500</v>
      </c>
      <c r="C327" s="173"/>
      <c r="D327" s="348">
        <v>143.67</v>
      </c>
      <c r="E327" s="166">
        <v>195</v>
      </c>
      <c r="F327" s="166">
        <v>69</v>
      </c>
      <c r="G327" s="325"/>
      <c r="H327" s="392">
        <v>2000</v>
      </c>
      <c r="I327" s="176"/>
      <c r="J327" s="245">
        <v>1932.4</v>
      </c>
      <c r="K327" s="171">
        <v>5887</v>
      </c>
      <c r="L327" s="171">
        <v>427</v>
      </c>
      <c r="M327" s="325"/>
      <c r="N327" s="392">
        <v>1500</v>
      </c>
      <c r="O327" s="176"/>
      <c r="P327" s="245">
        <v>1008.92</v>
      </c>
      <c r="Q327" s="171">
        <v>1479151</v>
      </c>
      <c r="R327" s="171">
        <v>7714</v>
      </c>
      <c r="S327" s="325"/>
      <c r="T327" s="326">
        <v>300</v>
      </c>
      <c r="U327" s="176"/>
      <c r="V327" s="245">
        <v>960.91</v>
      </c>
      <c r="W327" s="171">
        <v>51574</v>
      </c>
      <c r="X327" s="305">
        <v>556</v>
      </c>
      <c r="Y327" s="306"/>
      <c r="Z327" s="308"/>
    </row>
    <row r="328" spans="1:26">
      <c r="A328" s="304">
        <v>45316</v>
      </c>
      <c r="B328" s="392">
        <v>500</v>
      </c>
      <c r="C328" s="173"/>
      <c r="D328" s="348">
        <v>128.75</v>
      </c>
      <c r="E328" s="166">
        <v>151</v>
      </c>
      <c r="F328" s="166">
        <v>54</v>
      </c>
      <c r="G328" s="325"/>
      <c r="H328" s="392">
        <v>2000</v>
      </c>
      <c r="I328" s="176"/>
      <c r="J328" s="245">
        <v>1925.14</v>
      </c>
      <c r="K328" s="171">
        <v>5070</v>
      </c>
      <c r="L328" s="171">
        <v>409</v>
      </c>
      <c r="M328" s="325"/>
      <c r="N328" s="392">
        <v>1500</v>
      </c>
      <c r="O328" s="176"/>
      <c r="P328" s="245">
        <v>952.7</v>
      </c>
      <c r="Q328" s="171">
        <v>1205388</v>
      </c>
      <c r="R328" s="171">
        <v>4522</v>
      </c>
      <c r="S328" s="325"/>
      <c r="T328" s="326">
        <v>300</v>
      </c>
      <c r="U328" s="176"/>
      <c r="V328" s="245">
        <v>379.1</v>
      </c>
      <c r="W328" s="171">
        <v>40385</v>
      </c>
      <c r="X328" s="305">
        <v>478</v>
      </c>
      <c r="Y328" s="306"/>
      <c r="Z328" s="308"/>
    </row>
    <row r="329" spans="1:26">
      <c r="A329" s="304">
        <v>45317</v>
      </c>
      <c r="B329" s="392">
        <v>500</v>
      </c>
      <c r="C329" s="173"/>
      <c r="D329" s="348">
        <v>94.77</v>
      </c>
      <c r="E329" s="166">
        <v>120</v>
      </c>
      <c r="F329" s="166">
        <v>48</v>
      </c>
      <c r="G329" s="325"/>
      <c r="H329" s="392">
        <v>2000</v>
      </c>
      <c r="I329" s="176"/>
      <c r="J329" s="245">
        <v>1854.37</v>
      </c>
      <c r="K329" s="171">
        <v>5555</v>
      </c>
      <c r="L329" s="171">
        <v>388</v>
      </c>
      <c r="M329" s="325"/>
      <c r="N329" s="392">
        <v>1500</v>
      </c>
      <c r="O329" s="176"/>
      <c r="P329" s="245">
        <v>940.46</v>
      </c>
      <c r="Q329" s="171">
        <v>1209135</v>
      </c>
      <c r="R329" s="171">
        <v>4738</v>
      </c>
      <c r="S329" s="325"/>
      <c r="T329" s="326">
        <v>300</v>
      </c>
      <c r="U329" s="176"/>
      <c r="V329" s="245">
        <v>349.11</v>
      </c>
      <c r="W329" s="171">
        <v>61015</v>
      </c>
      <c r="X329" s="305">
        <v>629</v>
      </c>
      <c r="Y329" s="306"/>
      <c r="Z329" s="308"/>
    </row>
    <row r="330" spans="1:26">
      <c r="A330" s="304">
        <v>45318</v>
      </c>
      <c r="B330" s="392">
        <v>500</v>
      </c>
      <c r="C330" s="173"/>
      <c r="D330" s="348">
        <v>94.77</v>
      </c>
      <c r="E330" s="166">
        <v>123</v>
      </c>
      <c r="F330" s="166">
        <v>37</v>
      </c>
      <c r="G330" s="325"/>
      <c r="H330" s="392">
        <v>2000</v>
      </c>
      <c r="I330" s="176"/>
      <c r="J330" s="245">
        <v>1780.96</v>
      </c>
      <c r="K330" s="171">
        <v>4731</v>
      </c>
      <c r="L330" s="171">
        <v>378</v>
      </c>
      <c r="M330" s="325"/>
      <c r="N330" s="392">
        <v>1500</v>
      </c>
      <c r="O330" s="176"/>
      <c r="P330" s="245">
        <v>977.11</v>
      </c>
      <c r="Q330" s="171">
        <v>869364</v>
      </c>
      <c r="R330" s="171">
        <v>4605</v>
      </c>
      <c r="S330" s="325"/>
      <c r="T330" s="326">
        <v>300</v>
      </c>
      <c r="U330" s="176"/>
      <c r="V330" s="245">
        <v>345.11</v>
      </c>
      <c r="W330" s="171">
        <v>61064</v>
      </c>
      <c r="X330" s="305">
        <v>560</v>
      </c>
      <c r="Y330" s="306"/>
      <c r="Z330" s="308"/>
    </row>
    <row r="331" spans="1:26">
      <c r="A331" s="304">
        <v>45319</v>
      </c>
      <c r="B331" s="392">
        <v>500</v>
      </c>
      <c r="C331" s="173"/>
      <c r="D331" s="348">
        <v>104.71</v>
      </c>
      <c r="E331" s="166">
        <v>141</v>
      </c>
      <c r="F331" s="166">
        <v>62</v>
      </c>
      <c r="G331" s="325"/>
      <c r="H331" s="392">
        <v>2000</v>
      </c>
      <c r="I331" s="176"/>
      <c r="J331" s="245">
        <v>1897.95</v>
      </c>
      <c r="K331" s="171">
        <v>4407</v>
      </c>
      <c r="L331" s="171">
        <v>383</v>
      </c>
      <c r="M331" s="325"/>
      <c r="N331" s="392">
        <v>1500</v>
      </c>
      <c r="O331" s="176"/>
      <c r="P331" s="245">
        <v>943.42</v>
      </c>
      <c r="Q331" s="171">
        <v>864139</v>
      </c>
      <c r="R331" s="171">
        <v>4510</v>
      </c>
      <c r="S331" s="325"/>
      <c r="T331" s="326">
        <v>300</v>
      </c>
      <c r="U331" s="176"/>
      <c r="V331" s="245">
        <v>369.3</v>
      </c>
      <c r="W331" s="171">
        <v>32235</v>
      </c>
      <c r="X331" s="305">
        <v>396</v>
      </c>
      <c r="Y331" s="306"/>
      <c r="Z331" s="308"/>
    </row>
    <row r="332" spans="1:26">
      <c r="A332" s="304">
        <v>45320</v>
      </c>
      <c r="B332" s="392">
        <v>500</v>
      </c>
      <c r="C332" s="173"/>
      <c r="D332" s="348">
        <v>116.78</v>
      </c>
      <c r="E332" s="166">
        <v>140</v>
      </c>
      <c r="F332" s="166">
        <v>57</v>
      </c>
      <c r="G332" s="325"/>
      <c r="H332" s="392">
        <v>2000</v>
      </c>
      <c r="I332" s="176"/>
      <c r="J332" s="245">
        <v>1785.78</v>
      </c>
      <c r="K332" s="171">
        <v>4289</v>
      </c>
      <c r="L332" s="171">
        <v>363</v>
      </c>
      <c r="M332" s="325"/>
      <c r="N332" s="392">
        <v>1500</v>
      </c>
      <c r="O332" s="176"/>
      <c r="P332" s="245">
        <v>884.68</v>
      </c>
      <c r="Q332" s="171">
        <v>1072908</v>
      </c>
      <c r="R332" s="171">
        <v>3964</v>
      </c>
      <c r="S332" s="325"/>
      <c r="T332" s="326">
        <v>300</v>
      </c>
      <c r="U332" s="176"/>
      <c r="V332" s="245">
        <v>240.7</v>
      </c>
      <c r="W332" s="171">
        <v>19913</v>
      </c>
      <c r="X332" s="305">
        <v>320</v>
      </c>
      <c r="Y332" s="306"/>
      <c r="Z332" s="308"/>
    </row>
    <row r="333" spans="1:26">
      <c r="A333" s="304">
        <v>45321</v>
      </c>
      <c r="B333" s="392">
        <v>500</v>
      </c>
      <c r="C333" s="173"/>
      <c r="D333" s="348">
        <v>158.85</v>
      </c>
      <c r="E333" s="166">
        <v>188</v>
      </c>
      <c r="F333" s="166">
        <v>65</v>
      </c>
      <c r="G333" s="325"/>
      <c r="H333" s="392">
        <v>2000</v>
      </c>
      <c r="I333" s="176"/>
      <c r="J333" s="245">
        <v>1714.41</v>
      </c>
      <c r="K333" s="171">
        <v>4207</v>
      </c>
      <c r="L333" s="171">
        <v>375</v>
      </c>
      <c r="M333" s="325"/>
      <c r="N333" s="392">
        <v>1500</v>
      </c>
      <c r="O333" s="176"/>
      <c r="P333" s="245">
        <v>497.62</v>
      </c>
      <c r="Q333" s="171">
        <v>918710</v>
      </c>
      <c r="R333" s="171">
        <v>2731</v>
      </c>
      <c r="S333" s="325"/>
      <c r="T333" s="326">
        <v>300</v>
      </c>
      <c r="U333" s="176"/>
      <c r="V333" s="245">
        <v>177.46</v>
      </c>
      <c r="W333" s="171">
        <v>14809</v>
      </c>
      <c r="X333" s="305">
        <v>298</v>
      </c>
      <c r="Y333" s="306"/>
      <c r="Z333" s="308"/>
    </row>
    <row r="334" spans="1:26">
      <c r="A334" s="304">
        <v>45322</v>
      </c>
      <c r="B334" s="392">
        <v>500</v>
      </c>
      <c r="C334" s="173"/>
      <c r="D334" s="348">
        <v>159.16</v>
      </c>
      <c r="E334" s="166">
        <v>205</v>
      </c>
      <c r="F334" s="166">
        <v>59</v>
      </c>
      <c r="G334" s="325"/>
      <c r="H334" s="392">
        <v>2000</v>
      </c>
      <c r="I334" s="176"/>
      <c r="J334" s="245">
        <v>1535.21</v>
      </c>
      <c r="K334" s="171">
        <v>4670</v>
      </c>
      <c r="L334" s="171">
        <v>337</v>
      </c>
      <c r="M334" s="325"/>
      <c r="N334" s="392">
        <v>1500</v>
      </c>
      <c r="O334" s="176"/>
      <c r="P334" s="245">
        <v>596.42</v>
      </c>
      <c r="Q334" s="171">
        <v>1141239</v>
      </c>
      <c r="R334" s="171">
        <v>4108</v>
      </c>
      <c r="S334" s="325"/>
      <c r="T334" s="326">
        <v>300</v>
      </c>
      <c r="U334" s="176"/>
      <c r="V334" s="245">
        <v>181</v>
      </c>
      <c r="W334" s="171">
        <v>13714</v>
      </c>
      <c r="X334" s="305">
        <v>294</v>
      </c>
      <c r="Y334" s="306"/>
      <c r="Z334" s="308"/>
    </row>
    <row r="335" spans="1:26">
      <c r="A335" s="304">
        <v>45323</v>
      </c>
      <c r="B335" s="392">
        <v>500</v>
      </c>
      <c r="C335" s="173"/>
      <c r="D335" s="348">
        <v>115.94</v>
      </c>
      <c r="E335" s="166">
        <v>125</v>
      </c>
      <c r="F335" s="166">
        <v>49</v>
      </c>
      <c r="G335" s="325"/>
      <c r="H335" s="392">
        <v>2000</v>
      </c>
      <c r="I335" s="176"/>
      <c r="J335" s="245">
        <v>1491.16</v>
      </c>
      <c r="K335" s="171">
        <v>3829</v>
      </c>
      <c r="L335" s="171">
        <v>336</v>
      </c>
      <c r="M335" s="325"/>
      <c r="N335" s="392">
        <v>1500</v>
      </c>
      <c r="O335" s="176"/>
      <c r="P335" s="245">
        <v>593.84</v>
      </c>
      <c r="Q335" s="171">
        <v>1773292</v>
      </c>
      <c r="R335" s="171">
        <v>4666</v>
      </c>
      <c r="S335" s="325"/>
      <c r="T335" s="326">
        <v>300</v>
      </c>
      <c r="U335" s="176"/>
      <c r="V335" s="245">
        <v>180.85</v>
      </c>
      <c r="W335" s="171">
        <v>10697</v>
      </c>
      <c r="X335" s="305">
        <v>286</v>
      </c>
      <c r="Y335" s="306"/>
      <c r="Z335" s="308"/>
    </row>
    <row r="336" spans="1:26">
      <c r="A336" s="304">
        <v>45324</v>
      </c>
      <c r="B336" s="392">
        <v>500</v>
      </c>
      <c r="C336" s="173"/>
      <c r="D336" s="348">
        <v>81.82</v>
      </c>
      <c r="E336" s="166">
        <v>111</v>
      </c>
      <c r="F336" s="166">
        <v>53</v>
      </c>
      <c r="G336" s="325"/>
      <c r="H336" s="392">
        <v>2000</v>
      </c>
      <c r="I336" s="176"/>
      <c r="J336" s="245">
        <v>1562.1</v>
      </c>
      <c r="K336" s="171">
        <v>3649</v>
      </c>
      <c r="L336" s="171">
        <v>323</v>
      </c>
      <c r="M336" s="325"/>
      <c r="N336" s="392">
        <v>1500</v>
      </c>
      <c r="O336" s="176"/>
      <c r="P336" s="245">
        <v>596.35</v>
      </c>
      <c r="Q336" s="171">
        <v>1811719</v>
      </c>
      <c r="R336" s="171">
        <v>4930</v>
      </c>
      <c r="S336" s="325"/>
      <c r="T336" s="326">
        <v>300</v>
      </c>
      <c r="U336" s="176"/>
      <c r="V336" s="245">
        <v>186.43</v>
      </c>
      <c r="W336" s="171">
        <v>15452</v>
      </c>
      <c r="X336" s="305">
        <v>352</v>
      </c>
      <c r="Y336" s="306"/>
      <c r="Z336" s="308"/>
    </row>
    <row r="337" spans="1:26">
      <c r="A337" s="304">
        <v>45325</v>
      </c>
      <c r="B337" s="392">
        <v>500</v>
      </c>
      <c r="C337" s="173"/>
      <c r="D337" s="348">
        <v>129.15</v>
      </c>
      <c r="E337" s="166">
        <v>140</v>
      </c>
      <c r="F337" s="166">
        <v>58</v>
      </c>
      <c r="G337" s="325"/>
      <c r="H337" s="392">
        <v>2000</v>
      </c>
      <c r="I337" s="176"/>
      <c r="J337" s="245">
        <v>1507.92</v>
      </c>
      <c r="K337" s="171">
        <v>3826</v>
      </c>
      <c r="L337" s="171">
        <v>335</v>
      </c>
      <c r="M337" s="325"/>
      <c r="N337" s="392">
        <v>1500</v>
      </c>
      <c r="O337" s="176"/>
      <c r="P337" s="245">
        <v>598.32</v>
      </c>
      <c r="Q337" s="171">
        <v>1849135</v>
      </c>
      <c r="R337" s="171">
        <v>5366</v>
      </c>
      <c r="S337" s="325"/>
      <c r="T337" s="326">
        <v>300</v>
      </c>
      <c r="U337" s="176"/>
      <c r="V337" s="245">
        <v>184.62</v>
      </c>
      <c r="W337" s="171">
        <v>21638</v>
      </c>
      <c r="X337" s="305">
        <v>394</v>
      </c>
      <c r="Y337" s="306"/>
      <c r="Z337" s="308"/>
    </row>
    <row r="338" spans="1:26">
      <c r="A338" s="304">
        <v>45326</v>
      </c>
      <c r="B338" s="392">
        <v>500</v>
      </c>
      <c r="C338" s="173"/>
      <c r="D338" s="348">
        <v>117.11</v>
      </c>
      <c r="E338" s="166">
        <v>171</v>
      </c>
      <c r="F338" s="166">
        <v>66</v>
      </c>
      <c r="G338" s="325"/>
      <c r="H338" s="392">
        <v>2000</v>
      </c>
      <c r="I338" s="176"/>
      <c r="J338" s="245">
        <v>1651.62</v>
      </c>
      <c r="K338" s="171">
        <v>3982</v>
      </c>
      <c r="L338" s="171">
        <v>373</v>
      </c>
      <c r="M338" s="325"/>
      <c r="N338" s="392">
        <v>1500</v>
      </c>
      <c r="O338" s="176"/>
      <c r="P338" s="245">
        <v>594.03</v>
      </c>
      <c r="Q338" s="171">
        <v>2230514</v>
      </c>
      <c r="R338" s="171">
        <v>5638</v>
      </c>
      <c r="S338" s="325"/>
      <c r="T338" s="326">
        <v>300</v>
      </c>
      <c r="U338" s="176"/>
      <c r="V338" s="245">
        <v>176.26</v>
      </c>
      <c r="W338" s="171">
        <v>22907</v>
      </c>
      <c r="X338" s="305">
        <v>430</v>
      </c>
      <c r="Y338" s="306"/>
      <c r="Z338" s="308"/>
    </row>
    <row r="339" spans="1:26">
      <c r="A339" s="304">
        <v>45327</v>
      </c>
      <c r="B339" s="392">
        <v>500</v>
      </c>
      <c r="C339" s="173"/>
      <c r="D339" s="348">
        <v>97.98</v>
      </c>
      <c r="E339" s="166">
        <v>116</v>
      </c>
      <c r="F339" s="166">
        <v>59</v>
      </c>
      <c r="G339" s="325"/>
      <c r="H339" s="392">
        <v>2000</v>
      </c>
      <c r="I339" s="176"/>
      <c r="J339" s="245">
        <v>1499.65</v>
      </c>
      <c r="K339" s="171">
        <v>3466</v>
      </c>
      <c r="L339" s="171">
        <v>311</v>
      </c>
      <c r="M339" s="325"/>
      <c r="N339" s="392">
        <v>1500</v>
      </c>
      <c r="O339" s="176"/>
      <c r="P339" s="245">
        <v>596.43</v>
      </c>
      <c r="Q339" s="171">
        <v>2372045</v>
      </c>
      <c r="R339" s="171">
        <v>6075</v>
      </c>
      <c r="S339" s="325"/>
      <c r="T339" s="326">
        <v>300</v>
      </c>
      <c r="U339" s="176"/>
      <c r="V339" s="245">
        <v>176.95</v>
      </c>
      <c r="W339" s="171">
        <v>26453</v>
      </c>
      <c r="X339" s="305">
        <v>516</v>
      </c>
      <c r="Y339" s="306"/>
      <c r="Z339" s="308"/>
    </row>
    <row r="340" spans="1:26">
      <c r="A340" s="304">
        <v>45328</v>
      </c>
      <c r="B340" s="392">
        <v>500</v>
      </c>
      <c r="C340" s="173"/>
      <c r="D340" s="361">
        <v>111.08</v>
      </c>
      <c r="E340" s="404">
        <v>150</v>
      </c>
      <c r="F340" s="404">
        <v>70</v>
      </c>
      <c r="G340" s="325"/>
      <c r="H340" s="392">
        <v>2000</v>
      </c>
      <c r="I340" s="176"/>
      <c r="J340" s="245">
        <v>1610.94</v>
      </c>
      <c r="K340" s="171">
        <v>9204</v>
      </c>
      <c r="L340" s="171">
        <v>333</v>
      </c>
      <c r="M340" s="325"/>
      <c r="N340" s="392">
        <v>1500</v>
      </c>
      <c r="O340" s="176"/>
      <c r="P340" s="245">
        <v>597.01</v>
      </c>
      <c r="Q340" s="171">
        <v>2280669</v>
      </c>
      <c r="R340" s="171">
        <v>6696</v>
      </c>
      <c r="S340" s="325"/>
      <c r="T340" s="326">
        <v>300</v>
      </c>
      <c r="U340" s="176"/>
      <c r="V340" s="245">
        <v>184.9</v>
      </c>
      <c r="W340" s="171">
        <v>28378</v>
      </c>
      <c r="X340" s="305">
        <v>577</v>
      </c>
      <c r="Y340" s="306"/>
      <c r="Z340" s="308"/>
    </row>
    <row r="341" spans="1:26">
      <c r="A341" s="304">
        <v>45329</v>
      </c>
      <c r="B341" s="392">
        <v>500</v>
      </c>
      <c r="C341" s="173"/>
      <c r="D341" s="348">
        <v>95.72</v>
      </c>
      <c r="E341" s="166">
        <v>141</v>
      </c>
      <c r="F341" s="166">
        <v>40</v>
      </c>
      <c r="G341" s="325"/>
      <c r="H341" s="392">
        <v>2000</v>
      </c>
      <c r="I341" s="176"/>
      <c r="J341" s="245">
        <v>1687.36</v>
      </c>
      <c r="K341" s="171">
        <v>4075</v>
      </c>
      <c r="L341" s="171">
        <v>310</v>
      </c>
      <c r="M341" s="325"/>
      <c r="N341" s="392">
        <v>1500</v>
      </c>
      <c r="O341" s="176"/>
      <c r="P341" s="245">
        <v>587.01</v>
      </c>
      <c r="Q341" s="171">
        <v>2361709</v>
      </c>
      <c r="R341" s="171">
        <v>7247</v>
      </c>
      <c r="S341" s="325"/>
      <c r="T341" s="326">
        <v>300</v>
      </c>
      <c r="U341" s="176"/>
      <c r="V341" s="245">
        <v>184.44</v>
      </c>
      <c r="W341" s="171">
        <v>22296</v>
      </c>
      <c r="X341" s="305">
        <v>548</v>
      </c>
      <c r="Y341" s="306"/>
      <c r="Z341" s="308"/>
    </row>
    <row r="342" spans="1:26">
      <c r="A342" s="304">
        <v>45330</v>
      </c>
      <c r="B342" s="392">
        <v>500</v>
      </c>
      <c r="C342" s="173"/>
      <c r="D342" s="348">
        <v>102.55</v>
      </c>
      <c r="E342" s="166">
        <v>130</v>
      </c>
      <c r="F342" s="166">
        <v>66</v>
      </c>
      <c r="G342" s="325"/>
      <c r="H342" s="392">
        <v>2000</v>
      </c>
      <c r="I342" s="176"/>
      <c r="J342" s="245">
        <v>1556.59</v>
      </c>
      <c r="K342" s="171">
        <v>5600</v>
      </c>
      <c r="L342" s="171">
        <v>296</v>
      </c>
      <c r="M342" s="325"/>
      <c r="N342" s="392">
        <v>1500</v>
      </c>
      <c r="O342" s="176"/>
      <c r="P342" s="245">
        <v>591.39</v>
      </c>
      <c r="Q342" s="171">
        <v>2070887</v>
      </c>
      <c r="R342" s="171">
        <v>5939</v>
      </c>
      <c r="S342" s="325"/>
      <c r="T342" s="326">
        <v>300</v>
      </c>
      <c r="U342" s="176"/>
      <c r="V342" s="245">
        <v>175.19</v>
      </c>
      <c r="W342" s="171">
        <v>39652</v>
      </c>
      <c r="X342" s="305">
        <v>671</v>
      </c>
      <c r="Y342" s="306"/>
      <c r="Z342" s="308"/>
    </row>
    <row r="343" spans="1:26">
      <c r="A343" s="304">
        <v>45331</v>
      </c>
      <c r="B343" s="392">
        <v>500</v>
      </c>
      <c r="C343" s="173"/>
      <c r="D343" s="348">
        <v>63.91</v>
      </c>
      <c r="E343" s="166">
        <v>87</v>
      </c>
      <c r="F343" s="166">
        <v>40</v>
      </c>
      <c r="G343" s="325"/>
      <c r="H343" s="392">
        <v>2000</v>
      </c>
      <c r="I343" s="176"/>
      <c r="J343" s="245">
        <v>1297.78</v>
      </c>
      <c r="K343" s="171">
        <v>4387</v>
      </c>
      <c r="L343" s="171">
        <v>270</v>
      </c>
      <c r="M343" s="325"/>
      <c r="N343" s="392">
        <v>1500</v>
      </c>
      <c r="O343" s="176"/>
      <c r="P343" s="245">
        <v>598.27</v>
      </c>
      <c r="Q343" s="171">
        <v>2258133</v>
      </c>
      <c r="R343" s="171">
        <v>5669</v>
      </c>
      <c r="S343" s="325"/>
      <c r="T343" s="326">
        <v>300</v>
      </c>
      <c r="U343" s="176"/>
      <c r="V343" s="245">
        <v>180.21</v>
      </c>
      <c r="W343" s="171">
        <v>35073</v>
      </c>
      <c r="X343" s="305">
        <v>533</v>
      </c>
      <c r="Y343" s="306"/>
      <c r="Z343" s="308"/>
    </row>
    <row r="344" spans="1:26">
      <c r="A344" s="304">
        <v>45332</v>
      </c>
      <c r="B344" s="392">
        <v>500</v>
      </c>
      <c r="C344" s="173"/>
      <c r="D344" s="348">
        <v>86.42</v>
      </c>
      <c r="E344" s="166">
        <v>89</v>
      </c>
      <c r="F344" s="166">
        <v>41</v>
      </c>
      <c r="G344" s="325"/>
      <c r="H344" s="392">
        <v>2000</v>
      </c>
      <c r="I344" s="176"/>
      <c r="J344" s="245">
        <v>1246.46</v>
      </c>
      <c r="K344" s="171">
        <v>5186</v>
      </c>
      <c r="L344" s="171">
        <v>300</v>
      </c>
      <c r="M344" s="325"/>
      <c r="N344" s="392">
        <v>1500</v>
      </c>
      <c r="O344" s="176"/>
      <c r="P344" s="245">
        <v>598.01</v>
      </c>
      <c r="Q344" s="171">
        <v>2355296</v>
      </c>
      <c r="R344" s="171">
        <v>5966</v>
      </c>
      <c r="S344" s="325"/>
      <c r="T344" s="326">
        <v>300</v>
      </c>
      <c r="U344" s="176"/>
      <c r="V344" s="245">
        <v>163.09</v>
      </c>
      <c r="W344" s="171">
        <v>38208</v>
      </c>
      <c r="X344" s="305">
        <v>678</v>
      </c>
      <c r="Y344" s="306"/>
      <c r="Z344" s="308"/>
    </row>
    <row r="345" spans="1:26">
      <c r="A345" s="304">
        <v>45333</v>
      </c>
      <c r="B345" s="392">
        <v>500</v>
      </c>
      <c r="C345" s="173"/>
      <c r="D345" s="348">
        <v>95.03</v>
      </c>
      <c r="E345" s="166">
        <v>119</v>
      </c>
      <c r="F345" s="166">
        <v>47</v>
      </c>
      <c r="G345" s="325"/>
      <c r="H345" s="392">
        <v>2000</v>
      </c>
      <c r="I345" s="176"/>
      <c r="J345" s="245">
        <v>1469.3</v>
      </c>
      <c r="K345" s="171">
        <v>4234</v>
      </c>
      <c r="L345" s="171">
        <v>305</v>
      </c>
      <c r="M345" s="325"/>
      <c r="N345" s="392">
        <v>1500</v>
      </c>
      <c r="O345" s="176"/>
      <c r="P345" s="245">
        <v>593.13</v>
      </c>
      <c r="Q345" s="171">
        <v>2741222</v>
      </c>
      <c r="R345" s="171">
        <v>7101</v>
      </c>
      <c r="S345" s="325"/>
      <c r="T345" s="326">
        <v>300</v>
      </c>
      <c r="U345" s="176"/>
      <c r="V345" s="245">
        <v>165.44</v>
      </c>
      <c r="W345" s="171">
        <v>30026</v>
      </c>
      <c r="X345" s="305">
        <v>629</v>
      </c>
      <c r="Y345" s="306"/>
      <c r="Z345" s="308"/>
    </row>
    <row r="346" spans="1:26">
      <c r="A346" s="304">
        <v>45334</v>
      </c>
      <c r="B346" s="392">
        <v>500</v>
      </c>
      <c r="C346" s="173"/>
      <c r="D346" s="348">
        <v>128.92</v>
      </c>
      <c r="E346" s="166">
        <v>299</v>
      </c>
      <c r="F346" s="166">
        <v>89</v>
      </c>
      <c r="G346" s="325"/>
      <c r="H346" s="392">
        <v>2000</v>
      </c>
      <c r="I346" s="176"/>
      <c r="J346" s="245">
        <v>1472.87</v>
      </c>
      <c r="K346" s="171">
        <v>4346</v>
      </c>
      <c r="L346" s="171">
        <v>315</v>
      </c>
      <c r="M346" s="325"/>
      <c r="N346" s="392">
        <v>1500</v>
      </c>
      <c r="O346" s="176"/>
      <c r="P346" s="245">
        <v>586.09</v>
      </c>
      <c r="Q346" s="171">
        <v>2737381</v>
      </c>
      <c r="R346" s="171">
        <v>7090</v>
      </c>
      <c r="S346" s="325"/>
      <c r="T346" s="326">
        <v>300</v>
      </c>
      <c r="U346" s="176"/>
      <c r="V346" s="245">
        <v>186.19</v>
      </c>
      <c r="W346" s="171">
        <v>34433</v>
      </c>
      <c r="X346" s="305">
        <v>771</v>
      </c>
      <c r="Y346" s="306"/>
      <c r="Z346" s="308"/>
    </row>
    <row r="347" spans="1:26">
      <c r="A347" s="304">
        <v>45335</v>
      </c>
      <c r="B347" s="392">
        <v>500</v>
      </c>
      <c r="C347" s="173"/>
      <c r="D347" s="348">
        <v>136.07</v>
      </c>
      <c r="E347" s="166">
        <v>323</v>
      </c>
      <c r="F347" s="166">
        <v>78</v>
      </c>
      <c r="G347" s="325"/>
      <c r="H347" s="392">
        <v>2000</v>
      </c>
      <c r="I347" s="176"/>
      <c r="J347" s="245">
        <v>1582.65</v>
      </c>
      <c r="K347" s="171">
        <v>4029</v>
      </c>
      <c r="L347" s="171">
        <v>320</v>
      </c>
      <c r="M347" s="325"/>
      <c r="N347" s="392">
        <v>1500</v>
      </c>
      <c r="O347" s="176"/>
      <c r="P347" s="245">
        <v>596.27</v>
      </c>
      <c r="Q347" s="171">
        <v>1864516</v>
      </c>
      <c r="R347" s="171">
        <v>6603</v>
      </c>
      <c r="S347" s="325"/>
      <c r="T347" s="326">
        <v>300</v>
      </c>
      <c r="U347" s="176"/>
      <c r="V347" s="245">
        <v>175.44</v>
      </c>
      <c r="W347" s="171">
        <v>36033</v>
      </c>
      <c r="X347" s="305">
        <v>865</v>
      </c>
      <c r="Y347" s="306"/>
      <c r="Z347" s="308"/>
    </row>
    <row r="348" spans="1:26">
      <c r="A348" s="304">
        <v>45336</v>
      </c>
      <c r="B348" s="392">
        <v>500</v>
      </c>
      <c r="C348" s="173"/>
      <c r="D348" s="348">
        <v>175.93</v>
      </c>
      <c r="E348" s="166">
        <v>362</v>
      </c>
      <c r="F348" s="166">
        <v>102</v>
      </c>
      <c r="G348" s="325"/>
      <c r="H348" s="392">
        <v>2000</v>
      </c>
      <c r="I348" s="176"/>
      <c r="J348" s="245">
        <v>1626.22</v>
      </c>
      <c r="K348" s="171">
        <v>4343</v>
      </c>
      <c r="L348" s="171">
        <v>359</v>
      </c>
      <c r="M348" s="325"/>
      <c r="N348" s="392">
        <v>1500</v>
      </c>
      <c r="O348" s="176"/>
      <c r="P348" s="245">
        <v>590.28</v>
      </c>
      <c r="Q348" s="171">
        <v>1584612</v>
      </c>
      <c r="R348" s="171">
        <v>6720</v>
      </c>
      <c r="S348" s="325"/>
      <c r="T348" s="326">
        <v>300</v>
      </c>
      <c r="U348" s="176"/>
      <c r="V348" s="245">
        <v>178.9</v>
      </c>
      <c r="W348" s="171">
        <v>40140</v>
      </c>
      <c r="X348" s="305">
        <v>799</v>
      </c>
      <c r="Y348" s="306"/>
      <c r="Z348" s="308"/>
    </row>
    <row r="349" spans="1:26">
      <c r="A349" s="304">
        <v>45337</v>
      </c>
      <c r="B349" s="392">
        <v>500</v>
      </c>
      <c r="C349" s="173"/>
      <c r="D349" s="348">
        <v>181.77</v>
      </c>
      <c r="E349" s="166">
        <v>286</v>
      </c>
      <c r="F349" s="166">
        <v>118</v>
      </c>
      <c r="G349" s="325"/>
      <c r="H349" s="392">
        <v>2000</v>
      </c>
      <c r="I349" s="176"/>
      <c r="J349" s="245">
        <v>1764.21</v>
      </c>
      <c r="K349" s="171">
        <v>4654</v>
      </c>
      <c r="L349" s="171">
        <v>373</v>
      </c>
      <c r="M349" s="325"/>
      <c r="N349" s="392">
        <v>1500</v>
      </c>
      <c r="O349" s="176"/>
      <c r="P349" s="245">
        <v>591.73</v>
      </c>
      <c r="Q349" s="171">
        <v>1521323</v>
      </c>
      <c r="R349" s="171">
        <v>6985</v>
      </c>
      <c r="S349" s="325"/>
      <c r="T349" s="326">
        <v>300</v>
      </c>
      <c r="U349" s="176"/>
      <c r="V349" s="245">
        <v>187.4</v>
      </c>
      <c r="W349" s="171">
        <v>38967</v>
      </c>
      <c r="X349" s="305">
        <v>839</v>
      </c>
      <c r="Y349" s="306"/>
      <c r="Z349" s="308"/>
    </row>
    <row r="350" spans="1:26">
      <c r="A350" s="304">
        <v>45338</v>
      </c>
      <c r="B350" s="392">
        <v>500</v>
      </c>
      <c r="C350" s="173"/>
      <c r="D350" s="348">
        <v>160.34</v>
      </c>
      <c r="E350" s="166">
        <v>258</v>
      </c>
      <c r="F350" s="166">
        <v>86</v>
      </c>
      <c r="G350" s="325"/>
      <c r="H350" s="392">
        <v>2000</v>
      </c>
      <c r="I350" s="176"/>
      <c r="J350" s="245">
        <v>1844.63</v>
      </c>
      <c r="K350" s="171">
        <v>4022</v>
      </c>
      <c r="L350" s="171">
        <v>408</v>
      </c>
      <c r="M350" s="325"/>
      <c r="N350" s="392">
        <v>1500</v>
      </c>
      <c r="O350" s="176"/>
      <c r="P350" s="245">
        <v>598.65</v>
      </c>
      <c r="Q350" s="171">
        <v>2544266</v>
      </c>
      <c r="R350" s="171">
        <v>7059</v>
      </c>
      <c r="S350" s="325"/>
      <c r="T350" s="326">
        <v>300</v>
      </c>
      <c r="U350" s="176"/>
      <c r="V350" s="245">
        <v>197.3</v>
      </c>
      <c r="W350" s="171">
        <v>29087</v>
      </c>
      <c r="X350" s="305">
        <v>837</v>
      </c>
      <c r="Y350" s="306"/>
      <c r="Z350" s="308"/>
    </row>
    <row r="351" spans="1:26">
      <c r="A351" s="304">
        <v>45339</v>
      </c>
      <c r="B351" s="392">
        <v>500</v>
      </c>
      <c r="C351" s="173"/>
      <c r="D351" s="348">
        <v>210.85</v>
      </c>
      <c r="E351" s="166">
        <v>276</v>
      </c>
      <c r="F351" s="166">
        <v>131</v>
      </c>
      <c r="G351" s="325"/>
      <c r="H351" s="392">
        <v>2000</v>
      </c>
      <c r="I351" s="176"/>
      <c r="J351" s="245">
        <v>1827.04</v>
      </c>
      <c r="K351" s="171">
        <v>4549</v>
      </c>
      <c r="L351" s="171">
        <v>402</v>
      </c>
      <c r="M351" s="325"/>
      <c r="N351" s="392">
        <v>1500</v>
      </c>
      <c r="O351" s="176"/>
      <c r="P351" s="245">
        <v>597.48</v>
      </c>
      <c r="Q351" s="171">
        <v>2685122</v>
      </c>
      <c r="R351" s="171">
        <v>6709</v>
      </c>
      <c r="S351" s="325"/>
      <c r="T351" s="326">
        <v>300</v>
      </c>
      <c r="U351" s="176"/>
      <c r="V351" s="245">
        <v>197.04</v>
      </c>
      <c r="W351" s="171">
        <v>30251</v>
      </c>
      <c r="X351" s="305">
        <v>814</v>
      </c>
      <c r="Y351" s="306"/>
      <c r="Z351" s="308"/>
    </row>
    <row r="352" spans="1:26">
      <c r="A352" s="304">
        <v>45340</v>
      </c>
      <c r="B352" s="392">
        <v>500</v>
      </c>
      <c r="C352" s="173"/>
      <c r="D352" s="348">
        <v>279.39</v>
      </c>
      <c r="E352" s="166">
        <v>391</v>
      </c>
      <c r="F352" s="166">
        <v>179</v>
      </c>
      <c r="G352" s="325"/>
      <c r="H352" s="392">
        <v>2000</v>
      </c>
      <c r="I352" s="176"/>
      <c r="J352" s="245">
        <v>1843.83</v>
      </c>
      <c r="K352" s="171">
        <v>4328</v>
      </c>
      <c r="L352" s="171">
        <v>386</v>
      </c>
      <c r="M352" s="325"/>
      <c r="N352" s="392">
        <v>1500</v>
      </c>
      <c r="O352" s="176"/>
      <c r="P352" s="245">
        <v>597.66</v>
      </c>
      <c r="Q352" s="171">
        <v>2739362</v>
      </c>
      <c r="R352" s="171">
        <v>6695</v>
      </c>
      <c r="S352" s="325"/>
      <c r="T352" s="326">
        <v>300</v>
      </c>
      <c r="U352" s="176"/>
      <c r="V352" s="245">
        <v>180.95</v>
      </c>
      <c r="W352" s="171">
        <v>40625</v>
      </c>
      <c r="X352" s="305">
        <v>770</v>
      </c>
      <c r="Y352" s="306"/>
      <c r="Z352" s="308"/>
    </row>
    <row r="353" spans="1:34">
      <c r="A353" s="304">
        <v>45341</v>
      </c>
      <c r="B353" s="392">
        <v>500</v>
      </c>
      <c r="C353" s="173"/>
      <c r="D353" s="348">
        <v>359.35</v>
      </c>
      <c r="E353" s="166">
        <v>461</v>
      </c>
      <c r="F353" s="166">
        <v>202</v>
      </c>
      <c r="G353" s="325"/>
      <c r="H353" s="392">
        <v>2000</v>
      </c>
      <c r="I353" s="176"/>
      <c r="J353" s="245">
        <v>1987.38</v>
      </c>
      <c r="K353" s="171">
        <v>4875</v>
      </c>
      <c r="L353" s="171">
        <v>419</v>
      </c>
      <c r="M353" s="325"/>
      <c r="N353" s="392">
        <v>1500</v>
      </c>
      <c r="O353" s="176"/>
      <c r="P353" s="245">
        <v>490.73</v>
      </c>
      <c r="Q353" s="171">
        <v>2459258</v>
      </c>
      <c r="R353" s="171">
        <v>5488</v>
      </c>
      <c r="S353" s="325"/>
      <c r="T353" s="326">
        <v>300</v>
      </c>
      <c r="U353" s="176"/>
      <c r="V353" s="245">
        <v>187.07</v>
      </c>
      <c r="W353" s="171">
        <v>10937</v>
      </c>
      <c r="X353" s="305">
        <v>219</v>
      </c>
      <c r="Y353" s="306"/>
      <c r="Z353" s="308"/>
    </row>
    <row r="354" spans="1:34">
      <c r="A354" s="304">
        <v>45342</v>
      </c>
      <c r="B354" s="392">
        <v>500</v>
      </c>
      <c r="C354" s="173"/>
      <c r="D354" s="348">
        <v>278.25</v>
      </c>
      <c r="E354" s="166">
        <v>361</v>
      </c>
      <c r="F354" s="166">
        <v>173</v>
      </c>
      <c r="G354" s="325"/>
      <c r="H354" s="392">
        <v>2000</v>
      </c>
      <c r="I354" s="176"/>
      <c r="J354" s="245">
        <v>1492.33</v>
      </c>
      <c r="K354" s="171">
        <v>5063</v>
      </c>
      <c r="L354" s="171">
        <v>375</v>
      </c>
      <c r="M354" s="325"/>
      <c r="N354" s="392">
        <v>1500</v>
      </c>
      <c r="O354" s="176"/>
      <c r="P354" s="245">
        <v>399.16</v>
      </c>
      <c r="Q354" s="171">
        <v>2176678</v>
      </c>
      <c r="R354" s="171">
        <v>4317</v>
      </c>
      <c r="S354" s="325"/>
      <c r="T354" s="326">
        <v>300</v>
      </c>
      <c r="U354" s="176"/>
      <c r="V354" s="245">
        <v>183.76</v>
      </c>
      <c r="W354" s="171">
        <v>37101</v>
      </c>
      <c r="X354" s="305">
        <v>698</v>
      </c>
      <c r="Y354" s="306"/>
      <c r="Z354" s="308"/>
    </row>
    <row r="355" spans="1:34">
      <c r="A355" s="304">
        <v>45343</v>
      </c>
      <c r="B355" s="392">
        <v>500</v>
      </c>
      <c r="C355" s="173"/>
      <c r="D355" s="348">
        <v>311.83</v>
      </c>
      <c r="E355" s="166">
        <v>446</v>
      </c>
      <c r="F355" s="166">
        <v>196</v>
      </c>
      <c r="G355" s="325"/>
      <c r="H355" s="392">
        <v>2000</v>
      </c>
      <c r="I355" s="176"/>
      <c r="J355" s="245">
        <v>1485.83</v>
      </c>
      <c r="K355" s="171">
        <v>4925</v>
      </c>
      <c r="L355" s="171">
        <v>363</v>
      </c>
      <c r="M355" s="325"/>
      <c r="N355" s="392">
        <v>1500</v>
      </c>
      <c r="O355" s="176"/>
      <c r="P355" s="245">
        <v>397.74</v>
      </c>
      <c r="Q355" s="171">
        <v>761589</v>
      </c>
      <c r="R355" s="171">
        <v>3831</v>
      </c>
      <c r="S355" s="325"/>
      <c r="T355" s="326">
        <v>300</v>
      </c>
      <c r="U355" s="176"/>
      <c r="V355" s="245">
        <v>780.75</v>
      </c>
      <c r="W355" s="171">
        <v>39967</v>
      </c>
      <c r="X355" s="305">
        <v>696</v>
      </c>
      <c r="Y355" s="306"/>
      <c r="Z355" s="308"/>
    </row>
    <row r="356" spans="1:34">
      <c r="A356" s="304">
        <v>45344</v>
      </c>
      <c r="B356" s="392">
        <v>500</v>
      </c>
      <c r="C356" s="173"/>
      <c r="D356" s="348">
        <v>280.62</v>
      </c>
      <c r="E356" s="166">
        <v>447</v>
      </c>
      <c r="F356" s="166">
        <v>176</v>
      </c>
      <c r="G356" s="325"/>
      <c r="H356" s="392">
        <v>2000</v>
      </c>
      <c r="I356" s="176"/>
      <c r="J356" s="245">
        <v>1490.04</v>
      </c>
      <c r="K356" s="171">
        <v>4343</v>
      </c>
      <c r="L356" s="171">
        <v>353</v>
      </c>
      <c r="M356" s="325"/>
      <c r="N356" s="392">
        <v>1500</v>
      </c>
      <c r="O356" s="176"/>
      <c r="P356" s="245">
        <v>398.09</v>
      </c>
      <c r="Q356" s="171">
        <v>682057</v>
      </c>
      <c r="R356" s="171">
        <v>3394</v>
      </c>
      <c r="S356" s="325"/>
      <c r="T356" s="326">
        <v>300</v>
      </c>
      <c r="U356" s="176"/>
      <c r="V356" s="245">
        <v>187.03</v>
      </c>
      <c r="W356" s="171">
        <v>36333</v>
      </c>
      <c r="X356" s="305">
        <v>626</v>
      </c>
      <c r="Y356" s="306"/>
      <c r="Z356" s="308"/>
    </row>
    <row r="357" spans="1:34">
      <c r="A357" s="304">
        <v>45345</v>
      </c>
      <c r="B357" s="392">
        <v>500</v>
      </c>
      <c r="C357" s="173"/>
      <c r="D357" s="504">
        <v>280.37</v>
      </c>
      <c r="E357" s="166">
        <v>426</v>
      </c>
      <c r="F357" s="166">
        <v>162</v>
      </c>
      <c r="G357" s="325"/>
      <c r="H357" s="392">
        <v>2000</v>
      </c>
      <c r="I357" s="176"/>
      <c r="J357" s="245">
        <v>1164.86</v>
      </c>
      <c r="K357" s="171">
        <v>3741</v>
      </c>
      <c r="L357" s="171">
        <v>264</v>
      </c>
      <c r="M357" s="325"/>
      <c r="N357" s="392">
        <v>1500</v>
      </c>
      <c r="O357" s="176"/>
      <c r="P357" s="347">
        <v>395.7</v>
      </c>
      <c r="Q357" s="171">
        <v>651735</v>
      </c>
      <c r="R357" s="171">
        <v>3140</v>
      </c>
      <c r="S357" s="325"/>
      <c r="T357" s="326">
        <v>300</v>
      </c>
      <c r="U357" s="176"/>
      <c r="V357" s="245">
        <v>195.98</v>
      </c>
      <c r="W357" s="171">
        <v>29413</v>
      </c>
      <c r="X357" s="305">
        <v>465</v>
      </c>
      <c r="Y357" s="306"/>
      <c r="Z357" s="308"/>
    </row>
    <row r="358" spans="1:34">
      <c r="A358" s="304">
        <v>45346</v>
      </c>
      <c r="B358" s="392">
        <v>500</v>
      </c>
      <c r="C358" s="173"/>
      <c r="D358" s="504">
        <v>237.47</v>
      </c>
      <c r="E358" s="166">
        <v>344</v>
      </c>
      <c r="F358" s="166">
        <v>157</v>
      </c>
      <c r="G358" s="325"/>
      <c r="H358" s="392">
        <v>2000</v>
      </c>
      <c r="I358" s="176"/>
      <c r="J358" s="245">
        <v>1165.16</v>
      </c>
      <c r="K358" s="171">
        <v>3856</v>
      </c>
      <c r="L358" s="171">
        <v>270</v>
      </c>
      <c r="M358" s="325"/>
      <c r="N358" s="392">
        <v>1500</v>
      </c>
      <c r="O358" s="176"/>
      <c r="P358" s="347">
        <v>397.42</v>
      </c>
      <c r="Q358" s="171">
        <v>694378</v>
      </c>
      <c r="R358" s="171">
        <v>3388</v>
      </c>
      <c r="S358" s="325"/>
      <c r="T358" s="326">
        <v>300</v>
      </c>
      <c r="U358" s="176"/>
      <c r="V358" s="245">
        <v>180.18</v>
      </c>
      <c r="W358" s="171">
        <v>27328</v>
      </c>
      <c r="X358" s="305">
        <v>470</v>
      </c>
      <c r="Y358" s="306"/>
      <c r="Z358" s="308"/>
    </row>
    <row r="359" spans="1:34">
      <c r="A359" s="304">
        <v>45347</v>
      </c>
      <c r="B359" s="392">
        <v>500</v>
      </c>
      <c r="C359" s="173"/>
      <c r="D359" s="504">
        <v>259.28</v>
      </c>
      <c r="E359" s="166">
        <v>355</v>
      </c>
      <c r="F359" s="166">
        <v>160</v>
      </c>
      <c r="G359" s="325"/>
      <c r="H359" s="392">
        <v>2000</v>
      </c>
      <c r="I359" s="176"/>
      <c r="J359" s="245">
        <v>1164.65</v>
      </c>
      <c r="K359" s="171">
        <v>3015</v>
      </c>
      <c r="L359" s="171">
        <v>272</v>
      </c>
      <c r="M359" s="325"/>
      <c r="N359" s="392">
        <v>1500</v>
      </c>
      <c r="O359" s="176"/>
      <c r="P359" s="347">
        <v>398.16</v>
      </c>
      <c r="Q359" s="171">
        <v>661919</v>
      </c>
      <c r="R359" s="171">
        <v>3338</v>
      </c>
      <c r="S359" s="325"/>
      <c r="T359" s="326">
        <v>300</v>
      </c>
      <c r="U359" s="176"/>
      <c r="V359" s="245">
        <v>185.62</v>
      </c>
      <c r="W359" s="171">
        <v>27649</v>
      </c>
      <c r="X359" s="305">
        <v>498</v>
      </c>
      <c r="Y359" s="306"/>
      <c r="Z359" s="308"/>
    </row>
    <row r="360" spans="1:34">
      <c r="A360" s="304">
        <v>45348</v>
      </c>
      <c r="B360" s="392">
        <v>500</v>
      </c>
      <c r="C360" s="173"/>
      <c r="D360" s="348">
        <v>214.58</v>
      </c>
      <c r="E360" s="166">
        <v>334</v>
      </c>
      <c r="F360" s="166">
        <v>145</v>
      </c>
      <c r="G360" s="325"/>
      <c r="H360" s="392">
        <v>2000</v>
      </c>
      <c r="I360" s="176"/>
      <c r="J360" s="245">
        <v>1101.17</v>
      </c>
      <c r="K360" s="171">
        <v>3381</v>
      </c>
      <c r="L360" s="171">
        <v>288</v>
      </c>
      <c r="M360" s="325"/>
      <c r="N360" s="392">
        <v>1500</v>
      </c>
      <c r="O360" s="176"/>
      <c r="P360" s="245">
        <v>395.59</v>
      </c>
      <c r="Q360" s="171">
        <v>778039</v>
      </c>
      <c r="R360" s="171">
        <v>3373</v>
      </c>
      <c r="S360" s="325"/>
      <c r="T360" s="326">
        <v>300</v>
      </c>
      <c r="U360" s="176"/>
      <c r="V360" s="245">
        <v>181.01</v>
      </c>
      <c r="W360" s="171">
        <v>20457</v>
      </c>
      <c r="X360" s="305">
        <v>393</v>
      </c>
      <c r="Y360" s="306"/>
      <c r="Z360" s="308"/>
    </row>
    <row r="361" spans="1:34">
      <c r="A361" s="304">
        <v>45349</v>
      </c>
      <c r="B361" s="392">
        <v>500</v>
      </c>
      <c r="C361" s="173"/>
      <c r="D361" s="348">
        <v>215.79</v>
      </c>
      <c r="E361" s="166">
        <v>303</v>
      </c>
      <c r="F361" s="166">
        <v>130</v>
      </c>
      <c r="G361" s="325"/>
      <c r="H361" s="392">
        <v>2000</v>
      </c>
      <c r="I361" s="176"/>
      <c r="J361" s="245">
        <v>496.01</v>
      </c>
      <c r="K361" s="171">
        <v>1911</v>
      </c>
      <c r="L361" s="171">
        <v>136</v>
      </c>
      <c r="M361" s="325"/>
      <c r="N361" s="392">
        <v>1500</v>
      </c>
      <c r="O361" s="176"/>
      <c r="P361" s="245">
        <v>147.21</v>
      </c>
      <c r="Q361" s="171">
        <v>339751</v>
      </c>
      <c r="R361" s="171">
        <v>1353</v>
      </c>
      <c r="S361" s="325"/>
      <c r="T361" s="326">
        <v>300</v>
      </c>
      <c r="U361" s="176"/>
      <c r="V361" s="245">
        <v>143.32</v>
      </c>
      <c r="W361" s="171">
        <v>17451</v>
      </c>
      <c r="X361" s="305">
        <v>345</v>
      </c>
      <c r="Y361" s="306"/>
      <c r="Z361" s="308"/>
    </row>
    <row r="362" spans="1:34">
      <c r="A362" s="304">
        <v>45350</v>
      </c>
      <c r="B362" s="392">
        <v>500</v>
      </c>
      <c r="C362" s="173"/>
      <c r="D362" s="348">
        <v>273.83</v>
      </c>
      <c r="E362" s="166">
        <v>345</v>
      </c>
      <c r="F362" s="166">
        <v>137</v>
      </c>
      <c r="G362" s="325"/>
      <c r="H362" s="392">
        <v>2000</v>
      </c>
      <c r="I362" s="176"/>
      <c r="J362" s="245">
        <v>488.97</v>
      </c>
      <c r="K362" s="171">
        <v>1369</v>
      </c>
      <c r="L362" s="171">
        <v>121</v>
      </c>
      <c r="M362" s="325"/>
      <c r="N362" s="392">
        <v>1500</v>
      </c>
      <c r="O362" s="176"/>
      <c r="P362" s="245">
        <v>149.12</v>
      </c>
      <c r="Q362" s="171">
        <v>402714</v>
      </c>
      <c r="R362" s="171">
        <v>1306</v>
      </c>
      <c r="S362" s="325"/>
      <c r="T362" s="326">
        <v>300</v>
      </c>
      <c r="U362" s="176"/>
      <c r="V362" s="245">
        <v>148.8</v>
      </c>
      <c r="W362" s="171">
        <v>20444</v>
      </c>
      <c r="X362" s="305">
        <v>441</v>
      </c>
      <c r="Y362" s="306"/>
      <c r="Z362" s="308"/>
    </row>
    <row r="363" spans="1:34">
      <c r="A363" s="304">
        <v>45351</v>
      </c>
      <c r="B363" s="392">
        <v>500</v>
      </c>
      <c r="C363" s="176"/>
      <c r="D363" s="245">
        <v>260.44</v>
      </c>
      <c r="E363" s="166">
        <v>384</v>
      </c>
      <c r="F363" s="166">
        <v>150</v>
      </c>
      <c r="G363" s="325"/>
      <c r="H363" s="392">
        <v>2000</v>
      </c>
      <c r="I363" s="176"/>
      <c r="J363" s="245">
        <v>492.47</v>
      </c>
      <c r="K363" s="171">
        <v>1963</v>
      </c>
      <c r="L363" s="171">
        <v>132</v>
      </c>
      <c r="M363" s="325"/>
      <c r="N363" s="392">
        <v>1500</v>
      </c>
      <c r="O363" s="176"/>
      <c r="P363" s="245">
        <v>148.74</v>
      </c>
      <c r="Q363" s="171">
        <v>396018</v>
      </c>
      <c r="R363" s="171">
        <v>1247</v>
      </c>
      <c r="S363" s="325"/>
      <c r="T363" s="326">
        <v>300</v>
      </c>
      <c r="U363" s="176"/>
      <c r="V363" s="245">
        <v>145.97</v>
      </c>
      <c r="W363" s="171">
        <v>20111</v>
      </c>
      <c r="X363" s="171">
        <v>463</v>
      </c>
      <c r="Y363" s="306"/>
      <c r="Z363" s="308"/>
    </row>
    <row r="364" spans="1:34">
      <c r="A364" s="304">
        <v>45352</v>
      </c>
      <c r="B364" s="392">
        <v>400</v>
      </c>
      <c r="C364" s="176"/>
      <c r="D364" s="245">
        <v>243.11</v>
      </c>
      <c r="E364" s="166">
        <v>356</v>
      </c>
      <c r="F364" s="166">
        <v>142</v>
      </c>
      <c r="G364" s="325">
        <f>明星店铺!G705+明星店铺!H705</f>
        <v>17</v>
      </c>
      <c r="H364" s="392">
        <v>1300</v>
      </c>
      <c r="I364" s="176"/>
      <c r="J364" s="245">
        <v>496.6</v>
      </c>
      <c r="K364" s="171">
        <v>1559</v>
      </c>
      <c r="L364" s="171">
        <v>127</v>
      </c>
      <c r="M364" s="325">
        <f>直通车!G705+直通车!H705</f>
        <v>8</v>
      </c>
      <c r="N364" s="392">
        <v>1000</v>
      </c>
      <c r="O364" s="176"/>
      <c r="P364" s="245">
        <v>148.42</v>
      </c>
      <c r="Q364" s="171">
        <v>337644</v>
      </c>
      <c r="R364" s="171">
        <v>1145</v>
      </c>
      <c r="S364" s="325">
        <f>引力魔方!G604+引力魔方!H604</f>
        <v>1</v>
      </c>
      <c r="T364" s="326">
        <v>300</v>
      </c>
      <c r="U364" s="176"/>
      <c r="V364" s="245">
        <v>141.83</v>
      </c>
      <c r="W364" s="171">
        <v>21261</v>
      </c>
      <c r="X364" s="171">
        <v>466</v>
      </c>
      <c r="Y364" s="306">
        <f>万相台!G193+万相台!H193</f>
        <v>6</v>
      </c>
      <c r="Z364" s="308"/>
      <c r="AA364" s="68">
        <f t="shared" ref="AA364:AA377" si="3">B364+H364+N364+T364</f>
        <v>3000</v>
      </c>
      <c r="AB364" s="69">
        <f t="shared" ref="AB364:AB380" si="4">D364+J364+P364+V364</f>
        <v>1029.96</v>
      </c>
      <c r="AC364" s="70">
        <f>G364+M364+S364+Y364</f>
        <v>32</v>
      </c>
      <c r="AD364" s="505">
        <f>AB364/AC364</f>
        <v>32.18625</v>
      </c>
      <c r="AE364" s="506">
        <f>AC364/AF364</f>
        <v>0.0170212765957447</v>
      </c>
      <c r="AF364" s="69">
        <f>F364+L364+R364+X364</f>
        <v>1880</v>
      </c>
      <c r="AG364" s="71">
        <f>AB364/AF364</f>
        <v>0.547851063829787</v>
      </c>
      <c r="AH364" s="71">
        <f>AB364/((E364+K364+Q364+W364)/1000)</f>
        <v>2.85449808768915</v>
      </c>
    </row>
    <row r="365" spans="1:34">
      <c r="A365" s="304">
        <v>45353</v>
      </c>
      <c r="B365" s="392">
        <v>400</v>
      </c>
      <c r="C365" s="176"/>
      <c r="D365" s="245">
        <v>244.84</v>
      </c>
      <c r="E365" s="166">
        <v>332</v>
      </c>
      <c r="F365" s="166">
        <v>143</v>
      </c>
      <c r="G365" s="325">
        <f>明星店铺!G706+明星店铺!H706</f>
        <v>59</v>
      </c>
      <c r="H365" s="392">
        <v>1300</v>
      </c>
      <c r="I365" s="176"/>
      <c r="J365" s="245">
        <v>934.95</v>
      </c>
      <c r="K365" s="171">
        <v>2699</v>
      </c>
      <c r="L365" s="171">
        <v>213</v>
      </c>
      <c r="M365" s="325">
        <f>直通车!G706+直通车!H706</f>
        <v>20</v>
      </c>
      <c r="N365" s="392">
        <v>1000</v>
      </c>
      <c r="O365" s="176"/>
      <c r="P365" s="245">
        <v>990.99</v>
      </c>
      <c r="Q365" s="171">
        <v>1043968</v>
      </c>
      <c r="R365" s="171">
        <v>6072</v>
      </c>
      <c r="S365" s="325">
        <f>引力魔方!G605+引力魔方!H605</f>
        <v>13</v>
      </c>
      <c r="T365" s="326">
        <v>300</v>
      </c>
      <c r="U365" s="176"/>
      <c r="V365" s="326">
        <v>191.29</v>
      </c>
      <c r="W365" s="171">
        <v>20419</v>
      </c>
      <c r="X365" s="171">
        <v>469</v>
      </c>
      <c r="Y365" s="306">
        <f>万相台!G194+万相台!H194</f>
        <v>48</v>
      </c>
      <c r="Z365" s="308"/>
      <c r="AA365" s="68">
        <f t="shared" si="3"/>
        <v>3000</v>
      </c>
      <c r="AB365" s="69">
        <f t="shared" si="4"/>
        <v>2362.07</v>
      </c>
      <c r="AC365" s="70">
        <f t="shared" ref="AC365:AC396" si="5">G365+M365+S365+Y365</f>
        <v>140</v>
      </c>
      <c r="AD365" s="505">
        <f t="shared" ref="AD365:AD396" si="6">AB365/AC365</f>
        <v>16.8719285714286</v>
      </c>
      <c r="AE365" s="506">
        <f t="shared" ref="AE365:AE396" si="7">AC365/AF365</f>
        <v>0.0202986805857619</v>
      </c>
      <c r="AF365" s="69">
        <f t="shared" ref="AF365:AF396" si="8">F365+L365+R365+X365</f>
        <v>6897</v>
      </c>
      <c r="AG365" s="71">
        <f t="shared" ref="AG365:AG396" si="9">AB365/AF365</f>
        <v>0.342477888937219</v>
      </c>
      <c r="AH365" s="71">
        <f t="shared" ref="AH365:AH396" si="10">AB365/((E365+K365+Q365+W365)/1000)</f>
        <v>2.21288192629317</v>
      </c>
    </row>
    <row r="366" spans="1:34">
      <c r="A366" s="304">
        <v>45354</v>
      </c>
      <c r="B366" s="392">
        <v>400</v>
      </c>
      <c r="C366" s="176"/>
      <c r="D366" s="443">
        <v>215.83</v>
      </c>
      <c r="E366" s="404">
        <v>296</v>
      </c>
      <c r="F366" s="404">
        <v>148</v>
      </c>
      <c r="G366" s="325">
        <f>明星店铺!G707+明星店铺!H707</f>
        <v>31</v>
      </c>
      <c r="H366" s="392">
        <v>1300</v>
      </c>
      <c r="I366" s="176"/>
      <c r="J366" s="443">
        <v>937.28</v>
      </c>
      <c r="K366" s="399">
        <v>2907</v>
      </c>
      <c r="L366" s="417">
        <v>243</v>
      </c>
      <c r="M366" s="325">
        <f>直通车!G707+直通车!H707</f>
        <v>29</v>
      </c>
      <c r="N366" s="392">
        <v>1000</v>
      </c>
      <c r="O366" s="176"/>
      <c r="P366" s="443">
        <v>991.35</v>
      </c>
      <c r="Q366" s="398">
        <v>1517741</v>
      </c>
      <c r="R366" s="417">
        <v>7112</v>
      </c>
      <c r="S366" s="325">
        <f>引力魔方!G606+引力魔方!H606</f>
        <v>13</v>
      </c>
      <c r="T366" s="326">
        <v>300</v>
      </c>
      <c r="U366" s="176"/>
      <c r="V366" s="326">
        <f>72.62+99.34</f>
        <v>171.96</v>
      </c>
      <c r="W366" s="417">
        <f>674+18234</f>
        <v>18908</v>
      </c>
      <c r="X366" s="417">
        <f>37+402</f>
        <v>439</v>
      </c>
      <c r="Y366" s="306">
        <f>万相台!G195+万相台!H195</f>
        <v>11</v>
      </c>
      <c r="Z366" s="308"/>
      <c r="AA366" s="68">
        <f t="shared" si="3"/>
        <v>3000</v>
      </c>
      <c r="AB366" s="69">
        <f t="shared" si="4"/>
        <v>2316.42</v>
      </c>
      <c r="AC366" s="70">
        <f t="shared" si="5"/>
        <v>84</v>
      </c>
      <c r="AD366" s="505">
        <f t="shared" si="6"/>
        <v>27.5764285714286</v>
      </c>
      <c r="AE366" s="506">
        <f t="shared" si="7"/>
        <v>0.0105766809367917</v>
      </c>
      <c r="AF366" s="69">
        <f t="shared" si="8"/>
        <v>7942</v>
      </c>
      <c r="AG366" s="71">
        <f t="shared" si="9"/>
        <v>0.291667086376228</v>
      </c>
      <c r="AH366" s="71">
        <f t="shared" si="10"/>
        <v>1.50431340154768</v>
      </c>
    </row>
    <row r="367" spans="1:34">
      <c r="A367" s="507">
        <v>45355</v>
      </c>
      <c r="B367" s="392">
        <v>400</v>
      </c>
      <c r="C367" s="176"/>
      <c r="D367" s="443">
        <v>321</v>
      </c>
      <c r="E367" s="404">
        <v>321</v>
      </c>
      <c r="F367" s="404">
        <v>152</v>
      </c>
      <c r="G367" s="325">
        <f>明星店铺!G708+明星店铺!H708</f>
        <v>34</v>
      </c>
      <c r="H367" s="392">
        <v>1300</v>
      </c>
      <c r="I367" s="176"/>
      <c r="J367" s="443">
        <v>942.14</v>
      </c>
      <c r="K367" s="399">
        <v>2959</v>
      </c>
      <c r="L367" s="399">
        <v>217</v>
      </c>
      <c r="M367" s="325">
        <f>直通车!G708+直通车!H708</f>
        <v>19</v>
      </c>
      <c r="N367" s="392">
        <v>1000</v>
      </c>
      <c r="O367" s="176"/>
      <c r="P367" s="443">
        <v>989.52</v>
      </c>
      <c r="Q367" s="398">
        <v>1586164</v>
      </c>
      <c r="R367" s="398">
        <v>6650</v>
      </c>
      <c r="S367" s="325">
        <f>引力魔方!G607+引力魔方!H607</f>
        <v>7</v>
      </c>
      <c r="T367" s="326">
        <v>300</v>
      </c>
      <c r="U367" s="176"/>
      <c r="V367" s="326">
        <v>195.91</v>
      </c>
      <c r="W367" s="417">
        <v>2424</v>
      </c>
      <c r="X367" s="417">
        <v>396</v>
      </c>
      <c r="Y367" s="306">
        <f>万相台!G196+万相台!H196</f>
        <v>7</v>
      </c>
      <c r="Z367" s="508"/>
      <c r="AA367" s="68">
        <f t="shared" si="3"/>
        <v>3000</v>
      </c>
      <c r="AB367" s="69">
        <f t="shared" si="4"/>
        <v>2448.57</v>
      </c>
      <c r="AC367" s="70">
        <f t="shared" si="5"/>
        <v>67</v>
      </c>
      <c r="AD367" s="505">
        <f t="shared" si="6"/>
        <v>36.5458208955224</v>
      </c>
      <c r="AE367" s="506">
        <f t="shared" si="7"/>
        <v>0.00903573836817262</v>
      </c>
      <c r="AF367" s="69">
        <f t="shared" si="8"/>
        <v>7415</v>
      </c>
      <c r="AG367" s="71">
        <f t="shared" si="9"/>
        <v>0.330218476062036</v>
      </c>
      <c r="AH367" s="71">
        <f t="shared" si="10"/>
        <v>1.53817401945387</v>
      </c>
    </row>
    <row r="368" spans="1:34">
      <c r="A368" s="304">
        <v>45356</v>
      </c>
      <c r="B368" s="392">
        <v>400</v>
      </c>
      <c r="C368" s="176"/>
      <c r="D368" s="443">
        <v>210.66</v>
      </c>
      <c r="E368" s="404">
        <v>277</v>
      </c>
      <c r="F368" s="404">
        <v>129</v>
      </c>
      <c r="G368" s="325">
        <f>明星店铺!G709+明星店铺!H709</f>
        <v>38</v>
      </c>
      <c r="H368" s="392">
        <v>1300</v>
      </c>
      <c r="I368" s="176"/>
      <c r="J368" s="443">
        <v>935.01</v>
      </c>
      <c r="K368" s="399">
        <v>2905</v>
      </c>
      <c r="L368" s="417">
        <v>225</v>
      </c>
      <c r="M368" s="325">
        <f>直通车!G709+直通车!H709</f>
        <v>22</v>
      </c>
      <c r="N368" s="392">
        <v>1000</v>
      </c>
      <c r="O368" s="176"/>
      <c r="P368" s="443">
        <v>964.81</v>
      </c>
      <c r="Q368" s="398">
        <v>1527961</v>
      </c>
      <c r="R368" s="399">
        <v>7292</v>
      </c>
      <c r="S368" s="325">
        <f>引力魔方!G608+引力魔方!H608</f>
        <v>9</v>
      </c>
      <c r="T368" s="326">
        <v>300</v>
      </c>
      <c r="U368" s="176"/>
      <c r="V368" s="326">
        <f>99.91+90.44</f>
        <v>190.35</v>
      </c>
      <c r="W368" s="417">
        <f>19204+582</f>
        <v>19786</v>
      </c>
      <c r="X368" s="417">
        <f>398+40</f>
        <v>438</v>
      </c>
      <c r="Y368" s="306">
        <f>万相台!G197+万相台!H197</f>
        <v>5</v>
      </c>
      <c r="Z368" s="508"/>
      <c r="AA368" s="68">
        <f t="shared" si="3"/>
        <v>3000</v>
      </c>
      <c r="AB368" s="69">
        <f t="shared" si="4"/>
        <v>2300.83</v>
      </c>
      <c r="AC368" s="70">
        <f t="shared" si="5"/>
        <v>74</v>
      </c>
      <c r="AD368" s="505">
        <f t="shared" si="6"/>
        <v>31.0922972972973</v>
      </c>
      <c r="AE368" s="506">
        <f t="shared" si="7"/>
        <v>0.00915388421573479</v>
      </c>
      <c r="AF368" s="69">
        <f t="shared" si="8"/>
        <v>8084</v>
      </c>
      <c r="AG368" s="71">
        <f t="shared" si="9"/>
        <v>0.284615289460663</v>
      </c>
      <c r="AH368" s="71">
        <f t="shared" si="10"/>
        <v>1.48351729834183</v>
      </c>
    </row>
    <row r="369" spans="1:34">
      <c r="A369" s="304">
        <v>45357</v>
      </c>
      <c r="B369" s="392">
        <v>700</v>
      </c>
      <c r="C369" s="251"/>
      <c r="D369" s="451">
        <v>334</v>
      </c>
      <c r="E369" s="467">
        <v>165</v>
      </c>
      <c r="F369" s="467">
        <v>2</v>
      </c>
      <c r="G369" s="325">
        <f>明星店铺!G710+明星店铺!H710</f>
        <v>56</v>
      </c>
      <c r="H369" s="396">
        <v>3000</v>
      </c>
      <c r="I369" s="251"/>
      <c r="J369" s="451">
        <v>1514.93</v>
      </c>
      <c r="K369" s="427">
        <v>3216</v>
      </c>
      <c r="L369" s="509">
        <v>320</v>
      </c>
      <c r="M369" s="325">
        <f>直通车!G710+直通车!H710</f>
        <v>39</v>
      </c>
      <c r="N369" s="396">
        <v>2000</v>
      </c>
      <c r="O369" s="251"/>
      <c r="P369" s="451">
        <v>1537.28</v>
      </c>
      <c r="Q369" s="510">
        <v>2132609</v>
      </c>
      <c r="R369" s="427">
        <v>10741</v>
      </c>
      <c r="S369" s="325">
        <f>引力魔方!G609+引力魔方!H609</f>
        <v>12</v>
      </c>
      <c r="T369" s="430">
        <v>300</v>
      </c>
      <c r="U369" s="251"/>
      <c r="V369" s="326">
        <v>164.12</v>
      </c>
      <c r="W369" s="463">
        <v>21381</v>
      </c>
      <c r="X369" s="463">
        <v>422</v>
      </c>
      <c r="Y369" s="306">
        <f>万相台!G198+万相台!H198</f>
        <v>21</v>
      </c>
      <c r="Z369" s="59"/>
      <c r="AA369" s="68">
        <f t="shared" si="3"/>
        <v>6000</v>
      </c>
      <c r="AB369" s="69">
        <f t="shared" si="4"/>
        <v>3550.33</v>
      </c>
      <c r="AC369" s="70">
        <f t="shared" si="5"/>
        <v>128</v>
      </c>
      <c r="AD369" s="505">
        <f t="shared" si="6"/>
        <v>27.736953125</v>
      </c>
      <c r="AE369" s="506">
        <f t="shared" si="7"/>
        <v>0.0111449717022203</v>
      </c>
      <c r="AF369" s="69">
        <f t="shared" si="8"/>
        <v>11485</v>
      </c>
      <c r="AG369" s="71">
        <f t="shared" si="9"/>
        <v>0.309127557683936</v>
      </c>
      <c r="AH369" s="71">
        <f t="shared" si="10"/>
        <v>1.64567429524175</v>
      </c>
    </row>
    <row r="370" spans="1:34">
      <c r="A370" s="304">
        <v>45358</v>
      </c>
      <c r="B370" s="392">
        <v>700</v>
      </c>
      <c r="C370" s="176"/>
      <c r="D370" s="443">
        <v>306.2</v>
      </c>
      <c r="E370" s="404">
        <v>356</v>
      </c>
      <c r="F370" s="404">
        <v>181</v>
      </c>
      <c r="G370" s="325">
        <f>明星店铺!G711+明星店铺!H711</f>
        <v>50</v>
      </c>
      <c r="H370" s="392">
        <v>3000</v>
      </c>
      <c r="I370" s="176"/>
      <c r="J370" s="443">
        <v>2619.11</v>
      </c>
      <c r="K370" s="399">
        <v>5816</v>
      </c>
      <c r="L370" s="511">
        <v>503</v>
      </c>
      <c r="M370" s="325">
        <f>直通车!G711+直通车!H711</f>
        <v>63</v>
      </c>
      <c r="N370" s="392">
        <v>2000</v>
      </c>
      <c r="O370" s="176"/>
      <c r="P370" s="443">
        <v>1971.4</v>
      </c>
      <c r="Q370" s="398">
        <v>2156228</v>
      </c>
      <c r="R370" s="399">
        <v>9966</v>
      </c>
      <c r="S370" s="325">
        <f>引力魔方!G610+引力魔方!H610</f>
        <v>19</v>
      </c>
      <c r="T370" s="326">
        <v>300</v>
      </c>
      <c r="U370" s="176"/>
      <c r="V370" s="326">
        <f>99+87.12</f>
        <v>186.12</v>
      </c>
      <c r="W370" s="417">
        <f>15260+847</f>
        <v>16107</v>
      </c>
      <c r="X370" s="417">
        <f>332+33</f>
        <v>365</v>
      </c>
      <c r="Y370" s="306">
        <f>万相台!G199+万相台!H199</f>
        <v>12</v>
      </c>
      <c r="Z370" s="508"/>
      <c r="AA370" s="68">
        <f t="shared" si="3"/>
        <v>6000</v>
      </c>
      <c r="AB370" s="69">
        <f t="shared" si="4"/>
        <v>5082.83</v>
      </c>
      <c r="AC370" s="70">
        <f t="shared" si="5"/>
        <v>144</v>
      </c>
      <c r="AD370" s="505">
        <f t="shared" si="6"/>
        <v>35.2974305555556</v>
      </c>
      <c r="AE370" s="506">
        <f t="shared" si="7"/>
        <v>0.01307308216069</v>
      </c>
      <c r="AF370" s="69">
        <f t="shared" si="8"/>
        <v>11015</v>
      </c>
      <c r="AG370" s="71">
        <f t="shared" si="9"/>
        <v>0.461446209714026</v>
      </c>
      <c r="AH370" s="71">
        <f t="shared" si="10"/>
        <v>2.33317129575439</v>
      </c>
    </row>
    <row r="371" spans="1:34">
      <c r="A371" s="304">
        <v>45359</v>
      </c>
      <c r="B371" s="392">
        <v>700</v>
      </c>
      <c r="C371" s="176"/>
      <c r="D371" s="443">
        <v>214.06</v>
      </c>
      <c r="E371" s="404">
        <v>245</v>
      </c>
      <c r="F371" s="404">
        <v>121</v>
      </c>
      <c r="G371" s="325">
        <f>明星店铺!G712+明星店铺!H712</f>
        <v>31</v>
      </c>
      <c r="H371" s="392">
        <v>3000</v>
      </c>
      <c r="I371" s="176"/>
      <c r="J371" s="443">
        <v>2615.75</v>
      </c>
      <c r="K371" s="399">
        <v>7630</v>
      </c>
      <c r="L371" s="511">
        <v>480</v>
      </c>
      <c r="M371" s="325">
        <f>直通车!G712+直通车!H712</f>
        <v>28</v>
      </c>
      <c r="N371" s="392">
        <v>2000</v>
      </c>
      <c r="O371" s="176"/>
      <c r="P371" s="443">
        <v>1420.36</v>
      </c>
      <c r="Q371" s="398">
        <v>1623433</v>
      </c>
      <c r="R371" s="399">
        <v>7668</v>
      </c>
      <c r="S371" s="325">
        <f>引力魔方!G611+引力魔方!H611</f>
        <v>14</v>
      </c>
      <c r="T371" s="326">
        <v>300</v>
      </c>
      <c r="U371" s="176"/>
      <c r="V371" s="326">
        <v>458.53</v>
      </c>
      <c r="W371" s="417">
        <v>45196</v>
      </c>
      <c r="X371" s="417">
        <v>295</v>
      </c>
      <c r="Y371" s="306">
        <f>万相台!G200+万相台!H200</f>
        <v>27</v>
      </c>
      <c r="Z371" s="508"/>
      <c r="AA371" s="68">
        <f t="shared" si="3"/>
        <v>6000</v>
      </c>
      <c r="AB371" s="69">
        <f t="shared" si="4"/>
        <v>4708.7</v>
      </c>
      <c r="AC371" s="70">
        <f t="shared" si="5"/>
        <v>100</v>
      </c>
      <c r="AD371" s="505">
        <f t="shared" si="6"/>
        <v>47.087</v>
      </c>
      <c r="AE371" s="506">
        <f t="shared" si="7"/>
        <v>0.0116767865483419</v>
      </c>
      <c r="AF371" s="69">
        <f t="shared" si="8"/>
        <v>8564</v>
      </c>
      <c r="AG371" s="71">
        <f t="shared" si="9"/>
        <v>0.549824848201775</v>
      </c>
      <c r="AH371" s="71">
        <f t="shared" si="10"/>
        <v>2.80864226986634</v>
      </c>
    </row>
    <row r="372" spans="1:34">
      <c r="A372" s="304">
        <v>45360</v>
      </c>
      <c r="B372" s="392">
        <v>700</v>
      </c>
      <c r="C372" s="176"/>
      <c r="D372" s="443">
        <v>247.58</v>
      </c>
      <c r="E372" s="404">
        <v>286</v>
      </c>
      <c r="F372" s="404">
        <v>132</v>
      </c>
      <c r="G372" s="325">
        <f>明星店铺!G713+明星店铺!H713</f>
        <v>29</v>
      </c>
      <c r="H372" s="392">
        <v>3000</v>
      </c>
      <c r="I372" s="176"/>
      <c r="J372" s="443">
        <v>2938.28</v>
      </c>
      <c r="K372" s="399">
        <v>8217</v>
      </c>
      <c r="L372" s="511">
        <v>558</v>
      </c>
      <c r="M372" s="325">
        <f>直通车!G713+直通车!H713</f>
        <v>37</v>
      </c>
      <c r="N372" s="392">
        <v>2000</v>
      </c>
      <c r="O372" s="176"/>
      <c r="P372" s="443">
        <v>1126.58</v>
      </c>
      <c r="Q372" s="398">
        <v>1412306</v>
      </c>
      <c r="R372" s="399">
        <v>6961</v>
      </c>
      <c r="S372" s="325">
        <f>引力魔方!G612+引力魔方!H612</f>
        <v>13</v>
      </c>
      <c r="T372" s="326">
        <v>300</v>
      </c>
      <c r="U372" s="176"/>
      <c r="V372" s="326">
        <v>1614.61</v>
      </c>
      <c r="W372" s="417">
        <v>197066</v>
      </c>
      <c r="X372" s="417">
        <v>1748</v>
      </c>
      <c r="Y372" s="306">
        <f>万相台!G201+万相台!H201</f>
        <v>66</v>
      </c>
      <c r="Z372" s="508"/>
      <c r="AA372" s="68">
        <f t="shared" si="3"/>
        <v>6000</v>
      </c>
      <c r="AB372" s="69">
        <f t="shared" si="4"/>
        <v>5927.05</v>
      </c>
      <c r="AC372" s="70">
        <f t="shared" si="5"/>
        <v>145</v>
      </c>
      <c r="AD372" s="505">
        <f t="shared" si="6"/>
        <v>40.8762068965517</v>
      </c>
      <c r="AE372" s="506">
        <f t="shared" si="7"/>
        <v>0.0154271731035217</v>
      </c>
      <c r="AF372" s="69">
        <f t="shared" si="8"/>
        <v>9399</v>
      </c>
      <c r="AG372" s="71">
        <f t="shared" si="9"/>
        <v>0.630604319608469</v>
      </c>
      <c r="AH372" s="71">
        <f t="shared" si="10"/>
        <v>3.66347832805377</v>
      </c>
    </row>
    <row r="373" spans="1:34">
      <c r="A373" s="304">
        <v>45361</v>
      </c>
      <c r="B373" s="392">
        <v>700</v>
      </c>
      <c r="C373" s="176"/>
      <c r="D373" s="443">
        <v>202.75</v>
      </c>
      <c r="E373" s="404">
        <v>254</v>
      </c>
      <c r="F373" s="404">
        <v>119</v>
      </c>
      <c r="G373" s="325">
        <f>明星店铺!G714+明星店铺!H714</f>
        <v>50</v>
      </c>
      <c r="H373" s="392">
        <v>3000</v>
      </c>
      <c r="I373" s="176"/>
      <c r="J373" s="443">
        <v>3173.82</v>
      </c>
      <c r="K373" s="399">
        <v>10210</v>
      </c>
      <c r="L373" s="511">
        <v>658</v>
      </c>
      <c r="M373" s="325">
        <f>直通车!G714+直通车!H714</f>
        <v>43</v>
      </c>
      <c r="N373" s="392">
        <v>2000</v>
      </c>
      <c r="O373" s="176"/>
      <c r="P373" s="443">
        <v>1295.44</v>
      </c>
      <c r="Q373" s="398">
        <v>1633138</v>
      </c>
      <c r="R373" s="399">
        <v>7762</v>
      </c>
      <c r="S373" s="325">
        <f>引力魔方!G613+引力魔方!H613</f>
        <v>11</v>
      </c>
      <c r="T373" s="326">
        <v>300</v>
      </c>
      <c r="U373" s="176"/>
      <c r="V373" s="326">
        <v>1674.5</v>
      </c>
      <c r="W373" s="417">
        <v>473383</v>
      </c>
      <c r="X373" s="417">
        <v>3459</v>
      </c>
      <c r="Y373" s="306">
        <f>万相台!G202+万相台!H202</f>
        <v>121</v>
      </c>
      <c r="Z373" s="508"/>
      <c r="AA373" s="68">
        <f t="shared" si="3"/>
        <v>6000</v>
      </c>
      <c r="AB373" s="69">
        <f t="shared" si="4"/>
        <v>6346.51</v>
      </c>
      <c r="AC373" s="70">
        <f t="shared" si="5"/>
        <v>225</v>
      </c>
      <c r="AD373" s="505">
        <f t="shared" si="6"/>
        <v>28.2067111111111</v>
      </c>
      <c r="AE373" s="506">
        <f t="shared" si="7"/>
        <v>0.0187531255209202</v>
      </c>
      <c r="AF373" s="69">
        <f t="shared" si="8"/>
        <v>11998</v>
      </c>
      <c r="AG373" s="71">
        <f t="shared" si="9"/>
        <v>0.528963993999</v>
      </c>
      <c r="AH373" s="71">
        <f t="shared" si="10"/>
        <v>2.99790031577928</v>
      </c>
    </row>
    <row r="374" spans="1:34">
      <c r="A374" s="304">
        <v>45362</v>
      </c>
      <c r="B374" s="392">
        <v>300</v>
      </c>
      <c r="C374" s="176"/>
      <c r="D374" s="443">
        <v>271.89</v>
      </c>
      <c r="E374" s="404">
        <v>307</v>
      </c>
      <c r="F374" s="404">
        <v>140</v>
      </c>
      <c r="G374" s="325">
        <f>明星店铺!G715+明星店铺!H715</f>
        <v>31</v>
      </c>
      <c r="H374" s="392">
        <v>3000</v>
      </c>
      <c r="I374" s="176"/>
      <c r="J374" s="443">
        <v>2697.78</v>
      </c>
      <c r="K374" s="399">
        <v>8641</v>
      </c>
      <c r="L374" s="511">
        <v>558</v>
      </c>
      <c r="M374" s="325">
        <f>直通车!G715+直通车!H715</f>
        <v>59</v>
      </c>
      <c r="N374" s="392">
        <v>2000</v>
      </c>
      <c r="O374" s="176"/>
      <c r="P374" s="443">
        <v>995.85</v>
      </c>
      <c r="Q374" s="398">
        <v>1358790</v>
      </c>
      <c r="R374" s="399">
        <v>6560</v>
      </c>
      <c r="S374" s="325">
        <f>引力魔方!G614+引力魔方!H614</f>
        <v>6</v>
      </c>
      <c r="T374" s="326">
        <v>300</v>
      </c>
      <c r="U374" s="176"/>
      <c r="V374" s="326">
        <v>1233.3</v>
      </c>
      <c r="W374" s="417">
        <v>899385</v>
      </c>
      <c r="X374" s="417">
        <v>4103</v>
      </c>
      <c r="Y374" s="306">
        <f>万相台!G203+万相台!H203</f>
        <v>130</v>
      </c>
      <c r="Z374" s="508"/>
      <c r="AA374" s="68">
        <f t="shared" si="3"/>
        <v>5600</v>
      </c>
      <c r="AB374" s="69">
        <f t="shared" si="4"/>
        <v>5198.82</v>
      </c>
      <c r="AC374" s="70">
        <f t="shared" si="5"/>
        <v>226</v>
      </c>
      <c r="AD374" s="505">
        <f t="shared" si="6"/>
        <v>23.0036283185841</v>
      </c>
      <c r="AE374" s="506">
        <f t="shared" si="7"/>
        <v>0.0198926150867001</v>
      </c>
      <c r="AF374" s="69">
        <f t="shared" si="8"/>
        <v>11361</v>
      </c>
      <c r="AG374" s="71">
        <f t="shared" si="9"/>
        <v>0.457602323739107</v>
      </c>
      <c r="AH374" s="71">
        <f t="shared" si="10"/>
        <v>2.29313539671204</v>
      </c>
    </row>
    <row r="375" spans="1:34">
      <c r="A375" s="304">
        <v>45363</v>
      </c>
      <c r="B375" s="392">
        <v>300</v>
      </c>
      <c r="C375" s="176"/>
      <c r="D375" s="443">
        <f>明星店铺!B716</f>
        <v>334.57</v>
      </c>
      <c r="E375" s="404">
        <f>明星店铺!C716</f>
        <v>367</v>
      </c>
      <c r="F375" s="404">
        <f>明星店铺!D716</f>
        <v>163</v>
      </c>
      <c r="G375" s="325">
        <f>明星店铺!G716+明星店铺!H716</f>
        <v>73</v>
      </c>
      <c r="H375" s="392">
        <v>2500</v>
      </c>
      <c r="I375" s="176"/>
      <c r="J375" s="443">
        <f>直通车!B716</f>
        <v>2504.15</v>
      </c>
      <c r="K375" s="399">
        <f>直通车!C716</f>
        <v>8200</v>
      </c>
      <c r="L375" s="511">
        <f>直通车!D716</f>
        <v>515</v>
      </c>
      <c r="M375" s="325">
        <f>直通车!G716+直通车!H716</f>
        <v>53</v>
      </c>
      <c r="N375" s="392">
        <v>1000</v>
      </c>
      <c r="O375" s="176"/>
      <c r="P375" s="443">
        <f>引力魔方!B615</f>
        <v>998.29</v>
      </c>
      <c r="Q375" s="398">
        <f>引力魔方!C615</f>
        <v>1352183</v>
      </c>
      <c r="R375" s="399">
        <f>引力魔方!D615</f>
        <v>6745</v>
      </c>
      <c r="S375" s="325">
        <f>引力魔方!G615+引力魔方!H615</f>
        <v>12</v>
      </c>
      <c r="T375" s="326">
        <v>1200</v>
      </c>
      <c r="U375" s="176"/>
      <c r="V375" s="326">
        <f>万相台!B204</f>
        <v>1460.04</v>
      </c>
      <c r="W375" s="417">
        <f>万相台!C204</f>
        <v>934318</v>
      </c>
      <c r="X375" s="417">
        <f>万相台!D204</f>
        <v>5141</v>
      </c>
      <c r="Y375" s="306">
        <f>万相台!G204+万相台!H204</f>
        <v>123</v>
      </c>
      <c r="Z375" s="508"/>
      <c r="AA375" s="68">
        <f t="shared" si="3"/>
        <v>5000</v>
      </c>
      <c r="AB375" s="69">
        <f t="shared" si="4"/>
        <v>5297.05</v>
      </c>
      <c r="AC375" s="70">
        <f t="shared" si="5"/>
        <v>261</v>
      </c>
      <c r="AD375" s="505">
        <f t="shared" si="6"/>
        <v>20.2952107279693</v>
      </c>
      <c r="AE375" s="506">
        <f t="shared" si="7"/>
        <v>0.0207736389684814</v>
      </c>
      <c r="AF375" s="69">
        <f t="shared" si="8"/>
        <v>12564</v>
      </c>
      <c r="AG375" s="71">
        <f t="shared" si="9"/>
        <v>0.421605380452085</v>
      </c>
      <c r="AH375" s="71">
        <f t="shared" si="10"/>
        <v>2.30801440305908</v>
      </c>
    </row>
    <row r="376" spans="1:34">
      <c r="A376" s="304">
        <v>45364</v>
      </c>
      <c r="B376" s="392">
        <v>300</v>
      </c>
      <c r="C376" s="176"/>
      <c r="D376" s="443">
        <f>明星店铺!B717</f>
        <v>298.41</v>
      </c>
      <c r="E376" s="404">
        <f>明星店铺!C717</f>
        <v>367</v>
      </c>
      <c r="F376" s="404">
        <f>明星店铺!D717</f>
        <v>156</v>
      </c>
      <c r="G376" s="325">
        <f>明星店铺!G717+明星店铺!H717</f>
        <v>55</v>
      </c>
      <c r="H376" s="392">
        <v>2500</v>
      </c>
      <c r="I376" s="176"/>
      <c r="J376" s="443">
        <f>直通车!B717</f>
        <v>2498.38</v>
      </c>
      <c r="K376" s="399">
        <f>直通车!C717</f>
        <v>7728</v>
      </c>
      <c r="L376" s="511">
        <f>直通车!D717</f>
        <v>528</v>
      </c>
      <c r="M376" s="325">
        <f>直通车!G717+直通车!H717</f>
        <v>80</v>
      </c>
      <c r="N376" s="392">
        <v>1000</v>
      </c>
      <c r="O376" s="176"/>
      <c r="P376" s="443">
        <f>引力魔方!B616</f>
        <v>994.85</v>
      </c>
      <c r="Q376" s="398">
        <f>引力魔方!C616</f>
        <v>1169133</v>
      </c>
      <c r="R376" s="399">
        <f>引力魔方!D616</f>
        <v>6619</v>
      </c>
      <c r="S376" s="325">
        <f>引力魔方!G616+引力魔方!H616</f>
        <v>6</v>
      </c>
      <c r="T376" s="326">
        <v>1200</v>
      </c>
      <c r="U376" s="176"/>
      <c r="V376" s="326">
        <f>万相台!B205</f>
        <v>2428.55</v>
      </c>
      <c r="W376" s="417">
        <f>万相台!C205</f>
        <v>844347</v>
      </c>
      <c r="X376" s="417">
        <f>万相台!D205</f>
        <v>7778</v>
      </c>
      <c r="Y376" s="306">
        <f>万相台!G205+万相台!H205</f>
        <v>192</v>
      </c>
      <c r="Z376" s="508"/>
      <c r="AA376" s="68">
        <f t="shared" si="3"/>
        <v>5000</v>
      </c>
      <c r="AB376" s="69">
        <f t="shared" si="4"/>
        <v>6220.19</v>
      </c>
      <c r="AC376" s="70">
        <f t="shared" si="5"/>
        <v>333</v>
      </c>
      <c r="AD376" s="505">
        <f t="shared" si="6"/>
        <v>18.6792492492492</v>
      </c>
      <c r="AE376" s="506">
        <f t="shared" si="7"/>
        <v>0.0220807638750746</v>
      </c>
      <c r="AF376" s="69">
        <f t="shared" si="8"/>
        <v>15081</v>
      </c>
      <c r="AG376" s="71">
        <f t="shared" si="9"/>
        <v>0.412452092036337</v>
      </c>
      <c r="AH376" s="71">
        <f t="shared" si="10"/>
        <v>3.07690290985989</v>
      </c>
    </row>
    <row r="377" spans="1:34">
      <c r="A377" s="304">
        <v>45365</v>
      </c>
      <c r="B377" s="392">
        <v>300</v>
      </c>
      <c r="C377" s="176"/>
      <c r="D377" s="443">
        <f>明星店铺!B718</f>
        <v>311.14</v>
      </c>
      <c r="E377" s="404">
        <f>明星店铺!C718</f>
        <v>372</v>
      </c>
      <c r="F377" s="404">
        <f>明星店铺!D718</f>
        <v>145</v>
      </c>
      <c r="G377" s="325">
        <f>明星店铺!G718+明星店铺!H718</f>
        <v>46</v>
      </c>
      <c r="H377" s="392">
        <v>2500</v>
      </c>
      <c r="I377" s="176"/>
      <c r="J377" s="443">
        <f>直通车!B718</f>
        <v>2363.76</v>
      </c>
      <c r="K377" s="399">
        <f>直通车!C718</f>
        <v>7911</v>
      </c>
      <c r="L377" s="511">
        <f>直通车!D718</f>
        <v>519</v>
      </c>
      <c r="M377" s="325">
        <f>直通车!G718+直通车!H718</f>
        <v>40</v>
      </c>
      <c r="N377" s="392">
        <v>1000</v>
      </c>
      <c r="O377" s="176"/>
      <c r="P377" s="443">
        <f>引力魔方!B617</f>
        <v>999.4</v>
      </c>
      <c r="Q377" s="398">
        <f>引力魔方!C617</f>
        <v>1864329</v>
      </c>
      <c r="R377" s="399">
        <f>引力魔方!D617</f>
        <v>8066</v>
      </c>
      <c r="S377" s="325">
        <f>引力魔方!G617+引力魔方!H617</f>
        <v>18</v>
      </c>
      <c r="T377" s="326">
        <v>1200</v>
      </c>
      <c r="U377" s="176"/>
      <c r="V377" s="326">
        <f>万相台!B206</f>
        <v>1445.83</v>
      </c>
      <c r="W377" s="417">
        <f>万相台!C206</f>
        <v>719918</v>
      </c>
      <c r="X377" s="417">
        <f>万相台!D206</f>
        <v>4333</v>
      </c>
      <c r="Y377" s="306">
        <f>万相台!G206+万相台!H206</f>
        <v>161</v>
      </c>
      <c r="Z377" s="508"/>
      <c r="AA377" s="68">
        <f t="shared" si="3"/>
        <v>5000</v>
      </c>
      <c r="AB377" s="69">
        <f t="shared" si="4"/>
        <v>5120.13</v>
      </c>
      <c r="AC377" s="70">
        <f t="shared" si="5"/>
        <v>265</v>
      </c>
      <c r="AD377" s="505">
        <f t="shared" si="6"/>
        <v>19.3212452830189</v>
      </c>
      <c r="AE377" s="506">
        <f t="shared" si="7"/>
        <v>0.0202863048304371</v>
      </c>
      <c r="AF377" s="69">
        <f t="shared" si="8"/>
        <v>13063</v>
      </c>
      <c r="AG377" s="71">
        <f t="shared" si="9"/>
        <v>0.391956671514966</v>
      </c>
      <c r="AH377" s="71">
        <f t="shared" si="10"/>
        <v>1.97495496676991</v>
      </c>
    </row>
    <row r="378" spans="1:34">
      <c r="A378" s="304">
        <v>45366</v>
      </c>
      <c r="B378" s="392">
        <v>300</v>
      </c>
      <c r="C378" s="176"/>
      <c r="D378" s="443">
        <f>明星店铺!B719</f>
        <v>243.93</v>
      </c>
      <c r="E378" s="404">
        <f>明星店铺!C719</f>
        <v>295</v>
      </c>
      <c r="F378" s="404">
        <f>明星店铺!D719</f>
        <v>127</v>
      </c>
      <c r="G378" s="325">
        <f>明星店铺!G719+明星店铺!H719</f>
        <v>32</v>
      </c>
      <c r="H378" s="392">
        <v>2500</v>
      </c>
      <c r="I378" s="176"/>
      <c r="J378" s="443">
        <f>直通车!B719</f>
        <v>2220.39</v>
      </c>
      <c r="K378" s="399">
        <f>直通车!C719</f>
        <v>8650</v>
      </c>
      <c r="L378" s="511">
        <f>直通车!D719</f>
        <v>488</v>
      </c>
      <c r="M378" s="325">
        <f>直通车!G719+直通车!H719</f>
        <v>43</v>
      </c>
      <c r="N378" s="392">
        <v>1000</v>
      </c>
      <c r="O378" s="176"/>
      <c r="P378" s="443">
        <f>引力魔方!B618</f>
        <v>996.34</v>
      </c>
      <c r="Q378" s="398">
        <f>引力魔方!C618</f>
        <v>1530390</v>
      </c>
      <c r="R378" s="399">
        <f>引力魔方!D618</f>
        <v>7654</v>
      </c>
      <c r="S378" s="325">
        <f>引力魔方!G618+引力魔方!H618</f>
        <v>13</v>
      </c>
      <c r="T378" s="326">
        <v>1200</v>
      </c>
      <c r="U378" s="176"/>
      <c r="V378" s="326">
        <f>万相台!B207</f>
        <v>1530.27</v>
      </c>
      <c r="W378" s="417">
        <f>万相台!C207</f>
        <v>336567</v>
      </c>
      <c r="X378" s="417">
        <f>万相台!D207</f>
        <v>2869</v>
      </c>
      <c r="Y378" s="306">
        <f>万相台!G207+万相台!H207</f>
        <v>97</v>
      </c>
      <c r="Z378" s="508"/>
      <c r="AA378" s="68">
        <f t="shared" ref="AA378:AA396" si="11">B378+H378+N378+T378</f>
        <v>5000</v>
      </c>
      <c r="AB378" s="69">
        <f t="shared" si="4"/>
        <v>4990.93</v>
      </c>
      <c r="AC378" s="70">
        <f t="shared" si="5"/>
        <v>185</v>
      </c>
      <c r="AD378" s="505">
        <f t="shared" si="6"/>
        <v>26.978</v>
      </c>
      <c r="AE378" s="506">
        <f t="shared" si="7"/>
        <v>0.0166098042736577</v>
      </c>
      <c r="AF378" s="69">
        <f t="shared" si="8"/>
        <v>11138</v>
      </c>
      <c r="AG378" s="71">
        <f t="shared" si="9"/>
        <v>0.448099299694739</v>
      </c>
      <c r="AH378" s="71">
        <f t="shared" si="10"/>
        <v>2.66054943168673</v>
      </c>
    </row>
    <row r="379" spans="1:34">
      <c r="A379" s="512">
        <v>45367</v>
      </c>
      <c r="B379" s="392">
        <v>300</v>
      </c>
      <c r="C379" s="176"/>
      <c r="D379" s="443">
        <f>明星店铺!B720</f>
        <v>241.88</v>
      </c>
      <c r="E379" s="404">
        <f>明星店铺!C720</f>
        <v>287</v>
      </c>
      <c r="F379" s="404">
        <f>明星店铺!D720</f>
        <v>94</v>
      </c>
      <c r="G379" s="325">
        <f>明星店铺!G720+明星店铺!H720</f>
        <v>45</v>
      </c>
      <c r="H379" s="392">
        <v>4000</v>
      </c>
      <c r="I379" s="176"/>
      <c r="J379" s="443">
        <f>直通车!B720</f>
        <v>3203.34</v>
      </c>
      <c r="K379" s="399">
        <f>直通车!C720</f>
        <v>25841</v>
      </c>
      <c r="L379" s="511">
        <f>直通车!D720</f>
        <v>753</v>
      </c>
      <c r="M379" s="325">
        <f>直通车!G720+直通车!H720</f>
        <v>45</v>
      </c>
      <c r="N379" s="392">
        <v>2200</v>
      </c>
      <c r="O379" s="176"/>
      <c r="P379" s="443">
        <f>引力魔方!B619</f>
        <v>2187.49</v>
      </c>
      <c r="Q379" s="398">
        <f>引力魔方!C619</f>
        <v>2828293</v>
      </c>
      <c r="R379" s="399">
        <f>引力魔方!D619</f>
        <v>16062</v>
      </c>
      <c r="S379" s="325">
        <f>引力魔方!G619+引力魔方!H619</f>
        <v>26</v>
      </c>
      <c r="T379" s="326">
        <v>3500</v>
      </c>
      <c r="U379" s="176"/>
      <c r="V379" s="326">
        <f>万相台!B208</f>
        <v>3612.5</v>
      </c>
      <c r="W379" s="417">
        <f>万相台!C208</f>
        <v>724903</v>
      </c>
      <c r="X379" s="417">
        <f>万相台!D208</f>
        <v>5414</v>
      </c>
      <c r="Y379" s="306">
        <f>万相台!G208+万相台!H208</f>
        <v>303</v>
      </c>
      <c r="Z379" s="508"/>
      <c r="AA379" s="68">
        <f t="shared" si="11"/>
        <v>10000</v>
      </c>
      <c r="AB379" s="69">
        <f t="shared" si="4"/>
        <v>9245.21</v>
      </c>
      <c r="AC379" s="70">
        <f t="shared" si="5"/>
        <v>419</v>
      </c>
      <c r="AD379" s="505">
        <f t="shared" si="6"/>
        <v>22.0649403341289</v>
      </c>
      <c r="AE379" s="506">
        <f t="shared" si="7"/>
        <v>0.0187698786005465</v>
      </c>
      <c r="AF379" s="69">
        <f t="shared" si="8"/>
        <v>22323</v>
      </c>
      <c r="AG379" s="71">
        <f t="shared" si="9"/>
        <v>0.414156251399901</v>
      </c>
      <c r="AH379" s="71">
        <f t="shared" si="10"/>
        <v>2.58294862381835</v>
      </c>
    </row>
    <row r="380" spans="1:34">
      <c r="A380" s="512">
        <v>45368</v>
      </c>
      <c r="B380" s="392">
        <v>300</v>
      </c>
      <c r="C380" s="176"/>
      <c r="D380" s="443">
        <f>明星店铺!B721</f>
        <v>265.4</v>
      </c>
      <c r="E380" s="404">
        <f>明星店铺!C721</f>
        <v>329</v>
      </c>
      <c r="F380" s="404">
        <f>明星店铺!D721</f>
        <v>118</v>
      </c>
      <c r="G380" s="325">
        <f>明星店铺!G721+明星店铺!H721</f>
        <v>40</v>
      </c>
      <c r="H380" s="392">
        <v>4000</v>
      </c>
      <c r="I380" s="176"/>
      <c r="J380" s="443">
        <f>直通车!B721</f>
        <v>3568.81</v>
      </c>
      <c r="K380" s="399">
        <f>直通车!C721</f>
        <v>25315</v>
      </c>
      <c r="L380" s="511">
        <f>直通车!D721</f>
        <v>780</v>
      </c>
      <c r="M380" s="325">
        <f>直通车!G721+直通车!H721</f>
        <v>45</v>
      </c>
      <c r="N380" s="392">
        <v>2200</v>
      </c>
      <c r="O380" s="176"/>
      <c r="P380" s="443">
        <f>引力魔方!B620</f>
        <v>2193.43</v>
      </c>
      <c r="Q380" s="398">
        <f>引力魔方!C620</f>
        <v>2920444</v>
      </c>
      <c r="R380" s="399">
        <f>引力魔方!D620</f>
        <v>15731</v>
      </c>
      <c r="S380" s="325">
        <f>引力魔方!G620+引力魔方!H620</f>
        <v>38</v>
      </c>
      <c r="T380" s="326">
        <v>3500</v>
      </c>
      <c r="U380" s="176"/>
      <c r="V380" s="326">
        <f>万相台!B209</f>
        <v>3633.32</v>
      </c>
      <c r="W380" s="417">
        <f>万相台!C209</f>
        <v>645124</v>
      </c>
      <c r="X380" s="417">
        <f>万相台!D209</f>
        <v>5242</v>
      </c>
      <c r="Y380" s="306">
        <f>万相台!G209+万相台!H209</f>
        <v>305</v>
      </c>
      <c r="Z380" s="508"/>
      <c r="AA380" s="68">
        <f t="shared" si="11"/>
        <v>10000</v>
      </c>
      <c r="AB380" s="69">
        <f t="shared" si="4"/>
        <v>9660.96</v>
      </c>
      <c r="AC380" s="70">
        <f t="shared" si="5"/>
        <v>428</v>
      </c>
      <c r="AD380" s="505">
        <f t="shared" si="6"/>
        <v>22.5723364485981</v>
      </c>
      <c r="AE380" s="506">
        <f t="shared" si="7"/>
        <v>0.0195692926706598</v>
      </c>
      <c r="AF380" s="69">
        <f t="shared" si="8"/>
        <v>21871</v>
      </c>
      <c r="AG380" s="71">
        <f t="shared" si="9"/>
        <v>0.441724658223218</v>
      </c>
      <c r="AH380" s="71">
        <f t="shared" si="10"/>
        <v>2.69016699654601</v>
      </c>
    </row>
    <row r="381" spans="1:34">
      <c r="A381" s="512">
        <v>45369</v>
      </c>
      <c r="B381" s="392">
        <v>300</v>
      </c>
      <c r="C381" s="176"/>
      <c r="D381" s="443">
        <f>明星店铺!B722</f>
        <v>300.44</v>
      </c>
      <c r="E381" s="404">
        <f>明星店铺!C722</f>
        <v>373</v>
      </c>
      <c r="F381" s="404">
        <f>明星店铺!D722</f>
        <v>143</v>
      </c>
      <c r="G381" s="325">
        <f>明星店铺!G722+明星店铺!H722</f>
        <v>37</v>
      </c>
      <c r="H381" s="392">
        <v>4000</v>
      </c>
      <c r="I381" s="176"/>
      <c r="J381" s="443">
        <f>直通车!B722</f>
        <v>3511.29</v>
      </c>
      <c r="K381" s="399">
        <f>直通车!C722</f>
        <v>13964</v>
      </c>
      <c r="L381" s="511">
        <f>直通车!D722</f>
        <v>693</v>
      </c>
      <c r="M381" s="325">
        <f>直通车!G722+直通车!H722</f>
        <v>41</v>
      </c>
      <c r="N381" s="392">
        <v>2200</v>
      </c>
      <c r="O381" s="176"/>
      <c r="P381" s="443">
        <f>引力魔方!B621</f>
        <v>2196.25</v>
      </c>
      <c r="Q381" s="398">
        <f>引力魔方!C621</f>
        <v>2962665</v>
      </c>
      <c r="R381" s="399">
        <f>引力魔方!D621</f>
        <v>16137</v>
      </c>
      <c r="S381" s="325">
        <f>引力魔方!G621+引力魔方!H621</f>
        <v>36</v>
      </c>
      <c r="T381" s="326">
        <v>3500</v>
      </c>
      <c r="U381" s="176"/>
      <c r="V381" s="326">
        <f>万相台!B210</f>
        <v>4481.6</v>
      </c>
      <c r="W381" s="417">
        <f>万相台!C210</f>
        <v>803980</v>
      </c>
      <c r="X381" s="417">
        <f>万相台!D210</f>
        <v>15135</v>
      </c>
      <c r="Y381" s="306">
        <f>万相台!G210+万相台!H210</f>
        <v>223</v>
      </c>
      <c r="Z381" s="508"/>
      <c r="AA381" s="68">
        <f t="shared" si="11"/>
        <v>10000</v>
      </c>
      <c r="AB381" s="69">
        <f t="shared" ref="AB381:AB396" si="12">D381+J381+P381+V381</f>
        <v>10489.58</v>
      </c>
      <c r="AC381" s="70">
        <f t="shared" si="5"/>
        <v>337</v>
      </c>
      <c r="AD381" s="505">
        <f t="shared" si="6"/>
        <v>31.126350148368</v>
      </c>
      <c r="AE381" s="506">
        <f t="shared" si="7"/>
        <v>0.0104958265852747</v>
      </c>
      <c r="AF381" s="69">
        <f t="shared" si="8"/>
        <v>32108</v>
      </c>
      <c r="AG381" s="71">
        <f t="shared" si="9"/>
        <v>0.326696773389809</v>
      </c>
      <c r="AH381" s="71">
        <f t="shared" si="10"/>
        <v>2.7743004330621</v>
      </c>
    </row>
    <row r="382" spans="1:34">
      <c r="A382" s="512">
        <v>45370</v>
      </c>
      <c r="B382" s="392">
        <v>300</v>
      </c>
      <c r="C382" s="176"/>
      <c r="D382" s="443">
        <f>明星店铺!B723</f>
        <v>321.75</v>
      </c>
      <c r="E382" s="404">
        <f>明星店铺!C723</f>
        <v>406</v>
      </c>
      <c r="F382" s="404">
        <f>明星店铺!D723</f>
        <v>173</v>
      </c>
      <c r="G382" s="325">
        <f>明星店铺!G723+明星店铺!H723</f>
        <v>29</v>
      </c>
      <c r="H382" s="392">
        <v>4000</v>
      </c>
      <c r="I382" s="176"/>
      <c r="J382" s="443">
        <f>直通车!B723</f>
        <v>3399.76</v>
      </c>
      <c r="K382" s="399">
        <f>直通车!C723</f>
        <v>10168</v>
      </c>
      <c r="L382" s="511">
        <f>直通车!D723</f>
        <v>670</v>
      </c>
      <c r="M382" s="325">
        <f>直通车!G723+直通车!H723</f>
        <v>35</v>
      </c>
      <c r="N382" s="392">
        <v>2200</v>
      </c>
      <c r="O382" s="176"/>
      <c r="P382" s="443">
        <f>引力魔方!B622</f>
        <v>2183.14</v>
      </c>
      <c r="Q382" s="398">
        <f>引力魔方!C622</f>
        <v>2697605</v>
      </c>
      <c r="R382" s="399">
        <f>引力魔方!D622</f>
        <v>15444</v>
      </c>
      <c r="S382" s="325">
        <f>引力魔方!G622+引力魔方!H622</f>
        <v>18</v>
      </c>
      <c r="T382" s="326">
        <v>3500</v>
      </c>
      <c r="U382" s="176"/>
      <c r="V382" s="326">
        <f>万相台!B211</f>
        <v>3976.7</v>
      </c>
      <c r="W382" s="417">
        <f>万相台!C211</f>
        <v>951119</v>
      </c>
      <c r="X382" s="417">
        <f>万相台!D211</f>
        <v>9835</v>
      </c>
      <c r="Y382" s="306">
        <f>万相台!G211+万相台!H211</f>
        <v>257</v>
      </c>
      <c r="Z382" s="508"/>
      <c r="AA382" s="68">
        <f t="shared" si="11"/>
        <v>10000</v>
      </c>
      <c r="AB382" s="69">
        <f t="shared" si="12"/>
        <v>9881.35</v>
      </c>
      <c r="AC382" s="70">
        <f t="shared" si="5"/>
        <v>339</v>
      </c>
      <c r="AD382" s="505">
        <f t="shared" si="6"/>
        <v>29.1485250737463</v>
      </c>
      <c r="AE382" s="506">
        <f t="shared" si="7"/>
        <v>0.0129775668019294</v>
      </c>
      <c r="AF382" s="69">
        <f t="shared" si="8"/>
        <v>26122</v>
      </c>
      <c r="AG382" s="71">
        <f t="shared" si="9"/>
        <v>0.378276931322257</v>
      </c>
      <c r="AH382" s="71">
        <f t="shared" si="10"/>
        <v>2.70034033850208</v>
      </c>
    </row>
    <row r="383" spans="1:34">
      <c r="A383" s="512">
        <v>45371</v>
      </c>
      <c r="B383" s="392">
        <v>300</v>
      </c>
      <c r="C383" s="176"/>
      <c r="D383" s="443">
        <f>明星店铺!B724</f>
        <v>293.05</v>
      </c>
      <c r="E383" s="404">
        <f>明星店铺!C724</f>
        <v>350</v>
      </c>
      <c r="F383" s="404">
        <f>明星店铺!D724</f>
        <v>138</v>
      </c>
      <c r="G383" s="325">
        <f>明星店铺!G724+明星店铺!H724</f>
        <v>32</v>
      </c>
      <c r="H383" s="392">
        <v>3600</v>
      </c>
      <c r="I383" s="176"/>
      <c r="J383" s="443">
        <f>直通车!B724</f>
        <v>3628.84</v>
      </c>
      <c r="K383" s="399">
        <f>直通车!C724</f>
        <v>13731</v>
      </c>
      <c r="L383" s="511">
        <f>直通车!D724</f>
        <v>732</v>
      </c>
      <c r="M383" s="325">
        <f>直通车!G724+直通车!H724</f>
        <v>52</v>
      </c>
      <c r="N383" s="392">
        <v>2200</v>
      </c>
      <c r="O383" s="176"/>
      <c r="P383" s="443">
        <f>引力魔方!B623</f>
        <v>2191.05</v>
      </c>
      <c r="Q383" s="398">
        <f>引力魔方!D623</f>
        <v>15941</v>
      </c>
      <c r="R383" s="399">
        <f>引力魔方!D623</f>
        <v>15941</v>
      </c>
      <c r="S383" s="325">
        <f>引力魔方!G623+引力魔方!H623</f>
        <v>37</v>
      </c>
      <c r="T383" s="326">
        <v>3900</v>
      </c>
      <c r="U383" s="176"/>
      <c r="V383" s="326">
        <f>万相台!B212</f>
        <v>4857.78</v>
      </c>
      <c r="W383" s="417">
        <f>万相台!C212</f>
        <v>1332995</v>
      </c>
      <c r="X383" s="417">
        <f>万相台!D212</f>
        <v>50157</v>
      </c>
      <c r="Y383" s="306">
        <f>万相台!G212+万相台!H212</f>
        <v>319</v>
      </c>
      <c r="Z383" s="508"/>
      <c r="AA383" s="68">
        <f t="shared" si="11"/>
        <v>10000</v>
      </c>
      <c r="AB383" s="69">
        <f t="shared" si="12"/>
        <v>10970.72</v>
      </c>
      <c r="AC383" s="70">
        <f t="shared" si="5"/>
        <v>440</v>
      </c>
      <c r="AD383" s="505">
        <f t="shared" si="6"/>
        <v>24.9334545454545</v>
      </c>
      <c r="AE383" s="506">
        <f t="shared" si="7"/>
        <v>0.00657030223390276</v>
      </c>
      <c r="AF383" s="69">
        <f t="shared" si="8"/>
        <v>66968</v>
      </c>
      <c r="AG383" s="71">
        <f t="shared" si="9"/>
        <v>0.163820332098913</v>
      </c>
      <c r="AH383" s="71">
        <f t="shared" si="10"/>
        <v>8.04885045454312</v>
      </c>
    </row>
    <row r="384" spans="1:34">
      <c r="A384" s="304">
        <v>45372</v>
      </c>
      <c r="B384" s="392">
        <v>300</v>
      </c>
      <c r="C384" s="176"/>
      <c r="D384" s="443">
        <f>明星店铺!B725</f>
        <v>210.62</v>
      </c>
      <c r="E384" s="404">
        <f>明星店铺!C725</f>
        <v>267</v>
      </c>
      <c r="F384" s="404">
        <f>明星店铺!D725</f>
        <v>92</v>
      </c>
      <c r="G384" s="325">
        <f>明星店铺!G725+明星店铺!H725</f>
        <v>34</v>
      </c>
      <c r="H384" s="392">
        <v>3600</v>
      </c>
      <c r="I384" s="176"/>
      <c r="J384" s="443">
        <f>直通车!B725</f>
        <v>3534.04</v>
      </c>
      <c r="K384" s="399">
        <f>直通车!C725</f>
        <v>11819</v>
      </c>
      <c r="L384" s="511">
        <f>直通车!D725</f>
        <v>670</v>
      </c>
      <c r="M384" s="325">
        <f>直通车!G725+直通车!H725</f>
        <v>79</v>
      </c>
      <c r="N384" s="392">
        <v>2200</v>
      </c>
      <c r="O384" s="176"/>
      <c r="P384" s="443">
        <f>引力魔方!B624</f>
        <v>2180.11</v>
      </c>
      <c r="Q384" s="398">
        <f>引力魔方!C624</f>
        <v>3212548</v>
      </c>
      <c r="R384" s="399">
        <f>引力魔方!D624</f>
        <v>15660</v>
      </c>
      <c r="S384" s="325">
        <f>引力魔方!G624+引力魔方!H624</f>
        <v>35</v>
      </c>
      <c r="T384" s="326">
        <v>3900</v>
      </c>
      <c r="U384" s="176"/>
      <c r="V384" s="326">
        <f>万相台!B213</f>
        <v>3873.12</v>
      </c>
      <c r="W384" s="417">
        <f>万相台!C213</f>
        <v>1106210</v>
      </c>
      <c r="X384" s="417">
        <f>万相台!D213</f>
        <v>7625</v>
      </c>
      <c r="Y384" s="306">
        <f>万相台!G213+万相台!H213</f>
        <v>248</v>
      </c>
      <c r="AA384" s="68">
        <f t="shared" si="11"/>
        <v>10000</v>
      </c>
      <c r="AB384" s="69">
        <f t="shared" si="12"/>
        <v>9797.89</v>
      </c>
      <c r="AC384" s="70">
        <f t="shared" si="5"/>
        <v>396</v>
      </c>
      <c r="AD384" s="505">
        <f t="shared" si="6"/>
        <v>24.7421464646465</v>
      </c>
      <c r="AE384" s="506">
        <f t="shared" si="7"/>
        <v>0.0164677506549674</v>
      </c>
      <c r="AF384" s="69">
        <f t="shared" si="8"/>
        <v>24047</v>
      </c>
      <c r="AG384" s="71">
        <f t="shared" si="9"/>
        <v>0.40744749864848</v>
      </c>
      <c r="AH384" s="71">
        <f t="shared" si="10"/>
        <v>2.26235117219646</v>
      </c>
    </row>
    <row r="385" spans="1:34">
      <c r="A385" s="304">
        <v>45373</v>
      </c>
      <c r="B385" s="392">
        <v>300</v>
      </c>
      <c r="C385" s="176"/>
      <c r="D385" s="443">
        <f>明星店铺!B726</f>
        <v>181.58</v>
      </c>
      <c r="E385" s="404">
        <f>明星店铺!C726</f>
        <v>238</v>
      </c>
      <c r="F385" s="404">
        <f>明星店铺!D726</f>
        <v>70</v>
      </c>
      <c r="G385" s="325">
        <f>明星店铺!G726+明星店铺!H726</f>
        <v>34</v>
      </c>
      <c r="H385" s="392">
        <v>3600</v>
      </c>
      <c r="I385" s="176"/>
      <c r="J385" s="443">
        <f>直通车!B726</f>
        <v>3134.9</v>
      </c>
      <c r="K385" s="399">
        <f>直通车!C726</f>
        <v>11147</v>
      </c>
      <c r="L385" s="511">
        <f>直通车!D726</f>
        <v>601</v>
      </c>
      <c r="M385" s="325">
        <f>直通车!G726+直通车!H726</f>
        <v>55</v>
      </c>
      <c r="N385" s="392">
        <v>2200</v>
      </c>
      <c r="O385" s="176"/>
      <c r="P385" s="443">
        <f>引力魔方!B625</f>
        <v>2173.24</v>
      </c>
      <c r="Q385" s="398">
        <f>引力魔方!C625</f>
        <v>2619116</v>
      </c>
      <c r="R385" s="399">
        <f>引力魔方!D625</f>
        <v>14315</v>
      </c>
      <c r="S385" s="325">
        <f>引力魔方!G625+引力魔方!H625</f>
        <v>14</v>
      </c>
      <c r="T385" s="326">
        <v>3900</v>
      </c>
      <c r="U385" s="176"/>
      <c r="V385" s="326">
        <f>万相台!B214</f>
        <v>3952.9</v>
      </c>
      <c r="W385" s="417">
        <f>万相台!C214</f>
        <v>1172212</v>
      </c>
      <c r="X385" s="417">
        <f>万相台!D214</f>
        <v>7394</v>
      </c>
      <c r="Y385" s="306">
        <f>万相台!G214+万相台!H214</f>
        <v>266</v>
      </c>
      <c r="AA385" s="68">
        <f t="shared" si="11"/>
        <v>10000</v>
      </c>
      <c r="AB385" s="69">
        <f t="shared" si="12"/>
        <v>9442.62</v>
      </c>
      <c r="AC385" s="70">
        <f t="shared" si="5"/>
        <v>369</v>
      </c>
      <c r="AD385" s="505">
        <f t="shared" si="6"/>
        <v>25.589756097561</v>
      </c>
      <c r="AE385" s="506">
        <f t="shared" si="7"/>
        <v>0.0164879356568365</v>
      </c>
      <c r="AF385" s="69">
        <f t="shared" si="8"/>
        <v>22380</v>
      </c>
      <c r="AG385" s="71">
        <f t="shared" si="9"/>
        <v>0.421922252010724</v>
      </c>
      <c r="AH385" s="71">
        <f t="shared" si="10"/>
        <v>2.48312717788589</v>
      </c>
    </row>
    <row r="386" spans="1:34">
      <c r="A386" s="304">
        <v>45374</v>
      </c>
      <c r="B386" s="392">
        <v>300</v>
      </c>
      <c r="C386" s="176"/>
      <c r="D386" s="443">
        <f>明星店铺!B727</f>
        <v>218.07</v>
      </c>
      <c r="E386" s="404">
        <f>明星店铺!C727</f>
        <v>295</v>
      </c>
      <c r="F386" s="404">
        <f>明星店铺!D727</f>
        <v>93</v>
      </c>
      <c r="G386" s="325">
        <f>明星店铺!G727+明星店铺!H727</f>
        <v>26</v>
      </c>
      <c r="H386" s="392">
        <v>3600</v>
      </c>
      <c r="I386" s="176"/>
      <c r="J386" s="443">
        <f>直通车!B727</f>
        <v>3193.22</v>
      </c>
      <c r="K386" s="399">
        <f>直通车!C727</f>
        <v>12340</v>
      </c>
      <c r="L386" s="511">
        <f>直通车!D727</f>
        <v>621</v>
      </c>
      <c r="M386" s="325">
        <f>直通车!G727+直通车!H727</f>
        <v>41</v>
      </c>
      <c r="N386" s="392">
        <v>2200</v>
      </c>
      <c r="O386" s="176"/>
      <c r="P386" s="443">
        <f>引力魔方!B626</f>
        <v>2180.57</v>
      </c>
      <c r="Q386" s="398">
        <f>引力魔方!C626</f>
        <v>2996562</v>
      </c>
      <c r="R386" s="399">
        <f>引力魔方!D626</f>
        <v>15325</v>
      </c>
      <c r="S386" s="325">
        <f>引力魔方!G626+引力魔方!H626</f>
        <v>27</v>
      </c>
      <c r="T386" s="326">
        <v>3900</v>
      </c>
      <c r="U386" s="176"/>
      <c r="V386" s="326">
        <f>万相台!B215</f>
        <v>3958</v>
      </c>
      <c r="W386" s="417">
        <f>万相台!C215</f>
        <v>1568087</v>
      </c>
      <c r="X386" s="417">
        <f>万相台!D215</f>
        <v>8084</v>
      </c>
      <c r="Y386" s="306">
        <f>万相台!G215+万相台!H215</f>
        <v>239</v>
      </c>
      <c r="AA386" s="68">
        <f t="shared" si="11"/>
        <v>10000</v>
      </c>
      <c r="AB386" s="69">
        <f t="shared" si="12"/>
        <v>9549.86</v>
      </c>
      <c r="AC386" s="70">
        <f t="shared" si="5"/>
        <v>333</v>
      </c>
      <c r="AD386" s="505">
        <f t="shared" si="6"/>
        <v>28.6782582582583</v>
      </c>
      <c r="AE386" s="506">
        <f t="shared" si="7"/>
        <v>0.013804253202338</v>
      </c>
      <c r="AF386" s="69">
        <f t="shared" si="8"/>
        <v>24123</v>
      </c>
      <c r="AG386" s="71">
        <f t="shared" si="9"/>
        <v>0.395881938399038</v>
      </c>
      <c r="AH386" s="71">
        <f t="shared" si="10"/>
        <v>2.08635950926357</v>
      </c>
    </row>
    <row r="387" spans="1:34">
      <c r="A387" s="304">
        <v>45375</v>
      </c>
      <c r="B387" s="392">
        <v>300</v>
      </c>
      <c r="C387" s="176"/>
      <c r="D387" s="443">
        <f>明星店铺!B728</f>
        <v>207.74</v>
      </c>
      <c r="E387" s="404">
        <f>明星店铺!C728</f>
        <v>252</v>
      </c>
      <c r="F387" s="404">
        <f>明星店铺!D728</f>
        <v>109</v>
      </c>
      <c r="G387" s="325">
        <f>明星店铺!G728+明星店铺!H728</f>
        <v>25</v>
      </c>
      <c r="H387" s="392">
        <v>3600</v>
      </c>
      <c r="I387" s="176"/>
      <c r="J387" s="443">
        <f>直通车!B728</f>
        <v>3541.27</v>
      </c>
      <c r="K387" s="399">
        <f>直通车!C728</f>
        <v>11699</v>
      </c>
      <c r="L387" s="511">
        <f>直通车!D728</f>
        <v>696</v>
      </c>
      <c r="M387" s="325">
        <f>直通车!G728+直通车!H728</f>
        <v>45</v>
      </c>
      <c r="N387" s="392">
        <v>2200</v>
      </c>
      <c r="O387" s="176"/>
      <c r="P387" s="443">
        <f>引力魔方!B627</f>
        <v>2194.89</v>
      </c>
      <c r="Q387" s="398">
        <f>引力魔方!C627</f>
        <v>2851341</v>
      </c>
      <c r="R387" s="399">
        <f>引力魔方!D627</f>
        <v>16052</v>
      </c>
      <c r="S387" s="325">
        <f>引力魔方!G627+引力魔方!H627</f>
        <v>28</v>
      </c>
      <c r="T387" s="326">
        <v>3900</v>
      </c>
      <c r="U387" s="176"/>
      <c r="V387" s="326">
        <f>万相台!B216</f>
        <v>3888.46</v>
      </c>
      <c r="W387" s="417">
        <f>万相台!C216</f>
        <v>1037282</v>
      </c>
      <c r="X387" s="417">
        <f>万相台!D216</f>
        <v>7068</v>
      </c>
      <c r="Y387" s="306">
        <f>万相台!G216+万相台!H216</f>
        <v>239</v>
      </c>
      <c r="AA387" s="68">
        <f t="shared" si="11"/>
        <v>10000</v>
      </c>
      <c r="AB387" s="69">
        <f t="shared" si="12"/>
        <v>9832.36</v>
      </c>
      <c r="AC387" s="70">
        <f t="shared" si="5"/>
        <v>337</v>
      </c>
      <c r="AD387" s="505">
        <f t="shared" si="6"/>
        <v>29.1761424332344</v>
      </c>
      <c r="AE387" s="506">
        <f t="shared" si="7"/>
        <v>0.014085684430512</v>
      </c>
      <c r="AF387" s="69">
        <f t="shared" si="8"/>
        <v>23925</v>
      </c>
      <c r="AG387" s="71">
        <f t="shared" si="9"/>
        <v>0.410965935214211</v>
      </c>
      <c r="AH387" s="71">
        <f t="shared" si="10"/>
        <v>2.52074694647506</v>
      </c>
    </row>
    <row r="388" spans="1:34">
      <c r="A388" s="304">
        <v>45376</v>
      </c>
      <c r="B388" s="392">
        <v>300</v>
      </c>
      <c r="C388" s="176"/>
      <c r="D388" s="443">
        <f>明星店铺!B729</f>
        <v>210.49</v>
      </c>
      <c r="E388" s="404">
        <f>明星店铺!C729</f>
        <v>290</v>
      </c>
      <c r="F388" s="404">
        <f>明星店铺!D729</f>
        <v>107</v>
      </c>
      <c r="G388" s="325">
        <f>明星店铺!G729+明星店铺!H729</f>
        <v>23</v>
      </c>
      <c r="H388" s="392">
        <v>3600</v>
      </c>
      <c r="I388" s="176"/>
      <c r="J388" s="443">
        <f>直通车!B729</f>
        <v>3561.6</v>
      </c>
      <c r="K388" s="399">
        <f>直通车!C729</f>
        <v>13028</v>
      </c>
      <c r="L388" s="511">
        <f>直通车!D729</f>
        <v>707</v>
      </c>
      <c r="M388" s="325">
        <f>直通车!G729+直通车!H729</f>
        <v>55</v>
      </c>
      <c r="N388" s="392">
        <v>2200</v>
      </c>
      <c r="O388" s="176"/>
      <c r="P388" s="443">
        <f>引力魔方!B628</f>
        <v>2195.77</v>
      </c>
      <c r="Q388" s="398">
        <f>引力魔方!C628</f>
        <v>2924952</v>
      </c>
      <c r="R388" s="399">
        <f>引力魔方!D628</f>
        <v>15963</v>
      </c>
      <c r="S388" s="325">
        <f>引力魔方!G628+引力魔方!H628</f>
        <v>22</v>
      </c>
      <c r="T388" s="326">
        <v>3900</v>
      </c>
      <c r="U388" s="176"/>
      <c r="V388" s="326">
        <f>万相台!B217</f>
        <v>4050.11</v>
      </c>
      <c r="W388" s="417">
        <f>万相台!C217</f>
        <v>1054358</v>
      </c>
      <c r="X388" s="417">
        <f>万相台!D217</f>
        <v>7375</v>
      </c>
      <c r="Y388" s="306">
        <f>万相台!G217+万相台!H217</f>
        <v>224</v>
      </c>
      <c r="AA388" s="68">
        <f t="shared" si="11"/>
        <v>10000</v>
      </c>
      <c r="AB388" s="69">
        <f t="shared" si="12"/>
        <v>10017.97</v>
      </c>
      <c r="AC388" s="70">
        <f t="shared" si="5"/>
        <v>324</v>
      </c>
      <c r="AD388" s="505">
        <f t="shared" si="6"/>
        <v>30.9196604938272</v>
      </c>
      <c r="AE388" s="506">
        <f t="shared" si="7"/>
        <v>0.0134150380920835</v>
      </c>
      <c r="AF388" s="69">
        <f t="shared" si="8"/>
        <v>24152</v>
      </c>
      <c r="AG388" s="71">
        <f t="shared" si="9"/>
        <v>0.41478842331898</v>
      </c>
      <c r="AH388" s="71">
        <f t="shared" si="10"/>
        <v>2.50911680226658</v>
      </c>
    </row>
    <row r="389" spans="1:34">
      <c r="A389" s="304">
        <v>45377</v>
      </c>
      <c r="B389" s="392">
        <v>300</v>
      </c>
      <c r="C389" s="176"/>
      <c r="D389" s="443">
        <f>明星店铺!B730</f>
        <v>205.2</v>
      </c>
      <c r="E389" s="404">
        <f>明星店铺!C730</f>
        <v>282</v>
      </c>
      <c r="F389" s="404">
        <f>明星店铺!D730</f>
        <v>101</v>
      </c>
      <c r="G389" s="325">
        <f>明星店铺!G730+明星店铺!H730</f>
        <v>42</v>
      </c>
      <c r="H389" s="392">
        <v>3600</v>
      </c>
      <c r="I389" s="176"/>
      <c r="J389" s="443">
        <f>直通车!B730</f>
        <v>3310.26</v>
      </c>
      <c r="K389" s="399">
        <f>直通车!C730</f>
        <v>12508</v>
      </c>
      <c r="L389" s="511">
        <f>直通车!D730</f>
        <v>668</v>
      </c>
      <c r="M389" s="325">
        <f>直通车!G730+直通车!H730</f>
        <v>42</v>
      </c>
      <c r="N389" s="392">
        <v>2200</v>
      </c>
      <c r="O389" s="176"/>
      <c r="P389" s="443">
        <f>引力魔方!B629</f>
        <v>2156.38</v>
      </c>
      <c r="Q389" s="398">
        <f>引力魔方!C629</f>
        <v>3134310</v>
      </c>
      <c r="R389" s="399">
        <f>引力魔方!D629</f>
        <v>16162</v>
      </c>
      <c r="S389" s="325">
        <f>引力魔方!G629+引力魔方!H629</f>
        <v>35</v>
      </c>
      <c r="T389" s="326">
        <v>3900</v>
      </c>
      <c r="U389" s="176"/>
      <c r="V389" s="326">
        <f>万相台!B218</f>
        <v>4118.02</v>
      </c>
      <c r="W389" s="417">
        <f>万相台!C218</f>
        <v>775582</v>
      </c>
      <c r="X389" s="417">
        <f>万相台!D218</f>
        <v>10322</v>
      </c>
      <c r="Y389" s="306">
        <f>万相台!G218+万相台!H218</f>
        <v>125</v>
      </c>
      <c r="AA389" s="68">
        <f t="shared" si="11"/>
        <v>10000</v>
      </c>
      <c r="AB389" s="69">
        <f t="shared" si="12"/>
        <v>9789.86</v>
      </c>
      <c r="AC389" s="70">
        <f t="shared" si="5"/>
        <v>244</v>
      </c>
      <c r="AD389" s="505">
        <f t="shared" si="6"/>
        <v>40.1223770491803</v>
      </c>
      <c r="AE389" s="506">
        <f t="shared" si="7"/>
        <v>0.00895314277327267</v>
      </c>
      <c r="AF389" s="69">
        <f t="shared" si="8"/>
        <v>27253</v>
      </c>
      <c r="AG389" s="71">
        <f t="shared" si="9"/>
        <v>0.35922137012439</v>
      </c>
      <c r="AH389" s="71">
        <f t="shared" si="10"/>
        <v>2.49570574418217</v>
      </c>
    </row>
    <row r="390" spans="1:34">
      <c r="A390" s="304">
        <v>45378</v>
      </c>
      <c r="B390" s="392">
        <v>300</v>
      </c>
      <c r="C390" s="176"/>
      <c r="D390" s="443">
        <f>明星店铺!B731</f>
        <v>253.41</v>
      </c>
      <c r="E390" s="404">
        <f>明星店铺!C731</f>
        <v>317</v>
      </c>
      <c r="F390" s="404">
        <f>明星店铺!D731</f>
        <v>91</v>
      </c>
      <c r="G390" s="325">
        <f>明星店铺!G731+明星店铺!H731</f>
        <v>20</v>
      </c>
      <c r="H390" s="392">
        <v>2700</v>
      </c>
      <c r="I390" s="176"/>
      <c r="J390" s="443">
        <f>直通车!B731</f>
        <v>2599.19</v>
      </c>
      <c r="K390" s="399">
        <f>直通车!C731</f>
        <v>11339</v>
      </c>
      <c r="L390" s="511">
        <f>直通车!D731</f>
        <v>505</v>
      </c>
      <c r="M390" s="325">
        <f>直通车!G731+直通车!H731</f>
        <v>51</v>
      </c>
      <c r="N390" s="392">
        <v>1600</v>
      </c>
      <c r="O390" s="176"/>
      <c r="P390" s="443">
        <f>引力魔方!B630</f>
        <v>1685.48</v>
      </c>
      <c r="Q390" s="398">
        <f>引力魔方!C630</f>
        <v>2558090</v>
      </c>
      <c r="R390" s="399">
        <f>引力魔方!D630</f>
        <v>13392</v>
      </c>
      <c r="S390" s="325">
        <f>引力魔方!G630+引力魔方!H630</f>
        <v>24</v>
      </c>
      <c r="T390" s="326">
        <v>2400</v>
      </c>
      <c r="U390" s="176"/>
      <c r="V390" s="326">
        <f>万相台!B219</f>
        <v>2881.58</v>
      </c>
      <c r="W390" s="417">
        <f>万相台!C219</f>
        <v>791450</v>
      </c>
      <c r="X390" s="417">
        <f>万相台!D219</f>
        <v>5820</v>
      </c>
      <c r="Y390" s="306">
        <f>万相台!G219+万相台!H219</f>
        <v>150</v>
      </c>
      <c r="AA390" s="68">
        <f t="shared" si="11"/>
        <v>7000</v>
      </c>
      <c r="AB390" s="69">
        <f t="shared" si="12"/>
        <v>7419.66</v>
      </c>
      <c r="AC390" s="70">
        <f t="shared" si="5"/>
        <v>245</v>
      </c>
      <c r="AD390" s="505">
        <f t="shared" si="6"/>
        <v>30.2843265306122</v>
      </c>
      <c r="AE390" s="506">
        <f t="shared" si="7"/>
        <v>0.0123687399030695</v>
      </c>
      <c r="AF390" s="69">
        <f t="shared" si="8"/>
        <v>19808</v>
      </c>
      <c r="AG390" s="71">
        <f t="shared" si="9"/>
        <v>0.374578957996769</v>
      </c>
      <c r="AH390" s="71">
        <f t="shared" si="10"/>
        <v>2.20744639705629</v>
      </c>
    </row>
    <row r="391" spans="1:34">
      <c r="A391" s="304">
        <v>45379</v>
      </c>
      <c r="B391" s="392">
        <v>300</v>
      </c>
      <c r="C391" s="176"/>
      <c r="D391" s="443">
        <f>明星店铺!B732</f>
        <v>223.83</v>
      </c>
      <c r="E391" s="404">
        <f>明星店铺!C732</f>
        <v>293</v>
      </c>
      <c r="F391" s="404">
        <f>明星店铺!D732</f>
        <v>99</v>
      </c>
      <c r="G391" s="325">
        <f>明星店铺!G732+明星店铺!H732</f>
        <v>29</v>
      </c>
      <c r="H391" s="392">
        <v>2700</v>
      </c>
      <c r="I391" s="176"/>
      <c r="J391" s="443">
        <f>直通车!B732</f>
        <v>2619.1</v>
      </c>
      <c r="K391" s="399">
        <f>直通车!C732</f>
        <v>11900</v>
      </c>
      <c r="L391" s="511">
        <f>直通车!D732</f>
        <v>530</v>
      </c>
      <c r="M391" s="325">
        <f>直通车!G732+直通车!H732</f>
        <v>17</v>
      </c>
      <c r="N391" s="392">
        <v>1600</v>
      </c>
      <c r="O391" s="176"/>
      <c r="P391" s="443">
        <f>引力魔方!B631</f>
        <v>1698.28</v>
      </c>
      <c r="Q391" s="398">
        <f>引力魔方!C631</f>
        <v>2524055</v>
      </c>
      <c r="R391" s="399">
        <f>引力魔方!D631</f>
        <v>13284</v>
      </c>
      <c r="S391" s="325">
        <f>引力魔方!G631+引力魔方!H631</f>
        <v>15</v>
      </c>
      <c r="T391" s="326">
        <v>2400</v>
      </c>
      <c r="U391" s="176"/>
      <c r="V391" s="326">
        <f>万相台!B220</f>
        <v>2828.79</v>
      </c>
      <c r="W391" s="417">
        <f>万相台!C220</f>
        <v>711471</v>
      </c>
      <c r="X391" s="417">
        <f>万相台!D220</f>
        <v>4639</v>
      </c>
      <c r="Y391" s="306">
        <f>万相台!G220+万相台!H220</f>
        <v>167</v>
      </c>
      <c r="AA391" s="68">
        <f t="shared" si="11"/>
        <v>7000</v>
      </c>
      <c r="AB391" s="69">
        <f t="shared" si="12"/>
        <v>7370</v>
      </c>
      <c r="AC391" s="70">
        <f t="shared" si="5"/>
        <v>228</v>
      </c>
      <c r="AD391" s="505">
        <f t="shared" si="6"/>
        <v>32.3245614035088</v>
      </c>
      <c r="AE391" s="506">
        <f t="shared" si="7"/>
        <v>0.0122897800776197</v>
      </c>
      <c r="AF391" s="69">
        <f t="shared" si="8"/>
        <v>18552</v>
      </c>
      <c r="AG391" s="71">
        <f t="shared" si="9"/>
        <v>0.397261750754636</v>
      </c>
      <c r="AH391" s="71">
        <f t="shared" si="10"/>
        <v>2.26928499663918</v>
      </c>
    </row>
    <row r="392" spans="1:34">
      <c r="A392" s="304">
        <v>45380</v>
      </c>
      <c r="B392" s="392">
        <v>300</v>
      </c>
      <c r="C392" s="176"/>
      <c r="D392" s="443">
        <f>明星店铺!B733</f>
        <v>152.18</v>
      </c>
      <c r="E392" s="404">
        <f>明星店铺!C733</f>
        <v>212</v>
      </c>
      <c r="F392" s="404">
        <f>明星店铺!D733</f>
        <v>63</v>
      </c>
      <c r="G392" s="325">
        <f>明星店铺!G733+明星店铺!H733</f>
        <v>9</v>
      </c>
      <c r="H392" s="392">
        <v>2700</v>
      </c>
      <c r="I392" s="176"/>
      <c r="J392" s="443">
        <f>直通车!B733</f>
        <v>2404.12</v>
      </c>
      <c r="K392" s="399">
        <f>直通车!C733</f>
        <v>10746</v>
      </c>
      <c r="L392" s="511">
        <f>直通车!D733</f>
        <v>478</v>
      </c>
      <c r="M392" s="325">
        <f>直通车!G733+直通车!H733</f>
        <v>30</v>
      </c>
      <c r="N392" s="392">
        <v>1600</v>
      </c>
      <c r="O392" s="176"/>
      <c r="P392" s="443">
        <f>引力魔方!B632</f>
        <v>1696.2</v>
      </c>
      <c r="Q392" s="398">
        <f>引力魔方!C632</f>
        <v>3139010</v>
      </c>
      <c r="R392" s="399">
        <f>引力魔方!D632</f>
        <v>16574</v>
      </c>
      <c r="S392" s="325">
        <f>引力魔方!G632+引力魔方!H632</f>
        <v>27</v>
      </c>
      <c r="T392" s="326">
        <v>2400</v>
      </c>
      <c r="U392" s="176"/>
      <c r="V392" s="326">
        <f>万相台!B221</f>
        <v>2941.74</v>
      </c>
      <c r="W392" s="417">
        <f>万相台!C221</f>
        <v>612120</v>
      </c>
      <c r="X392" s="417">
        <f>万相台!D221</f>
        <v>4384</v>
      </c>
      <c r="Y392" s="306">
        <f>万相台!G221+万相台!H221</f>
        <v>166</v>
      </c>
      <c r="AA392" s="68">
        <f t="shared" si="11"/>
        <v>7000</v>
      </c>
      <c r="AB392" s="69">
        <f t="shared" si="12"/>
        <v>7194.24</v>
      </c>
      <c r="AC392" s="70">
        <f t="shared" si="5"/>
        <v>232</v>
      </c>
      <c r="AD392" s="505">
        <f t="shared" si="6"/>
        <v>31.0096551724138</v>
      </c>
      <c r="AE392" s="506">
        <f t="shared" si="7"/>
        <v>0.0107911995906786</v>
      </c>
      <c r="AF392" s="69">
        <f t="shared" si="8"/>
        <v>21499</v>
      </c>
      <c r="AG392" s="71">
        <f t="shared" si="9"/>
        <v>0.334631378203637</v>
      </c>
      <c r="AH392" s="71">
        <f t="shared" si="10"/>
        <v>1.9122997654494</v>
      </c>
    </row>
    <row r="393" spans="1:34">
      <c r="A393" s="304">
        <v>45381</v>
      </c>
      <c r="B393" s="392">
        <v>300</v>
      </c>
      <c r="C393" s="176"/>
      <c r="D393" s="443">
        <f>明星店铺!B734</f>
        <v>148.43</v>
      </c>
      <c r="E393" s="404">
        <f>明星店铺!C734</f>
        <v>176</v>
      </c>
      <c r="F393" s="404">
        <f>明星店铺!D734</f>
        <v>65</v>
      </c>
      <c r="G393" s="325">
        <f>明星店铺!G734+明星店铺!H734</f>
        <v>30</v>
      </c>
      <c r="H393" s="392">
        <v>2700</v>
      </c>
      <c r="I393" s="176"/>
      <c r="J393" s="443">
        <f>直通车!B734</f>
        <v>2541.55</v>
      </c>
      <c r="K393" s="399">
        <f>直通车!C734</f>
        <v>9896</v>
      </c>
      <c r="L393" s="511">
        <f>直通车!D734</f>
        <v>487</v>
      </c>
      <c r="M393" s="325">
        <f>直通车!G734+直通车!H734</f>
        <v>26</v>
      </c>
      <c r="N393" s="392">
        <v>1600</v>
      </c>
      <c r="O393" s="176"/>
      <c r="P393" s="443">
        <f>引力魔方!B633</f>
        <v>641.03</v>
      </c>
      <c r="Q393" s="398">
        <f>引力魔方!C633</f>
        <v>2020412</v>
      </c>
      <c r="R393" s="399">
        <f>引力魔方!D633</f>
        <v>6391</v>
      </c>
      <c r="S393" s="325">
        <f>引力魔方!G633+引力魔方!H633</f>
        <v>15</v>
      </c>
      <c r="T393" s="326">
        <v>2400</v>
      </c>
      <c r="U393" s="176"/>
      <c r="V393" s="326">
        <f>万相台!B222</f>
        <v>2977.09</v>
      </c>
      <c r="W393" s="417">
        <f>万相台!C222</f>
        <v>657917</v>
      </c>
      <c r="X393" s="417">
        <f>万相台!D222</f>
        <v>4327</v>
      </c>
      <c r="Y393" s="306">
        <f>万相台!G222+万相台!H222</f>
        <v>223</v>
      </c>
      <c r="AA393" s="68">
        <f t="shared" si="11"/>
        <v>7000</v>
      </c>
      <c r="AB393" s="69">
        <f t="shared" si="12"/>
        <v>6308.1</v>
      </c>
      <c r="AC393" s="70">
        <f t="shared" si="5"/>
        <v>294</v>
      </c>
      <c r="AD393" s="505">
        <f t="shared" si="6"/>
        <v>21.4561224489796</v>
      </c>
      <c r="AE393" s="506">
        <f t="shared" si="7"/>
        <v>0.0260869565217391</v>
      </c>
      <c r="AF393" s="69">
        <f t="shared" si="8"/>
        <v>11270</v>
      </c>
      <c r="AG393" s="71">
        <f t="shared" si="9"/>
        <v>0.559724933451642</v>
      </c>
      <c r="AH393" s="71">
        <f t="shared" si="10"/>
        <v>2.34641335128204</v>
      </c>
    </row>
    <row r="394" spans="1:34">
      <c r="A394" s="304">
        <v>45382</v>
      </c>
      <c r="B394" s="392">
        <v>300</v>
      </c>
      <c r="C394" s="176"/>
      <c r="D394" s="443">
        <f>明星店铺!B735</f>
        <v>183.37</v>
      </c>
      <c r="E394" s="404">
        <f>明星店铺!C735</f>
        <v>240</v>
      </c>
      <c r="F394" s="404">
        <f>明星店铺!D735</f>
        <v>85</v>
      </c>
      <c r="G394" s="325">
        <f>明星店铺!G735+明星店铺!H735</f>
        <v>21</v>
      </c>
      <c r="H394" s="392">
        <v>2700</v>
      </c>
      <c r="I394" s="176"/>
      <c r="J394" s="443">
        <f>直通车!B735</f>
        <v>2591.31</v>
      </c>
      <c r="K394" s="399">
        <f>直通车!C735</f>
        <v>11214</v>
      </c>
      <c r="L394" s="511">
        <f>直通车!D735</f>
        <v>541</v>
      </c>
      <c r="M394" s="325">
        <f>直通车!G735+直通车!H735</f>
        <v>36</v>
      </c>
      <c r="N394" s="392">
        <v>1600</v>
      </c>
      <c r="O394" s="176"/>
      <c r="P394" s="443">
        <f>引力魔方!B634</f>
        <v>640.06</v>
      </c>
      <c r="Q394" s="398">
        <f>引力魔方!C634</f>
        <v>1942008</v>
      </c>
      <c r="R394" s="399">
        <f>引力魔方!D634</f>
        <v>6389</v>
      </c>
      <c r="S394" s="325">
        <f>引力魔方!G634+引力魔方!H634</f>
        <v>6</v>
      </c>
      <c r="T394" s="326">
        <v>2400</v>
      </c>
      <c r="U394" s="176"/>
      <c r="V394" s="326">
        <f>万相台!B223</f>
        <v>2884.98</v>
      </c>
      <c r="W394" s="417">
        <f>万相台!C223</f>
        <v>739995</v>
      </c>
      <c r="X394" s="417">
        <f>万相台!D223</f>
        <v>4574</v>
      </c>
      <c r="Y394" s="306">
        <f>万相台!G223+万相台!H223</f>
        <v>176</v>
      </c>
      <c r="AA394" s="68">
        <f t="shared" si="11"/>
        <v>7000</v>
      </c>
      <c r="AB394" s="69">
        <f t="shared" si="12"/>
        <v>6299.72</v>
      </c>
      <c r="AC394" s="70">
        <f t="shared" si="5"/>
        <v>239</v>
      </c>
      <c r="AD394" s="505">
        <f t="shared" si="6"/>
        <v>26.3586610878661</v>
      </c>
      <c r="AE394" s="506">
        <f t="shared" si="7"/>
        <v>0.0206230045733023</v>
      </c>
      <c r="AF394" s="69">
        <f t="shared" si="8"/>
        <v>11589</v>
      </c>
      <c r="AG394" s="71">
        <f t="shared" si="9"/>
        <v>0.543594788161187</v>
      </c>
      <c r="AH394" s="71">
        <f t="shared" si="10"/>
        <v>2.33889755804529</v>
      </c>
    </row>
    <row r="395" spans="1:34">
      <c r="A395" s="304">
        <v>45383</v>
      </c>
      <c r="B395" s="392">
        <v>300</v>
      </c>
      <c r="C395" s="176"/>
      <c r="D395" s="443">
        <f>明星店铺!B736</f>
        <v>180.86</v>
      </c>
      <c r="E395" s="404">
        <f>明星店铺!C736</f>
        <v>232</v>
      </c>
      <c r="F395" s="404">
        <f>明星店铺!D736</f>
        <v>107</v>
      </c>
      <c r="G395" s="325">
        <f>明星店铺!G736+明星店铺!H736</f>
        <v>31</v>
      </c>
      <c r="H395" s="392">
        <v>1700</v>
      </c>
      <c r="I395" s="176"/>
      <c r="J395" s="443">
        <f>直通车!B736</f>
        <v>1587.8</v>
      </c>
      <c r="K395" s="399">
        <f>直通车!C736</f>
        <v>6195</v>
      </c>
      <c r="L395" s="511">
        <f>直通车!D736</f>
        <v>375</v>
      </c>
      <c r="M395" s="325">
        <f>直通车!G736+直通车!H736</f>
        <v>30</v>
      </c>
      <c r="N395" s="392">
        <v>800</v>
      </c>
      <c r="O395" s="176"/>
      <c r="P395" s="443">
        <f>引力魔方!B635</f>
        <v>777.41</v>
      </c>
      <c r="Q395" s="398">
        <f>引力魔方!C635</f>
        <v>1416906</v>
      </c>
      <c r="R395" s="399">
        <f>引力魔方!D635</f>
        <v>4707</v>
      </c>
      <c r="S395" s="325">
        <f>引力魔方!G635+引力魔方!H635</f>
        <v>6</v>
      </c>
      <c r="T395" s="326">
        <v>1200</v>
      </c>
      <c r="U395" s="176"/>
      <c r="V395" s="326">
        <f>万相台!B224</f>
        <v>1185.37</v>
      </c>
      <c r="W395" s="417">
        <f>万相台!C224</f>
        <v>413647</v>
      </c>
      <c r="X395" s="417">
        <f>万相台!D224</f>
        <v>2143</v>
      </c>
      <c r="Y395" s="306">
        <f>万相台!G224+万相台!H224</f>
        <v>73</v>
      </c>
      <c r="AA395" s="68">
        <f t="shared" si="11"/>
        <v>4000</v>
      </c>
      <c r="AB395" s="69">
        <f t="shared" si="12"/>
        <v>3731.44</v>
      </c>
      <c r="AC395" s="70">
        <f t="shared" si="5"/>
        <v>140</v>
      </c>
      <c r="AD395" s="505">
        <f t="shared" si="6"/>
        <v>26.6531428571429</v>
      </c>
      <c r="AE395" s="506">
        <f t="shared" si="7"/>
        <v>0.0190943807965085</v>
      </c>
      <c r="AF395" s="69">
        <f t="shared" si="8"/>
        <v>7332</v>
      </c>
      <c r="AG395" s="71">
        <f t="shared" si="9"/>
        <v>0.508925259138025</v>
      </c>
      <c r="AH395" s="71">
        <f t="shared" si="10"/>
        <v>2.03129048764821</v>
      </c>
    </row>
    <row r="396" spans="1:34">
      <c r="A396" s="304">
        <v>45384</v>
      </c>
      <c r="B396" s="392">
        <v>300</v>
      </c>
      <c r="C396" s="176"/>
      <c r="D396" s="443">
        <f>明星店铺!B737</f>
        <v>182.63</v>
      </c>
      <c r="E396" s="404">
        <f>明星店铺!C737</f>
        <v>228</v>
      </c>
      <c r="F396" s="404">
        <f>明星店铺!D737</f>
        <v>80</v>
      </c>
      <c r="G396" s="325">
        <f>明星店铺!G737+明星店铺!H737</f>
        <v>22</v>
      </c>
      <c r="H396" s="392">
        <v>1700</v>
      </c>
      <c r="I396" s="176"/>
      <c r="J396" s="443">
        <f>直通车!B737</f>
        <v>1598.25</v>
      </c>
      <c r="K396" s="399">
        <f>直通车!C737</f>
        <v>5864</v>
      </c>
      <c r="L396" s="511">
        <f>直通车!D737</f>
        <v>360</v>
      </c>
      <c r="M396" s="325">
        <f>直通车!G737+直通车!H737</f>
        <v>34</v>
      </c>
      <c r="N396" s="392">
        <v>800</v>
      </c>
      <c r="O396" s="176"/>
      <c r="P396" s="443">
        <f>引力魔方!B636</f>
        <v>784.92</v>
      </c>
      <c r="Q396" s="398">
        <f>引力魔方!C636</f>
        <v>1186983</v>
      </c>
      <c r="R396" s="399">
        <f>引力魔方!D636</f>
        <v>4522</v>
      </c>
      <c r="S396" s="325">
        <f>引力魔方!G636+引力魔方!H636</f>
        <v>16</v>
      </c>
      <c r="T396" s="326">
        <v>1200</v>
      </c>
      <c r="U396" s="176"/>
      <c r="V396" s="326">
        <f>万相台!B225</f>
        <v>1570.73</v>
      </c>
      <c r="W396" s="417">
        <f>万相台!C225</f>
        <v>298025</v>
      </c>
      <c r="X396" s="417">
        <f>万相台!D225</f>
        <v>7404</v>
      </c>
      <c r="Y396" s="306">
        <f>万相台!G225+万相台!H225</f>
        <v>72</v>
      </c>
      <c r="AA396" s="68">
        <f t="shared" si="11"/>
        <v>4000</v>
      </c>
      <c r="AB396" s="69">
        <f t="shared" si="12"/>
        <v>4136.53</v>
      </c>
      <c r="AC396" s="70">
        <f t="shared" si="5"/>
        <v>144</v>
      </c>
      <c r="AD396" s="505">
        <f t="shared" si="6"/>
        <v>28.7259027777778</v>
      </c>
      <c r="AE396" s="506">
        <f t="shared" si="7"/>
        <v>0.0116448326055313</v>
      </c>
      <c r="AF396" s="69">
        <f t="shared" si="8"/>
        <v>12366</v>
      </c>
      <c r="AG396" s="71">
        <f t="shared" si="9"/>
        <v>0.334508329289989</v>
      </c>
      <c r="AH396" s="71">
        <f t="shared" si="10"/>
        <v>2.77414660317886</v>
      </c>
    </row>
    <row r="397" spans="1:34">
      <c r="A397" s="304">
        <v>45385</v>
      </c>
      <c r="B397" s="392">
        <v>300</v>
      </c>
      <c r="C397" s="176"/>
      <c r="D397" s="443">
        <f>明星店铺!B738</f>
        <v>143.1</v>
      </c>
      <c r="E397" s="404">
        <f>明星店铺!C738</f>
        <v>157</v>
      </c>
      <c r="F397" s="404">
        <f>明星店铺!D738</f>
        <v>48</v>
      </c>
      <c r="G397" s="325">
        <f>明星店铺!G738+明星店铺!H738</f>
        <v>10</v>
      </c>
      <c r="H397" s="392">
        <v>1700</v>
      </c>
      <c r="I397" s="176"/>
      <c r="J397" s="443">
        <f>直通车!B738</f>
        <v>1355.89</v>
      </c>
      <c r="K397" s="399">
        <f>直通车!C738</f>
        <v>7072</v>
      </c>
      <c r="L397" s="511">
        <f>直通车!D738</f>
        <v>328</v>
      </c>
      <c r="M397" s="325">
        <f>直通车!G738+直通车!H738</f>
        <v>27</v>
      </c>
      <c r="N397" s="392">
        <v>800</v>
      </c>
      <c r="O397" s="176"/>
      <c r="P397" s="443">
        <f>引力魔方!B637</f>
        <v>792.44</v>
      </c>
      <c r="Q397" s="398">
        <f>引力魔方!C637</f>
        <v>1314948</v>
      </c>
      <c r="R397" s="399">
        <f>引力魔方!D637</f>
        <v>4215</v>
      </c>
      <c r="S397" s="325">
        <f>引力魔方!G637+引力魔方!H637</f>
        <v>2</v>
      </c>
      <c r="T397" s="326">
        <v>1200</v>
      </c>
      <c r="U397" s="176"/>
      <c r="V397" s="326">
        <f>万相台!B226</f>
        <v>1190.06</v>
      </c>
      <c r="W397" s="417">
        <f>万相台!C226</f>
        <v>372605</v>
      </c>
      <c r="X397" s="417">
        <f>万相台!D226</f>
        <v>2105</v>
      </c>
      <c r="Y397" s="306">
        <f>万相台!G226+万相台!H226</f>
        <v>71</v>
      </c>
      <c r="AA397" s="68">
        <f t="shared" ref="AA397:AA405" si="13">B397+H397+N397+T397</f>
        <v>4000</v>
      </c>
      <c r="AB397" s="69">
        <f t="shared" ref="AB397:AB405" si="14">D397+J397+P397+V397</f>
        <v>3481.49</v>
      </c>
      <c r="AC397" s="70">
        <f t="shared" ref="AC397:AC434" si="15">G397+M397+S397+Y397</f>
        <v>110</v>
      </c>
      <c r="AD397" s="505">
        <f t="shared" ref="AD397:AD434" si="16">AB397/AC397</f>
        <v>31.6499090909091</v>
      </c>
      <c r="AE397" s="506">
        <f t="shared" ref="AE397:AE434" si="17">AC397/AF397</f>
        <v>0.0164277180406213</v>
      </c>
      <c r="AF397" s="69">
        <f t="shared" ref="AF397:AF434" si="18">F397+L397+R397+X397</f>
        <v>6696</v>
      </c>
      <c r="AG397" s="71">
        <f t="shared" ref="AG397:AG434" si="19">AB397/AF397</f>
        <v>0.51993578255675</v>
      </c>
      <c r="AH397" s="71">
        <f t="shared" ref="AH397:AH434" si="20">AB397/((E397+K397+Q397+W397)/1000)</f>
        <v>2.05424060439632</v>
      </c>
    </row>
    <row r="398" spans="1:34">
      <c r="A398" s="304">
        <v>45386</v>
      </c>
      <c r="B398" s="392">
        <v>300</v>
      </c>
      <c r="C398" s="176"/>
      <c r="D398" s="443">
        <f>明星店铺!B739</f>
        <v>144.02</v>
      </c>
      <c r="E398" s="404">
        <f>明星店铺!C739</f>
        <v>197</v>
      </c>
      <c r="F398" s="404">
        <f>明星店铺!D739</f>
        <v>68</v>
      </c>
      <c r="G398" s="325">
        <f>明星店铺!G739+明星店铺!H739</f>
        <v>23</v>
      </c>
      <c r="H398" s="392">
        <v>1700</v>
      </c>
      <c r="I398" s="176"/>
      <c r="J398" s="443">
        <f>直通车!B739</f>
        <v>1383.68</v>
      </c>
      <c r="K398" s="399">
        <f>直通车!C739</f>
        <v>7846</v>
      </c>
      <c r="L398" s="511">
        <f>直通车!D739</f>
        <v>334</v>
      </c>
      <c r="M398" s="325">
        <f>直通车!G739+直通车!H739</f>
        <v>16</v>
      </c>
      <c r="N398" s="392">
        <v>800</v>
      </c>
      <c r="O398" s="176"/>
      <c r="P398" s="443">
        <f>引力魔方!B638</f>
        <v>798.74</v>
      </c>
      <c r="Q398" s="398">
        <f>引力魔方!C638</f>
        <v>1145154</v>
      </c>
      <c r="R398" s="399">
        <f>引力魔方!D638</f>
        <v>4556</v>
      </c>
      <c r="S398" s="325">
        <f>引力魔方!G638+引力魔方!H638</f>
        <v>11</v>
      </c>
      <c r="T398" s="326">
        <v>1200</v>
      </c>
      <c r="U398" s="176"/>
      <c r="V398" s="326">
        <f>万相台!B227</f>
        <v>1236.91</v>
      </c>
      <c r="W398" s="417">
        <f>万相台!C227</f>
        <v>243017</v>
      </c>
      <c r="X398" s="417">
        <f>万相台!D227</f>
        <v>2166</v>
      </c>
      <c r="Y398" s="306">
        <f>万相台!G227+万相台!H227</f>
        <v>79</v>
      </c>
      <c r="AA398" s="68">
        <f t="shared" si="13"/>
        <v>4000</v>
      </c>
      <c r="AB398" s="69">
        <f t="shared" si="14"/>
        <v>3563.35</v>
      </c>
      <c r="AC398" s="70">
        <f t="shared" si="15"/>
        <v>129</v>
      </c>
      <c r="AD398" s="505">
        <f t="shared" si="16"/>
        <v>27.6228682170543</v>
      </c>
      <c r="AE398" s="506">
        <f t="shared" si="17"/>
        <v>0.018107804604155</v>
      </c>
      <c r="AF398" s="69">
        <f t="shared" si="18"/>
        <v>7124</v>
      </c>
      <c r="AG398" s="71">
        <f t="shared" si="19"/>
        <v>0.500189500280741</v>
      </c>
      <c r="AH398" s="71">
        <f t="shared" si="20"/>
        <v>2.55215174751148</v>
      </c>
    </row>
    <row r="399" spans="1:34">
      <c r="A399" s="304">
        <v>45387</v>
      </c>
      <c r="B399" s="392">
        <v>300</v>
      </c>
      <c r="C399" s="176"/>
      <c r="D399" s="443">
        <f>明星店铺!B740</f>
        <v>144.73</v>
      </c>
      <c r="E399" s="404">
        <f>明星店铺!C740</f>
        <v>194</v>
      </c>
      <c r="F399" s="404">
        <f>明星店铺!D740</f>
        <v>59</v>
      </c>
      <c r="G399" s="325">
        <f>明星店铺!G740+明星店铺!H740</f>
        <v>15</v>
      </c>
      <c r="H399" s="392">
        <v>1700</v>
      </c>
      <c r="I399" s="176"/>
      <c r="J399" s="443">
        <f>直通车!B740</f>
        <v>1518.48</v>
      </c>
      <c r="K399" s="399">
        <f>直通车!C740</f>
        <v>7644</v>
      </c>
      <c r="L399" s="511">
        <f>直通车!D740</f>
        <v>365</v>
      </c>
      <c r="M399" s="325">
        <f>直通车!G740+直通车!H740</f>
        <v>33</v>
      </c>
      <c r="N399" s="392">
        <v>800</v>
      </c>
      <c r="O399" s="176"/>
      <c r="P399" s="443">
        <f>引力魔方!B639</f>
        <v>771.54</v>
      </c>
      <c r="Q399" s="398">
        <f>引力魔方!C639</f>
        <v>1385580</v>
      </c>
      <c r="R399" s="399">
        <f>引力魔方!D639</f>
        <v>4708</v>
      </c>
      <c r="S399" s="325">
        <f>引力魔方!G639+引力魔方!H639</f>
        <v>4</v>
      </c>
      <c r="T399" s="326">
        <v>1200</v>
      </c>
      <c r="U399" s="176"/>
      <c r="V399" s="326">
        <f>万相台!B228</f>
        <v>1260.69</v>
      </c>
      <c r="W399" s="417">
        <f>万相台!C228</f>
        <v>292066</v>
      </c>
      <c r="X399" s="417">
        <f>万相台!D228</f>
        <v>2157</v>
      </c>
      <c r="Y399" s="306">
        <f>万相台!G228+万相台!H228</f>
        <v>76</v>
      </c>
      <c r="AA399" s="68">
        <f t="shared" si="13"/>
        <v>4000</v>
      </c>
      <c r="AB399" s="69">
        <f t="shared" si="14"/>
        <v>3695.44</v>
      </c>
      <c r="AC399" s="70">
        <f t="shared" si="15"/>
        <v>128</v>
      </c>
      <c r="AD399" s="505">
        <f t="shared" si="16"/>
        <v>28.870625</v>
      </c>
      <c r="AE399" s="506">
        <f t="shared" si="17"/>
        <v>0.0175607079160379</v>
      </c>
      <c r="AF399" s="69">
        <f t="shared" si="18"/>
        <v>7289</v>
      </c>
      <c r="AG399" s="71">
        <f t="shared" si="19"/>
        <v>0.506988612978461</v>
      </c>
      <c r="AH399" s="71">
        <f t="shared" si="20"/>
        <v>2.1925096886117</v>
      </c>
    </row>
    <row r="400" spans="1:34">
      <c r="A400" s="304">
        <v>45388</v>
      </c>
      <c r="B400" s="392">
        <v>300</v>
      </c>
      <c r="C400" s="176"/>
      <c r="D400" s="443">
        <f>明星店铺!B741</f>
        <v>189.94</v>
      </c>
      <c r="E400" s="404">
        <f>明星店铺!C741</f>
        <v>252</v>
      </c>
      <c r="F400" s="404">
        <f>明星店铺!D741</f>
        <v>82</v>
      </c>
      <c r="G400" s="325">
        <f>明星店铺!G741+明星店铺!H741</f>
        <v>27</v>
      </c>
      <c r="H400" s="392">
        <v>1700</v>
      </c>
      <c r="I400" s="176"/>
      <c r="J400" s="443">
        <f>直通车!B741</f>
        <v>1594.8</v>
      </c>
      <c r="K400" s="399">
        <f>直通车!C741</f>
        <v>6063</v>
      </c>
      <c r="L400" s="511">
        <f>直通车!D741</f>
        <v>384</v>
      </c>
      <c r="M400" s="325">
        <f>直通车!G741+直通车!H741</f>
        <v>55</v>
      </c>
      <c r="N400" s="392">
        <v>800</v>
      </c>
      <c r="O400" s="176"/>
      <c r="P400" s="443">
        <f>引力魔方!B640</f>
        <v>770.93</v>
      </c>
      <c r="Q400" s="398">
        <f>引力魔方!C640</f>
        <v>1242661</v>
      </c>
      <c r="R400" s="399">
        <f>引力魔方!D640</f>
        <v>4693</v>
      </c>
      <c r="S400" s="325">
        <f>引力魔方!G640+引力魔方!H640</f>
        <v>7</v>
      </c>
      <c r="T400" s="326">
        <v>1200</v>
      </c>
      <c r="U400" s="176"/>
      <c r="V400" s="326">
        <f>万相台!B229</f>
        <v>1207.3</v>
      </c>
      <c r="W400" s="417">
        <f>万相台!C229</f>
        <v>286721</v>
      </c>
      <c r="X400" s="417">
        <f>万相台!D229</f>
        <v>1999</v>
      </c>
      <c r="Y400" s="306">
        <f>万相台!G229+万相台!H229</f>
        <v>82</v>
      </c>
      <c r="AA400" s="68">
        <f t="shared" si="13"/>
        <v>4000</v>
      </c>
      <c r="AB400" s="69">
        <f t="shared" si="14"/>
        <v>3762.97</v>
      </c>
      <c r="AC400" s="70">
        <f t="shared" si="15"/>
        <v>171</v>
      </c>
      <c r="AD400" s="505">
        <f t="shared" si="16"/>
        <v>22.0056725146199</v>
      </c>
      <c r="AE400" s="506">
        <f t="shared" si="17"/>
        <v>0.0238893545683152</v>
      </c>
      <c r="AF400" s="69">
        <f t="shared" si="18"/>
        <v>7158</v>
      </c>
      <c r="AG400" s="71">
        <f t="shared" si="19"/>
        <v>0.525701313215982</v>
      </c>
      <c r="AH400" s="71">
        <f t="shared" si="20"/>
        <v>2.45033362701106</v>
      </c>
    </row>
    <row r="401" spans="1:34">
      <c r="A401" s="304">
        <v>45389</v>
      </c>
      <c r="B401" s="392">
        <v>300</v>
      </c>
      <c r="C401" s="176"/>
      <c r="D401" s="443">
        <f>明星店铺!B742</f>
        <v>220.52</v>
      </c>
      <c r="E401" s="404">
        <f>明星店铺!C742</f>
        <v>271</v>
      </c>
      <c r="F401" s="404">
        <f>明星店铺!D742</f>
        <v>83</v>
      </c>
      <c r="G401" s="325">
        <f>明星店铺!G742+明星店铺!H742</f>
        <v>28</v>
      </c>
      <c r="H401" s="392">
        <v>1700</v>
      </c>
      <c r="I401" s="176"/>
      <c r="J401" s="443">
        <f>直通车!B742</f>
        <v>1602.27</v>
      </c>
      <c r="K401" s="399">
        <f>直通车!C742</f>
        <v>6384</v>
      </c>
      <c r="L401" s="511">
        <f>直通车!D742</f>
        <v>405</v>
      </c>
      <c r="M401" s="325">
        <f>直通车!G742+直通车!H742</f>
        <v>36</v>
      </c>
      <c r="N401" s="392">
        <v>800</v>
      </c>
      <c r="O401" s="176"/>
      <c r="P401" s="443">
        <f>引力魔方!B641</f>
        <v>787.53</v>
      </c>
      <c r="Q401" s="398">
        <f>引力魔方!C641</f>
        <v>1397760</v>
      </c>
      <c r="R401" s="399">
        <f>引力魔方!D641</f>
        <v>5095</v>
      </c>
      <c r="S401" s="325">
        <f>引力魔方!G641+引力魔方!H641</f>
        <v>2</v>
      </c>
      <c r="T401" s="326">
        <v>1200</v>
      </c>
      <c r="U401" s="176"/>
      <c r="V401" s="326">
        <f>万相台!B230</f>
        <v>1315.6</v>
      </c>
      <c r="W401" s="417">
        <f>万相台!C230</f>
        <v>339485</v>
      </c>
      <c r="X401" s="417">
        <f>万相台!D230</f>
        <v>2176</v>
      </c>
      <c r="Y401" s="306">
        <f>万相台!G230+万相台!H230</f>
        <v>94</v>
      </c>
      <c r="AA401" s="68">
        <f t="shared" si="13"/>
        <v>4000</v>
      </c>
      <c r="AB401" s="69">
        <f t="shared" si="14"/>
        <v>3925.92</v>
      </c>
      <c r="AC401" s="70">
        <f t="shared" si="15"/>
        <v>160</v>
      </c>
      <c r="AD401" s="505">
        <f t="shared" si="16"/>
        <v>24.537</v>
      </c>
      <c r="AE401" s="506">
        <f t="shared" si="17"/>
        <v>0.0206212140739786</v>
      </c>
      <c r="AF401" s="69">
        <f t="shared" si="18"/>
        <v>7759</v>
      </c>
      <c r="AG401" s="71">
        <f t="shared" si="19"/>
        <v>0.505982729733213</v>
      </c>
      <c r="AH401" s="71">
        <f t="shared" si="20"/>
        <v>2.25123000172028</v>
      </c>
    </row>
    <row r="402" spans="1:34">
      <c r="A402" s="304">
        <v>45390</v>
      </c>
      <c r="B402" s="392">
        <v>300</v>
      </c>
      <c r="C402" s="176"/>
      <c r="D402" s="443">
        <f>明星店铺!B743</f>
        <v>250.39</v>
      </c>
      <c r="E402" s="404">
        <f>明星店铺!C743</f>
        <v>320</v>
      </c>
      <c r="F402" s="404">
        <f>明星店铺!D743</f>
        <v>97</v>
      </c>
      <c r="G402" s="325">
        <f>明星店铺!G743+明星店铺!H743</f>
        <v>26</v>
      </c>
      <c r="H402" s="392">
        <v>1700</v>
      </c>
      <c r="I402" s="176"/>
      <c r="J402" s="443">
        <f>直通车!B743</f>
        <v>1602.02</v>
      </c>
      <c r="K402" s="399">
        <f>直通车!C743</f>
        <v>6081</v>
      </c>
      <c r="L402" s="511">
        <f>直通车!D743</f>
        <v>399</v>
      </c>
      <c r="M402" s="325">
        <f>直通车!G743+直通车!H743</f>
        <v>34</v>
      </c>
      <c r="N402" s="392">
        <v>800</v>
      </c>
      <c r="O402" s="176"/>
      <c r="P402" s="443">
        <f>引力魔方!B642</f>
        <v>799.52</v>
      </c>
      <c r="Q402" s="398">
        <f>引力魔方!C642</f>
        <v>1273351</v>
      </c>
      <c r="R402" s="399">
        <f>引力魔方!D642</f>
        <v>5060</v>
      </c>
      <c r="S402" s="325">
        <f>引力魔方!G642+引力魔方!H642</f>
        <v>11</v>
      </c>
      <c r="T402" s="326">
        <v>1200</v>
      </c>
      <c r="U402" s="176"/>
      <c r="V402" s="326">
        <f>万相台!B231</f>
        <v>1354.4</v>
      </c>
      <c r="W402" s="417">
        <f>万相台!C231</f>
        <v>340089</v>
      </c>
      <c r="X402" s="417">
        <f>万相台!D231</f>
        <v>2541</v>
      </c>
      <c r="Y402" s="306">
        <f>万相台!G231+万相台!H231</f>
        <v>108</v>
      </c>
      <c r="AA402" s="68">
        <f t="shared" si="13"/>
        <v>4000</v>
      </c>
      <c r="AB402" s="69">
        <f t="shared" si="14"/>
        <v>4006.33</v>
      </c>
      <c r="AC402" s="70">
        <f t="shared" si="15"/>
        <v>179</v>
      </c>
      <c r="AD402" s="505">
        <f t="shared" si="16"/>
        <v>22.3817318435754</v>
      </c>
      <c r="AE402" s="506">
        <f t="shared" si="17"/>
        <v>0.0221069531925404</v>
      </c>
      <c r="AF402" s="69">
        <f t="shared" si="18"/>
        <v>8097</v>
      </c>
      <c r="AG402" s="71">
        <f t="shared" si="19"/>
        <v>0.494791898233914</v>
      </c>
      <c r="AH402" s="71">
        <f t="shared" si="20"/>
        <v>2.47328595831319</v>
      </c>
    </row>
    <row r="403" spans="1:34">
      <c r="A403" s="304">
        <v>45391</v>
      </c>
      <c r="B403" s="392">
        <v>300</v>
      </c>
      <c r="C403" s="176"/>
      <c r="D403" s="443">
        <f>明星店铺!B744</f>
        <v>219.89</v>
      </c>
      <c r="E403" s="404">
        <f>明星店铺!C744</f>
        <v>267</v>
      </c>
      <c r="F403" s="404">
        <f>明星店铺!D744</f>
        <v>103</v>
      </c>
      <c r="G403" s="325">
        <f>明星店铺!G744+明星店铺!H744</f>
        <v>24</v>
      </c>
      <c r="H403" s="392">
        <v>1700</v>
      </c>
      <c r="I403" s="176"/>
      <c r="J403" s="443">
        <f>直通车!B744</f>
        <v>1591.81</v>
      </c>
      <c r="K403" s="399">
        <f>直通车!C744</f>
        <v>7203</v>
      </c>
      <c r="L403" s="511">
        <f>直通车!D744</f>
        <v>397</v>
      </c>
      <c r="M403" s="325">
        <f>直通车!G744+直通车!H744</f>
        <v>24</v>
      </c>
      <c r="N403" s="392">
        <v>800</v>
      </c>
      <c r="O403" s="176"/>
      <c r="P403" s="443">
        <f>引力魔方!B643</f>
        <v>781.65</v>
      </c>
      <c r="Q403" s="398">
        <f>引力魔方!C643</f>
        <v>1452321</v>
      </c>
      <c r="R403" s="399">
        <f>引力魔方!D643</f>
        <v>5131</v>
      </c>
      <c r="S403" s="325">
        <f>引力魔方!G643+引力魔方!H643</f>
        <v>2</v>
      </c>
      <c r="T403" s="326">
        <v>1200</v>
      </c>
      <c r="U403" s="176"/>
      <c r="V403" s="326">
        <f>万相台!B232</f>
        <v>1347.77</v>
      </c>
      <c r="W403" s="417">
        <f>万相台!C232</f>
        <v>258249</v>
      </c>
      <c r="X403" s="417">
        <f>万相台!D232</f>
        <v>2073</v>
      </c>
      <c r="Y403" s="306">
        <f>万相台!G232+万相台!H232</f>
        <v>93</v>
      </c>
      <c r="AA403" s="68">
        <f t="shared" si="13"/>
        <v>4000</v>
      </c>
      <c r="AB403" s="69">
        <f t="shared" si="14"/>
        <v>3941.12</v>
      </c>
      <c r="AC403" s="70">
        <f t="shared" si="15"/>
        <v>143</v>
      </c>
      <c r="AD403" s="505">
        <f t="shared" si="16"/>
        <v>27.5602797202797</v>
      </c>
      <c r="AE403" s="506">
        <f t="shared" si="17"/>
        <v>0.0185617860851506</v>
      </c>
      <c r="AF403" s="69">
        <f t="shared" si="18"/>
        <v>7704</v>
      </c>
      <c r="AG403" s="71">
        <f t="shared" si="19"/>
        <v>0.511568016614746</v>
      </c>
      <c r="AH403" s="71">
        <f t="shared" si="20"/>
        <v>2.29396288794207</v>
      </c>
    </row>
    <row r="404" spans="1:34">
      <c r="A404" s="304">
        <v>45392</v>
      </c>
      <c r="B404" s="392">
        <v>300</v>
      </c>
      <c r="C404" s="176"/>
      <c r="D404" s="443">
        <f>明星店铺!B745</f>
        <v>199.47</v>
      </c>
      <c r="E404" s="404">
        <f>明星店铺!C745</f>
        <v>246</v>
      </c>
      <c r="F404" s="404">
        <f>明星店铺!D745</f>
        <v>100</v>
      </c>
      <c r="G404" s="325">
        <f>明星店铺!G745+明星店铺!H745</f>
        <v>11</v>
      </c>
      <c r="H404" s="392">
        <v>1700</v>
      </c>
      <c r="I404" s="176"/>
      <c r="J404" s="443">
        <f>直通车!B745</f>
        <v>1943.06</v>
      </c>
      <c r="K404" s="399">
        <f>直通车!C745</f>
        <v>8304</v>
      </c>
      <c r="L404" s="511">
        <f>直通车!D745</f>
        <v>469</v>
      </c>
      <c r="M404" s="325">
        <f>直通车!G745+直通车!H745</f>
        <v>44</v>
      </c>
      <c r="N404" s="392">
        <v>1200</v>
      </c>
      <c r="O404" s="176"/>
      <c r="P404" s="443">
        <f>引力魔方!B644</f>
        <v>1037.44</v>
      </c>
      <c r="Q404" s="398">
        <f>引力魔方!C644</f>
        <v>1521783</v>
      </c>
      <c r="R404" s="399">
        <f>引力魔方!D644</f>
        <v>6120</v>
      </c>
      <c r="S404" s="325">
        <f>引力魔方!G644+引力魔方!H644</f>
        <v>6</v>
      </c>
      <c r="T404" s="326">
        <v>1800</v>
      </c>
      <c r="U404" s="176"/>
      <c r="V404" s="326">
        <f>万相台!B233</f>
        <v>2408.5</v>
      </c>
      <c r="W404" s="417">
        <f>万相台!C233</f>
        <v>285446</v>
      </c>
      <c r="X404" s="417">
        <f>万相台!D233</f>
        <v>7480</v>
      </c>
      <c r="Y404" s="306">
        <f>万相台!G233+万相台!H233</f>
        <v>137</v>
      </c>
      <c r="AA404" s="68">
        <f t="shared" si="13"/>
        <v>5000</v>
      </c>
      <c r="AB404" s="69">
        <f t="shared" si="14"/>
        <v>5588.47</v>
      </c>
      <c r="AC404" s="70">
        <f t="shared" si="15"/>
        <v>198</v>
      </c>
      <c r="AD404" s="505">
        <f t="shared" si="16"/>
        <v>28.224595959596</v>
      </c>
      <c r="AE404" s="506">
        <f t="shared" si="17"/>
        <v>0.0139741689604065</v>
      </c>
      <c r="AF404" s="69">
        <f t="shared" si="18"/>
        <v>14169</v>
      </c>
      <c r="AG404" s="71">
        <f t="shared" si="19"/>
        <v>0.394415272778601</v>
      </c>
      <c r="AH404" s="71">
        <f t="shared" si="20"/>
        <v>3.07772586862168</v>
      </c>
    </row>
    <row r="405" spans="1:34">
      <c r="A405" s="304">
        <v>45393</v>
      </c>
      <c r="B405" s="392">
        <v>300</v>
      </c>
      <c r="C405" s="176"/>
      <c r="D405" s="443">
        <f>明星店铺!B746</f>
        <v>222.67</v>
      </c>
      <c r="E405" s="404">
        <f>明星店铺!C746</f>
        <v>279</v>
      </c>
      <c r="F405" s="404">
        <f>明星店铺!D746</f>
        <v>107</v>
      </c>
      <c r="G405" s="325">
        <f>明星店铺!G746+明星店铺!H746</f>
        <v>17</v>
      </c>
      <c r="H405" s="392">
        <v>2200</v>
      </c>
      <c r="I405" s="176"/>
      <c r="J405" s="443">
        <f>直通车!B746</f>
        <v>2155.28</v>
      </c>
      <c r="K405" s="399">
        <f>直通车!C746</f>
        <v>7518</v>
      </c>
      <c r="L405" s="511">
        <f>直通车!D746</f>
        <v>526</v>
      </c>
      <c r="M405" s="325">
        <f>直通车!G746+直通车!H746</f>
        <v>36</v>
      </c>
      <c r="N405" s="392">
        <v>1200</v>
      </c>
      <c r="O405" s="176"/>
      <c r="P405" s="443">
        <f>引力魔方!B645</f>
        <v>1044.78</v>
      </c>
      <c r="Q405" s="398">
        <f>引力魔方!C645</f>
        <v>1724688</v>
      </c>
      <c r="R405" s="399">
        <f>引力魔方!D645</f>
        <v>6135</v>
      </c>
      <c r="S405" s="325">
        <f>引力魔方!G645+引力魔方!H645</f>
        <v>6</v>
      </c>
      <c r="T405" s="326">
        <v>1800</v>
      </c>
      <c r="U405" s="176"/>
      <c r="V405" s="326">
        <f>万相台!B234</f>
        <v>1919.48</v>
      </c>
      <c r="W405" s="417">
        <f>万相台!C234</f>
        <v>386183</v>
      </c>
      <c r="X405" s="417">
        <f>万相台!D234</f>
        <v>2744</v>
      </c>
      <c r="Y405" s="306">
        <f>万相台!G234+万相台!H234</f>
        <v>145</v>
      </c>
      <c r="AA405" s="68">
        <f t="shared" si="13"/>
        <v>5500</v>
      </c>
      <c r="AB405" s="69">
        <f t="shared" si="14"/>
        <v>5342.21</v>
      </c>
      <c r="AC405" s="70">
        <f t="shared" si="15"/>
        <v>204</v>
      </c>
      <c r="AD405" s="505">
        <f t="shared" si="16"/>
        <v>26.1873039215686</v>
      </c>
      <c r="AE405" s="506">
        <f t="shared" si="17"/>
        <v>0.0214465937762826</v>
      </c>
      <c r="AF405" s="69">
        <f t="shared" si="18"/>
        <v>9512</v>
      </c>
      <c r="AG405" s="71">
        <f t="shared" si="19"/>
        <v>0.561628469301935</v>
      </c>
      <c r="AH405" s="71">
        <f t="shared" si="20"/>
        <v>2.52149463719658</v>
      </c>
    </row>
    <row r="406" spans="1:34">
      <c r="A406" s="304">
        <v>45394</v>
      </c>
      <c r="B406" s="392">
        <v>300</v>
      </c>
      <c r="C406" s="176"/>
      <c r="D406" s="443">
        <f>明星店铺!B747</f>
        <v>159.12</v>
      </c>
      <c r="E406" s="404">
        <f>明星店铺!C747</f>
        <v>193</v>
      </c>
      <c r="F406" s="404">
        <f>明星店铺!D747</f>
        <v>61</v>
      </c>
      <c r="G406" s="325">
        <f>明星店铺!G747+明星店铺!H747</f>
        <v>20</v>
      </c>
      <c r="H406" s="392">
        <v>2200</v>
      </c>
      <c r="I406" s="176"/>
      <c r="J406" s="443">
        <f>直通车!B747</f>
        <v>1744.71</v>
      </c>
      <c r="K406" s="399">
        <f>直通车!C747</f>
        <v>7197</v>
      </c>
      <c r="L406" s="511">
        <f>直通车!D747</f>
        <v>411</v>
      </c>
      <c r="M406" s="325">
        <f>直通车!G747+直通车!H747</f>
        <v>25</v>
      </c>
      <c r="N406" s="392">
        <v>1200</v>
      </c>
      <c r="O406" s="176"/>
      <c r="P406" s="443">
        <f>引力魔方!B646</f>
        <v>1042.11</v>
      </c>
      <c r="Q406" s="398">
        <f>引力魔方!C646</f>
        <v>1746706</v>
      </c>
      <c r="R406" s="399">
        <f>引力魔方!D646</f>
        <v>6379</v>
      </c>
      <c r="S406" s="325">
        <f>引力魔方!G646+引力魔方!H646</f>
        <v>9</v>
      </c>
      <c r="T406" s="326">
        <v>1800</v>
      </c>
      <c r="U406" s="176"/>
      <c r="V406" s="326">
        <f>万相台!B235</f>
        <v>1971.98</v>
      </c>
      <c r="W406" s="417">
        <f>万相台!C235</f>
        <v>654870</v>
      </c>
      <c r="X406" s="417">
        <f>万相台!D235</f>
        <v>3364</v>
      </c>
      <c r="Y406" s="306">
        <f>万相台!G235+万相台!H235</f>
        <v>166</v>
      </c>
      <c r="AA406" s="68">
        <f t="shared" ref="AA406:AA431" si="21">B406+H406+N406+T406</f>
        <v>5500</v>
      </c>
      <c r="AB406" s="69">
        <f t="shared" ref="AB406:AB434" si="22">D406+J406+P406+V406</f>
        <v>4917.92</v>
      </c>
      <c r="AC406" s="70">
        <f t="shared" si="15"/>
        <v>220</v>
      </c>
      <c r="AD406" s="505">
        <f t="shared" si="16"/>
        <v>22.3541818181818</v>
      </c>
      <c r="AE406" s="506">
        <f t="shared" si="17"/>
        <v>0.0215369554576603</v>
      </c>
      <c r="AF406" s="69">
        <f t="shared" si="18"/>
        <v>10215</v>
      </c>
      <c r="AG406" s="71">
        <f t="shared" si="19"/>
        <v>0.481441018110622</v>
      </c>
      <c r="AH406" s="71">
        <f t="shared" si="20"/>
        <v>2.0415066049085</v>
      </c>
    </row>
    <row r="407" spans="1:34">
      <c r="A407" s="304">
        <v>45395</v>
      </c>
      <c r="B407" s="392">
        <v>300</v>
      </c>
      <c r="C407" s="176"/>
      <c r="D407" s="443">
        <f>明星店铺!B748</f>
        <v>179.81</v>
      </c>
      <c r="E407" s="404">
        <f>明星店铺!C748</f>
        <v>214</v>
      </c>
      <c r="F407" s="404">
        <f>明星店铺!D748</f>
        <v>62</v>
      </c>
      <c r="G407" s="325">
        <f>明星店铺!G748+明星店铺!H748</f>
        <v>15</v>
      </c>
      <c r="H407" s="392">
        <v>2200</v>
      </c>
      <c r="I407" s="176"/>
      <c r="J407" s="443">
        <f>直通车!B748</f>
        <v>1896.49</v>
      </c>
      <c r="K407" s="399">
        <f>直通车!C748</f>
        <v>7956</v>
      </c>
      <c r="L407" s="511">
        <f>直通车!D748</f>
        <v>448</v>
      </c>
      <c r="M407" s="325">
        <f>直通车!G748+直通车!H748</f>
        <v>27</v>
      </c>
      <c r="N407" s="392">
        <v>1700</v>
      </c>
      <c r="O407" s="176"/>
      <c r="P407" s="443">
        <f>引力魔方!B647</f>
        <v>1466.55</v>
      </c>
      <c r="Q407" s="398">
        <f>引力魔方!C647</f>
        <v>1754751</v>
      </c>
      <c r="R407" s="399">
        <f>引力魔方!D647</f>
        <v>6508</v>
      </c>
      <c r="S407" s="325">
        <f>引力魔方!G647+引力魔方!H647</f>
        <v>55</v>
      </c>
      <c r="T407" s="326">
        <v>1800</v>
      </c>
      <c r="U407" s="176"/>
      <c r="V407" s="326">
        <f>万相台!B236</f>
        <v>1971.6</v>
      </c>
      <c r="W407" s="417">
        <f>万相台!C236</f>
        <v>906061</v>
      </c>
      <c r="X407" s="417">
        <f>万相台!D236</f>
        <v>3623</v>
      </c>
      <c r="Y407" s="306">
        <f>万相台!G236+万相台!H236</f>
        <v>161</v>
      </c>
      <c r="AA407" s="68">
        <f t="shared" si="21"/>
        <v>6000</v>
      </c>
      <c r="AB407" s="69">
        <f t="shared" si="22"/>
        <v>5514.45</v>
      </c>
      <c r="AC407" s="70">
        <f t="shared" si="15"/>
        <v>258</v>
      </c>
      <c r="AD407" s="505">
        <f t="shared" si="16"/>
        <v>21.3738372093023</v>
      </c>
      <c r="AE407" s="506">
        <f t="shared" si="17"/>
        <v>0.0242458415562447</v>
      </c>
      <c r="AF407" s="69">
        <f t="shared" si="18"/>
        <v>10641</v>
      </c>
      <c r="AG407" s="71">
        <f t="shared" si="19"/>
        <v>0.518226670425712</v>
      </c>
      <c r="AH407" s="71">
        <f t="shared" si="20"/>
        <v>2.06612483711018</v>
      </c>
    </row>
    <row r="408" spans="1:34">
      <c r="A408" s="304">
        <v>45396</v>
      </c>
      <c r="B408" s="392">
        <v>300</v>
      </c>
      <c r="C408" s="176"/>
      <c r="D408" s="443">
        <f>明星店铺!B749</f>
        <v>178.28</v>
      </c>
      <c r="E408" s="404">
        <f>明星店铺!C749</f>
        <v>221</v>
      </c>
      <c r="F408" s="404">
        <f>明星店铺!D749</f>
        <v>61</v>
      </c>
      <c r="G408" s="325">
        <f>明星店铺!G749+明星店铺!H749</f>
        <v>16</v>
      </c>
      <c r="H408" s="392">
        <v>2200</v>
      </c>
      <c r="I408" s="176"/>
      <c r="J408" s="443">
        <f>直通车!B749</f>
        <v>2147.22</v>
      </c>
      <c r="K408" s="399">
        <f>直通车!C749</f>
        <v>7223</v>
      </c>
      <c r="L408" s="511">
        <f>直通车!D749</f>
        <v>504</v>
      </c>
      <c r="M408" s="325">
        <f>直通车!G749+直通车!H749</f>
        <v>42</v>
      </c>
      <c r="N408" s="392">
        <v>1700</v>
      </c>
      <c r="O408" s="176"/>
      <c r="P408" s="443">
        <f>引力魔方!B648</f>
        <v>1630.15</v>
      </c>
      <c r="Q408" s="398">
        <f>引力魔方!C648</f>
        <v>1813578</v>
      </c>
      <c r="R408" s="399">
        <f>引力魔方!D648</f>
        <v>6943</v>
      </c>
      <c r="S408" s="325">
        <f>引力魔方!G648+引力魔方!H648</f>
        <v>105</v>
      </c>
      <c r="T408" s="326">
        <v>1800</v>
      </c>
      <c r="U408" s="176"/>
      <c r="V408" s="326">
        <f>万相台!B237</f>
        <v>1929.23</v>
      </c>
      <c r="W408" s="417">
        <f>万相台!C237</f>
        <v>871545</v>
      </c>
      <c r="X408" s="417">
        <f>万相台!D237</f>
        <v>3714</v>
      </c>
      <c r="Y408" s="306">
        <f>万相台!G237+万相台!H237</f>
        <v>166</v>
      </c>
      <c r="AA408" s="68">
        <f t="shared" si="21"/>
        <v>6000</v>
      </c>
      <c r="AB408" s="69">
        <f t="shared" si="22"/>
        <v>5884.88</v>
      </c>
      <c r="AC408" s="70">
        <f t="shared" si="15"/>
        <v>329</v>
      </c>
      <c r="AD408" s="505">
        <f t="shared" si="16"/>
        <v>17.8871732522796</v>
      </c>
      <c r="AE408" s="506">
        <f t="shared" si="17"/>
        <v>0.0293174122259847</v>
      </c>
      <c r="AF408" s="69">
        <f t="shared" si="18"/>
        <v>11222</v>
      </c>
      <c r="AG408" s="71">
        <f t="shared" si="19"/>
        <v>0.524405631794689</v>
      </c>
      <c r="AH408" s="71">
        <f t="shared" si="20"/>
        <v>2.18560206672666</v>
      </c>
    </row>
    <row r="409" spans="1:34">
      <c r="A409" s="304">
        <v>45397</v>
      </c>
      <c r="B409" s="392">
        <v>300</v>
      </c>
      <c r="C409" s="176"/>
      <c r="D409" s="443">
        <f>明星店铺!B750</f>
        <v>225.3</v>
      </c>
      <c r="E409" s="404">
        <f>明星店铺!C750</f>
        <v>264</v>
      </c>
      <c r="F409" s="404">
        <f>明星店铺!D750</f>
        <v>105</v>
      </c>
      <c r="G409" s="325">
        <f>明星店铺!G750+明星店铺!H750</f>
        <v>28</v>
      </c>
      <c r="H409" s="392">
        <v>2200</v>
      </c>
      <c r="I409" s="176"/>
      <c r="J409" s="443">
        <f>直通车!B750</f>
        <v>2097.15</v>
      </c>
      <c r="K409" s="399">
        <f>直通车!C750</f>
        <v>7991</v>
      </c>
      <c r="L409" s="511">
        <f>直通车!D750</f>
        <v>518</v>
      </c>
      <c r="M409" s="325">
        <f>直通车!G750+直通车!H750</f>
        <v>44</v>
      </c>
      <c r="N409" s="392">
        <v>1700</v>
      </c>
      <c r="O409" s="176"/>
      <c r="P409" s="443">
        <f>引力魔方!B649</f>
        <v>1209.59</v>
      </c>
      <c r="Q409" s="398">
        <f>引力魔方!C649</f>
        <v>1249004</v>
      </c>
      <c r="R409" s="399">
        <f>引力魔方!D649</f>
        <v>4353</v>
      </c>
      <c r="S409" s="325">
        <f>引力魔方!G649+引力魔方!H649</f>
        <v>72</v>
      </c>
      <c r="T409" s="326">
        <v>1800</v>
      </c>
      <c r="U409" s="176"/>
      <c r="V409" s="326">
        <f>万相台!B238</f>
        <v>2096.15</v>
      </c>
      <c r="W409" s="417">
        <f>万相台!C238</f>
        <v>900336</v>
      </c>
      <c r="X409" s="417">
        <f>万相台!D238</f>
        <v>9872</v>
      </c>
      <c r="Y409" s="306">
        <f>万相台!G238+万相台!H238</f>
        <v>133</v>
      </c>
      <c r="AA409" s="68">
        <f t="shared" si="21"/>
        <v>6000</v>
      </c>
      <c r="AB409" s="69">
        <f t="shared" si="22"/>
        <v>5628.19</v>
      </c>
      <c r="AC409" s="70">
        <f t="shared" si="15"/>
        <v>277</v>
      </c>
      <c r="AD409" s="505">
        <f t="shared" si="16"/>
        <v>20.3183754512635</v>
      </c>
      <c r="AE409" s="506">
        <f t="shared" si="17"/>
        <v>0.0186557112068966</v>
      </c>
      <c r="AF409" s="69">
        <f t="shared" si="18"/>
        <v>14848</v>
      </c>
      <c r="AG409" s="71">
        <f t="shared" si="19"/>
        <v>0.379053744612069</v>
      </c>
      <c r="AH409" s="71">
        <f t="shared" si="20"/>
        <v>2.60854794342775</v>
      </c>
    </row>
    <row r="410" spans="1:34">
      <c r="A410" s="304">
        <v>45398</v>
      </c>
      <c r="B410" s="392">
        <v>300</v>
      </c>
      <c r="C410" s="176"/>
      <c r="D410" s="443">
        <f>明星店铺!B751</f>
        <v>213.97</v>
      </c>
      <c r="E410" s="404">
        <f>明星店铺!C751</f>
        <v>247</v>
      </c>
      <c r="F410" s="404">
        <f>明星店铺!D751</f>
        <v>87</v>
      </c>
      <c r="G410" s="325">
        <f>明星店铺!G751+明星店铺!H751</f>
        <v>28</v>
      </c>
      <c r="H410" s="392">
        <v>2200</v>
      </c>
      <c r="I410" s="176"/>
      <c r="J410" s="443">
        <f>直通车!B751</f>
        <v>2076.7</v>
      </c>
      <c r="K410" s="399">
        <f>直通车!C751</f>
        <v>8816</v>
      </c>
      <c r="L410" s="511">
        <f>直通车!D751</f>
        <v>540</v>
      </c>
      <c r="M410" s="325">
        <f>直通车!G751+直通车!H751</f>
        <v>37</v>
      </c>
      <c r="N410" s="392">
        <v>1700</v>
      </c>
      <c r="O410" s="176"/>
      <c r="P410" s="443">
        <f>引力魔方!B650</f>
        <v>1551.37</v>
      </c>
      <c r="Q410" s="398">
        <f>引力魔方!C650</f>
        <v>1443557</v>
      </c>
      <c r="R410" s="399">
        <f>引力魔方!D650</f>
        <v>6063</v>
      </c>
      <c r="S410" s="325">
        <f>引力魔方!G650+引力魔方!H650</f>
        <v>60</v>
      </c>
      <c r="T410" s="326">
        <v>1800</v>
      </c>
      <c r="U410" s="176"/>
      <c r="V410" s="326">
        <f>万相台!B239</f>
        <v>1704.61</v>
      </c>
      <c r="W410" s="417">
        <f>万相台!C239</f>
        <v>846156</v>
      </c>
      <c r="X410" s="417">
        <f>万相台!D239</f>
        <v>3693</v>
      </c>
      <c r="Y410" s="306">
        <f>万相台!G239+万相台!H239</f>
        <v>152</v>
      </c>
      <c r="AA410" s="68">
        <f t="shared" si="21"/>
        <v>6000</v>
      </c>
      <c r="AB410" s="69">
        <f t="shared" si="22"/>
        <v>5546.65</v>
      </c>
      <c r="AC410" s="70">
        <f t="shared" si="15"/>
        <v>277</v>
      </c>
      <c r="AD410" s="505">
        <f t="shared" si="16"/>
        <v>20.0240072202166</v>
      </c>
      <c r="AE410" s="506">
        <f t="shared" si="17"/>
        <v>0.0266782240200327</v>
      </c>
      <c r="AF410" s="69">
        <f t="shared" si="18"/>
        <v>10383</v>
      </c>
      <c r="AG410" s="71">
        <f t="shared" si="19"/>
        <v>0.534204950399692</v>
      </c>
      <c r="AH410" s="71">
        <f t="shared" si="20"/>
        <v>2.412871023536</v>
      </c>
    </row>
    <row r="411" spans="1:34">
      <c r="A411" s="304">
        <v>45399</v>
      </c>
      <c r="B411" s="392">
        <v>300</v>
      </c>
      <c r="C411" s="176"/>
      <c r="D411" s="443">
        <f>明星店铺!B752</f>
        <v>273.75</v>
      </c>
      <c r="E411" s="404">
        <f>明星店铺!C752</f>
        <v>316</v>
      </c>
      <c r="F411" s="404">
        <f>明星店铺!D752</f>
        <v>123</v>
      </c>
      <c r="G411" s="325">
        <f>明星店铺!G752+明星店铺!H752</f>
        <v>45</v>
      </c>
      <c r="H411" s="392">
        <v>2200</v>
      </c>
      <c r="I411" s="176"/>
      <c r="J411" s="443">
        <f>直通车!B752</f>
        <v>2034.79</v>
      </c>
      <c r="K411" s="399">
        <f>直通车!C752</f>
        <v>6860</v>
      </c>
      <c r="L411" s="511">
        <f>直通车!D752</f>
        <v>512</v>
      </c>
      <c r="M411" s="325">
        <f>直通车!G752+直通车!H752</f>
        <v>29</v>
      </c>
      <c r="N411" s="392">
        <v>1700</v>
      </c>
      <c r="O411" s="176"/>
      <c r="P411" s="443">
        <f>引力魔方!B651</f>
        <v>1550.72</v>
      </c>
      <c r="Q411" s="398">
        <f>引力魔方!C651</f>
        <v>1597134</v>
      </c>
      <c r="R411" s="399">
        <f>引力魔方!D651</f>
        <v>5873</v>
      </c>
      <c r="S411" s="325">
        <f>引力魔方!G651+引力魔方!H651</f>
        <v>62</v>
      </c>
      <c r="T411" s="326">
        <v>1800</v>
      </c>
      <c r="U411" s="176"/>
      <c r="V411" s="326">
        <f>万相台!B240</f>
        <v>2679.25</v>
      </c>
      <c r="W411" s="417">
        <f>万相台!C240</f>
        <v>1021403</v>
      </c>
      <c r="X411" s="417">
        <f>万相台!D240</f>
        <v>21281</v>
      </c>
      <c r="Y411" s="306">
        <f>万相台!G240+万相台!H240</f>
        <v>190</v>
      </c>
      <c r="AA411" s="68">
        <f t="shared" si="21"/>
        <v>6000</v>
      </c>
      <c r="AB411" s="69">
        <f t="shared" si="22"/>
        <v>6538.51</v>
      </c>
      <c r="AC411" s="70">
        <f t="shared" si="15"/>
        <v>326</v>
      </c>
      <c r="AD411" s="505">
        <f t="shared" si="16"/>
        <v>20.0567791411043</v>
      </c>
      <c r="AE411" s="506">
        <f t="shared" si="17"/>
        <v>0.0117312605707294</v>
      </c>
      <c r="AF411" s="69">
        <f t="shared" si="18"/>
        <v>27789</v>
      </c>
      <c r="AG411" s="71">
        <f t="shared" si="19"/>
        <v>0.235291302313865</v>
      </c>
      <c r="AH411" s="71">
        <f t="shared" si="20"/>
        <v>2.49018457081943</v>
      </c>
    </row>
    <row r="412" spans="1:34">
      <c r="A412" s="304">
        <v>45400</v>
      </c>
      <c r="B412" s="392">
        <v>300</v>
      </c>
      <c r="C412" s="176"/>
      <c r="D412" s="443">
        <f>明星店铺!B753</f>
        <v>227.06</v>
      </c>
      <c r="E412" s="404">
        <f>明星店铺!C753</f>
        <v>270</v>
      </c>
      <c r="F412" s="404">
        <f>明星店铺!D753</f>
        <v>92</v>
      </c>
      <c r="G412" s="325">
        <f>明星店铺!G753+明星店铺!H753</f>
        <v>24</v>
      </c>
      <c r="H412" s="392">
        <v>2200</v>
      </c>
      <c r="I412" s="176"/>
      <c r="J412" s="443">
        <f>直通车!B753</f>
        <v>2053.05</v>
      </c>
      <c r="K412" s="399">
        <f>直通车!C753</f>
        <v>7481</v>
      </c>
      <c r="L412" s="511">
        <f>直通车!D753</f>
        <v>544</v>
      </c>
      <c r="M412" s="325">
        <f>直通车!G753+直通车!H753</f>
        <v>42</v>
      </c>
      <c r="N412" s="392">
        <v>1800</v>
      </c>
      <c r="O412" s="176"/>
      <c r="P412" s="443">
        <f>引力魔方!B652</f>
        <v>1574.4</v>
      </c>
      <c r="Q412" s="398">
        <f>引力魔方!C652</f>
        <v>1709993</v>
      </c>
      <c r="R412" s="399">
        <f>引力魔方!D652</f>
        <v>5967</v>
      </c>
      <c r="S412" s="325">
        <f>引力魔方!G652+引力魔方!H652</f>
        <v>50</v>
      </c>
      <c r="T412" s="326">
        <v>1800</v>
      </c>
      <c r="U412" s="176"/>
      <c r="V412" s="326">
        <f>万相台!B241</f>
        <v>2001.46</v>
      </c>
      <c r="W412" s="417">
        <f>万相台!C241</f>
        <v>848357</v>
      </c>
      <c r="X412" s="417">
        <f>万相台!D241</f>
        <v>3676</v>
      </c>
      <c r="Y412" s="306">
        <f>万相台!G241+万相台!H241</f>
        <v>159</v>
      </c>
      <c r="AA412" s="68">
        <f t="shared" si="21"/>
        <v>6100</v>
      </c>
      <c r="AB412" s="69">
        <f t="shared" si="22"/>
        <v>5855.97</v>
      </c>
      <c r="AC412" s="70">
        <f t="shared" si="15"/>
        <v>275</v>
      </c>
      <c r="AD412" s="505">
        <f t="shared" si="16"/>
        <v>21.2944363636364</v>
      </c>
      <c r="AE412" s="506">
        <f t="shared" si="17"/>
        <v>0.0267535752505107</v>
      </c>
      <c r="AF412" s="69">
        <f t="shared" si="18"/>
        <v>10279</v>
      </c>
      <c r="AG412" s="71">
        <f t="shared" si="19"/>
        <v>0.569702305671758</v>
      </c>
      <c r="AH412" s="71">
        <f t="shared" si="20"/>
        <v>2.28204969328955</v>
      </c>
    </row>
    <row r="413" spans="1:34">
      <c r="A413" s="304">
        <v>45401</v>
      </c>
      <c r="B413" s="392">
        <v>300</v>
      </c>
      <c r="C413" s="176"/>
      <c r="D413" s="443">
        <f>明星店铺!B754</f>
        <v>187.17</v>
      </c>
      <c r="E413" s="404">
        <f>明星店铺!C754</f>
        <v>232</v>
      </c>
      <c r="F413" s="404">
        <f>明星店铺!D754</f>
        <v>96</v>
      </c>
      <c r="G413" s="325">
        <f>明星店铺!G754+明星店铺!H754</f>
        <v>54</v>
      </c>
      <c r="H413" s="392">
        <v>2200</v>
      </c>
      <c r="I413" s="176"/>
      <c r="J413" s="443">
        <f>直通车!B754</f>
        <v>1754.58</v>
      </c>
      <c r="K413" s="399">
        <f>直通车!C754</f>
        <v>7684</v>
      </c>
      <c r="L413" s="511">
        <f>直通车!D754</f>
        <v>440</v>
      </c>
      <c r="M413" s="325">
        <f>直通车!G754+直通车!H754</f>
        <v>25</v>
      </c>
      <c r="N413" s="392">
        <v>1800</v>
      </c>
      <c r="O413" s="176"/>
      <c r="P413" s="443">
        <f>引力魔方!B653</f>
        <v>1582.79</v>
      </c>
      <c r="Q413" s="398">
        <f>引力魔方!C653</f>
        <v>1685687</v>
      </c>
      <c r="R413" s="399">
        <f>引力魔方!D653</f>
        <v>6500</v>
      </c>
      <c r="S413" s="325">
        <f>引力魔方!G653+引力魔方!H653</f>
        <v>57</v>
      </c>
      <c r="T413" s="326">
        <v>1800</v>
      </c>
      <c r="U413" s="176"/>
      <c r="V413" s="326">
        <f>万相台!B242</f>
        <v>2021.98</v>
      </c>
      <c r="W413" s="417">
        <f>万相台!C242</f>
        <v>899182</v>
      </c>
      <c r="X413" s="417">
        <f>万相台!D242</f>
        <v>4379</v>
      </c>
      <c r="Y413" s="306">
        <f>万相台!G242+万相台!H242</f>
        <v>146</v>
      </c>
      <c r="AA413" s="68">
        <f t="shared" si="21"/>
        <v>6100</v>
      </c>
      <c r="AB413" s="69">
        <f t="shared" si="22"/>
        <v>5546.52</v>
      </c>
      <c r="AC413" s="70">
        <f t="shared" si="15"/>
        <v>282</v>
      </c>
      <c r="AD413" s="505">
        <f t="shared" si="16"/>
        <v>19.6685106382979</v>
      </c>
      <c r="AE413" s="506">
        <f t="shared" si="17"/>
        <v>0.0247043363994744</v>
      </c>
      <c r="AF413" s="69">
        <f t="shared" si="18"/>
        <v>11415</v>
      </c>
      <c r="AG413" s="71">
        <f t="shared" si="19"/>
        <v>0.485897503285151</v>
      </c>
      <c r="AH413" s="71">
        <f t="shared" si="20"/>
        <v>2.13921323981742</v>
      </c>
    </row>
    <row r="414" spans="1:34">
      <c r="A414" s="304">
        <v>45402</v>
      </c>
      <c r="B414" s="392">
        <v>300</v>
      </c>
      <c r="C414" s="176"/>
      <c r="D414" s="443">
        <f>明星店铺!B755</f>
        <v>159.15</v>
      </c>
      <c r="E414" s="404">
        <f>明星店铺!C755</f>
        <v>204</v>
      </c>
      <c r="F414" s="404">
        <f>明星店铺!D755</f>
        <v>71</v>
      </c>
      <c r="G414" s="325">
        <f>明星店铺!G755+明星店铺!H755</f>
        <v>22</v>
      </c>
      <c r="H414" s="392">
        <v>2200</v>
      </c>
      <c r="I414" s="176"/>
      <c r="J414" s="443">
        <f>直通车!B755</f>
        <v>1669.28</v>
      </c>
      <c r="K414" s="399">
        <f>直通车!C755</f>
        <v>8166</v>
      </c>
      <c r="L414" s="511">
        <f>直通车!D755</f>
        <v>470</v>
      </c>
      <c r="M414" s="325">
        <f>直通车!G755+直通车!H755</f>
        <v>31</v>
      </c>
      <c r="N414" s="392">
        <v>1800</v>
      </c>
      <c r="O414" s="176"/>
      <c r="P414" s="443">
        <f>引力魔方!B654</f>
        <v>1574.43</v>
      </c>
      <c r="Q414" s="398">
        <f>引力魔方!C654</f>
        <v>1617961</v>
      </c>
      <c r="R414" s="399">
        <f>引力魔方!D654</f>
        <v>6354</v>
      </c>
      <c r="S414" s="325">
        <f>引力魔方!G654+引力魔方!H654</f>
        <v>52</v>
      </c>
      <c r="T414" s="326">
        <v>1800</v>
      </c>
      <c r="U414" s="176"/>
      <c r="V414" s="326">
        <f>万相台!B243</f>
        <v>2042.6</v>
      </c>
      <c r="W414" s="417">
        <f>万相台!C243</f>
        <v>795738</v>
      </c>
      <c r="X414" s="417">
        <f>万相台!D243</f>
        <v>3933</v>
      </c>
      <c r="Y414" s="306">
        <f>万相台!G243+万相台!H243</f>
        <v>191</v>
      </c>
      <c r="AA414" s="68">
        <f t="shared" si="21"/>
        <v>6100</v>
      </c>
      <c r="AB414" s="69">
        <f t="shared" si="22"/>
        <v>5445.46</v>
      </c>
      <c r="AC414" s="70">
        <f t="shared" si="15"/>
        <v>296</v>
      </c>
      <c r="AD414" s="505">
        <f t="shared" si="16"/>
        <v>18.3968243243243</v>
      </c>
      <c r="AE414" s="506">
        <f t="shared" si="17"/>
        <v>0.0273365349094939</v>
      </c>
      <c r="AF414" s="69">
        <f t="shared" si="18"/>
        <v>10828</v>
      </c>
      <c r="AG414" s="71">
        <f t="shared" si="19"/>
        <v>0.502905430365719</v>
      </c>
      <c r="AH414" s="71">
        <f t="shared" si="20"/>
        <v>2.24826790648821</v>
      </c>
    </row>
    <row r="415" spans="1:34">
      <c r="A415" s="304">
        <v>45403</v>
      </c>
      <c r="B415" s="392">
        <v>300</v>
      </c>
      <c r="C415" s="176"/>
      <c r="D415" s="443">
        <f>明星店铺!B756</f>
        <v>172.22</v>
      </c>
      <c r="E415" s="404">
        <f>明星店铺!C756</f>
        <v>200</v>
      </c>
      <c r="F415" s="404">
        <f>明星店铺!D756</f>
        <v>69</v>
      </c>
      <c r="G415" s="325">
        <f>明星店铺!G756+明星店铺!H756</f>
        <v>21</v>
      </c>
      <c r="H415" s="392">
        <v>2200</v>
      </c>
      <c r="I415" s="176"/>
      <c r="J415" s="443">
        <f>直通车!B756</f>
        <v>1695.84</v>
      </c>
      <c r="K415" s="399">
        <f>直通车!C756</f>
        <v>5779</v>
      </c>
      <c r="L415" s="511">
        <f>直通车!D756</f>
        <v>447</v>
      </c>
      <c r="M415" s="325">
        <f>直通车!G756+直通车!H756</f>
        <v>33</v>
      </c>
      <c r="N415" s="392">
        <v>1800</v>
      </c>
      <c r="O415" s="176"/>
      <c r="P415" s="443">
        <f>引力魔方!B655</f>
        <v>1567.82</v>
      </c>
      <c r="Q415" s="398">
        <f>引力魔方!C655</f>
        <v>1486833</v>
      </c>
      <c r="R415" s="399">
        <f>引力魔方!D655</f>
        <v>6347</v>
      </c>
      <c r="S415" s="325">
        <f>引力魔方!G655+引力魔方!H655</f>
        <v>63</v>
      </c>
      <c r="T415" s="326">
        <v>1800</v>
      </c>
      <c r="U415" s="176"/>
      <c r="V415" s="326">
        <f>万相台!B244</f>
        <v>2001.08</v>
      </c>
      <c r="W415" s="417">
        <f>万相台!C244</f>
        <v>668776</v>
      </c>
      <c r="X415" s="417">
        <f>万相台!D244</f>
        <v>3346</v>
      </c>
      <c r="Y415" s="306">
        <f>万相台!G244+万相台!H244</f>
        <v>195</v>
      </c>
      <c r="AA415" s="68">
        <f t="shared" si="21"/>
        <v>6100</v>
      </c>
      <c r="AB415" s="69">
        <f t="shared" si="22"/>
        <v>5436.96</v>
      </c>
      <c r="AC415" s="70">
        <f t="shared" si="15"/>
        <v>312</v>
      </c>
      <c r="AD415" s="505">
        <f t="shared" si="16"/>
        <v>17.4261538461538</v>
      </c>
      <c r="AE415" s="506">
        <f t="shared" si="17"/>
        <v>0.0305612694681164</v>
      </c>
      <c r="AF415" s="69">
        <f t="shared" si="18"/>
        <v>10209</v>
      </c>
      <c r="AG415" s="71">
        <f t="shared" si="19"/>
        <v>0.53256538348516</v>
      </c>
      <c r="AH415" s="71">
        <f t="shared" si="20"/>
        <v>2.51526192780493</v>
      </c>
    </row>
    <row r="416" spans="1:34">
      <c r="A416" s="304">
        <v>45404</v>
      </c>
      <c r="B416" s="392">
        <v>300</v>
      </c>
      <c r="C416" s="176"/>
      <c r="D416" s="443">
        <f>明星店铺!B757</f>
        <v>249.7</v>
      </c>
      <c r="E416" s="404">
        <f>明星店铺!C757</f>
        <v>283</v>
      </c>
      <c r="F416" s="404">
        <f>明星店铺!D757</f>
        <v>104</v>
      </c>
      <c r="G416" s="325">
        <f>明星店铺!G757+明星店铺!H757</f>
        <v>34</v>
      </c>
      <c r="H416" s="392">
        <v>2200</v>
      </c>
      <c r="I416" s="176"/>
      <c r="J416" s="443">
        <f>直通车!B757</f>
        <v>1883.02</v>
      </c>
      <c r="K416" s="399">
        <f>直通车!C757</f>
        <v>7109</v>
      </c>
      <c r="L416" s="511">
        <f>直通车!D757</f>
        <v>500</v>
      </c>
      <c r="M416" s="325">
        <f>直通车!G757+直通车!H757</f>
        <v>30</v>
      </c>
      <c r="N416" s="392">
        <v>1800</v>
      </c>
      <c r="O416" s="176"/>
      <c r="P416" s="443">
        <f>引力魔方!B656</f>
        <v>1563.27</v>
      </c>
      <c r="Q416" s="398">
        <f>引力魔方!C656</f>
        <v>1553936</v>
      </c>
      <c r="R416" s="399">
        <f>引力魔方!D656</f>
        <v>6320</v>
      </c>
      <c r="S416" s="325">
        <f>引力魔方!G656+引力魔方!H656</f>
        <v>53</v>
      </c>
      <c r="T416" s="326">
        <v>1800</v>
      </c>
      <c r="U416" s="176"/>
      <c r="V416" s="326">
        <f>万相台!B245</f>
        <v>2764.74</v>
      </c>
      <c r="W416" s="417">
        <f>万相台!C245</f>
        <v>687894</v>
      </c>
      <c r="X416" s="417">
        <f>万相台!D245</f>
        <v>21244</v>
      </c>
      <c r="Y416" s="306">
        <f>万相台!G245+万相台!H245</f>
        <v>220</v>
      </c>
      <c r="AA416" s="68">
        <f t="shared" si="21"/>
        <v>6100</v>
      </c>
      <c r="AB416" s="69">
        <f t="shared" si="22"/>
        <v>6460.73</v>
      </c>
      <c r="AC416" s="70">
        <f t="shared" si="15"/>
        <v>337</v>
      </c>
      <c r="AD416" s="505">
        <f t="shared" si="16"/>
        <v>19.1713056379822</v>
      </c>
      <c r="AE416" s="506">
        <f t="shared" si="17"/>
        <v>0.0119639307015053</v>
      </c>
      <c r="AF416" s="69">
        <f t="shared" si="18"/>
        <v>28168</v>
      </c>
      <c r="AG416" s="71">
        <f t="shared" si="19"/>
        <v>0.229364172110196</v>
      </c>
      <c r="AH416" s="71">
        <f t="shared" si="20"/>
        <v>2.8724287775951</v>
      </c>
    </row>
    <row r="417" spans="1:34">
      <c r="A417" s="304">
        <v>45405</v>
      </c>
      <c r="B417" s="392">
        <v>300</v>
      </c>
      <c r="C417" s="176"/>
      <c r="D417" s="443">
        <f>明星店铺!B758</f>
        <v>213.94</v>
      </c>
      <c r="E417" s="404">
        <f>明星店铺!C758</f>
        <v>245</v>
      </c>
      <c r="F417" s="404">
        <f>明星店铺!D758</f>
        <v>97</v>
      </c>
      <c r="G417" s="325">
        <f>明星店铺!G758+明星店铺!H758</f>
        <v>18</v>
      </c>
      <c r="H417" s="392">
        <v>2200</v>
      </c>
      <c r="I417" s="176"/>
      <c r="J417" s="443">
        <f>直通车!B758</f>
        <v>1816.55</v>
      </c>
      <c r="K417" s="399">
        <f>直通车!C758</f>
        <v>7250</v>
      </c>
      <c r="L417" s="511">
        <f>直通车!D758</f>
        <v>467</v>
      </c>
      <c r="M417" s="325">
        <f>直通车!G758+直通车!H758</f>
        <v>22</v>
      </c>
      <c r="N417" s="392">
        <v>1800</v>
      </c>
      <c r="O417" s="176"/>
      <c r="P417" s="443">
        <f>引力魔方!B657</f>
        <v>1622.38</v>
      </c>
      <c r="Q417" s="398">
        <f>引力魔方!C657</f>
        <v>1608275</v>
      </c>
      <c r="R417" s="399">
        <f>引力魔方!D657</f>
        <v>6311</v>
      </c>
      <c r="S417" s="325">
        <f>引力魔方!G657+引力魔方!H657</f>
        <v>35</v>
      </c>
      <c r="T417" s="326">
        <v>1800</v>
      </c>
      <c r="U417" s="176"/>
      <c r="V417" s="326">
        <f>万相台!B246</f>
        <v>2004.9</v>
      </c>
      <c r="W417" s="417">
        <f>万相台!C246</f>
        <v>661377</v>
      </c>
      <c r="X417" s="417">
        <f>万相台!D246</f>
        <v>3593</v>
      </c>
      <c r="Y417" s="306">
        <f>万相台!G246+万相台!H246</f>
        <v>170</v>
      </c>
      <c r="AA417" s="68">
        <f t="shared" si="21"/>
        <v>6100</v>
      </c>
      <c r="AB417" s="69">
        <f t="shared" si="22"/>
        <v>5657.77</v>
      </c>
      <c r="AC417" s="70">
        <f t="shared" si="15"/>
        <v>245</v>
      </c>
      <c r="AD417" s="505">
        <f t="shared" si="16"/>
        <v>23.0929387755102</v>
      </c>
      <c r="AE417" s="506">
        <f t="shared" si="17"/>
        <v>0.0234046618265189</v>
      </c>
      <c r="AF417" s="69">
        <f t="shared" si="18"/>
        <v>10468</v>
      </c>
      <c r="AG417" s="71">
        <f t="shared" si="19"/>
        <v>0.540482422621322</v>
      </c>
      <c r="AH417" s="71">
        <f t="shared" si="20"/>
        <v>2.48458707321047</v>
      </c>
    </row>
    <row r="418" spans="1:34">
      <c r="A418" s="304">
        <v>45406</v>
      </c>
      <c r="B418" s="392">
        <v>300</v>
      </c>
      <c r="C418" s="176"/>
      <c r="D418" s="443">
        <f>明星店铺!B759</f>
        <v>217.48</v>
      </c>
      <c r="E418" s="404">
        <f>明星店铺!C759</f>
        <v>260</v>
      </c>
      <c r="F418" s="404">
        <f>明星店铺!D759</f>
        <v>87</v>
      </c>
      <c r="G418" s="325">
        <f>明星店铺!G759+明星店铺!H759</f>
        <v>20</v>
      </c>
      <c r="H418" s="392">
        <v>2200</v>
      </c>
      <c r="I418" s="176"/>
      <c r="J418" s="443">
        <f>直通车!B759</f>
        <v>1787.48</v>
      </c>
      <c r="K418" s="399">
        <f>直通车!C759</f>
        <v>7715</v>
      </c>
      <c r="L418" s="511">
        <f>直通车!D759</f>
        <v>470</v>
      </c>
      <c r="M418" s="325">
        <f>直通车!G759+直通车!H759</f>
        <v>27</v>
      </c>
      <c r="N418" s="392">
        <v>1800</v>
      </c>
      <c r="O418" s="176"/>
      <c r="P418" s="443">
        <f>引力魔方!B658</f>
        <v>1562.96</v>
      </c>
      <c r="Q418" s="398">
        <f>引力魔方!C658</f>
        <v>1618871</v>
      </c>
      <c r="R418" s="399">
        <f>引力魔方!D658</f>
        <v>6173</v>
      </c>
      <c r="S418" s="325">
        <f>引力魔方!G658+引力魔方!H658</f>
        <v>40</v>
      </c>
      <c r="T418" s="326">
        <v>1800</v>
      </c>
      <c r="U418" s="176"/>
      <c r="V418" s="326">
        <f>万相台!B247</f>
        <v>2417.58</v>
      </c>
      <c r="W418" s="417">
        <f>万相台!C247</f>
        <v>677786</v>
      </c>
      <c r="X418" s="417">
        <f>万相台!D247</f>
        <v>13424</v>
      </c>
      <c r="Y418" s="306">
        <f>万相台!G247+万相台!H247</f>
        <v>154</v>
      </c>
      <c r="AA418" s="68">
        <f t="shared" si="21"/>
        <v>6100</v>
      </c>
      <c r="AB418" s="69">
        <f t="shared" si="22"/>
        <v>5985.5</v>
      </c>
      <c r="AC418" s="70">
        <f t="shared" si="15"/>
        <v>241</v>
      </c>
      <c r="AD418" s="505">
        <f t="shared" si="16"/>
        <v>24.8360995850622</v>
      </c>
      <c r="AE418" s="506">
        <f t="shared" si="17"/>
        <v>0.0119579239853131</v>
      </c>
      <c r="AF418" s="69">
        <f t="shared" si="18"/>
        <v>20154</v>
      </c>
      <c r="AG418" s="71">
        <f t="shared" si="19"/>
        <v>0.29698819092984</v>
      </c>
      <c r="AH418" s="71">
        <f t="shared" si="20"/>
        <v>2.59716084823955</v>
      </c>
    </row>
    <row r="419" spans="1:34">
      <c r="A419" s="304">
        <v>45407</v>
      </c>
      <c r="B419" s="392">
        <v>300</v>
      </c>
      <c r="C419" s="176"/>
      <c r="D419" s="443">
        <f>明星店铺!B760</f>
        <v>216.36</v>
      </c>
      <c r="E419" s="404">
        <f>明星店铺!C760</f>
        <v>238</v>
      </c>
      <c r="F419" s="404">
        <f>明星店铺!D760</f>
        <v>86</v>
      </c>
      <c r="G419" s="325">
        <f>明星店铺!G760+明星店铺!H760</f>
        <v>22</v>
      </c>
      <c r="H419" s="392">
        <v>2200</v>
      </c>
      <c r="I419" s="176"/>
      <c r="J419" s="443">
        <f>直通车!B760</f>
        <v>1687.13</v>
      </c>
      <c r="K419" s="399">
        <f>直通车!C760</f>
        <v>7830</v>
      </c>
      <c r="L419" s="511">
        <f>直通车!D760</f>
        <v>428</v>
      </c>
      <c r="M419" s="325">
        <f>直通车!G760+直通车!H760</f>
        <v>26</v>
      </c>
      <c r="N419" s="392">
        <v>1800</v>
      </c>
      <c r="O419" s="176"/>
      <c r="P419" s="443">
        <f>引力魔方!B659</f>
        <v>1595.82</v>
      </c>
      <c r="Q419" s="398">
        <f>引力魔方!C659</f>
        <v>1020766</v>
      </c>
      <c r="R419" s="399">
        <f>引力魔方!D659</f>
        <v>4659</v>
      </c>
      <c r="S419" s="325">
        <f>引力魔方!G659+引力魔方!H659</f>
        <v>52</v>
      </c>
      <c r="T419" s="326">
        <v>1800</v>
      </c>
      <c r="U419" s="176"/>
      <c r="V419" s="326">
        <f>万相台!B248</f>
        <v>2026.43</v>
      </c>
      <c r="W419" s="417">
        <f>万相台!C248</f>
        <v>756855</v>
      </c>
      <c r="X419" s="417">
        <f>万相台!D248</f>
        <v>3847</v>
      </c>
      <c r="Y419" s="306">
        <f>万相台!G248+万相台!H248</f>
        <v>169</v>
      </c>
      <c r="AA419" s="68">
        <f t="shared" si="21"/>
        <v>6100</v>
      </c>
      <c r="AB419" s="69">
        <f t="shared" si="22"/>
        <v>5525.74</v>
      </c>
      <c r="AC419" s="70">
        <f t="shared" si="15"/>
        <v>269</v>
      </c>
      <c r="AD419" s="505">
        <f t="shared" si="16"/>
        <v>20.5417843866171</v>
      </c>
      <c r="AE419" s="506">
        <f t="shared" si="17"/>
        <v>0.0298226164079823</v>
      </c>
      <c r="AF419" s="69">
        <f t="shared" si="18"/>
        <v>9020</v>
      </c>
      <c r="AG419" s="71">
        <f t="shared" si="19"/>
        <v>0.612609756097561</v>
      </c>
      <c r="AH419" s="71">
        <f t="shared" si="20"/>
        <v>3.09445821752836</v>
      </c>
    </row>
    <row r="420" spans="1:34">
      <c r="A420" s="304">
        <v>45408</v>
      </c>
      <c r="B420" s="392">
        <v>300</v>
      </c>
      <c r="C420" s="176"/>
      <c r="D420" s="443">
        <f>明星店铺!B761</f>
        <v>332.78</v>
      </c>
      <c r="E420" s="404">
        <f>明星店铺!C761</f>
        <v>409</v>
      </c>
      <c r="F420" s="404">
        <f>明星店铺!D761</f>
        <v>207</v>
      </c>
      <c r="G420" s="325">
        <f>明星店铺!G761+明星店铺!H761</f>
        <v>69</v>
      </c>
      <c r="H420" s="392">
        <v>2200</v>
      </c>
      <c r="I420" s="176"/>
      <c r="J420" s="443">
        <f>直通车!B761</f>
        <v>2194.66</v>
      </c>
      <c r="K420" s="399">
        <f>直通车!C761</f>
        <v>7073</v>
      </c>
      <c r="L420" s="511">
        <f>直通车!D761</f>
        <v>503</v>
      </c>
      <c r="M420" s="325">
        <f>直通车!G761+直通车!H761</f>
        <v>53</v>
      </c>
      <c r="N420" s="392">
        <v>1800</v>
      </c>
      <c r="O420" s="176"/>
      <c r="P420" s="443">
        <f>引力魔方!B660</f>
        <v>1592.19</v>
      </c>
      <c r="Q420" s="398">
        <f>引力魔方!C660</f>
        <v>1086383</v>
      </c>
      <c r="R420" s="399">
        <f>引力魔方!D660</f>
        <v>5182</v>
      </c>
      <c r="S420" s="325">
        <f>引力魔方!G660+引力魔方!H660</f>
        <v>54</v>
      </c>
      <c r="T420" s="326">
        <v>1800</v>
      </c>
      <c r="U420" s="176"/>
      <c r="V420" s="326">
        <f>万相台!B249</f>
        <v>7661.35</v>
      </c>
      <c r="W420" s="417">
        <f>万相台!C249</f>
        <v>894431</v>
      </c>
      <c r="X420" s="417">
        <f>万相台!D249</f>
        <v>66917</v>
      </c>
      <c r="Y420" s="306">
        <f>万相台!G249+万相台!H249</f>
        <v>207</v>
      </c>
      <c r="AA420" s="68">
        <f t="shared" si="21"/>
        <v>6100</v>
      </c>
      <c r="AB420" s="69">
        <f t="shared" si="22"/>
        <v>11780.98</v>
      </c>
      <c r="AC420" s="70">
        <f t="shared" si="15"/>
        <v>383</v>
      </c>
      <c r="AD420" s="505">
        <f t="shared" si="16"/>
        <v>30.7597389033943</v>
      </c>
      <c r="AE420" s="506">
        <f t="shared" si="17"/>
        <v>0.00526033869439218</v>
      </c>
      <c r="AF420" s="69">
        <f t="shared" si="18"/>
        <v>72809</v>
      </c>
      <c r="AG420" s="71">
        <f t="shared" si="19"/>
        <v>0.161806644782925</v>
      </c>
      <c r="AH420" s="71">
        <f t="shared" si="20"/>
        <v>5.92516406007959</v>
      </c>
    </row>
    <row r="421" spans="1:34">
      <c r="A421" s="304">
        <v>45409</v>
      </c>
      <c r="B421" s="392">
        <v>300</v>
      </c>
      <c r="C421" s="176"/>
      <c r="D421" s="443">
        <f>明星店铺!B762</f>
        <v>270.76</v>
      </c>
      <c r="E421" s="404">
        <f>明星店铺!C762</f>
        <v>314</v>
      </c>
      <c r="F421" s="404">
        <f>明星店铺!D762</f>
        <v>128</v>
      </c>
      <c r="G421" s="325">
        <f>明星店铺!G762+明星店铺!H762</f>
        <v>43</v>
      </c>
      <c r="H421" s="392">
        <v>2200</v>
      </c>
      <c r="I421" s="176"/>
      <c r="J421" s="443">
        <f>直通车!B762</f>
        <v>2100.13</v>
      </c>
      <c r="K421" s="399">
        <f>直通车!C762</f>
        <v>7848</v>
      </c>
      <c r="L421" s="511">
        <f>直通车!D762</f>
        <v>528</v>
      </c>
      <c r="M421" s="325">
        <f>直通车!G762+直通车!H762</f>
        <v>44</v>
      </c>
      <c r="N421" s="392">
        <v>1800</v>
      </c>
      <c r="O421" s="176"/>
      <c r="P421" s="443">
        <f>引力魔方!B661</f>
        <v>1429.26</v>
      </c>
      <c r="Q421" s="398">
        <f>引力魔方!C661</f>
        <v>1034628</v>
      </c>
      <c r="R421" s="399">
        <f>引力魔方!D661</f>
        <v>5009</v>
      </c>
      <c r="S421" s="325">
        <f>引力魔方!G661+引力魔方!H661</f>
        <v>60</v>
      </c>
      <c r="T421" s="326">
        <v>1800</v>
      </c>
      <c r="U421" s="176"/>
      <c r="V421" s="326">
        <f>万相台!B250</f>
        <v>2009.47</v>
      </c>
      <c r="W421" s="417">
        <f>万相台!C250</f>
        <v>812918</v>
      </c>
      <c r="X421" s="417">
        <f>万相台!D250</f>
        <v>3743</v>
      </c>
      <c r="Y421" s="306">
        <f>万相台!G250+万相台!H250</f>
        <v>215</v>
      </c>
      <c r="AA421" s="68">
        <f t="shared" si="21"/>
        <v>6100</v>
      </c>
      <c r="AB421" s="69">
        <f t="shared" si="22"/>
        <v>5809.62</v>
      </c>
      <c r="AC421" s="70">
        <f t="shared" si="15"/>
        <v>362</v>
      </c>
      <c r="AD421" s="505">
        <f t="shared" si="16"/>
        <v>16.0486740331492</v>
      </c>
      <c r="AE421" s="506">
        <f t="shared" si="17"/>
        <v>0.0384778911564626</v>
      </c>
      <c r="AF421" s="69">
        <f t="shared" si="18"/>
        <v>9408</v>
      </c>
      <c r="AG421" s="71">
        <f t="shared" si="19"/>
        <v>0.617519132653061</v>
      </c>
      <c r="AH421" s="71">
        <f t="shared" si="20"/>
        <v>3.13067573131118</v>
      </c>
    </row>
    <row r="422" spans="1:34">
      <c r="A422" s="304">
        <v>45410</v>
      </c>
      <c r="B422" s="392">
        <v>300</v>
      </c>
      <c r="C422" s="176"/>
      <c r="D422" s="443">
        <f>明星店铺!B763</f>
        <v>328.68</v>
      </c>
      <c r="E422" s="404">
        <f>明星店铺!C763</f>
        <v>393</v>
      </c>
      <c r="F422" s="404">
        <f>明星店铺!D763</f>
        <v>175</v>
      </c>
      <c r="G422" s="325">
        <f>明星店铺!G763+明星店铺!H763</f>
        <v>50</v>
      </c>
      <c r="H422" s="392">
        <v>2200</v>
      </c>
      <c r="I422" s="176"/>
      <c r="J422" s="443">
        <f>直通车!B763</f>
        <v>2199.23</v>
      </c>
      <c r="K422" s="399">
        <f>直通车!C763</f>
        <v>7918</v>
      </c>
      <c r="L422" s="511">
        <f>直通车!D763</f>
        <v>558</v>
      </c>
      <c r="M422" s="325">
        <f>直通车!G763+直通车!H763</f>
        <v>39</v>
      </c>
      <c r="N422" s="392">
        <v>1800</v>
      </c>
      <c r="O422" s="176"/>
      <c r="P422" s="443">
        <f>引力魔方!B662</f>
        <v>1443.58</v>
      </c>
      <c r="Q422" s="398">
        <f>引力魔方!C662</f>
        <v>1387060</v>
      </c>
      <c r="R422" s="399">
        <f>引力魔方!D662</f>
        <v>5655</v>
      </c>
      <c r="S422" s="325">
        <f>引力魔方!G662+引力魔方!H662</f>
        <v>70</v>
      </c>
      <c r="T422" s="326">
        <v>1800</v>
      </c>
      <c r="U422" s="176"/>
      <c r="V422" s="326">
        <f>万相台!B251</f>
        <v>1979.11</v>
      </c>
      <c r="W422" s="417">
        <f>万相台!C251</f>
        <v>894456</v>
      </c>
      <c r="X422" s="417">
        <f>万相台!D251</f>
        <v>4025</v>
      </c>
      <c r="Y422" s="306">
        <f>万相台!G251+万相台!H251</f>
        <v>197</v>
      </c>
      <c r="AA422" s="68">
        <f t="shared" si="21"/>
        <v>6100</v>
      </c>
      <c r="AB422" s="69">
        <f t="shared" si="22"/>
        <v>5950.6</v>
      </c>
      <c r="AC422" s="70">
        <f t="shared" si="15"/>
        <v>356</v>
      </c>
      <c r="AD422" s="505">
        <f t="shared" si="16"/>
        <v>16.7151685393258</v>
      </c>
      <c r="AE422" s="506">
        <f t="shared" si="17"/>
        <v>0.0341880341880342</v>
      </c>
      <c r="AF422" s="69">
        <f t="shared" si="18"/>
        <v>10413</v>
      </c>
      <c r="AG422" s="71">
        <f t="shared" si="19"/>
        <v>0.571458753481225</v>
      </c>
      <c r="AH422" s="71">
        <f t="shared" si="20"/>
        <v>2.59871160572393</v>
      </c>
    </row>
    <row r="423" spans="1:34">
      <c r="A423" s="304">
        <v>45411</v>
      </c>
      <c r="B423" s="392">
        <v>300</v>
      </c>
      <c r="C423" s="176"/>
      <c r="D423" s="443">
        <f>明星店铺!B764</f>
        <v>310.61</v>
      </c>
      <c r="E423" s="404">
        <f>明星店铺!C764</f>
        <v>377</v>
      </c>
      <c r="F423" s="404">
        <f>明星店铺!D764</f>
        <v>148</v>
      </c>
      <c r="G423" s="325">
        <f>明星店铺!G764+明星店铺!H764</f>
        <v>59</v>
      </c>
      <c r="H423" s="392">
        <v>2200</v>
      </c>
      <c r="I423" s="176"/>
      <c r="J423" s="443">
        <f>直通车!B764</f>
        <v>2212.85</v>
      </c>
      <c r="K423" s="399">
        <f>直通车!C764</f>
        <v>5997</v>
      </c>
      <c r="L423" s="511">
        <f>直通车!D764</f>
        <v>534</v>
      </c>
      <c r="M423" s="325">
        <f>直通车!G764+直通车!H764</f>
        <v>52</v>
      </c>
      <c r="N423" s="392">
        <v>1800</v>
      </c>
      <c r="O423" s="176"/>
      <c r="P423" s="443">
        <f>引力魔方!B663</f>
        <v>1363.96</v>
      </c>
      <c r="Q423" s="398">
        <f>引力魔方!C663</f>
        <v>1308080</v>
      </c>
      <c r="R423" s="399">
        <f>引力魔方!D663</f>
        <v>5768</v>
      </c>
      <c r="S423" s="325">
        <f>引力魔方!G663+引力魔方!H663</f>
        <v>65</v>
      </c>
      <c r="T423" s="326">
        <v>1800</v>
      </c>
      <c r="U423" s="176"/>
      <c r="V423" s="326">
        <f>万相台!B252</f>
        <v>1997.75</v>
      </c>
      <c r="W423" s="417">
        <f>万相台!C252</f>
        <v>823090</v>
      </c>
      <c r="X423" s="417">
        <f>万相台!D252</f>
        <v>3666</v>
      </c>
      <c r="Y423" s="306">
        <f>万相台!G252+万相台!H252</f>
        <v>155</v>
      </c>
      <c r="AA423" s="68">
        <f t="shared" si="21"/>
        <v>6100</v>
      </c>
      <c r="AB423" s="69">
        <f t="shared" si="22"/>
        <v>5885.17</v>
      </c>
      <c r="AC423" s="70">
        <f t="shared" si="15"/>
        <v>331</v>
      </c>
      <c r="AD423" s="505">
        <f t="shared" si="16"/>
        <v>17.7799697885196</v>
      </c>
      <c r="AE423" s="506">
        <f t="shared" si="17"/>
        <v>0.0327204428627916</v>
      </c>
      <c r="AF423" s="69">
        <f t="shared" si="18"/>
        <v>10116</v>
      </c>
      <c r="AG423" s="71">
        <f t="shared" si="19"/>
        <v>0.581768485567418</v>
      </c>
      <c r="AH423" s="71">
        <f t="shared" si="20"/>
        <v>2.7532392315667</v>
      </c>
    </row>
    <row r="424" spans="1:34">
      <c r="A424" s="304">
        <v>45412</v>
      </c>
      <c r="B424" s="392">
        <v>300</v>
      </c>
      <c r="C424" s="176"/>
      <c r="D424" s="443">
        <f>明星店铺!B765</f>
        <v>273.82</v>
      </c>
      <c r="E424" s="404">
        <f>明星店铺!C765</f>
        <v>328</v>
      </c>
      <c r="F424" s="404">
        <f>明星店铺!D765</f>
        <v>162</v>
      </c>
      <c r="G424" s="325">
        <f>明星店铺!G765+明星店铺!H765</f>
        <v>36</v>
      </c>
      <c r="H424" s="392">
        <v>2200</v>
      </c>
      <c r="I424" s="176"/>
      <c r="J424" s="443">
        <f>直通车!B765</f>
        <v>2202.94</v>
      </c>
      <c r="K424" s="399">
        <f>直通车!C765</f>
        <v>7460</v>
      </c>
      <c r="L424" s="511">
        <f>直通车!D765</f>
        <v>542</v>
      </c>
      <c r="M424" s="325">
        <f>直通车!G765+直通车!H765</f>
        <v>43</v>
      </c>
      <c r="N424" s="392">
        <v>1800</v>
      </c>
      <c r="O424" s="176"/>
      <c r="P424" s="443">
        <f>引力魔方!B664</f>
        <v>1420.52</v>
      </c>
      <c r="Q424" s="398">
        <f>引力魔方!C664</f>
        <v>1700812</v>
      </c>
      <c r="R424" s="399">
        <f>引力魔方!D664</f>
        <v>6665</v>
      </c>
      <c r="S424" s="325">
        <f>引力魔方!G664+引力魔方!H664</f>
        <v>59</v>
      </c>
      <c r="T424" s="326">
        <v>1800</v>
      </c>
      <c r="U424" s="176"/>
      <c r="V424" s="326">
        <f>万相台!B253</f>
        <v>2016.62</v>
      </c>
      <c r="W424" s="417">
        <f>万相台!C253</f>
        <v>814715</v>
      </c>
      <c r="X424" s="417">
        <f>万相台!D253</f>
        <v>3571</v>
      </c>
      <c r="Y424" s="306">
        <f>万相台!G253+万相台!H253</f>
        <v>124</v>
      </c>
      <c r="AA424" s="68">
        <f t="shared" si="21"/>
        <v>6100</v>
      </c>
      <c r="AB424" s="69">
        <f t="shared" si="22"/>
        <v>5913.9</v>
      </c>
      <c r="AC424" s="70">
        <f t="shared" si="15"/>
        <v>262</v>
      </c>
      <c r="AD424" s="505">
        <f t="shared" si="16"/>
        <v>22.5721374045802</v>
      </c>
      <c r="AE424" s="506">
        <f t="shared" si="17"/>
        <v>0.0239488117001828</v>
      </c>
      <c r="AF424" s="69">
        <f t="shared" si="18"/>
        <v>10940</v>
      </c>
      <c r="AG424" s="71">
        <f t="shared" si="19"/>
        <v>0.540575868372943</v>
      </c>
      <c r="AH424" s="71">
        <f t="shared" si="20"/>
        <v>2.34370262927934</v>
      </c>
    </row>
    <row r="425" spans="1:34">
      <c r="A425" s="304">
        <v>45413</v>
      </c>
      <c r="B425" s="392">
        <v>500</v>
      </c>
      <c r="C425" s="176">
        <f>D425/$AB425</f>
        <v>0.0539129033395279</v>
      </c>
      <c r="D425" s="443">
        <f>明星店铺!B766</f>
        <v>321.15</v>
      </c>
      <c r="E425" s="404">
        <f>明星店铺!C766</f>
        <v>451</v>
      </c>
      <c r="F425" s="404">
        <f>明星店铺!D766</f>
        <v>210</v>
      </c>
      <c r="G425" s="325">
        <f>明星店铺!G766+明星店铺!H766</f>
        <v>66</v>
      </c>
      <c r="H425" s="392">
        <v>2200</v>
      </c>
      <c r="I425" s="176">
        <f>J425/$AB425</f>
        <v>0.360947013764032</v>
      </c>
      <c r="J425" s="443">
        <f>直通车!B766</f>
        <v>2150.1</v>
      </c>
      <c r="K425" s="399">
        <f>直通车!C766</f>
        <v>8349</v>
      </c>
      <c r="L425" s="511">
        <f>直通车!D766</f>
        <v>550</v>
      </c>
      <c r="M425" s="325">
        <f>直通车!G766+直通车!H766</f>
        <v>54</v>
      </c>
      <c r="N425" s="392">
        <v>1800</v>
      </c>
      <c r="O425" s="176">
        <f>P425/$AB425</f>
        <v>0.242909399798215</v>
      </c>
      <c r="P425" s="443">
        <f>引力魔方!B665</f>
        <v>1446.97</v>
      </c>
      <c r="Q425" s="398">
        <f>引力魔方!C665</f>
        <v>1756618</v>
      </c>
      <c r="R425" s="399">
        <f>引力魔方!D665</f>
        <v>6765</v>
      </c>
      <c r="S425" s="325">
        <f>引力魔方!G665+引力魔方!H665</f>
        <v>73</v>
      </c>
      <c r="T425" s="326">
        <v>1800</v>
      </c>
      <c r="U425" s="176">
        <f>V425/$AB425</f>
        <v>0.342230683098225</v>
      </c>
      <c r="V425" s="326">
        <f>万相台!B254</f>
        <v>2038.61</v>
      </c>
      <c r="W425" s="417">
        <f>万相台!C254</f>
        <v>835851</v>
      </c>
      <c r="X425" s="417">
        <f>万相台!D254</f>
        <v>3550</v>
      </c>
      <c r="Y425" s="306">
        <f>万相台!G254+万相台!H254</f>
        <v>206</v>
      </c>
      <c r="AA425" s="68">
        <f t="shared" si="21"/>
        <v>6300</v>
      </c>
      <c r="AB425" s="69">
        <f t="shared" si="22"/>
        <v>5956.83</v>
      </c>
      <c r="AC425" s="70">
        <f t="shared" si="15"/>
        <v>399</v>
      </c>
      <c r="AD425" s="505">
        <f t="shared" si="16"/>
        <v>14.9293984962406</v>
      </c>
      <c r="AE425" s="506">
        <f t="shared" si="17"/>
        <v>0.0360270880361174</v>
      </c>
      <c r="AF425" s="69">
        <f t="shared" si="18"/>
        <v>11075</v>
      </c>
      <c r="AG425" s="71">
        <f t="shared" si="19"/>
        <v>0.537862753950339</v>
      </c>
      <c r="AH425" s="71">
        <f t="shared" si="20"/>
        <v>2.2899707796464</v>
      </c>
    </row>
    <row r="426" spans="1:34">
      <c r="A426" s="304">
        <v>45414</v>
      </c>
      <c r="B426" s="392">
        <v>500</v>
      </c>
      <c r="C426" s="176">
        <f t="shared" ref="C426:C457" si="23">D426/$AB426</f>
        <v>0.0835459573550752</v>
      </c>
      <c r="D426" s="443">
        <f>明星店铺!B767</f>
        <v>519.32</v>
      </c>
      <c r="E426" s="404">
        <f>明星店铺!C767</f>
        <v>783</v>
      </c>
      <c r="F426" s="404">
        <f>明星店铺!D767</f>
        <v>503</v>
      </c>
      <c r="G426" s="325">
        <f>明星店铺!G767+明星店铺!H767</f>
        <v>128</v>
      </c>
      <c r="H426" s="392">
        <v>2200</v>
      </c>
      <c r="I426" s="176">
        <f t="shared" ref="I426:I457" si="24">J426/$AB426</f>
        <v>0.355343807412508</v>
      </c>
      <c r="J426" s="443">
        <f>直通车!B767</f>
        <v>2208.81</v>
      </c>
      <c r="K426" s="399">
        <f>直通车!C767</f>
        <v>7943</v>
      </c>
      <c r="L426" s="511">
        <f>直通车!D767</f>
        <v>597</v>
      </c>
      <c r="M426" s="325">
        <f>直通车!G767+直通车!H767</f>
        <v>76</v>
      </c>
      <c r="N426" s="392">
        <v>1800</v>
      </c>
      <c r="O426" s="176">
        <f t="shared" ref="O426:O457" si="25">P426/$AB426</f>
        <v>0.232307697257713</v>
      </c>
      <c r="P426" s="443">
        <f>引力魔方!B666</f>
        <v>1444.02</v>
      </c>
      <c r="Q426" s="398">
        <f>引力魔方!C666</f>
        <v>1771626</v>
      </c>
      <c r="R426" s="399">
        <f>引力魔方!D666</f>
        <v>6837</v>
      </c>
      <c r="S426" s="325">
        <f>引力魔方!G666+引力魔方!H666</f>
        <v>49</v>
      </c>
      <c r="T426" s="326">
        <v>1800</v>
      </c>
      <c r="U426" s="176">
        <f t="shared" ref="U426:U457" si="26">V426/$AB426</f>
        <v>0.328802537974704</v>
      </c>
      <c r="V426" s="326">
        <f>万相台!B255</f>
        <v>2043.83</v>
      </c>
      <c r="W426" s="417">
        <f>万相台!C255</f>
        <v>789269</v>
      </c>
      <c r="X426" s="417">
        <f>万相台!D255</f>
        <v>3772</v>
      </c>
      <c r="Y426" s="306">
        <f>万相台!G255+万相台!H255</f>
        <v>201</v>
      </c>
      <c r="AA426" s="68">
        <f t="shared" si="21"/>
        <v>6300</v>
      </c>
      <c r="AB426" s="69">
        <f t="shared" si="22"/>
        <v>6215.98</v>
      </c>
      <c r="AC426" s="70">
        <f t="shared" si="15"/>
        <v>454</v>
      </c>
      <c r="AD426" s="505">
        <f t="shared" si="16"/>
        <v>13.6915859030837</v>
      </c>
      <c r="AE426" s="506">
        <f t="shared" si="17"/>
        <v>0.0387735929626783</v>
      </c>
      <c r="AF426" s="69">
        <f t="shared" si="18"/>
        <v>11709</v>
      </c>
      <c r="AG426" s="71">
        <f t="shared" si="19"/>
        <v>0.530871978819711</v>
      </c>
      <c r="AH426" s="71">
        <f t="shared" si="20"/>
        <v>2.41902599644072</v>
      </c>
    </row>
    <row r="427" spans="1:34">
      <c r="A427" s="304">
        <v>45415</v>
      </c>
      <c r="B427" s="392">
        <v>500</v>
      </c>
      <c r="C427" s="176">
        <f t="shared" si="23"/>
        <v>0.0624933509627806</v>
      </c>
      <c r="D427" s="443">
        <f>明星店铺!B768</f>
        <v>370.08</v>
      </c>
      <c r="E427" s="404">
        <f>明星店铺!C768</f>
        <v>539</v>
      </c>
      <c r="F427" s="404">
        <f>明星店铺!D768</f>
        <v>318</v>
      </c>
      <c r="G427" s="325">
        <f>明星店铺!G768+明星店铺!H768</f>
        <v>81</v>
      </c>
      <c r="H427" s="392">
        <v>2200</v>
      </c>
      <c r="I427" s="176">
        <f t="shared" si="24"/>
        <v>0.354130677433463</v>
      </c>
      <c r="J427" s="443">
        <f>直通车!B768</f>
        <v>2097.13</v>
      </c>
      <c r="K427" s="399">
        <f>直通车!C768</f>
        <v>7533</v>
      </c>
      <c r="L427" s="511">
        <f>直通车!D768</f>
        <v>528</v>
      </c>
      <c r="M427" s="325">
        <f>直通车!G768+直通车!H768</f>
        <v>32</v>
      </c>
      <c r="N427" s="392">
        <v>1800</v>
      </c>
      <c r="O427" s="176">
        <f t="shared" si="25"/>
        <v>0.244264097225388</v>
      </c>
      <c r="P427" s="443">
        <f>引力魔方!B667</f>
        <v>1446.51</v>
      </c>
      <c r="Q427" s="398">
        <f>引力魔方!C667</f>
        <v>1748224</v>
      </c>
      <c r="R427" s="399">
        <f>引力魔方!D667</f>
        <v>7391</v>
      </c>
      <c r="S427" s="325">
        <f>引力魔方!G667+引力魔方!H667</f>
        <v>68</v>
      </c>
      <c r="T427" s="326">
        <v>1800</v>
      </c>
      <c r="U427" s="176">
        <f t="shared" si="26"/>
        <v>0.339111874378368</v>
      </c>
      <c r="V427" s="326">
        <f>万相台!B256</f>
        <v>2008.19</v>
      </c>
      <c r="W427" s="417">
        <f>万相台!C256</f>
        <v>836079</v>
      </c>
      <c r="X427" s="417">
        <f>万相台!D256</f>
        <v>3820</v>
      </c>
      <c r="Y427" s="306">
        <f>万相台!G256+万相台!H256</f>
        <v>179</v>
      </c>
      <c r="AA427" s="68">
        <f t="shared" si="21"/>
        <v>6300</v>
      </c>
      <c r="AB427" s="69">
        <f t="shared" si="22"/>
        <v>5921.91</v>
      </c>
      <c r="AC427" s="70">
        <f t="shared" si="15"/>
        <v>360</v>
      </c>
      <c r="AD427" s="505">
        <f t="shared" si="16"/>
        <v>16.44975</v>
      </c>
      <c r="AE427" s="506">
        <f t="shared" si="17"/>
        <v>0.0298581736750435</v>
      </c>
      <c r="AF427" s="69">
        <f t="shared" si="18"/>
        <v>12057</v>
      </c>
      <c r="AG427" s="71">
        <f t="shared" si="19"/>
        <v>0.491159492411048</v>
      </c>
      <c r="AH427" s="71">
        <f t="shared" si="20"/>
        <v>2.28435700853464</v>
      </c>
    </row>
    <row r="428" spans="1:34">
      <c r="A428" s="304">
        <v>45416</v>
      </c>
      <c r="B428" s="392">
        <v>500</v>
      </c>
      <c r="C428" s="176">
        <f t="shared" si="23"/>
        <v>0.0752585505257208</v>
      </c>
      <c r="D428" s="443">
        <f>明星店铺!B769</f>
        <v>454.01</v>
      </c>
      <c r="E428" s="404">
        <f>明星店铺!C769</f>
        <v>626</v>
      </c>
      <c r="F428" s="404">
        <f>明星店铺!D769</f>
        <v>351</v>
      </c>
      <c r="G428" s="325">
        <f>明星店铺!G769+明星店铺!H769</f>
        <v>79</v>
      </c>
      <c r="H428" s="392">
        <v>2200</v>
      </c>
      <c r="I428" s="176">
        <f t="shared" si="24"/>
        <v>0.365841327306151</v>
      </c>
      <c r="J428" s="443">
        <f>直通车!B769</f>
        <v>2207</v>
      </c>
      <c r="K428" s="399">
        <f>直通车!C769</f>
        <v>7125</v>
      </c>
      <c r="L428" s="511">
        <f>直通车!D769</f>
        <v>547</v>
      </c>
      <c r="M428" s="325">
        <f>直通车!G769+直通车!H769</f>
        <v>43</v>
      </c>
      <c r="N428" s="392">
        <v>1800</v>
      </c>
      <c r="O428" s="176">
        <f t="shared" si="25"/>
        <v>0.219397049730882</v>
      </c>
      <c r="P428" s="443">
        <f>引力魔方!B668</f>
        <v>1323.55</v>
      </c>
      <c r="Q428" s="398">
        <f>引力魔方!C668</f>
        <v>1716085</v>
      </c>
      <c r="R428" s="399">
        <f>引力魔方!D668</f>
        <v>6754</v>
      </c>
      <c r="S428" s="325">
        <f>引力魔方!G668+引力魔方!H668</f>
        <v>60</v>
      </c>
      <c r="T428" s="326">
        <v>1800</v>
      </c>
      <c r="U428" s="176">
        <f t="shared" si="26"/>
        <v>0.339503072437246</v>
      </c>
      <c r="V428" s="326">
        <f>万相台!B257</f>
        <v>2048.11</v>
      </c>
      <c r="W428" s="417">
        <f>万相台!C257</f>
        <v>1139522</v>
      </c>
      <c r="X428" s="417">
        <f>万相台!D257</f>
        <v>4796</v>
      </c>
      <c r="Y428" s="306">
        <f>万相台!G257+万相台!H257</f>
        <v>217</v>
      </c>
      <c r="AA428" s="68">
        <f t="shared" si="21"/>
        <v>6300</v>
      </c>
      <c r="AB428" s="69">
        <f t="shared" si="22"/>
        <v>6032.67</v>
      </c>
      <c r="AC428" s="70">
        <f t="shared" si="15"/>
        <v>399</v>
      </c>
      <c r="AD428" s="505">
        <f t="shared" si="16"/>
        <v>15.1194736842105</v>
      </c>
      <c r="AE428" s="506">
        <f t="shared" si="17"/>
        <v>0.0320533419023136</v>
      </c>
      <c r="AF428" s="69">
        <f t="shared" si="18"/>
        <v>12448</v>
      </c>
      <c r="AG428" s="71">
        <f t="shared" si="19"/>
        <v>0.484629659383033</v>
      </c>
      <c r="AH428" s="71">
        <f t="shared" si="20"/>
        <v>2.106851466006</v>
      </c>
    </row>
    <row r="429" spans="1:34">
      <c r="A429" s="304">
        <v>45417</v>
      </c>
      <c r="B429" s="392">
        <v>500</v>
      </c>
      <c r="C429" s="176">
        <f t="shared" si="23"/>
        <v>0.0759141950785845</v>
      </c>
      <c r="D429" s="443">
        <f>明星店铺!B770</f>
        <v>462.82</v>
      </c>
      <c r="E429" s="404">
        <f>明星店铺!C770</f>
        <v>589</v>
      </c>
      <c r="F429" s="404">
        <f>明星店铺!D770</f>
        <v>301</v>
      </c>
      <c r="G429" s="325">
        <f>明星店铺!G770+明星店铺!H770</f>
        <v>101</v>
      </c>
      <c r="H429" s="392">
        <v>2200</v>
      </c>
      <c r="I429" s="176">
        <f t="shared" si="24"/>
        <v>0.361123048508846</v>
      </c>
      <c r="J429" s="443">
        <f>直通车!B770</f>
        <v>2201.63</v>
      </c>
      <c r="K429" s="399">
        <f>直通车!C770</f>
        <v>7161</v>
      </c>
      <c r="L429" s="511">
        <f>直通车!D770</f>
        <v>567</v>
      </c>
      <c r="M429" s="325">
        <f>直通车!G770+直通车!H770</f>
        <v>40</v>
      </c>
      <c r="N429" s="392">
        <v>1800</v>
      </c>
      <c r="O429" s="176">
        <f t="shared" si="25"/>
        <v>0.233911577234599</v>
      </c>
      <c r="P429" s="443">
        <f>引力魔方!B669</f>
        <v>1426.07</v>
      </c>
      <c r="Q429" s="398">
        <f>引力魔方!C669</f>
        <v>1690482</v>
      </c>
      <c r="R429" s="399">
        <f>引力魔方!D669</f>
        <v>6976</v>
      </c>
      <c r="S429" s="325">
        <f>引力魔方!G669+引力魔方!H669</f>
        <v>48</v>
      </c>
      <c r="T429" s="326">
        <v>1800</v>
      </c>
      <c r="U429" s="176">
        <f t="shared" si="26"/>
        <v>0.329051179177971</v>
      </c>
      <c r="V429" s="326">
        <f>万相台!B258</f>
        <v>2006.1</v>
      </c>
      <c r="W429" s="417">
        <f>万相台!C258</f>
        <v>986088</v>
      </c>
      <c r="X429" s="417">
        <f>万相台!D258</f>
        <v>4166</v>
      </c>
      <c r="Y429" s="306">
        <f>万相台!G258+万相台!H258</f>
        <v>254</v>
      </c>
      <c r="AA429" s="68">
        <f t="shared" si="21"/>
        <v>6300</v>
      </c>
      <c r="AB429" s="69">
        <f t="shared" si="22"/>
        <v>6096.62</v>
      </c>
      <c r="AC429" s="70">
        <f t="shared" si="15"/>
        <v>443</v>
      </c>
      <c r="AD429" s="505">
        <f t="shared" si="16"/>
        <v>13.7621218961625</v>
      </c>
      <c r="AE429" s="506">
        <f t="shared" si="17"/>
        <v>0.0368859283930058</v>
      </c>
      <c r="AF429" s="69">
        <f t="shared" si="18"/>
        <v>12010</v>
      </c>
      <c r="AG429" s="71">
        <f t="shared" si="19"/>
        <v>0.507628642797669</v>
      </c>
      <c r="AH429" s="71">
        <f t="shared" si="20"/>
        <v>2.27119717470346</v>
      </c>
    </row>
    <row r="430" spans="1:34">
      <c r="A430" s="304">
        <v>45418</v>
      </c>
      <c r="B430" s="392">
        <v>700</v>
      </c>
      <c r="C430" s="176">
        <f t="shared" si="23"/>
        <v>0.0932243108475692</v>
      </c>
      <c r="D430" s="443">
        <f>明星店铺!B771</f>
        <v>628.55</v>
      </c>
      <c r="E430" s="404">
        <f>明星店铺!C771</f>
        <v>766</v>
      </c>
      <c r="F430" s="404">
        <f>明星店铺!D771</f>
        <v>410</v>
      </c>
      <c r="G430" s="325">
        <f>明星店铺!G771+明星店铺!H771</f>
        <v>117</v>
      </c>
      <c r="H430" s="392">
        <v>2200</v>
      </c>
      <c r="I430" s="176">
        <f t="shared" si="24"/>
        <v>0.327776409970426</v>
      </c>
      <c r="J430" s="443">
        <f>直通车!B771</f>
        <v>2209.98</v>
      </c>
      <c r="K430" s="399">
        <f>直通车!C771</f>
        <v>7563</v>
      </c>
      <c r="L430" s="511">
        <f>直通车!D771</f>
        <v>563</v>
      </c>
      <c r="M430" s="325">
        <f>直通车!G771+直通车!H771</f>
        <v>46</v>
      </c>
      <c r="N430" s="392">
        <v>1050</v>
      </c>
      <c r="O430" s="176">
        <f t="shared" si="25"/>
        <v>0.212872682184523</v>
      </c>
      <c r="P430" s="443">
        <f>引力魔方!B670</f>
        <v>1435.26</v>
      </c>
      <c r="Q430" s="398">
        <f>引力魔方!C670</f>
        <v>1769464</v>
      </c>
      <c r="R430" s="399">
        <f>引力魔方!D670</f>
        <v>6980</v>
      </c>
      <c r="S430" s="325">
        <f>引力魔方!G670+引力魔方!H670</f>
        <v>44</v>
      </c>
      <c r="T430" s="326">
        <v>1800</v>
      </c>
      <c r="U430" s="176">
        <f t="shared" si="26"/>
        <v>0.366126596997482</v>
      </c>
      <c r="V430" s="326">
        <f>万相台!B259</f>
        <v>2468.55</v>
      </c>
      <c r="W430" s="417">
        <f>万相台!C259</f>
        <v>1025964</v>
      </c>
      <c r="X430" s="417">
        <f>万相台!D259</f>
        <v>9294</v>
      </c>
      <c r="Y430" s="306">
        <f>万相台!G259+万相台!H259</f>
        <v>217</v>
      </c>
      <c r="AA430" s="68">
        <f t="shared" si="21"/>
        <v>5750</v>
      </c>
      <c r="AB430" s="69">
        <f t="shared" si="22"/>
        <v>6742.34</v>
      </c>
      <c r="AC430" s="70">
        <f t="shared" si="15"/>
        <v>424</v>
      </c>
      <c r="AD430" s="505">
        <f t="shared" si="16"/>
        <v>15.9017452830189</v>
      </c>
      <c r="AE430" s="506">
        <f t="shared" si="17"/>
        <v>0.0245839856206877</v>
      </c>
      <c r="AF430" s="69">
        <f t="shared" si="18"/>
        <v>17247</v>
      </c>
      <c r="AG430" s="71">
        <f t="shared" si="19"/>
        <v>0.390928277381574</v>
      </c>
      <c r="AH430" s="71">
        <f t="shared" si="20"/>
        <v>2.40475190966978</v>
      </c>
    </row>
    <row r="431" spans="1:34">
      <c r="A431" s="304">
        <v>45419</v>
      </c>
      <c r="B431" s="392">
        <v>700</v>
      </c>
      <c r="C431" s="176">
        <f t="shared" si="23"/>
        <v>0.0870480351925527</v>
      </c>
      <c r="D431" s="443">
        <f>明星店铺!B772</f>
        <v>500.83</v>
      </c>
      <c r="E431" s="404">
        <f>明星店铺!C772</f>
        <v>633</v>
      </c>
      <c r="F431" s="404">
        <f>明星店铺!D772</f>
        <v>359</v>
      </c>
      <c r="G431" s="325">
        <f>明星店铺!G772+明星店铺!H772</f>
        <v>95</v>
      </c>
      <c r="H431" s="392">
        <v>2200</v>
      </c>
      <c r="I431" s="176">
        <f t="shared" si="24"/>
        <v>0.384507490236361</v>
      </c>
      <c r="J431" s="443">
        <f>直通车!B772</f>
        <v>2212.26</v>
      </c>
      <c r="K431" s="399">
        <f>直通车!C772</f>
        <v>5996</v>
      </c>
      <c r="L431" s="511">
        <f>直通车!D772</f>
        <v>568</v>
      </c>
      <c r="M431" s="325">
        <f>直通车!G772+直通车!H772</f>
        <v>46</v>
      </c>
      <c r="N431" s="392">
        <v>1050</v>
      </c>
      <c r="O431" s="176">
        <f t="shared" si="25"/>
        <v>0.177932003010347</v>
      </c>
      <c r="P431" s="443">
        <f>引力魔方!B671</f>
        <v>1023.73</v>
      </c>
      <c r="Q431" s="398">
        <f>引力魔方!C671</f>
        <v>1302089</v>
      </c>
      <c r="R431" s="399">
        <f>引力魔方!D671</f>
        <v>4837</v>
      </c>
      <c r="S431" s="325">
        <f>引力魔方!G671+引力魔方!H671</f>
        <v>50</v>
      </c>
      <c r="T431" s="326">
        <v>1800</v>
      </c>
      <c r="U431" s="176">
        <f t="shared" si="26"/>
        <v>0.35051247156074</v>
      </c>
      <c r="V431" s="326">
        <f>万相台!B260</f>
        <v>2016.67</v>
      </c>
      <c r="W431" s="417">
        <f>万相台!C260</f>
        <v>764901</v>
      </c>
      <c r="X431" s="417">
        <f>万相台!D260</f>
        <v>3599</v>
      </c>
      <c r="Y431" s="306">
        <f>万相台!G260+万相台!H260</f>
        <v>221</v>
      </c>
      <c r="AA431" s="68">
        <f t="shared" si="21"/>
        <v>5750</v>
      </c>
      <c r="AB431" s="69">
        <f t="shared" si="22"/>
        <v>5753.49</v>
      </c>
      <c r="AC431" s="70">
        <f t="shared" si="15"/>
        <v>412</v>
      </c>
      <c r="AD431" s="505">
        <f t="shared" si="16"/>
        <v>13.9647815533981</v>
      </c>
      <c r="AE431" s="506">
        <f t="shared" si="17"/>
        <v>0.0440029904944996</v>
      </c>
      <c r="AF431" s="69">
        <f t="shared" si="18"/>
        <v>9363</v>
      </c>
      <c r="AG431" s="71">
        <f t="shared" si="19"/>
        <v>0.614492149951938</v>
      </c>
      <c r="AH431" s="71">
        <f t="shared" si="20"/>
        <v>2.77461288693825</v>
      </c>
    </row>
    <row r="432" spans="1:34">
      <c r="A432" s="304">
        <v>45420</v>
      </c>
      <c r="B432" s="392">
        <v>700</v>
      </c>
      <c r="C432" s="176">
        <f t="shared" si="23"/>
        <v>0.0664194404737594</v>
      </c>
      <c r="D432" s="443">
        <f>明星店铺!B773</f>
        <v>406.57</v>
      </c>
      <c r="E432" s="404">
        <f>明星店铺!C773</f>
        <v>519</v>
      </c>
      <c r="F432" s="404">
        <f>明星店铺!D773</f>
        <v>252</v>
      </c>
      <c r="G432" s="325">
        <f>明星店铺!G773+明星店铺!H773</f>
        <v>72</v>
      </c>
      <c r="H432" s="392">
        <v>2200</v>
      </c>
      <c r="I432" s="176">
        <f t="shared" si="24"/>
        <v>0.360091484582397</v>
      </c>
      <c r="J432" s="443">
        <f>直通车!B773</f>
        <v>2204.21</v>
      </c>
      <c r="K432" s="399">
        <f>直通车!C773</f>
        <v>7018</v>
      </c>
      <c r="L432" s="511">
        <f>直通车!D773</f>
        <v>573</v>
      </c>
      <c r="M432" s="325">
        <f>直通车!G773+直通车!H773</f>
        <v>57</v>
      </c>
      <c r="N432" s="392">
        <v>1050</v>
      </c>
      <c r="O432" s="176">
        <f t="shared" si="25"/>
        <v>0.16595793342863</v>
      </c>
      <c r="P432" s="443">
        <f>引力魔方!B672</f>
        <v>1015.87</v>
      </c>
      <c r="Q432" s="398">
        <f>引力魔方!C672</f>
        <v>1306198</v>
      </c>
      <c r="R432" s="399">
        <f>引力魔方!D672</f>
        <v>4753</v>
      </c>
      <c r="S432" s="325">
        <f>引力魔方!G672+引力魔方!H672</f>
        <v>48</v>
      </c>
      <c r="T432" s="326">
        <v>1800</v>
      </c>
      <c r="U432" s="176">
        <f t="shared" si="26"/>
        <v>0.407531141515213</v>
      </c>
      <c r="V432" s="326">
        <f>万相台!B261</f>
        <v>2494.6</v>
      </c>
      <c r="W432" s="417">
        <f>万相台!C261</f>
        <v>886334</v>
      </c>
      <c r="X432" s="417">
        <f>万相台!D261</f>
        <v>17967</v>
      </c>
      <c r="Y432" s="306">
        <f>万相台!G261+万相台!H261</f>
        <v>200</v>
      </c>
      <c r="AA432" s="68">
        <f t="shared" ref="AA432:AA447" si="27">B432+H432+N432+T432</f>
        <v>5750</v>
      </c>
      <c r="AB432" s="69">
        <f t="shared" si="22"/>
        <v>6121.25</v>
      </c>
      <c r="AC432" s="70">
        <f t="shared" si="15"/>
        <v>377</v>
      </c>
      <c r="AD432" s="505">
        <f t="shared" si="16"/>
        <v>16.2367374005305</v>
      </c>
      <c r="AE432" s="506">
        <f t="shared" si="17"/>
        <v>0.0160118921214695</v>
      </c>
      <c r="AF432" s="69">
        <f t="shared" si="18"/>
        <v>23545</v>
      </c>
      <c r="AG432" s="71">
        <f t="shared" si="19"/>
        <v>0.259980887661924</v>
      </c>
      <c r="AH432" s="71">
        <f t="shared" si="20"/>
        <v>2.78229910061912</v>
      </c>
    </row>
    <row r="433" spans="1:34">
      <c r="A433" s="304">
        <v>45421</v>
      </c>
      <c r="B433" s="392">
        <v>700</v>
      </c>
      <c r="C433" s="176">
        <f t="shared" si="23"/>
        <v>0.0633316554594727</v>
      </c>
      <c r="D433" s="443">
        <f>明星店铺!B774</f>
        <v>378.71</v>
      </c>
      <c r="E433" s="404">
        <f>明星店铺!C774</f>
        <v>451</v>
      </c>
      <c r="F433" s="404">
        <f>明星店铺!D774</f>
        <v>181</v>
      </c>
      <c r="G433" s="325">
        <f>明星店铺!G774+明星店铺!H774</f>
        <v>41</v>
      </c>
      <c r="H433" s="392">
        <v>2200</v>
      </c>
      <c r="I433" s="176">
        <f t="shared" si="24"/>
        <v>0.349396885174897</v>
      </c>
      <c r="J433" s="443">
        <f>直通车!B774</f>
        <v>2089.32</v>
      </c>
      <c r="K433" s="399">
        <f>直通车!C774</f>
        <v>6835</v>
      </c>
      <c r="L433" s="511">
        <f>直通车!D774</f>
        <v>528</v>
      </c>
      <c r="M433" s="325">
        <f>直通车!G774+直通车!H774</f>
        <v>45</v>
      </c>
      <c r="N433" s="392">
        <v>1050</v>
      </c>
      <c r="O433" s="176">
        <f t="shared" si="25"/>
        <v>0.17083375837613</v>
      </c>
      <c r="P433" s="443">
        <f>引力魔方!B673</f>
        <v>1021.55</v>
      </c>
      <c r="Q433" s="398">
        <f>引力魔方!C673</f>
        <v>1291351</v>
      </c>
      <c r="R433" s="399">
        <f>引力魔方!D673</f>
        <v>4439</v>
      </c>
      <c r="S433" s="325">
        <f>引力魔方!G673+引力魔方!H673</f>
        <v>45</v>
      </c>
      <c r="T433" s="326">
        <v>1800</v>
      </c>
      <c r="U433" s="176">
        <f t="shared" si="26"/>
        <v>0.4164377009895</v>
      </c>
      <c r="V433" s="326">
        <f>万相台!B262</f>
        <v>2490.21</v>
      </c>
      <c r="W433" s="417">
        <f>万相台!C262</f>
        <v>1079620</v>
      </c>
      <c r="X433" s="417">
        <f>万相台!D262</f>
        <v>23860</v>
      </c>
      <c r="Y433" s="306">
        <f>万相台!G262+万相台!H262</f>
        <v>190</v>
      </c>
      <c r="AA433" s="68">
        <f t="shared" si="27"/>
        <v>5750</v>
      </c>
      <c r="AB433" s="69">
        <f t="shared" si="22"/>
        <v>5979.79</v>
      </c>
      <c r="AC433" s="70">
        <f t="shared" si="15"/>
        <v>321</v>
      </c>
      <c r="AD433" s="505">
        <f t="shared" si="16"/>
        <v>18.6286292834891</v>
      </c>
      <c r="AE433" s="506">
        <f t="shared" si="17"/>
        <v>0.0110659128516271</v>
      </c>
      <c r="AF433" s="69">
        <f t="shared" si="18"/>
        <v>29008</v>
      </c>
      <c r="AG433" s="71">
        <f t="shared" si="19"/>
        <v>0.20614278819636</v>
      </c>
      <c r="AH433" s="71">
        <f t="shared" si="20"/>
        <v>2.51435820434881</v>
      </c>
    </row>
    <row r="434" spans="1:34">
      <c r="A434" s="304">
        <v>45422</v>
      </c>
      <c r="B434" s="392">
        <v>700</v>
      </c>
      <c r="C434" s="176">
        <f t="shared" si="23"/>
        <v>0.0583112182538879</v>
      </c>
      <c r="D434" s="443">
        <f>明星店铺!B775</f>
        <v>345.41</v>
      </c>
      <c r="E434" s="404">
        <f>明星店铺!C775</f>
        <v>391</v>
      </c>
      <c r="F434" s="404">
        <f>明星店铺!D775</f>
        <v>159</v>
      </c>
      <c r="G434" s="325">
        <f>明星店铺!G775+明星店铺!H775</f>
        <v>46</v>
      </c>
      <c r="H434" s="392">
        <v>2200</v>
      </c>
      <c r="I434" s="176">
        <f t="shared" si="24"/>
        <v>0.339957728122953</v>
      </c>
      <c r="J434" s="443">
        <f>直通车!B775</f>
        <v>2013.76</v>
      </c>
      <c r="K434" s="399">
        <f>直通车!C775</f>
        <v>7034</v>
      </c>
      <c r="L434" s="511">
        <f>直通车!D775</f>
        <v>512</v>
      </c>
      <c r="M434" s="325">
        <f>直通车!G775+直通车!H775</f>
        <v>45</v>
      </c>
      <c r="N434" s="392">
        <v>1050</v>
      </c>
      <c r="O434" s="176">
        <f t="shared" si="25"/>
        <v>0.173304566848314</v>
      </c>
      <c r="P434" s="443">
        <f>引力魔方!B674</f>
        <v>1026.58</v>
      </c>
      <c r="Q434" s="398">
        <f>引力魔方!C674</f>
        <v>1178274</v>
      </c>
      <c r="R434" s="399">
        <f>引力魔方!D674</f>
        <v>4329</v>
      </c>
      <c r="S434" s="325">
        <f>引力魔方!G674+引力魔方!H674</f>
        <v>40</v>
      </c>
      <c r="T434" s="326">
        <v>1800</v>
      </c>
      <c r="U434" s="176">
        <f t="shared" si="26"/>
        <v>0.428426486774845</v>
      </c>
      <c r="V434" s="326">
        <f>万相台!B263</f>
        <v>2537.81</v>
      </c>
      <c r="W434" s="417">
        <f>万相台!C263</f>
        <v>882748</v>
      </c>
      <c r="X434" s="417">
        <f>万相台!D263</f>
        <v>15944</v>
      </c>
      <c r="Y434" s="306">
        <f>万相台!G263+万相台!H263</f>
        <v>204</v>
      </c>
      <c r="AA434" s="68">
        <f t="shared" si="27"/>
        <v>5750</v>
      </c>
      <c r="AB434" s="69">
        <f t="shared" si="22"/>
        <v>5923.56</v>
      </c>
      <c r="AC434" s="70">
        <f t="shared" si="15"/>
        <v>335</v>
      </c>
      <c r="AD434" s="505">
        <f t="shared" si="16"/>
        <v>17.6822686567164</v>
      </c>
      <c r="AE434" s="506">
        <f t="shared" si="17"/>
        <v>0.0159950343773873</v>
      </c>
      <c r="AF434" s="69">
        <f t="shared" si="18"/>
        <v>20944</v>
      </c>
      <c r="AG434" s="71">
        <f t="shared" si="19"/>
        <v>0.282828495034377</v>
      </c>
      <c r="AH434" s="71">
        <f t="shared" si="20"/>
        <v>2.86377170891978</v>
      </c>
    </row>
    <row r="435" spans="1:34">
      <c r="A435" s="304">
        <v>45423</v>
      </c>
      <c r="B435" s="392">
        <v>700</v>
      </c>
      <c r="C435" s="176">
        <f t="shared" si="23"/>
        <v>0.0583700083055686</v>
      </c>
      <c r="D435" s="443">
        <f>明星店铺!B776</f>
        <v>305.71</v>
      </c>
      <c r="E435" s="404">
        <f>明星店铺!C776</f>
        <v>342</v>
      </c>
      <c r="F435" s="404">
        <f>明星店铺!D776</f>
        <v>136</v>
      </c>
      <c r="G435" s="325">
        <f>明星店铺!G776+明星店铺!H776</f>
        <v>51</v>
      </c>
      <c r="H435" s="392">
        <v>2200</v>
      </c>
      <c r="I435" s="176">
        <f t="shared" si="24"/>
        <v>0.361637819931455</v>
      </c>
      <c r="J435" s="443">
        <f>直通车!B776</f>
        <v>1894.06</v>
      </c>
      <c r="K435" s="399">
        <f>直通车!C776</f>
        <v>6916</v>
      </c>
      <c r="L435" s="511">
        <f>直通车!D776</f>
        <v>467</v>
      </c>
      <c r="M435" s="325">
        <f>直通车!G776+直通车!H776</f>
        <v>23</v>
      </c>
      <c r="N435" s="392">
        <v>1050</v>
      </c>
      <c r="O435" s="176">
        <f t="shared" si="25"/>
        <v>0.194378943951732</v>
      </c>
      <c r="P435" s="443">
        <f>引力魔方!B675</f>
        <v>1018.05</v>
      </c>
      <c r="Q435" s="398">
        <f>引力魔方!C675</f>
        <v>1210739</v>
      </c>
      <c r="R435" s="399">
        <f>引力魔方!D675</f>
        <v>4287</v>
      </c>
      <c r="S435" s="325">
        <f>引力魔方!G675+引力魔方!H675</f>
        <v>44</v>
      </c>
      <c r="T435" s="326">
        <v>1800</v>
      </c>
      <c r="U435" s="176">
        <f t="shared" si="26"/>
        <v>0.385613227811244</v>
      </c>
      <c r="V435" s="326">
        <f>万相台!B264</f>
        <v>2019.63</v>
      </c>
      <c r="W435" s="417">
        <f>万相台!D264</f>
        <v>3470</v>
      </c>
      <c r="X435" s="417">
        <f>万相台!D264</f>
        <v>3470</v>
      </c>
      <c r="Y435" s="306">
        <f>万相台!G264+万相台!H264</f>
        <v>215</v>
      </c>
      <c r="AA435" s="68">
        <f t="shared" ref="AA435:AA441" si="28">B435+H435+N435+T435</f>
        <v>5750</v>
      </c>
      <c r="AB435" s="69">
        <f t="shared" ref="AB435:AB438" si="29">D435+J435+P435+V435</f>
        <v>5237.45</v>
      </c>
      <c r="AC435" s="70">
        <f t="shared" ref="AC435:AC438" si="30">G435+M435+S435+Y435</f>
        <v>333</v>
      </c>
      <c r="AD435" s="505">
        <f t="shared" ref="AD435:AD438" si="31">AB435/AC435</f>
        <v>15.7280780780781</v>
      </c>
      <c r="AE435" s="506">
        <f t="shared" ref="AE435:AE438" si="32">AC435/AF435</f>
        <v>0.0398325358851675</v>
      </c>
      <c r="AF435" s="69">
        <f t="shared" ref="AF435:AF438" si="33">F435+L435+R435+X435</f>
        <v>8360</v>
      </c>
      <c r="AG435" s="71">
        <f t="shared" ref="AG435:AG438" si="34">AB435/AF435</f>
        <v>0.626489234449761</v>
      </c>
      <c r="AH435" s="71">
        <f t="shared" ref="AH435:AH438" si="35">AB435/((E435+K435+Q435+W435)/1000)</f>
        <v>4.28783585639235</v>
      </c>
    </row>
    <row r="436" spans="1:34">
      <c r="A436" s="304">
        <v>45424</v>
      </c>
      <c r="B436" s="392">
        <v>700</v>
      </c>
      <c r="C436" s="176">
        <f t="shared" si="23"/>
        <v>0.0565165126586344</v>
      </c>
      <c r="D436" s="443">
        <f>明星店铺!B777</f>
        <v>307.95</v>
      </c>
      <c r="E436" s="404">
        <f>明星店铺!C777</f>
        <v>386</v>
      </c>
      <c r="F436" s="404">
        <f>明星店铺!D777</f>
        <v>164</v>
      </c>
      <c r="G436" s="325">
        <f>明星店铺!G777+明星店铺!H777</f>
        <v>52</v>
      </c>
      <c r="H436" s="392">
        <v>2200</v>
      </c>
      <c r="I436" s="176">
        <f t="shared" si="24"/>
        <v>0.391245859218</v>
      </c>
      <c r="J436" s="443">
        <f>直通车!B777</f>
        <v>2131.84</v>
      </c>
      <c r="K436" s="399">
        <f>直通车!C777</f>
        <v>6395</v>
      </c>
      <c r="L436" s="511">
        <f>直通车!D777</f>
        <v>554</v>
      </c>
      <c r="M436" s="325">
        <f>直通车!G777+直通车!H777</f>
        <v>45</v>
      </c>
      <c r="N436" s="392">
        <v>1050</v>
      </c>
      <c r="O436" s="176">
        <f t="shared" si="25"/>
        <v>0.187835965387192</v>
      </c>
      <c r="P436" s="443">
        <f>引力魔方!B676</f>
        <v>1023.49</v>
      </c>
      <c r="Q436" s="398">
        <f>引力魔方!C676</f>
        <v>1220466</v>
      </c>
      <c r="R436" s="399">
        <f>引力魔方!D676</f>
        <v>4688</v>
      </c>
      <c r="S436" s="325">
        <f>引力魔方!G676+引力魔方!H676</f>
        <v>49</v>
      </c>
      <c r="T436" s="326">
        <v>1800</v>
      </c>
      <c r="U436" s="176">
        <f t="shared" si="26"/>
        <v>0.364401662736174</v>
      </c>
      <c r="V436" s="326">
        <f>万相台!B265</f>
        <v>1985.57</v>
      </c>
      <c r="W436" s="417">
        <f>万相台!C265</f>
        <v>978296</v>
      </c>
      <c r="X436" s="417">
        <f>万相台!D265</f>
        <v>3518</v>
      </c>
      <c r="Y436" s="306">
        <f>万相台!G265+万相台!H265</f>
        <v>200</v>
      </c>
      <c r="AA436" s="68">
        <f t="shared" si="28"/>
        <v>5750</v>
      </c>
      <c r="AB436" s="69">
        <f t="shared" si="29"/>
        <v>5448.85</v>
      </c>
      <c r="AC436" s="70">
        <f t="shared" si="30"/>
        <v>346</v>
      </c>
      <c r="AD436" s="505">
        <f t="shared" si="31"/>
        <v>15.7481213872832</v>
      </c>
      <c r="AE436" s="506">
        <f t="shared" si="32"/>
        <v>0.0387718511878082</v>
      </c>
      <c r="AF436" s="69">
        <f t="shared" si="33"/>
        <v>8924</v>
      </c>
      <c r="AG436" s="71">
        <f t="shared" si="34"/>
        <v>0.610583818915285</v>
      </c>
      <c r="AH436" s="71">
        <f t="shared" si="35"/>
        <v>2.47052539896071</v>
      </c>
    </row>
    <row r="437" spans="1:34">
      <c r="A437" s="304">
        <v>45425</v>
      </c>
      <c r="B437" s="392">
        <v>700</v>
      </c>
      <c r="C437" s="176">
        <f t="shared" si="23"/>
        <v>0.0668628996299654</v>
      </c>
      <c r="D437" s="443">
        <f>明星店铺!B778</f>
        <v>406.38</v>
      </c>
      <c r="E437" s="404">
        <f>明星店铺!C778</f>
        <v>489</v>
      </c>
      <c r="F437" s="404">
        <f>明星店铺!D778</f>
        <v>228</v>
      </c>
      <c r="G437" s="325">
        <f>明星店铺!G778+明星店铺!H778</f>
        <v>60</v>
      </c>
      <c r="H437" s="392">
        <v>2200</v>
      </c>
      <c r="I437" s="176">
        <f t="shared" si="24"/>
        <v>0.361483823943164</v>
      </c>
      <c r="J437" s="443">
        <f>直通车!B778</f>
        <v>2197.03</v>
      </c>
      <c r="K437" s="399">
        <f>直通车!C778</f>
        <v>6882</v>
      </c>
      <c r="L437" s="511">
        <f>直通车!D778</f>
        <v>589</v>
      </c>
      <c r="M437" s="325">
        <f>直通车!G778+直通车!H778</f>
        <v>52</v>
      </c>
      <c r="N437" s="392">
        <v>1050</v>
      </c>
      <c r="O437" s="176">
        <f t="shared" si="25"/>
        <v>0.167423792451557</v>
      </c>
      <c r="P437" s="443">
        <f>引力魔方!B677</f>
        <v>1017.57</v>
      </c>
      <c r="Q437" s="398">
        <f>引力魔方!C677</f>
        <v>1129852</v>
      </c>
      <c r="R437" s="399">
        <f>引力魔方!D677</f>
        <v>4414</v>
      </c>
      <c r="S437" s="325">
        <f>引力魔方!G677+引力魔方!H677</f>
        <v>43</v>
      </c>
      <c r="T437" s="326">
        <v>1800</v>
      </c>
      <c r="U437" s="176">
        <f t="shared" si="26"/>
        <v>0.404229483975313</v>
      </c>
      <c r="V437" s="326">
        <f>万相台!B266</f>
        <v>2456.83</v>
      </c>
      <c r="W437" s="417">
        <f>万相台!C266</f>
        <v>1184553</v>
      </c>
      <c r="X437" s="417">
        <f>万相台!D266</f>
        <v>17491</v>
      </c>
      <c r="Y437" s="306">
        <f>万相台!G266+万相台!H266</f>
        <v>210</v>
      </c>
      <c r="AA437" s="68">
        <f t="shared" si="28"/>
        <v>5750</v>
      </c>
      <c r="AB437" s="69">
        <f t="shared" si="29"/>
        <v>6077.81</v>
      </c>
      <c r="AC437" s="70">
        <f t="shared" si="30"/>
        <v>365</v>
      </c>
      <c r="AD437" s="505">
        <f t="shared" si="31"/>
        <v>16.6515342465753</v>
      </c>
      <c r="AE437" s="506">
        <f t="shared" si="32"/>
        <v>0.016063726784614</v>
      </c>
      <c r="AF437" s="69">
        <f t="shared" si="33"/>
        <v>22722</v>
      </c>
      <c r="AG437" s="71">
        <f t="shared" si="34"/>
        <v>0.26748569668163</v>
      </c>
      <c r="AH437" s="71">
        <f t="shared" si="35"/>
        <v>2.61774176320196</v>
      </c>
    </row>
    <row r="438" spans="1:34">
      <c r="A438" s="304">
        <v>45426</v>
      </c>
      <c r="B438" s="392">
        <v>700</v>
      </c>
      <c r="C438" s="176">
        <f t="shared" si="23"/>
        <v>0.0826035529693872</v>
      </c>
      <c r="D438" s="443">
        <f>明星店铺!B779</f>
        <v>511.9</v>
      </c>
      <c r="E438" s="404">
        <f>明星店铺!C779</f>
        <v>601</v>
      </c>
      <c r="F438" s="404">
        <f>明星店铺!D779</f>
        <v>243</v>
      </c>
      <c r="G438" s="325">
        <f>明星店铺!G779+明星店铺!H779</f>
        <v>63</v>
      </c>
      <c r="H438" s="392">
        <v>2200</v>
      </c>
      <c r="I438" s="176">
        <f t="shared" si="24"/>
        <v>0.357096176096123</v>
      </c>
      <c r="J438" s="443">
        <f>直通车!B779</f>
        <v>2212.95</v>
      </c>
      <c r="K438" s="399">
        <f>直通车!C779</f>
        <v>6349</v>
      </c>
      <c r="L438" s="511">
        <f>直通车!D779</f>
        <v>582</v>
      </c>
      <c r="M438" s="325">
        <f>直通车!G779+直通车!H779</f>
        <v>57</v>
      </c>
      <c r="N438" s="392">
        <v>1050</v>
      </c>
      <c r="O438" s="176">
        <f t="shared" si="25"/>
        <v>0.163386890901668</v>
      </c>
      <c r="P438" s="443">
        <f>引力魔方!B678</f>
        <v>1012.52</v>
      </c>
      <c r="Q438" s="398">
        <f>引力魔方!C678</f>
        <v>1152501</v>
      </c>
      <c r="R438" s="399">
        <f>引力魔方!D678</f>
        <v>4443</v>
      </c>
      <c r="S438" s="325">
        <f>引力魔方!G678+引力魔方!H678</f>
        <v>80</v>
      </c>
      <c r="T438" s="326">
        <v>1800</v>
      </c>
      <c r="U438" s="176">
        <f t="shared" si="26"/>
        <v>0.396913380032822</v>
      </c>
      <c r="V438" s="326">
        <f>万相台!B267</f>
        <v>2459.7</v>
      </c>
      <c r="W438" s="417">
        <f>万相台!C267</f>
        <v>1119097</v>
      </c>
      <c r="X438" s="417">
        <f>万相台!D267</f>
        <v>12449</v>
      </c>
      <c r="Y438" s="306">
        <f>万相台!G267+万相台!H267</f>
        <v>209</v>
      </c>
      <c r="AA438" s="68">
        <f t="shared" si="28"/>
        <v>5750</v>
      </c>
      <c r="AB438" s="69">
        <f t="shared" si="29"/>
        <v>6197.07</v>
      </c>
      <c r="AC438" s="70">
        <f t="shared" si="30"/>
        <v>409</v>
      </c>
      <c r="AD438" s="505">
        <f t="shared" si="31"/>
        <v>15.151760391198</v>
      </c>
      <c r="AE438" s="506">
        <f t="shared" si="32"/>
        <v>0.0230851724332562</v>
      </c>
      <c r="AF438" s="69">
        <f t="shared" si="33"/>
        <v>17717</v>
      </c>
      <c r="AG438" s="71">
        <f t="shared" si="34"/>
        <v>0.349781001298188</v>
      </c>
      <c r="AH438" s="71">
        <f t="shared" si="35"/>
        <v>2.71974520615761</v>
      </c>
    </row>
    <row r="439" spans="1:34">
      <c r="A439" s="304">
        <v>45427</v>
      </c>
      <c r="B439" s="392">
        <v>700</v>
      </c>
      <c r="C439" s="176">
        <f t="shared" si="23"/>
        <v>0.0779538337689419</v>
      </c>
      <c r="D439" s="443">
        <f>明星店铺!B780</f>
        <v>439.63</v>
      </c>
      <c r="E439" s="404">
        <f>明星店铺!C780</f>
        <v>485</v>
      </c>
      <c r="F439" s="404">
        <f>明星店铺!D780</f>
        <v>231</v>
      </c>
      <c r="G439" s="325">
        <f>明星店铺!G780+明星店铺!H780</f>
        <v>66</v>
      </c>
      <c r="H439" s="392">
        <v>2200</v>
      </c>
      <c r="I439" s="176">
        <f t="shared" si="24"/>
        <v>0.385999411307854</v>
      </c>
      <c r="J439" s="443">
        <f>直通车!B780</f>
        <v>2176.89</v>
      </c>
      <c r="K439" s="399">
        <f>直通车!C780</f>
        <v>6568</v>
      </c>
      <c r="L439" s="511">
        <f>直通车!D780</f>
        <v>614</v>
      </c>
      <c r="M439" s="325">
        <f>直通车!G780+直通车!H780</f>
        <v>46</v>
      </c>
      <c r="N439" s="392">
        <v>1050</v>
      </c>
      <c r="O439" s="176">
        <f t="shared" si="25"/>
        <v>0.175680276330675</v>
      </c>
      <c r="P439" s="443">
        <f>引力魔方!B679</f>
        <v>990.77</v>
      </c>
      <c r="Q439" s="398">
        <f>引力魔方!C679</f>
        <v>1150797</v>
      </c>
      <c r="R439" s="399">
        <f>引力魔方!D679</f>
        <v>3951</v>
      </c>
      <c r="S439" s="325">
        <f>引力魔方!G679+引力魔方!H679</f>
        <v>81</v>
      </c>
      <c r="T439" s="326">
        <v>1800</v>
      </c>
      <c r="U439" s="176">
        <f t="shared" si="26"/>
        <v>0.360366478592529</v>
      </c>
      <c r="V439" s="326">
        <f>万相台!B268</f>
        <v>2032.33</v>
      </c>
      <c r="W439" s="417">
        <f>万相台!C268</f>
        <v>1098822</v>
      </c>
      <c r="X439" s="417">
        <f>万相台!D268</f>
        <v>3545</v>
      </c>
      <c r="Y439" s="306">
        <f>万相台!G268+万相台!H268</f>
        <v>224</v>
      </c>
      <c r="AA439" s="68">
        <f t="shared" si="28"/>
        <v>5750</v>
      </c>
      <c r="AB439" s="69">
        <f t="shared" ref="AB439:AB447" si="36">D439+J439+P439+V439</f>
        <v>5639.62</v>
      </c>
      <c r="AC439" s="70">
        <f t="shared" ref="AC439:AC447" si="37">G439+M439+S439+Y439</f>
        <v>417</v>
      </c>
      <c r="AD439" s="505">
        <f t="shared" ref="AD439:AD447" si="38">AB439/AC439</f>
        <v>13.5242685851319</v>
      </c>
      <c r="AE439" s="506">
        <f t="shared" ref="AE439:AE447" si="39">AC439/AF439</f>
        <v>0.0499940055149263</v>
      </c>
      <c r="AF439" s="69">
        <f t="shared" ref="AF439:AF447" si="40">F439+L439+R439+X439</f>
        <v>8341</v>
      </c>
      <c r="AG439" s="71">
        <f t="shared" ref="AG439:AG447" si="41">AB439/AF439</f>
        <v>0.676132358230428</v>
      </c>
      <c r="AH439" s="71">
        <f t="shared" ref="AH439:AH447" si="42">AB439/((E439+K439+Q439+W439)/1000)</f>
        <v>2.49908715134499</v>
      </c>
    </row>
    <row r="440" spans="1:34">
      <c r="A440" s="304">
        <v>45428</v>
      </c>
      <c r="B440" s="392">
        <v>700</v>
      </c>
      <c r="C440" s="176">
        <f t="shared" si="23"/>
        <v>0.0139527568343344</v>
      </c>
      <c r="D440" s="443">
        <f>明星店铺!B781</f>
        <v>70.97</v>
      </c>
      <c r="E440" s="404">
        <f>明星店铺!C781</f>
        <v>82</v>
      </c>
      <c r="F440" s="404">
        <f>明星店铺!D781</f>
        <v>42</v>
      </c>
      <c r="G440" s="325">
        <f>明星店铺!G781+明星店铺!H781</f>
        <v>14</v>
      </c>
      <c r="H440" s="392">
        <v>2200</v>
      </c>
      <c r="I440" s="176">
        <f t="shared" si="24"/>
        <v>0.405587393958458</v>
      </c>
      <c r="J440" s="443">
        <f>直通车!B781</f>
        <v>2063</v>
      </c>
      <c r="K440" s="399">
        <f>直通车!C781</f>
        <v>5712</v>
      </c>
      <c r="L440" s="511">
        <f>直通车!D781</f>
        <v>559</v>
      </c>
      <c r="M440" s="325">
        <f>直通车!G781+直通车!H781</f>
        <v>77</v>
      </c>
      <c r="N440" s="392">
        <v>1050</v>
      </c>
      <c r="O440" s="176">
        <f t="shared" si="25"/>
        <v>0.148934915314217</v>
      </c>
      <c r="P440" s="443">
        <f>引力魔方!B680</f>
        <v>757.55</v>
      </c>
      <c r="Q440" s="398">
        <f>引力魔方!C680</f>
        <v>988431</v>
      </c>
      <c r="R440" s="399">
        <f>引力魔方!D680</f>
        <v>3353</v>
      </c>
      <c r="S440" s="325">
        <f>引力魔方!G680+引力魔方!H680</f>
        <v>55</v>
      </c>
      <c r="T440" s="326">
        <v>1800</v>
      </c>
      <c r="U440" s="176">
        <f t="shared" si="26"/>
        <v>0.43152493389299</v>
      </c>
      <c r="V440" s="326">
        <f>万相台!B269</f>
        <v>2194.93</v>
      </c>
      <c r="W440" s="417">
        <f>万相台!C269</f>
        <v>1018359</v>
      </c>
      <c r="X440" s="417">
        <f>万相台!D269</f>
        <v>3727</v>
      </c>
      <c r="Y440" s="306">
        <f>万相台!G269+万相台!H269</f>
        <v>202</v>
      </c>
      <c r="AA440" s="68">
        <f t="shared" si="28"/>
        <v>5750</v>
      </c>
      <c r="AB440" s="69">
        <f t="shared" si="36"/>
        <v>5086.45</v>
      </c>
      <c r="AC440" s="70">
        <f t="shared" si="37"/>
        <v>348</v>
      </c>
      <c r="AD440" s="505">
        <f t="shared" si="38"/>
        <v>14.6162356321839</v>
      </c>
      <c r="AE440" s="506">
        <f t="shared" si="39"/>
        <v>0.0453066007030335</v>
      </c>
      <c r="AF440" s="69">
        <f t="shared" si="40"/>
        <v>7681</v>
      </c>
      <c r="AG440" s="71">
        <f t="shared" si="41"/>
        <v>0.662211951568806</v>
      </c>
      <c r="AH440" s="71">
        <f t="shared" si="42"/>
        <v>2.52732308316075</v>
      </c>
    </row>
    <row r="441" spans="1:34">
      <c r="A441" s="304">
        <v>45429</v>
      </c>
      <c r="B441" s="392">
        <v>700</v>
      </c>
      <c r="C441" s="176">
        <f t="shared" si="23"/>
        <v>0.0167104134124992</v>
      </c>
      <c r="D441" s="443">
        <f>明星店铺!B782</f>
        <v>72.64</v>
      </c>
      <c r="E441" s="404">
        <f>明星店铺!C782</f>
        <v>75</v>
      </c>
      <c r="F441" s="404">
        <f>明星店铺!D782</f>
        <v>30</v>
      </c>
      <c r="G441" s="325">
        <f>明星店铺!G782+明星店铺!H782</f>
        <v>13</v>
      </c>
      <c r="H441" s="392">
        <v>2200</v>
      </c>
      <c r="I441" s="176">
        <f t="shared" si="24"/>
        <v>0.392655607673356</v>
      </c>
      <c r="J441" s="443">
        <f>直通车!B782</f>
        <v>1706.87</v>
      </c>
      <c r="K441" s="399">
        <f>直通车!C782</f>
        <v>5675</v>
      </c>
      <c r="L441" s="511">
        <f>直通车!D782</f>
        <v>437</v>
      </c>
      <c r="M441" s="325">
        <f>直通车!G782+直通车!H782</f>
        <v>77</v>
      </c>
      <c r="N441" s="392">
        <v>1050</v>
      </c>
      <c r="O441" s="176">
        <f t="shared" si="25"/>
        <v>0.177039744742914</v>
      </c>
      <c r="P441" s="443">
        <f>引力魔方!B681</f>
        <v>769.59</v>
      </c>
      <c r="Q441" s="398">
        <f>引力魔方!C681</f>
        <v>924162</v>
      </c>
      <c r="R441" s="399">
        <f>引力魔方!D681</f>
        <v>3006</v>
      </c>
      <c r="S441" s="325">
        <f>引力魔方!G681+引力魔方!H681</f>
        <v>45</v>
      </c>
      <c r="T441" s="326">
        <v>1800</v>
      </c>
      <c r="U441" s="176">
        <f t="shared" si="26"/>
        <v>0.413594234171231</v>
      </c>
      <c r="V441" s="326">
        <f>万相台!B270</f>
        <v>1797.89</v>
      </c>
      <c r="W441" s="417">
        <f>万相台!C270</f>
        <v>780932</v>
      </c>
      <c r="X441" s="417">
        <f>万相台!D270</f>
        <v>3289</v>
      </c>
      <c r="Y441" s="306">
        <f>万相台!G270+万相台!H270</f>
        <v>170</v>
      </c>
      <c r="AA441" s="68">
        <f t="shared" si="28"/>
        <v>5750</v>
      </c>
      <c r="AB441" s="69">
        <f t="shared" si="36"/>
        <v>4346.99</v>
      </c>
      <c r="AC441" s="70">
        <f t="shared" si="37"/>
        <v>305</v>
      </c>
      <c r="AD441" s="505">
        <f t="shared" si="38"/>
        <v>14.2524262295082</v>
      </c>
      <c r="AE441" s="506">
        <f t="shared" si="39"/>
        <v>0.0451049985211476</v>
      </c>
      <c r="AF441" s="69">
        <f t="shared" si="40"/>
        <v>6762</v>
      </c>
      <c r="AG441" s="71">
        <f t="shared" si="41"/>
        <v>0.642855664004732</v>
      </c>
      <c r="AH441" s="71">
        <f t="shared" si="42"/>
        <v>2.54084533715523</v>
      </c>
    </row>
    <row r="442" spans="1:34">
      <c r="A442" s="304">
        <v>45430</v>
      </c>
      <c r="B442" s="392">
        <v>700</v>
      </c>
      <c r="C442" s="176">
        <f t="shared" si="23"/>
        <v>0.0700493535988819</v>
      </c>
      <c r="D442" s="443">
        <f>明星店铺!B783</f>
        <v>320.77</v>
      </c>
      <c r="E442" s="404">
        <f>明星店铺!C783</f>
        <v>389</v>
      </c>
      <c r="F442" s="404">
        <f>明星店铺!D783</f>
        <v>194</v>
      </c>
      <c r="G442" s="325">
        <f>明星店铺!G783+明星店铺!H783</f>
        <v>26</v>
      </c>
      <c r="H442" s="392">
        <v>2200</v>
      </c>
      <c r="I442" s="176">
        <f t="shared" si="24"/>
        <v>0.366037735849057</v>
      </c>
      <c r="J442" s="443">
        <f>直通车!B783</f>
        <v>1676.16</v>
      </c>
      <c r="K442" s="399">
        <f>直通车!C783</f>
        <v>4617</v>
      </c>
      <c r="L442" s="511">
        <f>直通车!D783</f>
        <v>396</v>
      </c>
      <c r="M442" s="325">
        <f>直通车!G783+直通车!H783</f>
        <v>48</v>
      </c>
      <c r="N442" s="392">
        <v>1050</v>
      </c>
      <c r="O442" s="176">
        <f t="shared" si="25"/>
        <v>0.1673392732355</v>
      </c>
      <c r="P442" s="443">
        <f>引力魔方!B682</f>
        <v>766.28</v>
      </c>
      <c r="Q442" s="398">
        <f>引力魔方!C682</f>
        <v>933606</v>
      </c>
      <c r="R442" s="399">
        <f>引力魔方!D682</f>
        <v>3061</v>
      </c>
      <c r="S442" s="325">
        <f>引力魔方!G682+引力魔方!H682</f>
        <v>60</v>
      </c>
      <c r="T442" s="326">
        <v>1800</v>
      </c>
      <c r="U442" s="176">
        <f t="shared" si="26"/>
        <v>0.396573637316562</v>
      </c>
      <c r="V442" s="326">
        <f>万相台!B271</f>
        <v>1815.99</v>
      </c>
      <c r="W442" s="417">
        <f>万相台!C271</f>
        <v>693993</v>
      </c>
      <c r="X442" s="417">
        <f>万相台!D271</f>
        <v>2892</v>
      </c>
      <c r="Y442" s="306">
        <f>万相台!G271+万相台!H271</f>
        <v>200</v>
      </c>
      <c r="AA442" s="68">
        <f t="shared" si="27"/>
        <v>5750</v>
      </c>
      <c r="AB442" s="69">
        <f t="shared" si="36"/>
        <v>4579.2</v>
      </c>
      <c r="AC442" s="70">
        <f t="shared" si="37"/>
        <v>334</v>
      </c>
      <c r="AD442" s="505">
        <f t="shared" si="38"/>
        <v>13.7101796407186</v>
      </c>
      <c r="AE442" s="506">
        <f t="shared" si="39"/>
        <v>0.0510469203729176</v>
      </c>
      <c r="AF442" s="69">
        <f t="shared" si="40"/>
        <v>6543</v>
      </c>
      <c r="AG442" s="71">
        <f t="shared" si="41"/>
        <v>0.699862448418157</v>
      </c>
      <c r="AH442" s="71">
        <f t="shared" si="42"/>
        <v>2.80484256755308</v>
      </c>
    </row>
    <row r="443" spans="1:34">
      <c r="A443" s="304">
        <v>45431</v>
      </c>
      <c r="B443" s="392">
        <v>700</v>
      </c>
      <c r="C443" s="176">
        <f t="shared" si="23"/>
        <v>0.093777550327056</v>
      </c>
      <c r="D443" s="443">
        <f>明星店铺!B784</f>
        <v>436.12</v>
      </c>
      <c r="E443" s="404">
        <f>明星店铺!C784</f>
        <v>443</v>
      </c>
      <c r="F443" s="404">
        <f>明星店铺!D784</f>
        <v>245</v>
      </c>
      <c r="G443" s="325">
        <f>明星店铺!G784+明星店铺!H784</f>
        <v>105</v>
      </c>
      <c r="H443" s="392">
        <v>2200</v>
      </c>
      <c r="I443" s="176">
        <f t="shared" si="24"/>
        <v>0.364997484184768</v>
      </c>
      <c r="J443" s="443">
        <f>直通车!B784</f>
        <v>1697.45</v>
      </c>
      <c r="K443" s="399">
        <f>直通车!C784</f>
        <v>4554</v>
      </c>
      <c r="L443" s="511">
        <f>直通车!D784</f>
        <v>429</v>
      </c>
      <c r="M443" s="325">
        <f>直通车!G784+直通车!H784</f>
        <v>56</v>
      </c>
      <c r="N443" s="392">
        <v>1050</v>
      </c>
      <c r="O443" s="176">
        <f t="shared" si="25"/>
        <v>0.163637653798021</v>
      </c>
      <c r="P443" s="443">
        <f>引力魔方!B683</f>
        <v>761.01</v>
      </c>
      <c r="Q443" s="398">
        <f>引力魔方!C683</f>
        <v>949583</v>
      </c>
      <c r="R443" s="399">
        <f>引力魔方!D683</f>
        <v>2984</v>
      </c>
      <c r="S443" s="325">
        <f>引力魔方!G683+引力魔方!H683</f>
        <v>52</v>
      </c>
      <c r="T443" s="326">
        <v>1800</v>
      </c>
      <c r="U443" s="176">
        <f t="shared" si="26"/>
        <v>0.377587311690155</v>
      </c>
      <c r="V443" s="326">
        <f>万相台!B272</f>
        <v>1756</v>
      </c>
      <c r="W443" s="417">
        <f>万相台!C272</f>
        <v>621608</v>
      </c>
      <c r="X443" s="417">
        <f>万相台!D272</f>
        <v>2573</v>
      </c>
      <c r="Y443" s="306">
        <f>万相台!G272+万相台!H272</f>
        <v>159</v>
      </c>
      <c r="AA443" s="68">
        <f t="shared" si="27"/>
        <v>5750</v>
      </c>
      <c r="AB443" s="69">
        <f t="shared" si="36"/>
        <v>4650.58</v>
      </c>
      <c r="AC443" s="70">
        <f t="shared" si="37"/>
        <v>372</v>
      </c>
      <c r="AD443" s="505">
        <f t="shared" si="38"/>
        <v>12.5015591397849</v>
      </c>
      <c r="AE443" s="506">
        <f t="shared" si="39"/>
        <v>0.0597014925373134</v>
      </c>
      <c r="AF443" s="69">
        <f t="shared" si="40"/>
        <v>6231</v>
      </c>
      <c r="AG443" s="71">
        <f t="shared" si="41"/>
        <v>0.746361739688653</v>
      </c>
      <c r="AH443" s="71">
        <f t="shared" si="42"/>
        <v>2.9505236684964</v>
      </c>
    </row>
    <row r="444" spans="1:34">
      <c r="A444" s="304">
        <v>45432</v>
      </c>
      <c r="B444" s="392">
        <v>700</v>
      </c>
      <c r="C444" s="176">
        <f t="shared" si="23"/>
        <v>0.0786367454988305</v>
      </c>
      <c r="D444" s="443">
        <f>明星店铺!B785</f>
        <v>390.33</v>
      </c>
      <c r="E444" s="404">
        <f>明星店铺!C785</f>
        <v>385</v>
      </c>
      <c r="F444" s="404">
        <f>明星店铺!D785</f>
        <v>177</v>
      </c>
      <c r="G444" s="325">
        <f>明星店铺!G785+明星店铺!H785</f>
        <v>47</v>
      </c>
      <c r="H444" s="392">
        <v>2200</v>
      </c>
      <c r="I444" s="176">
        <f t="shared" si="24"/>
        <v>0.338796988542844</v>
      </c>
      <c r="J444" s="443">
        <f>直通车!B785</f>
        <v>1681.69</v>
      </c>
      <c r="K444" s="399">
        <f>直通车!C785</f>
        <v>6482</v>
      </c>
      <c r="L444" s="511">
        <f>直通车!D785</f>
        <v>417</v>
      </c>
      <c r="M444" s="325">
        <f>直通车!G785+直通车!H785</f>
        <v>53</v>
      </c>
      <c r="N444" s="392">
        <v>1050</v>
      </c>
      <c r="O444" s="176">
        <f t="shared" si="25"/>
        <v>0.152369900739568</v>
      </c>
      <c r="P444" s="443">
        <f>引力魔方!B684</f>
        <v>756.32</v>
      </c>
      <c r="Q444" s="398">
        <f>引力魔方!C684</f>
        <v>1071320</v>
      </c>
      <c r="R444" s="399">
        <f>引力魔方!D684</f>
        <v>2673</v>
      </c>
      <c r="S444" s="325">
        <f>引力魔方!G684+引力魔方!H684</f>
        <v>33</v>
      </c>
      <c r="T444" s="326">
        <v>1800</v>
      </c>
      <c r="U444" s="176">
        <f t="shared" si="26"/>
        <v>0.430196365218758</v>
      </c>
      <c r="V444" s="326">
        <f>万相台!B273</f>
        <v>2135.37</v>
      </c>
      <c r="W444" s="417">
        <f>万相台!C273</f>
        <v>624823</v>
      </c>
      <c r="X444" s="417">
        <f>万相台!D273</f>
        <v>2620</v>
      </c>
      <c r="Y444" s="306">
        <f>万相台!G273+万相台!H273</f>
        <v>166</v>
      </c>
      <c r="AA444" s="68">
        <f t="shared" si="27"/>
        <v>5750</v>
      </c>
      <c r="AB444" s="69">
        <f t="shared" si="36"/>
        <v>4963.71</v>
      </c>
      <c r="AC444" s="70">
        <f t="shared" si="37"/>
        <v>299</v>
      </c>
      <c r="AD444" s="505">
        <f t="shared" si="38"/>
        <v>16.6010367892977</v>
      </c>
      <c r="AE444" s="506">
        <f t="shared" si="39"/>
        <v>0.0507898759979616</v>
      </c>
      <c r="AF444" s="69">
        <f t="shared" si="40"/>
        <v>5887</v>
      </c>
      <c r="AG444" s="71">
        <f t="shared" si="41"/>
        <v>0.843164599966027</v>
      </c>
      <c r="AH444" s="71">
        <f t="shared" si="42"/>
        <v>2.91466873359522</v>
      </c>
    </row>
    <row r="445" spans="1:34">
      <c r="A445" s="304">
        <v>45433</v>
      </c>
      <c r="B445" s="392">
        <v>700</v>
      </c>
      <c r="C445" s="176">
        <f t="shared" si="23"/>
        <v>0.0797639093352256</v>
      </c>
      <c r="D445" s="443">
        <f>明星店铺!B786</f>
        <v>406.91</v>
      </c>
      <c r="E445" s="404">
        <f>明星店铺!C786</f>
        <v>380</v>
      </c>
      <c r="F445" s="404">
        <f>明星店铺!D786</f>
        <v>240</v>
      </c>
      <c r="G445" s="325">
        <f>明星店铺!G786+明星店铺!H786</f>
        <v>87</v>
      </c>
      <c r="H445" s="392">
        <v>2200</v>
      </c>
      <c r="I445" s="176">
        <f t="shared" si="24"/>
        <v>0.335994025204697</v>
      </c>
      <c r="J445" s="443">
        <f>直通车!B786</f>
        <v>1714.05</v>
      </c>
      <c r="K445" s="399">
        <f>直通车!C786</f>
        <v>5521</v>
      </c>
      <c r="L445" s="511">
        <f>直通车!D786</f>
        <v>406</v>
      </c>
      <c r="M445" s="325">
        <f>直通车!G786+直通车!H786</f>
        <v>89</v>
      </c>
      <c r="N445" s="392">
        <v>1050</v>
      </c>
      <c r="O445" s="176">
        <f t="shared" si="25"/>
        <v>0.151085087906724</v>
      </c>
      <c r="P445" s="443">
        <f>引力魔方!B685</f>
        <v>770.75</v>
      </c>
      <c r="Q445" s="398">
        <f>引力魔方!C685</f>
        <v>1086213</v>
      </c>
      <c r="R445" s="399">
        <f>引力魔方!D685</f>
        <v>3098</v>
      </c>
      <c r="S445" s="325">
        <f>引力魔方!G685+引力魔方!H685</f>
        <v>59</v>
      </c>
      <c r="T445" s="326">
        <v>1800</v>
      </c>
      <c r="U445" s="176">
        <f t="shared" si="26"/>
        <v>0.433156977553353</v>
      </c>
      <c r="V445" s="326">
        <f>万相台!B274</f>
        <v>2209.72</v>
      </c>
      <c r="W445" s="417">
        <f>万相台!C274</f>
        <v>692294</v>
      </c>
      <c r="X445" s="417">
        <f>万相台!D274</f>
        <v>3048</v>
      </c>
      <c r="Y445" s="306">
        <f>万相台!G274+万相台!H274</f>
        <v>198</v>
      </c>
      <c r="AA445" s="68">
        <f t="shared" si="27"/>
        <v>5750</v>
      </c>
      <c r="AB445" s="69">
        <f t="shared" si="36"/>
        <v>5101.43</v>
      </c>
      <c r="AC445" s="70">
        <f t="shared" si="37"/>
        <v>433</v>
      </c>
      <c r="AD445" s="505">
        <f t="shared" si="38"/>
        <v>11.7815935334873</v>
      </c>
      <c r="AE445" s="506">
        <f t="shared" si="39"/>
        <v>0.0637514723203769</v>
      </c>
      <c r="AF445" s="69">
        <f t="shared" si="40"/>
        <v>6792</v>
      </c>
      <c r="AG445" s="71">
        <f t="shared" si="41"/>
        <v>0.751093934040047</v>
      </c>
      <c r="AH445" s="71">
        <f t="shared" si="42"/>
        <v>2.85889213677589</v>
      </c>
    </row>
    <row r="446" spans="1:34">
      <c r="A446" s="304">
        <v>45434</v>
      </c>
      <c r="B446" s="392">
        <v>700</v>
      </c>
      <c r="C446" s="176">
        <f t="shared" si="23"/>
        <v>0.069831815703931</v>
      </c>
      <c r="D446" s="443">
        <f>明星店铺!B787</f>
        <v>345.87</v>
      </c>
      <c r="E446" s="404">
        <f>明星店铺!C787</f>
        <v>333</v>
      </c>
      <c r="F446" s="404">
        <f>明星店铺!D787</f>
        <v>176</v>
      </c>
      <c r="G446" s="325">
        <f>明星店铺!G787+明星店铺!H787</f>
        <v>89</v>
      </c>
      <c r="H446" s="392">
        <v>2200</v>
      </c>
      <c r="I446" s="176">
        <f t="shared" si="24"/>
        <v>0.346443497748794</v>
      </c>
      <c r="J446" s="443">
        <f>直通车!B787</f>
        <v>1715.9</v>
      </c>
      <c r="K446" s="399">
        <f>直通车!C787</f>
        <v>5220</v>
      </c>
      <c r="L446" s="511">
        <f>直通车!D787</f>
        <v>455</v>
      </c>
      <c r="M446" s="325">
        <f>直通车!G787+直通车!H787</f>
        <v>58</v>
      </c>
      <c r="N446" s="392">
        <v>1050</v>
      </c>
      <c r="O446" s="176">
        <f t="shared" si="25"/>
        <v>0.121724646166892</v>
      </c>
      <c r="P446" s="443">
        <f>引力魔方!B686</f>
        <v>602.89</v>
      </c>
      <c r="Q446" s="398">
        <f>引力魔方!C686</f>
        <v>943762</v>
      </c>
      <c r="R446" s="399">
        <f>引力魔方!D686</f>
        <v>2635</v>
      </c>
      <c r="S446" s="325">
        <f>引力魔方!G686+引力魔方!H686</f>
        <v>27</v>
      </c>
      <c r="T446" s="326">
        <v>1800</v>
      </c>
      <c r="U446" s="176">
        <f t="shared" si="26"/>
        <v>0.462000040380383</v>
      </c>
      <c r="V446" s="326">
        <f>万相台!B275</f>
        <v>2288.24</v>
      </c>
      <c r="W446" s="417">
        <f>万相台!C275</f>
        <v>792853</v>
      </c>
      <c r="X446" s="417">
        <f>万相台!D275</f>
        <v>3675</v>
      </c>
      <c r="Y446" s="306">
        <f>万相台!G275+万相台!H275</f>
        <v>191</v>
      </c>
      <c r="AA446" s="68">
        <f t="shared" si="27"/>
        <v>5750</v>
      </c>
      <c r="AB446" s="69">
        <f t="shared" si="36"/>
        <v>4952.9</v>
      </c>
      <c r="AC446" s="70">
        <f t="shared" si="37"/>
        <v>365</v>
      </c>
      <c r="AD446" s="505">
        <f t="shared" si="38"/>
        <v>13.5695890410959</v>
      </c>
      <c r="AE446" s="506">
        <f t="shared" si="39"/>
        <v>0.0525860826970177</v>
      </c>
      <c r="AF446" s="69">
        <f t="shared" si="40"/>
        <v>6941</v>
      </c>
      <c r="AG446" s="71">
        <f t="shared" si="41"/>
        <v>0.713571531479614</v>
      </c>
      <c r="AH446" s="71">
        <f t="shared" si="42"/>
        <v>2.84295200003674</v>
      </c>
    </row>
    <row r="447" spans="1:34">
      <c r="A447" s="304">
        <v>45435</v>
      </c>
      <c r="B447" s="392">
        <v>700</v>
      </c>
      <c r="C447" s="176">
        <f t="shared" si="23"/>
        <v>0.00611239623231541</v>
      </c>
      <c r="D447" s="443">
        <f>明星店铺!B788</f>
        <v>27.56</v>
      </c>
      <c r="E447" s="404">
        <f>明星店铺!C788</f>
        <v>30</v>
      </c>
      <c r="F447" s="404">
        <f>明星店铺!D788</f>
        <v>15</v>
      </c>
      <c r="G447" s="325">
        <f>明星店铺!G788+明星店铺!H788</f>
        <v>4</v>
      </c>
      <c r="H447" s="392">
        <v>2200</v>
      </c>
      <c r="I447" s="176">
        <f t="shared" si="24"/>
        <v>0.378143525983229</v>
      </c>
      <c r="J447" s="443">
        <f>直通车!B788</f>
        <v>1705</v>
      </c>
      <c r="K447" s="399">
        <f>直通车!C788</f>
        <v>6006</v>
      </c>
      <c r="L447" s="511">
        <f>直通车!D788</f>
        <v>416</v>
      </c>
      <c r="M447" s="325">
        <f>直通车!G788+直通车!H788</f>
        <v>54</v>
      </c>
      <c r="N447" s="392">
        <v>1050</v>
      </c>
      <c r="O447" s="176">
        <f t="shared" si="25"/>
        <v>0.103799843419748</v>
      </c>
      <c r="P447" s="443">
        <f>引力魔方!B687</f>
        <v>468.02</v>
      </c>
      <c r="Q447" s="398">
        <f>引力魔方!C687</f>
        <v>904757</v>
      </c>
      <c r="R447" s="399">
        <f>引力魔方!D687</f>
        <v>2780</v>
      </c>
      <c r="S447" s="325">
        <f>引力魔方!G687+引力魔方!H687</f>
        <v>1</v>
      </c>
      <c r="T447" s="326">
        <v>1800</v>
      </c>
      <c r="U447" s="176">
        <f t="shared" si="26"/>
        <v>0.511944234364708</v>
      </c>
      <c r="V447" s="326">
        <f>万相台!B276</f>
        <v>2308.29</v>
      </c>
      <c r="W447" s="417">
        <f>万相台!C276</f>
        <v>742847</v>
      </c>
      <c r="X447" s="417">
        <f>万相台!D276</f>
        <v>3528</v>
      </c>
      <c r="Y447" s="306">
        <f>万相台!G276+万相台!H276</f>
        <v>229</v>
      </c>
      <c r="AA447" s="68">
        <f t="shared" si="27"/>
        <v>5750</v>
      </c>
      <c r="AB447" s="69">
        <f t="shared" si="36"/>
        <v>4508.87</v>
      </c>
      <c r="AC447" s="70">
        <f t="shared" si="37"/>
        <v>288</v>
      </c>
      <c r="AD447" s="505">
        <f t="shared" si="38"/>
        <v>15.6557986111111</v>
      </c>
      <c r="AE447" s="506">
        <f t="shared" si="39"/>
        <v>0.0427363110253747</v>
      </c>
      <c r="AF447" s="69">
        <f t="shared" si="40"/>
        <v>6739</v>
      </c>
      <c r="AG447" s="71">
        <f t="shared" si="41"/>
        <v>0.669071078795073</v>
      </c>
      <c r="AH447" s="71">
        <f t="shared" si="42"/>
        <v>2.72663336639172</v>
      </c>
    </row>
    <row r="448" spans="1:34">
      <c r="A448" s="304">
        <v>45436</v>
      </c>
      <c r="B448" s="392">
        <v>700</v>
      </c>
      <c r="C448" s="176">
        <f t="shared" si="23"/>
        <v>0.0228508059477696</v>
      </c>
      <c r="D448" s="443">
        <f>明星店铺!B789</f>
        <v>102.41</v>
      </c>
      <c r="E448" s="404">
        <f>明星店铺!C789</f>
        <v>93</v>
      </c>
      <c r="F448" s="404">
        <f>明星店铺!D789</f>
        <v>35</v>
      </c>
      <c r="G448" s="325">
        <f>明星店铺!G789+明星店铺!H789</f>
        <v>9</v>
      </c>
      <c r="H448" s="392">
        <v>2200</v>
      </c>
      <c r="I448" s="176">
        <f t="shared" si="24"/>
        <v>0.363401670802021</v>
      </c>
      <c r="J448" s="443">
        <f>直通车!B789</f>
        <v>1628.65</v>
      </c>
      <c r="K448" s="399">
        <f>直通车!C789</f>
        <v>6835</v>
      </c>
      <c r="L448" s="511">
        <f>直通车!D789</f>
        <v>417</v>
      </c>
      <c r="M448" s="325">
        <f>直通车!G789+直通车!H789</f>
        <v>54</v>
      </c>
      <c r="N448" s="392">
        <v>1050</v>
      </c>
      <c r="O448" s="176">
        <f t="shared" si="25"/>
        <v>0.170773013691294</v>
      </c>
      <c r="P448" s="443">
        <f>引力魔方!B688</f>
        <v>765.35</v>
      </c>
      <c r="Q448" s="398">
        <f>引力魔方!C688</f>
        <v>592270</v>
      </c>
      <c r="R448" s="399">
        <f>引力魔方!D688</f>
        <v>2096</v>
      </c>
      <c r="S448" s="325">
        <f>引力魔方!G688+引力魔方!H688</f>
        <v>6</v>
      </c>
      <c r="T448" s="326">
        <v>1800</v>
      </c>
      <c r="U448" s="176">
        <f t="shared" si="26"/>
        <v>0.442974509558915</v>
      </c>
      <c r="V448" s="326">
        <f>万相台!B277</f>
        <v>1985.27</v>
      </c>
      <c r="W448" s="417">
        <f>万相台!C277</f>
        <v>361194</v>
      </c>
      <c r="X448" s="417">
        <f>万相台!D277</f>
        <v>2052</v>
      </c>
      <c r="Y448" s="306">
        <f>万相台!G277+万相台!H277</f>
        <v>203</v>
      </c>
      <c r="AA448" s="68">
        <f t="shared" ref="AA448:AA457" si="43">B448+H448+N448+T448</f>
        <v>5750</v>
      </c>
      <c r="AB448" s="69">
        <f t="shared" ref="AB448:AB457" si="44">D448+J448+P448+V448</f>
        <v>4481.68</v>
      </c>
      <c r="AC448" s="70">
        <f t="shared" ref="AC448:AC457" si="45">G448+M448+S448+Y448</f>
        <v>272</v>
      </c>
      <c r="AD448" s="505">
        <f t="shared" ref="AD448:AD457" si="46">AB448/AC448</f>
        <v>16.4767647058824</v>
      </c>
      <c r="AE448" s="506">
        <f t="shared" ref="AE448:AE457" si="47">AC448/AF448</f>
        <v>0.0591304347826087</v>
      </c>
      <c r="AF448" s="69">
        <f t="shared" ref="AF448:AF457" si="48">F448+L448+R448+X448</f>
        <v>4600</v>
      </c>
      <c r="AG448" s="71">
        <f t="shared" ref="AG448:AG457" si="49">AB448/AF448</f>
        <v>0.974278260869565</v>
      </c>
      <c r="AH448" s="71">
        <f t="shared" ref="AH448:AH457" si="50">AB448/((E448+K448+Q448+W448)/1000)</f>
        <v>4.6665111746037</v>
      </c>
    </row>
    <row r="449" spans="1:34">
      <c r="A449" s="304">
        <v>45437</v>
      </c>
      <c r="B449" s="392">
        <v>700</v>
      </c>
      <c r="C449" s="176">
        <f t="shared" si="23"/>
        <v>0.0697918583590807</v>
      </c>
      <c r="D449" s="443">
        <f>明星店铺!B790</f>
        <v>360.29</v>
      </c>
      <c r="E449" s="404">
        <f>明星店铺!C790</f>
        <v>341</v>
      </c>
      <c r="F449" s="404">
        <f>明星店铺!D790</f>
        <v>141</v>
      </c>
      <c r="G449" s="325">
        <f>明星店铺!G790+明星店铺!H790</f>
        <v>41</v>
      </c>
      <c r="H449" s="392">
        <v>2200</v>
      </c>
      <c r="I449" s="176">
        <f t="shared" si="24"/>
        <v>0.360880219279979</v>
      </c>
      <c r="J449" s="443">
        <f>直通车!B790</f>
        <v>1862.99</v>
      </c>
      <c r="K449" s="399">
        <f>直通车!C790</f>
        <v>7697</v>
      </c>
      <c r="L449" s="511">
        <f>直通车!D790</f>
        <v>465</v>
      </c>
      <c r="M449" s="325">
        <f>直通车!G790+直通车!H790</f>
        <v>33</v>
      </c>
      <c r="N449" s="392">
        <v>1050</v>
      </c>
      <c r="O449" s="176">
        <f t="shared" si="25"/>
        <v>0.146931145699149</v>
      </c>
      <c r="P449" s="443">
        <f>引力魔方!B689</f>
        <v>758.51</v>
      </c>
      <c r="Q449" s="398">
        <f>引力魔方!C689</f>
        <v>973973</v>
      </c>
      <c r="R449" s="399">
        <f>引力魔方!D689</f>
        <v>3136</v>
      </c>
      <c r="S449" s="325">
        <f>引力魔方!G689+引力魔方!H689</f>
        <v>32</v>
      </c>
      <c r="T449" s="326">
        <v>1800</v>
      </c>
      <c r="U449" s="176">
        <f t="shared" si="26"/>
        <v>0.422396776661792</v>
      </c>
      <c r="V449" s="326">
        <f>万相台!B278</f>
        <v>2180.56</v>
      </c>
      <c r="W449" s="417">
        <f>万相台!C278</f>
        <v>634624</v>
      </c>
      <c r="X449" s="417">
        <f>万相台!D278</f>
        <v>2787</v>
      </c>
      <c r="Y449" s="306">
        <f>万相台!G278+万相台!H278</f>
        <v>309</v>
      </c>
      <c r="AA449" s="68">
        <f t="shared" si="43"/>
        <v>5750</v>
      </c>
      <c r="AB449" s="69">
        <f t="shared" si="44"/>
        <v>5162.35</v>
      </c>
      <c r="AC449" s="70">
        <f t="shared" si="45"/>
        <v>415</v>
      </c>
      <c r="AD449" s="505">
        <f t="shared" si="46"/>
        <v>12.4393975903614</v>
      </c>
      <c r="AE449" s="506">
        <f t="shared" si="47"/>
        <v>0.0635625670087303</v>
      </c>
      <c r="AF449" s="69">
        <f t="shared" si="48"/>
        <v>6529</v>
      </c>
      <c r="AG449" s="71">
        <f t="shared" si="49"/>
        <v>0.790680042885587</v>
      </c>
      <c r="AH449" s="71">
        <f t="shared" si="50"/>
        <v>3.19326873412984</v>
      </c>
    </row>
    <row r="450" spans="1:34">
      <c r="A450" s="304">
        <v>45438</v>
      </c>
      <c r="B450" s="392">
        <v>700</v>
      </c>
      <c r="C450" s="176">
        <f t="shared" si="23"/>
        <v>0.0740327667102531</v>
      </c>
      <c r="D450" s="443">
        <f>明星店铺!B791</f>
        <v>346.5</v>
      </c>
      <c r="E450" s="404">
        <f>明星店铺!C791</f>
        <v>353</v>
      </c>
      <c r="F450" s="404">
        <f>明星店铺!D791</f>
        <v>168</v>
      </c>
      <c r="G450" s="325">
        <f>明星店铺!G791+明星店铺!H791</f>
        <v>47</v>
      </c>
      <c r="H450" s="392">
        <v>2200</v>
      </c>
      <c r="I450" s="176">
        <f t="shared" si="24"/>
        <v>0.351186660855148</v>
      </c>
      <c r="J450" s="443">
        <f>直通车!B791</f>
        <v>1643.68</v>
      </c>
      <c r="K450" s="399">
        <f>直通车!C791</f>
        <v>7123</v>
      </c>
      <c r="L450" s="511">
        <f>直通车!D791</f>
        <v>416</v>
      </c>
      <c r="M450" s="325">
        <f>直通车!G791+直通车!H791</f>
        <v>26</v>
      </c>
      <c r="N450" s="392">
        <v>1050</v>
      </c>
      <c r="O450" s="176">
        <f t="shared" si="25"/>
        <v>0.134857147740772</v>
      </c>
      <c r="P450" s="443">
        <f>引力魔方!B690</f>
        <v>631.18</v>
      </c>
      <c r="Q450" s="398">
        <f>引力魔方!C690</f>
        <v>615451</v>
      </c>
      <c r="R450" s="399">
        <f>引力魔方!D690</f>
        <v>2109</v>
      </c>
      <c r="S450" s="325">
        <f>引力魔方!G690+引力魔方!H690</f>
        <v>76</v>
      </c>
      <c r="T450" s="326">
        <v>1800</v>
      </c>
      <c r="U450" s="176">
        <f t="shared" si="26"/>
        <v>0.439923424693827</v>
      </c>
      <c r="V450" s="326">
        <f>万相台!B279</f>
        <v>2059</v>
      </c>
      <c r="W450" s="417">
        <f>万相台!C279</f>
        <v>695579</v>
      </c>
      <c r="X450" s="417">
        <f>万相台!D279</f>
        <v>2528</v>
      </c>
      <c r="Y450" s="306">
        <f>万相台!G279+万相台!H279</f>
        <v>272</v>
      </c>
      <c r="AA450" s="68">
        <f t="shared" si="43"/>
        <v>5750</v>
      </c>
      <c r="AB450" s="69">
        <f t="shared" si="44"/>
        <v>4680.36</v>
      </c>
      <c r="AC450" s="70">
        <f t="shared" si="45"/>
        <v>421</v>
      </c>
      <c r="AD450" s="505">
        <f t="shared" si="46"/>
        <v>11.1172446555819</v>
      </c>
      <c r="AE450" s="506">
        <f t="shared" si="47"/>
        <v>0.080635893506991</v>
      </c>
      <c r="AF450" s="69">
        <f t="shared" si="48"/>
        <v>5221</v>
      </c>
      <c r="AG450" s="71">
        <f t="shared" si="49"/>
        <v>0.896448956138671</v>
      </c>
      <c r="AH450" s="71">
        <f t="shared" si="50"/>
        <v>3.54974493858959</v>
      </c>
    </row>
    <row r="451" spans="1:34">
      <c r="A451" s="304">
        <v>45439</v>
      </c>
      <c r="B451" s="392">
        <v>700</v>
      </c>
      <c r="C451" s="176">
        <f t="shared" si="23"/>
        <v>0.0525371731116554</v>
      </c>
      <c r="D451" s="443">
        <f>明星店铺!B792</f>
        <v>339.76</v>
      </c>
      <c r="E451" s="404">
        <f>明星店铺!C792</f>
        <v>346</v>
      </c>
      <c r="F451" s="404">
        <f>明星店铺!D792</f>
        <v>155</v>
      </c>
      <c r="G451" s="325">
        <f>明星店铺!G792+明星店铺!H792</f>
        <v>41</v>
      </c>
      <c r="H451" s="392">
        <v>4000</v>
      </c>
      <c r="I451" s="176">
        <f t="shared" si="24"/>
        <v>0.36547323041144</v>
      </c>
      <c r="J451" s="443">
        <f>直通车!B792</f>
        <v>2363.53</v>
      </c>
      <c r="K451" s="399">
        <f>直通车!C792</f>
        <v>9937</v>
      </c>
      <c r="L451" s="511">
        <f>直通车!D792</f>
        <v>497</v>
      </c>
      <c r="M451" s="325">
        <f>直通车!G792+直通车!H792</f>
        <v>51</v>
      </c>
      <c r="N451" s="392">
        <v>1300</v>
      </c>
      <c r="O451" s="176">
        <f t="shared" si="25"/>
        <v>0.17230603181672</v>
      </c>
      <c r="P451" s="443">
        <f>引力魔方!B691</f>
        <v>1114.31</v>
      </c>
      <c r="Q451" s="398">
        <f>引力魔方!C691</f>
        <v>188454</v>
      </c>
      <c r="R451" s="399">
        <f>引力魔方!D691</f>
        <v>1289</v>
      </c>
      <c r="S451" s="325">
        <f>引力魔方!G691+引力魔方!H691</f>
        <v>86</v>
      </c>
      <c r="T451" s="326">
        <v>3000</v>
      </c>
      <c r="U451" s="176">
        <f t="shared" si="26"/>
        <v>0.409683564660185</v>
      </c>
      <c r="V451" s="326">
        <f>万相台!B280</f>
        <v>2649.44</v>
      </c>
      <c r="W451" s="417">
        <f>万相台!C280</f>
        <v>573269</v>
      </c>
      <c r="X451" s="417">
        <f>万相台!D280</f>
        <v>2411</v>
      </c>
      <c r="Y451" s="306">
        <f>万相台!G280+万相台!H280</f>
        <v>171</v>
      </c>
      <c r="AA451" s="68">
        <f t="shared" si="43"/>
        <v>9000</v>
      </c>
      <c r="AB451" s="69">
        <f t="shared" si="44"/>
        <v>6467.04</v>
      </c>
      <c r="AC451" s="70">
        <f t="shared" si="45"/>
        <v>349</v>
      </c>
      <c r="AD451" s="505">
        <f t="shared" si="46"/>
        <v>18.5302005730659</v>
      </c>
      <c r="AE451" s="506">
        <f t="shared" si="47"/>
        <v>0.0801930147058824</v>
      </c>
      <c r="AF451" s="69">
        <f t="shared" si="48"/>
        <v>4352</v>
      </c>
      <c r="AG451" s="71">
        <f t="shared" si="49"/>
        <v>1.48599264705882</v>
      </c>
      <c r="AH451" s="71">
        <f t="shared" si="50"/>
        <v>8.37692971298151</v>
      </c>
    </row>
    <row r="452" spans="1:34">
      <c r="A452" s="304">
        <v>45440</v>
      </c>
      <c r="B452" s="392">
        <v>700</v>
      </c>
      <c r="C452" s="176">
        <f t="shared" si="23"/>
        <v>0.0604409555848353</v>
      </c>
      <c r="D452" s="443">
        <f>明星店铺!B793</f>
        <v>478.45</v>
      </c>
      <c r="E452" s="404">
        <f>明星店铺!C793</f>
        <v>417</v>
      </c>
      <c r="F452" s="404">
        <f>明星店铺!D793</f>
        <v>204</v>
      </c>
      <c r="G452" s="325">
        <f>明星店铺!G793+明星店铺!H793</f>
        <v>67</v>
      </c>
      <c r="H452" s="392">
        <v>4000</v>
      </c>
      <c r="I452" s="176">
        <f t="shared" si="24"/>
        <v>0.417102598664223</v>
      </c>
      <c r="J452" s="443">
        <f>直通车!B793</f>
        <v>3301.78</v>
      </c>
      <c r="K452" s="399">
        <f>直通车!C793</f>
        <v>8776</v>
      </c>
      <c r="L452" s="511">
        <f>直通车!D793</f>
        <v>665</v>
      </c>
      <c r="M452" s="325">
        <f>直通车!G793+直通车!H793</f>
        <v>35</v>
      </c>
      <c r="N452" s="392">
        <v>1300</v>
      </c>
      <c r="O452" s="176">
        <f t="shared" si="25"/>
        <v>0.148474164318045</v>
      </c>
      <c r="P452" s="443">
        <f>引力魔方!B692</f>
        <v>1175.32</v>
      </c>
      <c r="Q452" s="398">
        <f>引力魔方!C692</f>
        <v>965903</v>
      </c>
      <c r="R452" s="399">
        <f>引力魔方!D692</f>
        <v>2978</v>
      </c>
      <c r="S452" s="325">
        <f>引力魔方!G692+引力魔方!H692</f>
        <v>98</v>
      </c>
      <c r="T452" s="326">
        <v>3000</v>
      </c>
      <c r="U452" s="176">
        <f t="shared" si="26"/>
        <v>0.373982281432897</v>
      </c>
      <c r="V452" s="326">
        <f>万相台!B281</f>
        <v>2960.44</v>
      </c>
      <c r="W452" s="417">
        <f>万相台!C281</f>
        <v>623698</v>
      </c>
      <c r="X452" s="417">
        <f>万相台!D281</f>
        <v>2408</v>
      </c>
      <c r="Y452" s="306">
        <f>万相台!G281+万相台!H281</f>
        <v>207</v>
      </c>
      <c r="AA452" s="68">
        <f t="shared" si="43"/>
        <v>9000</v>
      </c>
      <c r="AB452" s="69">
        <f t="shared" si="44"/>
        <v>7915.99</v>
      </c>
      <c r="AC452" s="70">
        <f t="shared" si="45"/>
        <v>407</v>
      </c>
      <c r="AD452" s="505">
        <f t="shared" si="46"/>
        <v>19.4496068796069</v>
      </c>
      <c r="AE452" s="506">
        <f t="shared" si="47"/>
        <v>0.0650679456434852</v>
      </c>
      <c r="AF452" s="69">
        <f t="shared" si="48"/>
        <v>6255</v>
      </c>
      <c r="AG452" s="71">
        <f t="shared" si="49"/>
        <v>1.26554596322942</v>
      </c>
      <c r="AH452" s="71">
        <f t="shared" si="50"/>
        <v>4.95122573639881</v>
      </c>
    </row>
    <row r="453" spans="1:34">
      <c r="A453" s="304">
        <v>45441</v>
      </c>
      <c r="B453" s="392">
        <v>700</v>
      </c>
      <c r="C453" s="176">
        <f t="shared" si="23"/>
        <v>0.0367019113460756</v>
      </c>
      <c r="D453" s="443">
        <f>明星店铺!B794</f>
        <v>357.39</v>
      </c>
      <c r="E453" s="404">
        <f>明星店铺!C794</f>
        <v>356</v>
      </c>
      <c r="F453" s="404">
        <f>明星店铺!D794</f>
        <v>166</v>
      </c>
      <c r="G453" s="325">
        <f>明星店铺!G794+明星店铺!H794</f>
        <v>41</v>
      </c>
      <c r="H453" s="392">
        <v>4000</v>
      </c>
      <c r="I453" s="176">
        <f t="shared" si="24"/>
        <v>0.327512621127912</v>
      </c>
      <c r="J453" s="443">
        <f>直通车!B794</f>
        <v>3189.2</v>
      </c>
      <c r="K453" s="399">
        <f>直通车!C794</f>
        <v>9507</v>
      </c>
      <c r="L453" s="511">
        <f>直通车!D794</f>
        <v>681</v>
      </c>
      <c r="M453" s="325">
        <f>直通车!G794+直通车!H794</f>
        <v>58</v>
      </c>
      <c r="N453" s="392">
        <v>1300</v>
      </c>
      <c r="O453" s="176">
        <f t="shared" si="25"/>
        <v>0.12097592435128</v>
      </c>
      <c r="P453" s="443">
        <f>引力魔方!B693</f>
        <v>1178.02</v>
      </c>
      <c r="Q453" s="398">
        <f>引力魔方!C693</f>
        <v>1239796</v>
      </c>
      <c r="R453" s="399">
        <f>引力魔方!D693</f>
        <v>3537</v>
      </c>
      <c r="S453" s="325">
        <f>引力魔方!G693+引力魔方!H693</f>
        <v>77</v>
      </c>
      <c r="T453" s="326">
        <v>4000</v>
      </c>
      <c r="U453" s="176">
        <f t="shared" si="26"/>
        <v>0.514809543174732</v>
      </c>
      <c r="V453" s="326">
        <f>万相台!B282</f>
        <v>5013.03</v>
      </c>
      <c r="W453" s="417">
        <f>万相台!C282</f>
        <v>648533</v>
      </c>
      <c r="X453" s="417">
        <f>万相台!D282</f>
        <v>4165</v>
      </c>
      <c r="Y453" s="306">
        <f>万相台!G282+万相台!H282</f>
        <v>230</v>
      </c>
      <c r="AA453" s="68">
        <f t="shared" si="43"/>
        <v>10000</v>
      </c>
      <c r="AB453" s="69">
        <f t="shared" si="44"/>
        <v>9737.64</v>
      </c>
      <c r="AC453" s="70">
        <f t="shared" si="45"/>
        <v>406</v>
      </c>
      <c r="AD453" s="505">
        <f t="shared" si="46"/>
        <v>23.9843349753695</v>
      </c>
      <c r="AE453" s="506">
        <f t="shared" si="47"/>
        <v>0.0474909346122354</v>
      </c>
      <c r="AF453" s="69">
        <f t="shared" si="48"/>
        <v>8549</v>
      </c>
      <c r="AG453" s="71">
        <f t="shared" si="49"/>
        <v>1.13903848403322</v>
      </c>
      <c r="AH453" s="71">
        <f t="shared" si="50"/>
        <v>5.12995524161939</v>
      </c>
    </row>
    <row r="454" spans="1:34">
      <c r="A454" s="304">
        <v>45442</v>
      </c>
      <c r="B454" s="392">
        <v>700</v>
      </c>
      <c r="C454" s="176">
        <f t="shared" si="23"/>
        <v>0.0492672895502552</v>
      </c>
      <c r="D454" s="443">
        <f>明星店铺!B795</f>
        <v>391.47</v>
      </c>
      <c r="E454" s="404">
        <f>明星店铺!C795</f>
        <v>355</v>
      </c>
      <c r="F454" s="404">
        <f>明星店铺!D795</f>
        <v>157</v>
      </c>
      <c r="G454" s="325">
        <f>明星店铺!G795+明星店铺!H795</f>
        <v>41</v>
      </c>
      <c r="H454" s="392">
        <v>4000</v>
      </c>
      <c r="I454" s="176">
        <f t="shared" si="24"/>
        <v>0.423913645379217</v>
      </c>
      <c r="J454" s="443">
        <f>直通车!B795</f>
        <v>3368.35</v>
      </c>
      <c r="K454" s="399">
        <f>直通车!C795</f>
        <v>10644</v>
      </c>
      <c r="L454" s="511">
        <f>直通车!D795</f>
        <v>698</v>
      </c>
      <c r="M454" s="325">
        <f>直通车!G795+直通车!H795</f>
        <v>52</v>
      </c>
      <c r="N454" s="392">
        <v>1300</v>
      </c>
      <c r="O454" s="176">
        <f t="shared" si="25"/>
        <v>0.14862368232937</v>
      </c>
      <c r="P454" s="443">
        <f>引力魔方!B694</f>
        <v>1180.94</v>
      </c>
      <c r="Q454" s="398">
        <f>引力魔方!C694</f>
        <v>838434</v>
      </c>
      <c r="R454" s="399">
        <f>引力魔方!D694</f>
        <v>2742</v>
      </c>
      <c r="S454" s="325">
        <f>引力魔方!G694+引力魔方!H694</f>
        <v>81</v>
      </c>
      <c r="T454" s="326">
        <v>4000</v>
      </c>
      <c r="U454" s="176">
        <f t="shared" si="26"/>
        <v>0.378195382741158</v>
      </c>
      <c r="V454" s="326">
        <f>万相台!B283</f>
        <v>3005.08</v>
      </c>
      <c r="W454" s="417">
        <f>万相台!C283</f>
        <v>553609</v>
      </c>
      <c r="X454" s="417">
        <f>万相台!D283</f>
        <v>2555</v>
      </c>
      <c r="Y454" s="306">
        <f>万相台!G283+万相台!H283</f>
        <v>262</v>
      </c>
      <c r="AA454" s="68">
        <f t="shared" si="43"/>
        <v>10000</v>
      </c>
      <c r="AB454" s="69">
        <f t="shared" si="44"/>
        <v>7945.84</v>
      </c>
      <c r="AC454" s="70">
        <f t="shared" si="45"/>
        <v>436</v>
      </c>
      <c r="AD454" s="505">
        <f t="shared" si="46"/>
        <v>18.2244036697248</v>
      </c>
      <c r="AE454" s="506">
        <f t="shared" si="47"/>
        <v>0.0708712613784135</v>
      </c>
      <c r="AF454" s="69">
        <f t="shared" si="48"/>
        <v>6152</v>
      </c>
      <c r="AG454" s="71">
        <f t="shared" si="49"/>
        <v>1.29158647594278</v>
      </c>
      <c r="AH454" s="71">
        <f t="shared" si="50"/>
        <v>5.66329447015841</v>
      </c>
    </row>
    <row r="455" spans="1:34">
      <c r="A455" s="304">
        <v>45443</v>
      </c>
      <c r="B455" s="392">
        <v>700</v>
      </c>
      <c r="C455" s="176">
        <f t="shared" si="23"/>
        <v>0.03257865289915</v>
      </c>
      <c r="D455" s="443">
        <f>明星店铺!B796</f>
        <v>349.84</v>
      </c>
      <c r="E455" s="404">
        <f>明星店铺!C796</f>
        <v>331</v>
      </c>
      <c r="F455" s="404">
        <f>明星店铺!D796</f>
        <v>129</v>
      </c>
      <c r="G455" s="325">
        <f>明星店铺!G796+明星店铺!H796</f>
        <v>67</v>
      </c>
      <c r="H455" s="392">
        <v>4000</v>
      </c>
      <c r="I455" s="176">
        <f t="shared" si="24"/>
        <v>0.306900893249596</v>
      </c>
      <c r="J455" s="443">
        <f>直通车!B796</f>
        <v>3295.6</v>
      </c>
      <c r="K455" s="399">
        <f>直通车!C796</f>
        <v>10631</v>
      </c>
      <c r="L455" s="511">
        <f>直通车!D796</f>
        <v>624</v>
      </c>
      <c r="M455" s="325">
        <f>直通车!G796+直通车!H796</f>
        <v>39</v>
      </c>
      <c r="N455" s="392">
        <v>1300</v>
      </c>
      <c r="O455" s="176">
        <f t="shared" si="25"/>
        <v>0.109635399205835</v>
      </c>
      <c r="P455" s="443">
        <f>引力魔方!B695</f>
        <v>1177.3</v>
      </c>
      <c r="Q455" s="398">
        <f>引力魔方!C695</f>
        <v>987672</v>
      </c>
      <c r="R455" s="399">
        <f>引力魔方!D695</f>
        <v>2808</v>
      </c>
      <c r="S455" s="325">
        <f>引力魔方!G695+引力魔方!H695</f>
        <v>63</v>
      </c>
      <c r="T455" s="326">
        <v>4000</v>
      </c>
      <c r="U455" s="176">
        <f t="shared" si="26"/>
        <v>0.550885054645419</v>
      </c>
      <c r="V455" s="326">
        <f>万相台!B284</f>
        <v>5915.58</v>
      </c>
      <c r="W455" s="417">
        <f>万相台!C284</f>
        <v>596441</v>
      </c>
      <c r="X455" s="417">
        <f>万相台!D284</f>
        <v>6372</v>
      </c>
      <c r="Y455" s="306">
        <f>万相台!G284+万相台!H284</f>
        <v>225</v>
      </c>
      <c r="AA455" s="68">
        <f t="shared" si="43"/>
        <v>10000</v>
      </c>
      <c r="AB455" s="69">
        <f t="shared" si="44"/>
        <v>10738.32</v>
      </c>
      <c r="AC455" s="70">
        <f t="shared" si="45"/>
        <v>394</v>
      </c>
      <c r="AD455" s="505">
        <f t="shared" si="46"/>
        <v>27.2546192893401</v>
      </c>
      <c r="AE455" s="506">
        <f t="shared" si="47"/>
        <v>0.0396657605959932</v>
      </c>
      <c r="AF455" s="69">
        <f t="shared" si="48"/>
        <v>9933</v>
      </c>
      <c r="AG455" s="71">
        <f t="shared" si="49"/>
        <v>1.0810752038659</v>
      </c>
      <c r="AH455" s="71">
        <f t="shared" si="50"/>
        <v>6.73217246837923</v>
      </c>
    </row>
    <row r="456" spans="1:34">
      <c r="A456" s="304">
        <v>45444</v>
      </c>
      <c r="B456" s="392">
        <v>700</v>
      </c>
      <c r="C456" s="176">
        <f t="shared" si="23"/>
        <v>0.0417291767104153</v>
      </c>
      <c r="D456" s="443">
        <f>明星店铺!B797</f>
        <v>371.33</v>
      </c>
      <c r="E456" s="404">
        <f>明星店铺!C797</f>
        <v>332</v>
      </c>
      <c r="F456" s="404">
        <f>明星店铺!D797</f>
        <v>155</v>
      </c>
      <c r="G456" s="325">
        <f>明星店铺!G797+明星店铺!H797</f>
        <v>50</v>
      </c>
      <c r="H456" s="392">
        <v>3300</v>
      </c>
      <c r="I456" s="176">
        <f t="shared" si="24"/>
        <v>0.373088035493343</v>
      </c>
      <c r="J456" s="443">
        <f>直通车!B797</f>
        <v>3319.95</v>
      </c>
      <c r="K456" s="399">
        <f>直通车!C797</f>
        <v>12744</v>
      </c>
      <c r="L456" s="511">
        <f>直通车!D797</f>
        <v>662</v>
      </c>
      <c r="M456" s="325">
        <f>直通车!G797+直通车!H797</f>
        <v>64</v>
      </c>
      <c r="N456" s="392">
        <v>1400</v>
      </c>
      <c r="O456" s="176">
        <f t="shared" si="25"/>
        <v>0.164180312117565</v>
      </c>
      <c r="P456" s="443">
        <f>引力魔方!B696</f>
        <v>1460.97</v>
      </c>
      <c r="Q456" s="398">
        <f>引力魔方!C696</f>
        <v>1232754</v>
      </c>
      <c r="R456" s="399">
        <f>引力魔方!D696</f>
        <v>3522</v>
      </c>
      <c r="S456" s="325">
        <f>引力魔方!G696+引力魔方!H696</f>
        <v>172</v>
      </c>
      <c r="T456" s="326">
        <v>4000</v>
      </c>
      <c r="U456" s="176">
        <f t="shared" si="26"/>
        <v>0.421002475678676</v>
      </c>
      <c r="V456" s="326">
        <f>万相台!B285</f>
        <v>3746.32</v>
      </c>
      <c r="W456" s="417">
        <f>万相台!C285</f>
        <v>861714</v>
      </c>
      <c r="X456" s="417">
        <f>万相台!D285</f>
        <v>3261</v>
      </c>
      <c r="Y456" s="306">
        <f>万相台!G285+万相台!H285</f>
        <v>356</v>
      </c>
      <c r="AA456" s="68">
        <f t="shared" si="43"/>
        <v>9400</v>
      </c>
      <c r="AB456" s="69">
        <f t="shared" si="44"/>
        <v>8898.57</v>
      </c>
      <c r="AC456" s="70">
        <f t="shared" si="45"/>
        <v>642</v>
      </c>
      <c r="AD456" s="505">
        <f t="shared" si="46"/>
        <v>13.8607009345794</v>
      </c>
      <c r="AE456" s="506">
        <f t="shared" si="47"/>
        <v>0.0844736842105263</v>
      </c>
      <c r="AF456" s="69">
        <f t="shared" si="48"/>
        <v>7600</v>
      </c>
      <c r="AG456" s="71">
        <f t="shared" si="49"/>
        <v>1.17086447368421</v>
      </c>
      <c r="AH456" s="71">
        <f t="shared" si="50"/>
        <v>4.2222463682846</v>
      </c>
    </row>
    <row r="457" spans="1:34">
      <c r="A457" s="304">
        <v>45445</v>
      </c>
      <c r="B457" s="392">
        <v>700</v>
      </c>
      <c r="C457" s="176">
        <f t="shared" si="23"/>
        <v>0.0472596927896958</v>
      </c>
      <c r="D457" s="443">
        <f>明星店铺!B798</f>
        <v>434.43</v>
      </c>
      <c r="E457" s="404">
        <f>明星店铺!C798</f>
        <v>432</v>
      </c>
      <c r="F457" s="404">
        <f>明星店铺!D798</f>
        <v>237</v>
      </c>
      <c r="G457" s="325">
        <f>明星店铺!G798+明星店铺!H798</f>
        <v>52</v>
      </c>
      <c r="H457" s="392">
        <v>3300</v>
      </c>
      <c r="I457" s="176">
        <f t="shared" si="24"/>
        <v>0.373924111222314</v>
      </c>
      <c r="J457" s="443">
        <f>直通车!B798</f>
        <v>3437.26</v>
      </c>
      <c r="K457" s="399">
        <f>直通车!C798</f>
        <v>11575</v>
      </c>
      <c r="L457" s="511">
        <f>直通车!D798</f>
        <v>722</v>
      </c>
      <c r="M457" s="325">
        <f>直通车!G798+直通车!H798</f>
        <v>43</v>
      </c>
      <c r="N457" s="392">
        <v>1400</v>
      </c>
      <c r="O457" s="176">
        <f t="shared" si="25"/>
        <v>0.160472781863278</v>
      </c>
      <c r="P457" s="443">
        <f>引力魔方!B697</f>
        <v>1475.13</v>
      </c>
      <c r="Q457" s="398">
        <f>引力魔方!C697</f>
        <v>1055296</v>
      </c>
      <c r="R457" s="399">
        <f>引力魔方!D697</f>
        <v>3382</v>
      </c>
      <c r="S457" s="325">
        <f>引力魔方!G697+引力魔方!H697</f>
        <v>173</v>
      </c>
      <c r="T457" s="326">
        <v>4000</v>
      </c>
      <c r="U457" s="176">
        <f t="shared" si="26"/>
        <v>0.418343414124712</v>
      </c>
      <c r="V457" s="326">
        <f>万相台!B286</f>
        <v>3845.58</v>
      </c>
      <c r="W457" s="417">
        <f>万相台!C286</f>
        <v>713347</v>
      </c>
      <c r="X457" s="417">
        <f>万相台!D286</f>
        <v>3284</v>
      </c>
      <c r="Y457" s="306">
        <f>万相台!G286+万相台!H286</f>
        <v>319</v>
      </c>
      <c r="AA457" s="68">
        <f t="shared" si="43"/>
        <v>9400</v>
      </c>
      <c r="AB457" s="69">
        <f t="shared" si="44"/>
        <v>9192.4</v>
      </c>
      <c r="AC457" s="70">
        <f t="shared" si="45"/>
        <v>587</v>
      </c>
      <c r="AD457" s="505">
        <f t="shared" si="46"/>
        <v>15.6599659284497</v>
      </c>
      <c r="AE457" s="506">
        <f t="shared" si="47"/>
        <v>0.076983606557377</v>
      </c>
      <c r="AF457" s="69">
        <f t="shared" si="48"/>
        <v>7625</v>
      </c>
      <c r="AG457" s="71">
        <f t="shared" si="49"/>
        <v>1.2055606557377</v>
      </c>
      <c r="AH457" s="71">
        <f t="shared" si="50"/>
        <v>5.16238452250583</v>
      </c>
    </row>
    <row r="458" spans="1:34">
      <c r="A458" s="304">
        <v>45446</v>
      </c>
      <c r="B458" s="392">
        <v>700</v>
      </c>
      <c r="C458" s="176">
        <f t="shared" ref="C458:C485" si="51">D458/$AB458</f>
        <v>0.0472454112012927</v>
      </c>
      <c r="D458" s="443">
        <f>明星店铺!B799</f>
        <v>469</v>
      </c>
      <c r="E458" s="404">
        <f>明星店铺!C799</f>
        <v>414</v>
      </c>
      <c r="F458" s="404">
        <f>明星店铺!D799</f>
        <v>207</v>
      </c>
      <c r="G458" s="325">
        <f>明星店铺!G799+明星店铺!H799</f>
        <v>78</v>
      </c>
      <c r="H458" s="392">
        <v>3300</v>
      </c>
      <c r="I458" s="176">
        <f t="shared" ref="I458:I485" si="52">J458/$AB458</f>
        <v>0.327710894348583</v>
      </c>
      <c r="J458" s="443">
        <f>直通车!B799</f>
        <v>3253.15</v>
      </c>
      <c r="K458" s="399">
        <f>直通车!C799</f>
        <v>12287</v>
      </c>
      <c r="L458" s="511">
        <f>直通车!D799</f>
        <v>704</v>
      </c>
      <c r="M458" s="325">
        <f>直通车!G799+直通车!H799</f>
        <v>70</v>
      </c>
      <c r="N458" s="392">
        <v>1400</v>
      </c>
      <c r="O458" s="176">
        <f t="shared" ref="O458:O485" si="53">P458/$AB458</f>
        <v>0.145554146364068</v>
      </c>
      <c r="P458" s="443">
        <f>引力魔方!B698</f>
        <v>1444.9</v>
      </c>
      <c r="Q458" s="398">
        <f>引力魔方!C698</f>
        <v>1222089</v>
      </c>
      <c r="R458" s="399">
        <f>引力魔方!D698</f>
        <v>3579</v>
      </c>
      <c r="S458" s="325">
        <f>引力魔方!G698+引力魔方!H698</f>
        <v>115</v>
      </c>
      <c r="T458" s="326">
        <v>4000</v>
      </c>
      <c r="U458" s="176">
        <f t="shared" ref="U458:U485" si="54">V458/$AB458</f>
        <v>0.479489548086057</v>
      </c>
      <c r="V458" s="326">
        <f>万相台!B287</f>
        <v>4759.84</v>
      </c>
      <c r="W458" s="417">
        <f>万相台!C287</f>
        <v>824820</v>
      </c>
      <c r="X458" s="417">
        <f>万相台!D287</f>
        <v>5341</v>
      </c>
      <c r="Y458" s="306">
        <f>万相台!G287+万相台!H287</f>
        <v>215</v>
      </c>
      <c r="AA458" s="68">
        <f t="shared" ref="AA458:AA473" si="55">B458+H458+N458+T458</f>
        <v>9400</v>
      </c>
      <c r="AB458" s="69">
        <f t="shared" ref="AB458:AB473" si="56">D458+J458+P458+V458</f>
        <v>9926.89</v>
      </c>
      <c r="AC458" s="70">
        <f t="shared" ref="AC458:AC473" si="57">G458+M458+S458+Y458</f>
        <v>478</v>
      </c>
      <c r="AD458" s="505">
        <f t="shared" ref="AD458:AD473" si="58">AB458/AC458</f>
        <v>20.7675523012552</v>
      </c>
      <c r="AE458" s="506">
        <f t="shared" ref="AE458:AE473" si="59">AC458/AF458</f>
        <v>0.0486217068456922</v>
      </c>
      <c r="AF458" s="69">
        <f t="shared" ref="AF458:AF473" si="60">F458+L458+R458+X458</f>
        <v>9831</v>
      </c>
      <c r="AG458" s="71">
        <f t="shared" ref="AG458:AG473" si="61">AB458/AF458</f>
        <v>1.00975383989421</v>
      </c>
      <c r="AH458" s="71">
        <f t="shared" ref="AH458:AH473" si="62">AB458/((E458+K458+Q458+W458)/1000)</f>
        <v>4.81979112550434</v>
      </c>
    </row>
    <row r="459" spans="1:34">
      <c r="A459" s="304">
        <v>45447</v>
      </c>
      <c r="B459" s="392">
        <v>700</v>
      </c>
      <c r="C459" s="176">
        <f t="shared" si="51"/>
        <v>0.0419768120014675</v>
      </c>
      <c r="D459" s="443">
        <f>明星店铺!B800</f>
        <v>376.43</v>
      </c>
      <c r="E459" s="404">
        <f>明星店铺!C800</f>
        <v>335</v>
      </c>
      <c r="F459" s="404">
        <f>明星店铺!D800</f>
        <v>164</v>
      </c>
      <c r="G459" s="325">
        <f>明星店铺!G800+明星店铺!H800</f>
        <v>43</v>
      </c>
      <c r="H459" s="392">
        <v>3300</v>
      </c>
      <c r="I459" s="176">
        <f t="shared" si="52"/>
        <v>0.373936306045004</v>
      </c>
      <c r="J459" s="443">
        <f>直通车!B800</f>
        <v>3353.3</v>
      </c>
      <c r="K459" s="399">
        <f>直通车!C800</f>
        <v>11976</v>
      </c>
      <c r="L459" s="511">
        <f>直通车!D800</f>
        <v>736</v>
      </c>
      <c r="M459" s="325">
        <f>直通车!G800+直通车!H800</f>
        <v>67</v>
      </c>
      <c r="N459" s="392">
        <v>1400</v>
      </c>
      <c r="O459" s="176">
        <f t="shared" si="53"/>
        <v>0.163516983976707</v>
      </c>
      <c r="P459" s="443">
        <f>引力魔方!B699</f>
        <v>1466.35</v>
      </c>
      <c r="Q459" s="398">
        <f>引力魔方!C699</f>
        <v>1264945</v>
      </c>
      <c r="R459" s="399">
        <f>引力魔方!D699</f>
        <v>4115</v>
      </c>
      <c r="S459" s="325">
        <f>引力魔方!G699+引力魔方!H699</f>
        <v>124</v>
      </c>
      <c r="T459" s="326">
        <v>4000</v>
      </c>
      <c r="U459" s="176">
        <f t="shared" si="54"/>
        <v>0.420569897976821</v>
      </c>
      <c r="V459" s="326">
        <f>万相台!B288</f>
        <v>3771.49</v>
      </c>
      <c r="W459" s="417">
        <f>万相台!C288</f>
        <v>863943</v>
      </c>
      <c r="X459" s="417">
        <f>万相台!D288</f>
        <v>3706</v>
      </c>
      <c r="Y459" s="306">
        <f>万相台!G288+万相台!H288</f>
        <v>223</v>
      </c>
      <c r="AA459" s="68">
        <f t="shared" si="55"/>
        <v>9400</v>
      </c>
      <c r="AB459" s="69">
        <f t="shared" si="56"/>
        <v>8967.57</v>
      </c>
      <c r="AC459" s="70">
        <f t="shared" si="57"/>
        <v>457</v>
      </c>
      <c r="AD459" s="505">
        <f t="shared" si="58"/>
        <v>19.6226914660832</v>
      </c>
      <c r="AE459" s="506">
        <f t="shared" si="59"/>
        <v>0.0524022474486871</v>
      </c>
      <c r="AF459" s="69">
        <f t="shared" si="60"/>
        <v>8721</v>
      </c>
      <c r="AG459" s="71">
        <f t="shared" si="61"/>
        <v>1.02827313381493</v>
      </c>
      <c r="AH459" s="71">
        <f t="shared" si="62"/>
        <v>4.18810675700857</v>
      </c>
    </row>
    <row r="460" spans="1:34">
      <c r="A460" s="304">
        <v>45448</v>
      </c>
      <c r="B460" s="392">
        <v>500</v>
      </c>
      <c r="C460" s="176">
        <f t="shared" si="51"/>
        <v>0.0625023822410599</v>
      </c>
      <c r="D460" s="443">
        <f>明星店铺!B801</f>
        <v>491.94</v>
      </c>
      <c r="E460" s="404">
        <f>明星店铺!C801</f>
        <v>447</v>
      </c>
      <c r="F460" s="404">
        <f>明星店铺!D801</f>
        <v>230</v>
      </c>
      <c r="G460" s="325">
        <f>明星店铺!G801+明星店铺!H801</f>
        <v>68</v>
      </c>
      <c r="H460" s="392">
        <v>2700</v>
      </c>
      <c r="I460" s="176">
        <f t="shared" si="52"/>
        <v>0.347321852837217</v>
      </c>
      <c r="J460" s="443">
        <f>直通车!B801</f>
        <v>2733.68</v>
      </c>
      <c r="K460" s="399">
        <f>直通车!C801</f>
        <v>10074</v>
      </c>
      <c r="L460" s="511">
        <f>直通车!D801</f>
        <v>646</v>
      </c>
      <c r="M460" s="325">
        <f>直通车!G801+直通车!H801</f>
        <v>61</v>
      </c>
      <c r="N460" s="392">
        <v>1200</v>
      </c>
      <c r="O460" s="176">
        <f t="shared" si="53"/>
        <v>0.127226918942819</v>
      </c>
      <c r="P460" s="443">
        <f>引力魔方!B700</f>
        <v>1001.37</v>
      </c>
      <c r="Q460" s="398">
        <f>引力魔方!C700</f>
        <v>1199257</v>
      </c>
      <c r="R460" s="399">
        <f>引力魔方!D700</f>
        <v>3098</v>
      </c>
      <c r="S460" s="325">
        <f>引力魔方!G700+引力魔方!H700</f>
        <v>127</v>
      </c>
      <c r="T460" s="326">
        <v>4000</v>
      </c>
      <c r="U460" s="176">
        <f t="shared" si="54"/>
        <v>0.462948845978904</v>
      </c>
      <c r="V460" s="326">
        <f>万相台!B289</f>
        <v>3643.75</v>
      </c>
      <c r="W460" s="417">
        <f>万相台!C289</f>
        <v>829860</v>
      </c>
      <c r="X460" s="417">
        <f>万相台!D289</f>
        <v>5214</v>
      </c>
      <c r="Y460" s="306">
        <f>万相台!G289+万相台!H289</f>
        <v>199</v>
      </c>
      <c r="AA460" s="68">
        <f t="shared" si="55"/>
        <v>8400</v>
      </c>
      <c r="AB460" s="69">
        <f t="shared" si="56"/>
        <v>7870.74</v>
      </c>
      <c r="AC460" s="70">
        <f t="shared" si="57"/>
        <v>455</v>
      </c>
      <c r="AD460" s="505">
        <f t="shared" si="58"/>
        <v>17.2983296703297</v>
      </c>
      <c r="AE460" s="506">
        <f t="shared" si="59"/>
        <v>0.0495211144971702</v>
      </c>
      <c r="AF460" s="69">
        <f t="shared" si="60"/>
        <v>9188</v>
      </c>
      <c r="AG460" s="71">
        <f t="shared" si="61"/>
        <v>0.856632564214192</v>
      </c>
      <c r="AH460" s="71">
        <f t="shared" si="62"/>
        <v>3.85889064628135</v>
      </c>
    </row>
    <row r="461" spans="1:34">
      <c r="A461" s="304">
        <v>45449</v>
      </c>
      <c r="B461" s="392">
        <v>500</v>
      </c>
      <c r="C461" s="176">
        <f t="shared" si="51"/>
        <v>0.0552270231123773</v>
      </c>
      <c r="D461" s="443">
        <f>明星店铺!B802</f>
        <v>345.45</v>
      </c>
      <c r="E461" s="404">
        <f>明星店铺!C802</f>
        <v>340</v>
      </c>
      <c r="F461" s="404">
        <f>明星店铺!D802</f>
        <v>197</v>
      </c>
      <c r="G461" s="325">
        <f>明星店铺!G802+明星店铺!H802</f>
        <v>51</v>
      </c>
      <c r="H461" s="392">
        <v>2700</v>
      </c>
      <c r="I461" s="176">
        <f t="shared" si="52"/>
        <v>0.417089122618539</v>
      </c>
      <c r="J461" s="443">
        <f>直通车!B802</f>
        <v>2608.93</v>
      </c>
      <c r="K461" s="399">
        <f>直通车!C802</f>
        <v>9898</v>
      </c>
      <c r="L461" s="511">
        <f>直通车!D802</f>
        <v>613</v>
      </c>
      <c r="M461" s="325">
        <f>直通车!G802+直通车!H802</f>
        <v>78</v>
      </c>
      <c r="N461" s="392">
        <v>800</v>
      </c>
      <c r="O461" s="176">
        <f t="shared" si="53"/>
        <v>0.163033625415462</v>
      </c>
      <c r="P461" s="443">
        <f>引力魔方!B701</f>
        <v>1019.79</v>
      </c>
      <c r="Q461" s="398">
        <f>引力魔方!C701</f>
        <v>1064460</v>
      </c>
      <c r="R461" s="399">
        <f>引力魔方!D701</f>
        <v>2997</v>
      </c>
      <c r="S461" s="325">
        <f>引力魔方!G701+引力魔方!H701</f>
        <v>109</v>
      </c>
      <c r="T461" s="326">
        <v>3000</v>
      </c>
      <c r="U461" s="176">
        <f t="shared" si="54"/>
        <v>0.364650228853622</v>
      </c>
      <c r="V461" s="326">
        <f>万相台!B290</f>
        <v>2280.92</v>
      </c>
      <c r="W461" s="417">
        <f>万相台!C290</f>
        <v>942667</v>
      </c>
      <c r="X461" s="417">
        <f>万相台!D290</f>
        <v>3296</v>
      </c>
      <c r="Y461" s="306">
        <f>万相台!G290+万相台!H290</f>
        <v>116</v>
      </c>
      <c r="AA461" s="68">
        <f t="shared" si="55"/>
        <v>7000</v>
      </c>
      <c r="AB461" s="69">
        <f t="shared" si="56"/>
        <v>6255.09</v>
      </c>
      <c r="AC461" s="70">
        <f t="shared" si="57"/>
        <v>354</v>
      </c>
      <c r="AD461" s="505">
        <f t="shared" si="58"/>
        <v>17.6697457627119</v>
      </c>
      <c r="AE461" s="506">
        <f t="shared" si="59"/>
        <v>0.0498380965789103</v>
      </c>
      <c r="AF461" s="69">
        <f t="shared" si="60"/>
        <v>7103</v>
      </c>
      <c r="AG461" s="71">
        <f t="shared" si="61"/>
        <v>0.880626495846825</v>
      </c>
      <c r="AH461" s="71">
        <f t="shared" si="62"/>
        <v>3.10062383356507</v>
      </c>
    </row>
    <row r="462" spans="1:34">
      <c r="A462" s="304">
        <v>45450</v>
      </c>
      <c r="B462" s="392">
        <v>500</v>
      </c>
      <c r="C462" s="176">
        <f t="shared" si="51"/>
        <v>0.064696361700177</v>
      </c>
      <c r="D462" s="443">
        <f>明星店铺!B803</f>
        <v>366.95</v>
      </c>
      <c r="E462" s="404">
        <f>明星店铺!C803</f>
        <v>334</v>
      </c>
      <c r="F462" s="404">
        <f>明星店铺!D803</f>
        <v>148</v>
      </c>
      <c r="G462" s="325">
        <f>明星店铺!G803+明星店铺!H803</f>
        <v>53</v>
      </c>
      <c r="H462" s="392">
        <v>2700</v>
      </c>
      <c r="I462" s="176">
        <f t="shared" si="52"/>
        <v>0.429078189242368</v>
      </c>
      <c r="J462" s="443">
        <f>直通车!B803</f>
        <v>2433.68</v>
      </c>
      <c r="K462" s="399">
        <f>直通车!C803</f>
        <v>10274</v>
      </c>
      <c r="L462" s="511">
        <f>直通车!D803</f>
        <v>554</v>
      </c>
      <c r="M462" s="325">
        <f>直通车!G803+直通车!H803</f>
        <v>44</v>
      </c>
      <c r="N462" s="392">
        <v>800</v>
      </c>
      <c r="O462" s="176">
        <f t="shared" si="53"/>
        <v>0.128807379563743</v>
      </c>
      <c r="P462" s="443">
        <f>引力魔方!B702</f>
        <v>730.58</v>
      </c>
      <c r="Q462" s="398">
        <f>引力魔方!C702</f>
        <v>611152</v>
      </c>
      <c r="R462" s="399">
        <f>引力魔方!D702</f>
        <v>1944</v>
      </c>
      <c r="S462" s="325">
        <f>引力魔方!G702+引力魔方!H702</f>
        <v>91</v>
      </c>
      <c r="T462" s="326">
        <v>3000</v>
      </c>
      <c r="U462" s="176">
        <f t="shared" si="54"/>
        <v>0.377418069493713</v>
      </c>
      <c r="V462" s="326">
        <f>万相台!B291</f>
        <v>2140.67</v>
      </c>
      <c r="W462" s="417">
        <f>万相台!C291</f>
        <v>511512</v>
      </c>
      <c r="X462" s="417">
        <f>万相台!D291</f>
        <v>2415</v>
      </c>
      <c r="Y462" s="306">
        <f>万相台!G291+万相台!H291</f>
        <v>92</v>
      </c>
      <c r="AA462" s="68">
        <f t="shared" si="55"/>
        <v>7000</v>
      </c>
      <c r="AB462" s="69">
        <f t="shared" si="56"/>
        <v>5671.88</v>
      </c>
      <c r="AC462" s="70">
        <f t="shared" si="57"/>
        <v>280</v>
      </c>
      <c r="AD462" s="505">
        <f t="shared" si="58"/>
        <v>20.2567142857143</v>
      </c>
      <c r="AE462" s="506">
        <f t="shared" si="59"/>
        <v>0.0553250345781466</v>
      </c>
      <c r="AF462" s="69">
        <f t="shared" si="60"/>
        <v>5061</v>
      </c>
      <c r="AG462" s="71">
        <f t="shared" si="61"/>
        <v>1.12070341829678</v>
      </c>
      <c r="AH462" s="71">
        <f t="shared" si="62"/>
        <v>5.00487085183433</v>
      </c>
    </row>
    <row r="463" spans="1:34">
      <c r="A463" s="304">
        <v>45451</v>
      </c>
      <c r="B463" s="392">
        <v>500</v>
      </c>
      <c r="C463" s="176">
        <f t="shared" si="51"/>
        <v>0.0625062680966015</v>
      </c>
      <c r="D463" s="443">
        <f>明星店铺!B804</f>
        <v>386.42</v>
      </c>
      <c r="E463" s="404">
        <f>明星店铺!C804</f>
        <v>350</v>
      </c>
      <c r="F463" s="404">
        <f>明星店铺!D804</f>
        <v>150</v>
      </c>
      <c r="G463" s="325">
        <f>明星店铺!G804+明星店铺!H804</f>
        <v>44</v>
      </c>
      <c r="H463" s="392">
        <v>2700</v>
      </c>
      <c r="I463" s="176">
        <f t="shared" si="52"/>
        <v>0.407712589573122</v>
      </c>
      <c r="J463" s="443">
        <f>直通车!B804</f>
        <v>2520.52</v>
      </c>
      <c r="K463" s="399">
        <f>直通车!C804</f>
        <v>10028</v>
      </c>
      <c r="L463" s="511">
        <f>直通车!D804</f>
        <v>569</v>
      </c>
      <c r="M463" s="325">
        <f>直通车!G804+直通车!H804</f>
        <v>34</v>
      </c>
      <c r="N463" s="392">
        <v>800</v>
      </c>
      <c r="O463" s="176">
        <f t="shared" si="53"/>
        <v>0.118526067193996</v>
      </c>
      <c r="P463" s="443">
        <f>引力魔方!B703</f>
        <v>732.74</v>
      </c>
      <c r="Q463" s="398">
        <f>引力魔方!C703</f>
        <v>682825</v>
      </c>
      <c r="R463" s="399">
        <f>引力魔方!D703</f>
        <v>2071</v>
      </c>
      <c r="S463" s="325">
        <f>引力魔方!G703+引力魔方!H703</f>
        <v>120</v>
      </c>
      <c r="T463" s="326">
        <v>3000</v>
      </c>
      <c r="U463" s="176">
        <f t="shared" si="54"/>
        <v>0.411255075136281</v>
      </c>
      <c r="V463" s="326">
        <f>万相台!B292</f>
        <v>2542.42</v>
      </c>
      <c r="W463" s="417">
        <f>万相台!C292</f>
        <v>799356</v>
      </c>
      <c r="X463" s="417">
        <f>万相台!D292</f>
        <v>3230</v>
      </c>
      <c r="Y463" s="306">
        <f>万相台!G292+万相台!H292</f>
        <v>146</v>
      </c>
      <c r="AA463" s="68">
        <f t="shared" si="55"/>
        <v>7000</v>
      </c>
      <c r="AB463" s="69">
        <f t="shared" si="56"/>
        <v>6182.1</v>
      </c>
      <c r="AC463" s="70">
        <f t="shared" si="57"/>
        <v>344</v>
      </c>
      <c r="AD463" s="505">
        <f t="shared" si="58"/>
        <v>17.9712209302326</v>
      </c>
      <c r="AE463" s="506">
        <f t="shared" si="59"/>
        <v>0.0571428571428571</v>
      </c>
      <c r="AF463" s="69">
        <f t="shared" si="60"/>
        <v>6020</v>
      </c>
      <c r="AG463" s="71">
        <f t="shared" si="61"/>
        <v>1.026926910299</v>
      </c>
      <c r="AH463" s="71">
        <f t="shared" si="62"/>
        <v>4.14194681751274</v>
      </c>
    </row>
    <row r="464" spans="1:34">
      <c r="A464" s="304">
        <v>45452</v>
      </c>
      <c r="B464" s="392">
        <v>500</v>
      </c>
      <c r="C464" s="176">
        <f t="shared" si="51"/>
        <v>0.0553396061997591</v>
      </c>
      <c r="D464" s="443">
        <f>明星店铺!B805</f>
        <v>339.12</v>
      </c>
      <c r="E464" s="404">
        <f>明星店铺!C805</f>
        <v>328</v>
      </c>
      <c r="F464" s="404">
        <f>明星店铺!D805</f>
        <v>140</v>
      </c>
      <c r="G464" s="325">
        <f>明星店铺!G805+明星店铺!H805</f>
        <v>55</v>
      </c>
      <c r="H464" s="392">
        <v>2700</v>
      </c>
      <c r="I464" s="176">
        <f t="shared" si="52"/>
        <v>0.418137787655965</v>
      </c>
      <c r="J464" s="443">
        <f>直通车!B805</f>
        <v>2562.34</v>
      </c>
      <c r="K464" s="399">
        <f>直通车!C805</f>
        <v>10133</v>
      </c>
      <c r="L464" s="511">
        <f>直通车!D805</f>
        <v>577</v>
      </c>
      <c r="M464" s="325">
        <f>直通车!G805+直通车!H805</f>
        <v>44</v>
      </c>
      <c r="N464" s="392">
        <v>800</v>
      </c>
      <c r="O464" s="176">
        <f t="shared" si="53"/>
        <v>0.119119187725809</v>
      </c>
      <c r="P464" s="443">
        <f>引力魔方!B704</f>
        <v>729.96</v>
      </c>
      <c r="Q464" s="398">
        <f>引力魔方!C704</f>
        <v>691960</v>
      </c>
      <c r="R464" s="399">
        <f>引力魔方!D704</f>
        <v>2205</v>
      </c>
      <c r="S464" s="325">
        <f>引力魔方!G704+引力魔方!H704</f>
        <v>97</v>
      </c>
      <c r="T464" s="326">
        <v>3000</v>
      </c>
      <c r="U464" s="176">
        <f t="shared" si="54"/>
        <v>0.407403418418467</v>
      </c>
      <c r="V464" s="326">
        <f>万相台!B293</f>
        <v>2496.56</v>
      </c>
      <c r="W464" s="417">
        <f>万相台!C293</f>
        <v>704540</v>
      </c>
      <c r="X464" s="417">
        <f>万相台!D293</f>
        <v>3269</v>
      </c>
      <c r="Y464" s="306">
        <f>万相台!G293+万相台!H293</f>
        <v>192</v>
      </c>
      <c r="AA464" s="68">
        <f t="shared" si="55"/>
        <v>7000</v>
      </c>
      <c r="AB464" s="69">
        <f t="shared" si="56"/>
        <v>6127.98</v>
      </c>
      <c r="AC464" s="70">
        <f t="shared" si="57"/>
        <v>388</v>
      </c>
      <c r="AD464" s="505">
        <f t="shared" si="58"/>
        <v>15.7937628865979</v>
      </c>
      <c r="AE464" s="506">
        <f t="shared" si="59"/>
        <v>0.0626716200936844</v>
      </c>
      <c r="AF464" s="69">
        <f t="shared" si="60"/>
        <v>6191</v>
      </c>
      <c r="AG464" s="71">
        <f t="shared" si="61"/>
        <v>0.989820707478598</v>
      </c>
      <c r="AH464" s="71">
        <f t="shared" si="62"/>
        <v>4.35547253975057</v>
      </c>
    </row>
    <row r="465" spans="1:34">
      <c r="A465" s="304">
        <v>45453</v>
      </c>
      <c r="B465" s="392">
        <v>500</v>
      </c>
      <c r="C465" s="176">
        <f t="shared" si="51"/>
        <v>0.0567514582061838</v>
      </c>
      <c r="D465" s="443">
        <f>明星店铺!B806</f>
        <v>350.56</v>
      </c>
      <c r="E465" s="404">
        <f>明星店铺!C806</f>
        <v>331</v>
      </c>
      <c r="F465" s="404">
        <f>明星店铺!D806</f>
        <v>157</v>
      </c>
      <c r="G465" s="325">
        <f>明星店铺!G806+明星店铺!H806</f>
        <v>49</v>
      </c>
      <c r="H465" s="392">
        <v>2700</v>
      </c>
      <c r="I465" s="176">
        <f t="shared" si="52"/>
        <v>0.416811421522362</v>
      </c>
      <c r="J465" s="443">
        <f>直通车!B806</f>
        <v>2574.69</v>
      </c>
      <c r="K465" s="399">
        <f>直通车!C806</f>
        <v>9239</v>
      </c>
      <c r="L465" s="511">
        <f>直通车!D806</f>
        <v>599</v>
      </c>
      <c r="M465" s="325">
        <f>直通车!G806+直通车!H806</f>
        <v>33</v>
      </c>
      <c r="N465" s="392">
        <v>800</v>
      </c>
      <c r="O465" s="176">
        <f t="shared" si="53"/>
        <v>0.119971960997942</v>
      </c>
      <c r="P465" s="443">
        <f>引力魔方!B705</f>
        <v>741.08</v>
      </c>
      <c r="Q465" s="398">
        <f>引力魔方!C705</f>
        <v>665496</v>
      </c>
      <c r="R465" s="399">
        <f>引力魔方!D705</f>
        <v>2316</v>
      </c>
      <c r="S465" s="325">
        <f>引力魔方!G705+引力魔方!H705</f>
        <v>78</v>
      </c>
      <c r="T465" s="326">
        <v>3000</v>
      </c>
      <c r="U465" s="176">
        <f t="shared" si="54"/>
        <v>0.406465159273511</v>
      </c>
      <c r="V465" s="326">
        <f>万相台!B294</f>
        <v>2510.78</v>
      </c>
      <c r="W465" s="417">
        <f>万相台!C294</f>
        <v>803441</v>
      </c>
      <c r="X465" s="417">
        <f>万相台!D294</f>
        <v>3554</v>
      </c>
      <c r="Y465" s="306">
        <f>万相台!G294+万相台!H294</f>
        <v>211</v>
      </c>
      <c r="AA465" s="68">
        <f t="shared" si="55"/>
        <v>7000</v>
      </c>
      <c r="AB465" s="69">
        <f t="shared" si="56"/>
        <v>6177.11</v>
      </c>
      <c r="AC465" s="70">
        <f t="shared" si="57"/>
        <v>371</v>
      </c>
      <c r="AD465" s="505">
        <f t="shared" si="58"/>
        <v>16.6498921832884</v>
      </c>
      <c r="AE465" s="506">
        <f t="shared" si="59"/>
        <v>0.0559915484455177</v>
      </c>
      <c r="AF465" s="69">
        <f t="shared" si="60"/>
        <v>6626</v>
      </c>
      <c r="AG465" s="71">
        <f t="shared" si="61"/>
        <v>0.932253244793239</v>
      </c>
      <c r="AH465" s="71">
        <f t="shared" si="62"/>
        <v>4.17793760868227</v>
      </c>
    </row>
    <row r="466" spans="1:34">
      <c r="A466" s="304">
        <v>45454</v>
      </c>
      <c r="B466" s="392">
        <v>500</v>
      </c>
      <c r="C466" s="176">
        <f t="shared" si="51"/>
        <v>0.0539853318370161</v>
      </c>
      <c r="D466" s="443">
        <f>明星店铺!B807</f>
        <v>389.17</v>
      </c>
      <c r="E466" s="404">
        <f>明星店铺!C807</f>
        <v>390</v>
      </c>
      <c r="F466" s="404">
        <f>明星店铺!D807</f>
        <v>184</v>
      </c>
      <c r="G466" s="325">
        <f>明星店铺!G807+明星店铺!H807</f>
        <v>74</v>
      </c>
      <c r="H466" s="392">
        <v>2700</v>
      </c>
      <c r="I466" s="176">
        <f t="shared" si="52"/>
        <v>0.356305687069017</v>
      </c>
      <c r="J466" s="443">
        <f>直通车!B807</f>
        <v>2568.54</v>
      </c>
      <c r="K466" s="399">
        <f>直通车!C807</f>
        <v>11989</v>
      </c>
      <c r="L466" s="511">
        <f>直通车!D807</f>
        <v>589</v>
      </c>
      <c r="M466" s="325">
        <f>直通车!G807+直通车!H807</f>
        <v>50</v>
      </c>
      <c r="N466" s="392">
        <v>800</v>
      </c>
      <c r="O466" s="176">
        <f t="shared" si="53"/>
        <v>0.100324464093241</v>
      </c>
      <c r="P466" s="443">
        <f>引力魔方!B706</f>
        <v>723.22</v>
      </c>
      <c r="Q466" s="398">
        <f>引力魔方!C706</f>
        <v>684717</v>
      </c>
      <c r="R466" s="399">
        <f>引力魔方!D706</f>
        <v>2177</v>
      </c>
      <c r="S466" s="325">
        <f>引力魔方!G706+引力魔方!H706</f>
        <v>70</v>
      </c>
      <c r="T466" s="326">
        <v>3000</v>
      </c>
      <c r="U466" s="176">
        <f t="shared" si="54"/>
        <v>0.489384517000725</v>
      </c>
      <c r="V466" s="326">
        <f>万相台!B295</f>
        <v>3527.88</v>
      </c>
      <c r="W466" s="417">
        <f>万相台!C295</f>
        <v>737536</v>
      </c>
      <c r="X466" s="417">
        <f>万相台!D295</f>
        <v>5715</v>
      </c>
      <c r="Y466" s="306">
        <f>万相台!G295+万相台!H295</f>
        <v>196</v>
      </c>
      <c r="AA466" s="68">
        <f t="shared" si="55"/>
        <v>7000</v>
      </c>
      <c r="AB466" s="69">
        <f t="shared" si="56"/>
        <v>7208.81</v>
      </c>
      <c r="AC466" s="70">
        <f t="shared" si="57"/>
        <v>390</v>
      </c>
      <c r="AD466" s="505">
        <f t="shared" si="58"/>
        <v>18.4841282051282</v>
      </c>
      <c r="AE466" s="506">
        <f t="shared" si="59"/>
        <v>0.0450086555106751</v>
      </c>
      <c r="AF466" s="69">
        <f t="shared" si="60"/>
        <v>8665</v>
      </c>
      <c r="AG466" s="71">
        <f t="shared" si="61"/>
        <v>0.831945758799769</v>
      </c>
      <c r="AH466" s="71">
        <f t="shared" si="62"/>
        <v>5.02484957814966</v>
      </c>
    </row>
    <row r="467" spans="1:34">
      <c r="A467" s="304">
        <v>45455</v>
      </c>
      <c r="B467" s="392">
        <v>500</v>
      </c>
      <c r="C467" s="176">
        <f t="shared" si="51"/>
        <v>0.0574338540754057</v>
      </c>
      <c r="D467" s="443">
        <f>明星店铺!B808</f>
        <v>416.28</v>
      </c>
      <c r="E467" s="404">
        <f>明星店铺!C808</f>
        <v>393</v>
      </c>
      <c r="F467" s="404">
        <f>明星店铺!D808</f>
        <v>204</v>
      </c>
      <c r="G467" s="325">
        <f>明星店铺!G808+明星店铺!H808</f>
        <v>37</v>
      </c>
      <c r="H467" s="392">
        <v>2700</v>
      </c>
      <c r="I467" s="176">
        <f t="shared" si="52"/>
        <v>0.360269536795719</v>
      </c>
      <c r="J467" s="443">
        <f>直通车!B808</f>
        <v>2611.23</v>
      </c>
      <c r="K467" s="399">
        <f>直通车!C808</f>
        <v>9762</v>
      </c>
      <c r="L467" s="511">
        <f>直通车!D808</f>
        <v>566</v>
      </c>
      <c r="M467" s="325">
        <f>直通车!G808+直通车!H808</f>
        <v>66</v>
      </c>
      <c r="N467" s="392">
        <v>800</v>
      </c>
      <c r="O467" s="176">
        <f t="shared" si="53"/>
        <v>0.0997214400130243</v>
      </c>
      <c r="P467" s="443">
        <f>引力魔方!B707</f>
        <v>722.78</v>
      </c>
      <c r="Q467" s="398">
        <f>引力魔方!C707</f>
        <v>747866</v>
      </c>
      <c r="R467" s="399">
        <f>引力魔方!D707</f>
        <v>2400</v>
      </c>
      <c r="S467" s="325">
        <f>引力魔方!G707+引力魔方!H707</f>
        <v>63</v>
      </c>
      <c r="T467" s="326">
        <v>3000</v>
      </c>
      <c r="U467" s="176">
        <f t="shared" si="54"/>
        <v>0.482575169115851</v>
      </c>
      <c r="V467" s="326">
        <f>万相台!B296</f>
        <v>3497.7</v>
      </c>
      <c r="W467" s="417">
        <f>万相台!C296</f>
        <v>757859</v>
      </c>
      <c r="X467" s="417">
        <f>万相台!D296</f>
        <v>5126</v>
      </c>
      <c r="Y467" s="306">
        <f>万相台!G296+万相台!H296</f>
        <v>197</v>
      </c>
      <c r="AA467" s="68">
        <f t="shared" si="55"/>
        <v>7000</v>
      </c>
      <c r="AB467" s="69">
        <f t="shared" si="56"/>
        <v>7247.99</v>
      </c>
      <c r="AC467" s="70">
        <f t="shared" si="57"/>
        <v>363</v>
      </c>
      <c r="AD467" s="505">
        <f t="shared" si="58"/>
        <v>19.966914600551</v>
      </c>
      <c r="AE467" s="506">
        <f t="shared" si="59"/>
        <v>0.0437560270009643</v>
      </c>
      <c r="AF467" s="69">
        <f t="shared" si="60"/>
        <v>8296</v>
      </c>
      <c r="AG467" s="71">
        <f t="shared" si="61"/>
        <v>0.873672854387657</v>
      </c>
      <c r="AH467" s="71">
        <f t="shared" si="62"/>
        <v>4.78137451513312</v>
      </c>
    </row>
    <row r="468" spans="1:34">
      <c r="A468" s="304">
        <v>45456</v>
      </c>
      <c r="B468" s="392">
        <v>500</v>
      </c>
      <c r="C468" s="176">
        <f t="shared" si="51"/>
        <v>0.0612164501046214</v>
      </c>
      <c r="D468" s="443">
        <f>明星店铺!B809</f>
        <v>379.16</v>
      </c>
      <c r="E468" s="404">
        <f>明星店铺!C809</f>
        <v>354</v>
      </c>
      <c r="F468" s="404">
        <f>明星店铺!D809</f>
        <v>162</v>
      </c>
      <c r="G468" s="325">
        <f>明星店铺!G809+明星店铺!H809</f>
        <v>58</v>
      </c>
      <c r="H468" s="392">
        <v>2700</v>
      </c>
      <c r="I468" s="176">
        <f t="shared" si="52"/>
        <v>0.423174291545039</v>
      </c>
      <c r="J468" s="443">
        <f>直通车!B809</f>
        <v>2621.04</v>
      </c>
      <c r="K468" s="399">
        <f>直通车!C809</f>
        <v>8152</v>
      </c>
      <c r="L468" s="511">
        <f>直通车!D809</f>
        <v>556</v>
      </c>
      <c r="M468" s="325">
        <f>直通车!G809+直通车!H809</f>
        <v>62</v>
      </c>
      <c r="N468" s="392">
        <v>800</v>
      </c>
      <c r="O468" s="176">
        <f t="shared" si="53"/>
        <v>0.118669435044303</v>
      </c>
      <c r="P468" s="443">
        <f>引力魔方!B708</f>
        <v>735.01</v>
      </c>
      <c r="Q468" s="398">
        <f>引力魔方!C708</f>
        <v>708348</v>
      </c>
      <c r="R468" s="399">
        <f>引力魔方!D708</f>
        <v>2360</v>
      </c>
      <c r="S468" s="325">
        <f>引力魔方!G708+引力魔方!H708</f>
        <v>88</v>
      </c>
      <c r="T468" s="326">
        <v>3000</v>
      </c>
      <c r="U468" s="176">
        <f t="shared" si="54"/>
        <v>0.396939823306037</v>
      </c>
      <c r="V468" s="326">
        <f>万相台!B297</f>
        <v>2458.55</v>
      </c>
      <c r="W468" s="417">
        <f>万相台!C297</f>
        <v>744782</v>
      </c>
      <c r="X468" s="417">
        <f>万相台!D297</f>
        <v>3407</v>
      </c>
      <c r="Y468" s="306">
        <f>万相台!G297+万相台!H297</f>
        <v>181</v>
      </c>
      <c r="AA468" s="68">
        <f t="shared" si="55"/>
        <v>7000</v>
      </c>
      <c r="AB468" s="69">
        <f t="shared" si="56"/>
        <v>6193.76</v>
      </c>
      <c r="AC468" s="70">
        <f t="shared" si="57"/>
        <v>389</v>
      </c>
      <c r="AD468" s="505">
        <f t="shared" si="58"/>
        <v>15.9222622107969</v>
      </c>
      <c r="AE468" s="506">
        <f t="shared" si="59"/>
        <v>0.0599845797995374</v>
      </c>
      <c r="AF468" s="69">
        <f t="shared" si="60"/>
        <v>6485</v>
      </c>
      <c r="AG468" s="71">
        <f t="shared" si="61"/>
        <v>0.955090208172706</v>
      </c>
      <c r="AH468" s="71">
        <f t="shared" si="62"/>
        <v>4.23755298856897</v>
      </c>
    </row>
    <row r="469" spans="1:34">
      <c r="A469" s="304">
        <v>45457</v>
      </c>
      <c r="B469" s="392">
        <v>500</v>
      </c>
      <c r="C469" s="176">
        <f t="shared" si="51"/>
        <v>0.0725015549910041</v>
      </c>
      <c r="D469" s="443">
        <f>明星店铺!B810</f>
        <v>455.76</v>
      </c>
      <c r="E469" s="404">
        <f>明星店铺!C810</f>
        <v>439</v>
      </c>
      <c r="F469" s="404">
        <f>明星店铺!D810</f>
        <v>167</v>
      </c>
      <c r="G469" s="325">
        <f>明星店铺!G810+明星店铺!H810</f>
        <v>32</v>
      </c>
      <c r="H469" s="392">
        <v>3800</v>
      </c>
      <c r="I469" s="176">
        <f t="shared" si="52"/>
        <v>0.41409688826813</v>
      </c>
      <c r="J469" s="443">
        <f>直通车!B810</f>
        <v>2603.1</v>
      </c>
      <c r="K469" s="399">
        <f>直通车!C810</f>
        <v>9042</v>
      </c>
      <c r="L469" s="511">
        <f>直通车!D810</f>
        <v>610</v>
      </c>
      <c r="M469" s="325">
        <f>直通车!G810+直通车!H810</f>
        <v>47</v>
      </c>
      <c r="N469" s="392">
        <v>800</v>
      </c>
      <c r="O469" s="176">
        <f t="shared" si="53"/>
        <v>0.114790947168485</v>
      </c>
      <c r="P469" s="443">
        <f>引力魔方!B709</f>
        <v>721.6</v>
      </c>
      <c r="Q469" s="398">
        <f>引力魔方!C709</f>
        <v>588404</v>
      </c>
      <c r="R469" s="399">
        <f>引力魔方!D709</f>
        <v>2298</v>
      </c>
      <c r="S469" s="325">
        <f>引力魔方!G709+引力魔方!H709</f>
        <v>81</v>
      </c>
      <c r="T469" s="326">
        <v>3800</v>
      </c>
      <c r="U469" s="176">
        <f t="shared" si="54"/>
        <v>0.398610609572381</v>
      </c>
      <c r="V469" s="326">
        <f>万相台!B298</f>
        <v>2505.75</v>
      </c>
      <c r="W469" s="417">
        <f>万相台!C298</f>
        <v>617806</v>
      </c>
      <c r="X469" s="417">
        <f>万相台!D298</f>
        <v>2712</v>
      </c>
      <c r="Y469" s="306">
        <f>万相台!G298+万相台!H298</f>
        <v>175</v>
      </c>
      <c r="AA469" s="68">
        <f t="shared" si="55"/>
        <v>8900</v>
      </c>
      <c r="AB469" s="69">
        <f t="shared" si="56"/>
        <v>6286.21</v>
      </c>
      <c r="AC469" s="70">
        <f t="shared" si="57"/>
        <v>335</v>
      </c>
      <c r="AD469" s="505">
        <f t="shared" si="58"/>
        <v>18.7648059701493</v>
      </c>
      <c r="AE469" s="506">
        <f t="shared" si="59"/>
        <v>0.0578883704855711</v>
      </c>
      <c r="AF469" s="69">
        <f t="shared" si="60"/>
        <v>5787</v>
      </c>
      <c r="AG469" s="71">
        <f t="shared" si="61"/>
        <v>1.08626404008986</v>
      </c>
      <c r="AH469" s="71">
        <f t="shared" si="62"/>
        <v>5.17089457765172</v>
      </c>
    </row>
    <row r="470" spans="1:34">
      <c r="A470" s="304">
        <v>45458</v>
      </c>
      <c r="B470" s="392">
        <v>500</v>
      </c>
      <c r="C470" s="176">
        <f t="shared" si="51"/>
        <v>0.040943835478921</v>
      </c>
      <c r="D470" s="443">
        <f>明星店铺!B811</f>
        <v>342.6</v>
      </c>
      <c r="E470" s="404">
        <f>明星店铺!C811</f>
        <v>302</v>
      </c>
      <c r="F470" s="404">
        <f>明星店铺!D811</f>
        <v>130</v>
      </c>
      <c r="G470" s="325">
        <f>明星店铺!G811+明星店铺!H811</f>
        <v>43</v>
      </c>
      <c r="H470" s="392">
        <v>3800</v>
      </c>
      <c r="I470" s="176">
        <f t="shared" si="52"/>
        <v>0.412089067780811</v>
      </c>
      <c r="J470" s="443">
        <f>直通车!B811</f>
        <v>3448.18</v>
      </c>
      <c r="K470" s="399">
        <f>直通车!C811</f>
        <v>13292</v>
      </c>
      <c r="L470" s="511">
        <f>直通车!D811</f>
        <v>743</v>
      </c>
      <c r="M470" s="325">
        <f>直通车!G811+直通车!H811</f>
        <v>37</v>
      </c>
      <c r="N470" s="392">
        <v>800</v>
      </c>
      <c r="O470" s="176">
        <f t="shared" si="53"/>
        <v>0.0889112238215203</v>
      </c>
      <c r="P470" s="443">
        <f>引力魔方!B710</f>
        <v>743.97</v>
      </c>
      <c r="Q470" s="398">
        <f>引力魔方!C710</f>
        <v>547009</v>
      </c>
      <c r="R470" s="399">
        <f>引力魔方!D710</f>
        <v>2085</v>
      </c>
      <c r="S470" s="325">
        <f>引力魔方!G710+引力魔方!H710</f>
        <v>92</v>
      </c>
      <c r="T470" s="326">
        <v>3800</v>
      </c>
      <c r="U470" s="176">
        <f t="shared" si="54"/>
        <v>0.458055872918748</v>
      </c>
      <c r="V470" s="326">
        <f>万相台!B299</f>
        <v>3832.81</v>
      </c>
      <c r="W470" s="417">
        <f>万相台!C299</f>
        <v>660581</v>
      </c>
      <c r="X470" s="417">
        <f>万相台!D299</f>
        <v>3357</v>
      </c>
      <c r="Y470" s="306">
        <f>万相台!G299+万相台!H299</f>
        <v>291</v>
      </c>
      <c r="AA470" s="68">
        <f t="shared" si="55"/>
        <v>8900</v>
      </c>
      <c r="AB470" s="69">
        <f t="shared" si="56"/>
        <v>8367.56</v>
      </c>
      <c r="AC470" s="70">
        <f t="shared" si="57"/>
        <v>463</v>
      </c>
      <c r="AD470" s="505">
        <f t="shared" si="58"/>
        <v>18.0724838012959</v>
      </c>
      <c r="AE470" s="506">
        <f t="shared" si="59"/>
        <v>0.0733174980205859</v>
      </c>
      <c r="AF470" s="69">
        <f t="shared" si="60"/>
        <v>6315</v>
      </c>
      <c r="AG470" s="71">
        <f t="shared" si="61"/>
        <v>1.32502929532858</v>
      </c>
      <c r="AH470" s="71">
        <f t="shared" si="62"/>
        <v>6.85200592212148</v>
      </c>
    </row>
    <row r="471" spans="1:34">
      <c r="A471" s="304">
        <v>45459</v>
      </c>
      <c r="B471" s="392">
        <v>500</v>
      </c>
      <c r="C471" s="176">
        <f t="shared" si="51"/>
        <v>0.0443226170546753</v>
      </c>
      <c r="D471" s="443">
        <f>明星店铺!B812</f>
        <v>373.84</v>
      </c>
      <c r="E471" s="404">
        <f>明星店铺!C812</f>
        <v>337</v>
      </c>
      <c r="F471" s="404">
        <f>明星店铺!D812</f>
        <v>126</v>
      </c>
      <c r="G471" s="325">
        <f>明星店铺!G812+明星店铺!H812</f>
        <v>19</v>
      </c>
      <c r="H471" s="392">
        <v>3800</v>
      </c>
      <c r="I471" s="176">
        <f t="shared" si="52"/>
        <v>0.42059654846986</v>
      </c>
      <c r="J471" s="443">
        <f>直通车!B812</f>
        <v>3547.53</v>
      </c>
      <c r="K471" s="399">
        <f>直通车!C812</f>
        <v>14352</v>
      </c>
      <c r="L471" s="511">
        <f>直通车!D812</f>
        <v>792</v>
      </c>
      <c r="M471" s="325">
        <f>直通车!G812+直通车!H812</f>
        <v>40</v>
      </c>
      <c r="N471" s="392">
        <v>800</v>
      </c>
      <c r="O471" s="176">
        <f t="shared" si="53"/>
        <v>0.0846710897597018</v>
      </c>
      <c r="P471" s="443">
        <f>引力魔方!B711</f>
        <v>714.16</v>
      </c>
      <c r="Q471" s="398">
        <f>引力魔方!C711</f>
        <v>721234</v>
      </c>
      <c r="R471" s="399">
        <f>引力魔方!D711</f>
        <v>2514</v>
      </c>
      <c r="S471" s="325">
        <f>引力魔方!G711+引力魔方!H711</f>
        <v>104</v>
      </c>
      <c r="T471" s="326">
        <v>3800</v>
      </c>
      <c r="U471" s="176">
        <f t="shared" si="54"/>
        <v>0.450409744715763</v>
      </c>
      <c r="V471" s="326">
        <f>万相台!B300</f>
        <v>3798.99</v>
      </c>
      <c r="W471" s="417">
        <f>万相台!C300</f>
        <v>673682</v>
      </c>
      <c r="X471" s="417">
        <f>万相台!D300</f>
        <v>3254</v>
      </c>
      <c r="Y471" s="306">
        <f>万相台!G300+万相台!H300</f>
        <v>326</v>
      </c>
      <c r="AA471" s="68">
        <f t="shared" si="55"/>
        <v>8900</v>
      </c>
      <c r="AB471" s="69">
        <f t="shared" si="56"/>
        <v>8434.52</v>
      </c>
      <c r="AC471" s="70">
        <f t="shared" si="57"/>
        <v>489</v>
      </c>
      <c r="AD471" s="505">
        <f t="shared" si="58"/>
        <v>17.2485071574642</v>
      </c>
      <c r="AE471" s="506">
        <f t="shared" si="59"/>
        <v>0.0731379000897397</v>
      </c>
      <c r="AF471" s="69">
        <f t="shared" si="60"/>
        <v>6686</v>
      </c>
      <c r="AG471" s="71">
        <f t="shared" si="61"/>
        <v>1.26151959317978</v>
      </c>
      <c r="AH471" s="71">
        <f t="shared" si="62"/>
        <v>5.98360533624668</v>
      </c>
    </row>
    <row r="472" spans="1:34">
      <c r="A472" s="304">
        <v>45460</v>
      </c>
      <c r="B472" s="392">
        <v>500</v>
      </c>
      <c r="C472" s="176">
        <f t="shared" si="51"/>
        <v>0.0449611865879669</v>
      </c>
      <c r="D472" s="443">
        <f>明星店铺!B813</f>
        <v>493.07</v>
      </c>
      <c r="E472" s="404">
        <f>明星店铺!C813</f>
        <v>432</v>
      </c>
      <c r="F472" s="404">
        <f>明星店铺!D813</f>
        <v>176</v>
      </c>
      <c r="G472" s="325">
        <f>明星店铺!G813+明星店铺!H813</f>
        <v>48</v>
      </c>
      <c r="H472" s="392">
        <v>3800</v>
      </c>
      <c r="I472" s="176">
        <f t="shared" si="52"/>
        <v>0.322588557771482</v>
      </c>
      <c r="J472" s="443">
        <f>直通车!B813</f>
        <v>3537.69</v>
      </c>
      <c r="K472" s="399">
        <f>直通车!C813</f>
        <v>16793</v>
      </c>
      <c r="L472" s="511">
        <f>直通车!D813</f>
        <v>762</v>
      </c>
      <c r="M472" s="325">
        <f>直通车!G813+直通车!H813</f>
        <v>71</v>
      </c>
      <c r="N472" s="392">
        <v>800</v>
      </c>
      <c r="O472" s="176">
        <f t="shared" si="53"/>
        <v>0.0895831604594691</v>
      </c>
      <c r="P472" s="443">
        <f>引力魔方!B712</f>
        <v>982.42</v>
      </c>
      <c r="Q472" s="398">
        <f>引力魔方!C712</f>
        <v>748800</v>
      </c>
      <c r="R472" s="399">
        <f>引力魔方!D712</f>
        <v>2674</v>
      </c>
      <c r="S472" s="325">
        <f>引力魔方!G712+引力魔方!H712</f>
        <v>121</v>
      </c>
      <c r="T472" s="326">
        <v>3800</v>
      </c>
      <c r="U472" s="176">
        <f t="shared" si="54"/>
        <v>0.542867095181082</v>
      </c>
      <c r="V472" s="326">
        <f>万相台!B301</f>
        <v>5953.39</v>
      </c>
      <c r="W472" s="417">
        <f>万相台!C301</f>
        <v>921048</v>
      </c>
      <c r="X472" s="417">
        <f>万相台!D301</f>
        <v>5609</v>
      </c>
      <c r="Y472" s="306">
        <f>万相台!G301+万相台!H301</f>
        <v>323</v>
      </c>
      <c r="AA472" s="68">
        <f t="shared" si="55"/>
        <v>8900</v>
      </c>
      <c r="AB472" s="69">
        <f t="shared" si="56"/>
        <v>10966.57</v>
      </c>
      <c r="AC472" s="70">
        <f t="shared" si="57"/>
        <v>563</v>
      </c>
      <c r="AD472" s="505">
        <f t="shared" si="58"/>
        <v>19.478809946714</v>
      </c>
      <c r="AE472" s="506">
        <f t="shared" si="59"/>
        <v>0.0610562845678343</v>
      </c>
      <c r="AF472" s="69">
        <f t="shared" si="60"/>
        <v>9221</v>
      </c>
      <c r="AG472" s="71">
        <f t="shared" si="61"/>
        <v>1.18930376314933</v>
      </c>
      <c r="AH472" s="71">
        <f t="shared" si="62"/>
        <v>6.50035297820545</v>
      </c>
    </row>
    <row r="473" spans="1:34">
      <c r="A473" s="304">
        <v>45461</v>
      </c>
      <c r="B473" s="392">
        <v>500</v>
      </c>
      <c r="C473" s="176">
        <f t="shared" si="51"/>
        <v>0.0312678243369559</v>
      </c>
      <c r="D473" s="443">
        <f>明星店铺!B814</f>
        <v>367.29</v>
      </c>
      <c r="E473" s="404">
        <f>明星店铺!C814</f>
        <v>310</v>
      </c>
      <c r="F473" s="404">
        <f>明星店铺!D814</f>
        <v>129</v>
      </c>
      <c r="G473" s="325">
        <f>明星店铺!G814+明星店铺!H814</f>
        <v>47</v>
      </c>
      <c r="H473" s="392">
        <v>3800</v>
      </c>
      <c r="I473" s="176">
        <f t="shared" si="52"/>
        <v>0.301691215655961</v>
      </c>
      <c r="J473" s="443">
        <f>直通车!B814</f>
        <v>3543.84</v>
      </c>
      <c r="K473" s="399">
        <f>直通车!C814</f>
        <v>15305</v>
      </c>
      <c r="L473" s="511">
        <f>直通车!D814</f>
        <v>775</v>
      </c>
      <c r="M473" s="325">
        <f>直通车!G814+直通车!H814</f>
        <v>68</v>
      </c>
      <c r="N473" s="392">
        <v>1000</v>
      </c>
      <c r="O473" s="176">
        <f t="shared" si="53"/>
        <v>0.0661886268173375</v>
      </c>
      <c r="P473" s="443">
        <f>引力魔方!B713</f>
        <v>777.49</v>
      </c>
      <c r="Q473" s="398">
        <f>引力魔方!C713</f>
        <v>708388</v>
      </c>
      <c r="R473" s="399">
        <f>引力魔方!D713</f>
        <v>2340</v>
      </c>
      <c r="S473" s="325">
        <f>引力魔方!G713+引力魔方!H713</f>
        <v>58</v>
      </c>
      <c r="T473" s="326">
        <v>3800</v>
      </c>
      <c r="U473" s="176">
        <f t="shared" si="54"/>
        <v>0.600852333189745</v>
      </c>
      <c r="V473" s="326">
        <f>万相台!B302</f>
        <v>7057.96</v>
      </c>
      <c r="W473" s="417">
        <f>万相台!C302</f>
        <v>838650</v>
      </c>
      <c r="X473" s="417">
        <f>万相台!D302</f>
        <v>8069</v>
      </c>
      <c r="Y473" s="306">
        <f>万相台!G302+万相台!H302</f>
        <v>385</v>
      </c>
      <c r="AA473" s="68">
        <f t="shared" si="55"/>
        <v>9100</v>
      </c>
      <c r="AB473" s="69">
        <f t="shared" si="56"/>
        <v>11746.58</v>
      </c>
      <c r="AC473" s="70">
        <f t="shared" si="57"/>
        <v>558</v>
      </c>
      <c r="AD473" s="505">
        <f t="shared" si="58"/>
        <v>21.0512186379928</v>
      </c>
      <c r="AE473" s="506">
        <f t="shared" si="59"/>
        <v>0.0493237867939539</v>
      </c>
      <c r="AF473" s="69">
        <f t="shared" si="60"/>
        <v>11313</v>
      </c>
      <c r="AG473" s="71">
        <f t="shared" si="61"/>
        <v>1.03832581985327</v>
      </c>
      <c r="AH473" s="71">
        <f t="shared" si="62"/>
        <v>7.51707512800347</v>
      </c>
    </row>
    <row r="474" spans="1:34">
      <c r="A474" s="304">
        <v>45462</v>
      </c>
      <c r="B474" s="392">
        <v>500</v>
      </c>
      <c r="C474" s="176">
        <f t="shared" si="51"/>
        <v>0.03335620936569</v>
      </c>
      <c r="D474" s="443">
        <f>明星店铺!B815</f>
        <v>293.57</v>
      </c>
      <c r="E474" s="404">
        <f>明星店铺!C815</f>
        <v>252</v>
      </c>
      <c r="F474" s="404">
        <f>明星店铺!D815</f>
        <v>114</v>
      </c>
      <c r="G474" s="325">
        <f>明星店铺!G815+明星店铺!H815</f>
        <v>50</v>
      </c>
      <c r="H474" s="392">
        <v>3800</v>
      </c>
      <c r="I474" s="176">
        <f t="shared" si="52"/>
        <v>0.355517403585477</v>
      </c>
      <c r="J474" s="443">
        <f>直通车!B815</f>
        <v>3128.93</v>
      </c>
      <c r="K474" s="399">
        <f>直通车!C815</f>
        <v>19309</v>
      </c>
      <c r="L474" s="511">
        <f>直通车!D815</f>
        <v>697</v>
      </c>
      <c r="M474" s="325">
        <f>直通车!G815+直通车!H815</f>
        <v>36</v>
      </c>
      <c r="N474" s="392">
        <v>1000</v>
      </c>
      <c r="O474" s="176">
        <f t="shared" si="53"/>
        <v>0.0395690973587272</v>
      </c>
      <c r="P474" s="443">
        <f>引力魔方!B714</f>
        <v>348.25</v>
      </c>
      <c r="Q474" s="398">
        <f>引力魔方!C714</f>
        <v>402263</v>
      </c>
      <c r="R474" s="399">
        <f>引力魔方!D714</f>
        <v>1350</v>
      </c>
      <c r="S474" s="325">
        <f>引力魔方!G714+引力魔方!H714</f>
        <v>2</v>
      </c>
      <c r="T474" s="326">
        <v>3800</v>
      </c>
      <c r="U474" s="176">
        <f t="shared" si="54"/>
        <v>0.571557289690105</v>
      </c>
      <c r="V474" s="326">
        <f>万相台!B303</f>
        <v>5030.31</v>
      </c>
      <c r="W474" s="417">
        <f>万相台!C303</f>
        <v>436109</v>
      </c>
      <c r="X474" s="417">
        <f>万相台!D303</f>
        <v>3404</v>
      </c>
      <c r="Y474" s="306">
        <f>万相台!G303+万相台!H303</f>
        <v>368</v>
      </c>
      <c r="AA474" s="68">
        <f t="shared" ref="AA474:AA485" si="63">B474+H474+N474+T474</f>
        <v>9100</v>
      </c>
      <c r="AB474" s="69">
        <f t="shared" ref="AB474:AB485" si="64">D474+J474+P474+V474</f>
        <v>8801.06</v>
      </c>
      <c r="AC474" s="70">
        <f t="shared" ref="AC474:AC485" si="65">G474+M474+S474+Y474</f>
        <v>456</v>
      </c>
      <c r="AD474" s="505">
        <f t="shared" ref="AD474:AD485" si="66">AB474/AC474</f>
        <v>19.3005701754386</v>
      </c>
      <c r="AE474" s="506">
        <f t="shared" ref="AE474:AE485" si="67">AC474/AF474</f>
        <v>0.0819407008086253</v>
      </c>
      <c r="AF474" s="69">
        <f t="shared" ref="AF474:AF485" si="68">F474+L474+R474+X474</f>
        <v>5565</v>
      </c>
      <c r="AG474" s="71">
        <f t="shared" ref="AG474:AG485" si="69">AB474/AF474</f>
        <v>1.58150224618149</v>
      </c>
      <c r="AH474" s="71">
        <f t="shared" ref="AH474:AH485" si="70">AB474/((E474+K474+Q474+W474)/1000)</f>
        <v>10.2584467551662</v>
      </c>
    </row>
    <row r="475" spans="1:34">
      <c r="A475" s="304">
        <v>45463</v>
      </c>
      <c r="B475" s="392">
        <v>500</v>
      </c>
      <c r="C475" s="176">
        <f t="shared" si="51"/>
        <v>0.0376668840485196</v>
      </c>
      <c r="D475" s="443">
        <f>明星店铺!B816</f>
        <v>360.99</v>
      </c>
      <c r="E475" s="404">
        <f>明星店铺!C816</f>
        <v>307</v>
      </c>
      <c r="F475" s="404">
        <f>明星店铺!D816</f>
        <v>126</v>
      </c>
      <c r="G475" s="325">
        <f>明星店铺!G816+明星店铺!H816</f>
        <v>21</v>
      </c>
      <c r="H475" s="392">
        <v>3800</v>
      </c>
      <c r="I475" s="176">
        <f t="shared" si="52"/>
        <v>0.384335985391939</v>
      </c>
      <c r="J475" s="443">
        <f>直通车!B816</f>
        <v>3683.38</v>
      </c>
      <c r="K475" s="399">
        <f>直通车!C816</f>
        <v>26022</v>
      </c>
      <c r="L475" s="511">
        <f>直通车!D816</f>
        <v>835</v>
      </c>
      <c r="M475" s="325">
        <f>直通车!G816+直通车!H816</f>
        <v>47</v>
      </c>
      <c r="N475" s="392">
        <v>1000</v>
      </c>
      <c r="O475" s="176">
        <f t="shared" si="53"/>
        <v>0.0361372114255902</v>
      </c>
      <c r="P475" s="443">
        <f>引力魔方!B715</f>
        <v>346.33</v>
      </c>
      <c r="Q475" s="398">
        <f>引力魔方!C715</f>
        <v>475672</v>
      </c>
      <c r="R475" s="399">
        <f>引力魔方!D715</f>
        <v>1719</v>
      </c>
      <c r="S475" s="325">
        <f>引力魔方!G715+引力魔方!H715</f>
        <v>0</v>
      </c>
      <c r="T475" s="326">
        <v>3800</v>
      </c>
      <c r="U475" s="176">
        <f t="shared" si="54"/>
        <v>0.541859919133951</v>
      </c>
      <c r="V475" s="326">
        <f>万相台!B304</f>
        <v>5193.05</v>
      </c>
      <c r="W475" s="417">
        <f>万相台!C304</f>
        <v>613093</v>
      </c>
      <c r="X475" s="417">
        <f>万相台!D304</f>
        <v>3916</v>
      </c>
      <c r="Y475" s="306">
        <f>万相台!G304+万相台!H304</f>
        <v>333</v>
      </c>
      <c r="AA475" s="68">
        <f t="shared" si="63"/>
        <v>9100</v>
      </c>
      <c r="AB475" s="69">
        <f t="shared" si="64"/>
        <v>9583.75</v>
      </c>
      <c r="AC475" s="70">
        <f t="shared" si="65"/>
        <v>401</v>
      </c>
      <c r="AD475" s="505">
        <f t="shared" si="66"/>
        <v>23.8996259351621</v>
      </c>
      <c r="AE475" s="506">
        <f t="shared" si="67"/>
        <v>0.060794420861128</v>
      </c>
      <c r="AF475" s="69">
        <f t="shared" si="68"/>
        <v>6596</v>
      </c>
      <c r="AG475" s="71">
        <f t="shared" si="69"/>
        <v>1.45296391752577</v>
      </c>
      <c r="AH475" s="71">
        <f t="shared" si="70"/>
        <v>8.59456691543493</v>
      </c>
    </row>
    <row r="476" spans="1:34">
      <c r="A476" s="304">
        <v>45464</v>
      </c>
      <c r="B476" s="392">
        <v>500</v>
      </c>
      <c r="C476" s="176">
        <f t="shared" si="51"/>
        <v>0.0454829678368002</v>
      </c>
      <c r="D476" s="443">
        <f>明星店铺!B817</f>
        <v>306.23</v>
      </c>
      <c r="E476" s="404">
        <f>明星店铺!C817</f>
        <v>287</v>
      </c>
      <c r="F476" s="404">
        <f>明星店铺!D817</f>
        <v>112</v>
      </c>
      <c r="G476" s="325">
        <f>明星店铺!G817+明星店铺!H817</f>
        <v>21</v>
      </c>
      <c r="H476" s="392">
        <v>2200</v>
      </c>
      <c r="I476" s="176">
        <f t="shared" si="52"/>
        <v>0.384226590522587</v>
      </c>
      <c r="J476" s="443">
        <f>直通车!B817</f>
        <v>2586.94</v>
      </c>
      <c r="K476" s="399">
        <f>直通车!C817</f>
        <v>15073</v>
      </c>
      <c r="L476" s="511">
        <f>直通车!D817</f>
        <v>612</v>
      </c>
      <c r="M476" s="325">
        <f>直通车!G817+直通车!H817</f>
        <v>26</v>
      </c>
      <c r="N476" s="392">
        <v>800</v>
      </c>
      <c r="O476" s="176">
        <f t="shared" si="53"/>
        <v>0.100002227882695</v>
      </c>
      <c r="P476" s="443">
        <f>引力魔方!B716</f>
        <v>673.3</v>
      </c>
      <c r="Q476" s="398">
        <f>引力魔方!C716</f>
        <v>639457</v>
      </c>
      <c r="R476" s="399">
        <f>引力魔方!D716</f>
        <v>2535</v>
      </c>
      <c r="S476" s="325">
        <f>引力魔方!G716+引力魔方!H716</f>
        <v>61</v>
      </c>
      <c r="T476" s="326">
        <v>3000</v>
      </c>
      <c r="U476" s="176">
        <f t="shared" si="54"/>
        <v>0.470288213757918</v>
      </c>
      <c r="V476" s="326">
        <f>万相台!B305</f>
        <v>3166.38</v>
      </c>
      <c r="W476" s="417">
        <f>万相台!C305</f>
        <v>938194</v>
      </c>
      <c r="X476" s="417">
        <f>万相台!D305</f>
        <v>4400</v>
      </c>
      <c r="Y476" s="306">
        <f>万相台!G305+万相台!H305</f>
        <v>331</v>
      </c>
      <c r="AA476" s="68">
        <f t="shared" si="63"/>
        <v>6500</v>
      </c>
      <c r="AB476" s="69">
        <f t="shared" si="64"/>
        <v>6732.85</v>
      </c>
      <c r="AC476" s="70">
        <f t="shared" si="65"/>
        <v>439</v>
      </c>
      <c r="AD476" s="505">
        <f t="shared" si="66"/>
        <v>15.3367881548975</v>
      </c>
      <c r="AE476" s="506">
        <f t="shared" si="67"/>
        <v>0.0573181877529704</v>
      </c>
      <c r="AF476" s="69">
        <f t="shared" si="68"/>
        <v>7659</v>
      </c>
      <c r="AG476" s="71">
        <f t="shared" si="69"/>
        <v>0.879076902989947</v>
      </c>
      <c r="AH476" s="71">
        <f t="shared" si="70"/>
        <v>4.22649310017319</v>
      </c>
    </row>
    <row r="477" spans="1:34">
      <c r="A477" s="304">
        <v>45465</v>
      </c>
      <c r="B477" s="392">
        <v>500</v>
      </c>
      <c r="C477" s="176">
        <f t="shared" si="51"/>
        <v>0.0475525621375099</v>
      </c>
      <c r="D477" s="443">
        <f>明星店铺!B818</f>
        <v>278.6</v>
      </c>
      <c r="E477" s="404">
        <f>明星店铺!C818</f>
        <v>261</v>
      </c>
      <c r="F477" s="404">
        <f>明星店铺!D818</f>
        <v>108</v>
      </c>
      <c r="G477" s="325">
        <f>明星店铺!G818+明星店铺!H818</f>
        <v>34</v>
      </c>
      <c r="H477" s="392">
        <v>2200</v>
      </c>
      <c r="I477" s="176">
        <f t="shared" si="52"/>
        <v>0.383450138083355</v>
      </c>
      <c r="J477" s="443">
        <f>直通车!B818</f>
        <v>2246.55</v>
      </c>
      <c r="K477" s="399">
        <f>直通车!C818</f>
        <v>11897</v>
      </c>
      <c r="L477" s="511">
        <f>直通车!D818</f>
        <v>528</v>
      </c>
      <c r="M477" s="325">
        <f>直通车!G818+直通车!H818</f>
        <v>42</v>
      </c>
      <c r="N477" s="392">
        <v>800</v>
      </c>
      <c r="O477" s="176">
        <f t="shared" si="53"/>
        <v>0.107399492727155</v>
      </c>
      <c r="P477" s="443">
        <f>引力魔方!B717</f>
        <v>629.23</v>
      </c>
      <c r="Q477" s="398">
        <f>引力魔方!C717</f>
        <v>636938</v>
      </c>
      <c r="R477" s="399">
        <f>引力魔方!D717</f>
        <v>2300</v>
      </c>
      <c r="S477" s="325">
        <f>引力魔方!G717+引力魔方!H717</f>
        <v>80</v>
      </c>
      <c r="T477" s="326">
        <v>3000</v>
      </c>
      <c r="U477" s="176">
        <f t="shared" si="54"/>
        <v>0.46159780705198</v>
      </c>
      <c r="V477" s="326">
        <f>万相台!B306</f>
        <v>2704.4</v>
      </c>
      <c r="W477" s="417">
        <f>万相台!C306</f>
        <v>814693</v>
      </c>
      <c r="X477" s="417">
        <f>万相台!D306</f>
        <v>3614</v>
      </c>
      <c r="Y477" s="306">
        <f>万相台!G306+万相台!H306</f>
        <v>312</v>
      </c>
      <c r="AA477" s="68">
        <f t="shared" si="63"/>
        <v>6500</v>
      </c>
      <c r="AB477" s="69">
        <f t="shared" si="64"/>
        <v>5858.78</v>
      </c>
      <c r="AC477" s="70">
        <f t="shared" si="65"/>
        <v>468</v>
      </c>
      <c r="AD477" s="505">
        <f t="shared" si="66"/>
        <v>12.5187606837607</v>
      </c>
      <c r="AE477" s="506">
        <f t="shared" si="67"/>
        <v>0.0714503816793893</v>
      </c>
      <c r="AF477" s="69">
        <f t="shared" si="68"/>
        <v>6550</v>
      </c>
      <c r="AG477" s="71">
        <f t="shared" si="69"/>
        <v>0.894470229007634</v>
      </c>
      <c r="AH477" s="71">
        <f t="shared" si="70"/>
        <v>4.00247576665763</v>
      </c>
    </row>
    <row r="478" spans="1:34">
      <c r="A478" s="304">
        <v>45466</v>
      </c>
      <c r="B478" s="392">
        <v>500</v>
      </c>
      <c r="C478" s="176">
        <f t="shared" si="51"/>
        <v>0.062943797613914</v>
      </c>
      <c r="D478" s="443">
        <f>明星店铺!B819</f>
        <v>394.11</v>
      </c>
      <c r="E478" s="404">
        <f>明星店铺!C819</f>
        <v>383</v>
      </c>
      <c r="F478" s="404">
        <f>明星店铺!D819</f>
        <v>186</v>
      </c>
      <c r="G478" s="325">
        <f>明星店铺!G819+明星店铺!H819</f>
        <v>42</v>
      </c>
      <c r="H478" s="392">
        <v>2200</v>
      </c>
      <c r="I478" s="176">
        <f t="shared" si="52"/>
        <v>0.391461836998706</v>
      </c>
      <c r="J478" s="443">
        <f>直通车!B819</f>
        <v>2451.06</v>
      </c>
      <c r="K478" s="399">
        <f>直通车!C819</f>
        <v>10559</v>
      </c>
      <c r="L478" s="511">
        <f>直通车!D819</f>
        <v>597</v>
      </c>
      <c r="M478" s="325">
        <f>直通车!G819+直通车!H819</f>
        <v>42</v>
      </c>
      <c r="N478" s="392">
        <v>800</v>
      </c>
      <c r="O478" s="176">
        <f t="shared" si="53"/>
        <v>0.108656349320429</v>
      </c>
      <c r="P478" s="443">
        <f>引力魔方!B718</f>
        <v>680.33</v>
      </c>
      <c r="Q478" s="398">
        <f>引力魔方!C718</f>
        <v>596120</v>
      </c>
      <c r="R478" s="399">
        <f>引力魔方!D718</f>
        <v>2477</v>
      </c>
      <c r="S478" s="325">
        <f>引力魔方!G718+引力魔方!H718</f>
        <v>102</v>
      </c>
      <c r="T478" s="326">
        <v>3000</v>
      </c>
      <c r="U478" s="176">
        <f t="shared" si="54"/>
        <v>0.436938016066951</v>
      </c>
      <c r="V478" s="326">
        <f>万相台!B307</f>
        <v>2735.8</v>
      </c>
      <c r="W478" s="417">
        <f>万相台!C307</f>
        <v>611688</v>
      </c>
      <c r="X478" s="417">
        <f>万相台!D307</f>
        <v>3374</v>
      </c>
      <c r="Y478" s="306">
        <f>万相台!G307+万相台!H307</f>
        <v>342</v>
      </c>
      <c r="AA478" s="68">
        <f t="shared" si="63"/>
        <v>6500</v>
      </c>
      <c r="AB478" s="69">
        <f t="shared" si="64"/>
        <v>6261.3</v>
      </c>
      <c r="AC478" s="70">
        <f t="shared" si="65"/>
        <v>528</v>
      </c>
      <c r="AD478" s="505">
        <f t="shared" si="66"/>
        <v>11.8585227272727</v>
      </c>
      <c r="AE478" s="506">
        <f t="shared" si="67"/>
        <v>0.0795899909556829</v>
      </c>
      <c r="AF478" s="69">
        <f t="shared" si="68"/>
        <v>6634</v>
      </c>
      <c r="AG478" s="71">
        <f t="shared" si="69"/>
        <v>0.943819716611396</v>
      </c>
      <c r="AH478" s="71">
        <f t="shared" si="70"/>
        <v>5.13747692307692</v>
      </c>
    </row>
    <row r="479" spans="1:34">
      <c r="A479" s="304">
        <v>45467</v>
      </c>
      <c r="B479" s="392">
        <v>500</v>
      </c>
      <c r="C479" s="176">
        <f t="shared" si="51"/>
        <v>0.047514373088685</v>
      </c>
      <c r="D479" s="443">
        <f>明星店铺!B820</f>
        <v>388.43</v>
      </c>
      <c r="E479" s="404">
        <f>明星店铺!C820</f>
        <v>378</v>
      </c>
      <c r="F479" s="404">
        <f>明星店铺!D820</f>
        <v>157</v>
      </c>
      <c r="G479" s="325">
        <f>明星店铺!G820+明星店铺!H820</f>
        <v>35</v>
      </c>
      <c r="H479" s="392">
        <v>2200</v>
      </c>
      <c r="I479" s="176">
        <f t="shared" si="52"/>
        <v>0.338599388379205</v>
      </c>
      <c r="J479" s="443">
        <f>直通车!B820</f>
        <v>2768.05</v>
      </c>
      <c r="K479" s="399">
        <f>直通车!C820</f>
        <v>11686</v>
      </c>
      <c r="L479" s="511">
        <f>直通车!D820</f>
        <v>711</v>
      </c>
      <c r="M479" s="325">
        <f>直通车!G820+直通车!H820</f>
        <v>40</v>
      </c>
      <c r="N479" s="392">
        <v>1000</v>
      </c>
      <c r="O479" s="176">
        <f t="shared" si="53"/>
        <v>0.118085626911315</v>
      </c>
      <c r="P479" s="443">
        <f>引力魔方!B719</f>
        <v>965.35</v>
      </c>
      <c r="Q479" s="398">
        <f>引力魔方!C719</f>
        <v>732673</v>
      </c>
      <c r="R479" s="399">
        <f>引力魔方!D719</f>
        <v>3264</v>
      </c>
      <c r="S479" s="325">
        <f>引力魔方!G719+引力魔方!H719</f>
        <v>97</v>
      </c>
      <c r="T479" s="326">
        <v>4000</v>
      </c>
      <c r="U479" s="176">
        <f t="shared" si="54"/>
        <v>0.495800611620795</v>
      </c>
      <c r="V479" s="326">
        <f>万相台!B308</f>
        <v>4053.17</v>
      </c>
      <c r="W479" s="417">
        <f>万相台!C308</f>
        <v>887019</v>
      </c>
      <c r="X479" s="417">
        <f>万相台!D308</f>
        <v>4755</v>
      </c>
      <c r="Y479" s="306">
        <f>万相台!G308+万相台!H308</f>
        <v>413</v>
      </c>
      <c r="AA479" s="68">
        <f t="shared" si="63"/>
        <v>7700</v>
      </c>
      <c r="AB479" s="69">
        <f t="shared" si="64"/>
        <v>8175</v>
      </c>
      <c r="AC479" s="70">
        <f t="shared" si="65"/>
        <v>585</v>
      </c>
      <c r="AD479" s="505">
        <f t="shared" si="66"/>
        <v>13.974358974359</v>
      </c>
      <c r="AE479" s="506">
        <f t="shared" si="67"/>
        <v>0.0658264881287274</v>
      </c>
      <c r="AF479" s="69">
        <f t="shared" si="68"/>
        <v>8887</v>
      </c>
      <c r="AG479" s="71">
        <f t="shared" si="69"/>
        <v>0.919882975132216</v>
      </c>
      <c r="AH479" s="71">
        <f t="shared" si="70"/>
        <v>5.00994021164929</v>
      </c>
    </row>
    <row r="480" spans="1:34">
      <c r="A480" s="304">
        <v>45468</v>
      </c>
      <c r="B480" s="392">
        <v>500</v>
      </c>
      <c r="C480" s="176">
        <f t="shared" si="51"/>
        <v>0.0388224490319152</v>
      </c>
      <c r="D480" s="443">
        <f>明星店铺!B821</f>
        <v>333.13</v>
      </c>
      <c r="E480" s="404">
        <f>明星店铺!C821</f>
        <v>324</v>
      </c>
      <c r="F480" s="404">
        <f>明星店铺!D821</f>
        <v>122</v>
      </c>
      <c r="G480" s="325">
        <f>明星店铺!G821+明星店铺!H821</f>
        <v>41</v>
      </c>
      <c r="H480" s="392">
        <v>3000</v>
      </c>
      <c r="I480" s="176">
        <f t="shared" si="52"/>
        <v>0.353063678931949</v>
      </c>
      <c r="J480" s="443">
        <f>直通车!B821</f>
        <v>3029.59</v>
      </c>
      <c r="K480" s="399">
        <f>直通车!C821</f>
        <v>12059</v>
      </c>
      <c r="L480" s="511">
        <f>直通车!D821</f>
        <v>680</v>
      </c>
      <c r="M480" s="325">
        <f>直通车!G821+直通车!H821</f>
        <v>51</v>
      </c>
      <c r="N480" s="392">
        <v>1000</v>
      </c>
      <c r="O480" s="176">
        <f t="shared" si="53"/>
        <v>0.111776675065203</v>
      </c>
      <c r="P480" s="443">
        <f>引力魔方!B720</f>
        <v>959.14</v>
      </c>
      <c r="Q480" s="398">
        <f>引力魔方!C720</f>
        <v>891984</v>
      </c>
      <c r="R480" s="399">
        <f>引力魔方!D720</f>
        <v>3495</v>
      </c>
      <c r="S480" s="325">
        <f>引力魔方!G720+引力魔方!H720</f>
        <v>103</v>
      </c>
      <c r="T480" s="326">
        <v>4300</v>
      </c>
      <c r="U480" s="176">
        <f t="shared" si="54"/>
        <v>0.496337196970933</v>
      </c>
      <c r="V480" s="326">
        <f>万相台!B309</f>
        <v>4259</v>
      </c>
      <c r="W480" s="417">
        <f>万相台!C309</f>
        <v>1436388</v>
      </c>
      <c r="X480" s="417">
        <f>万相台!D309</f>
        <v>6139</v>
      </c>
      <c r="Y480" s="306">
        <f>万相台!G309+万相台!H309</f>
        <v>403</v>
      </c>
      <c r="AA480" s="68">
        <f t="shared" si="63"/>
        <v>8800</v>
      </c>
      <c r="AB480" s="69">
        <f t="shared" si="64"/>
        <v>8580.86</v>
      </c>
      <c r="AC480" s="70">
        <f t="shared" si="65"/>
        <v>598</v>
      </c>
      <c r="AD480" s="505">
        <f t="shared" si="66"/>
        <v>14.3492642140468</v>
      </c>
      <c r="AE480" s="506">
        <f t="shared" si="67"/>
        <v>0.0573016481410502</v>
      </c>
      <c r="AF480" s="69">
        <f t="shared" si="68"/>
        <v>10436</v>
      </c>
      <c r="AG480" s="71">
        <f t="shared" si="69"/>
        <v>0.822236489076274</v>
      </c>
      <c r="AH480" s="71">
        <f t="shared" si="70"/>
        <v>3.66585140264573</v>
      </c>
    </row>
    <row r="481" spans="1:34">
      <c r="A481" s="304">
        <v>45469</v>
      </c>
      <c r="B481" s="392">
        <v>500</v>
      </c>
      <c r="C481" s="176">
        <f t="shared" si="51"/>
        <v>0.0399531439568255</v>
      </c>
      <c r="D481" s="443">
        <f>明星店铺!B822</f>
        <v>372.45</v>
      </c>
      <c r="E481" s="404">
        <f>明星店铺!C822</f>
        <v>359</v>
      </c>
      <c r="F481" s="404">
        <f>明星店铺!D822</f>
        <v>121</v>
      </c>
      <c r="G481" s="325">
        <f>明星店铺!G822+明星店铺!H822</f>
        <v>28</v>
      </c>
      <c r="H481" s="392">
        <v>3500</v>
      </c>
      <c r="I481" s="176">
        <f t="shared" si="52"/>
        <v>0.336478523777189</v>
      </c>
      <c r="J481" s="443">
        <f>直通车!B822</f>
        <v>3136.71</v>
      </c>
      <c r="K481" s="399">
        <f>直通车!C822</f>
        <v>13586</v>
      </c>
      <c r="L481" s="511">
        <f>直通车!D822</f>
        <v>707</v>
      </c>
      <c r="M481" s="325">
        <f>直通车!G822+直通车!H822</f>
        <v>50</v>
      </c>
      <c r="N481" s="392">
        <v>1000</v>
      </c>
      <c r="O481" s="176">
        <f t="shared" si="53"/>
        <v>0.105864836191573</v>
      </c>
      <c r="P481" s="443">
        <f>引力魔方!B721</f>
        <v>986.89</v>
      </c>
      <c r="Q481" s="398">
        <f>引力魔方!C721</f>
        <v>917324</v>
      </c>
      <c r="R481" s="399">
        <f>引力魔方!D721</f>
        <v>3727</v>
      </c>
      <c r="S481" s="325">
        <f>引力魔方!G721+引力魔方!H721</f>
        <v>105</v>
      </c>
      <c r="T481" s="326">
        <v>4300</v>
      </c>
      <c r="U481" s="176">
        <f t="shared" si="54"/>
        <v>0.517703496074412</v>
      </c>
      <c r="V481" s="326">
        <f>万相台!B310</f>
        <v>4826.12</v>
      </c>
      <c r="W481" s="417">
        <f>万相台!C310</f>
        <v>1402427</v>
      </c>
      <c r="X481" s="417">
        <f>万相台!D310</f>
        <v>7692</v>
      </c>
      <c r="Y481" s="306">
        <f>万相台!G310+万相台!H310</f>
        <v>466</v>
      </c>
      <c r="AA481" s="68">
        <f t="shared" si="63"/>
        <v>9300</v>
      </c>
      <c r="AB481" s="69">
        <f t="shared" si="64"/>
        <v>9322.17</v>
      </c>
      <c r="AC481" s="70">
        <f t="shared" si="65"/>
        <v>649</v>
      </c>
      <c r="AD481" s="505">
        <f t="shared" si="66"/>
        <v>14.3638983050847</v>
      </c>
      <c r="AE481" s="506">
        <f t="shared" si="67"/>
        <v>0.0529925696088838</v>
      </c>
      <c r="AF481" s="69">
        <f t="shared" si="68"/>
        <v>12247</v>
      </c>
      <c r="AG481" s="71">
        <f t="shared" si="69"/>
        <v>0.761179880787132</v>
      </c>
      <c r="AH481" s="71">
        <f t="shared" si="70"/>
        <v>3.99459484011628</v>
      </c>
    </row>
    <row r="482" spans="1:34">
      <c r="A482" s="304">
        <v>45470</v>
      </c>
      <c r="B482" s="392">
        <v>500</v>
      </c>
      <c r="C482" s="176">
        <f t="shared" si="51"/>
        <v>0.0377373742248389</v>
      </c>
      <c r="D482" s="443">
        <f>明星店铺!B823</f>
        <v>312.79</v>
      </c>
      <c r="E482" s="404">
        <f>明星店铺!C823</f>
        <v>307</v>
      </c>
      <c r="F482" s="404">
        <f>明星店铺!D823</f>
        <v>129</v>
      </c>
      <c r="G482" s="325">
        <f>明星店铺!G823+明星店铺!H823</f>
        <v>33</v>
      </c>
      <c r="H482" s="392">
        <v>3500</v>
      </c>
      <c r="I482" s="176">
        <f t="shared" si="52"/>
        <v>0.319841710300895</v>
      </c>
      <c r="J482" s="443">
        <f>直通车!B823</f>
        <v>2651.04</v>
      </c>
      <c r="K482" s="399">
        <f>直通车!C823</f>
        <v>13227</v>
      </c>
      <c r="L482" s="511">
        <f>直通车!D823</f>
        <v>588</v>
      </c>
      <c r="M482" s="325">
        <f>直通车!G823+直通车!H823</f>
        <v>34</v>
      </c>
      <c r="N482" s="392">
        <v>1000</v>
      </c>
      <c r="O482" s="176">
        <f t="shared" si="53"/>
        <v>0.117887218589388</v>
      </c>
      <c r="P482" s="443">
        <f>引力魔方!B722</f>
        <v>977.12</v>
      </c>
      <c r="Q482" s="398">
        <f>引力魔方!C722</f>
        <v>847663</v>
      </c>
      <c r="R482" s="399">
        <f>引力魔方!D722</f>
        <v>3588</v>
      </c>
      <c r="S482" s="325">
        <f>引力魔方!G722+引力魔方!H722</f>
        <v>116</v>
      </c>
      <c r="T482" s="326">
        <v>4300</v>
      </c>
      <c r="U482" s="176">
        <f t="shared" si="54"/>
        <v>0.524533696884878</v>
      </c>
      <c r="V482" s="326">
        <f>万相台!B311</f>
        <v>4347.65</v>
      </c>
      <c r="W482" s="417">
        <f>万相台!C311</f>
        <v>1377618</v>
      </c>
      <c r="X482" s="417">
        <f>万相台!D311</f>
        <v>6203</v>
      </c>
      <c r="Y482" s="306">
        <f>万相台!G311+万相台!H311</f>
        <v>428</v>
      </c>
      <c r="AA482" s="68">
        <f t="shared" si="63"/>
        <v>9300</v>
      </c>
      <c r="AB482" s="69">
        <f t="shared" si="64"/>
        <v>8288.6</v>
      </c>
      <c r="AC482" s="70">
        <f t="shared" si="65"/>
        <v>611</v>
      </c>
      <c r="AD482" s="505">
        <f t="shared" si="66"/>
        <v>13.5656301145663</v>
      </c>
      <c r="AE482" s="506">
        <f t="shared" si="67"/>
        <v>0.0581461743433574</v>
      </c>
      <c r="AF482" s="69">
        <f t="shared" si="68"/>
        <v>10508</v>
      </c>
      <c r="AG482" s="71">
        <f t="shared" si="69"/>
        <v>0.788789493719071</v>
      </c>
      <c r="AH482" s="71">
        <f t="shared" si="70"/>
        <v>3.70222640102018</v>
      </c>
    </row>
    <row r="483" spans="1:34">
      <c r="A483" s="304">
        <v>45471</v>
      </c>
      <c r="B483" s="392">
        <v>500</v>
      </c>
      <c r="C483" s="176">
        <f t="shared" si="51"/>
        <v>0.0400191428144341</v>
      </c>
      <c r="D483" s="443">
        <f>明星店铺!B824</f>
        <v>345.36</v>
      </c>
      <c r="E483" s="404">
        <f>明星店铺!C824</f>
        <v>312</v>
      </c>
      <c r="F483" s="404">
        <f>明星店铺!D824</f>
        <v>140</v>
      </c>
      <c r="G483" s="325">
        <f>明星店铺!G824+明星店铺!H824</f>
        <v>30</v>
      </c>
      <c r="H483" s="392">
        <v>3500</v>
      </c>
      <c r="I483" s="176">
        <f t="shared" si="52"/>
        <v>0.340188206774841</v>
      </c>
      <c r="J483" s="443">
        <f>直通车!B824</f>
        <v>2935.78</v>
      </c>
      <c r="K483" s="399">
        <f>直通车!C824</f>
        <v>15527</v>
      </c>
      <c r="L483" s="511">
        <f>直通车!D824</f>
        <v>651</v>
      </c>
      <c r="M483" s="325">
        <f>直通车!G824+直通车!H824</f>
        <v>52</v>
      </c>
      <c r="N483" s="392">
        <v>1000</v>
      </c>
      <c r="O483" s="176">
        <f t="shared" si="53"/>
        <v>0.114314584113086</v>
      </c>
      <c r="P483" s="443">
        <f>引力魔方!B723</f>
        <v>986.52</v>
      </c>
      <c r="Q483" s="398">
        <f>引力魔方!C723</f>
        <v>871188</v>
      </c>
      <c r="R483" s="399">
        <f>引力魔方!D723</f>
        <v>3930</v>
      </c>
      <c r="S483" s="325">
        <f>引力魔方!G723+引力魔方!H723</f>
        <v>136</v>
      </c>
      <c r="T483" s="326">
        <v>4300</v>
      </c>
      <c r="U483" s="176">
        <f t="shared" si="54"/>
        <v>0.505478066297638</v>
      </c>
      <c r="V483" s="326">
        <f>万相台!B312</f>
        <v>4362.21</v>
      </c>
      <c r="W483" s="417">
        <f>万相台!C312</f>
        <v>1245721</v>
      </c>
      <c r="X483" s="417">
        <f>万相台!D312</f>
        <v>7572</v>
      </c>
      <c r="Y483" s="306">
        <f>万相台!G312+万相台!H312</f>
        <v>399</v>
      </c>
      <c r="AA483" s="68">
        <f t="shared" si="63"/>
        <v>9300</v>
      </c>
      <c r="AB483" s="69">
        <f t="shared" si="64"/>
        <v>8629.87</v>
      </c>
      <c r="AC483" s="70">
        <f t="shared" si="65"/>
        <v>617</v>
      </c>
      <c r="AD483" s="505">
        <f t="shared" si="66"/>
        <v>13.9868233387358</v>
      </c>
      <c r="AE483" s="506">
        <f t="shared" si="67"/>
        <v>0.0501911657040592</v>
      </c>
      <c r="AF483" s="69">
        <f t="shared" si="68"/>
        <v>12293</v>
      </c>
      <c r="AG483" s="71">
        <f t="shared" si="69"/>
        <v>0.702014967867892</v>
      </c>
      <c r="AH483" s="71">
        <f t="shared" si="70"/>
        <v>4.04636178301421</v>
      </c>
    </row>
    <row r="484" spans="1:34">
      <c r="A484" s="304">
        <v>45472</v>
      </c>
      <c r="B484" s="392">
        <v>500</v>
      </c>
      <c r="C484" s="176">
        <f t="shared" si="51"/>
        <v>0.0394112797146545</v>
      </c>
      <c r="D484" s="443">
        <f>明星店铺!B825</f>
        <v>353.25</v>
      </c>
      <c r="E484" s="404">
        <f>明星店铺!C825</f>
        <v>321</v>
      </c>
      <c r="F484" s="404">
        <f>明星店铺!D825</f>
        <v>142</v>
      </c>
      <c r="G484" s="325">
        <f>明星店铺!G825+明星店铺!H825</f>
        <v>38</v>
      </c>
      <c r="H484" s="392">
        <v>3500</v>
      </c>
      <c r="I484" s="176">
        <f t="shared" si="52"/>
        <v>0.371222458125864</v>
      </c>
      <c r="J484" s="443">
        <f>直通车!B825</f>
        <v>3327.33</v>
      </c>
      <c r="K484" s="399">
        <f>直通车!C825</f>
        <v>14760</v>
      </c>
      <c r="L484" s="511">
        <f>直通车!D825</f>
        <v>759</v>
      </c>
      <c r="M484" s="325">
        <f>直通车!G825+直通车!H825</f>
        <v>46</v>
      </c>
      <c r="N484" s="392">
        <v>1000</v>
      </c>
      <c r="O484" s="176">
        <f t="shared" si="53"/>
        <v>0.110661741325893</v>
      </c>
      <c r="P484" s="443">
        <f>引力魔方!B724</f>
        <v>991.88</v>
      </c>
      <c r="Q484" s="398">
        <f>引力魔方!C724</f>
        <v>1078555</v>
      </c>
      <c r="R484" s="399">
        <f>引力魔方!D724</f>
        <v>3790</v>
      </c>
      <c r="S484" s="325">
        <f>引力魔方!G724+引力魔方!H724</f>
        <v>125</v>
      </c>
      <c r="T484" s="326">
        <v>4300</v>
      </c>
      <c r="U484" s="176">
        <f t="shared" si="54"/>
        <v>0.478704520833589</v>
      </c>
      <c r="V484" s="326">
        <f>万相台!B313</f>
        <v>4290.71</v>
      </c>
      <c r="W484" s="417">
        <f>万相台!C313</f>
        <v>1886413</v>
      </c>
      <c r="X484" s="417">
        <f>万相台!D313</f>
        <v>8024</v>
      </c>
      <c r="Y484" s="306">
        <f>万相台!G313+万相台!H313</f>
        <v>373</v>
      </c>
      <c r="AA484" s="68">
        <f t="shared" si="63"/>
        <v>9300</v>
      </c>
      <c r="AB484" s="69">
        <f t="shared" si="64"/>
        <v>8963.17</v>
      </c>
      <c r="AC484" s="70">
        <f t="shared" si="65"/>
        <v>582</v>
      </c>
      <c r="AD484" s="505">
        <f t="shared" si="66"/>
        <v>15.4006357388316</v>
      </c>
      <c r="AE484" s="506">
        <f t="shared" si="67"/>
        <v>0.0457727093983484</v>
      </c>
      <c r="AF484" s="69">
        <f t="shared" si="68"/>
        <v>12715</v>
      </c>
      <c r="AG484" s="71">
        <f t="shared" si="69"/>
        <v>0.704928824223358</v>
      </c>
      <c r="AH484" s="71">
        <f t="shared" si="70"/>
        <v>3.00772571189266</v>
      </c>
    </row>
    <row r="485" spans="1:34">
      <c r="A485" s="304">
        <v>45473</v>
      </c>
      <c r="B485" s="392">
        <v>500</v>
      </c>
      <c r="C485" s="176">
        <f t="shared" si="51"/>
        <v>0.0391891762212098</v>
      </c>
      <c r="D485" s="443">
        <f>明星店铺!B826</f>
        <v>367.54</v>
      </c>
      <c r="E485" s="404">
        <f>明星店铺!C826</f>
        <v>352</v>
      </c>
      <c r="F485" s="404">
        <f>明星店铺!D826</f>
        <v>143</v>
      </c>
      <c r="G485" s="325">
        <f>明星店铺!G826+明星店铺!H826</f>
        <v>37</v>
      </c>
      <c r="H485" s="392">
        <v>3500</v>
      </c>
      <c r="I485" s="176">
        <f t="shared" si="52"/>
        <v>0.389334880115497</v>
      </c>
      <c r="J485" s="443">
        <f>直通车!B826</f>
        <v>3651.42</v>
      </c>
      <c r="K485" s="399">
        <f>直通车!C826</f>
        <v>15335</v>
      </c>
      <c r="L485" s="511">
        <f>直通车!D826</f>
        <v>864</v>
      </c>
      <c r="M485" s="325">
        <f>直通车!G826+直通车!H826</f>
        <v>43</v>
      </c>
      <c r="N485" s="392">
        <v>1000</v>
      </c>
      <c r="O485" s="176">
        <f t="shared" si="53"/>
        <v>0.105343968882382</v>
      </c>
      <c r="P485" s="443">
        <f>引力魔方!B725</f>
        <v>987.98</v>
      </c>
      <c r="Q485" s="398">
        <f>引力魔方!C725</f>
        <v>1110496</v>
      </c>
      <c r="R485" s="399">
        <f>引力魔方!D725</f>
        <v>4180</v>
      </c>
      <c r="S485" s="325">
        <f>引力魔方!G725+引力魔方!H725</f>
        <v>128</v>
      </c>
      <c r="T485" s="326">
        <v>4300</v>
      </c>
      <c r="U485" s="176">
        <f t="shared" si="54"/>
        <v>0.466131974780911</v>
      </c>
      <c r="V485" s="326">
        <f>万相台!B314</f>
        <v>4371.67</v>
      </c>
      <c r="W485" s="417">
        <f>万相台!C314</f>
        <v>1934098</v>
      </c>
      <c r="X485" s="417">
        <f>万相台!D314</f>
        <v>7992</v>
      </c>
      <c r="Y485" s="306">
        <f>万相台!G314+万相台!H314</f>
        <v>448</v>
      </c>
      <c r="AA485" s="68">
        <f t="shared" si="63"/>
        <v>9300</v>
      </c>
      <c r="AB485" s="69">
        <f t="shared" si="64"/>
        <v>9378.61</v>
      </c>
      <c r="AC485" s="70">
        <f t="shared" si="65"/>
        <v>656</v>
      </c>
      <c r="AD485" s="505">
        <f t="shared" si="66"/>
        <v>14.2966615853659</v>
      </c>
      <c r="AE485" s="506">
        <f t="shared" si="67"/>
        <v>0.0497761590408984</v>
      </c>
      <c r="AF485" s="69">
        <f t="shared" si="68"/>
        <v>13179</v>
      </c>
      <c r="AG485" s="71">
        <f t="shared" si="69"/>
        <v>0.711632900827073</v>
      </c>
      <c r="AH485" s="71">
        <f t="shared" si="70"/>
        <v>3.06462380415393</v>
      </c>
    </row>
    <row r="486" spans="1:34">
      <c r="A486" s="304">
        <v>45474</v>
      </c>
      <c r="B486" s="392">
        <v>500</v>
      </c>
      <c r="C486" s="176">
        <f t="shared" ref="C486:C522" si="71">D486/$AB486</f>
        <v>0.047916116435255</v>
      </c>
      <c r="D486" s="443">
        <f>明星店铺!B827</f>
        <v>406.39</v>
      </c>
      <c r="E486" s="404">
        <f>明星店铺!C827</f>
        <v>409</v>
      </c>
      <c r="F486" s="404">
        <f>明星店铺!D827</f>
        <v>137</v>
      </c>
      <c r="G486" s="325">
        <f>明星店铺!G827+明星店铺!H827</f>
        <v>37</v>
      </c>
      <c r="H486" s="392">
        <v>2200</v>
      </c>
      <c r="I486" s="176">
        <f t="shared" ref="I486:I522" si="72">J486/$AB486</f>
        <v>0.403083025203743</v>
      </c>
      <c r="J486" s="443">
        <f>直通车!B827</f>
        <v>3418.66</v>
      </c>
      <c r="K486" s="399">
        <f>直通车!C827</f>
        <v>16383</v>
      </c>
      <c r="L486" s="511">
        <f>直通车!D827</f>
        <v>806</v>
      </c>
      <c r="M486" s="325">
        <f>直通车!G827+直通车!H827</f>
        <v>64</v>
      </c>
      <c r="N486" s="392">
        <v>800</v>
      </c>
      <c r="O486" s="176">
        <f t="shared" ref="O486:O522" si="73">P486/$AB486</f>
        <v>0.0919330572743737</v>
      </c>
      <c r="P486" s="443">
        <f>引力魔方!B726</f>
        <v>779.71</v>
      </c>
      <c r="Q486" s="398">
        <f>引力魔方!C726</f>
        <v>789172</v>
      </c>
      <c r="R486" s="399">
        <f>引力魔方!D726</f>
        <v>3141</v>
      </c>
      <c r="S486" s="325">
        <f>引力魔方!G726+引力魔方!H726</f>
        <v>81</v>
      </c>
      <c r="T486" s="326">
        <v>3300</v>
      </c>
      <c r="U486" s="176">
        <f t="shared" ref="U486:U522" si="74">V486/$AB486</f>
        <v>0.457067801086628</v>
      </c>
      <c r="V486" s="326">
        <f>万相台!B315</f>
        <v>3876.52</v>
      </c>
      <c r="W486" s="417">
        <f>万相台!C315</f>
        <v>1612814</v>
      </c>
      <c r="X486" s="417">
        <f>万相台!D315</f>
        <v>6922</v>
      </c>
      <c r="Y486" s="306">
        <f>万相台!G315+万相台!H315</f>
        <v>402</v>
      </c>
      <c r="AA486" s="68">
        <f t="shared" ref="AA486:AA522" si="75">B486+H486+N486+T486</f>
        <v>6800</v>
      </c>
      <c r="AB486" s="69">
        <f t="shared" ref="AB486:AB522" si="76">D486+J486+P486+V486</f>
        <v>8481.28</v>
      </c>
      <c r="AC486" s="70">
        <f t="shared" ref="AC486:AC522" si="77">G486+M486+S486+Y486</f>
        <v>584</v>
      </c>
      <c r="AD486" s="505">
        <f t="shared" ref="AD486:AD522" si="78">AB486/AC486</f>
        <v>14.5227397260274</v>
      </c>
      <c r="AE486" s="506">
        <f t="shared" ref="AE486:AE522" si="79">AC486/AF486</f>
        <v>0.0530619662002544</v>
      </c>
      <c r="AF486" s="69">
        <f t="shared" ref="AF486:AF522" si="80">F486+L486+R486+X486</f>
        <v>11006</v>
      </c>
      <c r="AG486" s="71">
        <f t="shared" ref="AG486:AG522" si="81">AB486/AF486</f>
        <v>0.770605124477558</v>
      </c>
      <c r="AH486" s="71">
        <f t="shared" ref="AH486:AH522" si="82">AB486/((E486+K486+Q486+W486)/1000)</f>
        <v>3.50643176016981</v>
      </c>
    </row>
    <row r="487" spans="1:34">
      <c r="A487" s="304">
        <v>45475</v>
      </c>
      <c r="B487" s="392">
        <v>500</v>
      </c>
      <c r="C487" s="176">
        <f t="shared" si="71"/>
        <v>0.0542830991970489</v>
      </c>
      <c r="D487" s="443">
        <f>明星店铺!B828</f>
        <v>391.43</v>
      </c>
      <c r="E487" s="404">
        <f>明星店铺!C828</f>
        <v>368</v>
      </c>
      <c r="F487" s="404">
        <f>明星店铺!D828</f>
        <v>172</v>
      </c>
      <c r="G487" s="325">
        <f>明星店铺!G828+明星店铺!H828</f>
        <v>32</v>
      </c>
      <c r="H487" s="392">
        <v>2200</v>
      </c>
      <c r="I487" s="176">
        <f t="shared" si="72"/>
        <v>0.398789332815599</v>
      </c>
      <c r="J487" s="443">
        <f>直通车!B828</f>
        <v>2875.63</v>
      </c>
      <c r="K487" s="399">
        <f>直通车!C828</f>
        <v>16076</v>
      </c>
      <c r="L487" s="511">
        <f>直通车!D828</f>
        <v>704</v>
      </c>
      <c r="M487" s="325">
        <f>直通车!G828+直通车!H828</f>
        <v>43</v>
      </c>
      <c r="N487" s="392">
        <v>800</v>
      </c>
      <c r="O487" s="176">
        <f t="shared" si="73"/>
        <v>0.107947690302181</v>
      </c>
      <c r="P487" s="443">
        <f>引力魔方!B727</f>
        <v>778.4</v>
      </c>
      <c r="Q487" s="398">
        <f>引力魔方!C727</f>
        <v>862572</v>
      </c>
      <c r="R487" s="399">
        <f>引力魔方!D727</f>
        <v>3181</v>
      </c>
      <c r="S487" s="325">
        <f>引力魔方!G727+引力魔方!H727</f>
        <v>89</v>
      </c>
      <c r="T487" s="326">
        <v>3300</v>
      </c>
      <c r="U487" s="176">
        <f t="shared" si="74"/>
        <v>0.438979877685171</v>
      </c>
      <c r="V487" s="326">
        <f>万相台!B316</f>
        <v>3165.44</v>
      </c>
      <c r="W487" s="417">
        <f>万相台!C316</f>
        <v>1587109</v>
      </c>
      <c r="X487" s="417">
        <f>万相台!D316</f>
        <v>6476</v>
      </c>
      <c r="Y487" s="306">
        <f>万相台!G316+万相台!H316</f>
        <v>377</v>
      </c>
      <c r="AA487" s="68">
        <f t="shared" si="75"/>
        <v>6800</v>
      </c>
      <c r="AB487" s="69">
        <f t="shared" si="76"/>
        <v>7210.9</v>
      </c>
      <c r="AC487" s="70">
        <f t="shared" si="77"/>
        <v>541</v>
      </c>
      <c r="AD487" s="505">
        <f t="shared" si="78"/>
        <v>13.3288354898336</v>
      </c>
      <c r="AE487" s="506">
        <f t="shared" si="79"/>
        <v>0.0513623848855976</v>
      </c>
      <c r="AF487" s="69">
        <f t="shared" si="80"/>
        <v>10533</v>
      </c>
      <c r="AG487" s="71">
        <f t="shared" si="81"/>
        <v>0.684600778505649</v>
      </c>
      <c r="AH487" s="71">
        <f t="shared" si="82"/>
        <v>2.92397992802473</v>
      </c>
    </row>
    <row r="488" spans="1:34">
      <c r="A488" s="304">
        <v>45476</v>
      </c>
      <c r="B488" s="392">
        <v>500</v>
      </c>
      <c r="C488" s="176">
        <f t="shared" si="71"/>
        <v>0.055394948208836</v>
      </c>
      <c r="D488" s="443">
        <f>明星店铺!B829</f>
        <v>392.43</v>
      </c>
      <c r="E488" s="404">
        <f>明星店铺!C829</f>
        <v>370</v>
      </c>
      <c r="F488" s="404">
        <f>明星店铺!D829</f>
        <v>181</v>
      </c>
      <c r="G488" s="325">
        <f>明星店铺!G829+明星店铺!H829</f>
        <v>54</v>
      </c>
      <c r="H488" s="392">
        <v>2200</v>
      </c>
      <c r="I488" s="176">
        <f t="shared" si="72"/>
        <v>0.315801880799862</v>
      </c>
      <c r="J488" s="443">
        <f>直通车!B829</f>
        <v>2237.21</v>
      </c>
      <c r="K488" s="399">
        <f>直通车!C829</f>
        <v>11206</v>
      </c>
      <c r="L488" s="511">
        <f>直通车!D829</f>
        <v>550</v>
      </c>
      <c r="M488" s="325">
        <f>直通车!G829+直通车!H829</f>
        <v>27</v>
      </c>
      <c r="N488" s="392">
        <v>800</v>
      </c>
      <c r="O488" s="176">
        <f t="shared" si="73"/>
        <v>0.109057877931515</v>
      </c>
      <c r="P488" s="443">
        <f>引力魔方!B728</f>
        <v>772.59</v>
      </c>
      <c r="Q488" s="398">
        <f>引力魔方!C728</f>
        <v>789566</v>
      </c>
      <c r="R488" s="399">
        <f>引力魔方!D728</f>
        <v>3025</v>
      </c>
      <c r="S488" s="325">
        <f>引力魔方!G728+引力魔方!H728</f>
        <v>77</v>
      </c>
      <c r="T488" s="326">
        <v>3300</v>
      </c>
      <c r="U488" s="176">
        <f t="shared" si="74"/>
        <v>0.519745293059786</v>
      </c>
      <c r="V488" s="326">
        <f>万相台!B317</f>
        <v>3681.99</v>
      </c>
      <c r="W488" s="417">
        <f>万相台!C317</f>
        <v>1586996</v>
      </c>
      <c r="X488" s="417">
        <f>万相台!D317</f>
        <v>8294</v>
      </c>
      <c r="Y488" s="306">
        <f>万相台!G317+万相台!H317</f>
        <v>385</v>
      </c>
      <c r="AA488" s="68">
        <f t="shared" si="75"/>
        <v>6800</v>
      </c>
      <c r="AB488" s="69">
        <f t="shared" si="76"/>
        <v>7084.22</v>
      </c>
      <c r="AC488" s="70">
        <f t="shared" si="77"/>
        <v>543</v>
      </c>
      <c r="AD488" s="505">
        <f t="shared" si="78"/>
        <v>13.0464456721915</v>
      </c>
      <c r="AE488" s="506">
        <f t="shared" si="79"/>
        <v>0.0450622406639004</v>
      </c>
      <c r="AF488" s="69">
        <f t="shared" si="80"/>
        <v>12050</v>
      </c>
      <c r="AG488" s="71">
        <f t="shared" si="81"/>
        <v>0.587902074688797</v>
      </c>
      <c r="AH488" s="71">
        <f t="shared" si="82"/>
        <v>2.96641986350872</v>
      </c>
    </row>
    <row r="489" spans="1:34">
      <c r="A489" s="304">
        <v>45477</v>
      </c>
      <c r="B489" s="392">
        <v>400</v>
      </c>
      <c r="C489" s="176">
        <f t="shared" si="71"/>
        <v>0.0590553221451203</v>
      </c>
      <c r="D489" s="443">
        <f>明星店铺!B830</f>
        <v>330.46</v>
      </c>
      <c r="E489" s="404">
        <f>明星店铺!C830</f>
        <v>328</v>
      </c>
      <c r="F489" s="404">
        <f>明星店铺!D830</f>
        <v>137</v>
      </c>
      <c r="G489" s="325">
        <f>明星店铺!G830+明星店铺!H830</f>
        <v>39</v>
      </c>
      <c r="H489" s="392">
        <v>2200</v>
      </c>
      <c r="I489" s="176">
        <f t="shared" si="72"/>
        <v>0.401017196918387</v>
      </c>
      <c r="J489" s="443">
        <f>直通车!B830</f>
        <v>2244</v>
      </c>
      <c r="K489" s="399">
        <f>直通车!C830</f>
        <v>10358</v>
      </c>
      <c r="L489" s="511">
        <f>直通车!D830</f>
        <v>554</v>
      </c>
      <c r="M489" s="325">
        <f>直通车!G830+直通车!H830</f>
        <v>41</v>
      </c>
      <c r="N489" s="392">
        <v>500</v>
      </c>
      <c r="O489" s="176">
        <f t="shared" si="73"/>
        <v>0.0885097135872275</v>
      </c>
      <c r="P489" s="443">
        <f>引力魔方!B729</f>
        <v>495.28</v>
      </c>
      <c r="Q489" s="398">
        <f>引力魔方!C729</f>
        <v>494415</v>
      </c>
      <c r="R489" s="399">
        <f>引力魔方!D729</f>
        <v>1994</v>
      </c>
      <c r="S489" s="325">
        <f>引力魔方!G729+引力魔方!H729</f>
        <v>69</v>
      </c>
      <c r="T489" s="326">
        <v>2500</v>
      </c>
      <c r="U489" s="176">
        <f t="shared" si="74"/>
        <v>0.451417767349266</v>
      </c>
      <c r="V489" s="326">
        <f>万相台!B318</f>
        <v>2526.03</v>
      </c>
      <c r="W489" s="417">
        <f>万相台!C318</f>
        <v>917084</v>
      </c>
      <c r="X489" s="417">
        <f>万相台!D318</f>
        <v>5086</v>
      </c>
      <c r="Y489" s="306">
        <f>万相台!G318+万相台!H318</f>
        <v>312</v>
      </c>
      <c r="AA489" s="68">
        <f t="shared" si="75"/>
        <v>5600</v>
      </c>
      <c r="AB489" s="69">
        <f t="shared" si="76"/>
        <v>5595.77</v>
      </c>
      <c r="AC489" s="70">
        <f t="shared" si="77"/>
        <v>461</v>
      </c>
      <c r="AD489" s="505">
        <f t="shared" si="78"/>
        <v>12.1383297180043</v>
      </c>
      <c r="AE489" s="506">
        <f t="shared" si="79"/>
        <v>0.0593231244370094</v>
      </c>
      <c r="AF489" s="69">
        <f t="shared" si="80"/>
        <v>7771</v>
      </c>
      <c r="AG489" s="71">
        <f t="shared" si="81"/>
        <v>0.720083644318621</v>
      </c>
      <c r="AH489" s="71">
        <f t="shared" si="82"/>
        <v>3.93462875786202</v>
      </c>
    </row>
    <row r="490" spans="1:34">
      <c r="A490" s="304">
        <v>45478</v>
      </c>
      <c r="B490" s="392">
        <v>400</v>
      </c>
      <c r="C490" s="176">
        <f t="shared" si="71"/>
        <v>0.073889882545137</v>
      </c>
      <c r="D490" s="443">
        <f>明星店铺!B831</f>
        <v>419.73</v>
      </c>
      <c r="E490" s="404">
        <f>明星店铺!C831</f>
        <v>380</v>
      </c>
      <c r="F490" s="404">
        <f>明星店铺!D831</f>
        <v>137</v>
      </c>
      <c r="G490" s="325">
        <f>明星店铺!G831+明星店铺!H831</f>
        <v>35</v>
      </c>
      <c r="H490" s="392">
        <v>2200</v>
      </c>
      <c r="I490" s="176">
        <f t="shared" si="72"/>
        <v>0.391255668535053</v>
      </c>
      <c r="J490" s="443">
        <f>直通车!B831</f>
        <v>2222.52</v>
      </c>
      <c r="K490" s="399">
        <f>直通车!C831</f>
        <v>12825</v>
      </c>
      <c r="L490" s="511">
        <f>直通车!D831</f>
        <v>590</v>
      </c>
      <c r="M490" s="325">
        <f>直通车!G831+直通车!H831</f>
        <v>32</v>
      </c>
      <c r="N490" s="392">
        <v>500</v>
      </c>
      <c r="O490" s="176">
        <f t="shared" si="73"/>
        <v>0.0868799819733544</v>
      </c>
      <c r="P490" s="443">
        <f>引力魔方!B730</f>
        <v>493.52</v>
      </c>
      <c r="Q490" s="398">
        <f>引力魔方!C730</f>
        <v>417333</v>
      </c>
      <c r="R490" s="399">
        <f>引力魔方!D730</f>
        <v>1852</v>
      </c>
      <c r="S490" s="325">
        <f>引力魔方!G730+引力魔方!H730</f>
        <v>86</v>
      </c>
      <c r="T490" s="326">
        <v>2500</v>
      </c>
      <c r="U490" s="176">
        <f t="shared" si="74"/>
        <v>0.447974466946455</v>
      </c>
      <c r="V490" s="326">
        <f>万相台!B319</f>
        <v>2544.71</v>
      </c>
      <c r="W490" s="417">
        <f>万相台!C319</f>
        <v>1123911</v>
      </c>
      <c r="X490" s="417">
        <f>万相台!D319</f>
        <v>5278</v>
      </c>
      <c r="Y490" s="306">
        <f>万相台!G319+万相台!H319</f>
        <v>349</v>
      </c>
      <c r="AA490" s="68">
        <f t="shared" si="75"/>
        <v>5600</v>
      </c>
      <c r="AB490" s="69">
        <f t="shared" si="76"/>
        <v>5680.48</v>
      </c>
      <c r="AC490" s="70">
        <f t="shared" si="77"/>
        <v>502</v>
      </c>
      <c r="AD490" s="505">
        <f t="shared" si="78"/>
        <v>11.3156972111554</v>
      </c>
      <c r="AE490" s="506">
        <f t="shared" si="79"/>
        <v>0.063892070764923</v>
      </c>
      <c r="AF490" s="69">
        <f t="shared" si="80"/>
        <v>7857</v>
      </c>
      <c r="AG490" s="71">
        <f t="shared" si="81"/>
        <v>0.722983326969581</v>
      </c>
      <c r="AH490" s="71">
        <f t="shared" si="82"/>
        <v>3.65433668135783</v>
      </c>
    </row>
    <row r="491" spans="1:34">
      <c r="A491" s="304">
        <v>45479</v>
      </c>
      <c r="B491" s="392">
        <v>400</v>
      </c>
      <c r="C491" s="176">
        <f t="shared" si="71"/>
        <v>0.0669981814450789</v>
      </c>
      <c r="D491" s="443">
        <f>明星店铺!B832</f>
        <v>378.73</v>
      </c>
      <c r="E491" s="404">
        <f>明星店铺!C832</f>
        <v>358</v>
      </c>
      <c r="F491" s="404">
        <f>明星店铺!D832</f>
        <v>139</v>
      </c>
      <c r="G491" s="325">
        <f>明星店铺!G832+明星店铺!H832</f>
        <v>28</v>
      </c>
      <c r="H491" s="392">
        <v>2200</v>
      </c>
      <c r="I491" s="176">
        <f t="shared" si="72"/>
        <v>0.396968603392277</v>
      </c>
      <c r="J491" s="443">
        <f>直通车!B832</f>
        <v>2244</v>
      </c>
      <c r="K491" s="399">
        <f>直通车!C832</f>
        <v>10805</v>
      </c>
      <c r="L491" s="511">
        <f>直通车!D832</f>
        <v>589</v>
      </c>
      <c r="M491" s="325">
        <f>直通车!G832+直通车!H832</f>
        <v>37</v>
      </c>
      <c r="N491" s="392">
        <v>500</v>
      </c>
      <c r="O491" s="176">
        <f t="shared" si="73"/>
        <v>0.0870606633126004</v>
      </c>
      <c r="P491" s="443">
        <f>引力魔方!B731</f>
        <v>492.14</v>
      </c>
      <c r="Q491" s="398">
        <f>引力魔方!C731</f>
        <v>509843</v>
      </c>
      <c r="R491" s="399">
        <f>引力魔方!D731</f>
        <v>2047</v>
      </c>
      <c r="S491" s="325">
        <f>引力魔方!G731+引力魔方!H731</f>
        <v>99</v>
      </c>
      <c r="T491" s="326">
        <v>2500</v>
      </c>
      <c r="U491" s="176">
        <f t="shared" si="74"/>
        <v>0.448972551850043</v>
      </c>
      <c r="V491" s="326">
        <f>万相台!B320</f>
        <v>2537.97</v>
      </c>
      <c r="W491" s="417">
        <f>万相台!C320</f>
        <v>962684</v>
      </c>
      <c r="X491" s="417">
        <f>万相台!D320</f>
        <v>5541</v>
      </c>
      <c r="Y491" s="306">
        <f>万相台!G320+万相台!H320</f>
        <v>377</v>
      </c>
      <c r="AA491" s="68">
        <f t="shared" si="75"/>
        <v>5600</v>
      </c>
      <c r="AB491" s="69">
        <f t="shared" si="76"/>
        <v>5652.84</v>
      </c>
      <c r="AC491" s="70">
        <f t="shared" si="77"/>
        <v>541</v>
      </c>
      <c r="AD491" s="505">
        <f t="shared" si="78"/>
        <v>10.4488724584104</v>
      </c>
      <c r="AE491" s="506">
        <f t="shared" si="79"/>
        <v>0.0650553150553151</v>
      </c>
      <c r="AF491" s="69">
        <f t="shared" si="80"/>
        <v>8316</v>
      </c>
      <c r="AG491" s="71">
        <f t="shared" si="81"/>
        <v>0.67975468975469</v>
      </c>
      <c r="AH491" s="71">
        <f t="shared" si="82"/>
        <v>3.80998726148993</v>
      </c>
    </row>
    <row r="492" spans="1:34">
      <c r="A492" s="304">
        <v>45480</v>
      </c>
      <c r="B492" s="392">
        <v>400</v>
      </c>
      <c r="C492" s="176">
        <f t="shared" si="71"/>
        <v>0.073482371653265</v>
      </c>
      <c r="D492" s="443">
        <f>明星店铺!B833</f>
        <v>415.8</v>
      </c>
      <c r="E492" s="404">
        <f>明星店铺!C833</f>
        <v>376</v>
      </c>
      <c r="F492" s="404">
        <f>明星店铺!D833</f>
        <v>155</v>
      </c>
      <c r="G492" s="325">
        <f>明星店铺!G833+明星店铺!H833</f>
        <v>50</v>
      </c>
      <c r="H492" s="392">
        <v>2200</v>
      </c>
      <c r="I492" s="176">
        <f t="shared" si="72"/>
        <v>0.396571529557303</v>
      </c>
      <c r="J492" s="443">
        <f>直通车!B833</f>
        <v>2244</v>
      </c>
      <c r="K492" s="399">
        <f>直通车!C833</f>
        <v>10623</v>
      </c>
      <c r="L492" s="511">
        <f>直通车!D833</f>
        <v>580</v>
      </c>
      <c r="M492" s="325">
        <f>直通车!G833+直通车!H833</f>
        <v>28</v>
      </c>
      <c r="N492" s="392">
        <v>500</v>
      </c>
      <c r="O492" s="176">
        <f t="shared" si="73"/>
        <v>0.0875055226650172</v>
      </c>
      <c r="P492" s="443">
        <f>引力魔方!B732</f>
        <v>495.15</v>
      </c>
      <c r="Q492" s="398">
        <f>引力魔方!C732</f>
        <v>424341</v>
      </c>
      <c r="R492" s="399">
        <f>引力魔方!D732</f>
        <v>2096</v>
      </c>
      <c r="S492" s="325">
        <f>引力魔方!G732+引力魔方!H732</f>
        <v>86</v>
      </c>
      <c r="T492" s="326">
        <v>2500</v>
      </c>
      <c r="U492" s="176">
        <f t="shared" si="74"/>
        <v>0.442440576124415</v>
      </c>
      <c r="V492" s="326">
        <f>万相台!B321</f>
        <v>2503.55</v>
      </c>
      <c r="W492" s="417">
        <f>万相台!C321</f>
        <v>1128481</v>
      </c>
      <c r="X492" s="417">
        <f>万相台!D321</f>
        <v>5299</v>
      </c>
      <c r="Y492" s="306">
        <f>万相台!G321+万相台!H321</f>
        <v>336</v>
      </c>
      <c r="AA492" s="68">
        <f t="shared" si="75"/>
        <v>5600</v>
      </c>
      <c r="AB492" s="69">
        <f t="shared" si="76"/>
        <v>5658.5</v>
      </c>
      <c r="AC492" s="70">
        <f t="shared" si="77"/>
        <v>500</v>
      </c>
      <c r="AD492" s="505">
        <f t="shared" si="78"/>
        <v>11.317</v>
      </c>
      <c r="AE492" s="506">
        <f t="shared" si="79"/>
        <v>0.0615006150061501</v>
      </c>
      <c r="AF492" s="69">
        <f t="shared" si="80"/>
        <v>8130</v>
      </c>
      <c r="AG492" s="71">
        <f t="shared" si="81"/>
        <v>0.6960024600246</v>
      </c>
      <c r="AH492" s="71">
        <f t="shared" si="82"/>
        <v>3.61838087607213</v>
      </c>
    </row>
    <row r="493" spans="1:34">
      <c r="A493" s="304">
        <v>45481</v>
      </c>
      <c r="B493" s="392">
        <v>400</v>
      </c>
      <c r="C493" s="176">
        <f t="shared" si="71"/>
        <v>0.0654211942706462</v>
      </c>
      <c r="D493" s="443">
        <f>明星店铺!B834</f>
        <v>386.04</v>
      </c>
      <c r="E493" s="404">
        <f>明星店铺!C834</f>
        <v>352</v>
      </c>
      <c r="F493" s="404">
        <f>明星店铺!D834</f>
        <v>161</v>
      </c>
      <c r="G493" s="325">
        <f>明星店铺!G834+明星店铺!H834</f>
        <v>24</v>
      </c>
      <c r="H493" s="392">
        <v>2200</v>
      </c>
      <c r="I493" s="176">
        <f t="shared" si="72"/>
        <v>0.379020614014276</v>
      </c>
      <c r="J493" s="443">
        <f>直通车!B834</f>
        <v>2236.54</v>
      </c>
      <c r="K493" s="399">
        <f>直通车!C834</f>
        <v>10694</v>
      </c>
      <c r="L493" s="511">
        <f>直通车!D834</f>
        <v>602</v>
      </c>
      <c r="M493" s="325">
        <f>直通车!G834+直通车!H834</f>
        <v>33</v>
      </c>
      <c r="N493" s="392">
        <v>500</v>
      </c>
      <c r="O493" s="176">
        <f t="shared" si="73"/>
        <v>0.081829027731645</v>
      </c>
      <c r="P493" s="443">
        <f>引力魔方!B733</f>
        <v>482.86</v>
      </c>
      <c r="Q493" s="398">
        <f>引力魔方!C733</f>
        <v>445396</v>
      </c>
      <c r="R493" s="399">
        <f>引力魔方!D733</f>
        <v>1949</v>
      </c>
      <c r="S493" s="325">
        <f>引力魔方!G733+引力魔方!H733</f>
        <v>76</v>
      </c>
      <c r="T493" s="326">
        <v>2500</v>
      </c>
      <c r="U493" s="176">
        <f t="shared" si="74"/>
        <v>0.473729163983433</v>
      </c>
      <c r="V493" s="326">
        <f>万相台!B322</f>
        <v>2795.4</v>
      </c>
      <c r="W493" s="417">
        <f>万相台!C322</f>
        <v>894298</v>
      </c>
      <c r="X493" s="417">
        <f>万相台!D322</f>
        <v>5334</v>
      </c>
      <c r="Y493" s="306">
        <f>万相台!G322+万相台!H322</f>
        <v>332</v>
      </c>
      <c r="AA493" s="68">
        <f t="shared" si="75"/>
        <v>5600</v>
      </c>
      <c r="AB493" s="69">
        <f t="shared" si="76"/>
        <v>5900.84</v>
      </c>
      <c r="AC493" s="70">
        <f t="shared" si="77"/>
        <v>465</v>
      </c>
      <c r="AD493" s="505">
        <f t="shared" si="78"/>
        <v>12.6899784946237</v>
      </c>
      <c r="AE493" s="506">
        <f t="shared" si="79"/>
        <v>0.0577926920208799</v>
      </c>
      <c r="AF493" s="69">
        <f t="shared" si="80"/>
        <v>8046</v>
      </c>
      <c r="AG493" s="71">
        <f t="shared" si="81"/>
        <v>0.733388018891375</v>
      </c>
      <c r="AH493" s="71">
        <f t="shared" si="82"/>
        <v>4.36859795371426</v>
      </c>
    </row>
    <row r="494" spans="1:34">
      <c r="A494" s="304">
        <v>45482</v>
      </c>
      <c r="B494" s="392">
        <v>400</v>
      </c>
      <c r="C494" s="176">
        <f t="shared" si="71"/>
        <v>0.0679361137096021</v>
      </c>
      <c r="D494" s="443">
        <f>明星店铺!B835</f>
        <v>414.68</v>
      </c>
      <c r="E494" s="404">
        <f>明星店铺!C835</f>
        <v>361</v>
      </c>
      <c r="F494" s="404">
        <f>明星店铺!D835</f>
        <v>156</v>
      </c>
      <c r="G494" s="325">
        <f>明星店铺!G835+明星店铺!H835</f>
        <v>37</v>
      </c>
      <c r="H494" s="392">
        <v>2200</v>
      </c>
      <c r="I494" s="176">
        <f t="shared" si="72"/>
        <v>0.412628174778054</v>
      </c>
      <c r="J494" s="443">
        <f>直通车!B835</f>
        <v>2518.67</v>
      </c>
      <c r="K494" s="399">
        <f>直通车!C835</f>
        <v>11779</v>
      </c>
      <c r="L494" s="511">
        <f>直通车!D835</f>
        <v>656</v>
      </c>
      <c r="M494" s="325">
        <f>直通车!G835+直通车!H835</f>
        <v>36</v>
      </c>
      <c r="N494" s="392">
        <v>500</v>
      </c>
      <c r="O494" s="176">
        <f t="shared" si="73"/>
        <v>0.0830787176214824</v>
      </c>
      <c r="P494" s="443">
        <f>引力魔方!B734</f>
        <v>507.11</v>
      </c>
      <c r="Q494" s="398">
        <f>引力魔方!C734</f>
        <v>398424</v>
      </c>
      <c r="R494" s="399">
        <f>引力魔方!D734</f>
        <v>1821</v>
      </c>
      <c r="S494" s="325">
        <f>引力魔方!G734+引力魔方!H734</f>
        <v>82</v>
      </c>
      <c r="T494" s="326">
        <v>2500</v>
      </c>
      <c r="U494" s="176">
        <f t="shared" si="74"/>
        <v>0.436356993890861</v>
      </c>
      <c r="V494" s="326">
        <f>万相台!B323</f>
        <v>2663.51</v>
      </c>
      <c r="W494" s="417">
        <f>万相台!C323</f>
        <v>1036940</v>
      </c>
      <c r="X494" s="417">
        <f>万相台!D323</f>
        <v>4663</v>
      </c>
      <c r="Y494" s="306">
        <f>万相台!G323+万相台!H323</f>
        <v>333</v>
      </c>
      <c r="AA494" s="68">
        <f t="shared" si="75"/>
        <v>5600</v>
      </c>
      <c r="AB494" s="69">
        <f t="shared" si="76"/>
        <v>6103.97</v>
      </c>
      <c r="AC494" s="70">
        <f t="shared" si="77"/>
        <v>488</v>
      </c>
      <c r="AD494" s="505">
        <f t="shared" si="78"/>
        <v>12.5081352459016</v>
      </c>
      <c r="AE494" s="506">
        <f t="shared" si="79"/>
        <v>0.0668859649122807</v>
      </c>
      <c r="AF494" s="69">
        <f t="shared" si="80"/>
        <v>7296</v>
      </c>
      <c r="AG494" s="71">
        <f t="shared" si="81"/>
        <v>0.836618695175439</v>
      </c>
      <c r="AH494" s="71">
        <f t="shared" si="82"/>
        <v>4.21689335573511</v>
      </c>
    </row>
    <row r="495" spans="1:34">
      <c r="A495" s="304">
        <v>45483</v>
      </c>
      <c r="B495" s="392">
        <v>400</v>
      </c>
      <c r="C495" s="176">
        <f t="shared" si="71"/>
        <v>0.0596043444415172</v>
      </c>
      <c r="D495" s="443">
        <f>明星店铺!B836</f>
        <v>400.45</v>
      </c>
      <c r="E495" s="404">
        <f>明星店铺!C836</f>
        <v>326</v>
      </c>
      <c r="F495" s="404">
        <f>明星店铺!D836</f>
        <v>143</v>
      </c>
      <c r="G495" s="325">
        <f>明星店铺!G836+明星店铺!H836</f>
        <v>29</v>
      </c>
      <c r="H495" s="392">
        <v>2200</v>
      </c>
      <c r="I495" s="176">
        <f t="shared" si="72"/>
        <v>0.37293014629819</v>
      </c>
      <c r="J495" s="443">
        <f>直通车!B836</f>
        <v>2505.52</v>
      </c>
      <c r="K495" s="399">
        <f>直通车!C836</f>
        <v>13858</v>
      </c>
      <c r="L495" s="511">
        <f>直通车!D836</f>
        <v>695</v>
      </c>
      <c r="M495" s="325">
        <f>直通车!G836+直通车!H836</f>
        <v>44</v>
      </c>
      <c r="N495" s="392">
        <v>500</v>
      </c>
      <c r="O495" s="176">
        <f t="shared" si="73"/>
        <v>0.0783868946352369</v>
      </c>
      <c r="P495" s="443">
        <f>引力魔方!B735</f>
        <v>526.64</v>
      </c>
      <c r="Q495" s="398">
        <f>引力魔方!C735</f>
        <v>372011</v>
      </c>
      <c r="R495" s="399">
        <f>引力魔方!D735</f>
        <v>1797</v>
      </c>
      <c r="S495" s="325">
        <f>引力魔方!G735+引力魔方!H735</f>
        <v>66</v>
      </c>
      <c r="T495" s="326">
        <v>2500</v>
      </c>
      <c r="U495" s="176">
        <f t="shared" si="74"/>
        <v>0.489078614625056</v>
      </c>
      <c r="V495" s="326">
        <f>万相台!B324</f>
        <v>3285.86</v>
      </c>
      <c r="W495" s="417">
        <f>万相台!C324</f>
        <v>1290338</v>
      </c>
      <c r="X495" s="417">
        <f>万相台!D324</f>
        <v>6032</v>
      </c>
      <c r="Y495" s="306">
        <f>万相台!G324+万相台!H324</f>
        <v>389</v>
      </c>
      <c r="AA495" s="68">
        <f t="shared" si="75"/>
        <v>5600</v>
      </c>
      <c r="AB495" s="69">
        <f t="shared" si="76"/>
        <v>6718.47</v>
      </c>
      <c r="AC495" s="70">
        <f t="shared" si="77"/>
        <v>528</v>
      </c>
      <c r="AD495" s="505">
        <f t="shared" si="78"/>
        <v>12.724375</v>
      </c>
      <c r="AE495" s="506">
        <f t="shared" si="79"/>
        <v>0.0609207338179301</v>
      </c>
      <c r="AF495" s="69">
        <f t="shared" si="80"/>
        <v>8667</v>
      </c>
      <c r="AG495" s="71">
        <f t="shared" si="81"/>
        <v>0.775178262374524</v>
      </c>
      <c r="AH495" s="71">
        <f t="shared" si="82"/>
        <v>4.00735923480182</v>
      </c>
    </row>
    <row r="496" spans="1:34">
      <c r="A496" s="304">
        <v>45484</v>
      </c>
      <c r="B496" s="392">
        <v>400</v>
      </c>
      <c r="C496" s="176">
        <f t="shared" si="71"/>
        <v>0.0606957024003185</v>
      </c>
      <c r="D496" s="443">
        <f>明星店铺!B837</f>
        <v>371.99</v>
      </c>
      <c r="E496" s="404">
        <f>明星店铺!C837</f>
        <v>314</v>
      </c>
      <c r="F496" s="404">
        <f>明星店铺!D837</f>
        <v>129</v>
      </c>
      <c r="G496" s="325">
        <f>明星店铺!G837+明星店铺!H837</f>
        <v>30</v>
      </c>
      <c r="H496" s="392">
        <v>2200</v>
      </c>
      <c r="I496" s="176">
        <f t="shared" si="72"/>
        <v>0.412360065722812</v>
      </c>
      <c r="J496" s="443">
        <f>直通车!B837</f>
        <v>2527.26</v>
      </c>
      <c r="K496" s="399">
        <f>直通车!C837</f>
        <v>11946</v>
      </c>
      <c r="L496" s="511">
        <f>直通车!D837</f>
        <v>683</v>
      </c>
      <c r="M496" s="325">
        <f>直通车!G837+直通车!H837</f>
        <v>36</v>
      </c>
      <c r="N496" s="392">
        <v>500</v>
      </c>
      <c r="O496" s="176">
        <f t="shared" si="73"/>
        <v>0.0799883173948443</v>
      </c>
      <c r="P496" s="443">
        <f>引力魔方!B736</f>
        <v>490.23</v>
      </c>
      <c r="Q496" s="398">
        <f>引力魔方!C736</f>
        <v>424938</v>
      </c>
      <c r="R496" s="399">
        <f>引力魔方!D736</f>
        <v>1893</v>
      </c>
      <c r="S496" s="325">
        <f>引力魔方!G736+引力魔方!H736</f>
        <v>70</v>
      </c>
      <c r="T496" s="326">
        <v>2500</v>
      </c>
      <c r="U496" s="176">
        <f t="shared" si="74"/>
        <v>0.446955914482025</v>
      </c>
      <c r="V496" s="326">
        <f>万相台!B325</f>
        <v>2739.29</v>
      </c>
      <c r="W496" s="417">
        <f>万相台!C325</f>
        <v>772268</v>
      </c>
      <c r="X496" s="417">
        <f>万相台!D325</f>
        <v>4147</v>
      </c>
      <c r="Y496" s="306">
        <f>万相台!G325+万相台!H325</f>
        <v>393</v>
      </c>
      <c r="AA496" s="68">
        <f t="shared" si="75"/>
        <v>5600</v>
      </c>
      <c r="AB496" s="69">
        <f t="shared" si="76"/>
        <v>6128.77</v>
      </c>
      <c r="AC496" s="70">
        <f t="shared" si="77"/>
        <v>529</v>
      </c>
      <c r="AD496" s="505">
        <f t="shared" si="78"/>
        <v>11.5855765595463</v>
      </c>
      <c r="AE496" s="506">
        <f t="shared" si="79"/>
        <v>0.0772037361354349</v>
      </c>
      <c r="AF496" s="69">
        <f t="shared" si="80"/>
        <v>6852</v>
      </c>
      <c r="AG496" s="71">
        <f t="shared" si="81"/>
        <v>0.894449795680093</v>
      </c>
      <c r="AH496" s="71">
        <f t="shared" si="82"/>
        <v>5.06733550178343</v>
      </c>
    </row>
    <row r="497" spans="1:34">
      <c r="A497" s="304">
        <v>45485</v>
      </c>
      <c r="B497" s="392">
        <v>400</v>
      </c>
      <c r="C497" s="176">
        <f t="shared" si="71"/>
        <v>0.074003515373021</v>
      </c>
      <c r="D497" s="443">
        <f>明星店铺!B838</f>
        <v>466.92</v>
      </c>
      <c r="E497" s="404">
        <f>明星店铺!C838</f>
        <v>385</v>
      </c>
      <c r="F497" s="404">
        <f>明星店铺!D838</f>
        <v>169</v>
      </c>
      <c r="G497" s="325">
        <f>明星店铺!G838+明星店铺!H838</f>
        <v>41</v>
      </c>
      <c r="H497" s="392">
        <v>2200</v>
      </c>
      <c r="I497" s="176">
        <f t="shared" si="72"/>
        <v>0.400120137635254</v>
      </c>
      <c r="J497" s="443">
        <f>直通车!B838</f>
        <v>2524.53</v>
      </c>
      <c r="K497" s="399">
        <f>直通车!C838</f>
        <v>11047</v>
      </c>
      <c r="L497" s="511">
        <f>直通车!D838</f>
        <v>647</v>
      </c>
      <c r="M497" s="325">
        <f>直通车!G838+直通车!H838</f>
        <v>44</v>
      </c>
      <c r="N497" s="392">
        <v>500</v>
      </c>
      <c r="O497" s="176">
        <f t="shared" si="73"/>
        <v>0.0783462214494812</v>
      </c>
      <c r="P497" s="443">
        <f>引力魔方!B737</f>
        <v>494.32</v>
      </c>
      <c r="Q497" s="398">
        <f>引力魔方!C737</f>
        <v>628255</v>
      </c>
      <c r="R497" s="399">
        <f>引力魔方!D737</f>
        <v>2108</v>
      </c>
      <c r="S497" s="325">
        <f>引力魔方!G737+引力魔方!H737</f>
        <v>79</v>
      </c>
      <c r="T497" s="326">
        <v>2500</v>
      </c>
      <c r="U497" s="176">
        <f t="shared" si="74"/>
        <v>0.447530125542244</v>
      </c>
      <c r="V497" s="326">
        <f>万相台!B326</f>
        <v>2823.66</v>
      </c>
      <c r="W497" s="417">
        <f>万相台!C326</f>
        <v>703362</v>
      </c>
      <c r="X497" s="417">
        <f>万相台!D326</f>
        <v>4485</v>
      </c>
      <c r="Y497" s="306">
        <f>万相台!G326+万相台!H326</f>
        <v>399</v>
      </c>
      <c r="AA497" s="68">
        <f t="shared" si="75"/>
        <v>5600</v>
      </c>
      <c r="AB497" s="69">
        <f t="shared" si="76"/>
        <v>6309.43</v>
      </c>
      <c r="AC497" s="70">
        <f t="shared" si="77"/>
        <v>563</v>
      </c>
      <c r="AD497" s="505">
        <f t="shared" si="78"/>
        <v>11.2068028419183</v>
      </c>
      <c r="AE497" s="506">
        <f t="shared" si="79"/>
        <v>0.0759886624375759</v>
      </c>
      <c r="AF497" s="69">
        <f t="shared" si="80"/>
        <v>7409</v>
      </c>
      <c r="AG497" s="71">
        <f t="shared" si="81"/>
        <v>0.851589958158996</v>
      </c>
      <c r="AH497" s="71">
        <f t="shared" si="82"/>
        <v>4.69784051065896</v>
      </c>
    </row>
    <row r="498" spans="1:34">
      <c r="A498" s="304">
        <v>45486</v>
      </c>
      <c r="B498" s="392">
        <v>400</v>
      </c>
      <c r="C498" s="176">
        <f t="shared" si="71"/>
        <v>0.0709853206131671</v>
      </c>
      <c r="D498" s="443">
        <f>明星店铺!B839</f>
        <v>480.67</v>
      </c>
      <c r="E498" s="404">
        <f>明星店铺!C839</f>
        <v>403</v>
      </c>
      <c r="F498" s="404">
        <f>明星店铺!D839</f>
        <v>166</v>
      </c>
      <c r="G498" s="325">
        <f>明星店铺!G839+明星店铺!H839</f>
        <v>30</v>
      </c>
      <c r="H498" s="392">
        <v>2200</v>
      </c>
      <c r="I498" s="176">
        <f t="shared" si="72"/>
        <v>0.375697787754379</v>
      </c>
      <c r="J498" s="443">
        <f>直通车!B839</f>
        <v>2544</v>
      </c>
      <c r="K498" s="399">
        <f>直通车!C839</f>
        <v>9084</v>
      </c>
      <c r="L498" s="511">
        <f>直通车!D839</f>
        <v>658</v>
      </c>
      <c r="M498" s="325">
        <f>直通车!G839+直通车!H839</f>
        <v>43</v>
      </c>
      <c r="N498" s="392">
        <v>500</v>
      </c>
      <c r="O498" s="176">
        <f t="shared" si="73"/>
        <v>0.0732064270313377</v>
      </c>
      <c r="P498" s="443">
        <f>引力魔方!B738</f>
        <v>495.71</v>
      </c>
      <c r="Q498" s="398">
        <f>引力魔方!C738</f>
        <v>496591</v>
      </c>
      <c r="R498" s="399">
        <f>引力魔方!D738</f>
        <v>2007</v>
      </c>
      <c r="S498" s="325">
        <f>引力魔方!G738+引力魔方!H738</f>
        <v>83</v>
      </c>
      <c r="T498" s="326">
        <v>2500</v>
      </c>
      <c r="U498" s="176">
        <f t="shared" si="74"/>
        <v>0.480110464601117</v>
      </c>
      <c r="V498" s="326">
        <f>万相台!B327</f>
        <v>3251.02</v>
      </c>
      <c r="W498" s="417">
        <f>万相台!C327</f>
        <v>989633</v>
      </c>
      <c r="X498" s="417">
        <f>万相台!D327</f>
        <v>5981</v>
      </c>
      <c r="Y498" s="306">
        <f>万相台!G327+万相台!H327</f>
        <v>485</v>
      </c>
      <c r="AA498" s="68">
        <f t="shared" si="75"/>
        <v>5600</v>
      </c>
      <c r="AB498" s="69">
        <f t="shared" si="76"/>
        <v>6771.4</v>
      </c>
      <c r="AC498" s="70">
        <f t="shared" si="77"/>
        <v>641</v>
      </c>
      <c r="AD498" s="505">
        <f t="shared" si="78"/>
        <v>10.5638065522621</v>
      </c>
      <c r="AE498" s="506">
        <f t="shared" si="79"/>
        <v>0.0727417158420336</v>
      </c>
      <c r="AF498" s="69">
        <f t="shared" si="80"/>
        <v>8812</v>
      </c>
      <c r="AG498" s="71">
        <f t="shared" si="81"/>
        <v>0.768429414434861</v>
      </c>
      <c r="AH498" s="71">
        <f t="shared" si="82"/>
        <v>4.52721147333943</v>
      </c>
    </row>
    <row r="499" spans="1:34">
      <c r="A499" s="304">
        <v>45487</v>
      </c>
      <c r="B499" s="392">
        <v>400</v>
      </c>
      <c r="C499" s="176">
        <f t="shared" si="71"/>
        <v>0.0660841677024965</v>
      </c>
      <c r="D499" s="443">
        <f>明星店铺!B840</f>
        <v>434.36</v>
      </c>
      <c r="E499" s="404">
        <f>明星店铺!C840</f>
        <v>370</v>
      </c>
      <c r="F499" s="404">
        <f>明星店铺!D840</f>
        <v>133</v>
      </c>
      <c r="G499" s="325">
        <f>明星店铺!G840+明星店铺!H840</f>
        <v>34</v>
      </c>
      <c r="H499" s="392">
        <v>2200</v>
      </c>
      <c r="I499" s="176">
        <f t="shared" si="72"/>
        <v>0.387047892612467</v>
      </c>
      <c r="J499" s="443">
        <f>直通车!B840</f>
        <v>2544</v>
      </c>
      <c r="K499" s="399">
        <f>直通车!C840</f>
        <v>9931</v>
      </c>
      <c r="L499" s="511">
        <f>直通车!D840</f>
        <v>675</v>
      </c>
      <c r="M499" s="325">
        <f>直通车!G840+直通车!H840</f>
        <v>45</v>
      </c>
      <c r="N499" s="392">
        <v>500</v>
      </c>
      <c r="O499" s="176">
        <f t="shared" si="73"/>
        <v>0.0757923147259248</v>
      </c>
      <c r="P499" s="443">
        <f>引力魔方!B739</f>
        <v>498.17</v>
      </c>
      <c r="Q499" s="398">
        <f>引力魔方!C739</f>
        <v>625415</v>
      </c>
      <c r="R499" s="399">
        <f>引力魔方!D739</f>
        <v>2037</v>
      </c>
      <c r="S499" s="325">
        <f>引力魔方!G739+引力魔方!H739</f>
        <v>81</v>
      </c>
      <c r="T499" s="326">
        <v>2500</v>
      </c>
      <c r="U499" s="176">
        <f t="shared" si="74"/>
        <v>0.471075624959112</v>
      </c>
      <c r="V499" s="326">
        <f>万相台!B328</f>
        <v>3096.3</v>
      </c>
      <c r="W499" s="417">
        <f>万相台!C328</f>
        <v>1371079</v>
      </c>
      <c r="X499" s="417">
        <f>万相台!D328</f>
        <v>5869</v>
      </c>
      <c r="Y499" s="306">
        <f>万相台!G328+万相台!H328</f>
        <v>444</v>
      </c>
      <c r="AA499" s="68">
        <f t="shared" si="75"/>
        <v>5600</v>
      </c>
      <c r="AB499" s="69">
        <f t="shared" si="76"/>
        <v>6572.83</v>
      </c>
      <c r="AC499" s="70">
        <f t="shared" si="77"/>
        <v>604</v>
      </c>
      <c r="AD499" s="505">
        <f t="shared" si="78"/>
        <v>10.8821688741722</v>
      </c>
      <c r="AE499" s="506">
        <f t="shared" si="79"/>
        <v>0.0693137479917374</v>
      </c>
      <c r="AF499" s="69">
        <f t="shared" si="80"/>
        <v>8714</v>
      </c>
      <c r="AG499" s="71">
        <f t="shared" si="81"/>
        <v>0.7542839109479</v>
      </c>
      <c r="AH499" s="71">
        <f t="shared" si="82"/>
        <v>3.27528721169825</v>
      </c>
    </row>
    <row r="500" spans="1:34">
      <c r="A500" s="304">
        <v>45488</v>
      </c>
      <c r="B500" s="392">
        <v>400</v>
      </c>
      <c r="C500" s="176">
        <f t="shared" si="71"/>
        <v>0.0782427744059592</v>
      </c>
      <c r="D500" s="443">
        <f>明星店铺!B841</f>
        <v>450.82</v>
      </c>
      <c r="E500" s="404">
        <f>明星店铺!C841</f>
        <v>398</v>
      </c>
      <c r="F500" s="404">
        <f>明星店铺!D841</f>
        <v>170</v>
      </c>
      <c r="G500" s="325">
        <f>明星店铺!G841+明星店铺!H841</f>
        <v>37</v>
      </c>
      <c r="H500" s="392">
        <v>2200</v>
      </c>
      <c r="I500" s="176">
        <f t="shared" si="72"/>
        <v>0.430559147212421</v>
      </c>
      <c r="J500" s="443">
        <f>直通车!B841</f>
        <v>2480.8</v>
      </c>
      <c r="K500" s="399">
        <f>直通车!C841</f>
        <v>10219</v>
      </c>
      <c r="L500" s="511">
        <f>直通车!D841</f>
        <v>634</v>
      </c>
      <c r="M500" s="325">
        <f>直通车!G841+直通车!H841</f>
        <v>35</v>
      </c>
      <c r="N500" s="392">
        <v>500</v>
      </c>
      <c r="O500" s="176">
        <f t="shared" si="73"/>
        <v>0.0734595552439251</v>
      </c>
      <c r="P500" s="443">
        <f>引力魔方!B740</f>
        <v>423.26</v>
      </c>
      <c r="Q500" s="398">
        <f>引力魔方!C740</f>
        <v>461904</v>
      </c>
      <c r="R500" s="399">
        <f>引力魔方!D740</f>
        <v>1712</v>
      </c>
      <c r="S500" s="325">
        <f>引力魔方!G740+引力魔方!H740</f>
        <v>68</v>
      </c>
      <c r="T500" s="326">
        <v>2500</v>
      </c>
      <c r="U500" s="176">
        <f t="shared" si="74"/>
        <v>0.417738523137695</v>
      </c>
      <c r="V500" s="326">
        <f>万相台!B329</f>
        <v>2406.93</v>
      </c>
      <c r="W500" s="417">
        <f>万相台!C329</f>
        <v>1618946</v>
      </c>
      <c r="X500" s="417">
        <f>万相台!D329</f>
        <v>5130</v>
      </c>
      <c r="Y500" s="306">
        <f>万相台!G329+万相台!H329</f>
        <v>320</v>
      </c>
      <c r="AA500" s="68">
        <f t="shared" si="75"/>
        <v>5600</v>
      </c>
      <c r="AB500" s="69">
        <f t="shared" si="76"/>
        <v>5761.81</v>
      </c>
      <c r="AC500" s="70">
        <f t="shared" si="77"/>
        <v>460</v>
      </c>
      <c r="AD500" s="505">
        <f t="shared" si="78"/>
        <v>12.5256739130435</v>
      </c>
      <c r="AE500" s="506">
        <f t="shared" si="79"/>
        <v>0.060162176301334</v>
      </c>
      <c r="AF500" s="69">
        <f t="shared" si="80"/>
        <v>7646</v>
      </c>
      <c r="AG500" s="71">
        <f t="shared" si="81"/>
        <v>0.753571802249542</v>
      </c>
      <c r="AH500" s="71">
        <f t="shared" si="82"/>
        <v>2.75491317816633</v>
      </c>
    </row>
    <row r="501" spans="1:34">
      <c r="A501" s="304">
        <v>45489</v>
      </c>
      <c r="B501" s="392">
        <v>400</v>
      </c>
      <c r="C501" s="176">
        <f t="shared" si="71"/>
        <v>0.104226302922029</v>
      </c>
      <c r="D501" s="443">
        <f>明星店铺!B842</f>
        <v>558.9</v>
      </c>
      <c r="E501" s="404">
        <f>明星店铺!C842</f>
        <v>467</v>
      </c>
      <c r="F501" s="404">
        <f>明星店铺!D842</f>
        <v>195</v>
      </c>
      <c r="G501" s="325">
        <f>明星店铺!G842+明星店铺!H842</f>
        <v>47</v>
      </c>
      <c r="H501" s="392">
        <v>2200</v>
      </c>
      <c r="I501" s="176">
        <f t="shared" si="72"/>
        <v>0.438904812610842</v>
      </c>
      <c r="J501" s="443">
        <f>直通车!B842</f>
        <v>2353.57</v>
      </c>
      <c r="K501" s="399">
        <f>直通车!C842</f>
        <v>8677</v>
      </c>
      <c r="L501" s="511">
        <f>直通车!D842</f>
        <v>645</v>
      </c>
      <c r="M501" s="325">
        <f>直通车!G842+直通车!H842</f>
        <v>46</v>
      </c>
      <c r="N501" s="392">
        <v>500</v>
      </c>
      <c r="O501" s="176">
        <f t="shared" si="73"/>
        <v>0.0792131091289859</v>
      </c>
      <c r="P501" s="443">
        <f>引力魔方!B741</f>
        <v>424.77</v>
      </c>
      <c r="Q501" s="398">
        <f>引力魔方!C741</f>
        <v>571384</v>
      </c>
      <c r="R501" s="399">
        <f>引力魔方!D741</f>
        <v>1768</v>
      </c>
      <c r="S501" s="325">
        <f>引力魔方!G741+引力魔方!H741</f>
        <v>61</v>
      </c>
      <c r="T501" s="326">
        <v>2500</v>
      </c>
      <c r="U501" s="176">
        <f t="shared" si="74"/>
        <v>0.377655775338143</v>
      </c>
      <c r="V501" s="326">
        <f>万相台!B330</f>
        <v>2025.13</v>
      </c>
      <c r="W501" s="417">
        <f>万相台!C330</f>
        <v>450861</v>
      </c>
      <c r="X501" s="417">
        <f>万相台!D330</f>
        <v>2882</v>
      </c>
      <c r="Y501" s="306">
        <f>万相台!G330+万相台!H330</f>
        <v>282</v>
      </c>
      <c r="AA501" s="68">
        <f t="shared" si="75"/>
        <v>5600</v>
      </c>
      <c r="AB501" s="69">
        <f t="shared" si="76"/>
        <v>5362.37</v>
      </c>
      <c r="AC501" s="70">
        <f t="shared" si="77"/>
        <v>436</v>
      </c>
      <c r="AD501" s="505">
        <f t="shared" si="78"/>
        <v>12.2990137614679</v>
      </c>
      <c r="AE501" s="506">
        <f t="shared" si="79"/>
        <v>0.0794171220400729</v>
      </c>
      <c r="AF501" s="69">
        <f t="shared" si="80"/>
        <v>5490</v>
      </c>
      <c r="AG501" s="71">
        <f t="shared" si="81"/>
        <v>0.976752276867031</v>
      </c>
      <c r="AH501" s="71">
        <f t="shared" si="82"/>
        <v>5.19917315387308</v>
      </c>
    </row>
    <row r="502" spans="1:34">
      <c r="A502" s="304">
        <v>45490</v>
      </c>
      <c r="B502" s="392">
        <v>400</v>
      </c>
      <c r="C502" s="176">
        <f t="shared" si="71"/>
        <v>0.107776369658854</v>
      </c>
      <c r="D502" s="443">
        <f>明星店铺!B843</f>
        <v>545.98</v>
      </c>
      <c r="E502" s="404">
        <f>明星店铺!C843</f>
        <v>469</v>
      </c>
      <c r="F502" s="404">
        <f>明星店铺!D843</f>
        <v>159</v>
      </c>
      <c r="G502" s="325">
        <f>明星店铺!G843+明星店铺!H843</f>
        <v>22</v>
      </c>
      <c r="H502" s="392">
        <v>2200</v>
      </c>
      <c r="I502" s="176">
        <f t="shared" si="72"/>
        <v>0.426470530176515</v>
      </c>
      <c r="J502" s="443">
        <f>直通车!B843</f>
        <v>2160.44</v>
      </c>
      <c r="K502" s="399">
        <f>直通车!C843</f>
        <v>7515</v>
      </c>
      <c r="L502" s="511">
        <f>直通车!D843</f>
        <v>617</v>
      </c>
      <c r="M502" s="325">
        <f>直通车!G843+直通车!H843</f>
        <v>28</v>
      </c>
      <c r="N502" s="392">
        <v>500</v>
      </c>
      <c r="O502" s="176">
        <f t="shared" si="73"/>
        <v>0.0835277721847821</v>
      </c>
      <c r="P502" s="443">
        <f>引力魔方!B742</f>
        <v>423.14</v>
      </c>
      <c r="Q502" s="398">
        <f>引力魔方!C742</f>
        <v>502021</v>
      </c>
      <c r="R502" s="399">
        <f>引力魔方!D742</f>
        <v>1836</v>
      </c>
      <c r="S502" s="325">
        <f>引力魔方!G742+引力魔方!H742</f>
        <v>55</v>
      </c>
      <c r="T502" s="326">
        <v>2500</v>
      </c>
      <c r="U502" s="176">
        <f t="shared" si="74"/>
        <v>0.382225327979849</v>
      </c>
      <c r="V502" s="326">
        <f>万相台!B331</f>
        <v>1936.3</v>
      </c>
      <c r="W502" s="417">
        <f>万相台!C331</f>
        <v>389425</v>
      </c>
      <c r="X502" s="417">
        <f>万相台!D331</f>
        <v>2533</v>
      </c>
      <c r="Y502" s="306">
        <f>万相台!G331+万相台!H331</f>
        <v>304</v>
      </c>
      <c r="AA502" s="68">
        <f t="shared" si="75"/>
        <v>5600</v>
      </c>
      <c r="AB502" s="69">
        <f t="shared" si="76"/>
        <v>5065.86</v>
      </c>
      <c r="AC502" s="70">
        <f t="shared" si="77"/>
        <v>409</v>
      </c>
      <c r="AD502" s="505">
        <f t="shared" si="78"/>
        <v>12.3859657701711</v>
      </c>
      <c r="AE502" s="506">
        <f t="shared" si="79"/>
        <v>0.0794946550048591</v>
      </c>
      <c r="AF502" s="69">
        <f t="shared" si="80"/>
        <v>5145</v>
      </c>
      <c r="AG502" s="71">
        <f t="shared" si="81"/>
        <v>0.984618075801749</v>
      </c>
      <c r="AH502" s="71">
        <f t="shared" si="82"/>
        <v>5.63230045695607</v>
      </c>
    </row>
    <row r="503" spans="1:34">
      <c r="A503" s="304">
        <v>45491</v>
      </c>
      <c r="B503" s="392">
        <v>400</v>
      </c>
      <c r="C503" s="176">
        <f t="shared" si="71"/>
        <v>0.108537806459865</v>
      </c>
      <c r="D503" s="443">
        <f>明星店铺!B844</f>
        <v>543.07</v>
      </c>
      <c r="E503" s="404">
        <f>明星店铺!C844</f>
        <v>451</v>
      </c>
      <c r="F503" s="404">
        <f>明星店铺!D844</f>
        <v>177</v>
      </c>
      <c r="G503" s="325">
        <f>明星店铺!G844+明星店铺!H844</f>
        <v>32</v>
      </c>
      <c r="H503" s="392">
        <v>2200</v>
      </c>
      <c r="I503" s="176">
        <f t="shared" si="72"/>
        <v>0.429800280203297</v>
      </c>
      <c r="J503" s="443">
        <f>直通车!B844</f>
        <v>2150.51</v>
      </c>
      <c r="K503" s="399">
        <f>直通车!C844</f>
        <v>7974</v>
      </c>
      <c r="L503" s="511">
        <f>直通车!D844</f>
        <v>662</v>
      </c>
      <c r="M503" s="325">
        <f>直通车!G844+直通车!H844</f>
        <v>32</v>
      </c>
      <c r="N503" s="392">
        <v>500</v>
      </c>
      <c r="O503" s="176">
        <f t="shared" si="73"/>
        <v>0.0830616906931334</v>
      </c>
      <c r="P503" s="443">
        <f>引力魔方!B743</f>
        <v>415.6</v>
      </c>
      <c r="Q503" s="398">
        <f>引力魔方!C743</f>
        <v>381674</v>
      </c>
      <c r="R503" s="399">
        <f>引力魔方!D743</f>
        <v>1519</v>
      </c>
      <c r="S503" s="325">
        <f>引力魔方!G743+引力魔方!H743</f>
        <v>57</v>
      </c>
      <c r="T503" s="326">
        <v>2500</v>
      </c>
      <c r="U503" s="176">
        <f t="shared" si="74"/>
        <v>0.378600222643704</v>
      </c>
      <c r="V503" s="326">
        <f>万相台!B332</f>
        <v>1894.33</v>
      </c>
      <c r="W503" s="417">
        <f>万相台!C332</f>
        <v>220892</v>
      </c>
      <c r="X503" s="417">
        <f>万相台!D332</f>
        <v>1816</v>
      </c>
      <c r="Y503" s="306">
        <f>万相台!G332+万相台!H332</f>
        <v>293</v>
      </c>
      <c r="AA503" s="68">
        <f t="shared" si="75"/>
        <v>5600</v>
      </c>
      <c r="AB503" s="69">
        <f t="shared" si="76"/>
        <v>5003.51</v>
      </c>
      <c r="AC503" s="70">
        <f t="shared" si="77"/>
        <v>414</v>
      </c>
      <c r="AD503" s="505">
        <f t="shared" si="78"/>
        <v>12.0857729468599</v>
      </c>
      <c r="AE503" s="506">
        <f t="shared" si="79"/>
        <v>0.0991854336367992</v>
      </c>
      <c r="AF503" s="69">
        <f t="shared" si="80"/>
        <v>4174</v>
      </c>
      <c r="AG503" s="71">
        <f t="shared" si="81"/>
        <v>1.1987326305702</v>
      </c>
      <c r="AH503" s="71">
        <f t="shared" si="82"/>
        <v>8.18917136258963</v>
      </c>
    </row>
    <row r="504" spans="1:34">
      <c r="A504" s="304">
        <v>45492</v>
      </c>
      <c r="B504" s="392">
        <v>400</v>
      </c>
      <c r="C504" s="176">
        <f t="shared" si="71"/>
        <v>0.0925698881789137</v>
      </c>
      <c r="D504" s="443">
        <f>明星店铺!B845</f>
        <v>463.59</v>
      </c>
      <c r="E504" s="404">
        <f>明星店铺!C845</f>
        <v>417</v>
      </c>
      <c r="F504" s="404">
        <f>明星店铺!D845</f>
        <v>211</v>
      </c>
      <c r="G504" s="325">
        <f>明星店铺!G845+明星店铺!H845</f>
        <v>38</v>
      </c>
      <c r="H504" s="392">
        <v>2200</v>
      </c>
      <c r="I504" s="176">
        <f t="shared" si="72"/>
        <v>0.430533146964856</v>
      </c>
      <c r="J504" s="443">
        <f>直通车!B845</f>
        <v>2156.11</v>
      </c>
      <c r="K504" s="399">
        <f>直通车!C845</f>
        <v>7816</v>
      </c>
      <c r="L504" s="511">
        <f>直通车!D845</f>
        <v>607</v>
      </c>
      <c r="M504" s="325">
        <f>直通车!G845+直通车!H845</f>
        <v>48</v>
      </c>
      <c r="N504" s="392">
        <v>500</v>
      </c>
      <c r="O504" s="176">
        <f t="shared" si="73"/>
        <v>0.0844049520766773</v>
      </c>
      <c r="P504" s="443">
        <f>引力魔方!B744</f>
        <v>422.7</v>
      </c>
      <c r="Q504" s="398">
        <f>引力魔方!C744</f>
        <v>452990</v>
      </c>
      <c r="R504" s="399">
        <f>引力魔方!D744</f>
        <v>1758</v>
      </c>
      <c r="S504" s="325">
        <f>引力魔方!G744+引力魔方!H744</f>
        <v>57</v>
      </c>
      <c r="T504" s="326">
        <v>2500</v>
      </c>
      <c r="U504" s="176">
        <f t="shared" si="74"/>
        <v>0.392492012779553</v>
      </c>
      <c r="V504" s="326">
        <f>万相台!B333</f>
        <v>1965.6</v>
      </c>
      <c r="W504" s="417">
        <f>万相台!C333</f>
        <v>239850</v>
      </c>
      <c r="X504" s="417">
        <f>万相台!D333</f>
        <v>2005</v>
      </c>
      <c r="Y504" s="306">
        <f>万相台!G333+万相台!H333</f>
        <v>333</v>
      </c>
      <c r="AA504" s="68">
        <f t="shared" si="75"/>
        <v>5600</v>
      </c>
      <c r="AB504" s="69">
        <f t="shared" si="76"/>
        <v>5008</v>
      </c>
      <c r="AC504" s="70">
        <f t="shared" si="77"/>
        <v>476</v>
      </c>
      <c r="AD504" s="505">
        <f t="shared" si="78"/>
        <v>10.5210084033613</v>
      </c>
      <c r="AE504" s="506">
        <f t="shared" si="79"/>
        <v>0.103907443789566</v>
      </c>
      <c r="AF504" s="69">
        <f t="shared" si="80"/>
        <v>4581</v>
      </c>
      <c r="AG504" s="71">
        <f t="shared" si="81"/>
        <v>1.09321108928182</v>
      </c>
      <c r="AH504" s="71">
        <f t="shared" si="82"/>
        <v>7.14333600067325</v>
      </c>
    </row>
    <row r="505" spans="1:34">
      <c r="A505" s="304">
        <v>45493</v>
      </c>
      <c r="B505" s="392">
        <v>400</v>
      </c>
      <c r="C505" s="176">
        <f t="shared" si="71"/>
        <v>0.108369124125626</v>
      </c>
      <c r="D505" s="443">
        <f>明星店铺!B846</f>
        <v>549.05</v>
      </c>
      <c r="E505" s="404">
        <f>明星店铺!C846</f>
        <v>441</v>
      </c>
      <c r="F505" s="404">
        <f>明星店铺!D846</f>
        <v>169</v>
      </c>
      <c r="G505" s="325">
        <f>明星店铺!G846+明星店铺!H846</f>
        <v>28</v>
      </c>
      <c r="H505" s="392">
        <v>2200</v>
      </c>
      <c r="I505" s="176">
        <f t="shared" si="72"/>
        <v>0.422332664887654</v>
      </c>
      <c r="J505" s="443">
        <f>直通车!B846</f>
        <v>2139.74</v>
      </c>
      <c r="K505" s="399">
        <f>直通车!C846</f>
        <v>6579</v>
      </c>
      <c r="L505" s="511">
        <f>直通车!D846</f>
        <v>583</v>
      </c>
      <c r="M505" s="325">
        <f>直通车!G846+直通车!H846</f>
        <v>52</v>
      </c>
      <c r="N505" s="392">
        <v>500</v>
      </c>
      <c r="O505" s="176">
        <f t="shared" si="73"/>
        <v>0.0823786928992121</v>
      </c>
      <c r="P505" s="443">
        <f>引力魔方!B745</f>
        <v>417.37</v>
      </c>
      <c r="Q505" s="398">
        <f>引力魔方!C745</f>
        <v>522324</v>
      </c>
      <c r="R505" s="399">
        <f>引力魔方!D745</f>
        <v>1852</v>
      </c>
      <c r="S505" s="325">
        <f>引力魔方!G745+引力魔方!H745</f>
        <v>63</v>
      </c>
      <c r="T505" s="326">
        <v>2500</v>
      </c>
      <c r="U505" s="176">
        <f t="shared" si="74"/>
        <v>0.386919518087509</v>
      </c>
      <c r="V505" s="326">
        <f>万相台!B334</f>
        <v>1960.32</v>
      </c>
      <c r="W505" s="417">
        <f>万相台!C334</f>
        <v>187410</v>
      </c>
      <c r="X505" s="417">
        <f>万相台!D334</f>
        <v>2063</v>
      </c>
      <c r="Y505" s="306">
        <f>万相台!G334+万相台!H334</f>
        <v>339</v>
      </c>
      <c r="AA505" s="68">
        <f t="shared" si="75"/>
        <v>5600</v>
      </c>
      <c r="AB505" s="69">
        <f t="shared" si="76"/>
        <v>5066.48</v>
      </c>
      <c r="AC505" s="70">
        <f t="shared" si="77"/>
        <v>482</v>
      </c>
      <c r="AD505" s="505">
        <f t="shared" si="78"/>
        <v>10.5113692946058</v>
      </c>
      <c r="AE505" s="506">
        <f t="shared" si="79"/>
        <v>0.103278337261624</v>
      </c>
      <c r="AF505" s="69">
        <f t="shared" si="80"/>
        <v>4667</v>
      </c>
      <c r="AG505" s="71">
        <f t="shared" si="81"/>
        <v>1.08559674308978</v>
      </c>
      <c r="AH505" s="71">
        <f t="shared" si="82"/>
        <v>7.06864558830505</v>
      </c>
    </row>
    <row r="506" spans="1:34">
      <c r="A506" s="304">
        <v>45494</v>
      </c>
      <c r="B506" s="392">
        <v>400</v>
      </c>
      <c r="C506" s="176">
        <f t="shared" si="71"/>
        <v>0.119828823314594</v>
      </c>
      <c r="D506" s="443">
        <f>明星店铺!B847</f>
        <v>698.91</v>
      </c>
      <c r="E506" s="404">
        <f>明星店铺!C847</f>
        <v>608</v>
      </c>
      <c r="F506" s="404">
        <f>明星店铺!D847</f>
        <v>267</v>
      </c>
      <c r="G506" s="325">
        <f>明星店铺!G847+明星店铺!H847</f>
        <v>62</v>
      </c>
      <c r="H506" s="392">
        <v>2200</v>
      </c>
      <c r="I506" s="176">
        <f t="shared" si="72"/>
        <v>0.372563038249005</v>
      </c>
      <c r="J506" s="443">
        <f>直通车!B847</f>
        <v>2173</v>
      </c>
      <c r="K506" s="399">
        <f>直通车!C847</f>
        <v>5445</v>
      </c>
      <c r="L506" s="511">
        <f>直通车!D847</f>
        <v>650</v>
      </c>
      <c r="M506" s="325">
        <f>直通车!G847+直通车!H847</f>
        <v>50</v>
      </c>
      <c r="N506" s="392">
        <v>500</v>
      </c>
      <c r="O506" s="176">
        <f t="shared" si="73"/>
        <v>0.0718722621417317</v>
      </c>
      <c r="P506" s="443">
        <f>引力魔方!B746</f>
        <v>419.2</v>
      </c>
      <c r="Q506" s="398">
        <f>引力魔方!C746</f>
        <v>528409</v>
      </c>
      <c r="R506" s="399">
        <f>引力魔方!D746</f>
        <v>1877</v>
      </c>
      <c r="S506" s="325">
        <f>引力魔方!G746+引力魔方!H746</f>
        <v>64</v>
      </c>
      <c r="T506" s="326">
        <v>2500</v>
      </c>
      <c r="U506" s="176">
        <f t="shared" si="74"/>
        <v>0.435735876294669</v>
      </c>
      <c r="V506" s="326">
        <f>万相台!B335</f>
        <v>2541.46</v>
      </c>
      <c r="W506" s="417">
        <f>万相台!C335</f>
        <v>238699</v>
      </c>
      <c r="X506" s="417">
        <f>万相台!D335</f>
        <v>3888</v>
      </c>
      <c r="Y506" s="306">
        <f>万相台!G335+万相台!H335</f>
        <v>377</v>
      </c>
      <c r="AA506" s="68">
        <f t="shared" si="75"/>
        <v>5600</v>
      </c>
      <c r="AB506" s="69">
        <f t="shared" si="76"/>
        <v>5832.57</v>
      </c>
      <c r="AC506" s="70">
        <f t="shared" si="77"/>
        <v>553</v>
      </c>
      <c r="AD506" s="505">
        <f t="shared" si="78"/>
        <v>10.5471428571429</v>
      </c>
      <c r="AE506" s="506">
        <f t="shared" si="79"/>
        <v>0.0827596527985633</v>
      </c>
      <c r="AF506" s="69">
        <f t="shared" si="80"/>
        <v>6682</v>
      </c>
      <c r="AG506" s="71">
        <f t="shared" si="81"/>
        <v>0.87287788087399</v>
      </c>
      <c r="AH506" s="71">
        <f t="shared" si="82"/>
        <v>7.54379747555813</v>
      </c>
    </row>
    <row r="507" spans="1:34">
      <c r="A507" s="304">
        <v>45495</v>
      </c>
      <c r="B507" s="392">
        <v>400</v>
      </c>
      <c r="C507" s="176">
        <f t="shared" si="71"/>
        <v>0.111020944500182</v>
      </c>
      <c r="D507" s="443">
        <f>明星店铺!B848</f>
        <v>625.22</v>
      </c>
      <c r="E507" s="404">
        <f>明星店铺!C848</f>
        <v>512</v>
      </c>
      <c r="F507" s="404">
        <f>明星店铺!D848</f>
        <v>201</v>
      </c>
      <c r="G507" s="325">
        <f>明星店铺!G848+明星店铺!H848</f>
        <v>43</v>
      </c>
      <c r="H507" s="392">
        <v>2200</v>
      </c>
      <c r="I507" s="176">
        <f t="shared" si="72"/>
        <v>0.379714288251014</v>
      </c>
      <c r="J507" s="443">
        <f>直通车!B848</f>
        <v>2138.38</v>
      </c>
      <c r="K507" s="399">
        <f>直通车!C848</f>
        <v>5916</v>
      </c>
      <c r="L507" s="511">
        <f>直通车!D848</f>
        <v>646</v>
      </c>
      <c r="M507" s="325">
        <f>直通车!G848+直通车!H848</f>
        <v>41</v>
      </c>
      <c r="N507" s="392">
        <v>500</v>
      </c>
      <c r="O507" s="176">
        <f t="shared" si="73"/>
        <v>0.0730971047047438</v>
      </c>
      <c r="P507" s="443">
        <f>引力魔方!B747</f>
        <v>411.65</v>
      </c>
      <c r="Q507" s="398">
        <f>引力魔方!C747</f>
        <v>457942</v>
      </c>
      <c r="R507" s="399">
        <f>引力魔方!D747</f>
        <v>1708</v>
      </c>
      <c r="S507" s="325">
        <f>引力魔方!G747+引力魔方!H747</f>
        <v>61</v>
      </c>
      <c r="T507" s="326">
        <v>2500</v>
      </c>
      <c r="U507" s="176">
        <f t="shared" si="74"/>
        <v>0.43616766254406</v>
      </c>
      <c r="V507" s="326">
        <f>万相台!B336</f>
        <v>2456.3</v>
      </c>
      <c r="W507" s="417">
        <f>万相台!C336</f>
        <v>252032</v>
      </c>
      <c r="X507" s="417">
        <f>万相台!D336</f>
        <v>3368</v>
      </c>
      <c r="Y507" s="306">
        <f>万相台!G336+万相台!H336</f>
        <v>308</v>
      </c>
      <c r="AA507" s="68">
        <f t="shared" si="75"/>
        <v>5600</v>
      </c>
      <c r="AB507" s="69">
        <f t="shared" si="76"/>
        <v>5631.55</v>
      </c>
      <c r="AC507" s="70">
        <f t="shared" si="77"/>
        <v>453</v>
      </c>
      <c r="AD507" s="505">
        <f t="shared" si="78"/>
        <v>12.4316777041943</v>
      </c>
      <c r="AE507" s="506">
        <f t="shared" si="79"/>
        <v>0.0764815127469188</v>
      </c>
      <c r="AF507" s="69">
        <f t="shared" si="80"/>
        <v>5923</v>
      </c>
      <c r="AG507" s="71">
        <f t="shared" si="81"/>
        <v>0.95079351679892</v>
      </c>
      <c r="AH507" s="71">
        <f t="shared" si="82"/>
        <v>7.8608797853719</v>
      </c>
    </row>
    <row r="508" spans="1:34">
      <c r="A508" s="304">
        <v>45496</v>
      </c>
      <c r="B508" s="392">
        <v>400</v>
      </c>
      <c r="C508" s="176">
        <f t="shared" si="71"/>
        <v>0.0923246840287279</v>
      </c>
      <c r="D508" s="443">
        <f>明星店铺!B849</f>
        <v>465.61</v>
      </c>
      <c r="E508" s="404">
        <f>明星店铺!C849</f>
        <v>397</v>
      </c>
      <c r="F508" s="404">
        <f>明星店铺!D849</f>
        <v>160</v>
      </c>
      <c r="G508" s="325">
        <f>明星店铺!G849+明星店铺!H849</f>
        <v>23</v>
      </c>
      <c r="H508" s="392">
        <v>2200</v>
      </c>
      <c r="I508" s="176">
        <f t="shared" si="72"/>
        <v>0.430551755043445</v>
      </c>
      <c r="J508" s="443">
        <f>直通车!B849</f>
        <v>2171.35</v>
      </c>
      <c r="K508" s="399">
        <f>直通车!C849</f>
        <v>5752</v>
      </c>
      <c r="L508" s="511">
        <f>直通车!D849</f>
        <v>581</v>
      </c>
      <c r="M508" s="325">
        <f>直通车!G849+直通车!H849</f>
        <v>29</v>
      </c>
      <c r="N508" s="392">
        <v>500</v>
      </c>
      <c r="O508" s="176">
        <f t="shared" si="73"/>
        <v>0.0837051225615584</v>
      </c>
      <c r="P508" s="443">
        <f>引力魔方!B748</f>
        <v>422.14</v>
      </c>
      <c r="Q508" s="398">
        <f>引力魔方!C748</f>
        <v>462924</v>
      </c>
      <c r="R508" s="399">
        <f>引力魔方!D748</f>
        <v>1701</v>
      </c>
      <c r="S508" s="325">
        <f>引力魔方!G748+引力魔方!H748</f>
        <v>44</v>
      </c>
      <c r="T508" s="326">
        <v>2500</v>
      </c>
      <c r="U508" s="176">
        <f t="shared" si="74"/>
        <v>0.393418438366269</v>
      </c>
      <c r="V508" s="326">
        <f>万相台!B337</f>
        <v>1984.08</v>
      </c>
      <c r="W508" s="417">
        <f>万相台!C337</f>
        <v>187831</v>
      </c>
      <c r="X508" s="417">
        <f>万相台!D337</f>
        <v>2331</v>
      </c>
      <c r="Y508" s="306">
        <f>万相台!G337+万相台!H337</f>
        <v>223</v>
      </c>
      <c r="AA508" s="68">
        <f t="shared" si="75"/>
        <v>5600</v>
      </c>
      <c r="AB508" s="69">
        <f t="shared" si="76"/>
        <v>5043.18</v>
      </c>
      <c r="AC508" s="70">
        <f t="shared" si="77"/>
        <v>319</v>
      </c>
      <c r="AD508" s="505">
        <f t="shared" si="78"/>
        <v>15.80934169279</v>
      </c>
      <c r="AE508" s="506">
        <f t="shared" si="79"/>
        <v>0.0668342761366017</v>
      </c>
      <c r="AF508" s="69">
        <f t="shared" si="80"/>
        <v>4773</v>
      </c>
      <c r="AG508" s="71">
        <f t="shared" si="81"/>
        <v>1.05660590823382</v>
      </c>
      <c r="AH508" s="71">
        <f t="shared" si="82"/>
        <v>7.67719484125534</v>
      </c>
    </row>
    <row r="509" spans="1:34">
      <c r="A509" s="304">
        <v>45497</v>
      </c>
      <c r="B509" s="392">
        <v>400</v>
      </c>
      <c r="C509" s="176">
        <f t="shared" si="71"/>
        <v>0.091631667974749</v>
      </c>
      <c r="D509" s="443">
        <f>明星店铺!B850</f>
        <v>458.83</v>
      </c>
      <c r="E509" s="404">
        <f>明星店铺!C850</f>
        <v>363</v>
      </c>
      <c r="F509" s="404">
        <f>明星店铺!D850</f>
        <v>177</v>
      </c>
      <c r="G509" s="325">
        <f>明星店铺!G850+明星店铺!H850</f>
        <v>26</v>
      </c>
      <c r="H509" s="392">
        <v>2200</v>
      </c>
      <c r="I509" s="176">
        <f t="shared" si="72"/>
        <v>0.433194936223496</v>
      </c>
      <c r="J509" s="443">
        <f>直通车!B850</f>
        <v>2169.15</v>
      </c>
      <c r="K509" s="399">
        <f>直通车!C850</f>
        <v>6597</v>
      </c>
      <c r="L509" s="511">
        <f>直通车!D850</f>
        <v>557</v>
      </c>
      <c r="M509" s="325">
        <f>直通车!G850+直通车!H850</f>
        <v>42</v>
      </c>
      <c r="N509" s="392">
        <v>500</v>
      </c>
      <c r="O509" s="176">
        <f t="shared" si="73"/>
        <v>0.0840787405663298</v>
      </c>
      <c r="P509" s="443">
        <f>引力魔方!B749</f>
        <v>421.01</v>
      </c>
      <c r="Q509" s="398">
        <f>引力魔方!C749</f>
        <v>493432</v>
      </c>
      <c r="R509" s="399">
        <f>引力魔方!D749</f>
        <v>1788</v>
      </c>
      <c r="S509" s="325">
        <f>引力魔方!G749+引力魔方!H749</f>
        <v>68</v>
      </c>
      <c r="T509" s="326">
        <v>2500</v>
      </c>
      <c r="U509" s="176">
        <f t="shared" si="74"/>
        <v>0.391094655235425</v>
      </c>
      <c r="V509" s="326">
        <f>万相台!B338</f>
        <v>1958.34</v>
      </c>
      <c r="W509" s="417">
        <f>万相台!C338</f>
        <v>185653</v>
      </c>
      <c r="X509" s="417">
        <f>万相台!D338</f>
        <v>2016</v>
      </c>
      <c r="Y509" s="306">
        <f>万相台!G338+万相台!H338</f>
        <v>267</v>
      </c>
      <c r="AA509" s="68">
        <f t="shared" si="75"/>
        <v>5600</v>
      </c>
      <c r="AB509" s="69">
        <f t="shared" si="76"/>
        <v>5007.33</v>
      </c>
      <c r="AC509" s="70">
        <f t="shared" si="77"/>
        <v>403</v>
      </c>
      <c r="AD509" s="505">
        <f t="shared" si="78"/>
        <v>12.4251364764268</v>
      </c>
      <c r="AE509" s="506">
        <f t="shared" si="79"/>
        <v>0.0888056412516527</v>
      </c>
      <c r="AF509" s="69">
        <f t="shared" si="80"/>
        <v>4538</v>
      </c>
      <c r="AG509" s="71">
        <f t="shared" si="81"/>
        <v>1.10342221242838</v>
      </c>
      <c r="AH509" s="71">
        <f t="shared" si="82"/>
        <v>7.2988360821812</v>
      </c>
    </row>
    <row r="510" spans="1:34">
      <c r="A510" s="304">
        <v>45498</v>
      </c>
      <c r="B510" s="392">
        <v>400</v>
      </c>
      <c r="C510" s="176">
        <f t="shared" si="71"/>
        <v>0.0914971832330755</v>
      </c>
      <c r="D510" s="443">
        <f>明星店铺!B851</f>
        <v>459.96</v>
      </c>
      <c r="E510" s="404">
        <f>明星店铺!C851</f>
        <v>373</v>
      </c>
      <c r="F510" s="404">
        <f>明星店铺!D851</f>
        <v>166</v>
      </c>
      <c r="G510" s="325">
        <f>明星店铺!G851+明星店铺!H851</f>
        <v>23</v>
      </c>
      <c r="H510" s="392">
        <v>2200</v>
      </c>
      <c r="I510" s="176">
        <f t="shared" si="72"/>
        <v>0.427790508927719</v>
      </c>
      <c r="J510" s="443">
        <f>直通车!B851</f>
        <v>2150.52</v>
      </c>
      <c r="K510" s="399">
        <f>直通车!C851</f>
        <v>7430</v>
      </c>
      <c r="L510" s="511">
        <f>直通车!D851</f>
        <v>541</v>
      </c>
      <c r="M510" s="325">
        <f>直通车!G851+直通车!H851</f>
        <v>29</v>
      </c>
      <c r="N510" s="392">
        <v>500</v>
      </c>
      <c r="O510" s="176">
        <f t="shared" si="73"/>
        <v>0.0832776345523409</v>
      </c>
      <c r="P510" s="443">
        <f>引力魔方!B750</f>
        <v>418.64</v>
      </c>
      <c r="Q510" s="398">
        <f>引力魔方!C750</f>
        <v>497349</v>
      </c>
      <c r="R510" s="399">
        <f>引力魔方!D750</f>
        <v>1778</v>
      </c>
      <c r="S510" s="325">
        <f>引力魔方!G750+引力魔方!H750</f>
        <v>54</v>
      </c>
      <c r="T510" s="326">
        <v>2500</v>
      </c>
      <c r="U510" s="176">
        <f t="shared" si="74"/>
        <v>0.397434673286865</v>
      </c>
      <c r="V510" s="326">
        <f>万相台!B339</f>
        <v>1997.92</v>
      </c>
      <c r="W510" s="417">
        <f>万相台!C339</f>
        <v>236073</v>
      </c>
      <c r="X510" s="417">
        <f>万相台!D339</f>
        <v>2313</v>
      </c>
      <c r="Y510" s="306">
        <f>万相台!G339+万相台!H339</f>
        <v>250</v>
      </c>
      <c r="AA510" s="68">
        <f t="shared" si="75"/>
        <v>5600</v>
      </c>
      <c r="AB510" s="69">
        <f t="shared" si="76"/>
        <v>5027.04</v>
      </c>
      <c r="AC510" s="70">
        <f t="shared" si="77"/>
        <v>356</v>
      </c>
      <c r="AD510" s="505">
        <f t="shared" si="78"/>
        <v>14.1208988764045</v>
      </c>
      <c r="AE510" s="506">
        <f t="shared" si="79"/>
        <v>0.0741975823259692</v>
      </c>
      <c r="AF510" s="69">
        <f t="shared" si="80"/>
        <v>4798</v>
      </c>
      <c r="AG510" s="71">
        <f t="shared" si="81"/>
        <v>1.04773655689871</v>
      </c>
      <c r="AH510" s="71">
        <f t="shared" si="82"/>
        <v>6.78207022159263</v>
      </c>
    </row>
    <row r="511" spans="1:34">
      <c r="A511" s="304">
        <v>45499</v>
      </c>
      <c r="B511" s="392">
        <v>400</v>
      </c>
      <c r="C511" s="176">
        <f t="shared" si="71"/>
        <v>0.076113687249948</v>
      </c>
      <c r="D511" s="443">
        <f>明星店铺!B852</f>
        <v>373.26</v>
      </c>
      <c r="E511" s="404">
        <f>明星店铺!C852</f>
        <v>299</v>
      </c>
      <c r="F511" s="404">
        <f>明星店铺!D852</f>
        <v>122</v>
      </c>
      <c r="G511" s="325">
        <f>明星店铺!G852+明星店铺!H852</f>
        <v>23</v>
      </c>
      <c r="H511" s="392">
        <v>2200</v>
      </c>
      <c r="I511" s="176">
        <f t="shared" si="72"/>
        <v>0.435366783714452</v>
      </c>
      <c r="J511" s="443">
        <f>直通车!B852</f>
        <v>2135.03</v>
      </c>
      <c r="K511" s="399">
        <f>直通车!C852</f>
        <v>7955</v>
      </c>
      <c r="L511" s="511">
        <f>直通车!D852</f>
        <v>546</v>
      </c>
      <c r="M511" s="325">
        <f>直通车!G852+直通车!H852</f>
        <v>35</v>
      </c>
      <c r="N511" s="392">
        <v>500</v>
      </c>
      <c r="O511" s="176">
        <f t="shared" si="73"/>
        <v>0.085041129857789</v>
      </c>
      <c r="P511" s="443">
        <f>引力魔方!B751</f>
        <v>417.04</v>
      </c>
      <c r="Q511" s="398">
        <f>引力魔方!C751</f>
        <v>563103</v>
      </c>
      <c r="R511" s="399">
        <f>引力魔方!D751</f>
        <v>1789</v>
      </c>
      <c r="S511" s="325">
        <f>引力魔方!G751+引力魔方!H751</f>
        <v>59</v>
      </c>
      <c r="T511" s="326">
        <v>2500</v>
      </c>
      <c r="U511" s="176">
        <f t="shared" si="74"/>
        <v>0.403478399177811</v>
      </c>
      <c r="V511" s="326">
        <f>万相台!B340</f>
        <v>1978.65</v>
      </c>
      <c r="W511" s="417">
        <f>万相台!C340</f>
        <v>210047</v>
      </c>
      <c r="X511" s="417">
        <f>万相台!D340</f>
        <v>2019</v>
      </c>
      <c r="Y511" s="306">
        <f>万相台!G340+万相台!H340</f>
        <v>251</v>
      </c>
      <c r="AA511" s="68">
        <f t="shared" si="75"/>
        <v>5600</v>
      </c>
      <c r="AB511" s="69">
        <f t="shared" si="76"/>
        <v>4903.98</v>
      </c>
      <c r="AC511" s="70">
        <f t="shared" si="77"/>
        <v>368</v>
      </c>
      <c r="AD511" s="505">
        <f t="shared" si="78"/>
        <v>13.3260326086957</v>
      </c>
      <c r="AE511" s="506">
        <f t="shared" si="79"/>
        <v>0.0822162645218946</v>
      </c>
      <c r="AF511" s="69">
        <f t="shared" si="80"/>
        <v>4476</v>
      </c>
      <c r="AG511" s="71">
        <f t="shared" si="81"/>
        <v>1.09561662198391</v>
      </c>
      <c r="AH511" s="71">
        <f t="shared" si="82"/>
        <v>6.27585730300843</v>
      </c>
    </row>
    <row r="512" spans="1:34">
      <c r="A512" s="304">
        <v>45500</v>
      </c>
      <c r="B512" s="392">
        <v>400</v>
      </c>
      <c r="C512" s="176">
        <f t="shared" si="71"/>
        <v>0.0681445177764278</v>
      </c>
      <c r="D512" s="443">
        <f>明星店铺!B853</f>
        <v>330.92</v>
      </c>
      <c r="E512" s="404">
        <f>明星店铺!C853</f>
        <v>277</v>
      </c>
      <c r="F512" s="404">
        <f>明星店铺!D853</f>
        <v>107</v>
      </c>
      <c r="G512" s="325">
        <f>明星店铺!G853+明星店铺!H853</f>
        <v>23</v>
      </c>
      <c r="H512" s="392">
        <v>2200</v>
      </c>
      <c r="I512" s="176">
        <f t="shared" si="72"/>
        <v>0.435661995613809</v>
      </c>
      <c r="J512" s="443">
        <f>直通车!B853</f>
        <v>2115.64</v>
      </c>
      <c r="K512" s="399">
        <f>直通车!C853</f>
        <v>7878</v>
      </c>
      <c r="L512" s="511">
        <f>直通车!D853</f>
        <v>533</v>
      </c>
      <c r="M512" s="325">
        <f>直通车!G853+直通车!H853</f>
        <v>30</v>
      </c>
      <c r="N512" s="392">
        <v>500</v>
      </c>
      <c r="O512" s="176">
        <f t="shared" si="73"/>
        <v>0.0860331744283023</v>
      </c>
      <c r="P512" s="443">
        <f>引力魔方!B752</f>
        <v>417.79</v>
      </c>
      <c r="Q512" s="398">
        <f>引力魔方!C752</f>
        <v>402567</v>
      </c>
      <c r="R512" s="399">
        <f>引力魔方!D752</f>
        <v>1685</v>
      </c>
      <c r="S512" s="325">
        <f>引力魔方!G752+引力魔方!H752</f>
        <v>49</v>
      </c>
      <c r="T512" s="326">
        <v>2500</v>
      </c>
      <c r="U512" s="176">
        <f t="shared" si="74"/>
        <v>0.410160312181461</v>
      </c>
      <c r="V512" s="326">
        <f>万相台!B341</f>
        <v>1991.8</v>
      </c>
      <c r="W512" s="417">
        <f>万相台!C341</f>
        <v>167666</v>
      </c>
      <c r="X512" s="417">
        <f>万相台!D341</f>
        <v>1932</v>
      </c>
      <c r="Y512" s="306">
        <f>万相台!G341+万相台!H341</f>
        <v>234</v>
      </c>
      <c r="AA512" s="68">
        <f t="shared" si="75"/>
        <v>5600</v>
      </c>
      <c r="AB512" s="69">
        <f t="shared" si="76"/>
        <v>4856.15</v>
      </c>
      <c r="AC512" s="70">
        <f t="shared" si="77"/>
        <v>336</v>
      </c>
      <c r="AD512" s="505">
        <f t="shared" si="78"/>
        <v>14.4528273809524</v>
      </c>
      <c r="AE512" s="506">
        <f t="shared" si="79"/>
        <v>0.0789288231148696</v>
      </c>
      <c r="AF512" s="69">
        <f t="shared" si="80"/>
        <v>4257</v>
      </c>
      <c r="AG512" s="71">
        <f t="shared" si="81"/>
        <v>1.14074465586093</v>
      </c>
      <c r="AH512" s="71">
        <f t="shared" si="82"/>
        <v>8.39600752436081</v>
      </c>
    </row>
    <row r="513" spans="1:34">
      <c r="A513" s="304">
        <v>45501</v>
      </c>
      <c r="B513" s="392">
        <v>400</v>
      </c>
      <c r="C513" s="176">
        <f t="shared" si="71"/>
        <v>0.0850486653662283</v>
      </c>
      <c r="D513" s="443">
        <f>明星店铺!B854</f>
        <v>420.74</v>
      </c>
      <c r="E513" s="404">
        <f>明星店铺!C854</f>
        <v>325</v>
      </c>
      <c r="F513" s="404">
        <f>明星店铺!D854</f>
        <v>147</v>
      </c>
      <c r="G513" s="325">
        <f>明星店铺!G854+明星店铺!H854</f>
        <v>42</v>
      </c>
      <c r="H513" s="392">
        <v>2200</v>
      </c>
      <c r="I513" s="176">
        <f t="shared" si="72"/>
        <v>0.435972953578395</v>
      </c>
      <c r="J513" s="443">
        <f>直通车!B854</f>
        <v>2156.78</v>
      </c>
      <c r="K513" s="399">
        <f>直通车!C854</f>
        <v>8350</v>
      </c>
      <c r="L513" s="511">
        <f>直通车!D854</f>
        <v>564</v>
      </c>
      <c r="M513" s="325">
        <f>直通车!G854+直通车!H854</f>
        <v>31</v>
      </c>
      <c r="N513" s="392">
        <v>500</v>
      </c>
      <c r="O513" s="176">
        <f t="shared" si="73"/>
        <v>0.084575656199149</v>
      </c>
      <c r="P513" s="443">
        <f>引力魔方!B753</f>
        <v>418.4</v>
      </c>
      <c r="Q513" s="398">
        <f>引力魔方!C753</f>
        <v>400844</v>
      </c>
      <c r="R513" s="399">
        <f>引力魔方!D753</f>
        <v>1711</v>
      </c>
      <c r="S513" s="325">
        <f>引力魔方!G753+引力魔方!H753</f>
        <v>65</v>
      </c>
      <c r="T513" s="326">
        <v>2500</v>
      </c>
      <c r="U513" s="176">
        <f t="shared" si="74"/>
        <v>0.394402724856227</v>
      </c>
      <c r="V513" s="326">
        <f>万相台!B342</f>
        <v>1951.13</v>
      </c>
      <c r="W513" s="417">
        <f>万相台!C342</f>
        <v>186467</v>
      </c>
      <c r="X513" s="417">
        <f>万相台!D342</f>
        <v>1964</v>
      </c>
      <c r="Y513" s="306">
        <f>万相台!G342+万相台!H342</f>
        <v>282</v>
      </c>
      <c r="AA513" s="68">
        <f t="shared" si="75"/>
        <v>5600</v>
      </c>
      <c r="AB513" s="69">
        <f t="shared" si="76"/>
        <v>4947.05</v>
      </c>
      <c r="AC513" s="70">
        <f t="shared" si="77"/>
        <v>420</v>
      </c>
      <c r="AD513" s="505">
        <f t="shared" si="78"/>
        <v>11.7786904761905</v>
      </c>
      <c r="AE513" s="506">
        <f t="shared" si="79"/>
        <v>0.0957592339261286</v>
      </c>
      <c r="AF513" s="69">
        <f t="shared" si="80"/>
        <v>4386</v>
      </c>
      <c r="AG513" s="71">
        <f t="shared" si="81"/>
        <v>1.12791837665299</v>
      </c>
      <c r="AH513" s="71">
        <f t="shared" si="82"/>
        <v>8.30061444396345</v>
      </c>
    </row>
    <row r="514" spans="1:34">
      <c r="A514" s="304">
        <v>45502</v>
      </c>
      <c r="B514" s="392">
        <v>400</v>
      </c>
      <c r="C514" s="176">
        <f t="shared" si="71"/>
        <v>0.0814996190654678</v>
      </c>
      <c r="D514" s="443">
        <f>明星店铺!B855</f>
        <v>400.08</v>
      </c>
      <c r="E514" s="404">
        <f>明星店铺!C855</f>
        <v>381</v>
      </c>
      <c r="F514" s="404">
        <f>明星店铺!D855</f>
        <v>183</v>
      </c>
      <c r="G514" s="325">
        <f>明星店铺!G855+明星店铺!H855</f>
        <v>28</v>
      </c>
      <c r="H514" s="392">
        <v>2200</v>
      </c>
      <c r="I514" s="176">
        <f t="shared" si="72"/>
        <v>0.436923760129396</v>
      </c>
      <c r="J514" s="443">
        <f>直通车!B855</f>
        <v>2144.85</v>
      </c>
      <c r="K514" s="399">
        <f>直通车!C855</f>
        <v>8979</v>
      </c>
      <c r="L514" s="511">
        <f>直通车!D855</f>
        <v>563</v>
      </c>
      <c r="M514" s="325">
        <f>直通车!G855+直通车!H855</f>
        <v>26</v>
      </c>
      <c r="N514" s="392">
        <v>500</v>
      </c>
      <c r="O514" s="176">
        <f t="shared" si="73"/>
        <v>0.0842863486915816</v>
      </c>
      <c r="P514" s="443">
        <f>引力魔方!B754</f>
        <v>413.76</v>
      </c>
      <c r="Q514" s="398">
        <f>引力魔方!C754</f>
        <v>457389</v>
      </c>
      <c r="R514" s="399">
        <f>引力魔方!D754</f>
        <v>1925</v>
      </c>
      <c r="S514" s="325">
        <f>引力魔方!G754+引力魔方!H754</f>
        <v>75</v>
      </c>
      <c r="T514" s="326">
        <v>2500</v>
      </c>
      <c r="U514" s="176">
        <f t="shared" si="74"/>
        <v>0.397290272113555</v>
      </c>
      <c r="V514" s="326">
        <f>万相台!B343</f>
        <v>1950.29</v>
      </c>
      <c r="W514" s="417">
        <f>万相台!C343</f>
        <v>198520</v>
      </c>
      <c r="X514" s="417">
        <f>万相台!D343</f>
        <v>1909</v>
      </c>
      <c r="Y514" s="306">
        <f>万相台!G343+万相台!H343</f>
        <v>223</v>
      </c>
      <c r="AA514" s="68">
        <f t="shared" si="75"/>
        <v>5600</v>
      </c>
      <c r="AB514" s="69">
        <f t="shared" si="76"/>
        <v>4908.98</v>
      </c>
      <c r="AC514" s="70">
        <f t="shared" si="77"/>
        <v>352</v>
      </c>
      <c r="AD514" s="505">
        <f t="shared" si="78"/>
        <v>13.9459659090909</v>
      </c>
      <c r="AE514" s="506">
        <f t="shared" si="79"/>
        <v>0.0768558951965066</v>
      </c>
      <c r="AF514" s="69">
        <f t="shared" si="80"/>
        <v>4580</v>
      </c>
      <c r="AG514" s="71">
        <f t="shared" si="81"/>
        <v>1.07182969432314</v>
      </c>
      <c r="AH514" s="71">
        <f t="shared" si="82"/>
        <v>7.37893994760014</v>
      </c>
    </row>
    <row r="515" spans="1:34">
      <c r="A515" s="304">
        <v>45503</v>
      </c>
      <c r="B515" s="392">
        <v>400</v>
      </c>
      <c r="C515" s="176">
        <f t="shared" si="71"/>
        <v>0.100852071789531</v>
      </c>
      <c r="D515" s="443">
        <f>明星店铺!B856</f>
        <v>335.08</v>
      </c>
      <c r="E515" s="404">
        <f>明星店铺!C856</f>
        <v>285</v>
      </c>
      <c r="F515" s="404">
        <f>明星店铺!D856</f>
        <v>117</v>
      </c>
      <c r="G515" s="325">
        <f>明星店铺!G856+明星店铺!H856</f>
        <v>21</v>
      </c>
      <c r="H515" s="392">
        <v>2200</v>
      </c>
      <c r="I515" s="176">
        <f t="shared" si="72"/>
        <v>0.388305156674663</v>
      </c>
      <c r="J515" s="443">
        <f>直通车!B856</f>
        <v>1290.14</v>
      </c>
      <c r="K515" s="399">
        <f>直通车!C856</f>
        <v>5536</v>
      </c>
      <c r="L515" s="511">
        <f>直通车!D856</f>
        <v>359</v>
      </c>
      <c r="M515" s="325">
        <f>直通车!G856+直通车!H856</f>
        <v>16</v>
      </c>
      <c r="N515" s="392">
        <v>500</v>
      </c>
      <c r="O515" s="176">
        <f t="shared" si="73"/>
        <v>0.0717323453193238</v>
      </c>
      <c r="P515" s="443">
        <f>引力魔方!B755</f>
        <v>238.33</v>
      </c>
      <c r="Q515" s="398">
        <f>引力魔方!C755</f>
        <v>286816</v>
      </c>
      <c r="R515" s="399">
        <f>引力魔方!D755</f>
        <v>1245</v>
      </c>
      <c r="S515" s="325">
        <f>引力魔方!G755+引力魔方!H755</f>
        <v>53</v>
      </c>
      <c r="T515" s="326">
        <v>2500</v>
      </c>
      <c r="U515" s="176">
        <f t="shared" si="74"/>
        <v>0.439110426216482</v>
      </c>
      <c r="V515" s="326">
        <f>万相台!B344</f>
        <v>1458.94</v>
      </c>
      <c r="W515" s="417">
        <f>万相台!C344</f>
        <v>123573</v>
      </c>
      <c r="X515" s="417">
        <f>万相台!D344</f>
        <v>1510</v>
      </c>
      <c r="Y515" s="306">
        <f>万相台!G344+万相台!H344</f>
        <v>185</v>
      </c>
      <c r="AA515" s="68">
        <f t="shared" si="75"/>
        <v>5600</v>
      </c>
      <c r="AB515" s="69">
        <f t="shared" si="76"/>
        <v>3322.49</v>
      </c>
      <c r="AC515" s="70">
        <f t="shared" si="77"/>
        <v>275</v>
      </c>
      <c r="AD515" s="505">
        <f t="shared" si="78"/>
        <v>12.0817818181818</v>
      </c>
      <c r="AE515" s="506">
        <f t="shared" si="79"/>
        <v>0.0851129681213247</v>
      </c>
      <c r="AF515" s="69">
        <f t="shared" si="80"/>
        <v>3231</v>
      </c>
      <c r="AG515" s="71">
        <f t="shared" si="81"/>
        <v>1.02831631073971</v>
      </c>
      <c r="AH515" s="71">
        <f t="shared" si="82"/>
        <v>7.98272506667307</v>
      </c>
    </row>
    <row r="516" spans="1:34">
      <c r="A516" s="304">
        <v>45504</v>
      </c>
      <c r="B516" s="392">
        <v>400</v>
      </c>
      <c r="C516" s="176">
        <f t="shared" si="71"/>
        <v>0.0873799632227747</v>
      </c>
      <c r="D516" s="443">
        <f>明星店铺!B857</f>
        <v>359.24</v>
      </c>
      <c r="E516" s="404">
        <f>明星店铺!C857</f>
        <v>291</v>
      </c>
      <c r="F516" s="404">
        <f>明星店铺!D857</f>
        <v>107</v>
      </c>
      <c r="G516" s="325">
        <f>明星店铺!G857+明星店铺!H857</f>
        <v>14</v>
      </c>
      <c r="H516" s="392">
        <v>2200</v>
      </c>
      <c r="I516" s="176">
        <f t="shared" si="72"/>
        <v>0.31488796567459</v>
      </c>
      <c r="J516" s="443">
        <f>直通车!B857</f>
        <v>1294.58</v>
      </c>
      <c r="K516" s="399">
        <f>直通车!C857</f>
        <v>5326</v>
      </c>
      <c r="L516" s="511">
        <f>直通车!D857</f>
        <v>372</v>
      </c>
      <c r="M516" s="325">
        <f>直通车!G857+直通车!H857</f>
        <v>16</v>
      </c>
      <c r="N516" s="392">
        <v>500</v>
      </c>
      <c r="O516" s="176">
        <f t="shared" si="73"/>
        <v>0.0557009564024479</v>
      </c>
      <c r="P516" s="443">
        <f>引力魔方!B756</f>
        <v>229</v>
      </c>
      <c r="Q516" s="398">
        <f>引力魔方!C756</f>
        <v>318487</v>
      </c>
      <c r="R516" s="399">
        <f>引力魔方!D756</f>
        <v>1281</v>
      </c>
      <c r="S516" s="325">
        <f>引力魔方!G756+引力魔方!H756</f>
        <v>37</v>
      </c>
      <c r="T516" s="326">
        <v>2500</v>
      </c>
      <c r="U516" s="176">
        <f t="shared" si="74"/>
        <v>0.542031114700188</v>
      </c>
      <c r="V516" s="326">
        <f>万相台!B345</f>
        <v>2228.42</v>
      </c>
      <c r="W516" s="417">
        <f>万相台!C345</f>
        <v>106370</v>
      </c>
      <c r="X516" s="417">
        <f>万相台!D345</f>
        <v>2851</v>
      </c>
      <c r="Y516" s="306">
        <f>万相台!G345+万相台!H345</f>
        <v>187</v>
      </c>
      <c r="AA516" s="68">
        <f t="shared" si="75"/>
        <v>5600</v>
      </c>
      <c r="AB516" s="69">
        <f t="shared" si="76"/>
        <v>4111.24</v>
      </c>
      <c r="AC516" s="70">
        <f t="shared" si="77"/>
        <v>254</v>
      </c>
      <c r="AD516" s="505">
        <f t="shared" si="78"/>
        <v>16.1859842519685</v>
      </c>
      <c r="AE516" s="506">
        <f t="shared" si="79"/>
        <v>0.0550856647148124</v>
      </c>
      <c r="AF516" s="69">
        <f t="shared" si="80"/>
        <v>4611</v>
      </c>
      <c r="AG516" s="71">
        <f t="shared" si="81"/>
        <v>0.891615701583171</v>
      </c>
      <c r="AH516" s="71">
        <f t="shared" si="82"/>
        <v>9.55049550030896</v>
      </c>
    </row>
    <row r="517" spans="1:34">
      <c r="A517" s="304">
        <v>45505</v>
      </c>
      <c r="B517" s="392">
        <v>400</v>
      </c>
      <c r="C517" s="176">
        <f t="shared" si="71"/>
        <v>0.0802769188795926</v>
      </c>
      <c r="D517" s="443">
        <f>明星店铺!B858</f>
        <v>353.09</v>
      </c>
      <c r="E517" s="404">
        <f>明星店铺!C858</f>
        <v>312</v>
      </c>
      <c r="F517" s="404">
        <f>明星店铺!D858</f>
        <v>122</v>
      </c>
      <c r="G517" s="325">
        <f>明星店铺!G858+明星店铺!H858</f>
        <v>27</v>
      </c>
      <c r="H517" s="392">
        <v>2200</v>
      </c>
      <c r="I517" s="176">
        <f t="shared" si="72"/>
        <v>0.401707439068752</v>
      </c>
      <c r="J517" s="443">
        <f>直通车!B858</f>
        <v>1766.87</v>
      </c>
      <c r="K517" s="399">
        <f>直通车!C858</f>
        <v>7579</v>
      </c>
      <c r="L517" s="511">
        <f>直通车!D858</f>
        <v>511</v>
      </c>
      <c r="M517" s="325">
        <f>直通车!G858+直通车!H858</f>
        <v>49</v>
      </c>
      <c r="N517" s="392">
        <v>500</v>
      </c>
      <c r="O517" s="176">
        <f t="shared" si="73"/>
        <v>0.0746771553292106</v>
      </c>
      <c r="P517" s="443">
        <f>引力魔方!B757</f>
        <v>328.46</v>
      </c>
      <c r="Q517" s="398">
        <f>引力魔方!C757</f>
        <v>274541</v>
      </c>
      <c r="R517" s="399">
        <f>引力魔方!D757</f>
        <v>1542</v>
      </c>
      <c r="S517" s="325">
        <f>引力魔方!G757+引力魔方!H757</f>
        <v>58</v>
      </c>
      <c r="T517" s="326">
        <v>2500</v>
      </c>
      <c r="U517" s="176">
        <f t="shared" si="74"/>
        <v>0.443338486722445</v>
      </c>
      <c r="V517" s="326">
        <f>万相台!B346</f>
        <v>1949.98</v>
      </c>
      <c r="W517" s="417">
        <f>万相台!C346</f>
        <v>103692</v>
      </c>
      <c r="X517" s="417">
        <f>万相台!D346</f>
        <v>1628</v>
      </c>
      <c r="Y517" s="306">
        <f>万相台!G346+万相台!H346</f>
        <v>271</v>
      </c>
      <c r="AA517" s="68">
        <f t="shared" si="75"/>
        <v>5600</v>
      </c>
      <c r="AB517" s="69">
        <f t="shared" si="76"/>
        <v>4398.4</v>
      </c>
      <c r="AC517" s="70">
        <f t="shared" si="77"/>
        <v>405</v>
      </c>
      <c r="AD517" s="505">
        <f t="shared" si="78"/>
        <v>10.8602469135802</v>
      </c>
      <c r="AE517" s="506">
        <f t="shared" si="79"/>
        <v>0.106494872469103</v>
      </c>
      <c r="AF517" s="69">
        <f t="shared" si="80"/>
        <v>3803</v>
      </c>
      <c r="AG517" s="71">
        <f t="shared" si="81"/>
        <v>1.1565606100447</v>
      </c>
      <c r="AH517" s="71">
        <f t="shared" si="82"/>
        <v>11.3911593166962</v>
      </c>
    </row>
    <row r="518" spans="1:34">
      <c r="A518" s="304">
        <v>45506</v>
      </c>
      <c r="B518" s="392">
        <v>400</v>
      </c>
      <c r="C518" s="176">
        <f t="shared" si="71"/>
        <v>0.0866183644318274</v>
      </c>
      <c r="D518" s="443">
        <f>明星店铺!B859</f>
        <v>385.67</v>
      </c>
      <c r="E518" s="404">
        <f>明星店铺!C859</f>
        <v>311</v>
      </c>
      <c r="F518" s="404">
        <f>明星店铺!D859</f>
        <v>134</v>
      </c>
      <c r="G518" s="325">
        <f>明星店铺!G859+明星店铺!H859</f>
        <v>23</v>
      </c>
      <c r="H518" s="392">
        <v>2200</v>
      </c>
      <c r="I518" s="176">
        <f t="shared" si="72"/>
        <v>0.386610279122834</v>
      </c>
      <c r="J518" s="443">
        <f>直通车!B859</f>
        <v>1721.39</v>
      </c>
      <c r="K518" s="399">
        <f>直通车!C859</f>
        <v>7454</v>
      </c>
      <c r="L518" s="511">
        <f>直通车!D859</f>
        <v>502</v>
      </c>
      <c r="M518" s="325">
        <f>直通车!G859+直通车!H859</f>
        <v>34</v>
      </c>
      <c r="N518" s="392">
        <v>500</v>
      </c>
      <c r="O518" s="176">
        <f t="shared" si="73"/>
        <v>0.077666130640626</v>
      </c>
      <c r="P518" s="443">
        <f>引力魔方!B758</f>
        <v>345.81</v>
      </c>
      <c r="Q518" s="398">
        <f>引力魔方!C758</f>
        <v>208471</v>
      </c>
      <c r="R518" s="399">
        <f>引力魔方!D758</f>
        <v>1436</v>
      </c>
      <c r="S518" s="325">
        <f>引力魔方!G758+引力魔方!H758</f>
        <v>51</v>
      </c>
      <c r="T518" s="326">
        <v>2500</v>
      </c>
      <c r="U518" s="176">
        <f t="shared" si="74"/>
        <v>0.449105225804713</v>
      </c>
      <c r="V518" s="326">
        <f>万相台!B347</f>
        <v>1999.65</v>
      </c>
      <c r="W518" s="417">
        <f>万相台!C347</f>
        <v>111366</v>
      </c>
      <c r="X518" s="417">
        <f>万相台!D347</f>
        <v>1696</v>
      </c>
      <c r="Y518" s="306">
        <f>万相台!G347+万相台!H347</f>
        <v>267</v>
      </c>
      <c r="AA518" s="68">
        <f t="shared" si="75"/>
        <v>5600</v>
      </c>
      <c r="AB518" s="69">
        <f t="shared" si="76"/>
        <v>4452.52</v>
      </c>
      <c r="AC518" s="70">
        <f t="shared" si="77"/>
        <v>375</v>
      </c>
      <c r="AD518" s="505">
        <f t="shared" si="78"/>
        <v>11.8733866666667</v>
      </c>
      <c r="AE518" s="506">
        <f t="shared" si="79"/>
        <v>0.0995222929936306</v>
      </c>
      <c r="AF518" s="69">
        <f t="shared" si="80"/>
        <v>3768</v>
      </c>
      <c r="AG518" s="71">
        <f t="shared" si="81"/>
        <v>1.18166666666667</v>
      </c>
      <c r="AH518" s="71">
        <f t="shared" si="82"/>
        <v>13.5912479166794</v>
      </c>
    </row>
    <row r="519" spans="1:34">
      <c r="A519" s="304">
        <v>45507</v>
      </c>
      <c r="B519" s="392">
        <v>400</v>
      </c>
      <c r="C519" s="176">
        <f t="shared" si="71"/>
        <v>0.0822921698412906</v>
      </c>
      <c r="D519" s="443">
        <f>明星店铺!B860</f>
        <v>378.2</v>
      </c>
      <c r="E519" s="404">
        <f>明星店铺!C860</f>
        <v>315</v>
      </c>
      <c r="F519" s="404">
        <f>明星店铺!D860</f>
        <v>136</v>
      </c>
      <c r="G519" s="325">
        <f>明星店铺!G860+明星店铺!H860</f>
        <v>20</v>
      </c>
      <c r="H519" s="392">
        <v>2200</v>
      </c>
      <c r="I519" s="176">
        <f t="shared" si="72"/>
        <v>0.400344225840002</v>
      </c>
      <c r="J519" s="443">
        <f>直通车!B860</f>
        <v>1839.91</v>
      </c>
      <c r="K519" s="399">
        <f>直通车!C860</f>
        <v>6492</v>
      </c>
      <c r="L519" s="511">
        <f>直通车!D860</f>
        <v>512</v>
      </c>
      <c r="M519" s="325">
        <f>直通车!G860+直通车!H860</f>
        <v>26</v>
      </c>
      <c r="N519" s="392">
        <v>500</v>
      </c>
      <c r="O519" s="176">
        <f t="shared" si="73"/>
        <v>0.0742914213350392</v>
      </c>
      <c r="P519" s="443">
        <f>引力魔方!B759</f>
        <v>341.43</v>
      </c>
      <c r="Q519" s="398">
        <f>引力魔方!C759</f>
        <v>318852</v>
      </c>
      <c r="R519" s="399">
        <f>引力魔方!D759</f>
        <v>1596</v>
      </c>
      <c r="S519" s="325">
        <f>引力魔方!G759+引力魔方!H759</f>
        <v>55</v>
      </c>
      <c r="T519" s="326">
        <v>2500</v>
      </c>
      <c r="U519" s="176">
        <f t="shared" si="74"/>
        <v>0.443072182983668</v>
      </c>
      <c r="V519" s="326">
        <f>万相台!B348</f>
        <v>2036.28</v>
      </c>
      <c r="W519" s="417">
        <f>万相台!C348</f>
        <v>176308</v>
      </c>
      <c r="X519" s="417">
        <f>万相台!D348</f>
        <v>2179</v>
      </c>
      <c r="Y519" s="306">
        <f>万相台!G348+万相台!H348</f>
        <v>254</v>
      </c>
      <c r="AA519" s="68">
        <f t="shared" si="75"/>
        <v>5600</v>
      </c>
      <c r="AB519" s="69">
        <f t="shared" si="76"/>
        <v>4595.82</v>
      </c>
      <c r="AC519" s="70">
        <f t="shared" si="77"/>
        <v>355</v>
      </c>
      <c r="AD519" s="505">
        <f t="shared" si="78"/>
        <v>12.9459718309859</v>
      </c>
      <c r="AE519" s="506">
        <f t="shared" si="79"/>
        <v>0.0802622654307031</v>
      </c>
      <c r="AF519" s="69">
        <f t="shared" si="80"/>
        <v>4423</v>
      </c>
      <c r="AG519" s="71">
        <f t="shared" si="81"/>
        <v>1.039073027357</v>
      </c>
      <c r="AH519" s="71">
        <f t="shared" si="82"/>
        <v>9.15562178390213</v>
      </c>
    </row>
    <row r="520" spans="1:34">
      <c r="A520" s="304">
        <v>45508</v>
      </c>
      <c r="B520" s="392">
        <v>400</v>
      </c>
      <c r="C520" s="176">
        <f t="shared" si="71"/>
        <v>0.0657982428198021</v>
      </c>
      <c r="D520" s="443">
        <f>明星店铺!B861</f>
        <v>291.25</v>
      </c>
      <c r="E520" s="404">
        <f>明星店铺!C861</f>
        <v>290</v>
      </c>
      <c r="F520" s="404">
        <f>明星店铺!D861</f>
        <v>134</v>
      </c>
      <c r="G520" s="325">
        <f>明星店铺!G861+明星店铺!H861</f>
        <v>10</v>
      </c>
      <c r="H520" s="392">
        <v>2200</v>
      </c>
      <c r="I520" s="176">
        <f t="shared" si="72"/>
        <v>0.405165811571906</v>
      </c>
      <c r="J520" s="443">
        <f>直通车!B861</f>
        <v>1793.43</v>
      </c>
      <c r="K520" s="399">
        <f>直通车!C861</f>
        <v>7027</v>
      </c>
      <c r="L520" s="511">
        <f>直通车!D861</f>
        <v>522</v>
      </c>
      <c r="M520" s="325">
        <f>直通车!G861+直通车!H861</f>
        <v>19</v>
      </c>
      <c r="N520" s="392">
        <v>500</v>
      </c>
      <c r="O520" s="176">
        <f t="shared" si="73"/>
        <v>0.0769811201402491</v>
      </c>
      <c r="P520" s="443">
        <f>引力魔方!B760</f>
        <v>340.75</v>
      </c>
      <c r="Q520" s="398">
        <f>引力魔方!C760</f>
        <v>403412</v>
      </c>
      <c r="R520" s="399">
        <f>引力魔方!D760</f>
        <v>1845</v>
      </c>
      <c r="S520" s="325">
        <f>引力魔方!G760+引力魔方!H760</f>
        <v>52</v>
      </c>
      <c r="T520" s="326">
        <v>2500</v>
      </c>
      <c r="U520" s="176">
        <f t="shared" si="74"/>
        <v>0.452054825468043</v>
      </c>
      <c r="V520" s="326">
        <f>万相台!B349</f>
        <v>2000.98</v>
      </c>
      <c r="W520" s="417">
        <f>万相台!C349</f>
        <v>111338</v>
      </c>
      <c r="X520" s="417">
        <f>万相台!D349</f>
        <v>2137</v>
      </c>
      <c r="Y520" s="306">
        <f>万相台!G349+万相台!H349</f>
        <v>315</v>
      </c>
      <c r="AA520" s="68">
        <f t="shared" si="75"/>
        <v>5600</v>
      </c>
      <c r="AB520" s="69">
        <f t="shared" si="76"/>
        <v>4426.41</v>
      </c>
      <c r="AC520" s="70">
        <f t="shared" si="77"/>
        <v>396</v>
      </c>
      <c r="AD520" s="505">
        <f t="shared" si="78"/>
        <v>11.177803030303</v>
      </c>
      <c r="AE520" s="506">
        <f t="shared" si="79"/>
        <v>0.0853816300129366</v>
      </c>
      <c r="AF520" s="69">
        <f t="shared" si="80"/>
        <v>4638</v>
      </c>
      <c r="AG520" s="71">
        <f t="shared" si="81"/>
        <v>0.954379042690815</v>
      </c>
      <c r="AH520" s="71">
        <f t="shared" si="82"/>
        <v>8.47862439112221</v>
      </c>
    </row>
    <row r="521" spans="1:34">
      <c r="A521" s="304">
        <v>45509</v>
      </c>
      <c r="B521" s="392">
        <v>400</v>
      </c>
      <c r="C521" s="176">
        <f t="shared" si="71"/>
        <v>0.0894291621293184</v>
      </c>
      <c r="D521" s="443">
        <f>明星店铺!B862</f>
        <v>453.32</v>
      </c>
      <c r="E521" s="404">
        <f>明星店铺!C862</f>
        <v>355</v>
      </c>
      <c r="F521" s="404">
        <f>明星店铺!D862</f>
        <v>166</v>
      </c>
      <c r="G521" s="325">
        <f>明星店铺!G862+明星店铺!H862</f>
        <v>26</v>
      </c>
      <c r="H521" s="392">
        <v>2200</v>
      </c>
      <c r="I521" s="176">
        <f t="shared" si="72"/>
        <v>0.366432302763442</v>
      </c>
      <c r="J521" s="443">
        <f>直通车!B862</f>
        <v>1857.46</v>
      </c>
      <c r="K521" s="399">
        <f>直通车!C862</f>
        <v>5926</v>
      </c>
      <c r="L521" s="511">
        <f>直通车!D862</f>
        <v>554</v>
      </c>
      <c r="M521" s="325">
        <f>直通车!G862+直通车!H862</f>
        <v>39</v>
      </c>
      <c r="N521" s="392">
        <v>500</v>
      </c>
      <c r="O521" s="176">
        <f t="shared" si="73"/>
        <v>0.0650359831447375</v>
      </c>
      <c r="P521" s="443">
        <f>引力魔方!B761</f>
        <v>329.67</v>
      </c>
      <c r="Q521" s="398">
        <f>引力魔方!C761</f>
        <v>309669</v>
      </c>
      <c r="R521" s="399">
        <f>引力魔方!D761</f>
        <v>1481</v>
      </c>
      <c r="S521" s="325">
        <f>引力魔方!G761+引力魔方!H761</f>
        <v>35</v>
      </c>
      <c r="T521" s="326">
        <v>2500</v>
      </c>
      <c r="U521" s="176">
        <f t="shared" si="74"/>
        <v>0.479102551962502</v>
      </c>
      <c r="V521" s="326">
        <f>万相台!B350</f>
        <v>2428.59</v>
      </c>
      <c r="W521" s="417">
        <f>万相台!C350</f>
        <v>118813</v>
      </c>
      <c r="X521" s="417">
        <f>万相台!D350</f>
        <v>2769</v>
      </c>
      <c r="Y521" s="306">
        <f>万相台!G350+万相台!H350</f>
        <v>263</v>
      </c>
      <c r="AA521" s="68">
        <f t="shared" si="75"/>
        <v>5600</v>
      </c>
      <c r="AB521" s="69">
        <f t="shared" si="76"/>
        <v>5069.04</v>
      </c>
      <c r="AC521" s="70">
        <f t="shared" si="77"/>
        <v>363</v>
      </c>
      <c r="AD521" s="505">
        <f t="shared" si="78"/>
        <v>13.9642975206612</v>
      </c>
      <c r="AE521" s="506">
        <f t="shared" si="79"/>
        <v>0.0730382293762575</v>
      </c>
      <c r="AF521" s="69">
        <f t="shared" si="80"/>
        <v>4970</v>
      </c>
      <c r="AG521" s="71">
        <f t="shared" si="81"/>
        <v>1.01992756539235</v>
      </c>
      <c r="AH521" s="71">
        <f t="shared" si="82"/>
        <v>11.6593178352344</v>
      </c>
    </row>
    <row r="522" spans="1:34">
      <c r="A522" s="304">
        <v>45510</v>
      </c>
      <c r="B522" s="392">
        <v>400</v>
      </c>
      <c r="C522" s="176">
        <f t="shared" si="71"/>
        <v>0.0912733882176842</v>
      </c>
      <c r="D522" s="443">
        <f>明星店铺!B863</f>
        <v>426.84</v>
      </c>
      <c r="E522" s="404">
        <f>明星店铺!C863</f>
        <v>354</v>
      </c>
      <c r="F522" s="404">
        <f>明星店铺!D863</f>
        <v>156</v>
      </c>
      <c r="G522" s="325">
        <f>明星店铺!G863+明星店铺!H863</f>
        <v>29</v>
      </c>
      <c r="H522" s="392">
        <v>2200</v>
      </c>
      <c r="I522" s="176">
        <f t="shared" si="72"/>
        <v>0.388720196728322</v>
      </c>
      <c r="J522" s="443">
        <f>直通车!B863</f>
        <v>1817.85</v>
      </c>
      <c r="K522" s="399">
        <f>直通车!C863</f>
        <v>6565</v>
      </c>
      <c r="L522" s="511">
        <f>直通车!D863</f>
        <v>523</v>
      </c>
      <c r="M522" s="325">
        <f>直通车!G863+直通车!H863</f>
        <v>36</v>
      </c>
      <c r="N522" s="392">
        <v>500</v>
      </c>
      <c r="O522" s="176">
        <f t="shared" si="73"/>
        <v>0.0734823051427349</v>
      </c>
      <c r="P522" s="443">
        <f>引力魔方!B762</f>
        <v>343.64</v>
      </c>
      <c r="Q522" s="398">
        <f>引力魔方!C762</f>
        <v>286518</v>
      </c>
      <c r="R522" s="399">
        <f>引力魔方!D762</f>
        <v>1462</v>
      </c>
      <c r="S522" s="325">
        <f>引力魔方!G762+引力魔方!H762</f>
        <v>55</v>
      </c>
      <c r="T522" s="326">
        <v>2500</v>
      </c>
      <c r="U522" s="176">
        <f t="shared" si="74"/>
        <v>0.446524109911258</v>
      </c>
      <c r="V522" s="326">
        <f>万相台!B351</f>
        <v>2088.17</v>
      </c>
      <c r="W522" s="417">
        <f>万相台!C351</f>
        <v>92062</v>
      </c>
      <c r="X522" s="417">
        <f>万相台!D351</f>
        <v>1708</v>
      </c>
      <c r="Y522" s="306">
        <f>万相台!G351+万相台!H351</f>
        <v>230</v>
      </c>
      <c r="AA522" s="68">
        <f t="shared" si="75"/>
        <v>5600</v>
      </c>
      <c r="AB522" s="69">
        <f t="shared" si="76"/>
        <v>4676.5</v>
      </c>
      <c r="AC522" s="70">
        <f t="shared" si="77"/>
        <v>350</v>
      </c>
      <c r="AD522" s="505">
        <f t="shared" si="78"/>
        <v>13.3614285714286</v>
      </c>
      <c r="AE522" s="506">
        <f t="shared" si="79"/>
        <v>0.0909327097947519</v>
      </c>
      <c r="AF522" s="69">
        <f t="shared" si="80"/>
        <v>3849</v>
      </c>
      <c r="AG522" s="71">
        <f t="shared" si="81"/>
        <v>1.21499090672902</v>
      </c>
      <c r="AH522" s="71">
        <f t="shared" si="82"/>
        <v>12.1310301712845</v>
      </c>
    </row>
    <row r="523" spans="1:34">
      <c r="A523" s="304">
        <v>45511</v>
      </c>
      <c r="B523" s="62">
        <v>400</v>
      </c>
      <c r="C523" s="176">
        <f t="shared" ref="C523:C564" si="83">D523/$AB523</f>
        <v>0.00023569729867326</v>
      </c>
      <c r="D523" s="443">
        <f>明星店铺!B864</f>
        <v>1</v>
      </c>
      <c r="E523" s="404">
        <f>明星店铺!C864</f>
        <v>1</v>
      </c>
      <c r="F523" s="404">
        <f>明星店铺!D864</f>
        <v>1</v>
      </c>
      <c r="G523" s="325">
        <f>明星店铺!G864+明星店铺!H864</f>
        <v>0</v>
      </c>
      <c r="H523" s="62">
        <v>2000</v>
      </c>
      <c r="I523" s="176">
        <f t="shared" ref="I523:I564" si="84">J523/$AB523</f>
        <v>0.439219559104633</v>
      </c>
      <c r="J523" s="443">
        <f>直通车!B864</f>
        <v>1863.49</v>
      </c>
      <c r="K523" s="399">
        <f>直通车!C864</f>
        <v>5880</v>
      </c>
      <c r="L523" s="511">
        <f>直通车!D864</f>
        <v>518</v>
      </c>
      <c r="M523" s="325">
        <f>直通车!G864+直通车!H864</f>
        <v>32</v>
      </c>
      <c r="N523" s="62">
        <v>400</v>
      </c>
      <c r="O523" s="176">
        <f t="shared" ref="O523:O563" si="85">P523/$AB523</f>
        <v>0.0825765485901766</v>
      </c>
      <c r="P523" s="443">
        <f>引力魔方!B763</f>
        <v>350.35</v>
      </c>
      <c r="Q523" s="398">
        <f>引力魔方!C763</f>
        <v>339522</v>
      </c>
      <c r="R523" s="399">
        <f>引力魔方!D763</f>
        <v>1368</v>
      </c>
      <c r="S523" s="325">
        <f>引力魔方!G763+引力魔方!H763</f>
        <v>48</v>
      </c>
      <c r="T523" s="326">
        <v>2000</v>
      </c>
      <c r="U523" s="176">
        <f t="shared" ref="U523:U563" si="86">V523/$AB523</f>
        <v>0.477968195006517</v>
      </c>
      <c r="V523" s="326">
        <f>万相台!B352</f>
        <v>2027.89</v>
      </c>
      <c r="W523" s="417">
        <f>万相台!C352</f>
        <v>82072</v>
      </c>
      <c r="X523" s="417">
        <f>万相台!D352</f>
        <v>1553</v>
      </c>
      <c r="Y523" s="306">
        <f>万相台!G352+万相台!H352</f>
        <v>235</v>
      </c>
      <c r="AA523" s="68">
        <f t="shared" ref="AA523:AA563" si="87">B523+H523+N523+T523</f>
        <v>4800</v>
      </c>
      <c r="AB523" s="69">
        <f t="shared" ref="AB523:AB557" si="88">D523+J523+P523+V523</f>
        <v>4242.73</v>
      </c>
      <c r="AC523" s="70">
        <f t="shared" ref="AC523:AC557" si="89">G523+M523+S523+Y523</f>
        <v>315</v>
      </c>
      <c r="AD523" s="505">
        <f t="shared" ref="AD523:AD557" si="90">AB523/AC523</f>
        <v>13.4689841269841</v>
      </c>
      <c r="AE523" s="506">
        <f t="shared" ref="AE523:AE557" si="91">AC523/AF523</f>
        <v>0.0915697674418605</v>
      </c>
      <c r="AF523" s="69">
        <f t="shared" ref="AF523:AF557" si="92">F523+L523+R523+X523</f>
        <v>3440</v>
      </c>
      <c r="AG523" s="71">
        <f t="shared" ref="AG523:AG557" si="93">AB523/AF523</f>
        <v>1.23335174418605</v>
      </c>
      <c r="AH523" s="71">
        <f t="shared" ref="AH523:AH557" si="94">AB523/((E523+K523+Q523+W523)/1000)</f>
        <v>9.92509503479736</v>
      </c>
    </row>
    <row r="524" spans="1:34">
      <c r="A524" s="304">
        <v>45512</v>
      </c>
      <c r="B524" s="62">
        <v>400</v>
      </c>
      <c r="C524" s="176">
        <f t="shared" si="83"/>
        <v>0</v>
      </c>
      <c r="D524" s="443">
        <f>明星店铺!B865</f>
        <v>0</v>
      </c>
      <c r="E524" s="404">
        <f>明星店铺!C865</f>
        <v>0</v>
      </c>
      <c r="F524" s="404">
        <f>明星店铺!D865</f>
        <v>0</v>
      </c>
      <c r="G524" s="325">
        <f>明星店铺!G865+明星店铺!H865</f>
        <v>0</v>
      </c>
      <c r="H524" s="62">
        <v>2000</v>
      </c>
      <c r="I524" s="176">
        <f t="shared" si="84"/>
        <v>0.441178983340453</v>
      </c>
      <c r="J524" s="443">
        <f>直通车!B865</f>
        <v>1859.04</v>
      </c>
      <c r="K524" s="399">
        <f>直通车!C865</f>
        <v>4514</v>
      </c>
      <c r="L524" s="511">
        <f>直通车!D865</f>
        <v>562</v>
      </c>
      <c r="M524" s="325">
        <f>直通车!G865+直通车!H865</f>
        <v>28</v>
      </c>
      <c r="N524" s="62">
        <v>400</v>
      </c>
      <c r="O524" s="176">
        <f t="shared" si="85"/>
        <v>0.0820447102377901</v>
      </c>
      <c r="P524" s="443">
        <f>引力魔方!B764</f>
        <v>345.72</v>
      </c>
      <c r="Q524" s="398">
        <f>引力魔方!C764</f>
        <v>318180</v>
      </c>
      <c r="R524" s="399">
        <f>引力魔方!D764</f>
        <v>1360</v>
      </c>
      <c r="S524" s="325">
        <f>引力魔方!G764+引力魔方!H764</f>
        <v>49</v>
      </c>
      <c r="T524" s="326">
        <v>2000</v>
      </c>
      <c r="U524" s="176">
        <f t="shared" si="86"/>
        <v>0.476776306421757</v>
      </c>
      <c r="V524" s="326">
        <f>万相台!B353</f>
        <v>2009.04</v>
      </c>
      <c r="W524" s="417">
        <f>万相台!C353</f>
        <v>91080</v>
      </c>
      <c r="X524" s="417">
        <f>万相台!D353</f>
        <v>1439</v>
      </c>
      <c r="Y524" s="306">
        <f>万相台!G353+万相台!H353</f>
        <v>213</v>
      </c>
      <c r="AA524" s="68">
        <f t="shared" si="87"/>
        <v>4800</v>
      </c>
      <c r="AB524" s="69">
        <f t="shared" si="88"/>
        <v>4213.8</v>
      </c>
      <c r="AC524" s="70">
        <f t="shared" si="89"/>
        <v>290</v>
      </c>
      <c r="AD524" s="505">
        <f t="shared" si="90"/>
        <v>14.5303448275862</v>
      </c>
      <c r="AE524" s="506">
        <f t="shared" si="91"/>
        <v>0.0862838440940196</v>
      </c>
      <c r="AF524" s="69">
        <f t="shared" si="92"/>
        <v>3361</v>
      </c>
      <c r="AG524" s="71">
        <f t="shared" si="93"/>
        <v>1.25373400773579</v>
      </c>
      <c r="AH524" s="71">
        <f t="shared" si="94"/>
        <v>10.1838201530304</v>
      </c>
    </row>
    <row r="525" spans="1:34">
      <c r="A525" s="304">
        <v>45513</v>
      </c>
      <c r="B525" s="62">
        <v>400</v>
      </c>
      <c r="C525" s="176">
        <f t="shared" si="83"/>
        <v>0.0507029498767257</v>
      </c>
      <c r="D525" s="443">
        <f>明星店铺!B866</f>
        <v>203.8</v>
      </c>
      <c r="E525" s="404">
        <f>明星店铺!C866</f>
        <v>177</v>
      </c>
      <c r="F525" s="404">
        <f>明星店铺!D866</f>
        <v>62</v>
      </c>
      <c r="G525" s="325">
        <f>明星店铺!G866+明星店铺!H866</f>
        <v>14</v>
      </c>
      <c r="H525" s="62">
        <v>2000</v>
      </c>
      <c r="I525" s="176">
        <f t="shared" si="84"/>
        <v>0.412430432716588</v>
      </c>
      <c r="J525" s="443">
        <f>直通车!B866</f>
        <v>1657.76</v>
      </c>
      <c r="K525" s="399">
        <f>直通车!C866</f>
        <v>4730</v>
      </c>
      <c r="L525" s="511">
        <f>直通车!D866</f>
        <v>506</v>
      </c>
      <c r="M525" s="325">
        <f>直通车!G866+直通车!H866</f>
        <v>28</v>
      </c>
      <c r="N525" s="62">
        <v>400</v>
      </c>
      <c r="O525" s="176">
        <f t="shared" si="85"/>
        <v>0.0864363389385221</v>
      </c>
      <c r="P525" s="443">
        <f>引力魔方!B765</f>
        <v>347.43</v>
      </c>
      <c r="Q525" s="398">
        <f>引力魔方!C765</f>
        <v>307117</v>
      </c>
      <c r="R525" s="399">
        <f>引力魔方!D765</f>
        <v>1268</v>
      </c>
      <c r="S525" s="325">
        <f>引力魔方!G765+引力魔方!H765</f>
        <v>59</v>
      </c>
      <c r="T525" s="326">
        <v>2000</v>
      </c>
      <c r="U525" s="176">
        <f t="shared" si="86"/>
        <v>0.450430278468164</v>
      </c>
      <c r="V525" s="326">
        <f>万相台!B354</f>
        <v>1810.5</v>
      </c>
      <c r="W525" s="417">
        <f>万相台!C354</f>
        <v>80816</v>
      </c>
      <c r="X525" s="417">
        <f>万相台!D354</f>
        <v>1396</v>
      </c>
      <c r="Y525" s="306">
        <f>万相台!G354+万相台!H354</f>
        <v>184</v>
      </c>
      <c r="AA525" s="68">
        <f t="shared" si="87"/>
        <v>4800</v>
      </c>
      <c r="AB525" s="69">
        <f t="shared" si="88"/>
        <v>4019.49</v>
      </c>
      <c r="AC525" s="70">
        <f t="shared" si="89"/>
        <v>285</v>
      </c>
      <c r="AD525" s="505">
        <f t="shared" si="90"/>
        <v>14.1034736842105</v>
      </c>
      <c r="AE525" s="506">
        <f t="shared" si="91"/>
        <v>0.0881806930693069</v>
      </c>
      <c r="AF525" s="69">
        <f t="shared" si="92"/>
        <v>3232</v>
      </c>
      <c r="AG525" s="71">
        <f t="shared" si="93"/>
        <v>1.24365408415842</v>
      </c>
      <c r="AH525" s="71">
        <f t="shared" si="94"/>
        <v>10.2318755727523</v>
      </c>
    </row>
    <row r="526" spans="1:34">
      <c r="A526" s="304">
        <v>45514</v>
      </c>
      <c r="B526" s="62">
        <v>400</v>
      </c>
      <c r="C526" s="176">
        <f t="shared" si="83"/>
        <v>0.092245023000225</v>
      </c>
      <c r="D526" s="443">
        <f>明星店铺!B867</f>
        <v>385.42</v>
      </c>
      <c r="E526" s="404">
        <f>明星店铺!C867</f>
        <v>322</v>
      </c>
      <c r="F526" s="404">
        <f>明星店铺!D867</f>
        <v>132</v>
      </c>
      <c r="G526" s="325">
        <f>明星店铺!G867+明星店铺!H867</f>
        <v>34</v>
      </c>
      <c r="H526" s="62">
        <v>2000</v>
      </c>
      <c r="I526" s="176">
        <f t="shared" si="84"/>
        <v>0.389618067023757</v>
      </c>
      <c r="J526" s="443">
        <f>直通车!B867</f>
        <v>1627.91</v>
      </c>
      <c r="K526" s="399">
        <f>直通车!C867</f>
        <v>5326</v>
      </c>
      <c r="L526" s="511">
        <f>直通车!D867</f>
        <v>493</v>
      </c>
      <c r="M526" s="325">
        <f>直通车!G867+直通车!H867</f>
        <v>33</v>
      </c>
      <c r="N526" s="62">
        <v>400</v>
      </c>
      <c r="O526" s="176">
        <f t="shared" si="85"/>
        <v>0.0830042458271704</v>
      </c>
      <c r="P526" s="443">
        <f>引力魔方!B766</f>
        <v>346.81</v>
      </c>
      <c r="Q526" s="398">
        <f>引力魔方!C766</f>
        <v>323565</v>
      </c>
      <c r="R526" s="399">
        <f>引力魔方!D766</f>
        <v>1492</v>
      </c>
      <c r="S526" s="325">
        <f>引力魔方!G766+引力魔方!H766</f>
        <v>52</v>
      </c>
      <c r="T526" s="326">
        <v>2000</v>
      </c>
      <c r="U526" s="176">
        <f t="shared" si="86"/>
        <v>0.435132664148848</v>
      </c>
      <c r="V526" s="326">
        <f>万相台!B355</f>
        <v>1818.08</v>
      </c>
      <c r="W526" s="417">
        <f>万相台!C355</f>
        <v>167336</v>
      </c>
      <c r="X526" s="417">
        <f>万相台!D355</f>
        <v>1728</v>
      </c>
      <c r="Y526" s="306">
        <f>万相台!G355+万相台!H355</f>
        <v>183</v>
      </c>
      <c r="AA526" s="68">
        <f t="shared" si="87"/>
        <v>4800</v>
      </c>
      <c r="AB526" s="69">
        <f t="shared" si="88"/>
        <v>4178.22</v>
      </c>
      <c r="AC526" s="70">
        <f t="shared" si="89"/>
        <v>302</v>
      </c>
      <c r="AD526" s="505">
        <f t="shared" si="90"/>
        <v>13.8351655629139</v>
      </c>
      <c r="AE526" s="506">
        <f t="shared" si="91"/>
        <v>0.0785435630689207</v>
      </c>
      <c r="AF526" s="69">
        <f t="shared" si="92"/>
        <v>3845</v>
      </c>
      <c r="AG526" s="71">
        <f t="shared" si="93"/>
        <v>1.08666319895969</v>
      </c>
      <c r="AH526" s="71">
        <f t="shared" si="94"/>
        <v>8.41451699630852</v>
      </c>
    </row>
    <row r="527" spans="1:34">
      <c r="A527" s="304">
        <v>45515</v>
      </c>
      <c r="B527" s="62">
        <v>400</v>
      </c>
      <c r="C527" s="176">
        <f t="shared" si="83"/>
        <v>0.0961041972819541</v>
      </c>
      <c r="D527" s="443">
        <f>明星店铺!B868</f>
        <v>406.12</v>
      </c>
      <c r="E527" s="404">
        <f>明星店铺!C868</f>
        <v>348</v>
      </c>
      <c r="F527" s="404">
        <f>明星店铺!D868</f>
        <v>122</v>
      </c>
      <c r="G527" s="325">
        <f>明星店铺!G868+明星店铺!H868</f>
        <v>25</v>
      </c>
      <c r="H527" s="62">
        <v>2000</v>
      </c>
      <c r="I527" s="176">
        <f t="shared" si="84"/>
        <v>0.391075835989616</v>
      </c>
      <c r="J527" s="443">
        <f>直通车!B868</f>
        <v>1652.62</v>
      </c>
      <c r="K527" s="399">
        <f>直通车!C868</f>
        <v>4541</v>
      </c>
      <c r="L527" s="511">
        <f>直通车!D868</f>
        <v>503</v>
      </c>
      <c r="M527" s="325">
        <f>直通车!G868+直通车!H868</f>
        <v>31</v>
      </c>
      <c r="N527" s="62">
        <v>400</v>
      </c>
      <c r="O527" s="176">
        <f t="shared" si="85"/>
        <v>0.0826015244342532</v>
      </c>
      <c r="P527" s="443">
        <f>引力魔方!B767</f>
        <v>349.06</v>
      </c>
      <c r="Q527" s="398">
        <f>引力魔方!C767</f>
        <v>395398</v>
      </c>
      <c r="R527" s="399">
        <f>引力魔方!D767</f>
        <v>1677</v>
      </c>
      <c r="S527" s="325">
        <f>引力魔方!G767+引力魔方!H767</f>
        <v>51</v>
      </c>
      <c r="T527" s="326">
        <v>2000</v>
      </c>
      <c r="U527" s="176">
        <f t="shared" si="86"/>
        <v>0.430218442294177</v>
      </c>
      <c r="V527" s="326">
        <f>万相台!B356</f>
        <v>1818.03</v>
      </c>
      <c r="W527" s="417">
        <f>万相台!C356</f>
        <v>118085</v>
      </c>
      <c r="X527" s="417">
        <f>万相台!D356</f>
        <v>2159</v>
      </c>
      <c r="Y527" s="306">
        <f>万相台!G356+万相台!H356</f>
        <v>218</v>
      </c>
      <c r="AA527" s="68">
        <f t="shared" si="87"/>
        <v>4800</v>
      </c>
      <c r="AB527" s="69">
        <f t="shared" si="88"/>
        <v>4225.83</v>
      </c>
      <c r="AC527" s="70">
        <f t="shared" si="89"/>
        <v>325</v>
      </c>
      <c r="AD527" s="505">
        <f t="shared" si="90"/>
        <v>13.0025538461538</v>
      </c>
      <c r="AE527" s="506">
        <f t="shared" si="91"/>
        <v>0.0728536202645147</v>
      </c>
      <c r="AF527" s="69">
        <f t="shared" si="92"/>
        <v>4461</v>
      </c>
      <c r="AG527" s="71">
        <f t="shared" si="93"/>
        <v>0.947283120376597</v>
      </c>
      <c r="AH527" s="71">
        <f t="shared" si="94"/>
        <v>8.15211855578619</v>
      </c>
    </row>
    <row r="528" spans="1:34">
      <c r="A528" s="304">
        <v>45516</v>
      </c>
      <c r="B528" s="62">
        <v>400</v>
      </c>
      <c r="C528" s="176">
        <f t="shared" si="83"/>
        <v>0.0938031648920525</v>
      </c>
      <c r="D528" s="443">
        <f>明星店铺!B869</f>
        <v>398.64</v>
      </c>
      <c r="E528" s="404">
        <f>明星店铺!C869</f>
        <v>354</v>
      </c>
      <c r="F528" s="404">
        <f>明星店铺!D869</f>
        <v>147</v>
      </c>
      <c r="G528" s="325">
        <f>明星店铺!G869+明星店铺!H869</f>
        <v>25</v>
      </c>
      <c r="H528" s="62">
        <v>2000</v>
      </c>
      <c r="I528" s="176">
        <f t="shared" si="84"/>
        <v>0.392768986410965</v>
      </c>
      <c r="J528" s="443">
        <f>直通车!B869</f>
        <v>1669.17</v>
      </c>
      <c r="K528" s="399">
        <f>直通车!C869</f>
        <v>5238</v>
      </c>
      <c r="L528" s="511">
        <f>直通车!D869</f>
        <v>540</v>
      </c>
      <c r="M528" s="325">
        <f>直通车!G869+直通车!H869</f>
        <v>43</v>
      </c>
      <c r="N528" s="62">
        <v>400</v>
      </c>
      <c r="O528" s="176">
        <f t="shared" si="85"/>
        <v>0.0815106770986529</v>
      </c>
      <c r="P528" s="443">
        <f>引力魔方!B768</f>
        <v>346.4</v>
      </c>
      <c r="Q528" s="398">
        <f>引力魔方!C768</f>
        <v>390153</v>
      </c>
      <c r="R528" s="399">
        <f>引力魔方!D768</f>
        <v>1653</v>
      </c>
      <c r="S528" s="325">
        <f>引力魔方!G768+引力魔方!H768</f>
        <v>61</v>
      </c>
      <c r="T528" s="326">
        <v>2000</v>
      </c>
      <c r="U528" s="176">
        <f t="shared" si="86"/>
        <v>0.431917171598329</v>
      </c>
      <c r="V528" s="326">
        <f>万相台!B357</f>
        <v>1835.54</v>
      </c>
      <c r="W528" s="417">
        <f>万相台!C357</f>
        <v>120270</v>
      </c>
      <c r="X528" s="417">
        <f>万相台!D357</f>
        <v>2008</v>
      </c>
      <c r="Y528" s="306">
        <f>万相台!G357+万相台!H357</f>
        <v>217</v>
      </c>
      <c r="AA528" s="68">
        <f t="shared" si="87"/>
        <v>4800</v>
      </c>
      <c r="AB528" s="69">
        <f t="shared" si="88"/>
        <v>4249.75</v>
      </c>
      <c r="AC528" s="70">
        <f t="shared" si="89"/>
        <v>346</v>
      </c>
      <c r="AD528" s="505">
        <f t="shared" si="90"/>
        <v>12.2825144508671</v>
      </c>
      <c r="AE528" s="506">
        <f t="shared" si="91"/>
        <v>0.0795768169273229</v>
      </c>
      <c r="AF528" s="69">
        <f t="shared" si="92"/>
        <v>4348</v>
      </c>
      <c r="AG528" s="71">
        <f t="shared" si="93"/>
        <v>0.977403403863845</v>
      </c>
      <c r="AH528" s="71">
        <f t="shared" si="94"/>
        <v>8.2357102022228</v>
      </c>
    </row>
    <row r="529" spans="1:34">
      <c r="A529" s="304">
        <v>45517</v>
      </c>
      <c r="B529" s="62">
        <v>400</v>
      </c>
      <c r="C529" s="176">
        <f t="shared" si="83"/>
        <v>0.0995675968572203</v>
      </c>
      <c r="D529" s="443">
        <f>明星店铺!B870</f>
        <v>459.38</v>
      </c>
      <c r="E529" s="404">
        <f>明星店铺!C870</f>
        <v>369</v>
      </c>
      <c r="F529" s="404">
        <f>明星店铺!D870</f>
        <v>181</v>
      </c>
      <c r="G529" s="325">
        <f>明星店铺!G870+明星店铺!H870</f>
        <v>28</v>
      </c>
      <c r="H529" s="62">
        <v>2000</v>
      </c>
      <c r="I529" s="176">
        <f t="shared" si="84"/>
        <v>0.362852343538336</v>
      </c>
      <c r="J529" s="443">
        <f>直通车!B870</f>
        <v>1674.11</v>
      </c>
      <c r="K529" s="399">
        <f>直通车!C870</f>
        <v>4578</v>
      </c>
      <c r="L529" s="511">
        <f>直通车!D870</f>
        <v>530</v>
      </c>
      <c r="M529" s="325">
        <f>直通车!G870+直通车!H870</f>
        <v>46</v>
      </c>
      <c r="N529" s="62">
        <v>400</v>
      </c>
      <c r="O529" s="176">
        <f t="shared" si="85"/>
        <v>0.105437008940666</v>
      </c>
      <c r="P529" s="443">
        <f>引力魔方!B769</f>
        <v>486.46</v>
      </c>
      <c r="Q529" s="398">
        <f>引力魔方!C769</f>
        <v>530417</v>
      </c>
      <c r="R529" s="399">
        <f>引力魔方!D769</f>
        <v>2251</v>
      </c>
      <c r="S529" s="325">
        <f>引力魔方!G769+引力魔方!H769</f>
        <v>81</v>
      </c>
      <c r="T529" s="326">
        <v>2000</v>
      </c>
      <c r="U529" s="176">
        <f t="shared" si="86"/>
        <v>0.432143050663777</v>
      </c>
      <c r="V529" s="326">
        <f>万相台!B358</f>
        <v>1993.8</v>
      </c>
      <c r="W529" s="417">
        <f>万相台!C358</f>
        <v>157226</v>
      </c>
      <c r="X529" s="417">
        <f>万相台!D358</f>
        <v>2318</v>
      </c>
      <c r="Y529" s="306">
        <f>万相台!G358+万相台!H358</f>
        <v>252</v>
      </c>
      <c r="AA529" s="68">
        <f t="shared" si="87"/>
        <v>4800</v>
      </c>
      <c r="AB529" s="69">
        <f t="shared" si="88"/>
        <v>4613.75</v>
      </c>
      <c r="AC529" s="70">
        <f t="shared" si="89"/>
        <v>407</v>
      </c>
      <c r="AD529" s="505">
        <f t="shared" si="90"/>
        <v>11.3359950859951</v>
      </c>
      <c r="AE529" s="506">
        <f t="shared" si="91"/>
        <v>0.0770833333333333</v>
      </c>
      <c r="AF529" s="69">
        <f t="shared" si="92"/>
        <v>5280</v>
      </c>
      <c r="AG529" s="71">
        <f t="shared" si="93"/>
        <v>0.873816287878788</v>
      </c>
      <c r="AH529" s="71">
        <f t="shared" si="94"/>
        <v>6.66158910755281</v>
      </c>
    </row>
    <row r="530" spans="1:34">
      <c r="A530" s="304">
        <v>45518</v>
      </c>
      <c r="B530" s="62">
        <v>400</v>
      </c>
      <c r="C530" s="176">
        <f t="shared" si="83"/>
        <v>0.0822561669647725</v>
      </c>
      <c r="D530" s="443">
        <f>明星店铺!B871</f>
        <v>429.99</v>
      </c>
      <c r="E530" s="404">
        <f>明星店铺!C871</f>
        <v>327</v>
      </c>
      <c r="F530" s="404">
        <f>明星店铺!D871</f>
        <v>111</v>
      </c>
      <c r="G530" s="325">
        <f>明星店铺!G871+明星店铺!H871</f>
        <v>23</v>
      </c>
      <c r="H530" s="62">
        <v>2000</v>
      </c>
      <c r="I530" s="176">
        <f t="shared" si="84"/>
        <v>0.346449989956862</v>
      </c>
      <c r="J530" s="443">
        <f>直通车!B871</f>
        <v>1811.05</v>
      </c>
      <c r="K530" s="399">
        <f>直通车!C871</f>
        <v>6140</v>
      </c>
      <c r="L530" s="511">
        <f>直通车!D871</f>
        <v>603</v>
      </c>
      <c r="M530" s="325">
        <f>直通车!G871+直通车!H871</f>
        <v>35</v>
      </c>
      <c r="N530" s="62">
        <v>400</v>
      </c>
      <c r="O530" s="176">
        <f t="shared" si="85"/>
        <v>0.0936804751838851</v>
      </c>
      <c r="P530" s="443">
        <f>引力魔方!B770</f>
        <v>489.71</v>
      </c>
      <c r="Q530" s="398">
        <f>引力魔方!C770</f>
        <v>540628</v>
      </c>
      <c r="R530" s="399">
        <f>引力魔方!D770</f>
        <v>2275</v>
      </c>
      <c r="S530" s="325">
        <f>引力魔方!G770+引力魔方!H770</f>
        <v>73</v>
      </c>
      <c r="T530" s="326">
        <v>2000</v>
      </c>
      <c r="U530" s="176">
        <f t="shared" si="86"/>
        <v>0.47761336789448</v>
      </c>
      <c r="V530" s="326">
        <f>万相台!B359</f>
        <v>2496.7</v>
      </c>
      <c r="W530" s="417">
        <f>万相台!C359</f>
        <v>189778</v>
      </c>
      <c r="X530" s="417">
        <f>万相台!D359</f>
        <v>3253</v>
      </c>
      <c r="Y530" s="306">
        <f>万相台!G359+万相台!H359</f>
        <v>274</v>
      </c>
      <c r="AA530" s="68">
        <f t="shared" si="87"/>
        <v>4800</v>
      </c>
      <c r="AB530" s="69">
        <f t="shared" si="88"/>
        <v>5227.45</v>
      </c>
      <c r="AC530" s="70">
        <f t="shared" si="89"/>
        <v>405</v>
      </c>
      <c r="AD530" s="505">
        <f t="shared" si="90"/>
        <v>12.9072839506173</v>
      </c>
      <c r="AE530" s="506">
        <f t="shared" si="91"/>
        <v>0.0648830503043896</v>
      </c>
      <c r="AF530" s="69">
        <f t="shared" si="92"/>
        <v>6242</v>
      </c>
      <c r="AG530" s="71">
        <f t="shared" si="93"/>
        <v>0.837463953860942</v>
      </c>
      <c r="AH530" s="71">
        <f t="shared" si="94"/>
        <v>7.09409898313549</v>
      </c>
    </row>
    <row r="531" spans="1:34">
      <c r="A531" s="304">
        <v>45519</v>
      </c>
      <c r="B531" s="62">
        <v>400</v>
      </c>
      <c r="C531" s="176">
        <f t="shared" si="83"/>
        <v>0.0901892120634907</v>
      </c>
      <c r="D531" s="443">
        <f>明星店铺!B872</f>
        <v>433.71</v>
      </c>
      <c r="E531" s="404">
        <f>明星店铺!C872</f>
        <v>361</v>
      </c>
      <c r="F531" s="404">
        <f>明星店铺!D872</f>
        <v>146</v>
      </c>
      <c r="G531" s="325">
        <f>明星店铺!G872+明星店铺!H872</f>
        <v>28</v>
      </c>
      <c r="H531" s="62">
        <v>2000</v>
      </c>
      <c r="I531" s="176">
        <f t="shared" si="84"/>
        <v>0.387074771932816</v>
      </c>
      <c r="J531" s="443">
        <f>直通车!B872</f>
        <v>1861.4</v>
      </c>
      <c r="K531" s="399">
        <f>直通车!C872</f>
        <v>6245</v>
      </c>
      <c r="L531" s="511">
        <f>直通车!D872</f>
        <v>579</v>
      </c>
      <c r="M531" s="325">
        <f>直通车!G872+直通车!H872</f>
        <v>60</v>
      </c>
      <c r="N531" s="62">
        <v>400</v>
      </c>
      <c r="O531" s="176">
        <f t="shared" si="85"/>
        <v>0.100852795551572</v>
      </c>
      <c r="P531" s="443">
        <f>引力魔方!B771</f>
        <v>484.99</v>
      </c>
      <c r="Q531" s="398">
        <f>引力魔方!C771</f>
        <v>560098</v>
      </c>
      <c r="R531" s="399">
        <f>引力魔方!D771</f>
        <v>2196</v>
      </c>
      <c r="S531" s="325">
        <f>引力魔方!G771+引力魔方!H771</f>
        <v>75</v>
      </c>
      <c r="T531" s="326">
        <v>2000</v>
      </c>
      <c r="U531" s="176">
        <f t="shared" si="86"/>
        <v>0.421883220452121</v>
      </c>
      <c r="V531" s="326">
        <f>万相台!B360</f>
        <v>2028.79</v>
      </c>
      <c r="W531" s="417">
        <f>万相台!C360</f>
        <v>158488</v>
      </c>
      <c r="X531" s="417">
        <f>万相台!D360</f>
        <v>2303</v>
      </c>
      <c r="Y531" s="306">
        <f>万相台!G360+万相台!H360</f>
        <v>249</v>
      </c>
      <c r="AA531" s="68">
        <f t="shared" si="87"/>
        <v>4800</v>
      </c>
      <c r="AB531" s="69">
        <f t="shared" si="88"/>
        <v>4808.89</v>
      </c>
      <c r="AC531" s="70">
        <f t="shared" si="89"/>
        <v>412</v>
      </c>
      <c r="AD531" s="505">
        <f t="shared" si="90"/>
        <v>11.6720631067961</v>
      </c>
      <c r="AE531" s="506">
        <f t="shared" si="91"/>
        <v>0.0788667687595712</v>
      </c>
      <c r="AF531" s="69">
        <f t="shared" si="92"/>
        <v>5224</v>
      </c>
      <c r="AG531" s="71">
        <f t="shared" si="93"/>
        <v>0.920537901990812</v>
      </c>
      <c r="AH531" s="71">
        <f t="shared" si="94"/>
        <v>6.63119560061336</v>
      </c>
    </row>
    <row r="532" spans="1:34">
      <c r="A532" s="304">
        <v>45520</v>
      </c>
      <c r="B532" s="62">
        <v>400</v>
      </c>
      <c r="C532" s="176">
        <f t="shared" si="83"/>
        <v>0.0799909994856849</v>
      </c>
      <c r="D532" s="443">
        <f>明星店铺!B873</f>
        <v>373.27</v>
      </c>
      <c r="E532" s="404">
        <f>明星店铺!C873</f>
        <v>297</v>
      </c>
      <c r="F532" s="404">
        <f>明星店铺!D873</f>
        <v>113</v>
      </c>
      <c r="G532" s="325">
        <f>明星店铺!G873+明星店铺!H873</f>
        <v>37</v>
      </c>
      <c r="H532" s="62">
        <v>2000</v>
      </c>
      <c r="I532" s="176">
        <f t="shared" si="84"/>
        <v>0.380925338590777</v>
      </c>
      <c r="J532" s="443">
        <f>直通车!B873</f>
        <v>1777.55</v>
      </c>
      <c r="K532" s="399">
        <f>直通车!C873</f>
        <v>6456</v>
      </c>
      <c r="L532" s="511">
        <f>直通车!D873</f>
        <v>576</v>
      </c>
      <c r="M532" s="325">
        <f>直通车!G873+直通车!H873</f>
        <v>40</v>
      </c>
      <c r="N532" s="62">
        <v>400</v>
      </c>
      <c r="O532" s="176">
        <f t="shared" si="85"/>
        <v>0.104290245156866</v>
      </c>
      <c r="P532" s="443">
        <f>引力魔方!B772</f>
        <v>486.66</v>
      </c>
      <c r="Q532" s="398">
        <f>引力魔方!C772</f>
        <v>568195</v>
      </c>
      <c r="R532" s="399">
        <f>引力魔方!D772</f>
        <v>2197</v>
      </c>
      <c r="S532" s="325">
        <f>引力魔方!G772+引力魔方!H772</f>
        <v>92</v>
      </c>
      <c r="T532" s="326">
        <v>2000</v>
      </c>
      <c r="U532" s="176">
        <f t="shared" si="86"/>
        <v>0.434793416766672</v>
      </c>
      <c r="V532" s="326">
        <f>万相台!B361</f>
        <v>2028.92</v>
      </c>
      <c r="W532" s="417">
        <f>万相台!C361</f>
        <v>265889</v>
      </c>
      <c r="X532" s="417">
        <f>万相台!D361</f>
        <v>2604</v>
      </c>
      <c r="Y532" s="306">
        <f>万相台!G361+万相台!H361</f>
        <v>265</v>
      </c>
      <c r="AA532" s="68">
        <f t="shared" si="87"/>
        <v>4800</v>
      </c>
      <c r="AB532" s="69">
        <f t="shared" si="88"/>
        <v>4666.4</v>
      </c>
      <c r="AC532" s="70">
        <f t="shared" si="89"/>
        <v>434</v>
      </c>
      <c r="AD532" s="505">
        <f t="shared" si="90"/>
        <v>10.7520737327189</v>
      </c>
      <c r="AE532" s="506">
        <f t="shared" si="91"/>
        <v>0.0790528233151184</v>
      </c>
      <c r="AF532" s="69">
        <f t="shared" si="92"/>
        <v>5490</v>
      </c>
      <c r="AG532" s="71">
        <f t="shared" si="93"/>
        <v>0.849981785063752</v>
      </c>
      <c r="AH532" s="71">
        <f t="shared" si="94"/>
        <v>5.54970820741713</v>
      </c>
    </row>
    <row r="533" spans="1:34">
      <c r="A533" s="304">
        <v>45521</v>
      </c>
      <c r="B533" s="62">
        <v>400</v>
      </c>
      <c r="C533" s="176">
        <f t="shared" si="83"/>
        <v>0.0710042420588356</v>
      </c>
      <c r="D533" s="443">
        <f>明星店铺!B874</f>
        <v>328.57</v>
      </c>
      <c r="E533" s="404">
        <f>明星店铺!C874</f>
        <v>290</v>
      </c>
      <c r="F533" s="404">
        <f>明星店铺!D874</f>
        <v>129</v>
      </c>
      <c r="G533" s="325">
        <f>明星店铺!G874+明星店铺!H874</f>
        <v>27</v>
      </c>
      <c r="H533" s="62">
        <v>2000</v>
      </c>
      <c r="I533" s="176">
        <f t="shared" si="84"/>
        <v>0.373156389992804</v>
      </c>
      <c r="J533" s="443">
        <f>直通车!B874</f>
        <v>1726.77</v>
      </c>
      <c r="K533" s="399">
        <f>直通车!C874</f>
        <v>6854</v>
      </c>
      <c r="L533" s="511">
        <f>直通车!D874</f>
        <v>566</v>
      </c>
      <c r="M533" s="325">
        <f>直通车!G874+直通车!H874</f>
        <v>49</v>
      </c>
      <c r="N533" s="62">
        <v>400</v>
      </c>
      <c r="O533" s="176">
        <f t="shared" si="85"/>
        <v>0.107445321093384</v>
      </c>
      <c r="P533" s="443">
        <f>引力魔方!B773</f>
        <v>497.2</v>
      </c>
      <c r="Q533" s="398">
        <f>引力魔方!C773</f>
        <v>633535</v>
      </c>
      <c r="R533" s="399">
        <f>引力魔方!D773</f>
        <v>2554</v>
      </c>
      <c r="S533" s="325">
        <f>引力魔方!G773+引力魔方!H773</f>
        <v>77</v>
      </c>
      <c r="T533" s="326">
        <v>2000</v>
      </c>
      <c r="U533" s="176">
        <f t="shared" si="86"/>
        <v>0.448394046854977</v>
      </c>
      <c r="V533" s="326">
        <f>万相台!B362</f>
        <v>2074.93</v>
      </c>
      <c r="W533" s="417">
        <f>万相台!C362</f>
        <v>276988</v>
      </c>
      <c r="X533" s="417">
        <f>万相台!D362</f>
        <v>2491</v>
      </c>
      <c r="Y533" s="306">
        <f>万相台!G362+万相台!H362</f>
        <v>222</v>
      </c>
      <c r="AA533" s="68">
        <f t="shared" si="87"/>
        <v>4800</v>
      </c>
      <c r="AB533" s="69">
        <f t="shared" si="88"/>
        <v>4627.47</v>
      </c>
      <c r="AC533" s="70">
        <f t="shared" si="89"/>
        <v>375</v>
      </c>
      <c r="AD533" s="505">
        <f t="shared" si="90"/>
        <v>12.33992</v>
      </c>
      <c r="AE533" s="506">
        <f t="shared" si="91"/>
        <v>0.0653310104529617</v>
      </c>
      <c r="AF533" s="69">
        <f t="shared" si="92"/>
        <v>5740</v>
      </c>
      <c r="AG533" s="71">
        <f t="shared" si="93"/>
        <v>0.806179442508711</v>
      </c>
      <c r="AH533" s="71">
        <f t="shared" si="94"/>
        <v>5.04264618865013</v>
      </c>
    </row>
    <row r="534" spans="1:34">
      <c r="A534" s="304">
        <v>45522</v>
      </c>
      <c r="B534" s="62">
        <v>400</v>
      </c>
      <c r="C534" s="176">
        <f t="shared" si="83"/>
        <v>0.0817083236333623</v>
      </c>
      <c r="D534" s="443">
        <f>明星店铺!B875</f>
        <v>386.08</v>
      </c>
      <c r="E534" s="404">
        <f>明星店铺!C875</f>
        <v>338</v>
      </c>
      <c r="F534" s="404">
        <f>明星店铺!D875</f>
        <v>140</v>
      </c>
      <c r="G534" s="325">
        <f>明星店铺!G875+明星店铺!H875</f>
        <v>24</v>
      </c>
      <c r="H534" s="62">
        <v>2000</v>
      </c>
      <c r="I534" s="176">
        <f t="shared" si="84"/>
        <v>0.388548390510254</v>
      </c>
      <c r="J534" s="443">
        <f>直通车!B875</f>
        <v>1835.93</v>
      </c>
      <c r="K534" s="399">
        <f>直通车!C875</f>
        <v>7476</v>
      </c>
      <c r="L534" s="511">
        <f>直通车!D875</f>
        <v>610</v>
      </c>
      <c r="M534" s="325">
        <f>直通车!G875+直通车!H875</f>
        <v>46</v>
      </c>
      <c r="N534" s="62">
        <v>400</v>
      </c>
      <c r="O534" s="176">
        <f t="shared" si="85"/>
        <v>0.100232799305835</v>
      </c>
      <c r="P534" s="443">
        <f>引力魔方!B774</f>
        <v>473.61</v>
      </c>
      <c r="Q534" s="398">
        <f>引力魔方!C774</f>
        <v>621670</v>
      </c>
      <c r="R534" s="399">
        <f>引力魔方!D774</f>
        <v>2444</v>
      </c>
      <c r="S534" s="325">
        <f>引力魔方!G774+引力魔方!H774</f>
        <v>74</v>
      </c>
      <c r="T534" s="326">
        <v>2000</v>
      </c>
      <c r="U534" s="176">
        <f t="shared" si="86"/>
        <v>0.429510486550549</v>
      </c>
      <c r="V534" s="326">
        <f>万相台!B363</f>
        <v>2029.48</v>
      </c>
      <c r="W534" s="417">
        <f>万相台!C363</f>
        <v>294988</v>
      </c>
      <c r="X534" s="417">
        <f>万相台!D363</f>
        <v>2550</v>
      </c>
      <c r="Y534" s="306">
        <f>万相台!G363+万相台!H363</f>
        <v>247</v>
      </c>
      <c r="AA534" s="68">
        <f t="shared" si="87"/>
        <v>4800</v>
      </c>
      <c r="AB534" s="69">
        <f t="shared" si="88"/>
        <v>4725.1</v>
      </c>
      <c r="AC534" s="70">
        <f t="shared" si="89"/>
        <v>391</v>
      </c>
      <c r="AD534" s="505">
        <f t="shared" si="90"/>
        <v>12.0846547314578</v>
      </c>
      <c r="AE534" s="506">
        <f t="shared" si="91"/>
        <v>0.0680710306406685</v>
      </c>
      <c r="AF534" s="69">
        <f t="shared" si="92"/>
        <v>5744</v>
      </c>
      <c r="AG534" s="71">
        <f t="shared" si="93"/>
        <v>0.822614902506964</v>
      </c>
      <c r="AH534" s="71">
        <f t="shared" si="94"/>
        <v>5.11113370659144</v>
      </c>
    </row>
    <row r="535" spans="1:34">
      <c r="A535" s="304">
        <v>45523</v>
      </c>
      <c r="B535" s="62">
        <v>400</v>
      </c>
      <c r="C535" s="176">
        <f t="shared" si="83"/>
        <v>0.0893633980781112</v>
      </c>
      <c r="D535" s="443">
        <f>明星店铺!B876</f>
        <v>423.78</v>
      </c>
      <c r="E535" s="404">
        <f>明星店铺!C876</f>
        <v>352</v>
      </c>
      <c r="F535" s="404">
        <f>明星店铺!D876</f>
        <v>113</v>
      </c>
      <c r="G535" s="325">
        <f>明星店铺!G876+明星店铺!H876</f>
        <v>33</v>
      </c>
      <c r="H535" s="62">
        <v>2000</v>
      </c>
      <c r="I535" s="176">
        <f t="shared" si="84"/>
        <v>0.385031451580592</v>
      </c>
      <c r="J535" s="443">
        <f>直通车!B876</f>
        <v>1825.9</v>
      </c>
      <c r="K535" s="399">
        <f>直通车!C876</f>
        <v>8269</v>
      </c>
      <c r="L535" s="511">
        <f>直通车!D876</f>
        <v>599</v>
      </c>
      <c r="M535" s="325">
        <f>直通车!G876+直通车!H876</f>
        <v>43</v>
      </c>
      <c r="N535" s="62">
        <v>400</v>
      </c>
      <c r="O535" s="176">
        <f t="shared" si="85"/>
        <v>0.101581330223672</v>
      </c>
      <c r="P535" s="443">
        <f>引力魔方!B775</f>
        <v>481.72</v>
      </c>
      <c r="Q535" s="398">
        <f>引力魔方!C775</f>
        <v>593363</v>
      </c>
      <c r="R535" s="399">
        <f>引力魔方!D775</f>
        <v>2181</v>
      </c>
      <c r="S535" s="325">
        <f>引力魔方!G775+引力魔方!H775</f>
        <v>68</v>
      </c>
      <c r="T535" s="326">
        <v>2000</v>
      </c>
      <c r="U535" s="176">
        <f t="shared" si="86"/>
        <v>0.424023820117624</v>
      </c>
      <c r="V535" s="326">
        <f>万相台!B364</f>
        <v>2010.81</v>
      </c>
      <c r="W535" s="417">
        <f>万相台!C364</f>
        <v>322387</v>
      </c>
      <c r="X535" s="417">
        <f>万相台!D364</f>
        <v>2503</v>
      </c>
      <c r="Y535" s="306">
        <f>万相台!G364+万相台!H364</f>
        <v>262</v>
      </c>
      <c r="AA535" s="68">
        <f t="shared" si="87"/>
        <v>4800</v>
      </c>
      <c r="AB535" s="69">
        <f t="shared" si="88"/>
        <v>4742.21</v>
      </c>
      <c r="AC535" s="70">
        <f t="shared" si="89"/>
        <v>406</v>
      </c>
      <c r="AD535" s="505">
        <f t="shared" si="90"/>
        <v>11.6803201970443</v>
      </c>
      <c r="AE535" s="506">
        <f t="shared" si="91"/>
        <v>0.075240919199407</v>
      </c>
      <c r="AF535" s="69">
        <f t="shared" si="92"/>
        <v>5396</v>
      </c>
      <c r="AG535" s="71">
        <f t="shared" si="93"/>
        <v>0.878838028169014</v>
      </c>
      <c r="AH535" s="71">
        <f t="shared" si="94"/>
        <v>5.13020205090813</v>
      </c>
    </row>
    <row r="536" spans="1:34">
      <c r="A536" s="304">
        <v>45524</v>
      </c>
      <c r="B536" s="62">
        <v>400</v>
      </c>
      <c r="C536" s="176">
        <f t="shared" si="83"/>
        <v>0.0942991748088048</v>
      </c>
      <c r="D536" s="443">
        <f>明星店铺!B877</f>
        <v>449.56</v>
      </c>
      <c r="E536" s="404">
        <f>明星店铺!C877</f>
        <v>380</v>
      </c>
      <c r="F536" s="404">
        <f>明星店铺!D877</f>
        <v>144</v>
      </c>
      <c r="G536" s="325">
        <f>明星店铺!G877+明星店铺!H877</f>
        <v>33</v>
      </c>
      <c r="H536" s="62">
        <v>2000</v>
      </c>
      <c r="I536" s="176">
        <f t="shared" si="84"/>
        <v>0.377238650999081</v>
      </c>
      <c r="J536" s="443">
        <f>直通车!B877</f>
        <v>1798.44</v>
      </c>
      <c r="K536" s="399">
        <f>直通车!C877</f>
        <v>6182</v>
      </c>
      <c r="L536" s="511">
        <f>直通车!D877</f>
        <v>549</v>
      </c>
      <c r="M536" s="325">
        <f>直通车!G877+直通车!H877</f>
        <v>36</v>
      </c>
      <c r="N536" s="62">
        <v>400</v>
      </c>
      <c r="O536" s="176">
        <f t="shared" si="85"/>
        <v>0.104034081612961</v>
      </c>
      <c r="P536" s="443">
        <f>引力魔方!B776</f>
        <v>495.97</v>
      </c>
      <c r="Q536" s="398">
        <f>引力魔方!C776</f>
        <v>501543</v>
      </c>
      <c r="R536" s="399">
        <f>引力魔方!D776</f>
        <v>2154</v>
      </c>
      <c r="S536" s="325">
        <f>引力魔方!G776+引力魔方!H776</f>
        <v>69</v>
      </c>
      <c r="T536" s="326">
        <v>2000</v>
      </c>
      <c r="U536" s="176">
        <f t="shared" si="86"/>
        <v>0.424428092579152</v>
      </c>
      <c r="V536" s="326">
        <f>万相台!B365</f>
        <v>2023.41</v>
      </c>
      <c r="W536" s="417">
        <f>万相台!C365</f>
        <v>292807</v>
      </c>
      <c r="X536" s="417">
        <f>万相台!D365</f>
        <v>2227</v>
      </c>
      <c r="Y536" s="306">
        <f>万相台!G365+万相台!H365</f>
        <v>215</v>
      </c>
      <c r="AA536" s="68">
        <f t="shared" si="87"/>
        <v>4800</v>
      </c>
      <c r="AB536" s="69">
        <f t="shared" si="88"/>
        <v>4767.38</v>
      </c>
      <c r="AC536" s="70">
        <f t="shared" si="89"/>
        <v>353</v>
      </c>
      <c r="AD536" s="505">
        <f t="shared" si="90"/>
        <v>13.5053257790368</v>
      </c>
      <c r="AE536" s="506">
        <f t="shared" si="91"/>
        <v>0.0695703586913678</v>
      </c>
      <c r="AF536" s="69">
        <f t="shared" si="92"/>
        <v>5074</v>
      </c>
      <c r="AG536" s="71">
        <f t="shared" si="93"/>
        <v>0.939570358691368</v>
      </c>
      <c r="AH536" s="71">
        <f t="shared" si="94"/>
        <v>5.95243921929001</v>
      </c>
    </row>
    <row r="537" spans="1:34">
      <c r="A537" s="304">
        <v>45525</v>
      </c>
      <c r="B537" s="62">
        <v>400</v>
      </c>
      <c r="C537" s="176">
        <f t="shared" si="83"/>
        <v>0.10050079816023</v>
      </c>
      <c r="D537" s="443">
        <f>明星店铺!B878</f>
        <v>477.22</v>
      </c>
      <c r="E537" s="404">
        <f>明星店铺!C878</f>
        <v>371</v>
      </c>
      <c r="F537" s="404">
        <f>明星店铺!D878</f>
        <v>118</v>
      </c>
      <c r="G537" s="325">
        <f>明星店铺!G878+明星店铺!H878</f>
        <v>28</v>
      </c>
      <c r="H537" s="62">
        <v>2000</v>
      </c>
      <c r="I537" s="176">
        <f t="shared" si="84"/>
        <v>0.371152930869637</v>
      </c>
      <c r="J537" s="443">
        <f>直通车!B878</f>
        <v>1762.39</v>
      </c>
      <c r="K537" s="399">
        <f>直通车!C878</f>
        <v>6017</v>
      </c>
      <c r="L537" s="511">
        <f>直通车!D878</f>
        <v>574</v>
      </c>
      <c r="M537" s="325">
        <f>直通车!G878+直通车!H878</f>
        <v>34</v>
      </c>
      <c r="N537" s="62">
        <v>400</v>
      </c>
      <c r="O537" s="176">
        <f t="shared" si="85"/>
        <v>0.103335425257243</v>
      </c>
      <c r="P537" s="443">
        <f>引力魔方!B777</f>
        <v>490.68</v>
      </c>
      <c r="Q537" s="398">
        <f>引力魔方!C777</f>
        <v>592508</v>
      </c>
      <c r="R537" s="399">
        <f>引力魔方!D777</f>
        <v>2464</v>
      </c>
      <c r="S537" s="325">
        <f>引力魔方!G777+引力魔方!H777</f>
        <v>55</v>
      </c>
      <c r="T537" s="326">
        <v>2000</v>
      </c>
      <c r="U537" s="176">
        <f t="shared" si="86"/>
        <v>0.42501084571289</v>
      </c>
      <c r="V537" s="326">
        <f>万相台!B366</f>
        <v>2018.13</v>
      </c>
      <c r="W537" s="417">
        <f>万相台!C366</f>
        <v>233787</v>
      </c>
      <c r="X537" s="417">
        <f>万相台!D366</f>
        <v>2198</v>
      </c>
      <c r="Y537" s="306">
        <f>万相台!G366+万相台!H366</f>
        <v>191</v>
      </c>
      <c r="AA537" s="68">
        <f t="shared" si="87"/>
        <v>4800</v>
      </c>
      <c r="AB537" s="69">
        <f t="shared" si="88"/>
        <v>4748.42</v>
      </c>
      <c r="AC537" s="70">
        <f t="shared" si="89"/>
        <v>308</v>
      </c>
      <c r="AD537" s="505">
        <f t="shared" si="90"/>
        <v>15.4169480519481</v>
      </c>
      <c r="AE537" s="506">
        <f t="shared" si="91"/>
        <v>0.057527082555099</v>
      </c>
      <c r="AF537" s="69">
        <f t="shared" si="92"/>
        <v>5354</v>
      </c>
      <c r="AG537" s="71">
        <f t="shared" si="93"/>
        <v>0.886892043332088</v>
      </c>
      <c r="AH537" s="71">
        <f t="shared" si="94"/>
        <v>5.70255427335493</v>
      </c>
    </row>
    <row r="538" spans="1:34">
      <c r="A538" s="304">
        <v>45526</v>
      </c>
      <c r="B538" s="62">
        <v>400</v>
      </c>
      <c r="C538" s="176">
        <f t="shared" si="83"/>
        <v>0.0891764920370589</v>
      </c>
      <c r="D538" s="443">
        <f>明星店铺!B879</f>
        <v>401.09</v>
      </c>
      <c r="E538" s="404">
        <f>明星店铺!C879</f>
        <v>319</v>
      </c>
      <c r="F538" s="404">
        <f>明星店铺!D879</f>
        <v>113</v>
      </c>
      <c r="G538" s="325">
        <f>明星店铺!G879+明星店铺!H879</f>
        <v>26</v>
      </c>
      <c r="H538" s="62">
        <v>2000</v>
      </c>
      <c r="I538" s="176">
        <f t="shared" si="84"/>
        <v>0.354640472596054</v>
      </c>
      <c r="J538" s="443">
        <f>直通车!B879</f>
        <v>1595.07</v>
      </c>
      <c r="K538" s="399">
        <f>直通车!C879</f>
        <v>6519</v>
      </c>
      <c r="L538" s="511">
        <f>直通车!D879</f>
        <v>523</v>
      </c>
      <c r="M538" s="325">
        <f>直通车!G879+直通车!H879</f>
        <v>39</v>
      </c>
      <c r="N538" s="62">
        <v>400</v>
      </c>
      <c r="O538" s="176">
        <f t="shared" si="85"/>
        <v>0.107303494444951</v>
      </c>
      <c r="P538" s="443">
        <f>引力魔方!B778</f>
        <v>482.62</v>
      </c>
      <c r="Q538" s="398">
        <f>引力魔方!C778</f>
        <v>641474</v>
      </c>
      <c r="R538" s="399">
        <f>引力魔方!D778</f>
        <v>2414</v>
      </c>
      <c r="S538" s="325">
        <f>引力魔方!G778+引力魔方!H778</f>
        <v>67</v>
      </c>
      <c r="T538" s="326">
        <v>2000</v>
      </c>
      <c r="U538" s="176">
        <f t="shared" si="86"/>
        <v>0.448879540921936</v>
      </c>
      <c r="V538" s="326">
        <f>万相台!B367</f>
        <v>2018.93</v>
      </c>
      <c r="W538" s="417">
        <f>万相台!C367</f>
        <v>310965</v>
      </c>
      <c r="X538" s="417">
        <f>万相台!D367</f>
        <v>2429</v>
      </c>
      <c r="Y538" s="306">
        <f>万相台!G367+万相台!H367</f>
        <v>238</v>
      </c>
      <c r="AA538" s="68">
        <f t="shared" si="87"/>
        <v>4800</v>
      </c>
      <c r="AB538" s="69">
        <f t="shared" si="88"/>
        <v>4497.71</v>
      </c>
      <c r="AC538" s="70">
        <f t="shared" si="89"/>
        <v>370</v>
      </c>
      <c r="AD538" s="505">
        <f t="shared" si="90"/>
        <v>12.155972972973</v>
      </c>
      <c r="AE538" s="506">
        <f t="shared" si="91"/>
        <v>0.06753057127213</v>
      </c>
      <c r="AF538" s="69">
        <f t="shared" si="92"/>
        <v>5479</v>
      </c>
      <c r="AG538" s="71">
        <f t="shared" si="93"/>
        <v>0.820899799233437</v>
      </c>
      <c r="AH538" s="71">
        <f t="shared" si="94"/>
        <v>4.68864571964094</v>
      </c>
    </row>
    <row r="539" spans="1:34">
      <c r="A539" s="304">
        <v>45527</v>
      </c>
      <c r="B539" s="62">
        <v>400</v>
      </c>
      <c r="C539" s="176">
        <f t="shared" si="83"/>
        <v>0.0807207863614591</v>
      </c>
      <c r="D539" s="443">
        <f>明星店铺!B880</f>
        <v>358.95</v>
      </c>
      <c r="E539" s="404">
        <f>明星店铺!C880</f>
        <v>302</v>
      </c>
      <c r="F539" s="404">
        <f>明星店铺!D880</f>
        <v>102</v>
      </c>
      <c r="G539" s="325">
        <f>明星店铺!G880+明星店铺!H880</f>
        <v>14</v>
      </c>
      <c r="H539" s="62">
        <v>2000</v>
      </c>
      <c r="I539" s="176">
        <f t="shared" si="84"/>
        <v>0.346131271630675</v>
      </c>
      <c r="J539" s="443">
        <f>直通车!B880</f>
        <v>1539.18</v>
      </c>
      <c r="K539" s="399">
        <f>直通车!C880</f>
        <v>7168</v>
      </c>
      <c r="L539" s="511">
        <f>直通车!D880</f>
        <v>484</v>
      </c>
      <c r="M539" s="325">
        <f>直通车!G880+直通车!H880</f>
        <v>20</v>
      </c>
      <c r="N539" s="62">
        <v>400</v>
      </c>
      <c r="O539" s="176">
        <f t="shared" si="85"/>
        <v>0.109896757450847</v>
      </c>
      <c r="P539" s="443">
        <f>引力魔方!B779</f>
        <v>488.69</v>
      </c>
      <c r="Q539" s="398">
        <f>引力魔方!C779</f>
        <v>689065</v>
      </c>
      <c r="R539" s="399">
        <f>引力魔方!D779</f>
        <v>2394</v>
      </c>
      <c r="S539" s="325">
        <f>引力魔方!G779+引力魔方!H779</f>
        <v>60</v>
      </c>
      <c r="T539" s="326">
        <v>2000</v>
      </c>
      <c r="U539" s="176">
        <f t="shared" si="86"/>
        <v>0.46325118455702</v>
      </c>
      <c r="V539" s="326">
        <f>万相台!B368</f>
        <v>2059.99</v>
      </c>
      <c r="W539" s="417">
        <f>万相台!C368</f>
        <v>275204</v>
      </c>
      <c r="X539" s="417">
        <f>万相台!D368</f>
        <v>2276</v>
      </c>
      <c r="Y539" s="306">
        <f>万相台!G368+万相台!H368</f>
        <v>206</v>
      </c>
      <c r="AA539" s="68">
        <f t="shared" si="87"/>
        <v>4800</v>
      </c>
      <c r="AB539" s="69">
        <f t="shared" si="88"/>
        <v>4446.81</v>
      </c>
      <c r="AC539" s="70">
        <f t="shared" si="89"/>
        <v>300</v>
      </c>
      <c r="AD539" s="505">
        <f t="shared" si="90"/>
        <v>14.8227</v>
      </c>
      <c r="AE539" s="506">
        <f t="shared" si="91"/>
        <v>0.0570776255707763</v>
      </c>
      <c r="AF539" s="69">
        <f t="shared" si="92"/>
        <v>5256</v>
      </c>
      <c r="AG539" s="71">
        <f t="shared" si="93"/>
        <v>0.846044520547945</v>
      </c>
      <c r="AH539" s="71">
        <f t="shared" si="94"/>
        <v>4.57613618471627</v>
      </c>
    </row>
    <row r="540" spans="1:34">
      <c r="A540" s="304">
        <v>45528</v>
      </c>
      <c r="B540" s="62">
        <v>400</v>
      </c>
      <c r="C540" s="176">
        <f t="shared" si="83"/>
        <v>0.101288368336026</v>
      </c>
      <c r="D540" s="443">
        <f>明星店铺!B881</f>
        <v>501.58</v>
      </c>
      <c r="E540" s="404">
        <f>明星店铺!C881</f>
        <v>415</v>
      </c>
      <c r="F540" s="404">
        <f>明星店铺!D881</f>
        <v>155</v>
      </c>
      <c r="G540" s="325">
        <f>明星店铺!G881+明星店铺!H881</f>
        <v>31</v>
      </c>
      <c r="H540" s="62">
        <v>2000</v>
      </c>
      <c r="I540" s="176">
        <f t="shared" si="84"/>
        <v>0.377134491114701</v>
      </c>
      <c r="J540" s="443">
        <f>直通车!B881</f>
        <v>1867.57</v>
      </c>
      <c r="K540" s="399">
        <f>直通车!C881</f>
        <v>6198</v>
      </c>
      <c r="L540" s="511">
        <f>直通车!D881</f>
        <v>574</v>
      </c>
      <c r="M540" s="325">
        <f>直通车!G881+直通车!H881</f>
        <v>38</v>
      </c>
      <c r="N540" s="62">
        <v>400</v>
      </c>
      <c r="O540" s="176">
        <f t="shared" si="85"/>
        <v>0.0982693861066236</v>
      </c>
      <c r="P540" s="443">
        <f>引力魔方!B780</f>
        <v>486.63</v>
      </c>
      <c r="Q540" s="398">
        <f>引力魔方!C780</f>
        <v>831799</v>
      </c>
      <c r="R540" s="399">
        <f>引力魔方!D780</f>
        <v>2780</v>
      </c>
      <c r="S540" s="325">
        <f>引力魔方!G780+引力魔方!H780</f>
        <v>51</v>
      </c>
      <c r="T540" s="326">
        <v>2000</v>
      </c>
      <c r="U540" s="176">
        <f t="shared" si="86"/>
        <v>0.423307754442649</v>
      </c>
      <c r="V540" s="326">
        <f>万相台!B369</f>
        <v>2096.22</v>
      </c>
      <c r="W540" s="417">
        <f>万相台!C369</f>
        <v>279692</v>
      </c>
      <c r="X540" s="417">
        <f>万相台!D369</f>
        <v>2746</v>
      </c>
      <c r="Y540" s="306">
        <f>万相台!G369+万相台!H369</f>
        <v>269</v>
      </c>
      <c r="AA540" s="68">
        <f t="shared" si="87"/>
        <v>4800</v>
      </c>
      <c r="AB540" s="69">
        <f t="shared" si="88"/>
        <v>4952</v>
      </c>
      <c r="AC540" s="70">
        <f t="shared" si="89"/>
        <v>389</v>
      </c>
      <c r="AD540" s="505">
        <f t="shared" si="90"/>
        <v>12.7300771208226</v>
      </c>
      <c r="AE540" s="506">
        <f t="shared" si="91"/>
        <v>0.0621902478017586</v>
      </c>
      <c r="AF540" s="69">
        <f t="shared" si="92"/>
        <v>6255</v>
      </c>
      <c r="AG540" s="71">
        <f t="shared" si="93"/>
        <v>0.791686650679456</v>
      </c>
      <c r="AH540" s="71">
        <f t="shared" si="94"/>
        <v>4.42892611063014</v>
      </c>
    </row>
    <row r="541" spans="1:34">
      <c r="A541" s="304">
        <v>45529</v>
      </c>
      <c r="B541" s="62">
        <v>400</v>
      </c>
      <c r="C541" s="176">
        <f t="shared" si="83"/>
        <v>0.0993687115315083</v>
      </c>
      <c r="D541" s="443">
        <f>明星店铺!B882</f>
        <v>478.2</v>
      </c>
      <c r="E541" s="404">
        <f>明星店铺!C882</f>
        <v>383</v>
      </c>
      <c r="F541" s="404">
        <f>明星店铺!D882</f>
        <v>132</v>
      </c>
      <c r="G541" s="325">
        <f>明星店铺!G882+明星店铺!H882</f>
        <v>31</v>
      </c>
      <c r="H541" s="62">
        <v>2000</v>
      </c>
      <c r="I541" s="176">
        <f t="shared" si="84"/>
        <v>0.36748552691184</v>
      </c>
      <c r="J541" s="443">
        <f>直通车!B882</f>
        <v>1768.48</v>
      </c>
      <c r="K541" s="399">
        <f>直通车!C882</f>
        <v>5968</v>
      </c>
      <c r="L541" s="511">
        <f>直通车!D882</f>
        <v>558</v>
      </c>
      <c r="M541" s="325">
        <f>直通车!G882+直通车!H882</f>
        <v>46</v>
      </c>
      <c r="N541" s="62">
        <v>400</v>
      </c>
      <c r="O541" s="176">
        <f t="shared" si="85"/>
        <v>0.102614506751337</v>
      </c>
      <c r="P541" s="443">
        <f>引力魔方!B781</f>
        <v>493.82</v>
      </c>
      <c r="Q541" s="398">
        <f>引力魔方!C781</f>
        <v>831678</v>
      </c>
      <c r="R541" s="399">
        <f>引力魔方!D781</f>
        <v>2671</v>
      </c>
      <c r="S541" s="325">
        <f>引力魔方!G781+引力魔方!H781</f>
        <v>57</v>
      </c>
      <c r="T541" s="326">
        <v>2000</v>
      </c>
      <c r="U541" s="176">
        <f t="shared" si="86"/>
        <v>0.430531254805315</v>
      </c>
      <c r="V541" s="326">
        <f>万相台!B370</f>
        <v>2071.88</v>
      </c>
      <c r="W541" s="417">
        <f>万相台!C370</f>
        <v>289047</v>
      </c>
      <c r="X541" s="417">
        <f>万相台!D370</f>
        <v>2493</v>
      </c>
      <c r="Y541" s="306">
        <f>万相台!G370+万相台!H370</f>
        <v>285</v>
      </c>
      <c r="AA541" s="68">
        <f t="shared" si="87"/>
        <v>4800</v>
      </c>
      <c r="AB541" s="69">
        <f t="shared" si="88"/>
        <v>4812.38</v>
      </c>
      <c r="AC541" s="70">
        <f t="shared" si="89"/>
        <v>419</v>
      </c>
      <c r="AD541" s="505">
        <f t="shared" si="90"/>
        <v>11.4853937947494</v>
      </c>
      <c r="AE541" s="506">
        <f t="shared" si="91"/>
        <v>0.0715749914588316</v>
      </c>
      <c r="AF541" s="69">
        <f t="shared" si="92"/>
        <v>5854</v>
      </c>
      <c r="AG541" s="71">
        <f t="shared" si="93"/>
        <v>0.822066962760506</v>
      </c>
      <c r="AH541" s="71">
        <f t="shared" si="94"/>
        <v>4.26979192175151</v>
      </c>
    </row>
    <row r="542" spans="1:34">
      <c r="A542" s="304">
        <v>45530</v>
      </c>
      <c r="B542" s="62">
        <v>400</v>
      </c>
      <c r="C542" s="176">
        <f t="shared" si="83"/>
        <v>0.0730952017334424</v>
      </c>
      <c r="D542" s="443">
        <f>明星店铺!B883</f>
        <v>483.41</v>
      </c>
      <c r="E542" s="404">
        <f>明星店铺!C883</f>
        <v>404</v>
      </c>
      <c r="F542" s="404">
        <f>明星店铺!D883</f>
        <v>166</v>
      </c>
      <c r="G542" s="325">
        <f>明星店铺!G883+明星店铺!H883</f>
        <v>33</v>
      </c>
      <c r="H542" s="62">
        <v>2000</v>
      </c>
      <c r="I542" s="176">
        <f t="shared" si="84"/>
        <v>0.335632190860113</v>
      </c>
      <c r="J542" s="443">
        <f>直通车!B883</f>
        <v>2219.68</v>
      </c>
      <c r="K542" s="399">
        <f>直通车!C883</f>
        <v>6487</v>
      </c>
      <c r="L542" s="511">
        <f>直通车!D883</f>
        <v>684</v>
      </c>
      <c r="M542" s="325">
        <f>直通车!G883+直通车!H883</f>
        <v>54</v>
      </c>
      <c r="N542" s="62">
        <v>400</v>
      </c>
      <c r="O542" s="176">
        <f t="shared" si="85"/>
        <v>0.0997288850112574</v>
      </c>
      <c r="P542" s="443">
        <f>引力魔方!B782</f>
        <v>659.55</v>
      </c>
      <c r="Q542" s="398">
        <f>引力魔方!C782</f>
        <v>1049311</v>
      </c>
      <c r="R542" s="399">
        <f>引力魔方!D782</f>
        <v>3160</v>
      </c>
      <c r="S542" s="325">
        <f>引力魔方!G782+引力魔方!H782</f>
        <v>75</v>
      </c>
      <c r="T542" s="326">
        <v>2000</v>
      </c>
      <c r="U542" s="176">
        <f t="shared" si="86"/>
        <v>0.491543722395187</v>
      </c>
      <c r="V542" s="326">
        <f>万相台!B371</f>
        <v>3250.79</v>
      </c>
      <c r="W542" s="417">
        <f>万相台!C371</f>
        <v>630574</v>
      </c>
      <c r="X542" s="417">
        <f>万相台!D371</f>
        <v>5372</v>
      </c>
      <c r="Y542" s="306">
        <f>万相台!G371+万相台!H371</f>
        <v>309</v>
      </c>
      <c r="AA542" s="68">
        <f t="shared" si="87"/>
        <v>4800</v>
      </c>
      <c r="AB542" s="69">
        <f t="shared" si="88"/>
        <v>6613.43</v>
      </c>
      <c r="AC542" s="70">
        <f t="shared" si="89"/>
        <v>471</v>
      </c>
      <c r="AD542" s="505">
        <f t="shared" si="90"/>
        <v>14.0412526539278</v>
      </c>
      <c r="AE542" s="506">
        <f t="shared" si="91"/>
        <v>0.0502025154551268</v>
      </c>
      <c r="AF542" s="69">
        <f t="shared" si="92"/>
        <v>9382</v>
      </c>
      <c r="AG542" s="71">
        <f t="shared" si="93"/>
        <v>0.704906203368152</v>
      </c>
      <c r="AH542" s="71">
        <f t="shared" si="94"/>
        <v>3.92075177735514</v>
      </c>
    </row>
    <row r="543" spans="1:34">
      <c r="A543" s="304">
        <v>45531</v>
      </c>
      <c r="B543" s="62">
        <v>400</v>
      </c>
      <c r="C543" s="176">
        <f t="shared" si="83"/>
        <v>0.0899724754009197</v>
      </c>
      <c r="D543" s="443">
        <f>明星店铺!B884</f>
        <v>545.89</v>
      </c>
      <c r="E543" s="404">
        <f>明星店铺!C884</f>
        <v>469</v>
      </c>
      <c r="F543" s="404">
        <f>明星店铺!D884</f>
        <v>150</v>
      </c>
      <c r="G543" s="325">
        <f>明星店铺!G884+明星店铺!H884</f>
        <v>29</v>
      </c>
      <c r="H543" s="62">
        <v>2000</v>
      </c>
      <c r="I543" s="176">
        <f t="shared" si="84"/>
        <v>0.319315016564205</v>
      </c>
      <c r="J543" s="443">
        <f>直通车!B884</f>
        <v>1937.38</v>
      </c>
      <c r="K543" s="399">
        <f>直通车!C884</f>
        <v>6967</v>
      </c>
      <c r="L543" s="511">
        <f>直通车!D884</f>
        <v>661</v>
      </c>
      <c r="M543" s="325">
        <f>直通车!G884+直通车!H884</f>
        <v>25</v>
      </c>
      <c r="N543" s="62">
        <v>400</v>
      </c>
      <c r="O543" s="176">
        <f t="shared" si="85"/>
        <v>0.111191139386548</v>
      </c>
      <c r="P543" s="443">
        <f>引力魔方!B783</f>
        <v>674.63</v>
      </c>
      <c r="Q543" s="398">
        <f>引力魔方!C783</f>
        <v>925718</v>
      </c>
      <c r="R543" s="399">
        <f>引力魔方!D783</f>
        <v>3027</v>
      </c>
      <c r="S543" s="325">
        <f>引力魔方!G783+引力魔方!H783</f>
        <v>81</v>
      </c>
      <c r="T543" s="326">
        <v>2000</v>
      </c>
      <c r="U543" s="176">
        <f t="shared" si="86"/>
        <v>0.479521368648328</v>
      </c>
      <c r="V543" s="326">
        <f>万相台!B372</f>
        <v>2909.4</v>
      </c>
      <c r="W543" s="417">
        <f>万相台!C372</f>
        <v>1173922</v>
      </c>
      <c r="X543" s="417">
        <f>万相台!D372</f>
        <v>5895</v>
      </c>
      <c r="Y543" s="306">
        <f>万相台!G372+万相台!H372</f>
        <v>273</v>
      </c>
      <c r="AA543" s="68">
        <f t="shared" si="87"/>
        <v>4800</v>
      </c>
      <c r="AB543" s="69">
        <f t="shared" si="88"/>
        <v>6067.3</v>
      </c>
      <c r="AC543" s="70">
        <f t="shared" si="89"/>
        <v>408</v>
      </c>
      <c r="AD543" s="505">
        <f t="shared" si="90"/>
        <v>14.8708333333333</v>
      </c>
      <c r="AE543" s="506">
        <f t="shared" si="91"/>
        <v>0.0419192438097195</v>
      </c>
      <c r="AF543" s="69">
        <f t="shared" si="92"/>
        <v>9733</v>
      </c>
      <c r="AG543" s="71">
        <f t="shared" si="93"/>
        <v>0.623374088153704</v>
      </c>
      <c r="AH543" s="71">
        <f t="shared" si="94"/>
        <v>2.87948797290653</v>
      </c>
    </row>
    <row r="544" spans="1:34">
      <c r="A544" s="304">
        <v>45532</v>
      </c>
      <c r="B544" s="62">
        <v>400</v>
      </c>
      <c r="C544" s="176">
        <f t="shared" si="83"/>
        <v>0.076257357654875</v>
      </c>
      <c r="D544" s="443">
        <f>明星店铺!B885</f>
        <v>497.23</v>
      </c>
      <c r="E544" s="404">
        <f>明星店铺!C885</f>
        <v>451</v>
      </c>
      <c r="F544" s="404">
        <f>明星店铺!D885</f>
        <v>121</v>
      </c>
      <c r="G544" s="325">
        <f>明星店铺!G885+明星店铺!H885</f>
        <v>17</v>
      </c>
      <c r="H544" s="62">
        <v>2000</v>
      </c>
      <c r="I544" s="176">
        <f t="shared" si="84"/>
        <v>0.297531447360753</v>
      </c>
      <c r="J544" s="443">
        <f>直通车!B885</f>
        <v>1940.03</v>
      </c>
      <c r="K544" s="399">
        <f>直通车!C885</f>
        <v>7070</v>
      </c>
      <c r="L544" s="511">
        <f>直通车!D885</f>
        <v>663</v>
      </c>
      <c r="M544" s="325">
        <f>直通车!G885+直通车!H885</f>
        <v>30</v>
      </c>
      <c r="N544" s="62">
        <v>400</v>
      </c>
      <c r="O544" s="176">
        <f t="shared" si="85"/>
        <v>0.104004036549793</v>
      </c>
      <c r="P544" s="443">
        <f>引力魔方!B784</f>
        <v>678.15</v>
      </c>
      <c r="Q544" s="398">
        <f>引力魔方!C784</f>
        <v>1084323</v>
      </c>
      <c r="R544" s="399">
        <f>引力魔方!D784</f>
        <v>3389</v>
      </c>
      <c r="S544" s="325">
        <f>引力魔方!G784+引力魔方!H784</f>
        <v>63</v>
      </c>
      <c r="T544" s="326">
        <v>2000</v>
      </c>
      <c r="U544" s="176">
        <f t="shared" si="86"/>
        <v>0.522207158434579</v>
      </c>
      <c r="V544" s="326">
        <f>万相台!B373</f>
        <v>3405.01</v>
      </c>
      <c r="W544" s="417">
        <f>万相台!C373</f>
        <v>796156</v>
      </c>
      <c r="X544" s="417">
        <f>万相台!D373</f>
        <v>5486</v>
      </c>
      <c r="Y544" s="306">
        <f>万相台!G373+万相台!H373</f>
        <v>263</v>
      </c>
      <c r="AA544" s="68">
        <f t="shared" si="87"/>
        <v>4800</v>
      </c>
      <c r="AB544" s="69">
        <f t="shared" si="88"/>
        <v>6520.42</v>
      </c>
      <c r="AC544" s="70">
        <f t="shared" si="89"/>
        <v>373</v>
      </c>
      <c r="AD544" s="505">
        <f t="shared" si="90"/>
        <v>17.481018766756</v>
      </c>
      <c r="AE544" s="506">
        <f t="shared" si="91"/>
        <v>0.038616834040791</v>
      </c>
      <c r="AF544" s="69">
        <f t="shared" si="92"/>
        <v>9659</v>
      </c>
      <c r="AG544" s="71">
        <f t="shared" si="93"/>
        <v>0.67506160057977</v>
      </c>
      <c r="AH544" s="71">
        <f t="shared" si="94"/>
        <v>3.45361228813559</v>
      </c>
    </row>
    <row r="545" spans="1:34">
      <c r="A545" s="304">
        <v>45533</v>
      </c>
      <c r="B545" s="62">
        <v>400</v>
      </c>
      <c r="C545" s="176">
        <f t="shared" si="83"/>
        <v>0.0917726630325056</v>
      </c>
      <c r="D545" s="443">
        <f>明星店铺!B886</f>
        <v>545.46</v>
      </c>
      <c r="E545" s="404">
        <f>明星店铺!C886</f>
        <v>475</v>
      </c>
      <c r="F545" s="404">
        <f>明星店铺!D886</f>
        <v>159</v>
      </c>
      <c r="G545" s="325">
        <f>明星店铺!G886+明星店铺!H886</f>
        <v>37</v>
      </c>
      <c r="H545" s="62">
        <v>2000</v>
      </c>
      <c r="I545" s="176">
        <f t="shared" si="84"/>
        <v>0.310192475940507</v>
      </c>
      <c r="J545" s="443">
        <f>直通车!B886</f>
        <v>1843.66</v>
      </c>
      <c r="K545" s="399">
        <f>直通车!C886</f>
        <v>7140</v>
      </c>
      <c r="L545" s="511">
        <f>直通车!D886</f>
        <v>587</v>
      </c>
      <c r="M545" s="325">
        <f>直通车!G886+直通车!H886</f>
        <v>29</v>
      </c>
      <c r="N545" s="62">
        <v>400</v>
      </c>
      <c r="O545" s="176">
        <f t="shared" si="85"/>
        <v>0.113602866949324</v>
      </c>
      <c r="P545" s="443">
        <f>引力魔方!B785</f>
        <v>675.21</v>
      </c>
      <c r="Q545" s="398">
        <f>引力魔方!C785</f>
        <v>1091744</v>
      </c>
      <c r="R545" s="399">
        <f>引力魔方!D785</f>
        <v>3460</v>
      </c>
      <c r="S545" s="325">
        <f>引力魔方!G785+引力魔方!H785</f>
        <v>78</v>
      </c>
      <c r="T545" s="326">
        <v>2000</v>
      </c>
      <c r="U545" s="176">
        <f t="shared" si="86"/>
        <v>0.484431994077663</v>
      </c>
      <c r="V545" s="326">
        <f>万相台!B374</f>
        <v>2879.27</v>
      </c>
      <c r="W545" s="417">
        <f>万相台!C374</f>
        <v>506631</v>
      </c>
      <c r="X545" s="417">
        <f>万相台!D374</f>
        <v>3942</v>
      </c>
      <c r="Y545" s="306">
        <f>万相台!G374+万相台!H374</f>
        <v>273</v>
      </c>
      <c r="AA545" s="68">
        <f t="shared" si="87"/>
        <v>4800</v>
      </c>
      <c r="AB545" s="69">
        <f t="shared" si="88"/>
        <v>5943.6</v>
      </c>
      <c r="AC545" s="70">
        <f t="shared" si="89"/>
        <v>417</v>
      </c>
      <c r="AD545" s="505">
        <f t="shared" si="90"/>
        <v>14.2532374100719</v>
      </c>
      <c r="AE545" s="506">
        <f t="shared" si="91"/>
        <v>0.0511782032400589</v>
      </c>
      <c r="AF545" s="69">
        <f t="shared" si="92"/>
        <v>8148</v>
      </c>
      <c r="AG545" s="71">
        <f t="shared" si="93"/>
        <v>0.729455081001473</v>
      </c>
      <c r="AH545" s="71">
        <f t="shared" si="94"/>
        <v>3.7008947751854</v>
      </c>
    </row>
    <row r="546" spans="1:34">
      <c r="A546" s="304">
        <v>45534</v>
      </c>
      <c r="B546" s="62">
        <v>400</v>
      </c>
      <c r="C546" s="176">
        <f t="shared" si="83"/>
        <v>0.0831178309642693</v>
      </c>
      <c r="D546" s="443">
        <f>明星店铺!B887</f>
        <v>473.76</v>
      </c>
      <c r="E546" s="404">
        <f>明星店铺!C887</f>
        <v>405</v>
      </c>
      <c r="F546" s="404">
        <f>明星店铺!D887</f>
        <v>120</v>
      </c>
      <c r="G546" s="325">
        <f>明星店铺!G887+明星店铺!H887</f>
        <v>29</v>
      </c>
      <c r="H546" s="62">
        <v>2000</v>
      </c>
      <c r="I546" s="176">
        <f t="shared" si="84"/>
        <v>0.288207078770356</v>
      </c>
      <c r="J546" s="443">
        <f>直通车!B887</f>
        <v>1642.74</v>
      </c>
      <c r="K546" s="399">
        <f>直通车!C887</f>
        <v>6824</v>
      </c>
      <c r="L546" s="511">
        <f>直通车!D887</f>
        <v>549</v>
      </c>
      <c r="M546" s="325">
        <f>直通车!G887+直通车!H887</f>
        <v>33</v>
      </c>
      <c r="N546" s="62">
        <v>400</v>
      </c>
      <c r="O546" s="176">
        <f t="shared" si="85"/>
        <v>0.116643215798283</v>
      </c>
      <c r="P546" s="443">
        <f>引力魔方!B786</f>
        <v>664.85</v>
      </c>
      <c r="Q546" s="398">
        <f>引力魔方!C786</f>
        <v>1083367</v>
      </c>
      <c r="R546" s="399">
        <f>引力魔方!D786</f>
        <v>3298</v>
      </c>
      <c r="S546" s="325">
        <f>引力魔方!G786+引力魔方!H786</f>
        <v>85</v>
      </c>
      <c r="T546" s="326">
        <v>2000</v>
      </c>
      <c r="U546" s="176">
        <f t="shared" si="86"/>
        <v>0.512031874467092</v>
      </c>
      <c r="V546" s="326">
        <f>万相台!B375</f>
        <v>2918.51</v>
      </c>
      <c r="W546" s="417">
        <f>万相台!C375</f>
        <v>303695</v>
      </c>
      <c r="X546" s="417">
        <f>万相台!D375</f>
        <v>2902</v>
      </c>
      <c r="Y546" s="306">
        <f>万相台!G375+万相台!H375</f>
        <v>241</v>
      </c>
      <c r="AA546" s="68">
        <f t="shared" si="87"/>
        <v>4800</v>
      </c>
      <c r="AB546" s="69">
        <f t="shared" si="88"/>
        <v>5699.86</v>
      </c>
      <c r="AC546" s="70">
        <f t="shared" si="89"/>
        <v>388</v>
      </c>
      <c r="AD546" s="505">
        <f t="shared" si="90"/>
        <v>14.6903608247423</v>
      </c>
      <c r="AE546" s="506">
        <f t="shared" si="91"/>
        <v>0.0564856602125491</v>
      </c>
      <c r="AF546" s="69">
        <f t="shared" si="92"/>
        <v>6869</v>
      </c>
      <c r="AG546" s="71">
        <f t="shared" si="93"/>
        <v>0.829794729946135</v>
      </c>
      <c r="AH546" s="71">
        <f t="shared" si="94"/>
        <v>4.08799884672568</v>
      </c>
    </row>
    <row r="547" spans="1:34">
      <c r="A547" s="304">
        <v>45535</v>
      </c>
      <c r="B547" s="62">
        <v>400</v>
      </c>
      <c r="C547" s="176">
        <f t="shared" si="83"/>
        <v>0.0468709857792689</v>
      </c>
      <c r="D547" s="443">
        <f>明星店铺!B888</f>
        <v>372.18</v>
      </c>
      <c r="E547" s="404">
        <f>明星店铺!C888</f>
        <v>321</v>
      </c>
      <c r="F547" s="404">
        <f>明星店铺!D888</f>
        <v>99</v>
      </c>
      <c r="G547" s="325">
        <f>明星店铺!G888+明星店铺!H888</f>
        <v>18</v>
      </c>
      <c r="H547" s="62">
        <v>2000</v>
      </c>
      <c r="I547" s="176">
        <f t="shared" si="84"/>
        <v>0.25151375476669</v>
      </c>
      <c r="J547" s="443">
        <f>直通车!B888</f>
        <v>1997.15</v>
      </c>
      <c r="K547" s="399">
        <f>直通车!C888</f>
        <v>7797</v>
      </c>
      <c r="L547" s="511">
        <f>直通车!D888</f>
        <v>636</v>
      </c>
      <c r="M547" s="325">
        <f>直通车!G888+直通车!H888</f>
        <v>29</v>
      </c>
      <c r="N547" s="62">
        <v>400</v>
      </c>
      <c r="O547" s="176">
        <f t="shared" si="85"/>
        <v>0.0851757819387143</v>
      </c>
      <c r="P547" s="443">
        <f>引力魔方!B787</f>
        <v>676.34</v>
      </c>
      <c r="Q547" s="398">
        <f>引力魔方!C787</f>
        <v>775328</v>
      </c>
      <c r="R547" s="399">
        <f>引力魔方!D787</f>
        <v>3032</v>
      </c>
      <c r="S547" s="325">
        <f>引力魔方!G787+引力魔方!H787</f>
        <v>80</v>
      </c>
      <c r="T547" s="326">
        <v>2000</v>
      </c>
      <c r="U547" s="176">
        <f t="shared" si="86"/>
        <v>0.616439477515326</v>
      </c>
      <c r="V547" s="326">
        <f>万相台!B376</f>
        <v>4894.85</v>
      </c>
      <c r="W547" s="417">
        <f>万相台!C376</f>
        <v>673377</v>
      </c>
      <c r="X547" s="417">
        <f>万相台!D376</f>
        <v>5438</v>
      </c>
      <c r="Y547" s="306">
        <f>万相台!G376+万相台!H376</f>
        <v>391</v>
      </c>
      <c r="AA547" s="68">
        <f t="shared" si="87"/>
        <v>4800</v>
      </c>
      <c r="AB547" s="69">
        <f t="shared" si="88"/>
        <v>7940.52</v>
      </c>
      <c r="AC547" s="70">
        <f t="shared" si="89"/>
        <v>518</v>
      </c>
      <c r="AD547" s="505">
        <f t="shared" si="90"/>
        <v>15.3291891891892</v>
      </c>
      <c r="AE547" s="506">
        <f t="shared" si="91"/>
        <v>0.0562737642585551</v>
      </c>
      <c r="AF547" s="69">
        <f t="shared" si="92"/>
        <v>9205</v>
      </c>
      <c r="AG547" s="71">
        <f t="shared" si="93"/>
        <v>0.862631178707224</v>
      </c>
      <c r="AH547" s="71">
        <f t="shared" si="94"/>
        <v>5.45057292478221</v>
      </c>
    </row>
    <row r="548" spans="1:34">
      <c r="A548" s="304">
        <v>45536</v>
      </c>
      <c r="B548" s="62">
        <v>400</v>
      </c>
      <c r="C548" s="176">
        <f t="shared" si="83"/>
        <v>0.0632070760077303</v>
      </c>
      <c r="D548" s="443">
        <f>明星店铺!B889</f>
        <v>523.95</v>
      </c>
      <c r="E548" s="404">
        <f>明星店铺!C889</f>
        <v>448</v>
      </c>
      <c r="F548" s="404">
        <f>明星店铺!D889</f>
        <v>160</v>
      </c>
      <c r="G548" s="325">
        <f>明星店铺!G889+明星店铺!H889</f>
        <v>25</v>
      </c>
      <c r="H548" s="62">
        <v>2000</v>
      </c>
      <c r="I548" s="176">
        <f t="shared" si="84"/>
        <v>0.251080292710467</v>
      </c>
      <c r="J548" s="443">
        <f>直通车!B889</f>
        <v>2081.31</v>
      </c>
      <c r="K548" s="399">
        <f>直通车!C889</f>
        <v>7295</v>
      </c>
      <c r="L548" s="511">
        <f>直通车!D889</f>
        <v>639</v>
      </c>
      <c r="M548" s="325">
        <f>直通车!G889+直通车!H889</f>
        <v>35</v>
      </c>
      <c r="N548" s="62">
        <v>400</v>
      </c>
      <c r="O548" s="176">
        <f t="shared" si="85"/>
        <v>0.0805653471533593</v>
      </c>
      <c r="P548" s="443">
        <f>引力魔方!B788</f>
        <v>667.84</v>
      </c>
      <c r="Q548" s="398">
        <f>引力魔方!C788</f>
        <v>795080</v>
      </c>
      <c r="R548" s="399">
        <f>引力魔方!D788</f>
        <v>3061</v>
      </c>
      <c r="S548" s="325">
        <f>引力魔方!G788+引力魔方!H788</f>
        <v>75</v>
      </c>
      <c r="T548" s="326">
        <v>2000</v>
      </c>
      <c r="U548" s="176">
        <f t="shared" si="86"/>
        <v>0.605147284128443</v>
      </c>
      <c r="V548" s="326">
        <f>万相台!B377</f>
        <v>5016.32</v>
      </c>
      <c r="W548" s="417">
        <f>万相台!C377</f>
        <v>673699</v>
      </c>
      <c r="X548" s="417">
        <f>万相台!D377</f>
        <v>5848</v>
      </c>
      <c r="Y548" s="306">
        <f>万相台!G377+万相台!H377</f>
        <v>404</v>
      </c>
      <c r="AA548" s="68">
        <f t="shared" si="87"/>
        <v>4800</v>
      </c>
      <c r="AB548" s="69">
        <f t="shared" si="88"/>
        <v>8289.42</v>
      </c>
      <c r="AC548" s="70">
        <f t="shared" si="89"/>
        <v>539</v>
      </c>
      <c r="AD548" s="505">
        <f t="shared" si="90"/>
        <v>15.3792578849722</v>
      </c>
      <c r="AE548" s="506">
        <f t="shared" si="91"/>
        <v>0.0555212196126906</v>
      </c>
      <c r="AF548" s="69">
        <f t="shared" si="92"/>
        <v>9708</v>
      </c>
      <c r="AG548" s="71">
        <f t="shared" si="93"/>
        <v>0.853875154511743</v>
      </c>
      <c r="AH548" s="71">
        <f t="shared" si="94"/>
        <v>5.61415271834758</v>
      </c>
    </row>
    <row r="549" spans="1:34">
      <c r="A549" s="304">
        <v>45537</v>
      </c>
      <c r="B549" s="62">
        <v>400</v>
      </c>
      <c r="C549" s="176">
        <f t="shared" si="83"/>
        <v>0.0689117283852209</v>
      </c>
      <c r="D549" s="443">
        <f>明星店铺!B890</f>
        <v>561.94</v>
      </c>
      <c r="E549" s="404">
        <f>明星店铺!C890</f>
        <v>463</v>
      </c>
      <c r="F549" s="404">
        <f>明星店铺!D890</f>
        <v>165</v>
      </c>
      <c r="G549" s="325">
        <f>明星店铺!G890+明星店铺!H890</f>
        <v>40</v>
      </c>
      <c r="H549" s="62">
        <v>2000</v>
      </c>
      <c r="I549" s="176">
        <f t="shared" si="84"/>
        <v>0.215244607572025</v>
      </c>
      <c r="J549" s="443">
        <f>直通车!B890</f>
        <v>1755.21</v>
      </c>
      <c r="K549" s="399">
        <f>直通车!C890</f>
        <v>7488</v>
      </c>
      <c r="L549" s="511">
        <f>直通车!D890</f>
        <v>561</v>
      </c>
      <c r="M549" s="325">
        <f>直通车!G890+直通车!H890</f>
        <v>39</v>
      </c>
      <c r="N549" s="62">
        <v>400</v>
      </c>
      <c r="O549" s="176">
        <f t="shared" si="85"/>
        <v>0.0827458246928992</v>
      </c>
      <c r="P549" s="443">
        <f>引力魔方!B789</f>
        <v>674.75</v>
      </c>
      <c r="Q549" s="398">
        <f>引力魔方!C789</f>
        <v>797852</v>
      </c>
      <c r="R549" s="399">
        <f>引力魔方!D789</f>
        <v>2997</v>
      </c>
      <c r="S549" s="325">
        <f>引力魔方!G789+引力魔方!H789</f>
        <v>63</v>
      </c>
      <c r="T549" s="326">
        <v>2000</v>
      </c>
      <c r="U549" s="176">
        <f t="shared" si="86"/>
        <v>0.633097839349855</v>
      </c>
      <c r="V549" s="326">
        <f>万相台!B378</f>
        <v>5162.59</v>
      </c>
      <c r="W549" s="417">
        <f>万相台!C378</f>
        <v>854988</v>
      </c>
      <c r="X549" s="417">
        <f>万相台!D378</f>
        <v>6048</v>
      </c>
      <c r="Y549" s="306">
        <f>万相台!G378+万相台!H378</f>
        <v>370</v>
      </c>
      <c r="AA549" s="68">
        <f t="shared" si="87"/>
        <v>4800</v>
      </c>
      <c r="AB549" s="69">
        <f t="shared" si="88"/>
        <v>8154.49</v>
      </c>
      <c r="AC549" s="70">
        <f t="shared" si="89"/>
        <v>512</v>
      </c>
      <c r="AD549" s="505">
        <f t="shared" si="90"/>
        <v>15.92673828125</v>
      </c>
      <c r="AE549" s="506">
        <f t="shared" si="91"/>
        <v>0.052399959062532</v>
      </c>
      <c r="AF549" s="69">
        <f t="shared" si="92"/>
        <v>9771</v>
      </c>
      <c r="AG549" s="71">
        <f t="shared" si="93"/>
        <v>0.834560433937161</v>
      </c>
      <c r="AH549" s="71">
        <f t="shared" si="94"/>
        <v>4.91000372713966</v>
      </c>
    </row>
    <row r="550" spans="1:34">
      <c r="A550" s="304">
        <v>45538</v>
      </c>
      <c r="B550" s="62">
        <v>400</v>
      </c>
      <c r="C550" s="176">
        <f t="shared" si="83"/>
        <v>0.0660834584263904</v>
      </c>
      <c r="D550" s="443">
        <f>明星店铺!B891</f>
        <v>577.58</v>
      </c>
      <c r="E550" s="404">
        <f>明星店铺!C891</f>
        <v>472</v>
      </c>
      <c r="F550" s="404">
        <f>明星店铺!D891</f>
        <v>141</v>
      </c>
      <c r="G550" s="325">
        <f>明星店铺!G891+明星店铺!H891</f>
        <v>59</v>
      </c>
      <c r="H550" s="62">
        <v>2000</v>
      </c>
      <c r="I550" s="176">
        <f t="shared" si="84"/>
        <v>0.208773065939296</v>
      </c>
      <c r="J550" s="443">
        <f>直通车!B891</f>
        <v>1824.71</v>
      </c>
      <c r="K550" s="399">
        <f>直通车!C891</f>
        <v>8669</v>
      </c>
      <c r="L550" s="511">
        <f>直通车!D891</f>
        <v>583</v>
      </c>
      <c r="M550" s="325">
        <f>直通车!G891+直通车!H891</f>
        <v>51</v>
      </c>
      <c r="N550" s="62">
        <v>400</v>
      </c>
      <c r="O550" s="176">
        <f t="shared" si="85"/>
        <v>0.0772926353750961</v>
      </c>
      <c r="P550" s="443">
        <f>引力魔方!B790</f>
        <v>675.55</v>
      </c>
      <c r="Q550" s="398">
        <f>引力魔方!C790</f>
        <v>888962</v>
      </c>
      <c r="R550" s="399">
        <f>引力魔方!D790</f>
        <v>3029</v>
      </c>
      <c r="S550" s="325">
        <f>引力魔方!G790+引力魔方!H790</f>
        <v>49</v>
      </c>
      <c r="T550" s="326">
        <v>2000</v>
      </c>
      <c r="U550" s="176">
        <f t="shared" si="86"/>
        <v>0.647850840259217</v>
      </c>
      <c r="V550" s="326">
        <f>万相台!B379</f>
        <v>5662.32</v>
      </c>
      <c r="W550" s="417">
        <f>万相台!C379</f>
        <v>982775</v>
      </c>
      <c r="X550" s="417">
        <f>万相台!D379</f>
        <v>7451</v>
      </c>
      <c r="Y550" s="306">
        <f>万相台!G379+万相台!H379</f>
        <v>362</v>
      </c>
      <c r="AA550" s="68">
        <f t="shared" si="87"/>
        <v>4800</v>
      </c>
      <c r="AB550" s="69">
        <f t="shared" si="88"/>
        <v>8740.16</v>
      </c>
      <c r="AC550" s="70">
        <f t="shared" si="89"/>
        <v>521</v>
      </c>
      <c r="AD550" s="505">
        <f t="shared" si="90"/>
        <v>16.7757389635317</v>
      </c>
      <c r="AE550" s="506">
        <f t="shared" si="91"/>
        <v>0.0465012495537308</v>
      </c>
      <c r="AF550" s="69">
        <f t="shared" si="92"/>
        <v>11204</v>
      </c>
      <c r="AG550" s="71">
        <f t="shared" si="93"/>
        <v>0.780092823991432</v>
      </c>
      <c r="AH550" s="71">
        <f t="shared" si="94"/>
        <v>4.64685109826368</v>
      </c>
    </row>
    <row r="551" spans="1:34">
      <c r="A551" s="304">
        <v>45539</v>
      </c>
      <c r="B551" s="62">
        <v>400</v>
      </c>
      <c r="C551" s="176">
        <f t="shared" si="83"/>
        <v>0.0734954753253576</v>
      </c>
      <c r="D551" s="443">
        <f>明星店铺!B892</f>
        <v>587.6</v>
      </c>
      <c r="E551" s="404">
        <f>明星店铺!C892</f>
        <v>522</v>
      </c>
      <c r="F551" s="404">
        <f>明星店铺!D892</f>
        <v>160</v>
      </c>
      <c r="G551" s="325">
        <f>明星店铺!G892+明星店铺!H892</f>
        <v>38</v>
      </c>
      <c r="H551" s="62">
        <v>2000</v>
      </c>
      <c r="I551" s="176">
        <f t="shared" si="84"/>
        <v>0.263152825810971</v>
      </c>
      <c r="J551" s="443">
        <f>直通车!B892</f>
        <v>2103.92</v>
      </c>
      <c r="K551" s="399">
        <f>直通车!C892</f>
        <v>8974</v>
      </c>
      <c r="L551" s="511">
        <f>直通车!D892</f>
        <v>647</v>
      </c>
      <c r="M551" s="325">
        <f>直通车!G892+直通车!H892</f>
        <v>49</v>
      </c>
      <c r="N551" s="62">
        <v>400</v>
      </c>
      <c r="O551" s="176">
        <f t="shared" si="85"/>
        <v>0.0844935303719176</v>
      </c>
      <c r="P551" s="443">
        <f>引力魔方!B791</f>
        <v>675.53</v>
      </c>
      <c r="Q551" s="398">
        <f>引力魔方!C791</f>
        <v>896644</v>
      </c>
      <c r="R551" s="399">
        <f>引力魔方!D791</f>
        <v>3034</v>
      </c>
      <c r="S551" s="325">
        <f>引力魔方!G791+引力魔方!H791</f>
        <v>57</v>
      </c>
      <c r="T551" s="326">
        <v>2000</v>
      </c>
      <c r="U551" s="176">
        <f t="shared" si="86"/>
        <v>0.578858168491754</v>
      </c>
      <c r="V551" s="326">
        <f>万相台!B380</f>
        <v>4628</v>
      </c>
      <c r="W551" s="417">
        <f>万相台!C380</f>
        <v>1010861</v>
      </c>
      <c r="X551" s="417">
        <f>万相台!D380</f>
        <v>6884</v>
      </c>
      <c r="Y551" s="306">
        <f>万相台!G380+万相台!H380</f>
        <v>342</v>
      </c>
      <c r="AA551" s="68">
        <f t="shared" si="87"/>
        <v>4800</v>
      </c>
      <c r="AB551" s="69">
        <f t="shared" si="88"/>
        <v>7995.05</v>
      </c>
      <c r="AC551" s="70">
        <f t="shared" si="89"/>
        <v>486</v>
      </c>
      <c r="AD551" s="505">
        <f t="shared" si="90"/>
        <v>16.4507201646091</v>
      </c>
      <c r="AE551" s="506">
        <f t="shared" si="91"/>
        <v>0.0453146853146853</v>
      </c>
      <c r="AF551" s="69">
        <f t="shared" si="92"/>
        <v>10725</v>
      </c>
      <c r="AG551" s="71">
        <f t="shared" si="93"/>
        <v>0.745459207459207</v>
      </c>
      <c r="AH551" s="71">
        <f t="shared" si="94"/>
        <v>4.17060293656602</v>
      </c>
    </row>
    <row r="552" spans="1:34">
      <c r="A552" s="304">
        <v>45540</v>
      </c>
      <c r="B552" s="62">
        <v>400</v>
      </c>
      <c r="C552" s="176">
        <f t="shared" si="83"/>
        <v>0.068602027067816</v>
      </c>
      <c r="D552" s="443">
        <f>明星店铺!B893</f>
        <v>534.11</v>
      </c>
      <c r="E552" s="404">
        <f>明星店铺!C893</f>
        <v>450</v>
      </c>
      <c r="F552" s="404">
        <f>明星店铺!D893</f>
        <v>124</v>
      </c>
      <c r="G552" s="325">
        <f>明星店铺!G893+明星店铺!H893</f>
        <v>31</v>
      </c>
      <c r="H552" s="62">
        <v>2000</v>
      </c>
      <c r="I552" s="176">
        <f t="shared" si="84"/>
        <v>0.244906321004209</v>
      </c>
      <c r="J552" s="443">
        <f>直通车!B893</f>
        <v>1906.75</v>
      </c>
      <c r="K552" s="399">
        <f>直通车!C893</f>
        <v>9070</v>
      </c>
      <c r="L552" s="511">
        <f>直通车!D893</f>
        <v>611</v>
      </c>
      <c r="M552" s="325">
        <f>直通车!G893+直通车!H893</f>
        <v>41</v>
      </c>
      <c r="N552" s="62">
        <v>400</v>
      </c>
      <c r="O552" s="176">
        <f t="shared" si="85"/>
        <v>0.0856269820168696</v>
      </c>
      <c r="P552" s="443">
        <f>引力魔方!B792</f>
        <v>666.66</v>
      </c>
      <c r="Q552" s="398">
        <f>引力魔方!C792</f>
        <v>771718</v>
      </c>
      <c r="R552" s="399">
        <f>引力魔方!D792</f>
        <v>2783</v>
      </c>
      <c r="S552" s="325">
        <f>引力魔方!G792+引力魔方!H792</f>
        <v>80</v>
      </c>
      <c r="T552" s="326">
        <v>2000</v>
      </c>
      <c r="U552" s="176">
        <f t="shared" si="86"/>
        <v>0.600864669911105</v>
      </c>
      <c r="V552" s="326">
        <f>万相台!B381</f>
        <v>4678.11</v>
      </c>
      <c r="W552" s="417">
        <f>万相台!C381</f>
        <v>597299</v>
      </c>
      <c r="X552" s="417">
        <f>万相台!D381</f>
        <v>4706</v>
      </c>
      <c r="Y552" s="306">
        <f>万相台!G381+万相台!H381</f>
        <v>356</v>
      </c>
      <c r="AA552" s="68">
        <f t="shared" si="87"/>
        <v>4800</v>
      </c>
      <c r="AB552" s="69">
        <f t="shared" si="88"/>
        <v>7785.63</v>
      </c>
      <c r="AC552" s="70">
        <f t="shared" si="89"/>
        <v>508</v>
      </c>
      <c r="AD552" s="505">
        <f t="shared" si="90"/>
        <v>15.3260433070866</v>
      </c>
      <c r="AE552" s="506">
        <f t="shared" si="91"/>
        <v>0.0617704280155642</v>
      </c>
      <c r="AF552" s="69">
        <f t="shared" si="92"/>
        <v>8224</v>
      </c>
      <c r="AG552" s="71">
        <f t="shared" si="93"/>
        <v>0.946696254863813</v>
      </c>
      <c r="AH552" s="71">
        <f t="shared" si="94"/>
        <v>5.64774830127882</v>
      </c>
    </row>
    <row r="553" spans="1:34">
      <c r="A553" s="304">
        <v>45541</v>
      </c>
      <c r="B553" s="62">
        <v>400</v>
      </c>
      <c r="C553" s="176">
        <f t="shared" si="83"/>
        <v>0.0641804583340464</v>
      </c>
      <c r="D553" s="443">
        <f>明星店铺!B894</f>
        <v>487.5</v>
      </c>
      <c r="E553" s="404">
        <f>明星店铺!C894</f>
        <v>411</v>
      </c>
      <c r="F553" s="404">
        <f>明星店铺!D894</f>
        <v>134</v>
      </c>
      <c r="G553" s="325">
        <f>明星店铺!G894+明星店铺!H894</f>
        <v>52</v>
      </c>
      <c r="H553" s="62">
        <v>2000</v>
      </c>
      <c r="I553" s="176">
        <f t="shared" si="84"/>
        <v>0.233784066658153</v>
      </c>
      <c r="J553" s="443">
        <f>直通车!B894</f>
        <v>1775.77</v>
      </c>
      <c r="K553" s="399">
        <f>直通车!C894</f>
        <v>8274</v>
      </c>
      <c r="L553" s="511">
        <f>直通车!D894</f>
        <v>581</v>
      </c>
      <c r="M553" s="325">
        <f>直通车!G894+直通车!H894</f>
        <v>32</v>
      </c>
      <c r="N553" s="62">
        <v>400</v>
      </c>
      <c r="O553" s="176">
        <f t="shared" si="85"/>
        <v>0.0878383626676427</v>
      </c>
      <c r="P553" s="443">
        <f>引力魔方!B793</f>
        <v>667.2</v>
      </c>
      <c r="Q553" s="398">
        <f>引力魔方!C793</f>
        <v>880307</v>
      </c>
      <c r="R553" s="399">
        <f>引力魔方!D793</f>
        <v>2818</v>
      </c>
      <c r="S553" s="325">
        <f>引力魔方!G793+引力魔方!H793</f>
        <v>79</v>
      </c>
      <c r="T553" s="326">
        <v>2000</v>
      </c>
      <c r="U553" s="176">
        <f t="shared" si="86"/>
        <v>0.614197112340158</v>
      </c>
      <c r="V553" s="326">
        <f>万相台!B382</f>
        <v>4665.3</v>
      </c>
      <c r="W553" s="417">
        <f>万相台!C382</f>
        <v>679536</v>
      </c>
      <c r="X553" s="417">
        <f>万相台!D382</f>
        <v>5093</v>
      </c>
      <c r="Y553" s="306">
        <f>万相台!G382+万相台!H382</f>
        <v>386</v>
      </c>
      <c r="AA553" s="68">
        <f t="shared" si="87"/>
        <v>4800</v>
      </c>
      <c r="AB553" s="69">
        <f t="shared" si="88"/>
        <v>7595.77</v>
      </c>
      <c r="AC553" s="70">
        <f t="shared" si="89"/>
        <v>549</v>
      </c>
      <c r="AD553" s="505">
        <f t="shared" si="90"/>
        <v>13.8356466302368</v>
      </c>
      <c r="AE553" s="506">
        <f t="shared" si="91"/>
        <v>0.0636447948063993</v>
      </c>
      <c r="AF553" s="69">
        <f t="shared" si="92"/>
        <v>8626</v>
      </c>
      <c r="AG553" s="71">
        <f t="shared" si="93"/>
        <v>0.88056689079527</v>
      </c>
      <c r="AH553" s="71">
        <f t="shared" si="94"/>
        <v>4.84261039649914</v>
      </c>
    </row>
    <row r="554" spans="1:34">
      <c r="A554" s="304">
        <v>45542</v>
      </c>
      <c r="B554" s="62">
        <v>400</v>
      </c>
      <c r="C554" s="176">
        <f t="shared" si="83"/>
        <v>0.0628597617581307</v>
      </c>
      <c r="D554" s="443">
        <f>明星店铺!B895</f>
        <v>482.79</v>
      </c>
      <c r="E554" s="404">
        <f>明星店铺!C895</f>
        <v>397</v>
      </c>
      <c r="F554" s="404">
        <f>明星店铺!D895</f>
        <v>117</v>
      </c>
      <c r="G554" s="325">
        <f>明星店铺!G895+明星店铺!H895</f>
        <v>38</v>
      </c>
      <c r="H554" s="62">
        <v>2000</v>
      </c>
      <c r="I554" s="176">
        <f t="shared" si="84"/>
        <v>0.237629924366214</v>
      </c>
      <c r="J554" s="443">
        <f>直通车!B895</f>
        <v>1825.1</v>
      </c>
      <c r="K554" s="399">
        <f>直通车!C895</f>
        <v>8220</v>
      </c>
      <c r="L554" s="511">
        <f>直通车!D895</f>
        <v>604</v>
      </c>
      <c r="M554" s="325">
        <f>直通车!G895+直通车!H895</f>
        <v>49</v>
      </c>
      <c r="N554" s="62">
        <v>400</v>
      </c>
      <c r="O554" s="176">
        <f t="shared" si="85"/>
        <v>0.0881018380481301</v>
      </c>
      <c r="P554" s="443">
        <f>引力魔方!B794</f>
        <v>676.66</v>
      </c>
      <c r="Q554" s="398">
        <f>引力魔方!C794</f>
        <v>759980</v>
      </c>
      <c r="R554" s="399">
        <f>引力魔方!D794</f>
        <v>3195</v>
      </c>
      <c r="S554" s="325">
        <f>引力魔方!G794+引力魔方!H794</f>
        <v>82</v>
      </c>
      <c r="T554" s="326">
        <v>2000</v>
      </c>
      <c r="U554" s="176">
        <f t="shared" si="86"/>
        <v>0.611408475827525</v>
      </c>
      <c r="V554" s="326">
        <f>万相台!B383</f>
        <v>4695.88</v>
      </c>
      <c r="W554" s="417">
        <f>万相台!C383</f>
        <v>519692</v>
      </c>
      <c r="X554" s="417">
        <f>万相台!D383</f>
        <v>4943</v>
      </c>
      <c r="Y554" s="306">
        <f>万相台!G383+万相台!H383</f>
        <v>442</v>
      </c>
      <c r="AA554" s="68">
        <f t="shared" si="87"/>
        <v>4800</v>
      </c>
      <c r="AB554" s="69">
        <f t="shared" si="88"/>
        <v>7680.43</v>
      </c>
      <c r="AC554" s="70">
        <f t="shared" si="89"/>
        <v>611</v>
      </c>
      <c r="AD554" s="505">
        <f t="shared" si="90"/>
        <v>12.5702618657938</v>
      </c>
      <c r="AE554" s="506">
        <f t="shared" si="91"/>
        <v>0.0689694096399142</v>
      </c>
      <c r="AF554" s="69">
        <f t="shared" si="92"/>
        <v>8859</v>
      </c>
      <c r="AG554" s="71">
        <f t="shared" si="93"/>
        <v>0.866963539902924</v>
      </c>
      <c r="AH554" s="71">
        <f t="shared" si="94"/>
        <v>5.96172908407974</v>
      </c>
    </row>
    <row r="555" spans="1:34">
      <c r="A555" s="304">
        <v>45543</v>
      </c>
      <c r="B555" s="62">
        <v>400</v>
      </c>
      <c r="C555" s="176">
        <f t="shared" si="83"/>
        <v>0.0905342650944899</v>
      </c>
      <c r="D555" s="443">
        <f>明星店铺!B896</f>
        <v>443.33</v>
      </c>
      <c r="E555" s="404">
        <f>明星店铺!C896</f>
        <v>378</v>
      </c>
      <c r="F555" s="404">
        <f>明星店铺!D896</f>
        <v>120</v>
      </c>
      <c r="G555" s="325">
        <f>明星店铺!G896+明星店铺!H896</f>
        <v>17</v>
      </c>
      <c r="H555" s="62">
        <v>2000</v>
      </c>
      <c r="I555" s="176">
        <f t="shared" si="84"/>
        <v>0.243582569912719</v>
      </c>
      <c r="J555" s="443">
        <f>直通车!B896</f>
        <v>1192.78</v>
      </c>
      <c r="K555" s="399">
        <f>直通车!C896</f>
        <v>5075</v>
      </c>
      <c r="L555" s="511">
        <f>直通车!D896</f>
        <v>382</v>
      </c>
      <c r="M555" s="325">
        <f>直通车!G896+直通车!H896</f>
        <v>16</v>
      </c>
      <c r="N555" s="62">
        <v>400</v>
      </c>
      <c r="O555" s="176">
        <f t="shared" si="85"/>
        <v>0.0747015410000776</v>
      </c>
      <c r="P555" s="443">
        <f>引力魔方!B795</f>
        <v>365.8</v>
      </c>
      <c r="Q555" s="398">
        <f>引力魔方!C795</f>
        <v>336359</v>
      </c>
      <c r="R555" s="399">
        <f>引力魔方!D795</f>
        <v>1488</v>
      </c>
      <c r="S555" s="325">
        <f>引力魔方!G795+引力魔方!H795</f>
        <v>39</v>
      </c>
      <c r="T555" s="326">
        <v>2000</v>
      </c>
      <c r="U555" s="176">
        <f t="shared" si="86"/>
        <v>0.591181623992714</v>
      </c>
      <c r="V555" s="326">
        <f>万相台!B384</f>
        <v>2894.91</v>
      </c>
      <c r="W555" s="417">
        <f>万相台!C384</f>
        <v>349861</v>
      </c>
      <c r="X555" s="417">
        <f>万相台!D384</f>
        <v>3157</v>
      </c>
      <c r="Y555" s="306">
        <f>万相台!G384+万相台!H384</f>
        <v>235</v>
      </c>
      <c r="AA555" s="68">
        <f t="shared" si="87"/>
        <v>4800</v>
      </c>
      <c r="AB555" s="69">
        <f t="shared" si="88"/>
        <v>4896.82</v>
      </c>
      <c r="AC555" s="70">
        <f t="shared" si="89"/>
        <v>307</v>
      </c>
      <c r="AD555" s="505">
        <f t="shared" si="90"/>
        <v>15.9505537459283</v>
      </c>
      <c r="AE555" s="506">
        <f t="shared" si="91"/>
        <v>0.059646395958811</v>
      </c>
      <c r="AF555" s="69">
        <f t="shared" si="92"/>
        <v>5147</v>
      </c>
      <c r="AG555" s="71">
        <f t="shared" si="93"/>
        <v>0.951393044491937</v>
      </c>
      <c r="AH555" s="71">
        <f t="shared" si="94"/>
        <v>7.079674933097</v>
      </c>
    </row>
    <row r="556" spans="1:34">
      <c r="A556" s="304">
        <v>45544</v>
      </c>
      <c r="B556" s="62">
        <v>400</v>
      </c>
      <c r="C556" s="176">
        <f t="shared" si="83"/>
        <v>0.0631738690159037</v>
      </c>
      <c r="D556" s="443">
        <f>明星店铺!B897</f>
        <v>452.92</v>
      </c>
      <c r="E556" s="404">
        <f>明星店铺!C897</f>
        <v>357</v>
      </c>
      <c r="F556" s="404">
        <f>明星店铺!D897</f>
        <v>139</v>
      </c>
      <c r="G556" s="325">
        <f>明星店铺!G897+明星店铺!H897</f>
        <v>29</v>
      </c>
      <c r="H556" s="62">
        <v>2000</v>
      </c>
      <c r="I556" s="176">
        <f t="shared" si="84"/>
        <v>0.226033626151069</v>
      </c>
      <c r="J556" s="443">
        <f>直通车!B897</f>
        <v>1620.53</v>
      </c>
      <c r="K556" s="399">
        <f>直通车!C897</f>
        <v>6534</v>
      </c>
      <c r="L556" s="511">
        <f>直通车!D897</f>
        <v>495</v>
      </c>
      <c r="M556" s="325">
        <f>直通车!G897+直通车!H897</f>
        <v>25</v>
      </c>
      <c r="N556" s="62">
        <v>400</v>
      </c>
      <c r="O556" s="176">
        <f t="shared" si="85"/>
        <v>0.0918526184823877</v>
      </c>
      <c r="P556" s="443">
        <f>引力魔方!B796</f>
        <v>658.53</v>
      </c>
      <c r="Q556" s="398">
        <f>引力魔方!C796</f>
        <v>540809</v>
      </c>
      <c r="R556" s="399">
        <f>引力魔方!D796</f>
        <v>2140</v>
      </c>
      <c r="S556" s="325">
        <f>引力魔方!G796+引力魔方!H796</f>
        <v>44</v>
      </c>
      <c r="T556" s="326">
        <v>2000</v>
      </c>
      <c r="U556" s="176">
        <f t="shared" si="86"/>
        <v>0.618939886350639</v>
      </c>
      <c r="V556" s="326">
        <f>万相台!B385</f>
        <v>4437.44</v>
      </c>
      <c r="W556" s="417">
        <f>万相台!C385</f>
        <v>470435</v>
      </c>
      <c r="X556" s="417">
        <f>万相台!D385</f>
        <v>3798</v>
      </c>
      <c r="Y556" s="306">
        <f>万相台!G385+万相台!H385</f>
        <v>235</v>
      </c>
      <c r="AA556" s="68">
        <f t="shared" si="87"/>
        <v>4800</v>
      </c>
      <c r="AB556" s="69">
        <f t="shared" si="88"/>
        <v>7169.42</v>
      </c>
      <c r="AC556" s="70">
        <f t="shared" si="89"/>
        <v>333</v>
      </c>
      <c r="AD556" s="505">
        <f t="shared" si="90"/>
        <v>21.5297897897898</v>
      </c>
      <c r="AE556" s="506">
        <f t="shared" si="91"/>
        <v>0.0506695069993914</v>
      </c>
      <c r="AF556" s="69">
        <f t="shared" si="92"/>
        <v>6572</v>
      </c>
      <c r="AG556" s="71">
        <f t="shared" si="93"/>
        <v>1.09090383444918</v>
      </c>
      <c r="AH556" s="71">
        <f t="shared" si="94"/>
        <v>7.04171843616023</v>
      </c>
    </row>
    <row r="557" spans="1:34">
      <c r="A557" s="304">
        <v>45545</v>
      </c>
      <c r="B557" s="62">
        <v>400</v>
      </c>
      <c r="C557" s="176">
        <f t="shared" si="83"/>
        <v>0.0658149391214875</v>
      </c>
      <c r="D557" s="443">
        <f>明星店铺!B898</f>
        <v>483.57</v>
      </c>
      <c r="E557" s="404">
        <f>明星店铺!C898</f>
        <v>380</v>
      </c>
      <c r="F557" s="404">
        <f>明星店铺!D898</f>
        <v>157</v>
      </c>
      <c r="G557" s="325">
        <f>明星店铺!G898+明星店铺!H898</f>
        <v>45</v>
      </c>
      <c r="H557" s="62">
        <v>2000</v>
      </c>
      <c r="I557" s="176">
        <f t="shared" si="84"/>
        <v>0.286016043726914</v>
      </c>
      <c r="J557" s="443">
        <f>直通车!B898</f>
        <v>2101.48</v>
      </c>
      <c r="K557" s="399">
        <f>直通车!C898</f>
        <v>9618</v>
      </c>
      <c r="L557" s="511">
        <f>直通车!D898</f>
        <v>682</v>
      </c>
      <c r="M557" s="325">
        <f>直通车!G898+直通车!H898</f>
        <v>42</v>
      </c>
      <c r="N557" s="62">
        <v>400</v>
      </c>
      <c r="O557" s="176">
        <f t="shared" si="85"/>
        <v>0.0909421266240395</v>
      </c>
      <c r="P557" s="443">
        <f>引力魔方!B797</f>
        <v>668.19</v>
      </c>
      <c r="Q557" s="398">
        <f>引力魔方!C797</f>
        <v>836164</v>
      </c>
      <c r="R557" s="399">
        <f>引力魔方!D797</f>
        <v>2743</v>
      </c>
      <c r="S557" s="325">
        <f>引力魔方!G797+引力魔方!H797</f>
        <v>77</v>
      </c>
      <c r="T557" s="326">
        <v>2000</v>
      </c>
      <c r="U557" s="176">
        <f t="shared" si="86"/>
        <v>0.557226890527559</v>
      </c>
      <c r="V557" s="326">
        <f>万相台!B386</f>
        <v>4094.18</v>
      </c>
      <c r="W557" s="417">
        <f>万相台!C386</f>
        <v>412207</v>
      </c>
      <c r="X557" s="417">
        <f>万相台!D386</f>
        <v>3242</v>
      </c>
      <c r="Y557" s="306">
        <f>万相台!G386+万相台!H386</f>
        <v>224</v>
      </c>
      <c r="AA557" s="68">
        <f t="shared" si="87"/>
        <v>4800</v>
      </c>
      <c r="AB557" s="69">
        <f t="shared" si="88"/>
        <v>7347.42</v>
      </c>
      <c r="AC557" s="70">
        <f t="shared" si="89"/>
        <v>388</v>
      </c>
      <c r="AD557" s="505">
        <f t="shared" si="90"/>
        <v>18.9366494845361</v>
      </c>
      <c r="AE557" s="506">
        <f t="shared" si="91"/>
        <v>0.0568581477139508</v>
      </c>
      <c r="AF557" s="69">
        <f t="shared" si="92"/>
        <v>6824</v>
      </c>
      <c r="AG557" s="71">
        <f t="shared" si="93"/>
        <v>1.07670281359906</v>
      </c>
      <c r="AH557" s="71">
        <f t="shared" si="94"/>
        <v>5.83884377316987</v>
      </c>
    </row>
    <row r="558" spans="1:34">
      <c r="A558" s="304">
        <v>45546</v>
      </c>
      <c r="B558" s="62">
        <v>400</v>
      </c>
      <c r="C558" s="176">
        <f t="shared" si="83"/>
        <v>0.0636034483378537</v>
      </c>
      <c r="D558" s="443">
        <f>明星店铺!B899</f>
        <v>530.69</v>
      </c>
      <c r="E558" s="404">
        <f>明星店铺!C899</f>
        <v>433</v>
      </c>
      <c r="F558" s="404">
        <f>明星店铺!D899</f>
        <v>138</v>
      </c>
      <c r="G558" s="325">
        <f>明星店铺!G899+明星店铺!H899</f>
        <v>39</v>
      </c>
      <c r="H558" s="62">
        <v>2000</v>
      </c>
      <c r="I558" s="176">
        <f t="shared" si="84"/>
        <v>0.329622363139747</v>
      </c>
      <c r="J558" s="443">
        <f>直通车!B899</f>
        <v>2750.28</v>
      </c>
      <c r="K558" s="399">
        <f>直通车!C899</f>
        <v>12658</v>
      </c>
      <c r="L558" s="511">
        <f>直通车!D899</f>
        <v>859</v>
      </c>
      <c r="M558" s="325">
        <f>直通车!G899+直通车!H899</f>
        <v>30</v>
      </c>
      <c r="N558" s="62">
        <v>400</v>
      </c>
      <c r="O558" s="176">
        <f t="shared" si="85"/>
        <v>0.0802255106529094</v>
      </c>
      <c r="P558" s="443">
        <f>引力魔方!B798</f>
        <v>669.38</v>
      </c>
      <c r="Q558" s="398">
        <f>引力魔方!C798</f>
        <v>864635</v>
      </c>
      <c r="R558" s="399">
        <f>引力魔方!D798</f>
        <v>2772</v>
      </c>
      <c r="S558" s="325">
        <f>引力魔方!G798+引力魔方!H798</f>
        <v>63</v>
      </c>
      <c r="T558" s="326">
        <v>2000</v>
      </c>
      <c r="U558" s="176">
        <f t="shared" si="86"/>
        <v>0.52654867786949</v>
      </c>
      <c r="V558" s="326">
        <f>万相台!B387</f>
        <v>4393.38</v>
      </c>
      <c r="W558" s="417">
        <f>万相台!C387</f>
        <v>459244</v>
      </c>
      <c r="X558" s="417">
        <f>万相台!D387</f>
        <v>3938</v>
      </c>
      <c r="Y558" s="306">
        <f>万相台!G387+万相台!H387</f>
        <v>236</v>
      </c>
      <c r="AA558" s="68">
        <f t="shared" si="87"/>
        <v>4800</v>
      </c>
      <c r="AB558" s="69">
        <f t="shared" ref="AB558:AB589" si="95">D558+J558+P558+V558</f>
        <v>8343.73</v>
      </c>
      <c r="AC558" s="70">
        <f t="shared" ref="AC558:AC589" si="96">G558+M558+S558+Y558</f>
        <v>368</v>
      </c>
      <c r="AD558" s="505">
        <f t="shared" ref="AD558:AD589" si="97">AB558/AC558</f>
        <v>22.6731793478261</v>
      </c>
      <c r="AE558" s="506">
        <f t="shared" ref="AE558:AE589" si="98">AC558/AF558</f>
        <v>0.0477487997923965</v>
      </c>
      <c r="AF558" s="69">
        <f t="shared" ref="AF558:AF589" si="99">F558+L558+R558+X558</f>
        <v>7707</v>
      </c>
      <c r="AG558" s="71">
        <f t="shared" ref="AG558:AG589" si="100">AB558/AF558</f>
        <v>1.08261710133645</v>
      </c>
      <c r="AH558" s="71">
        <f t="shared" ref="AH558:AH589" si="101">AB558/((E558+K558+Q558+W558)/1000)</f>
        <v>6.24077578404901</v>
      </c>
    </row>
    <row r="559" spans="1:34">
      <c r="A559" s="304">
        <v>45547</v>
      </c>
      <c r="B559" s="62">
        <v>400</v>
      </c>
      <c r="C559" s="176">
        <f t="shared" si="83"/>
        <v>0.0634462087627081</v>
      </c>
      <c r="D559" s="443">
        <f>明星店铺!B900</f>
        <v>485.59</v>
      </c>
      <c r="E559" s="404">
        <f>明星店铺!C900</f>
        <v>398</v>
      </c>
      <c r="F559" s="404">
        <f>明星店铺!D900</f>
        <v>122</v>
      </c>
      <c r="G559" s="325">
        <f>明星店铺!G900+明星店铺!H900</f>
        <v>34</v>
      </c>
      <c r="H559" s="62">
        <v>2000</v>
      </c>
      <c r="I559" s="176">
        <f t="shared" si="84"/>
        <v>0.334804542194035</v>
      </c>
      <c r="J559" s="443">
        <f>直通车!B900</f>
        <v>2562.45</v>
      </c>
      <c r="K559" s="399">
        <f>直通车!C900</f>
        <v>17201</v>
      </c>
      <c r="L559" s="511">
        <f>直通车!D900</f>
        <v>889</v>
      </c>
      <c r="M559" s="325">
        <f>直通车!G900+直通车!H900</f>
        <v>51</v>
      </c>
      <c r="N559" s="62">
        <v>400</v>
      </c>
      <c r="O559" s="176">
        <f t="shared" si="85"/>
        <v>0.0858880234975312</v>
      </c>
      <c r="P559" s="443">
        <f>引力魔方!B799</f>
        <v>657.35</v>
      </c>
      <c r="Q559" s="398">
        <f>引力魔方!C799</f>
        <v>840816</v>
      </c>
      <c r="R559" s="399">
        <f>引力魔方!D799</f>
        <v>3102</v>
      </c>
      <c r="S559" s="325">
        <f>引力魔方!G799+引力魔方!H799</f>
        <v>65</v>
      </c>
      <c r="T559" s="326">
        <v>2000</v>
      </c>
      <c r="U559" s="176">
        <f t="shared" si="86"/>
        <v>0.515861225545726</v>
      </c>
      <c r="V559" s="326">
        <f>万相台!B388</f>
        <v>3948.18</v>
      </c>
      <c r="W559" s="417">
        <f>万相台!C388</f>
        <v>766712</v>
      </c>
      <c r="X559" s="417">
        <f>万相台!D388</f>
        <v>5439</v>
      </c>
      <c r="Y559" s="306">
        <f>万相台!G388+万相台!H388</f>
        <v>226</v>
      </c>
      <c r="AA559" s="68">
        <f t="shared" si="87"/>
        <v>4800</v>
      </c>
      <c r="AB559" s="69">
        <f t="shared" si="95"/>
        <v>7653.57</v>
      </c>
      <c r="AC559" s="70">
        <f t="shared" si="96"/>
        <v>376</v>
      </c>
      <c r="AD559" s="505">
        <f t="shared" si="97"/>
        <v>20.3552393617021</v>
      </c>
      <c r="AE559" s="506">
        <f t="shared" si="98"/>
        <v>0.0393634840871022</v>
      </c>
      <c r="AF559" s="69">
        <f t="shared" si="99"/>
        <v>9552</v>
      </c>
      <c r="AG559" s="71">
        <f t="shared" si="100"/>
        <v>0.801253140703518</v>
      </c>
      <c r="AH559" s="71">
        <f t="shared" si="101"/>
        <v>4.70952116357675</v>
      </c>
    </row>
    <row r="560" spans="1:34">
      <c r="A560" s="304">
        <v>45548</v>
      </c>
      <c r="B560" s="62">
        <v>400</v>
      </c>
      <c r="C560" s="176">
        <f t="shared" si="83"/>
        <v>0.0560489077446046</v>
      </c>
      <c r="D560" s="443">
        <f>明星店铺!B901</f>
        <v>446.67</v>
      </c>
      <c r="E560" s="404">
        <f>明星店铺!C901</f>
        <v>384</v>
      </c>
      <c r="F560" s="404">
        <f>明星店铺!D901</f>
        <v>120</v>
      </c>
      <c r="G560" s="325">
        <f>明星店铺!G901+明星店铺!H901</f>
        <v>28</v>
      </c>
      <c r="H560" s="62">
        <v>2000</v>
      </c>
      <c r="I560" s="176">
        <f t="shared" si="84"/>
        <v>0.344132287819868</v>
      </c>
      <c r="J560" s="443">
        <f>直通车!B901</f>
        <v>2742.49</v>
      </c>
      <c r="K560" s="399">
        <f>直通车!C901</f>
        <v>19133</v>
      </c>
      <c r="L560" s="511">
        <f>直通车!D901</f>
        <v>964</v>
      </c>
      <c r="M560" s="325">
        <f>直通车!G901+直通车!H901</f>
        <v>78</v>
      </c>
      <c r="N560" s="62">
        <v>400</v>
      </c>
      <c r="O560" s="176">
        <f t="shared" si="85"/>
        <v>0.082332303128635</v>
      </c>
      <c r="P560" s="443">
        <f>引力魔方!B800</f>
        <v>656.13</v>
      </c>
      <c r="Q560" s="398">
        <f>引力魔方!C800</f>
        <v>755290</v>
      </c>
      <c r="R560" s="399">
        <f>引力魔方!D800</f>
        <v>2859</v>
      </c>
      <c r="S560" s="325">
        <f>引力魔方!G800+引力魔方!H800</f>
        <v>75</v>
      </c>
      <c r="T560" s="326">
        <v>2000</v>
      </c>
      <c r="U560" s="176">
        <f t="shared" si="86"/>
        <v>0.517486501306892</v>
      </c>
      <c r="V560" s="326">
        <f>万相台!B389</f>
        <v>4124</v>
      </c>
      <c r="W560" s="417">
        <f>万相台!C389</f>
        <v>499056</v>
      </c>
      <c r="X560" s="417">
        <f>万相台!D389</f>
        <v>3941</v>
      </c>
      <c r="Y560" s="306">
        <f>万相台!G389+万相台!H389</f>
        <v>217</v>
      </c>
      <c r="AA560" s="68">
        <f t="shared" si="87"/>
        <v>4800</v>
      </c>
      <c r="AB560" s="69">
        <f t="shared" si="95"/>
        <v>7969.29</v>
      </c>
      <c r="AC560" s="70">
        <f t="shared" si="96"/>
        <v>398</v>
      </c>
      <c r="AD560" s="505">
        <f t="shared" si="97"/>
        <v>20.0233417085427</v>
      </c>
      <c r="AE560" s="506">
        <f t="shared" si="98"/>
        <v>0.0504819888381532</v>
      </c>
      <c r="AF560" s="69">
        <f t="shared" si="99"/>
        <v>7884</v>
      </c>
      <c r="AG560" s="71">
        <f t="shared" si="100"/>
        <v>1.01081811263318</v>
      </c>
      <c r="AH560" s="71">
        <f t="shared" si="101"/>
        <v>6.25600241156231</v>
      </c>
    </row>
    <row r="561" spans="1:34">
      <c r="A561" s="304">
        <v>45549</v>
      </c>
      <c r="B561" s="62">
        <v>400</v>
      </c>
      <c r="C561" s="176">
        <f t="shared" si="83"/>
        <v>0.0614425706409938</v>
      </c>
      <c r="D561" s="443">
        <f>明星店铺!B902</f>
        <v>449.81</v>
      </c>
      <c r="E561" s="404">
        <f>明星店铺!C902</f>
        <v>399</v>
      </c>
      <c r="F561" s="404">
        <f>明星店铺!D902</f>
        <v>91</v>
      </c>
      <c r="G561" s="325">
        <f>明星店铺!G902+明星店铺!H902</f>
        <v>25</v>
      </c>
      <c r="H561" s="62">
        <v>2000</v>
      </c>
      <c r="I561" s="176">
        <f t="shared" si="84"/>
        <v>0.287907638761778</v>
      </c>
      <c r="J561" s="443">
        <f>直通车!B902</f>
        <v>2107.72</v>
      </c>
      <c r="K561" s="399">
        <f>直通车!C902</f>
        <v>17508</v>
      </c>
      <c r="L561" s="511">
        <f>直通车!D902</f>
        <v>690</v>
      </c>
      <c r="M561" s="325">
        <f>直通车!G902+直通车!H902</f>
        <v>40</v>
      </c>
      <c r="N561" s="62">
        <v>400</v>
      </c>
      <c r="O561" s="176">
        <f t="shared" si="85"/>
        <v>0.0912575367240282</v>
      </c>
      <c r="P561" s="443">
        <f>引力魔方!B801</f>
        <v>668.08</v>
      </c>
      <c r="Q561" s="398">
        <f>引力魔方!C801</f>
        <v>734073</v>
      </c>
      <c r="R561" s="399">
        <f>引力魔方!D801</f>
        <v>2778</v>
      </c>
      <c r="S561" s="325">
        <f>引力魔方!G801+引力魔方!H801</f>
        <v>79</v>
      </c>
      <c r="T561" s="326">
        <v>2000</v>
      </c>
      <c r="U561" s="176">
        <f t="shared" si="86"/>
        <v>0.5593922538732</v>
      </c>
      <c r="V561" s="326">
        <f>万相台!B390</f>
        <v>4095.21</v>
      </c>
      <c r="W561" s="417">
        <f>万相台!C390</f>
        <v>428905</v>
      </c>
      <c r="X561" s="417">
        <f>万相台!D390</f>
        <v>3763</v>
      </c>
      <c r="Y561" s="306">
        <f>万相台!G390+万相台!H390</f>
        <v>232</v>
      </c>
      <c r="AA561" s="68">
        <f t="shared" si="87"/>
        <v>4800</v>
      </c>
      <c r="AB561" s="69">
        <f t="shared" si="95"/>
        <v>7320.82</v>
      </c>
      <c r="AC561" s="70">
        <f t="shared" si="96"/>
        <v>376</v>
      </c>
      <c r="AD561" s="505">
        <f t="shared" si="97"/>
        <v>19.4702659574468</v>
      </c>
      <c r="AE561" s="506">
        <f t="shared" si="98"/>
        <v>0.0513520895930074</v>
      </c>
      <c r="AF561" s="69">
        <f t="shared" si="99"/>
        <v>7322</v>
      </c>
      <c r="AG561" s="71">
        <f t="shared" si="100"/>
        <v>0.99983884184649</v>
      </c>
      <c r="AH561" s="71">
        <f t="shared" si="101"/>
        <v>6.19943516938567</v>
      </c>
    </row>
    <row r="562" spans="1:34">
      <c r="A562" s="304">
        <v>45550</v>
      </c>
      <c r="B562" s="62">
        <v>400</v>
      </c>
      <c r="C562" s="176">
        <f t="shared" si="83"/>
        <v>0.0522508405879681</v>
      </c>
      <c r="D562" s="443">
        <f>明星店铺!B903</f>
        <v>388.81</v>
      </c>
      <c r="E562" s="404">
        <f>明星店铺!C903</f>
        <v>318</v>
      </c>
      <c r="F562" s="404">
        <f>明星店铺!D903</f>
        <v>114</v>
      </c>
      <c r="G562" s="325">
        <f>明星店铺!G903+明星店铺!H903</f>
        <v>34</v>
      </c>
      <c r="H562" s="62">
        <v>2000</v>
      </c>
      <c r="I562" s="176">
        <f t="shared" si="84"/>
        <v>0.275968188012181</v>
      </c>
      <c r="J562" s="443">
        <f>直通车!B903</f>
        <v>2053.54</v>
      </c>
      <c r="K562" s="399">
        <f>直通车!C903</f>
        <v>16417</v>
      </c>
      <c r="L562" s="511">
        <f>直通车!D903</f>
        <v>679</v>
      </c>
      <c r="M562" s="325">
        <f>直通车!G903+直通车!H903</f>
        <v>44</v>
      </c>
      <c r="N562" s="62">
        <v>400</v>
      </c>
      <c r="O562" s="176">
        <f t="shared" si="85"/>
        <v>0.090143820502552</v>
      </c>
      <c r="P562" s="443">
        <f>引力魔方!B802</f>
        <v>670.78</v>
      </c>
      <c r="Q562" s="398">
        <f>引力魔方!C802</f>
        <v>806009</v>
      </c>
      <c r="R562" s="399">
        <f>引力魔方!D802</f>
        <v>3070</v>
      </c>
      <c r="S562" s="325">
        <f>引力魔方!G802+引力魔方!H802</f>
        <v>89</v>
      </c>
      <c r="T562" s="326">
        <v>2000</v>
      </c>
      <c r="U562" s="176">
        <f t="shared" si="86"/>
        <v>0.581637150897299</v>
      </c>
      <c r="V562" s="326">
        <f>万相台!B391</f>
        <v>4328.09</v>
      </c>
      <c r="W562" s="417">
        <f>万相台!C391</f>
        <v>296531</v>
      </c>
      <c r="X562" s="417">
        <f>万相台!D391</f>
        <v>3983</v>
      </c>
      <c r="Y562" s="306">
        <f>万相台!G391+万相台!H391</f>
        <v>208</v>
      </c>
      <c r="AA562" s="68">
        <f t="shared" si="87"/>
        <v>4800</v>
      </c>
      <c r="AB562" s="69">
        <f t="shared" si="95"/>
        <v>7441.22</v>
      </c>
      <c r="AC562" s="70">
        <f t="shared" si="96"/>
        <v>375</v>
      </c>
      <c r="AD562" s="505">
        <f t="shared" si="97"/>
        <v>19.8432533333333</v>
      </c>
      <c r="AE562" s="506">
        <f t="shared" si="98"/>
        <v>0.0477950548049962</v>
      </c>
      <c r="AF562" s="69">
        <f t="shared" si="99"/>
        <v>7846</v>
      </c>
      <c r="AG562" s="71">
        <f t="shared" si="100"/>
        <v>0.94840938057609</v>
      </c>
      <c r="AH562" s="71">
        <f t="shared" si="101"/>
        <v>6.64824998324808</v>
      </c>
    </row>
    <row r="563" spans="1:34">
      <c r="A563" s="304">
        <v>45551</v>
      </c>
      <c r="B563" s="62">
        <v>400</v>
      </c>
      <c r="C563" s="176">
        <f t="shared" si="83"/>
        <v>0.053422200048299</v>
      </c>
      <c r="D563" s="443">
        <f>明星店铺!B904</f>
        <v>402.61</v>
      </c>
      <c r="E563" s="404">
        <f>明星店铺!C904</f>
        <v>363</v>
      </c>
      <c r="F563" s="404">
        <f>明星店铺!D904</f>
        <v>114</v>
      </c>
      <c r="G563" s="325">
        <f>明星店铺!G904+明星店铺!H904</f>
        <v>37</v>
      </c>
      <c r="H563" s="62">
        <v>2000</v>
      </c>
      <c r="I563" s="176">
        <f t="shared" si="84"/>
        <v>0.349552437642476</v>
      </c>
      <c r="J563" s="443">
        <f>直通车!B904</f>
        <v>2634.36</v>
      </c>
      <c r="K563" s="399">
        <f>直通车!C904</f>
        <v>15407</v>
      </c>
      <c r="L563" s="511">
        <f>直通车!D904</f>
        <v>822</v>
      </c>
      <c r="M563" s="325">
        <f>直通车!G904+直通车!H904</f>
        <v>33</v>
      </c>
      <c r="N563" s="62">
        <v>400</v>
      </c>
      <c r="O563" s="176">
        <f t="shared" si="85"/>
        <v>0.0900472109951993</v>
      </c>
      <c r="P563" s="443">
        <f>引力魔方!B803</f>
        <v>678.63</v>
      </c>
      <c r="Q563" s="398">
        <f>引力魔方!C803</f>
        <v>904572</v>
      </c>
      <c r="R563" s="399">
        <f>引力魔方!D803</f>
        <v>3333</v>
      </c>
      <c r="S563" s="325">
        <f>引力魔方!G803+引力魔方!H803</f>
        <v>85</v>
      </c>
      <c r="T563" s="326">
        <v>2000</v>
      </c>
      <c r="U563" s="176">
        <f t="shared" si="86"/>
        <v>0.506978151314026</v>
      </c>
      <c r="V563" s="326">
        <f>万相台!B392</f>
        <v>3820.78</v>
      </c>
      <c r="W563" s="417">
        <f>万相台!C392</f>
        <v>386142</v>
      </c>
      <c r="X563" s="417">
        <f>万相台!D392</f>
        <v>3808</v>
      </c>
      <c r="Y563" s="306">
        <f>万相台!G392+万相台!H392</f>
        <v>254</v>
      </c>
      <c r="AA563" s="68">
        <f t="shared" si="87"/>
        <v>4800</v>
      </c>
      <c r="AB563" s="69">
        <f t="shared" si="95"/>
        <v>7536.38</v>
      </c>
      <c r="AC563" s="70">
        <f t="shared" si="96"/>
        <v>409</v>
      </c>
      <c r="AD563" s="505">
        <f t="shared" si="97"/>
        <v>18.4263569682152</v>
      </c>
      <c r="AE563" s="506">
        <f t="shared" si="98"/>
        <v>0.0506376129751145</v>
      </c>
      <c r="AF563" s="69">
        <f t="shared" si="99"/>
        <v>8077</v>
      </c>
      <c r="AG563" s="71">
        <f t="shared" si="100"/>
        <v>0.933066732697784</v>
      </c>
      <c r="AH563" s="71">
        <f t="shared" si="101"/>
        <v>5.76844416005095</v>
      </c>
    </row>
    <row r="564" spans="1:34">
      <c r="A564" s="304">
        <v>45552</v>
      </c>
      <c r="B564" s="62">
        <v>400</v>
      </c>
      <c r="C564" s="176">
        <f t="shared" si="83"/>
        <v>0.0525222677863778</v>
      </c>
      <c r="D564" s="443">
        <f>明星店铺!B905</f>
        <v>396.02</v>
      </c>
      <c r="E564" s="404">
        <f>明星店铺!C905</f>
        <v>356</v>
      </c>
      <c r="F564" s="404">
        <f>明星店铺!D905</f>
        <v>111</v>
      </c>
      <c r="G564" s="325">
        <f>明星店铺!G905+明星店铺!H905</f>
        <v>19</v>
      </c>
      <c r="H564" s="62">
        <v>2000</v>
      </c>
      <c r="I564" s="176">
        <f t="shared" si="84"/>
        <v>0.393893135845433</v>
      </c>
      <c r="J564" s="443">
        <f>直通车!B905</f>
        <v>2969.97</v>
      </c>
      <c r="K564" s="399">
        <f>直通车!C905</f>
        <v>16935</v>
      </c>
      <c r="L564" s="511">
        <f>直通车!D905</f>
        <v>938</v>
      </c>
      <c r="M564" s="325">
        <f>直通车!G905+直通车!H905</f>
        <v>32</v>
      </c>
      <c r="O564" s="176">
        <f t="shared" ref="O564:O589" si="102">P564/$AB564</f>
        <v>0.0887608023299611</v>
      </c>
      <c r="P564" s="443">
        <f>引力魔方!B804</f>
        <v>669.26</v>
      </c>
      <c r="Q564" s="398">
        <f>引力魔方!C804</f>
        <v>831861</v>
      </c>
      <c r="R564" s="399">
        <f>引力魔方!D804</f>
        <v>3088</v>
      </c>
      <c r="S564" s="325">
        <f>引力魔方!G804+引力魔方!H804</f>
        <v>89</v>
      </c>
      <c r="U564" s="176">
        <f t="shared" ref="U564:U589" si="103">V564/$AB564</f>
        <v>0.464823794038228</v>
      </c>
      <c r="V564" s="326">
        <f>万相台!B393</f>
        <v>3504.79</v>
      </c>
      <c r="W564" s="417">
        <f>万相台!C393</f>
        <v>425727</v>
      </c>
      <c r="X564" s="417">
        <f>万相台!D393</f>
        <v>3513</v>
      </c>
      <c r="Y564" s="306">
        <f>万相台!G393+万相台!H393</f>
        <v>153</v>
      </c>
      <c r="AB564" s="69">
        <f t="shared" si="95"/>
        <v>7540.04</v>
      </c>
      <c r="AC564" s="70">
        <f t="shared" si="96"/>
        <v>293</v>
      </c>
      <c r="AD564" s="505">
        <f t="shared" si="97"/>
        <v>25.7339249146758</v>
      </c>
      <c r="AE564" s="506">
        <f t="shared" si="98"/>
        <v>0.0383006535947712</v>
      </c>
      <c r="AF564" s="69">
        <f t="shared" si="99"/>
        <v>7650</v>
      </c>
      <c r="AG564" s="71">
        <f t="shared" si="100"/>
        <v>0.98562614379085</v>
      </c>
      <c r="AH564" s="71">
        <f t="shared" si="101"/>
        <v>5.91431814313358</v>
      </c>
    </row>
    <row r="565" spans="1:34">
      <c r="A565" s="304">
        <v>45553</v>
      </c>
      <c r="B565" s="62">
        <v>400</v>
      </c>
      <c r="C565" s="176">
        <f t="shared" ref="C565:C593" si="104">D565/$AB565</f>
        <v>0.0663368817335552</v>
      </c>
      <c r="D565" s="443">
        <f>明星店铺!B906</f>
        <v>516.29</v>
      </c>
      <c r="E565" s="404">
        <f>明星店铺!C906</f>
        <v>458</v>
      </c>
      <c r="F565" s="404">
        <f>明星店铺!D906</f>
        <v>120</v>
      </c>
      <c r="G565" s="325">
        <f>明星店铺!G906+明星店铺!H906</f>
        <v>32</v>
      </c>
      <c r="H565" s="62">
        <v>2000</v>
      </c>
      <c r="I565" s="176">
        <f t="shared" ref="I565:I589" si="105">J565/$AB565</f>
        <v>0.359887444830621</v>
      </c>
      <c r="J565" s="443">
        <f>直通车!B906</f>
        <v>2800.95</v>
      </c>
      <c r="K565" s="399">
        <f>直通车!C906</f>
        <v>18160</v>
      </c>
      <c r="L565" s="511">
        <f>直通车!D906</f>
        <v>902</v>
      </c>
      <c r="M565" s="325">
        <f>直通车!G906+直通车!H906</f>
        <v>49</v>
      </c>
      <c r="O565" s="176">
        <f t="shared" si="102"/>
        <v>0.0861047045748023</v>
      </c>
      <c r="P565" s="443">
        <f>引力魔方!B805</f>
        <v>670.14</v>
      </c>
      <c r="Q565" s="398">
        <f>引力魔方!C805</f>
        <v>1006276</v>
      </c>
      <c r="R565" s="399">
        <f>引力魔方!D805</f>
        <v>3323</v>
      </c>
      <c r="S565" s="325">
        <f>引力魔方!G805+引力魔方!H805</f>
        <v>82</v>
      </c>
      <c r="U565" s="176">
        <f t="shared" si="103"/>
        <v>0.487670968861021</v>
      </c>
      <c r="V565" s="326">
        <f>万相台!B394</f>
        <v>3795.47</v>
      </c>
      <c r="W565" s="417">
        <f>万相台!C394</f>
        <v>400107</v>
      </c>
      <c r="X565" s="417">
        <f>万相台!D394</f>
        <v>3602</v>
      </c>
      <c r="Y565" s="306">
        <f>万相台!G394+万相台!H394</f>
        <v>158</v>
      </c>
      <c r="AB565" s="69">
        <f t="shared" si="95"/>
        <v>7782.85</v>
      </c>
      <c r="AC565" s="70">
        <f t="shared" si="96"/>
        <v>321</v>
      </c>
      <c r="AD565" s="505">
        <f t="shared" si="97"/>
        <v>24.2456386292835</v>
      </c>
      <c r="AE565" s="506">
        <f t="shared" si="98"/>
        <v>0.0403926009815025</v>
      </c>
      <c r="AF565" s="69">
        <f t="shared" si="99"/>
        <v>7947</v>
      </c>
      <c r="AG565" s="71">
        <f t="shared" si="100"/>
        <v>0.97934440669435</v>
      </c>
      <c r="AH565" s="71">
        <f t="shared" si="101"/>
        <v>5.46164529007348</v>
      </c>
    </row>
    <row r="566" spans="1:34">
      <c r="A566" s="304">
        <v>45554</v>
      </c>
      <c r="B566" s="62">
        <v>400</v>
      </c>
      <c r="C566" s="176">
        <f t="shared" si="104"/>
        <v>0.0515931930858904</v>
      </c>
      <c r="D566" s="443">
        <f>明星店铺!B907</f>
        <v>385.04</v>
      </c>
      <c r="E566" s="404">
        <f>明星店铺!C907</f>
        <v>353</v>
      </c>
      <c r="F566" s="404">
        <f>明星店铺!E907</f>
        <v>1</v>
      </c>
      <c r="G566" s="325">
        <f>明星店铺!G907+明星店铺!H907</f>
        <v>22</v>
      </c>
      <c r="H566" s="62">
        <v>2000</v>
      </c>
      <c r="I566" s="176">
        <f t="shared" si="105"/>
        <v>0.355948010183572</v>
      </c>
      <c r="J566" s="443">
        <f>直通车!B907</f>
        <v>2656.44</v>
      </c>
      <c r="K566" s="399">
        <f>直通车!C907</f>
        <v>17093</v>
      </c>
      <c r="L566" s="511">
        <f>直通车!D907</f>
        <v>848</v>
      </c>
      <c r="M566" s="325">
        <f>直通车!G907+直通车!H907</f>
        <v>48</v>
      </c>
      <c r="O566" s="176">
        <f t="shared" si="102"/>
        <v>0.0896770735629104</v>
      </c>
      <c r="P566" s="443">
        <f>引力魔方!B806</f>
        <v>669.26</v>
      </c>
      <c r="Q566" s="398">
        <f>引力魔方!C806</f>
        <v>1044533</v>
      </c>
      <c r="R566" s="399">
        <f>引力魔方!D806</f>
        <v>2980</v>
      </c>
      <c r="S566" s="325">
        <f>引力魔方!G806+引力魔方!H806</f>
        <v>66</v>
      </c>
      <c r="U566" s="176">
        <f t="shared" si="103"/>
        <v>0.502781723167627</v>
      </c>
      <c r="V566" s="326">
        <f>万相台!B395</f>
        <v>3752.26</v>
      </c>
      <c r="W566" s="417">
        <f>万相台!C395</f>
        <v>464379</v>
      </c>
      <c r="X566" s="417">
        <f>万相台!D395</f>
        <v>3318</v>
      </c>
      <c r="Y566" s="306">
        <f>万相台!G395+万相台!H395</f>
        <v>186</v>
      </c>
      <c r="AB566" s="69">
        <f t="shared" si="95"/>
        <v>7463</v>
      </c>
      <c r="AC566" s="70">
        <f t="shared" si="96"/>
        <v>322</v>
      </c>
      <c r="AD566" s="505">
        <f t="shared" si="97"/>
        <v>23.1770186335404</v>
      </c>
      <c r="AE566" s="506">
        <f t="shared" si="98"/>
        <v>0.0450538687561214</v>
      </c>
      <c r="AF566" s="69">
        <f t="shared" si="99"/>
        <v>7147</v>
      </c>
      <c r="AG566" s="71">
        <f t="shared" si="100"/>
        <v>1.04421435567371</v>
      </c>
      <c r="AH566" s="71">
        <f t="shared" si="101"/>
        <v>4.88941650648144</v>
      </c>
    </row>
    <row r="567" spans="1:34">
      <c r="A567" s="304">
        <v>45555</v>
      </c>
      <c r="C567" s="176">
        <f t="shared" si="104"/>
        <v>0.0557726864904796</v>
      </c>
      <c r="D567" s="443">
        <f>明星店铺!B908</f>
        <v>436.38</v>
      </c>
      <c r="E567" s="404">
        <f>明星店铺!C908</f>
        <v>385</v>
      </c>
      <c r="F567" s="404">
        <f>明星店铺!D908</f>
        <v>93</v>
      </c>
      <c r="G567" s="325">
        <f>明星店铺!G908+明星店铺!H908</f>
        <v>15</v>
      </c>
      <c r="H567" s="62">
        <v>2000</v>
      </c>
      <c r="I567" s="176">
        <f t="shared" si="105"/>
        <v>0.37537863005575</v>
      </c>
      <c r="J567" s="443">
        <f>直通车!B908</f>
        <v>2937.06</v>
      </c>
      <c r="K567" s="399">
        <f>直通车!C908</f>
        <v>18013</v>
      </c>
      <c r="L567" s="511">
        <f>直通车!D908</f>
        <v>936</v>
      </c>
      <c r="M567" s="325">
        <f>直通车!G908+直通车!H908</f>
        <v>35</v>
      </c>
      <c r="O567" s="176">
        <f t="shared" si="102"/>
        <v>0.0853972132827897</v>
      </c>
      <c r="P567" s="443">
        <f>引力魔方!B807</f>
        <v>668.17</v>
      </c>
      <c r="Q567" s="398">
        <f>引力魔方!C807</f>
        <v>961216</v>
      </c>
      <c r="R567" s="399">
        <f>引力魔方!D807</f>
        <v>2856</v>
      </c>
      <c r="S567" s="325">
        <f>引力魔方!G807+引力魔方!H807</f>
        <v>69</v>
      </c>
      <c r="U567" s="176">
        <f t="shared" si="103"/>
        <v>0.483451470170981</v>
      </c>
      <c r="V567" s="326">
        <f>万相台!B396</f>
        <v>3782.65</v>
      </c>
      <c r="W567" s="417">
        <f>万相台!C396</f>
        <v>370833</v>
      </c>
      <c r="X567" s="417">
        <f>万相台!D396</f>
        <v>3112</v>
      </c>
      <c r="Y567" s="306">
        <f>万相台!G396+万相台!H396</f>
        <v>206</v>
      </c>
      <c r="AB567" s="69">
        <f t="shared" si="95"/>
        <v>7824.26</v>
      </c>
      <c r="AC567" s="70">
        <f t="shared" si="96"/>
        <v>325</v>
      </c>
      <c r="AD567" s="505">
        <f t="shared" si="97"/>
        <v>24.0746461538462</v>
      </c>
      <c r="AE567" s="506">
        <f t="shared" si="98"/>
        <v>0.0464484779191082</v>
      </c>
      <c r="AF567" s="69">
        <f t="shared" si="99"/>
        <v>6997</v>
      </c>
      <c r="AG567" s="71">
        <f t="shared" si="100"/>
        <v>1.11823067028727</v>
      </c>
      <c r="AH567" s="71">
        <f t="shared" si="101"/>
        <v>5.79382974674312</v>
      </c>
    </row>
    <row r="568" spans="1:34">
      <c r="A568" s="304">
        <v>45556</v>
      </c>
      <c r="C568" s="176">
        <f t="shared" si="104"/>
        <v>0.0518781526367507</v>
      </c>
      <c r="D568" s="443">
        <f>明星店铺!B909</f>
        <v>395.96</v>
      </c>
      <c r="E568" s="404">
        <f>明星店铺!C909</f>
        <v>347</v>
      </c>
      <c r="F568" s="404">
        <f>明星店铺!D909</f>
        <v>98</v>
      </c>
      <c r="G568" s="325">
        <f>明星店铺!G909+明星店铺!H909</f>
        <v>22</v>
      </c>
      <c r="H568" s="62">
        <v>2000</v>
      </c>
      <c r="I568" s="176">
        <f t="shared" si="105"/>
        <v>0.357202751392073</v>
      </c>
      <c r="J568" s="443">
        <f>直通车!B909</f>
        <v>2726.35</v>
      </c>
      <c r="K568" s="399">
        <f>直通车!C909</f>
        <v>17296</v>
      </c>
      <c r="L568" s="511">
        <f>直通车!D909</f>
        <v>826</v>
      </c>
      <c r="M568" s="325">
        <f>直通车!G909+直通车!H909</f>
        <v>40</v>
      </c>
      <c r="O568" s="176">
        <f t="shared" si="102"/>
        <v>0.0862613822469702</v>
      </c>
      <c r="P568" s="443">
        <f>引力魔方!B808</f>
        <v>658.39</v>
      </c>
      <c r="Q568" s="398">
        <f>引力魔方!C808</f>
        <v>892651</v>
      </c>
      <c r="R568" s="399">
        <f>引力魔方!D808</f>
        <v>3441</v>
      </c>
      <c r="S568" s="325">
        <f>引力魔方!G808+引力魔方!H808</f>
        <v>84</v>
      </c>
      <c r="U568" s="176">
        <f t="shared" si="103"/>
        <v>0.504657713724206</v>
      </c>
      <c r="V568" s="326">
        <f>万相台!B397</f>
        <v>3851.8</v>
      </c>
      <c r="W568" s="417">
        <f>万相台!C397</f>
        <v>224015</v>
      </c>
      <c r="X568" s="417">
        <f>万相台!D397</f>
        <v>2485</v>
      </c>
      <c r="Y568" s="306">
        <f>万相台!G397+万相台!H397</f>
        <v>172</v>
      </c>
      <c r="AB568" s="69">
        <f t="shared" si="95"/>
        <v>7632.5</v>
      </c>
      <c r="AC568" s="70">
        <f t="shared" si="96"/>
        <v>318</v>
      </c>
      <c r="AD568" s="505">
        <f t="shared" si="97"/>
        <v>24.001572327044</v>
      </c>
      <c r="AE568" s="506">
        <f t="shared" si="98"/>
        <v>0.0464233576642336</v>
      </c>
      <c r="AF568" s="69">
        <f t="shared" si="99"/>
        <v>6850</v>
      </c>
      <c r="AG568" s="71">
        <f t="shared" si="100"/>
        <v>1.11423357664234</v>
      </c>
      <c r="AH568" s="71">
        <f t="shared" si="101"/>
        <v>6.72876614749597</v>
      </c>
    </row>
    <row r="569" spans="1:34">
      <c r="A569" s="304">
        <v>45557</v>
      </c>
      <c r="C569" s="176">
        <f t="shared" si="104"/>
        <v>0.071868026394721</v>
      </c>
      <c r="D569" s="443">
        <f>明星店铺!B910</f>
        <v>299.51</v>
      </c>
      <c r="E569" s="404">
        <f>明星店铺!C910</f>
        <v>269</v>
      </c>
      <c r="F569" s="404">
        <f>明星店铺!D910</f>
        <v>79</v>
      </c>
      <c r="G569" s="325">
        <f>明星店铺!G910+明星店铺!H910</f>
        <v>15</v>
      </c>
      <c r="I569" s="176">
        <f t="shared" si="105"/>
        <v>0.443208158368326</v>
      </c>
      <c r="J569" s="443">
        <f>直通车!B910</f>
        <v>1847.07</v>
      </c>
      <c r="K569" s="399">
        <f>直通车!C910</f>
        <v>11680</v>
      </c>
      <c r="L569" s="511">
        <f>直通车!D910</f>
        <v>573</v>
      </c>
      <c r="M569" s="325">
        <f>直通车!G910+直通车!H910</f>
        <v>34</v>
      </c>
      <c r="O569" s="176">
        <f t="shared" si="102"/>
        <v>0.0678104379124175</v>
      </c>
      <c r="P569" s="443">
        <f>引力魔方!B809</f>
        <v>282.6</v>
      </c>
      <c r="Q569" s="398">
        <f>引力魔方!C809</f>
        <v>517695</v>
      </c>
      <c r="R569" s="399">
        <f>引力魔方!D809</f>
        <v>1392</v>
      </c>
      <c r="S569" s="325">
        <f>引力魔方!G809+引力魔方!H809</f>
        <v>69</v>
      </c>
      <c r="U569" s="176">
        <f t="shared" si="103"/>
        <v>0.417113377324535</v>
      </c>
      <c r="V569" s="326">
        <f>万相台!B398</f>
        <v>1738.32</v>
      </c>
      <c r="W569" s="417">
        <f>万相台!C398</f>
        <v>310672</v>
      </c>
      <c r="X569" s="417">
        <f>万相台!D398</f>
        <v>2133</v>
      </c>
      <c r="Y569" s="306">
        <f>万相台!G398+万相台!H398</f>
        <v>128</v>
      </c>
      <c r="AB569" s="69">
        <f t="shared" si="95"/>
        <v>4167.5</v>
      </c>
      <c r="AC569" s="70">
        <f t="shared" si="96"/>
        <v>246</v>
      </c>
      <c r="AD569" s="505">
        <f t="shared" si="97"/>
        <v>16.9410569105691</v>
      </c>
      <c r="AE569" s="506">
        <f t="shared" si="98"/>
        <v>0.0588939430213072</v>
      </c>
      <c r="AF569" s="69">
        <f t="shared" si="99"/>
        <v>4177</v>
      </c>
      <c r="AG569" s="71">
        <f t="shared" si="100"/>
        <v>0.997725640411779</v>
      </c>
      <c r="AH569" s="71">
        <f t="shared" si="101"/>
        <v>4.95944382827413</v>
      </c>
    </row>
    <row r="570" spans="1:34">
      <c r="A570" s="304">
        <v>45558</v>
      </c>
      <c r="C570" s="176">
        <f t="shared" si="104"/>
        <v>0.114249646588734</v>
      </c>
      <c r="D570" s="443">
        <f>明星店铺!B911</f>
        <v>438.04</v>
      </c>
      <c r="E570" s="404">
        <f>明星店铺!C911</f>
        <v>371</v>
      </c>
      <c r="F570" s="404">
        <f>明星店铺!D911</f>
        <v>105</v>
      </c>
      <c r="G570" s="325">
        <f>明星店铺!G911+明星店铺!H911</f>
        <v>22</v>
      </c>
      <c r="I570" s="176">
        <f t="shared" si="105"/>
        <v>0.406728115887597</v>
      </c>
      <c r="J570" s="443">
        <f>直通车!B911</f>
        <v>1559.42</v>
      </c>
      <c r="K570" s="399">
        <f>直通车!C911</f>
        <v>9965</v>
      </c>
      <c r="L570" s="511">
        <f>直通车!D911</f>
        <v>469</v>
      </c>
      <c r="M570" s="325">
        <f>直通车!G911+直通车!H911</f>
        <v>26</v>
      </c>
      <c r="O570" s="176">
        <f t="shared" si="102"/>
        <v>0.0735930058475872</v>
      </c>
      <c r="P570" s="443">
        <f>引力魔方!B810</f>
        <v>282.16</v>
      </c>
      <c r="Q570" s="398">
        <f>引力魔方!C810</f>
        <v>511168</v>
      </c>
      <c r="R570" s="399">
        <f>引力魔方!D810</f>
        <v>1306</v>
      </c>
      <c r="S570" s="325">
        <f>引力魔方!G810+引力魔方!H810</f>
        <v>42</v>
      </c>
      <c r="U570" s="176">
        <f t="shared" si="103"/>
        <v>0.405429231676082</v>
      </c>
      <c r="V570" s="326">
        <f>万相台!B399</f>
        <v>1554.44</v>
      </c>
      <c r="W570" s="417">
        <f>万相台!C399</f>
        <v>276401</v>
      </c>
      <c r="X570" s="417">
        <f>万相台!D399</f>
        <v>1969</v>
      </c>
      <c r="Y570" s="306">
        <f>万相台!G399+万相台!H399</f>
        <v>124</v>
      </c>
      <c r="AB570" s="69">
        <f t="shared" si="95"/>
        <v>3834.06</v>
      </c>
      <c r="AC570" s="70">
        <f t="shared" si="96"/>
        <v>214</v>
      </c>
      <c r="AD570" s="505">
        <f t="shared" si="97"/>
        <v>17.9161682242991</v>
      </c>
      <c r="AE570" s="506">
        <f t="shared" si="98"/>
        <v>0.055598856845934</v>
      </c>
      <c r="AF570" s="69">
        <f t="shared" si="99"/>
        <v>3849</v>
      </c>
      <c r="AG570" s="71">
        <f t="shared" si="100"/>
        <v>0.996118472330475</v>
      </c>
      <c r="AH570" s="71">
        <f t="shared" si="101"/>
        <v>4.80515850884504</v>
      </c>
    </row>
    <row r="571" spans="1:34">
      <c r="A571" s="304">
        <v>45559</v>
      </c>
      <c r="C571" s="176">
        <f t="shared" si="104"/>
        <v>0.104486879835902</v>
      </c>
      <c r="D571" s="443">
        <f>明星店铺!B912</f>
        <v>449.28</v>
      </c>
      <c r="E571" s="404">
        <f>明星店铺!C912</f>
        <v>391</v>
      </c>
      <c r="F571" s="404">
        <f>明星店铺!D912</f>
        <v>145</v>
      </c>
      <c r="G571" s="325">
        <f>明星店铺!G912+明星店铺!H912</f>
        <v>28</v>
      </c>
      <c r="I571" s="176">
        <f t="shared" si="105"/>
        <v>0.421615072083575</v>
      </c>
      <c r="J571" s="443">
        <f>直通车!B912</f>
        <v>1812.89</v>
      </c>
      <c r="K571" s="399">
        <f>直通车!C912</f>
        <v>12403</v>
      </c>
      <c r="L571" s="511">
        <f>直通车!D912</f>
        <v>550</v>
      </c>
      <c r="M571" s="325">
        <f>直通车!G912+直通车!H912</f>
        <v>26</v>
      </c>
      <c r="O571" s="176">
        <f t="shared" si="102"/>
        <v>0.0629577173263378</v>
      </c>
      <c r="P571" s="443">
        <f>引力魔方!B811</f>
        <v>270.71</v>
      </c>
      <c r="Q571" s="398">
        <f>引力魔方!C811</f>
        <v>486699</v>
      </c>
      <c r="R571" s="399">
        <f>引力魔方!D811</f>
        <v>1170</v>
      </c>
      <c r="S571" s="325">
        <f>引力魔方!G811+引力魔方!H811</f>
        <v>36</v>
      </c>
      <c r="U571" s="176">
        <f t="shared" si="103"/>
        <v>0.410940330754186</v>
      </c>
      <c r="V571" s="326">
        <f>万相台!B400</f>
        <v>1766.99</v>
      </c>
      <c r="W571" s="417">
        <f>万相台!C400</f>
        <v>230963</v>
      </c>
      <c r="X571" s="417">
        <f>万相台!D400</f>
        <v>1741</v>
      </c>
      <c r="Y571" s="306">
        <f>万相台!G400+万相台!H400</f>
        <v>109</v>
      </c>
      <c r="AB571" s="69">
        <f t="shared" si="95"/>
        <v>4299.87</v>
      </c>
      <c r="AC571" s="70">
        <f t="shared" si="96"/>
        <v>199</v>
      </c>
      <c r="AD571" s="505">
        <f t="shared" si="97"/>
        <v>21.6073869346734</v>
      </c>
      <c r="AE571" s="506">
        <f t="shared" si="98"/>
        <v>0.055185801442041</v>
      </c>
      <c r="AF571" s="69">
        <f t="shared" si="99"/>
        <v>3606</v>
      </c>
      <c r="AG571" s="71">
        <f t="shared" si="100"/>
        <v>1.19242096505824</v>
      </c>
      <c r="AH571" s="71">
        <f t="shared" si="101"/>
        <v>5.88655579528404</v>
      </c>
    </row>
    <row r="572" spans="1:34">
      <c r="A572" s="304">
        <v>45560</v>
      </c>
      <c r="C572" s="176">
        <f t="shared" si="104"/>
        <v>0.0879668146220167</v>
      </c>
      <c r="D572" s="443">
        <f>明星店铺!B913</f>
        <v>378.53</v>
      </c>
      <c r="E572" s="404">
        <f>明星店铺!C913</f>
        <v>335</v>
      </c>
      <c r="F572" s="404">
        <f>明星店铺!D913</f>
        <v>103</v>
      </c>
      <c r="G572" s="325">
        <f>明星店铺!G913+明星店铺!H913</f>
        <v>23</v>
      </c>
      <c r="I572" s="176">
        <f t="shared" si="105"/>
        <v>0.38909623294834</v>
      </c>
      <c r="J572" s="443">
        <f>直通车!B913</f>
        <v>1674.32</v>
      </c>
      <c r="K572" s="399">
        <f>直通车!C913</f>
        <v>13103</v>
      </c>
      <c r="L572" s="511">
        <f>直通车!D913</f>
        <v>506</v>
      </c>
      <c r="M572" s="325">
        <f>直通车!G913+直通车!H913</f>
        <v>17</v>
      </c>
      <c r="O572" s="176">
        <f t="shared" si="102"/>
        <v>0.064585996142316</v>
      </c>
      <c r="P572" s="443">
        <f>引力魔方!B812</f>
        <v>277.92</v>
      </c>
      <c r="Q572" s="398">
        <f>引力魔方!C812</f>
        <v>398237</v>
      </c>
      <c r="R572" s="399">
        <f>引力魔方!D812</f>
        <v>1175</v>
      </c>
      <c r="S572" s="325">
        <f>引力魔方!G812+引力魔方!H812</f>
        <v>28</v>
      </c>
      <c r="U572" s="176">
        <f t="shared" si="103"/>
        <v>0.458350956287328</v>
      </c>
      <c r="V572" s="326">
        <f>万相台!B401</f>
        <v>1972.33</v>
      </c>
      <c r="W572" s="417">
        <f>万相台!C401</f>
        <v>149551</v>
      </c>
      <c r="X572" s="417">
        <f>万相台!D401</f>
        <v>1474</v>
      </c>
      <c r="Y572" s="306">
        <f>万相台!G401+万相台!H401</f>
        <v>101</v>
      </c>
      <c r="AB572" s="69">
        <f t="shared" si="95"/>
        <v>4303.1</v>
      </c>
      <c r="AC572" s="70">
        <f t="shared" si="96"/>
        <v>169</v>
      </c>
      <c r="AD572" s="505">
        <f t="shared" si="97"/>
        <v>25.4621301775148</v>
      </c>
      <c r="AE572" s="506">
        <f t="shared" si="98"/>
        <v>0.0518723143032535</v>
      </c>
      <c r="AF572" s="69">
        <f t="shared" si="99"/>
        <v>3258</v>
      </c>
      <c r="AG572" s="71">
        <f t="shared" si="100"/>
        <v>1.3207796193984</v>
      </c>
      <c r="AH572" s="71">
        <f t="shared" si="101"/>
        <v>7.66732118611754</v>
      </c>
    </row>
    <row r="573" spans="1:34">
      <c r="A573" s="304">
        <v>45561</v>
      </c>
      <c r="C573" s="176">
        <f t="shared" si="104"/>
        <v>0.0870455518123059</v>
      </c>
      <c r="D573" s="443">
        <f>明星店铺!B914</f>
        <v>396.61</v>
      </c>
      <c r="E573" s="404">
        <f>明星店铺!C914</f>
        <v>345</v>
      </c>
      <c r="F573" s="404">
        <f>明星店铺!D914</f>
        <v>103</v>
      </c>
      <c r="G573" s="325">
        <f>明星店铺!G914+明星店铺!H914</f>
        <v>26</v>
      </c>
      <c r="I573" s="176">
        <f t="shared" si="105"/>
        <v>0.364671282934805</v>
      </c>
      <c r="J573" s="443">
        <f>直通车!B914</f>
        <v>1661.57</v>
      </c>
      <c r="K573" s="399">
        <f>直通车!C914</f>
        <v>11968</v>
      </c>
      <c r="L573" s="511">
        <f>直通车!D914</f>
        <v>543</v>
      </c>
      <c r="M573" s="325">
        <f>直通车!G914+直通车!H914</f>
        <v>29</v>
      </c>
      <c r="O573" s="176">
        <f t="shared" si="102"/>
        <v>0.0617972719391618</v>
      </c>
      <c r="P573" s="443">
        <f>引力魔方!B813</f>
        <v>281.57</v>
      </c>
      <c r="Q573" s="398">
        <f>引力魔方!C813</f>
        <v>433378</v>
      </c>
      <c r="R573" s="399">
        <f>引力魔方!D813</f>
        <v>1182</v>
      </c>
      <c r="S573" s="325">
        <f>引力魔方!G813+引力魔方!H813</f>
        <v>41</v>
      </c>
      <c r="U573" s="176">
        <f t="shared" si="103"/>
        <v>0.486485893313727</v>
      </c>
      <c r="V573" s="326">
        <f>万相台!B402</f>
        <v>2216.6</v>
      </c>
      <c r="W573" s="417">
        <f>万相台!C402</f>
        <v>184914</v>
      </c>
      <c r="X573" s="417">
        <f>万相台!D402</f>
        <v>2459</v>
      </c>
      <c r="Y573" s="306">
        <f>万相台!G402+万相台!H402</f>
        <v>123</v>
      </c>
      <c r="AB573" s="69">
        <f t="shared" si="95"/>
        <v>4556.35</v>
      </c>
      <c r="AC573" s="70">
        <f t="shared" si="96"/>
        <v>219</v>
      </c>
      <c r="AD573" s="505">
        <f t="shared" si="97"/>
        <v>20.8052511415525</v>
      </c>
      <c r="AE573" s="506">
        <f t="shared" si="98"/>
        <v>0.0510846745976207</v>
      </c>
      <c r="AF573" s="69">
        <f t="shared" si="99"/>
        <v>4287</v>
      </c>
      <c r="AG573" s="71">
        <f t="shared" si="100"/>
        <v>1.06282948448799</v>
      </c>
      <c r="AH573" s="71">
        <f t="shared" si="101"/>
        <v>7.22536294510827</v>
      </c>
    </row>
    <row r="574" spans="1:34">
      <c r="A574" s="304">
        <v>45562</v>
      </c>
      <c r="C574" s="176">
        <f t="shared" si="104"/>
        <v>0.107015930245392</v>
      </c>
      <c r="D574" s="443">
        <f>明星店铺!B915</f>
        <v>436.32</v>
      </c>
      <c r="E574" s="404">
        <f>明星店铺!C915</f>
        <v>377</v>
      </c>
      <c r="F574" s="404">
        <f>明星店铺!D915</f>
        <v>97</v>
      </c>
      <c r="G574" s="325">
        <f>明星店铺!G915+明星店铺!H915</f>
        <v>48</v>
      </c>
      <c r="I574" s="176">
        <f t="shared" si="105"/>
        <v>0.448958218363318</v>
      </c>
      <c r="J574" s="443">
        <f>直通车!B915</f>
        <v>1830.47</v>
      </c>
      <c r="K574" s="399">
        <f>直通车!C915</f>
        <v>11536</v>
      </c>
      <c r="L574" s="511">
        <f>直通车!D915</f>
        <v>574</v>
      </c>
      <c r="M574" s="325">
        <f>直通车!G915+直通车!H915</f>
        <v>38</v>
      </c>
      <c r="O574" s="176">
        <f t="shared" si="102"/>
        <v>0.0677017033957544</v>
      </c>
      <c r="P574" s="443">
        <f>引力魔方!B815</f>
        <v>276.03</v>
      </c>
      <c r="Q574" s="398">
        <f>引力魔方!C814</f>
        <v>428855</v>
      </c>
      <c r="R574" s="399">
        <f>引力魔方!D814</f>
        <v>1103</v>
      </c>
      <c r="S574" s="325">
        <f>引力魔方!G814+引力魔方!H814</f>
        <v>44</v>
      </c>
      <c r="U574" s="176">
        <f t="shared" si="103"/>
        <v>0.376324147995536</v>
      </c>
      <c r="V574" s="326">
        <f>万相台!B403</f>
        <v>1534.33</v>
      </c>
      <c r="W574" s="417">
        <f>万相台!C403</f>
        <v>188681</v>
      </c>
      <c r="X574" s="417">
        <f>万相台!D403</f>
        <v>1324</v>
      </c>
      <c r="Y574" s="306">
        <f>万相台!G403+万相台!H403</f>
        <v>129</v>
      </c>
      <c r="AB574" s="69">
        <f t="shared" si="95"/>
        <v>4077.15</v>
      </c>
      <c r="AC574" s="70">
        <f t="shared" si="96"/>
        <v>259</v>
      </c>
      <c r="AD574" s="505">
        <f t="shared" si="97"/>
        <v>15.7418918918919</v>
      </c>
      <c r="AE574" s="506">
        <f t="shared" si="98"/>
        <v>0.0836023240800517</v>
      </c>
      <c r="AF574" s="69">
        <f t="shared" si="99"/>
        <v>3098</v>
      </c>
      <c r="AG574" s="71">
        <f t="shared" si="100"/>
        <v>1.31605874757908</v>
      </c>
      <c r="AH574" s="71">
        <f t="shared" si="101"/>
        <v>6.47733176158831</v>
      </c>
    </row>
    <row r="575" spans="1:34">
      <c r="A575" s="304">
        <v>45563</v>
      </c>
      <c r="C575" s="176">
        <f t="shared" si="104"/>
        <v>0.0835350589692637</v>
      </c>
      <c r="D575" s="443">
        <f>明星店铺!B916</f>
        <v>323.69</v>
      </c>
      <c r="E575" s="404">
        <f>明星店铺!C916</f>
        <v>274</v>
      </c>
      <c r="F575" s="404">
        <f>明星店铺!D916</f>
        <v>81</v>
      </c>
      <c r="G575" s="325">
        <f>明星店铺!G916+明星店铺!H916</f>
        <v>26</v>
      </c>
      <c r="I575" s="176">
        <f t="shared" si="105"/>
        <v>0.442814008103435</v>
      </c>
      <c r="J575" s="443">
        <f>直通车!B916</f>
        <v>1715.86</v>
      </c>
      <c r="K575" s="399">
        <f>直通车!C916</f>
        <v>13629</v>
      </c>
      <c r="L575" s="511">
        <f>直通车!D916</f>
        <v>523</v>
      </c>
      <c r="M575" s="325">
        <f>直通车!G916+直通车!H916</f>
        <v>18</v>
      </c>
      <c r="O575" s="176">
        <f t="shared" si="102"/>
        <v>0.0714908771839273</v>
      </c>
      <c r="P575" s="443">
        <f>引力魔方!B816</f>
        <v>277.02</v>
      </c>
      <c r="Q575" s="398">
        <f>引力魔方!C815</f>
        <v>401849</v>
      </c>
      <c r="R575" s="399">
        <f>引力魔方!D815</f>
        <v>1190</v>
      </c>
      <c r="S575" s="325">
        <f>引力魔方!G815+引力魔方!H815</f>
        <v>50</v>
      </c>
      <c r="U575" s="176">
        <f t="shared" si="103"/>
        <v>0.402160055743374</v>
      </c>
      <c r="V575" s="326">
        <f>万相台!B404</f>
        <v>1558.33</v>
      </c>
      <c r="W575" s="417">
        <f>万相台!C404</f>
        <v>150194</v>
      </c>
      <c r="X575" s="417">
        <f>万相台!D404</f>
        <v>1320</v>
      </c>
      <c r="Y575" s="306">
        <f>万相台!G404+万相台!H404</f>
        <v>165</v>
      </c>
      <c r="AB575" s="69">
        <f t="shared" si="95"/>
        <v>3874.9</v>
      </c>
      <c r="AC575" s="70">
        <f t="shared" si="96"/>
        <v>259</v>
      </c>
      <c r="AD575" s="505">
        <f t="shared" si="97"/>
        <v>14.9610038610039</v>
      </c>
      <c r="AE575" s="506">
        <f t="shared" si="98"/>
        <v>0.0831727681438664</v>
      </c>
      <c r="AF575" s="69">
        <f t="shared" si="99"/>
        <v>3114</v>
      </c>
      <c r="AG575" s="71">
        <f t="shared" si="100"/>
        <v>1.24434810533076</v>
      </c>
      <c r="AH575" s="71">
        <f t="shared" si="101"/>
        <v>6.84676629925823</v>
      </c>
    </row>
    <row r="576" spans="1:34">
      <c r="A576" s="304">
        <v>45564</v>
      </c>
      <c r="C576" s="176">
        <f t="shared" si="104"/>
        <v>0.106429174051841</v>
      </c>
      <c r="D576" s="443">
        <f>明星店铺!B917</f>
        <v>437.74</v>
      </c>
      <c r="E576" s="404">
        <f>明星店铺!C917</f>
        <v>355</v>
      </c>
      <c r="F576" s="404">
        <f>明星店铺!D917</f>
        <v>129</v>
      </c>
      <c r="G576" s="325">
        <f>明星店铺!G917+明星店铺!H917</f>
        <v>34</v>
      </c>
      <c r="I576" s="176">
        <f t="shared" si="105"/>
        <v>0.451928898095537</v>
      </c>
      <c r="J576" s="443">
        <f>直通车!B917</f>
        <v>1858.77</v>
      </c>
      <c r="K576" s="399">
        <f>直通车!C917</f>
        <v>13345</v>
      </c>
      <c r="L576" s="511">
        <f>直通车!D917</f>
        <v>576</v>
      </c>
      <c r="M576" s="325">
        <f>直通车!G917+直通车!H917</f>
        <v>34</v>
      </c>
      <c r="O576" s="176">
        <f t="shared" si="102"/>
        <v>0.0673527888606044</v>
      </c>
      <c r="P576" s="443">
        <f>引力魔方!B816</f>
        <v>277.02</v>
      </c>
      <c r="Q576" s="398">
        <f>引力魔方!C816</f>
        <v>345525</v>
      </c>
      <c r="R576" s="399">
        <f>引力魔方!D816</f>
        <v>1163</v>
      </c>
      <c r="S576" s="325">
        <f>引力魔方!G816+引力魔方!H816</f>
        <v>42</v>
      </c>
      <c r="U576" s="176">
        <f t="shared" si="103"/>
        <v>0.374289138992018</v>
      </c>
      <c r="V576" s="326">
        <f>万相台!B405</f>
        <v>1539.44</v>
      </c>
      <c r="W576" s="417">
        <f>万相台!C405</f>
        <v>222097</v>
      </c>
      <c r="X576" s="417">
        <f>万相台!D405</f>
        <v>1504</v>
      </c>
      <c r="Y576" s="306">
        <f>万相台!G405+万相台!H405</f>
        <v>124</v>
      </c>
      <c r="AB576" s="69">
        <f t="shared" si="95"/>
        <v>4112.97</v>
      </c>
      <c r="AC576" s="70">
        <f t="shared" si="96"/>
        <v>234</v>
      </c>
      <c r="AD576" s="505">
        <f t="shared" si="97"/>
        <v>17.5767948717949</v>
      </c>
      <c r="AE576" s="506">
        <f t="shared" si="98"/>
        <v>0.0693950177935943</v>
      </c>
      <c r="AF576" s="69">
        <f t="shared" si="99"/>
        <v>3372</v>
      </c>
      <c r="AG576" s="71">
        <f t="shared" si="100"/>
        <v>1.21974199288256</v>
      </c>
      <c r="AH576" s="71">
        <f t="shared" si="101"/>
        <v>7.07520100735909</v>
      </c>
    </row>
    <row r="577" spans="1:34">
      <c r="A577" s="304">
        <v>45565</v>
      </c>
      <c r="C577" s="176">
        <f t="shared" si="104"/>
        <v>0.0780814138699982</v>
      </c>
      <c r="D577" s="443">
        <f>明星店铺!B918</f>
        <v>281.87</v>
      </c>
      <c r="E577" s="404">
        <f>明星店铺!C918</f>
        <v>252</v>
      </c>
      <c r="F577" s="404">
        <f>明星店铺!D918</f>
        <v>91</v>
      </c>
      <c r="G577" s="325">
        <f>明星店铺!G918+明星店铺!H918</f>
        <v>19</v>
      </c>
      <c r="I577" s="176">
        <f t="shared" si="105"/>
        <v>0.43846313660854</v>
      </c>
      <c r="J577" s="443">
        <f>直通车!B918</f>
        <v>1582.83</v>
      </c>
      <c r="K577" s="399">
        <f>直通车!C918</f>
        <v>15559</v>
      </c>
      <c r="L577" s="511">
        <f>直通车!D918</f>
        <v>469</v>
      </c>
      <c r="M577" s="325">
        <f>直通车!G918+直通车!H918</f>
        <v>24</v>
      </c>
      <c r="O577" s="176">
        <f t="shared" si="102"/>
        <v>0.0772974694940373</v>
      </c>
      <c r="P577" s="443">
        <f>引力魔方!B817</f>
        <v>279.04</v>
      </c>
      <c r="Q577" s="398">
        <f>引力魔方!C817</f>
        <v>411864</v>
      </c>
      <c r="R577" s="399">
        <f>引力魔方!D817</f>
        <v>1098</v>
      </c>
      <c r="S577" s="325">
        <f>引力魔方!G817+引力魔方!H817</f>
        <v>40</v>
      </c>
      <c r="U577" s="176">
        <f t="shared" si="103"/>
        <v>0.406157980027424</v>
      </c>
      <c r="V577" s="326">
        <f>万相台!B406</f>
        <v>1466.21</v>
      </c>
      <c r="W577" s="417">
        <f>万相台!C406</f>
        <v>206676</v>
      </c>
      <c r="X577" s="417">
        <f>万相台!D406</f>
        <v>1242</v>
      </c>
      <c r="Y577" s="306">
        <f>万相台!G406+万相台!H406</f>
        <v>123</v>
      </c>
      <c r="AB577" s="69">
        <f t="shared" si="95"/>
        <v>3609.95</v>
      </c>
      <c r="AC577" s="70">
        <f t="shared" si="96"/>
        <v>206</v>
      </c>
      <c r="AD577" s="505">
        <f t="shared" si="97"/>
        <v>17.5240291262136</v>
      </c>
      <c r="AE577" s="506">
        <f t="shared" si="98"/>
        <v>0.0710344827586207</v>
      </c>
      <c r="AF577" s="69">
        <f t="shared" si="99"/>
        <v>2900</v>
      </c>
      <c r="AG577" s="71">
        <f t="shared" si="100"/>
        <v>1.24481034482759</v>
      </c>
      <c r="AH577" s="71">
        <f t="shared" si="101"/>
        <v>5.6907768727408</v>
      </c>
    </row>
    <row r="578" spans="1:34">
      <c r="A578" s="304">
        <v>45566</v>
      </c>
      <c r="C578" s="176">
        <f t="shared" si="104"/>
        <v>0.0863102076432759</v>
      </c>
      <c r="D578" s="443">
        <f>明星店铺!B919</f>
        <v>334.32</v>
      </c>
      <c r="E578" s="404">
        <f>明星店铺!C919</f>
        <v>274</v>
      </c>
      <c r="F578" s="404">
        <f>明星店铺!D919</f>
        <v>76</v>
      </c>
      <c r="G578" s="325">
        <f>明星店铺!G919+明星店铺!H919</f>
        <v>32</v>
      </c>
      <c r="I578" s="176">
        <f t="shared" si="105"/>
        <v>0.470273424087446</v>
      </c>
      <c r="J578" s="443">
        <f>直通车!B919</f>
        <v>1821.59</v>
      </c>
      <c r="K578" s="399">
        <f>直通车!C919</f>
        <v>17053</v>
      </c>
      <c r="L578" s="511">
        <f>直通车!D919</f>
        <v>562</v>
      </c>
      <c r="M578" s="325">
        <f>直通车!G919+直通车!H919</f>
        <v>24</v>
      </c>
      <c r="O578" s="176">
        <f t="shared" si="102"/>
        <v>0.0723304943629356</v>
      </c>
      <c r="P578" s="443">
        <f>引力魔方!B818</f>
        <v>280.17</v>
      </c>
      <c r="Q578" s="398">
        <f>引力魔方!C818</f>
        <v>418880</v>
      </c>
      <c r="R578" s="399">
        <f>引力魔方!D818</f>
        <v>1203</v>
      </c>
      <c r="S578" s="325">
        <f>引力魔方!G818+引力魔方!H818</f>
        <v>41</v>
      </c>
      <c r="U578" s="176">
        <f t="shared" si="103"/>
        <v>0.371085873906342</v>
      </c>
      <c r="V578" s="326">
        <f>万相台!B407</f>
        <v>1437.39</v>
      </c>
      <c r="W578" s="417">
        <f>万相台!C407</f>
        <v>181711</v>
      </c>
      <c r="X578" s="417">
        <f>万相台!D407</f>
        <v>1403</v>
      </c>
      <c r="Y578" s="306">
        <f>万相台!G407+万相台!H407</f>
        <v>167</v>
      </c>
      <c r="AB578" s="69">
        <f t="shared" si="95"/>
        <v>3873.47</v>
      </c>
      <c r="AC578" s="70">
        <f t="shared" si="96"/>
        <v>264</v>
      </c>
      <c r="AD578" s="505">
        <f t="shared" si="97"/>
        <v>14.6722348484848</v>
      </c>
      <c r="AE578" s="506">
        <f t="shared" si="98"/>
        <v>0.0813810110974106</v>
      </c>
      <c r="AF578" s="69">
        <f t="shared" si="99"/>
        <v>3244</v>
      </c>
      <c r="AG578" s="71">
        <f t="shared" si="100"/>
        <v>1.19404130702836</v>
      </c>
      <c r="AH578" s="71">
        <f t="shared" si="101"/>
        <v>6.26858256273486</v>
      </c>
    </row>
    <row r="579" spans="1:34">
      <c r="A579" s="304">
        <v>45567</v>
      </c>
      <c r="C579" s="176">
        <f t="shared" si="104"/>
        <v>0.0950811467030158</v>
      </c>
      <c r="D579" s="443">
        <f>明星店铺!B920</f>
        <v>357.14</v>
      </c>
      <c r="E579" s="404">
        <f>明星店铺!C920</f>
        <v>295</v>
      </c>
      <c r="F579" s="404">
        <f>明星店铺!D920</f>
        <v>95</v>
      </c>
      <c r="G579" s="325">
        <f>明星店铺!G920+明星店铺!H920</f>
        <v>32</v>
      </c>
      <c r="I579" s="176">
        <f t="shared" si="105"/>
        <v>0.47913560657693</v>
      </c>
      <c r="J579" s="443">
        <f>直通车!B920</f>
        <v>1799.71</v>
      </c>
      <c r="K579" s="399">
        <f>直通车!C920</f>
        <v>13157</v>
      </c>
      <c r="L579" s="511">
        <f>直通车!D920</f>
        <v>499</v>
      </c>
      <c r="M579" s="325">
        <f>直通车!G920+直通车!H920</f>
        <v>40</v>
      </c>
      <c r="O579" s="176">
        <f t="shared" si="102"/>
        <v>0.0749728446072585</v>
      </c>
      <c r="P579" s="443">
        <f>引力魔方!B819</f>
        <v>281.61</v>
      </c>
      <c r="Q579" s="398">
        <f>引力魔方!C819</f>
        <v>467059</v>
      </c>
      <c r="R579" s="399">
        <f>引力魔方!D819</f>
        <v>1285</v>
      </c>
      <c r="S579" s="325">
        <f>引力魔方!G819+引力魔方!H819</f>
        <v>37</v>
      </c>
      <c r="U579" s="176">
        <f t="shared" si="103"/>
        <v>0.350810402112796</v>
      </c>
      <c r="V579" s="326">
        <f>万相台!B408</f>
        <v>1317.7</v>
      </c>
      <c r="W579" s="417">
        <f>万相台!C408</f>
        <v>178377</v>
      </c>
      <c r="X579" s="417">
        <f>万相台!D408</f>
        <v>1271</v>
      </c>
      <c r="Y579" s="306">
        <f>万相台!G408+万相台!H408</f>
        <v>133</v>
      </c>
      <c r="AB579" s="69">
        <f t="shared" si="95"/>
        <v>3756.16</v>
      </c>
      <c r="AC579" s="70">
        <f t="shared" si="96"/>
        <v>242</v>
      </c>
      <c r="AD579" s="505">
        <f t="shared" si="97"/>
        <v>15.5213223140496</v>
      </c>
      <c r="AE579" s="506">
        <f t="shared" si="98"/>
        <v>0.0768253968253968</v>
      </c>
      <c r="AF579" s="69">
        <f t="shared" si="99"/>
        <v>3150</v>
      </c>
      <c r="AG579" s="71">
        <f t="shared" si="100"/>
        <v>1.19243174603175</v>
      </c>
      <c r="AH579" s="71">
        <f t="shared" si="101"/>
        <v>5.70075642597831</v>
      </c>
    </row>
    <row r="580" spans="1:34">
      <c r="A580" s="304">
        <v>45568</v>
      </c>
      <c r="C580" s="176">
        <f t="shared" si="104"/>
        <v>0.0825712181889352</v>
      </c>
      <c r="D580" s="443">
        <f>明星店铺!B921</f>
        <v>301.65</v>
      </c>
      <c r="E580" s="404">
        <f>明星店铺!C921</f>
        <v>242</v>
      </c>
      <c r="F580" s="404">
        <f>明星店铺!D921</f>
        <v>65</v>
      </c>
      <c r="G580" s="325">
        <f>明星店铺!G921+明星店铺!H921</f>
        <v>35</v>
      </c>
      <c r="I580" s="176">
        <f t="shared" si="105"/>
        <v>0.465929962964078</v>
      </c>
      <c r="J580" s="443">
        <f>直通车!B921</f>
        <v>1702.14</v>
      </c>
      <c r="K580" s="399">
        <f>直通车!C921</f>
        <v>15299</v>
      </c>
      <c r="L580" s="511">
        <f>直通车!D921</f>
        <v>504</v>
      </c>
      <c r="M580" s="325">
        <f>直通车!G921+直通车!H921</f>
        <v>41</v>
      </c>
      <c r="O580" s="176">
        <f t="shared" si="102"/>
        <v>0.0771184793647231</v>
      </c>
      <c r="P580" s="443">
        <f>引力魔方!B820</f>
        <v>281.73</v>
      </c>
      <c r="Q580" s="398">
        <f>引力魔方!C820</f>
        <v>486299</v>
      </c>
      <c r="R580" s="399">
        <f>引力魔方!D820</f>
        <v>1230</v>
      </c>
      <c r="S580" s="325">
        <f>引力魔方!G820+引力魔方!H820</f>
        <v>76</v>
      </c>
      <c r="U580" s="176">
        <f t="shared" si="103"/>
        <v>0.374380339482264</v>
      </c>
      <c r="V580" s="326">
        <f>万相台!B409</f>
        <v>1367.69</v>
      </c>
      <c r="W580" s="417">
        <f>万相台!C409</f>
        <v>168788</v>
      </c>
      <c r="X580" s="417">
        <f>万相台!D409</f>
        <v>1428</v>
      </c>
      <c r="Y580" s="306">
        <f>万相台!G409+万相台!H409</f>
        <v>146</v>
      </c>
      <c r="AB580" s="69">
        <f t="shared" si="95"/>
        <v>3653.21</v>
      </c>
      <c r="AC580" s="70">
        <f t="shared" si="96"/>
        <v>298</v>
      </c>
      <c r="AD580" s="505">
        <f t="shared" si="97"/>
        <v>12.2590939597315</v>
      </c>
      <c r="AE580" s="506">
        <f t="shared" si="98"/>
        <v>0.0923458320421444</v>
      </c>
      <c r="AF580" s="69">
        <f t="shared" si="99"/>
        <v>3227</v>
      </c>
      <c r="AG580" s="71">
        <f t="shared" si="100"/>
        <v>1.13207623179424</v>
      </c>
      <c r="AH580" s="71">
        <f t="shared" si="101"/>
        <v>5.44744627423847</v>
      </c>
    </row>
    <row r="581" spans="1:34">
      <c r="A581" s="304">
        <v>45569</v>
      </c>
      <c r="C581" s="176">
        <f t="shared" si="104"/>
        <v>0.0743824718467858</v>
      </c>
      <c r="D581" s="443">
        <f>明星店铺!B922</f>
        <v>274.51</v>
      </c>
      <c r="E581" s="404">
        <f>明星店铺!C922</f>
        <v>222</v>
      </c>
      <c r="F581" s="404">
        <f>明星店铺!D922</f>
        <v>81</v>
      </c>
      <c r="G581" s="325">
        <f>明星店铺!G922+明星店铺!H922</f>
        <v>33</v>
      </c>
      <c r="I581" s="176">
        <f t="shared" si="105"/>
        <v>0.482400854080184</v>
      </c>
      <c r="J581" s="443">
        <f>直通车!B922</f>
        <v>1780.31</v>
      </c>
      <c r="K581" s="399">
        <f>直通车!C922</f>
        <v>13486</v>
      </c>
      <c r="L581" s="511">
        <f>直通车!D922</f>
        <v>541</v>
      </c>
      <c r="M581" s="325">
        <f>直通车!G922+直通车!H922</f>
        <v>27</v>
      </c>
      <c r="O581" s="176">
        <f t="shared" si="102"/>
        <v>0.0758483899287905</v>
      </c>
      <c r="P581" s="443">
        <f>引力魔方!B821</f>
        <v>279.92</v>
      </c>
      <c r="Q581" s="398">
        <f>引力魔方!C821</f>
        <v>488790</v>
      </c>
      <c r="R581" s="399">
        <f>引力魔方!D821</f>
        <v>1268</v>
      </c>
      <c r="S581" s="325">
        <f>引力魔方!G821+引力魔方!H821</f>
        <v>71</v>
      </c>
      <c r="U581" s="176">
        <f t="shared" si="103"/>
        <v>0.36736828414424</v>
      </c>
      <c r="V581" s="326">
        <f>万相台!B410</f>
        <v>1355.78</v>
      </c>
      <c r="W581" s="417">
        <f>万相台!C410</f>
        <v>161428</v>
      </c>
      <c r="X581" s="417">
        <f>万相台!D410</f>
        <v>1808</v>
      </c>
      <c r="Y581" s="306">
        <f>万相台!G410+万相台!H410</f>
        <v>152</v>
      </c>
      <c r="AB581" s="69">
        <f t="shared" si="95"/>
        <v>3690.52</v>
      </c>
      <c r="AC581" s="70">
        <f t="shared" si="96"/>
        <v>283</v>
      </c>
      <c r="AD581" s="505">
        <f t="shared" si="97"/>
        <v>13.0407067137809</v>
      </c>
      <c r="AE581" s="506">
        <f t="shared" si="98"/>
        <v>0.0765278528934559</v>
      </c>
      <c r="AF581" s="69">
        <f t="shared" si="99"/>
        <v>3698</v>
      </c>
      <c r="AG581" s="71">
        <f t="shared" si="100"/>
        <v>0.997977285018929</v>
      </c>
      <c r="AH581" s="71">
        <f t="shared" si="101"/>
        <v>5.55863153423725</v>
      </c>
    </row>
    <row r="582" spans="1:34">
      <c r="A582" s="304">
        <v>45570</v>
      </c>
      <c r="C582" s="176">
        <f t="shared" si="104"/>
        <v>0.119207810468787</v>
      </c>
      <c r="D582" s="443">
        <f>明星店铺!B923</f>
        <v>449.33</v>
      </c>
      <c r="E582" s="404">
        <f>明星店铺!C923</f>
        <v>397</v>
      </c>
      <c r="F582" s="404">
        <f>明星店铺!D923</f>
        <v>145</v>
      </c>
      <c r="G582" s="325">
        <f>明星店铺!G923+明星店铺!H923</f>
        <v>68</v>
      </c>
      <c r="I582" s="176">
        <f t="shared" si="105"/>
        <v>0.433327142970843</v>
      </c>
      <c r="J582" s="443">
        <f>直通车!B923</f>
        <v>1633.34</v>
      </c>
      <c r="K582" s="399">
        <f>直通车!C923</f>
        <v>12900</v>
      </c>
      <c r="L582" s="511">
        <f>直通车!D923</f>
        <v>492</v>
      </c>
      <c r="M582" s="325">
        <f>直通车!G923+直通车!H923</f>
        <v>34</v>
      </c>
      <c r="O582" s="176">
        <f t="shared" si="102"/>
        <v>0.0753084127026238</v>
      </c>
      <c r="P582" s="443">
        <f>引力魔方!B822</f>
        <v>283.86</v>
      </c>
      <c r="Q582" s="398">
        <f>引力魔方!C822</f>
        <v>541615</v>
      </c>
      <c r="R582" s="399">
        <f>引力魔方!D822</f>
        <v>1292</v>
      </c>
      <c r="S582" s="325">
        <f>引力魔方!G822+引力魔方!H822</f>
        <v>56</v>
      </c>
      <c r="U582" s="176">
        <f t="shared" si="103"/>
        <v>0.372156633857745</v>
      </c>
      <c r="V582" s="326">
        <f>万相台!B411</f>
        <v>1402.77</v>
      </c>
      <c r="W582" s="417">
        <f>万相台!C411</f>
        <v>138911</v>
      </c>
      <c r="X582" s="417">
        <f>万相台!D411</f>
        <v>1434</v>
      </c>
      <c r="Y582" s="306">
        <f>万相台!G411+万相台!H411</f>
        <v>145</v>
      </c>
      <c r="AB582" s="69">
        <f t="shared" si="95"/>
        <v>3769.3</v>
      </c>
      <c r="AC582" s="70">
        <f t="shared" si="96"/>
        <v>303</v>
      </c>
      <c r="AD582" s="505">
        <f t="shared" si="97"/>
        <v>12.4399339933993</v>
      </c>
      <c r="AE582" s="506">
        <f t="shared" si="98"/>
        <v>0.0900981266726137</v>
      </c>
      <c r="AF582" s="69">
        <f t="shared" si="99"/>
        <v>3363</v>
      </c>
      <c r="AG582" s="71">
        <f t="shared" si="100"/>
        <v>1.12081474873625</v>
      </c>
      <c r="AH582" s="71">
        <f t="shared" si="101"/>
        <v>5.43265357302943</v>
      </c>
    </row>
    <row r="583" spans="1:34">
      <c r="A583" s="304">
        <v>45571</v>
      </c>
      <c r="C583" s="176">
        <f t="shared" si="104"/>
        <v>0.0173527418451837</v>
      </c>
      <c r="D583" s="443">
        <f>明星店铺!B924</f>
        <v>58.89</v>
      </c>
      <c r="E583" s="404">
        <f>明星店铺!C924</f>
        <v>51</v>
      </c>
      <c r="F583" s="404">
        <f>明星店铺!D924</f>
        <v>8</v>
      </c>
      <c r="G583" s="325">
        <f>明星店铺!G924+明星店铺!H924</f>
        <v>5</v>
      </c>
      <c r="I583" s="176">
        <f t="shared" si="105"/>
        <v>0.516106314641836</v>
      </c>
      <c r="J583" s="443">
        <f>直通车!B924</f>
        <v>1751.51</v>
      </c>
      <c r="K583" s="399">
        <f>直通车!C924</f>
        <v>10096</v>
      </c>
      <c r="L583" s="511">
        <f>直通车!D924</f>
        <v>516</v>
      </c>
      <c r="M583" s="325">
        <f>直通车!G924+直通车!H924</f>
        <v>56</v>
      </c>
      <c r="O583" s="176">
        <f t="shared" si="102"/>
        <v>0.081318325131862</v>
      </c>
      <c r="P583" s="443">
        <f>引力魔方!B823</f>
        <v>275.97</v>
      </c>
      <c r="Q583" s="398">
        <f>引力魔方!C823</f>
        <v>412517</v>
      </c>
      <c r="R583" s="399">
        <f>引力魔方!D823</f>
        <v>1288</v>
      </c>
      <c r="S583" s="325">
        <f>引力魔方!G823+引力魔方!H823</f>
        <v>55</v>
      </c>
      <c r="U583" s="176">
        <f t="shared" si="103"/>
        <v>0.385222618381118</v>
      </c>
      <c r="V583" s="326">
        <f>万相台!B412</f>
        <v>1307.33</v>
      </c>
      <c r="W583" s="417">
        <f>万相台!C412</f>
        <v>103618</v>
      </c>
      <c r="X583" s="417">
        <f>万相台!D412</f>
        <v>1389</v>
      </c>
      <c r="Y583" s="306">
        <f>万相台!G412+万相台!H412</f>
        <v>162</v>
      </c>
      <c r="AB583" s="69">
        <f t="shared" si="95"/>
        <v>3393.7</v>
      </c>
      <c r="AC583" s="70">
        <f t="shared" si="96"/>
        <v>278</v>
      </c>
      <c r="AD583" s="505">
        <f t="shared" si="97"/>
        <v>12.2075539568345</v>
      </c>
      <c r="AE583" s="506">
        <f t="shared" si="98"/>
        <v>0.0868478600437363</v>
      </c>
      <c r="AF583" s="69">
        <f t="shared" si="99"/>
        <v>3201</v>
      </c>
      <c r="AG583" s="71">
        <f t="shared" si="100"/>
        <v>1.06019993751953</v>
      </c>
      <c r="AH583" s="71">
        <f t="shared" si="101"/>
        <v>6.44844399010416</v>
      </c>
    </row>
    <row r="584" spans="1:34">
      <c r="A584" s="304">
        <v>45572</v>
      </c>
      <c r="C584" s="176">
        <f t="shared" si="104"/>
        <v>3.52547153181738e-5</v>
      </c>
      <c r="D584" s="443">
        <f>明星店铺!B925</f>
        <v>0.12</v>
      </c>
      <c r="E584" s="404">
        <f>明星店铺!C925</f>
        <v>1</v>
      </c>
      <c r="F584" s="404">
        <f>明星店铺!D925</f>
        <v>0</v>
      </c>
      <c r="G584" s="325">
        <f>明星店铺!G925+明星店铺!H925</f>
        <v>0</v>
      </c>
      <c r="I584" s="176">
        <f t="shared" si="105"/>
        <v>0.519610435395734</v>
      </c>
      <c r="J584" s="443">
        <f>直通车!B925</f>
        <v>1768.65</v>
      </c>
      <c r="K584" s="399">
        <f>直通车!C925</f>
        <v>9127</v>
      </c>
      <c r="L584" s="511">
        <f>直通车!D925</f>
        <v>546</v>
      </c>
      <c r="M584" s="325">
        <f>直通车!G925+直通车!H925</f>
        <v>63</v>
      </c>
      <c r="O584" s="176">
        <f t="shared" si="102"/>
        <v>0.0821170456548563</v>
      </c>
      <c r="P584" s="443">
        <f>引力魔方!B824</f>
        <v>279.51</v>
      </c>
      <c r="Q584" s="398">
        <f>引力魔方!C824</f>
        <v>624978</v>
      </c>
      <c r="R584" s="399">
        <f>引力魔方!D824</f>
        <v>1371</v>
      </c>
      <c r="S584" s="325">
        <f>引力魔方!G824+引力魔方!H824</f>
        <v>64</v>
      </c>
      <c r="U584" s="176">
        <f t="shared" si="103"/>
        <v>0.398237264234091</v>
      </c>
      <c r="V584" s="326">
        <f>万相台!B413</f>
        <v>1355.52</v>
      </c>
      <c r="W584" s="417">
        <f>万相台!C413</f>
        <v>104397</v>
      </c>
      <c r="X584" s="417">
        <f>万相台!D413</f>
        <v>1613</v>
      </c>
      <c r="Y584" s="306">
        <f>万相台!G413+万相台!H413</f>
        <v>196</v>
      </c>
      <c r="AB584" s="69">
        <f t="shared" si="95"/>
        <v>3403.8</v>
      </c>
      <c r="AC584" s="70">
        <f t="shared" si="96"/>
        <v>323</v>
      </c>
      <c r="AD584" s="505">
        <f t="shared" si="97"/>
        <v>10.538080495356</v>
      </c>
      <c r="AE584" s="506">
        <f t="shared" si="98"/>
        <v>0.0915014164305949</v>
      </c>
      <c r="AF584" s="69">
        <f t="shared" si="99"/>
        <v>3530</v>
      </c>
      <c r="AG584" s="71">
        <f t="shared" si="100"/>
        <v>0.964249291784702</v>
      </c>
      <c r="AH584" s="71">
        <f t="shared" si="101"/>
        <v>4.60905372083796</v>
      </c>
    </row>
    <row r="585" spans="1:34">
      <c r="A585" s="304">
        <v>45573</v>
      </c>
      <c r="C585" s="176">
        <f t="shared" si="104"/>
        <v>0.106009396969705</v>
      </c>
      <c r="D585" s="443">
        <f>明星店铺!B926</f>
        <v>395.52</v>
      </c>
      <c r="E585" s="404">
        <f>明星店铺!C926</f>
        <v>339</v>
      </c>
      <c r="F585" s="404">
        <f>明星店铺!D926</f>
        <v>143</v>
      </c>
      <c r="G585" s="325">
        <f>明星店铺!G926+明星店铺!H926</f>
        <v>53</v>
      </c>
      <c r="I585" s="176">
        <f t="shared" si="105"/>
        <v>0.467779329346902</v>
      </c>
      <c r="J585" s="443">
        <f>直通车!B926</f>
        <v>1745.28</v>
      </c>
      <c r="K585" s="399">
        <f>直通车!C926</f>
        <v>9722</v>
      </c>
      <c r="L585" s="511">
        <f>直通车!D926</f>
        <v>528</v>
      </c>
      <c r="M585" s="325">
        <f>直通车!G926+直通车!H926</f>
        <v>51</v>
      </c>
      <c r="O585" s="176">
        <f t="shared" si="102"/>
        <v>0.0732298934063077</v>
      </c>
      <c r="P585" s="443">
        <f>引力魔方!B825</f>
        <v>273.22</v>
      </c>
      <c r="Q585" s="398">
        <f>引力魔方!C825</f>
        <v>554513</v>
      </c>
      <c r="R585" s="399">
        <f>引力魔方!D825</f>
        <v>1245</v>
      </c>
      <c r="S585" s="325">
        <f>引力魔方!G825+引力魔方!H825</f>
        <v>33</v>
      </c>
      <c r="U585" s="176">
        <f t="shared" si="103"/>
        <v>0.352981380277085</v>
      </c>
      <c r="V585" s="326">
        <f>万相台!B414</f>
        <v>1316.97</v>
      </c>
      <c r="W585" s="417">
        <f>万相台!C414</f>
        <v>128177</v>
      </c>
      <c r="X585" s="417">
        <f>万相台!D414</f>
        <v>1163</v>
      </c>
      <c r="Y585" s="306">
        <f>万相台!G414+万相台!H414</f>
        <v>159</v>
      </c>
      <c r="AB585" s="69">
        <f t="shared" si="95"/>
        <v>3730.99</v>
      </c>
      <c r="AC585" s="70">
        <f t="shared" si="96"/>
        <v>296</v>
      </c>
      <c r="AD585" s="505">
        <f t="shared" si="97"/>
        <v>12.6046959459459</v>
      </c>
      <c r="AE585" s="506">
        <f t="shared" si="98"/>
        <v>0.0961351088015589</v>
      </c>
      <c r="AF585" s="69">
        <f t="shared" si="99"/>
        <v>3079</v>
      </c>
      <c r="AG585" s="71">
        <f t="shared" si="100"/>
        <v>1.21175381617408</v>
      </c>
      <c r="AH585" s="71">
        <f t="shared" si="101"/>
        <v>5.38575909670286</v>
      </c>
    </row>
    <row r="586" spans="1:34">
      <c r="A586" s="304">
        <v>45574</v>
      </c>
      <c r="C586" s="176">
        <f t="shared" si="104"/>
        <v>0.137573475385746</v>
      </c>
      <c r="D586" s="443">
        <f>明星店铺!B927</f>
        <v>449.37</v>
      </c>
      <c r="E586" s="404">
        <f>明星店铺!C927</f>
        <v>373</v>
      </c>
      <c r="F586" s="404">
        <f>明星店铺!D927</f>
        <v>128</v>
      </c>
      <c r="G586" s="325">
        <f>明星店铺!G927+明星店铺!H927</f>
        <v>45</v>
      </c>
      <c r="I586" s="176">
        <f t="shared" si="105"/>
        <v>0.396304800391869</v>
      </c>
      <c r="J586" s="443">
        <f>直通车!B927</f>
        <v>1294.49</v>
      </c>
      <c r="K586" s="399">
        <f>直通车!C927</f>
        <v>5497</v>
      </c>
      <c r="L586" s="511">
        <f>直通车!D927</f>
        <v>382</v>
      </c>
      <c r="M586" s="325">
        <f>直通车!G927+直通车!H927</f>
        <v>42</v>
      </c>
      <c r="O586" s="176">
        <f t="shared" si="102"/>
        <v>0.0845273083517022</v>
      </c>
      <c r="P586" s="443">
        <f>引力魔方!B826</f>
        <v>276.1</v>
      </c>
      <c r="Q586" s="398">
        <f>引力魔方!C826</f>
        <v>551523</v>
      </c>
      <c r="R586" s="399">
        <f>引力魔方!D826</f>
        <v>1208</v>
      </c>
      <c r="S586" s="325">
        <f>引力魔方!G826+引力魔方!H826</f>
        <v>53</v>
      </c>
      <c r="U586" s="176">
        <f t="shared" si="103"/>
        <v>0.381594415870683</v>
      </c>
      <c r="V586" s="326">
        <f>万相台!B415</f>
        <v>1246.44</v>
      </c>
      <c r="W586" s="417">
        <f>万相台!C415</f>
        <v>149675</v>
      </c>
      <c r="X586" s="417">
        <f>万相台!D415</f>
        <v>1188</v>
      </c>
      <c r="Y586" s="306">
        <f>万相台!G415+万相台!H415</f>
        <v>133</v>
      </c>
      <c r="AB586" s="69">
        <f t="shared" si="95"/>
        <v>3266.4</v>
      </c>
      <c r="AC586" s="70">
        <f t="shared" si="96"/>
        <v>273</v>
      </c>
      <c r="AD586" s="505">
        <f t="shared" si="97"/>
        <v>11.9648351648352</v>
      </c>
      <c r="AE586" s="506">
        <f t="shared" si="98"/>
        <v>0.0939435650378527</v>
      </c>
      <c r="AF586" s="69">
        <f t="shared" si="99"/>
        <v>2906</v>
      </c>
      <c r="AG586" s="71">
        <f t="shared" si="100"/>
        <v>1.12401927047488</v>
      </c>
      <c r="AH586" s="71">
        <f t="shared" si="101"/>
        <v>4.61964054376665</v>
      </c>
    </row>
    <row r="587" spans="1:34">
      <c r="A587" s="304">
        <v>45575</v>
      </c>
      <c r="C587" s="176">
        <f t="shared" si="104"/>
        <v>0.117837251014821</v>
      </c>
      <c r="D587" s="443">
        <f>明星店铺!B928</f>
        <v>449.37</v>
      </c>
      <c r="E587" s="404">
        <f>明星店铺!C928</f>
        <v>362</v>
      </c>
      <c r="F587" s="404">
        <f>明星店铺!D928</f>
        <v>131</v>
      </c>
      <c r="G587" s="325">
        <f>明星店铺!G928+明星店铺!H928</f>
        <v>46</v>
      </c>
      <c r="I587" s="176">
        <f t="shared" si="105"/>
        <v>0.471658432717623</v>
      </c>
      <c r="J587" s="443">
        <f>直通车!B928</f>
        <v>1798.66</v>
      </c>
      <c r="K587" s="399">
        <f>直通车!C928</f>
        <v>9965</v>
      </c>
      <c r="L587" s="511">
        <f>直通车!D928</f>
        <v>542</v>
      </c>
      <c r="M587" s="325">
        <f>直通车!G928+直通车!H928</f>
        <v>57</v>
      </c>
      <c r="O587" s="176">
        <f t="shared" si="102"/>
        <v>0.071813671502145</v>
      </c>
      <c r="P587" s="443">
        <f>引力魔方!B827</f>
        <v>273.86</v>
      </c>
      <c r="Q587" s="398">
        <f>引力魔方!C827</f>
        <v>409971</v>
      </c>
      <c r="R587" s="399">
        <f>引力魔方!D827</f>
        <v>1157</v>
      </c>
      <c r="S587" s="325">
        <f>引力魔方!G827+引力魔方!H827</f>
        <v>51</v>
      </c>
      <c r="U587" s="176">
        <f t="shared" si="103"/>
        <v>0.338690644765411</v>
      </c>
      <c r="V587" s="326">
        <f>万相台!B416</f>
        <v>1291.59</v>
      </c>
      <c r="W587" s="417">
        <f>万相台!C416</f>
        <v>277557</v>
      </c>
      <c r="X587" s="417">
        <f>万相台!D416</f>
        <v>1594</v>
      </c>
      <c r="Y587" s="306">
        <f>万相台!G416+万相台!H416</f>
        <v>133</v>
      </c>
      <c r="AB587" s="69">
        <f t="shared" si="95"/>
        <v>3813.48</v>
      </c>
      <c r="AC587" s="70">
        <f t="shared" si="96"/>
        <v>287</v>
      </c>
      <c r="AD587" s="505">
        <f t="shared" si="97"/>
        <v>13.2873867595819</v>
      </c>
      <c r="AE587" s="506">
        <f t="shared" si="98"/>
        <v>0.0838200934579439</v>
      </c>
      <c r="AF587" s="69">
        <f t="shared" si="99"/>
        <v>3424</v>
      </c>
      <c r="AG587" s="71">
        <f t="shared" si="100"/>
        <v>1.11375</v>
      </c>
      <c r="AH587" s="71">
        <f t="shared" si="101"/>
        <v>5.46457358620344</v>
      </c>
    </row>
    <row r="588" spans="1:34">
      <c r="A588" s="304">
        <v>45576</v>
      </c>
      <c r="C588" s="176">
        <f t="shared" si="104"/>
        <v>0.10940250860186</v>
      </c>
      <c r="D588" s="443">
        <f>明星店铺!B929</f>
        <v>449.28</v>
      </c>
      <c r="E588" s="404">
        <f>明星店铺!C929</f>
        <v>394</v>
      </c>
      <c r="F588" s="404">
        <f>明星店铺!D929</f>
        <v>145</v>
      </c>
      <c r="G588" s="325">
        <f>明星店铺!G929+明星店铺!H929</f>
        <v>49</v>
      </c>
      <c r="I588" s="176">
        <f t="shared" si="105"/>
        <v>0.449904667285173</v>
      </c>
      <c r="J588" s="443">
        <f>直通车!B929</f>
        <v>1847.61</v>
      </c>
      <c r="K588" s="399">
        <f>直通车!C929</f>
        <v>14071</v>
      </c>
      <c r="L588" s="511">
        <f>直通车!D929</f>
        <v>565</v>
      </c>
      <c r="M588" s="325">
        <f>直通车!G929+直通车!H929</f>
        <v>59</v>
      </c>
      <c r="O588" s="176">
        <f t="shared" si="102"/>
        <v>0.0673903673779486</v>
      </c>
      <c r="P588" s="443">
        <f>引力魔方!B828</f>
        <v>276.75</v>
      </c>
      <c r="Q588" s="398">
        <f>引力魔方!C828</f>
        <v>623679</v>
      </c>
      <c r="R588" s="399">
        <f>引力魔方!D828</f>
        <v>1295</v>
      </c>
      <c r="S588" s="325">
        <f>引力魔方!G828+引力魔方!H828</f>
        <v>46</v>
      </c>
      <c r="U588" s="176">
        <f t="shared" si="103"/>
        <v>0.373302456735019</v>
      </c>
      <c r="V588" s="326">
        <f>万相台!B417</f>
        <v>1533.03</v>
      </c>
      <c r="W588" s="417">
        <f>万相台!C417</f>
        <v>185936</v>
      </c>
      <c r="X588" s="417">
        <f>万相台!D417</f>
        <v>1308</v>
      </c>
      <c r="Y588" s="306">
        <f>万相台!G417+万相台!H417</f>
        <v>195</v>
      </c>
      <c r="AB588" s="69">
        <f t="shared" si="95"/>
        <v>4106.67</v>
      </c>
      <c r="AC588" s="70">
        <f t="shared" si="96"/>
        <v>349</v>
      </c>
      <c r="AD588" s="505">
        <f t="shared" si="97"/>
        <v>11.7669627507163</v>
      </c>
      <c r="AE588" s="506">
        <f t="shared" si="98"/>
        <v>0.105342589797766</v>
      </c>
      <c r="AF588" s="69">
        <f t="shared" si="99"/>
        <v>3313</v>
      </c>
      <c r="AG588" s="71">
        <f t="shared" si="100"/>
        <v>1.23956233021431</v>
      </c>
      <c r="AH588" s="71">
        <f t="shared" si="101"/>
        <v>4.98333899621396</v>
      </c>
    </row>
    <row r="589" spans="1:34">
      <c r="A589" s="304">
        <v>45577</v>
      </c>
      <c r="C589" s="176">
        <f t="shared" si="104"/>
        <v>0.118753088605655</v>
      </c>
      <c r="D589" s="443">
        <f>明星店铺!B930</f>
        <v>449.37</v>
      </c>
      <c r="E589" s="404">
        <f>明星店铺!C930</f>
        <v>386</v>
      </c>
      <c r="F589" s="404">
        <f>明星店铺!D930</f>
        <v>144</v>
      </c>
      <c r="G589" s="325">
        <f>明星店铺!G930+明星店铺!H930</f>
        <v>46</v>
      </c>
      <c r="I589" s="176">
        <f t="shared" si="105"/>
        <v>0.383248724257215</v>
      </c>
      <c r="J589" s="443">
        <f>直通车!B930</f>
        <v>1450.24</v>
      </c>
      <c r="K589" s="399">
        <f>直通车!C930</f>
        <v>6622</v>
      </c>
      <c r="L589" s="511">
        <f>直通车!D930</f>
        <v>448</v>
      </c>
      <c r="M589" s="325">
        <f>直通车!G930+直通车!H930</f>
        <v>38</v>
      </c>
      <c r="O589" s="176">
        <f t="shared" si="102"/>
        <v>0.0729822651272307</v>
      </c>
      <c r="P589" s="443">
        <f>引力魔方!B829</f>
        <v>276.17</v>
      </c>
      <c r="Q589" s="398">
        <f>引力魔方!C829</f>
        <v>657814</v>
      </c>
      <c r="R589" s="399">
        <f>引力魔方!D829</f>
        <v>1279</v>
      </c>
      <c r="S589" s="325">
        <f>引力魔方!G829+引力魔方!H829</f>
        <v>42</v>
      </c>
      <c r="U589" s="176">
        <f t="shared" si="103"/>
        <v>0.425015922009899</v>
      </c>
      <c r="V589" s="326">
        <f>万相台!B418</f>
        <v>1608.29</v>
      </c>
      <c r="W589" s="417">
        <f>万相台!C418</f>
        <v>172490</v>
      </c>
      <c r="X589" s="417">
        <f>万相台!D418</f>
        <v>1380</v>
      </c>
      <c r="Y589" s="306">
        <f>万相台!G418+万相台!H418</f>
        <v>203</v>
      </c>
      <c r="AB589" s="69">
        <f t="shared" si="95"/>
        <v>3784.07</v>
      </c>
      <c r="AC589" s="70">
        <f t="shared" si="96"/>
        <v>329</v>
      </c>
      <c r="AD589" s="505">
        <f t="shared" si="97"/>
        <v>11.5017325227964</v>
      </c>
      <c r="AE589" s="506">
        <f t="shared" si="98"/>
        <v>0.101199630882805</v>
      </c>
      <c r="AF589" s="69">
        <f t="shared" si="99"/>
        <v>3251</v>
      </c>
      <c r="AG589" s="71">
        <f t="shared" si="100"/>
        <v>1.16397108581975</v>
      </c>
      <c r="AH589" s="71">
        <f t="shared" si="101"/>
        <v>4.51930702056103</v>
      </c>
    </row>
    <row r="590" spans="1:34">
      <c r="A590" s="304">
        <v>45578</v>
      </c>
      <c r="C590" s="176">
        <f t="shared" si="104"/>
        <v>0.123791209093965</v>
      </c>
      <c r="D590" s="443">
        <f>明星店铺!B931</f>
        <v>449.32</v>
      </c>
      <c r="E590" s="404">
        <f>明星店铺!C931</f>
        <v>393</v>
      </c>
      <c r="F590" s="404">
        <f>明星店铺!D931</f>
        <v>155</v>
      </c>
      <c r="G590" s="325">
        <f>明星店铺!G931+明星店铺!H931</f>
        <v>81</v>
      </c>
      <c r="I590" s="176">
        <f t="shared" ref="I590:I632" si="106">J590/$AB590</f>
        <v>0.374095645322151</v>
      </c>
      <c r="J590" s="443">
        <f>直通车!B931</f>
        <v>1357.84</v>
      </c>
      <c r="K590" s="399">
        <f>直通车!C931</f>
        <v>8769</v>
      </c>
      <c r="L590" s="511">
        <f>直通车!D931</f>
        <v>448</v>
      </c>
      <c r="M590" s="325">
        <f>直通车!G931+直通车!H931</f>
        <v>69</v>
      </c>
      <c r="O590" s="176">
        <f t="shared" ref="O590:O621" si="107">P590/$AB590</f>
        <v>0.0746791710518341</v>
      </c>
      <c r="P590" s="443">
        <f>引力魔方!B830</f>
        <v>271.06</v>
      </c>
      <c r="Q590" s="398">
        <f>引力魔方!C830</f>
        <v>652870</v>
      </c>
      <c r="R590" s="399">
        <f>引力魔方!D830</f>
        <v>1333</v>
      </c>
      <c r="S590" s="325">
        <f>引力魔方!G830+引力魔方!H830</f>
        <v>54</v>
      </c>
      <c r="U590" s="176">
        <f t="shared" ref="U590:U621" si="108">V590/$AB590</f>
        <v>0.42743397453205</v>
      </c>
      <c r="V590" s="326">
        <f>万相台!B419</f>
        <v>1551.44</v>
      </c>
      <c r="W590" s="417">
        <f>万相台!C419</f>
        <v>278435</v>
      </c>
      <c r="X590" s="417">
        <f>万相台!D419</f>
        <v>1860</v>
      </c>
      <c r="Y590" s="306">
        <f>万相台!G419+万相台!H419</f>
        <v>196</v>
      </c>
      <c r="AB590" s="69">
        <f t="shared" ref="AB590:AB610" si="109">D590+J590+P590+V590</f>
        <v>3629.66</v>
      </c>
      <c r="AC590" s="70">
        <f t="shared" ref="AC590:AC610" si="110">G590+M590+S590+Y590</f>
        <v>400</v>
      </c>
      <c r="AD590" s="505">
        <f t="shared" ref="AD590:AD610" si="111">AB590/AC590</f>
        <v>9.07415</v>
      </c>
      <c r="AE590" s="506">
        <f t="shared" ref="AE590:AE610" si="112">AC590/AF590</f>
        <v>0.105374077976818</v>
      </c>
      <c r="AF590" s="69">
        <f t="shared" ref="AF590:AF610" si="113">F590+L590+R590+X590</f>
        <v>3796</v>
      </c>
      <c r="AG590" s="71">
        <f t="shared" ref="AG590:AG610" si="114">AB590/AF590</f>
        <v>0.95618018967334</v>
      </c>
      <c r="AH590" s="71">
        <f t="shared" ref="AH590:AH610" si="115">AB590/((E590+K590+Q590+W590)/1000)</f>
        <v>3.8594230313238</v>
      </c>
    </row>
    <row r="591" spans="1:34">
      <c r="A591" s="304">
        <v>45579</v>
      </c>
      <c r="C591" s="176">
        <f t="shared" si="104"/>
        <v>0.0474444811538336</v>
      </c>
      <c r="D591" s="443">
        <f>明星店铺!B932</f>
        <v>449.48</v>
      </c>
      <c r="E591" s="404">
        <f>明星店铺!C932</f>
        <v>349</v>
      </c>
      <c r="F591" s="404">
        <f>明星店铺!D932</f>
        <v>143</v>
      </c>
      <c r="G591" s="325">
        <f>明星店铺!G932+明星店铺!H932</f>
        <v>65</v>
      </c>
      <c r="I591" s="176">
        <f t="shared" si="106"/>
        <v>0.257988074491678</v>
      </c>
      <c r="J591" s="443">
        <f>直通车!B932</f>
        <v>2444.13</v>
      </c>
      <c r="K591" s="399">
        <f>直通车!C932</f>
        <v>11370</v>
      </c>
      <c r="L591" s="511">
        <f>直通车!D932</f>
        <v>743</v>
      </c>
      <c r="M591" s="325">
        <f>直通车!G932+直通车!H932</f>
        <v>104</v>
      </c>
      <c r="O591" s="176">
        <f t="shared" si="107"/>
        <v>0.120135404868791</v>
      </c>
      <c r="P591" s="443">
        <f>引力魔方!B831</f>
        <v>1138.14</v>
      </c>
      <c r="Q591" s="398">
        <f>引力魔方!C831</f>
        <v>847963</v>
      </c>
      <c r="R591" s="399">
        <f>引力魔方!D831</f>
        <v>2428</v>
      </c>
      <c r="S591" s="325">
        <f>引力魔方!G831+引力魔方!H831</f>
        <v>109</v>
      </c>
      <c r="U591" s="176">
        <f t="shared" si="108"/>
        <v>0.574432039485698</v>
      </c>
      <c r="V591" s="326">
        <f>万相台!B420</f>
        <v>5442.06</v>
      </c>
      <c r="W591" s="417">
        <f>万相台!C420</f>
        <v>366721</v>
      </c>
      <c r="X591" s="417">
        <f>万相台!D420</f>
        <v>2988</v>
      </c>
      <c r="Y591" s="306">
        <f>万相台!G420+万相台!H420</f>
        <v>347</v>
      </c>
      <c r="AB591" s="69">
        <f t="shared" si="109"/>
        <v>9473.81</v>
      </c>
      <c r="AC591" s="70">
        <f t="shared" si="110"/>
        <v>625</v>
      </c>
      <c r="AD591" s="505">
        <f t="shared" si="111"/>
        <v>15.158096</v>
      </c>
      <c r="AE591" s="506">
        <f t="shared" si="112"/>
        <v>0.0991748651221834</v>
      </c>
      <c r="AF591" s="69">
        <f t="shared" si="113"/>
        <v>6302</v>
      </c>
      <c r="AG591" s="71">
        <f t="shared" si="114"/>
        <v>1.50330212630911</v>
      </c>
      <c r="AH591" s="71">
        <f t="shared" si="115"/>
        <v>7.72487510222986</v>
      </c>
    </row>
    <row r="592" spans="1:34">
      <c r="A592" s="304">
        <v>45580</v>
      </c>
      <c r="C592" s="176">
        <f t="shared" si="104"/>
        <v>0.147776091292704</v>
      </c>
      <c r="D592" s="443">
        <f>明星店铺!B933</f>
        <v>1859.57</v>
      </c>
      <c r="E592" s="404">
        <f>明星店铺!C933</f>
        <v>1443</v>
      </c>
      <c r="F592" s="404">
        <f>明星店铺!D933</f>
        <v>712</v>
      </c>
      <c r="G592" s="325">
        <f>明星店铺!G933+明星店铺!H933</f>
        <v>236</v>
      </c>
      <c r="I592" s="176">
        <f t="shared" si="106"/>
        <v>0.277464497723245</v>
      </c>
      <c r="J592" s="443">
        <f>直通车!B933</f>
        <v>3491.53</v>
      </c>
      <c r="K592" s="399">
        <f>直通车!C933</f>
        <v>12809</v>
      </c>
      <c r="L592" s="511">
        <f>直通车!D933</f>
        <v>1044</v>
      </c>
      <c r="M592" s="325">
        <f>直通车!G933+直通车!H933</f>
        <v>138</v>
      </c>
      <c r="O592" s="176">
        <f t="shared" si="107"/>
        <v>0.0909350985799089</v>
      </c>
      <c r="P592" s="443">
        <f>引力魔方!B832</f>
        <v>1144.3</v>
      </c>
      <c r="Q592" s="398">
        <f>引力魔方!C832</f>
        <v>1029722</v>
      </c>
      <c r="R592" s="399">
        <f>引力魔方!D832</f>
        <v>4075</v>
      </c>
      <c r="S592" s="325">
        <f>引力魔方!G832+引力魔方!H832</f>
        <v>113</v>
      </c>
      <c r="U592" s="176">
        <f t="shared" si="108"/>
        <v>0.483824312404142</v>
      </c>
      <c r="V592" s="326">
        <f>万相台!B421</f>
        <v>6088.3</v>
      </c>
      <c r="W592" s="417">
        <f>万相台!C421</f>
        <v>572836</v>
      </c>
      <c r="X592" s="417">
        <f>万相台!D421</f>
        <v>6962</v>
      </c>
      <c r="Y592" s="306">
        <f>万相台!G421+万相台!H421</f>
        <v>472</v>
      </c>
      <c r="AB592" s="69">
        <f t="shared" si="109"/>
        <v>12583.7</v>
      </c>
      <c r="AC592" s="70">
        <f t="shared" si="110"/>
        <v>959</v>
      </c>
      <c r="AD592" s="505">
        <f t="shared" si="111"/>
        <v>13.1216892596455</v>
      </c>
      <c r="AE592" s="506">
        <f t="shared" si="112"/>
        <v>0.0749628703197061</v>
      </c>
      <c r="AF592" s="69">
        <f t="shared" si="113"/>
        <v>12793</v>
      </c>
      <c r="AG592" s="71">
        <f t="shared" si="114"/>
        <v>0.983639490346283</v>
      </c>
      <c r="AH592" s="71">
        <f t="shared" si="115"/>
        <v>7.78304191587138</v>
      </c>
    </row>
    <row r="593" spans="1:34">
      <c r="A593" s="304">
        <v>45581</v>
      </c>
      <c r="C593" s="176">
        <f t="shared" si="104"/>
        <v>0.208943567955456</v>
      </c>
      <c r="D593" s="443">
        <f>明星店铺!B934</f>
        <v>1998.61</v>
      </c>
      <c r="E593" s="404">
        <f>明星店铺!C934</f>
        <v>1744</v>
      </c>
      <c r="F593" s="404">
        <f>明星店铺!D934</f>
        <v>652</v>
      </c>
      <c r="G593" s="325">
        <f>明星店铺!G934+明星店铺!H934</f>
        <v>277</v>
      </c>
      <c r="I593" s="176">
        <f t="shared" si="106"/>
        <v>0.296160814443024</v>
      </c>
      <c r="J593" s="443">
        <f>直通车!B934</f>
        <v>2832.87</v>
      </c>
      <c r="K593" s="399">
        <f>直通车!C934</f>
        <v>12731</v>
      </c>
      <c r="L593" s="511">
        <f>直通车!D934</f>
        <v>831</v>
      </c>
      <c r="M593" s="325">
        <f>直通车!G934+直通车!H934</f>
        <v>139</v>
      </c>
      <c r="O593" s="176">
        <f t="shared" si="107"/>
        <v>0.0672597124400568</v>
      </c>
      <c r="P593" s="443">
        <f>引力魔方!B833</f>
        <v>643.36</v>
      </c>
      <c r="Q593" s="398">
        <f>引力魔方!C833</f>
        <v>945721</v>
      </c>
      <c r="R593" s="399">
        <f>引力魔方!D833</f>
        <v>2969</v>
      </c>
      <c r="S593" s="325">
        <f>引力魔方!G833+引力魔方!H833</f>
        <v>92</v>
      </c>
      <c r="U593" s="176">
        <f t="shared" si="108"/>
        <v>0.427635905161464</v>
      </c>
      <c r="V593" s="326">
        <f>万相台!B422</f>
        <v>4090.47</v>
      </c>
      <c r="W593" s="417">
        <f>万相台!C422</f>
        <v>462331</v>
      </c>
      <c r="X593" s="417">
        <f>万相台!D422</f>
        <v>3579</v>
      </c>
      <c r="Y593" s="306">
        <f>万相台!G422+万相台!H422</f>
        <v>395</v>
      </c>
      <c r="AB593" s="69">
        <f t="shared" si="109"/>
        <v>9565.31</v>
      </c>
      <c r="AC593" s="70">
        <f t="shared" si="110"/>
        <v>903</v>
      </c>
      <c r="AD593" s="505">
        <f t="shared" si="111"/>
        <v>10.5928128460687</v>
      </c>
      <c r="AE593" s="506">
        <f t="shared" si="112"/>
        <v>0.11243929772133</v>
      </c>
      <c r="AF593" s="69">
        <f t="shared" si="113"/>
        <v>8031</v>
      </c>
      <c r="AG593" s="71">
        <f t="shared" si="114"/>
        <v>1.19104843730544</v>
      </c>
      <c r="AH593" s="71">
        <f t="shared" si="115"/>
        <v>6.72416762564085</v>
      </c>
    </row>
    <row r="594" spans="1:34">
      <c r="A594" s="304">
        <v>45582</v>
      </c>
      <c r="C594" s="176">
        <f t="shared" ref="C594:C617" si="116">D594/$AB594</f>
        <v>0.301160198946866</v>
      </c>
      <c r="D594" s="443">
        <f>明星店铺!B935</f>
        <v>1856.49</v>
      </c>
      <c r="E594" s="404">
        <f>明星店铺!C935</f>
        <v>1457</v>
      </c>
      <c r="F594" s="404">
        <f>明星店铺!D935</f>
        <v>594</v>
      </c>
      <c r="G594" s="325">
        <f>明星店铺!G935+明星店铺!H935</f>
        <v>212</v>
      </c>
      <c r="I594" s="176">
        <f t="shared" si="106"/>
        <v>0.293407695077914</v>
      </c>
      <c r="J594" s="443">
        <f>直通车!B935</f>
        <v>1808.7</v>
      </c>
      <c r="K594" s="399">
        <f>直通车!C935</f>
        <v>9555</v>
      </c>
      <c r="L594" s="511">
        <f>直通车!D935</f>
        <v>525</v>
      </c>
      <c r="M594" s="325">
        <f>直通车!G935+直通车!H935</f>
        <v>92</v>
      </c>
      <c r="O594" s="176">
        <f t="shared" si="107"/>
        <v>0.100772817083735</v>
      </c>
      <c r="P594" s="443">
        <f>引力魔方!B834</f>
        <v>621.21</v>
      </c>
      <c r="Q594" s="398">
        <f>引力魔方!C834</f>
        <v>926389</v>
      </c>
      <c r="R594" s="399">
        <f>引力魔方!D834</f>
        <v>2229</v>
      </c>
      <c r="S594" s="325">
        <f>引力魔方!G834+引力魔方!H834</f>
        <v>50</v>
      </c>
      <c r="U594" s="176">
        <f t="shared" si="108"/>
        <v>0.304659288891484</v>
      </c>
      <c r="V594" s="326">
        <f>万相台!B423</f>
        <v>1878.06</v>
      </c>
      <c r="W594" s="417">
        <f>万相台!C423</f>
        <v>41325</v>
      </c>
      <c r="X594" s="417">
        <f>万相台!D423</f>
        <v>979</v>
      </c>
      <c r="Y594" s="306">
        <f>万相台!G423+万相台!H423</f>
        <v>158</v>
      </c>
      <c r="AB594" s="69">
        <f t="shared" si="109"/>
        <v>6164.46</v>
      </c>
      <c r="AC594" s="70">
        <f t="shared" si="110"/>
        <v>512</v>
      </c>
      <c r="AD594" s="505">
        <f t="shared" si="111"/>
        <v>12.0399609375</v>
      </c>
      <c r="AE594" s="506">
        <f t="shared" si="112"/>
        <v>0.118326785301595</v>
      </c>
      <c r="AF594" s="69">
        <f t="shared" si="113"/>
        <v>4327</v>
      </c>
      <c r="AG594" s="71">
        <f t="shared" si="114"/>
        <v>1.42464987289115</v>
      </c>
      <c r="AH594" s="71">
        <f t="shared" si="115"/>
        <v>6.29845329540648</v>
      </c>
    </row>
    <row r="595" spans="1:34">
      <c r="A595" s="304">
        <v>45583</v>
      </c>
      <c r="C595" s="176">
        <f t="shared" si="116"/>
        <v>0.151196425876633</v>
      </c>
      <c r="D595" s="443">
        <f>明星店铺!B936</f>
        <v>1192.27</v>
      </c>
      <c r="E595" s="404">
        <f>明星店铺!C936</f>
        <v>959</v>
      </c>
      <c r="F595" s="404">
        <f>明星店铺!D936</f>
        <v>342</v>
      </c>
      <c r="G595" s="325">
        <f>明星店铺!G936+明星店铺!H936</f>
        <v>112</v>
      </c>
      <c r="I595" s="176">
        <f t="shared" si="106"/>
        <v>0.33043394453413</v>
      </c>
      <c r="J595" s="443">
        <f>直通车!B936</f>
        <v>2605.66</v>
      </c>
      <c r="K595" s="399">
        <f>直通车!C936</f>
        <v>11871</v>
      </c>
      <c r="L595" s="511">
        <f>直通车!D936</f>
        <v>764</v>
      </c>
      <c r="M595" s="325">
        <f>直通车!G936+直通车!H936</f>
        <v>111</v>
      </c>
      <c r="O595" s="176">
        <f t="shared" si="107"/>
        <v>0.0807639777466943</v>
      </c>
      <c r="P595" s="443">
        <f>引力魔方!B835</f>
        <v>636.87</v>
      </c>
      <c r="Q595" s="398">
        <f>引力魔方!C835</f>
        <v>853691</v>
      </c>
      <c r="R595" s="399">
        <f>引力魔方!D835</f>
        <v>1973</v>
      </c>
      <c r="S595" s="325">
        <f>引力魔方!G835+引力魔方!H835</f>
        <v>67</v>
      </c>
      <c r="U595" s="176">
        <f t="shared" si="108"/>
        <v>0.437605651842543</v>
      </c>
      <c r="V595" s="326">
        <f>万相台!B424</f>
        <v>3450.77</v>
      </c>
      <c r="W595" s="417">
        <f>万相台!C424</f>
        <v>101889</v>
      </c>
      <c r="X595" s="417">
        <f>万相台!D424</f>
        <v>1815</v>
      </c>
      <c r="Y595" s="306">
        <f>万相台!G424+万相台!H424</f>
        <v>276</v>
      </c>
      <c r="AB595" s="69">
        <f t="shared" si="109"/>
        <v>7885.57</v>
      </c>
      <c r="AC595" s="70">
        <f t="shared" si="110"/>
        <v>566</v>
      </c>
      <c r="AD595" s="505">
        <f t="shared" si="111"/>
        <v>13.9321024734982</v>
      </c>
      <c r="AE595" s="506">
        <f t="shared" si="112"/>
        <v>0.115651818553331</v>
      </c>
      <c r="AF595" s="69">
        <f t="shared" si="113"/>
        <v>4894</v>
      </c>
      <c r="AG595" s="71">
        <f t="shared" si="114"/>
        <v>1.61127298733143</v>
      </c>
      <c r="AH595" s="71">
        <f t="shared" si="115"/>
        <v>8.14280108631675</v>
      </c>
    </row>
    <row r="596" spans="1:34">
      <c r="A596" s="304">
        <v>45584</v>
      </c>
      <c r="C596" s="176">
        <f t="shared" si="116"/>
        <v>0.00020333438263916</v>
      </c>
      <c r="D596" s="443">
        <f>明星店铺!B937</f>
        <v>1.35</v>
      </c>
      <c r="E596" s="404">
        <f>明星店铺!C937</f>
        <v>1</v>
      </c>
      <c r="F596" s="404">
        <f>明星店铺!D937</f>
        <v>0</v>
      </c>
      <c r="G596" s="325">
        <f>明星店铺!G937+明星店铺!H937</f>
        <v>0</v>
      </c>
      <c r="I596" s="176">
        <f t="shared" si="106"/>
        <v>0.381450783289227</v>
      </c>
      <c r="J596" s="443">
        <f>直通车!B937</f>
        <v>2532.57</v>
      </c>
      <c r="K596" s="399">
        <f>直通车!C937</f>
        <v>9593</v>
      </c>
      <c r="L596" s="511">
        <f>直通车!D937</f>
        <v>743</v>
      </c>
      <c r="M596" s="325">
        <f>直通车!G937+直通车!H937</f>
        <v>118</v>
      </c>
      <c r="O596" s="176">
        <f t="shared" si="107"/>
        <v>0.0941182140915246</v>
      </c>
      <c r="P596" s="443">
        <f>引力魔方!B836</f>
        <v>624.88</v>
      </c>
      <c r="Q596" s="398">
        <f>引力魔方!C836</f>
        <v>597021</v>
      </c>
      <c r="R596" s="399">
        <f>引力魔方!D836</f>
        <v>1955</v>
      </c>
      <c r="S596" s="325">
        <f>引力魔方!G836+引力魔方!H836</f>
        <v>104</v>
      </c>
      <c r="U596" s="176">
        <f t="shared" si="108"/>
        <v>0.524227668236609</v>
      </c>
      <c r="V596" s="326">
        <f>万相台!B425</f>
        <v>3480.51</v>
      </c>
      <c r="W596" s="417">
        <f>万相台!C425</f>
        <v>53819</v>
      </c>
      <c r="X596" s="417">
        <f>万相台!D425</f>
        <v>2107</v>
      </c>
      <c r="Y596" s="306">
        <f>万相台!G425+万相台!H425</f>
        <v>379</v>
      </c>
      <c r="AB596" s="69">
        <f t="shared" si="109"/>
        <v>6639.31</v>
      </c>
      <c r="AC596" s="70">
        <f t="shared" si="110"/>
        <v>601</v>
      </c>
      <c r="AD596" s="505">
        <f t="shared" si="111"/>
        <v>11.0471048252912</v>
      </c>
      <c r="AE596" s="506">
        <f t="shared" si="112"/>
        <v>0.125078043704475</v>
      </c>
      <c r="AF596" s="69">
        <f t="shared" si="113"/>
        <v>4805</v>
      </c>
      <c r="AG596" s="71">
        <f t="shared" si="114"/>
        <v>1.38175026014568</v>
      </c>
      <c r="AH596" s="71">
        <f t="shared" si="115"/>
        <v>10.0529500298289</v>
      </c>
    </row>
    <row r="597" spans="1:34">
      <c r="A597" s="304">
        <v>45585</v>
      </c>
      <c r="C597" s="176">
        <f t="shared" si="116"/>
        <v>0.0138143139000466</v>
      </c>
      <c r="D597" s="443">
        <f>明星店铺!B938</f>
        <v>83.95</v>
      </c>
      <c r="E597" s="404">
        <f>明星店铺!C938</f>
        <v>73</v>
      </c>
      <c r="F597" s="404">
        <f>明星店铺!D938</f>
        <v>29</v>
      </c>
      <c r="G597" s="325">
        <f>明星店铺!G938+明星店铺!H938</f>
        <v>19</v>
      </c>
      <c r="I597" s="176">
        <f t="shared" si="106"/>
        <v>0.341332855029513</v>
      </c>
      <c r="J597" s="443">
        <f>直通车!B938</f>
        <v>2074.29</v>
      </c>
      <c r="K597" s="399">
        <f>直通车!C938</f>
        <v>12301</v>
      </c>
      <c r="L597" s="511">
        <f>直通车!D938</f>
        <v>637</v>
      </c>
      <c r="M597" s="325">
        <f>直通车!G938+直通车!H938</f>
        <v>104</v>
      </c>
      <c r="O597" s="176">
        <f t="shared" si="107"/>
        <v>0.0983687755367342</v>
      </c>
      <c r="P597" s="443">
        <f>引力魔方!B837</f>
        <v>597.79</v>
      </c>
      <c r="Q597" s="398">
        <f>引力魔方!C837</f>
        <v>640854</v>
      </c>
      <c r="R597" s="399">
        <f>引力魔方!D837</f>
        <v>1768</v>
      </c>
      <c r="S597" s="325">
        <f>引力魔方!G837+引力魔方!H837</f>
        <v>88</v>
      </c>
      <c r="U597" s="176">
        <f t="shared" si="108"/>
        <v>0.546484055533706</v>
      </c>
      <c r="V597" s="326">
        <f>万相台!B426</f>
        <v>3321</v>
      </c>
      <c r="W597" s="417">
        <f>万相台!C426</f>
        <v>65699</v>
      </c>
      <c r="X597" s="417">
        <f>万相台!D426</f>
        <v>2197</v>
      </c>
      <c r="Y597" s="306">
        <f>万相台!G426+万相台!H426</f>
        <v>348</v>
      </c>
      <c r="AB597" s="69">
        <f t="shared" si="109"/>
        <v>6077.03</v>
      </c>
      <c r="AC597" s="70">
        <f t="shared" si="110"/>
        <v>559</v>
      </c>
      <c r="AD597" s="505">
        <f t="shared" si="111"/>
        <v>10.871252236136</v>
      </c>
      <c r="AE597" s="506">
        <f t="shared" si="112"/>
        <v>0.120708270351976</v>
      </c>
      <c r="AF597" s="69">
        <f t="shared" si="113"/>
        <v>4631</v>
      </c>
      <c r="AG597" s="71">
        <f t="shared" si="114"/>
        <v>1.31225005398402</v>
      </c>
      <c r="AH597" s="71">
        <f t="shared" si="115"/>
        <v>8.45291663826786</v>
      </c>
    </row>
    <row r="598" spans="1:34">
      <c r="A598" s="304">
        <v>45586</v>
      </c>
      <c r="C598" s="176">
        <f t="shared" si="116"/>
        <v>0.113474513119713</v>
      </c>
      <c r="D598" s="443">
        <f>明星店铺!B939</f>
        <v>1696.36</v>
      </c>
      <c r="E598" s="404">
        <f>明星店铺!C939</f>
        <v>1435</v>
      </c>
      <c r="F598" s="404">
        <f>明星店铺!D939</f>
        <v>425</v>
      </c>
      <c r="G598" s="325">
        <f>明星店铺!G939+明星店铺!H939</f>
        <v>180</v>
      </c>
      <c r="I598" s="176">
        <f t="shared" si="106"/>
        <v>0.319243895684469</v>
      </c>
      <c r="J598" s="443">
        <f>直通车!B939</f>
        <v>4772.46</v>
      </c>
      <c r="K598" s="399">
        <f>直通车!C939</f>
        <v>19552</v>
      </c>
      <c r="L598" s="511">
        <f>直通车!D939</f>
        <v>1303</v>
      </c>
      <c r="M598" s="325">
        <f>直通车!G939+直通车!H939</f>
        <v>170</v>
      </c>
      <c r="O598" s="176">
        <f t="shared" si="107"/>
        <v>0.124363346413134</v>
      </c>
      <c r="P598" s="443">
        <f>引力魔方!B838</f>
        <v>1859.14</v>
      </c>
      <c r="Q598" s="398">
        <f>引力魔方!C838</f>
        <v>979577</v>
      </c>
      <c r="R598" s="399">
        <f>引力魔方!D838</f>
        <v>3615</v>
      </c>
      <c r="S598" s="325">
        <f>引力魔方!G838+引力魔方!H838</f>
        <v>108</v>
      </c>
      <c r="U598" s="176">
        <f t="shared" si="108"/>
        <v>0.442918244782685</v>
      </c>
      <c r="V598" s="326">
        <f>万相台!B427</f>
        <v>6621.3</v>
      </c>
      <c r="W598" s="417">
        <f>万相台!C427</f>
        <v>124165</v>
      </c>
      <c r="X598" s="417">
        <f>万相台!D427</f>
        <v>3324</v>
      </c>
      <c r="Y598" s="306">
        <f>万相台!G427+万相台!H427</f>
        <v>285</v>
      </c>
      <c r="AB598" s="69">
        <f t="shared" si="109"/>
        <v>14949.26</v>
      </c>
      <c r="AC598" s="70">
        <f t="shared" si="110"/>
        <v>743</v>
      </c>
      <c r="AD598" s="505">
        <f t="shared" si="111"/>
        <v>20.120134589502</v>
      </c>
      <c r="AE598" s="506">
        <f t="shared" si="112"/>
        <v>0.0857274720203069</v>
      </c>
      <c r="AF598" s="69">
        <f t="shared" si="113"/>
        <v>8667</v>
      </c>
      <c r="AG598" s="71">
        <f t="shared" si="114"/>
        <v>1.72484827506634</v>
      </c>
      <c r="AH598" s="71">
        <f t="shared" si="115"/>
        <v>13.2914328696068</v>
      </c>
    </row>
    <row r="599" spans="1:34">
      <c r="A599" s="304">
        <v>45587</v>
      </c>
      <c r="C599" s="176">
        <f t="shared" si="116"/>
        <v>0.102322960479311</v>
      </c>
      <c r="D599" s="443">
        <f>明星店铺!B940</f>
        <v>1240.23</v>
      </c>
      <c r="E599" s="404">
        <f>明星店铺!C940</f>
        <v>1029</v>
      </c>
      <c r="F599" s="404">
        <f>明星店铺!D940</f>
        <v>324</v>
      </c>
      <c r="G599" s="325">
        <f>明星店铺!G940+明星店铺!H940</f>
        <v>101</v>
      </c>
      <c r="I599" s="176">
        <f t="shared" si="106"/>
        <v>0.378389438268621</v>
      </c>
      <c r="J599" s="443">
        <f>直通车!B940</f>
        <v>4586.36</v>
      </c>
      <c r="K599" s="399">
        <f>直通车!C940</f>
        <v>21605</v>
      </c>
      <c r="L599" s="511">
        <f>直通车!D940</f>
        <v>1325</v>
      </c>
      <c r="M599" s="325">
        <f>直通车!G940+直通车!H940</f>
        <v>163</v>
      </c>
      <c r="O599" s="176">
        <f t="shared" si="107"/>
        <v>0.151967619138765</v>
      </c>
      <c r="P599" s="443">
        <f>引力魔方!B839</f>
        <v>1841.96</v>
      </c>
      <c r="Q599" s="398">
        <f>引力魔方!C839</f>
        <v>1436163</v>
      </c>
      <c r="R599" s="399">
        <f>引力魔方!D839</f>
        <v>5150</v>
      </c>
      <c r="S599" s="325">
        <f>引力魔方!G839+引力魔方!H839</f>
        <v>141</v>
      </c>
      <c r="U599" s="176">
        <f t="shared" si="108"/>
        <v>0.367319982113303</v>
      </c>
      <c r="V599" s="326">
        <f>万相台!B428</f>
        <v>4452.19</v>
      </c>
      <c r="W599" s="417">
        <f>万相台!C428</f>
        <v>312009</v>
      </c>
      <c r="X599" s="417">
        <f>万相台!D428</f>
        <v>3706</v>
      </c>
      <c r="Y599" s="306">
        <f>万相台!G428+万相台!H428</f>
        <v>274</v>
      </c>
      <c r="AB599" s="69">
        <f t="shared" si="109"/>
        <v>12120.74</v>
      </c>
      <c r="AC599" s="70">
        <f t="shared" si="110"/>
        <v>679</v>
      </c>
      <c r="AD599" s="505">
        <f t="shared" si="111"/>
        <v>17.8508689248895</v>
      </c>
      <c r="AE599" s="506">
        <f t="shared" si="112"/>
        <v>0.0646358876725369</v>
      </c>
      <c r="AF599" s="69">
        <f t="shared" si="113"/>
        <v>10505</v>
      </c>
      <c r="AG599" s="71">
        <f t="shared" si="114"/>
        <v>1.15380675868634</v>
      </c>
      <c r="AH599" s="71">
        <f t="shared" si="115"/>
        <v>6.84475882733625</v>
      </c>
    </row>
    <row r="600" spans="1:34">
      <c r="A600" s="304">
        <v>45588</v>
      </c>
      <c r="C600" s="176">
        <f t="shared" si="116"/>
        <v>0.0892520101641964</v>
      </c>
      <c r="D600" s="443">
        <f>明星店铺!B941</f>
        <v>1239.88</v>
      </c>
      <c r="E600" s="404">
        <f>明星店铺!C941</f>
        <v>973</v>
      </c>
      <c r="F600" s="404">
        <f>明星店铺!D941</f>
        <v>332</v>
      </c>
      <c r="G600" s="325">
        <f>明星店铺!G941+明星店铺!H941</f>
        <v>140</v>
      </c>
      <c r="I600" s="176">
        <f t="shared" si="106"/>
        <v>0.336838013518669</v>
      </c>
      <c r="J600" s="443">
        <f>直通车!B941</f>
        <v>4679.32</v>
      </c>
      <c r="K600" s="399">
        <f>直通车!C941</f>
        <v>23365</v>
      </c>
      <c r="L600" s="511">
        <f>直通车!D941</f>
        <v>1260</v>
      </c>
      <c r="M600" s="325">
        <f>直通车!G941+直通车!H941</f>
        <v>130</v>
      </c>
      <c r="O600" s="176">
        <f t="shared" si="107"/>
        <v>0.13140319178802</v>
      </c>
      <c r="P600" s="443">
        <f>引力魔方!B840</f>
        <v>1825.44</v>
      </c>
      <c r="Q600" s="398">
        <f>引力魔方!C840</f>
        <v>1852378</v>
      </c>
      <c r="R600" s="399">
        <f>引力魔方!D840</f>
        <v>6807</v>
      </c>
      <c r="S600" s="325">
        <f>引力魔方!G840+引力魔方!H840</f>
        <v>116</v>
      </c>
      <c r="U600" s="176">
        <f t="shared" si="108"/>
        <v>0.442506784529114</v>
      </c>
      <c r="V600" s="326">
        <f>万相台!B429</f>
        <v>6147.26</v>
      </c>
      <c r="W600" s="417">
        <f>万相台!C429</f>
        <v>386044</v>
      </c>
      <c r="X600" s="417">
        <f>万相台!D429</f>
        <v>4441</v>
      </c>
      <c r="Y600" s="306">
        <f>万相台!G429+万相台!H429</f>
        <v>406</v>
      </c>
      <c r="AB600" s="69">
        <f t="shared" si="109"/>
        <v>13891.9</v>
      </c>
      <c r="AC600" s="70">
        <f t="shared" si="110"/>
        <v>792</v>
      </c>
      <c r="AD600" s="505">
        <f t="shared" si="111"/>
        <v>17.5402777777778</v>
      </c>
      <c r="AE600" s="506">
        <f t="shared" si="112"/>
        <v>0.0616822429906542</v>
      </c>
      <c r="AF600" s="69">
        <f t="shared" si="113"/>
        <v>12840</v>
      </c>
      <c r="AG600" s="71">
        <f t="shared" si="114"/>
        <v>1.08192367601246</v>
      </c>
      <c r="AH600" s="71">
        <f t="shared" si="115"/>
        <v>6.13936078063957</v>
      </c>
    </row>
    <row r="601" spans="1:34">
      <c r="A601" s="304">
        <v>45589</v>
      </c>
      <c r="C601" s="176">
        <f t="shared" si="116"/>
        <v>0.0988816582472202</v>
      </c>
      <c r="D601" s="443">
        <f>明星店铺!B942</f>
        <v>1168.18</v>
      </c>
      <c r="E601" s="404">
        <f>明星店铺!C942</f>
        <v>1050</v>
      </c>
      <c r="F601" s="404">
        <f>明星店铺!D942</f>
        <v>251</v>
      </c>
      <c r="G601" s="325">
        <f>明星店铺!G942+明星店铺!H942</f>
        <v>91</v>
      </c>
      <c r="I601" s="176">
        <f t="shared" si="106"/>
        <v>0.294130991237455</v>
      </c>
      <c r="J601" s="443">
        <f>直通车!B942</f>
        <v>3474.84</v>
      </c>
      <c r="K601" s="399">
        <f>直通车!C942</f>
        <v>29726</v>
      </c>
      <c r="L601" s="511">
        <f>直通车!D942</f>
        <v>942</v>
      </c>
      <c r="M601" s="325">
        <f>直通车!G942+直通车!H942</f>
        <v>103</v>
      </c>
      <c r="O601" s="176">
        <f t="shared" si="107"/>
        <v>0.157608143613635</v>
      </c>
      <c r="P601" s="443">
        <f>引力魔方!B841</f>
        <v>1861.97</v>
      </c>
      <c r="Q601" s="398">
        <f>引力魔方!C841</f>
        <v>2697713</v>
      </c>
      <c r="R601" s="399">
        <f>引力魔方!D841</f>
        <v>8167</v>
      </c>
      <c r="S601" s="325">
        <f>引力魔方!G841+引力魔方!H841</f>
        <v>145</v>
      </c>
      <c r="U601" s="176">
        <f t="shared" si="108"/>
        <v>0.449379206901689</v>
      </c>
      <c r="V601" s="326">
        <f>万相台!B430</f>
        <v>5308.93</v>
      </c>
      <c r="W601" s="417">
        <f>万相台!C430</f>
        <v>594384</v>
      </c>
      <c r="X601" s="417">
        <f>万相台!D430</f>
        <v>4249</v>
      </c>
      <c r="Y601" s="306">
        <f>万相台!G430+万相台!H430</f>
        <v>362</v>
      </c>
      <c r="AB601" s="69">
        <f t="shared" si="109"/>
        <v>11813.92</v>
      </c>
      <c r="AC601" s="70">
        <f t="shared" si="110"/>
        <v>701</v>
      </c>
      <c r="AD601" s="505">
        <f t="shared" si="111"/>
        <v>16.8529529243937</v>
      </c>
      <c r="AE601" s="506">
        <f t="shared" si="112"/>
        <v>0.0515100301271218</v>
      </c>
      <c r="AF601" s="69">
        <f t="shared" si="113"/>
        <v>13609</v>
      </c>
      <c r="AG601" s="71">
        <f t="shared" si="114"/>
        <v>0.868096112866486</v>
      </c>
      <c r="AH601" s="71">
        <f t="shared" si="115"/>
        <v>3.55533299045735</v>
      </c>
    </row>
    <row r="602" spans="1:34">
      <c r="A602" s="304">
        <v>45590</v>
      </c>
      <c r="C602" s="176">
        <f t="shared" si="116"/>
        <v>0.0722899682853666</v>
      </c>
      <c r="D602" s="443">
        <f>明星店铺!B943</f>
        <v>976.49</v>
      </c>
      <c r="E602" s="404">
        <f>明星店铺!C943</f>
        <v>874</v>
      </c>
      <c r="F602" s="404">
        <f>明星店铺!D943</f>
        <v>207</v>
      </c>
      <c r="G602" s="325">
        <f>明星店铺!G943+明星店铺!H943</f>
        <v>53</v>
      </c>
      <c r="I602" s="176">
        <f t="shared" si="106"/>
        <v>0.363930600919754</v>
      </c>
      <c r="J602" s="443">
        <f>直通车!B943</f>
        <v>4915.96</v>
      </c>
      <c r="K602" s="399">
        <f>直通车!C943</f>
        <v>33280</v>
      </c>
      <c r="L602" s="511">
        <f>直通车!D943</f>
        <v>1177</v>
      </c>
      <c r="M602" s="325">
        <f>直通车!G943+直通车!H943</f>
        <v>88</v>
      </c>
      <c r="O602" s="176">
        <f t="shared" si="107"/>
        <v>0.136144169808024</v>
      </c>
      <c r="P602" s="443">
        <f>引力魔方!B842</f>
        <v>1839.03</v>
      </c>
      <c r="Q602" s="398">
        <f>引力魔方!C842</f>
        <v>1591503</v>
      </c>
      <c r="R602" s="399">
        <f>引力魔方!D842</f>
        <v>8152</v>
      </c>
      <c r="S602" s="325">
        <f>引力魔方!G842+引力魔方!H842</f>
        <v>151</v>
      </c>
      <c r="U602" s="176">
        <f t="shared" si="108"/>
        <v>0.427635260986855</v>
      </c>
      <c r="V602" s="326">
        <f>万相台!B431</f>
        <v>5776.48</v>
      </c>
      <c r="W602" s="417">
        <f>万相台!C431</f>
        <v>420691</v>
      </c>
      <c r="X602" s="417">
        <f>万相台!D431</f>
        <v>5131</v>
      </c>
      <c r="Y602" s="306">
        <f>万相台!G431+万相台!H431</f>
        <v>441</v>
      </c>
      <c r="AB602" s="69">
        <f t="shared" si="109"/>
        <v>13507.96</v>
      </c>
      <c r="AC602" s="70">
        <f t="shared" si="110"/>
        <v>733</v>
      </c>
      <c r="AD602" s="505">
        <f t="shared" si="111"/>
        <v>18.4283219645293</v>
      </c>
      <c r="AE602" s="506">
        <f t="shared" si="112"/>
        <v>0.0499761369059794</v>
      </c>
      <c r="AF602" s="69">
        <f t="shared" si="113"/>
        <v>14667</v>
      </c>
      <c r="AG602" s="71">
        <f t="shared" si="114"/>
        <v>0.920976341446785</v>
      </c>
      <c r="AH602" s="71">
        <f t="shared" si="115"/>
        <v>6.60100823515844</v>
      </c>
    </row>
    <row r="603" spans="1:34">
      <c r="A603" s="304">
        <v>45591</v>
      </c>
      <c r="C603" s="176">
        <f t="shared" si="116"/>
        <v>0.0811200360842486</v>
      </c>
      <c r="D603" s="443">
        <f>明星店铺!B944</f>
        <v>956.78</v>
      </c>
      <c r="E603" s="404">
        <f>明星店铺!C944</f>
        <v>886</v>
      </c>
      <c r="F603" s="404">
        <f>明星店铺!D944</f>
        <v>211</v>
      </c>
      <c r="G603" s="325">
        <f>明星店铺!G944+明星店铺!H944</f>
        <v>78</v>
      </c>
      <c r="I603" s="176">
        <f t="shared" si="106"/>
        <v>0.351530613110045</v>
      </c>
      <c r="J603" s="443">
        <f>直通车!B944</f>
        <v>4146.17</v>
      </c>
      <c r="K603" s="399">
        <f>直通车!C944</f>
        <v>33019</v>
      </c>
      <c r="L603" s="511">
        <f>直通车!D944</f>
        <v>992</v>
      </c>
      <c r="M603" s="325">
        <f>直通车!G944+直通车!H944</f>
        <v>87</v>
      </c>
      <c r="O603" s="176">
        <f t="shared" si="107"/>
        <v>0.150098095572388</v>
      </c>
      <c r="P603" s="443">
        <f>引力魔方!B843</f>
        <v>1770.35</v>
      </c>
      <c r="Q603" s="398">
        <f>引力魔方!C843</f>
        <v>1337232</v>
      </c>
      <c r="R603" s="399">
        <f>引力魔方!D843</f>
        <v>7643</v>
      </c>
      <c r="S603" s="325">
        <f>引力魔方!G843+引力魔方!H843</f>
        <v>167</v>
      </c>
      <c r="U603" s="176">
        <f t="shared" si="108"/>
        <v>0.417251255233318</v>
      </c>
      <c r="V603" s="326">
        <f>万相台!B432</f>
        <v>4921.32</v>
      </c>
      <c r="W603" s="417">
        <f>万相台!C432</f>
        <v>293304</v>
      </c>
      <c r="X603" s="417">
        <f>万相台!D432</f>
        <v>3717</v>
      </c>
      <c r="Y603" s="306">
        <f>万相台!G432+万相台!H432</f>
        <v>526</v>
      </c>
      <c r="AB603" s="69">
        <f t="shared" si="109"/>
        <v>11794.62</v>
      </c>
      <c r="AC603" s="70">
        <f t="shared" si="110"/>
        <v>858</v>
      </c>
      <c r="AD603" s="505">
        <f t="shared" si="111"/>
        <v>13.7466433566434</v>
      </c>
      <c r="AE603" s="506">
        <f t="shared" si="112"/>
        <v>0.0682957892223195</v>
      </c>
      <c r="AF603" s="69">
        <f t="shared" si="113"/>
        <v>12563</v>
      </c>
      <c r="AG603" s="71">
        <f t="shared" si="114"/>
        <v>0.938837857199713</v>
      </c>
      <c r="AH603" s="71">
        <f t="shared" si="115"/>
        <v>7.08623495816313</v>
      </c>
    </row>
    <row r="604" spans="1:34">
      <c r="A604" s="304">
        <v>45592</v>
      </c>
      <c r="C604" s="176">
        <f t="shared" si="116"/>
        <v>0.0845776985823373</v>
      </c>
      <c r="D604" s="443">
        <f>明星店铺!B945</f>
        <v>1022.87</v>
      </c>
      <c r="E604" s="404">
        <f>明星店铺!C945</f>
        <v>987</v>
      </c>
      <c r="F604" s="404">
        <f>明星店铺!D945</f>
        <v>210</v>
      </c>
      <c r="G604" s="325">
        <f>明星店铺!G945+明星店铺!H945</f>
        <v>64</v>
      </c>
      <c r="I604" s="176">
        <f t="shared" si="106"/>
        <v>0.362672763429346</v>
      </c>
      <c r="J604" s="443">
        <f>直通车!B945</f>
        <v>4386.11</v>
      </c>
      <c r="K604" s="399">
        <f>直通车!C945</f>
        <v>33639</v>
      </c>
      <c r="L604" s="511">
        <f>直通车!D945</f>
        <v>1113</v>
      </c>
      <c r="M604" s="325">
        <f>直通车!G945+直通车!H945</f>
        <v>71</v>
      </c>
      <c r="O604" s="176">
        <f t="shared" si="107"/>
        <v>0.152094659682401</v>
      </c>
      <c r="P604" s="443">
        <f>引力魔方!B844</f>
        <v>1839.41</v>
      </c>
      <c r="Q604" s="398">
        <f>引力魔方!C844</f>
        <v>1792351</v>
      </c>
      <c r="R604" s="399">
        <f>引力魔方!D844</f>
        <v>8569</v>
      </c>
      <c r="S604" s="325">
        <f>引力魔方!G844+引力魔方!H844</f>
        <v>199</v>
      </c>
      <c r="U604" s="176">
        <f t="shared" si="108"/>
        <v>0.400654878305916</v>
      </c>
      <c r="V604" s="326">
        <f>万相台!B433</f>
        <v>4845.46</v>
      </c>
      <c r="W604" s="417">
        <f>万相台!C433</f>
        <v>228027</v>
      </c>
      <c r="X604" s="417">
        <f>万相台!D433</f>
        <v>2932</v>
      </c>
      <c r="Y604" s="306">
        <f>万相台!G433+万相台!H433</f>
        <v>450</v>
      </c>
      <c r="AB604" s="69">
        <f t="shared" si="109"/>
        <v>12093.85</v>
      </c>
      <c r="AC604" s="70">
        <f t="shared" si="110"/>
        <v>784</v>
      </c>
      <c r="AD604" s="505">
        <f t="shared" si="111"/>
        <v>15.4258290816327</v>
      </c>
      <c r="AE604" s="506">
        <f t="shared" si="112"/>
        <v>0.0611353711790393</v>
      </c>
      <c r="AF604" s="69">
        <f t="shared" si="113"/>
        <v>12824</v>
      </c>
      <c r="AG604" s="71">
        <f t="shared" si="114"/>
        <v>0.943063786650031</v>
      </c>
      <c r="AH604" s="71">
        <f t="shared" si="115"/>
        <v>5.88507370301956</v>
      </c>
    </row>
    <row r="605" spans="1:34">
      <c r="A605" s="304">
        <v>45593</v>
      </c>
      <c r="C605" s="176">
        <f t="shared" si="116"/>
        <v>0.0846171678441579</v>
      </c>
      <c r="D605" s="443">
        <f>明星店铺!B946</f>
        <v>1142.49</v>
      </c>
      <c r="E605" s="404">
        <f>明星店铺!C946</f>
        <v>967</v>
      </c>
      <c r="F605" s="404">
        <f>明星店铺!D946</f>
        <v>247</v>
      </c>
      <c r="G605" s="325">
        <f>明星店铺!G946+明星店铺!H946</f>
        <v>67</v>
      </c>
      <c r="I605" s="176">
        <f t="shared" si="106"/>
        <v>0.380530252476139</v>
      </c>
      <c r="J605" s="443">
        <f>直通车!B946</f>
        <v>5137.87</v>
      </c>
      <c r="K605" s="399">
        <f>直通车!C946</f>
        <v>29292</v>
      </c>
      <c r="L605" s="511">
        <f>直通车!D946</f>
        <v>1222</v>
      </c>
      <c r="M605" s="325">
        <f>直通车!G946+直通车!H946</f>
        <v>91</v>
      </c>
      <c r="O605" s="176">
        <f t="shared" si="107"/>
        <v>0.137981627730085</v>
      </c>
      <c r="P605" s="443">
        <f>引力魔方!B845</f>
        <v>1863.01</v>
      </c>
      <c r="Q605" s="398">
        <f>引力魔方!C845</f>
        <v>1300645</v>
      </c>
      <c r="R605" s="399">
        <f>引力魔方!D845</f>
        <v>8262</v>
      </c>
      <c r="S605" s="325">
        <f>引力魔方!G845+引力魔方!H845</f>
        <v>136</v>
      </c>
      <c r="U605" s="176">
        <f t="shared" si="108"/>
        <v>0.396870951949619</v>
      </c>
      <c r="V605" s="326">
        <f>万相台!B434</f>
        <v>5358.5</v>
      </c>
      <c r="W605" s="417">
        <f>万相台!C434</f>
        <v>481099</v>
      </c>
      <c r="X605" s="417">
        <f>万相台!D434</f>
        <v>3612</v>
      </c>
      <c r="Y605" s="306">
        <f>万相台!G434+万相台!H434</f>
        <v>356</v>
      </c>
      <c r="AB605" s="69">
        <f t="shared" si="109"/>
        <v>13501.87</v>
      </c>
      <c r="AC605" s="70">
        <f t="shared" si="110"/>
        <v>650</v>
      </c>
      <c r="AD605" s="505">
        <f t="shared" si="111"/>
        <v>20.7721076923077</v>
      </c>
      <c r="AE605" s="506">
        <f t="shared" si="112"/>
        <v>0.0487146818556546</v>
      </c>
      <c r="AF605" s="69">
        <f t="shared" si="113"/>
        <v>13343</v>
      </c>
      <c r="AG605" s="71">
        <f t="shared" si="114"/>
        <v>1.01190661770217</v>
      </c>
      <c r="AH605" s="71">
        <f t="shared" si="115"/>
        <v>7.45135079798433</v>
      </c>
    </row>
    <row r="606" spans="1:34">
      <c r="A606" s="304">
        <v>45594</v>
      </c>
      <c r="C606" s="176">
        <f t="shared" si="116"/>
        <v>0.113968296950724</v>
      </c>
      <c r="D606" s="443">
        <f>明星店铺!B947</f>
        <v>1102.69</v>
      </c>
      <c r="E606" s="404">
        <f>明星店铺!C947</f>
        <v>968</v>
      </c>
      <c r="F606" s="404">
        <f>明星店铺!D947</f>
        <v>225</v>
      </c>
      <c r="G606" s="325">
        <f>明星店铺!G947+明星店铺!H947</f>
        <v>59</v>
      </c>
      <c r="I606" s="176">
        <f t="shared" si="106"/>
        <v>0.338213057637868</v>
      </c>
      <c r="J606" s="443">
        <f>直通车!B947</f>
        <v>3272.35</v>
      </c>
      <c r="K606" s="399">
        <f>直通车!C947</f>
        <v>22355</v>
      </c>
      <c r="L606" s="511">
        <f>直通车!D947</f>
        <v>814</v>
      </c>
      <c r="M606" s="325">
        <f>直通车!G947+直通车!H947</f>
        <v>63</v>
      </c>
      <c r="O606" s="176">
        <f t="shared" si="107"/>
        <v>0.11115704657477</v>
      </c>
      <c r="P606" s="443">
        <f>引力魔方!B846</f>
        <v>1075.49</v>
      </c>
      <c r="Q606" s="398">
        <f>引力魔方!C846</f>
        <v>1181990</v>
      </c>
      <c r="R606" s="399">
        <f>引力魔方!D846</f>
        <v>4209</v>
      </c>
      <c r="S606" s="325">
        <f>引力魔方!G846+引力魔方!H846</f>
        <v>102</v>
      </c>
      <c r="U606" s="176">
        <f t="shared" si="108"/>
        <v>0.436661598836638</v>
      </c>
      <c r="V606" s="326">
        <f>万相台!B435</f>
        <v>4224.88</v>
      </c>
      <c r="W606" s="417">
        <f>万相台!C435</f>
        <v>180675</v>
      </c>
      <c r="X606" s="417">
        <f>万相台!D435</f>
        <v>2727</v>
      </c>
      <c r="Y606" s="306">
        <f>万相台!G435+万相台!H435</f>
        <v>261</v>
      </c>
      <c r="AB606" s="69">
        <f t="shared" si="109"/>
        <v>9675.41</v>
      </c>
      <c r="AC606" s="70">
        <f t="shared" si="110"/>
        <v>485</v>
      </c>
      <c r="AD606" s="505">
        <f t="shared" si="111"/>
        <v>19.9492989690722</v>
      </c>
      <c r="AE606" s="506">
        <f t="shared" si="112"/>
        <v>0.0608150470219436</v>
      </c>
      <c r="AF606" s="69">
        <f t="shared" si="113"/>
        <v>7975</v>
      </c>
      <c r="AG606" s="71">
        <f t="shared" si="114"/>
        <v>1.21321755485893</v>
      </c>
      <c r="AH606" s="71">
        <f t="shared" si="115"/>
        <v>6.98087573629786</v>
      </c>
    </row>
    <row r="607" spans="1:34">
      <c r="A607" s="304">
        <v>45595</v>
      </c>
      <c r="C607" s="176">
        <f t="shared" si="116"/>
        <v>0.136986239860625</v>
      </c>
      <c r="D607" s="443">
        <f>明星店铺!B948</f>
        <v>1220.32</v>
      </c>
      <c r="E607" s="404">
        <f>明星店铺!C948</f>
        <v>1031</v>
      </c>
      <c r="F607" s="404">
        <f>明星店铺!D948</f>
        <v>320</v>
      </c>
      <c r="G607" s="325">
        <f>明星店铺!G948+明星店铺!H948</f>
        <v>83</v>
      </c>
      <c r="I607" s="176">
        <f t="shared" si="106"/>
        <v>0.368257161266858</v>
      </c>
      <c r="J607" s="443">
        <f>直通车!B948</f>
        <v>3280.56</v>
      </c>
      <c r="K607" s="399">
        <f>直通车!C948</f>
        <v>22619</v>
      </c>
      <c r="L607" s="511">
        <f>直通车!D948</f>
        <v>837</v>
      </c>
      <c r="M607" s="325">
        <f>直通车!G948+直通车!H948</f>
        <v>61</v>
      </c>
      <c r="O607" s="176">
        <f t="shared" si="107"/>
        <v>0.0705563550560486</v>
      </c>
      <c r="P607" s="443">
        <f>引力魔方!B847</f>
        <v>628.54</v>
      </c>
      <c r="Q607" s="398">
        <f>引力魔方!C847</f>
        <v>765636</v>
      </c>
      <c r="R607" s="399">
        <f>引力魔方!D847</f>
        <v>3128</v>
      </c>
      <c r="S607" s="325">
        <f>引力魔方!G847+引力魔方!H847</f>
        <v>64</v>
      </c>
      <c r="U607" s="176">
        <f t="shared" si="108"/>
        <v>0.424200243816469</v>
      </c>
      <c r="V607" s="326">
        <f>万相台!B436</f>
        <v>3778.92</v>
      </c>
      <c r="W607" s="417">
        <f>万相台!C436</f>
        <v>279315</v>
      </c>
      <c r="X607" s="417">
        <f>万相台!D436</f>
        <v>3075</v>
      </c>
      <c r="Y607" s="306">
        <f>万相台!G436+万相台!H436</f>
        <v>290</v>
      </c>
      <c r="AB607" s="69">
        <f t="shared" si="109"/>
        <v>8908.34</v>
      </c>
      <c r="AC607" s="70">
        <f t="shared" si="110"/>
        <v>498</v>
      </c>
      <c r="AD607" s="505">
        <f t="shared" si="111"/>
        <v>17.8882329317269</v>
      </c>
      <c r="AE607" s="506">
        <f t="shared" si="112"/>
        <v>0.0676630434782609</v>
      </c>
      <c r="AF607" s="69">
        <f t="shared" si="113"/>
        <v>7360</v>
      </c>
      <c r="AG607" s="71">
        <f t="shared" si="114"/>
        <v>1.2103722826087</v>
      </c>
      <c r="AH607" s="71">
        <f t="shared" si="115"/>
        <v>8.33645111692765</v>
      </c>
    </row>
    <row r="608" spans="1:34">
      <c r="A608" s="304">
        <v>45596</v>
      </c>
      <c r="C608" s="176">
        <f t="shared" si="116"/>
        <v>0.123572497758749</v>
      </c>
      <c r="D608" s="443">
        <f>明星店铺!B949</f>
        <v>1222.63</v>
      </c>
      <c r="E608" s="404">
        <f>明星店铺!C949</f>
        <v>1016</v>
      </c>
      <c r="F608" s="404">
        <f>明星店铺!D949</f>
        <v>332</v>
      </c>
      <c r="G608" s="325">
        <f>明星店铺!G949+明星店铺!H949</f>
        <v>97</v>
      </c>
      <c r="I608" s="176">
        <f t="shared" si="106"/>
        <v>0.38584479731717</v>
      </c>
      <c r="J608" s="443">
        <f>直通车!B949</f>
        <v>3817.56</v>
      </c>
      <c r="K608" s="399">
        <f>直通车!C949</f>
        <v>20178</v>
      </c>
      <c r="L608" s="511">
        <f>直通车!D949</f>
        <v>897</v>
      </c>
      <c r="M608" s="325">
        <f>直通车!G949+直通车!H949</f>
        <v>79</v>
      </c>
      <c r="O608" s="176">
        <f t="shared" si="107"/>
        <v>0.063830410863925</v>
      </c>
      <c r="P608" s="443">
        <f>引力魔方!B848</f>
        <v>631.54</v>
      </c>
      <c r="Q608" s="398">
        <f>引力魔方!C848</f>
        <v>825689</v>
      </c>
      <c r="R608" s="399">
        <f>引力魔方!D848</f>
        <v>2228</v>
      </c>
      <c r="S608" s="325">
        <f>引力魔方!G848+引力魔方!H848</f>
        <v>61</v>
      </c>
      <c r="U608" s="176">
        <f t="shared" si="108"/>
        <v>0.426752294060155</v>
      </c>
      <c r="V608" s="326">
        <f>万相台!B437</f>
        <v>4222.3</v>
      </c>
      <c r="W608" s="417">
        <f>万相台!C437</f>
        <v>304728</v>
      </c>
      <c r="X608" s="417">
        <f>万相台!D437</f>
        <v>3394</v>
      </c>
      <c r="Y608" s="306">
        <f>万相台!G437+万相台!H437</f>
        <v>243</v>
      </c>
      <c r="AB608" s="69">
        <f t="shared" si="109"/>
        <v>9894.03</v>
      </c>
      <c r="AC608" s="70">
        <f t="shared" si="110"/>
        <v>480</v>
      </c>
      <c r="AD608" s="505">
        <f t="shared" si="111"/>
        <v>20.6125625</v>
      </c>
      <c r="AE608" s="506">
        <f t="shared" si="112"/>
        <v>0.0700627645599183</v>
      </c>
      <c r="AF608" s="69">
        <f t="shared" si="113"/>
        <v>6851</v>
      </c>
      <c r="AG608" s="71">
        <f t="shared" si="114"/>
        <v>1.4441731134141</v>
      </c>
      <c r="AH608" s="71">
        <f t="shared" si="115"/>
        <v>8.59146882063474</v>
      </c>
    </row>
    <row r="609" spans="1:34">
      <c r="A609" s="304">
        <v>45597</v>
      </c>
      <c r="C609" s="176">
        <f t="shared" si="116"/>
        <v>0.105159851507092</v>
      </c>
      <c r="D609" s="443">
        <f>明星店铺!B950</f>
        <v>1518.34</v>
      </c>
      <c r="E609" s="404">
        <f>明星店铺!C950</f>
        <v>1465</v>
      </c>
      <c r="F609" s="404">
        <f>明星店铺!D950</f>
        <v>242</v>
      </c>
      <c r="G609" s="325">
        <f>明星店铺!G950+明星店铺!H950</f>
        <v>88</v>
      </c>
      <c r="I609" s="176">
        <f t="shared" si="106"/>
        <v>0.327893672429078</v>
      </c>
      <c r="J609" s="443">
        <f>直通车!B950</f>
        <v>4734.26</v>
      </c>
      <c r="K609" s="399">
        <f>直通车!C950</f>
        <v>33782</v>
      </c>
      <c r="L609" s="511">
        <f>直通车!D950</f>
        <v>1091</v>
      </c>
      <c r="M609" s="325">
        <f>直通车!G950+直通车!H950</f>
        <v>119</v>
      </c>
      <c r="O609" s="176">
        <f t="shared" si="107"/>
        <v>0.0767585050975177</v>
      </c>
      <c r="P609" s="443">
        <f>引力魔方!B849</f>
        <v>1108.27</v>
      </c>
      <c r="Q609" s="398">
        <f>引力魔方!C849</f>
        <v>1161499</v>
      </c>
      <c r="R609" s="399">
        <f>引力魔方!D849</f>
        <v>4869</v>
      </c>
      <c r="S609" s="325">
        <f>引力魔方!G849+引力魔方!H849</f>
        <v>128</v>
      </c>
      <c r="U609" s="176">
        <f t="shared" si="108"/>
        <v>0.490187970966312</v>
      </c>
      <c r="V609" s="326">
        <f>万相台!B438</f>
        <v>7077.53</v>
      </c>
      <c r="W609" s="417">
        <f>万相台!C438</f>
        <v>374727</v>
      </c>
      <c r="X609" s="417">
        <f>万相台!D438</f>
        <v>5907</v>
      </c>
      <c r="Y609" s="306">
        <f>万相台!G438+万相台!H438</f>
        <v>461</v>
      </c>
      <c r="AB609" s="69">
        <f t="shared" si="109"/>
        <v>14438.4</v>
      </c>
      <c r="AC609" s="70">
        <f t="shared" si="110"/>
        <v>796</v>
      </c>
      <c r="AD609" s="505">
        <f t="shared" si="111"/>
        <v>18.1386934673367</v>
      </c>
      <c r="AE609" s="506">
        <f t="shared" si="112"/>
        <v>0.0657362292509703</v>
      </c>
      <c r="AF609" s="69">
        <f t="shared" si="113"/>
        <v>12109</v>
      </c>
      <c r="AG609" s="71">
        <f t="shared" si="114"/>
        <v>1.19236931208192</v>
      </c>
      <c r="AH609" s="71">
        <f t="shared" si="115"/>
        <v>9.1878129627426</v>
      </c>
    </row>
    <row r="610" spans="1:34">
      <c r="A610" s="304">
        <v>45598</v>
      </c>
      <c r="C610" s="176">
        <f t="shared" si="116"/>
        <v>0.106475445458496</v>
      </c>
      <c r="D610" s="443">
        <f>明星店铺!B951</f>
        <v>1303.4</v>
      </c>
      <c r="E610" s="404">
        <f>明星店铺!C951</f>
        <v>1368</v>
      </c>
      <c r="F610" s="404">
        <f>明星店铺!D951</f>
        <v>169</v>
      </c>
      <c r="G610" s="325">
        <f>明星店铺!G951+明星店铺!H951</f>
        <v>63</v>
      </c>
      <c r="I610" s="176">
        <f t="shared" si="106"/>
        <v>0.368660405903938</v>
      </c>
      <c r="J610" s="443">
        <f>直通车!B951</f>
        <v>4512.89</v>
      </c>
      <c r="K610" s="399">
        <f>直通车!C951</f>
        <v>32689</v>
      </c>
      <c r="L610" s="511">
        <f>直通车!D951</f>
        <v>1074</v>
      </c>
      <c r="M610" s="325">
        <f>直通车!G951+直通车!H951</f>
        <v>99</v>
      </c>
      <c r="O610" s="176">
        <f t="shared" si="107"/>
        <v>0.0926517728480262</v>
      </c>
      <c r="P610" s="443">
        <f>引力魔方!B850</f>
        <v>1134.18</v>
      </c>
      <c r="Q610" s="398">
        <f>引力魔方!C850</f>
        <v>898627</v>
      </c>
      <c r="R610" s="399">
        <f>引力魔方!D850</f>
        <v>5573</v>
      </c>
      <c r="S610" s="325">
        <f>引力魔方!G850+引力魔方!H850</f>
        <v>162</v>
      </c>
      <c r="U610" s="176">
        <f t="shared" si="108"/>
        <v>0.432212375789539</v>
      </c>
      <c r="V610" s="326">
        <f>万相台!B439</f>
        <v>5290.85</v>
      </c>
      <c r="W610" s="417">
        <f>万相台!C439</f>
        <v>200211</v>
      </c>
      <c r="X610" s="417">
        <f>万相台!D439</f>
        <v>3263</v>
      </c>
      <c r="Y610" s="306">
        <f>万相台!G439+万相台!H439</f>
        <v>573</v>
      </c>
      <c r="AB610" s="69">
        <f t="shared" si="109"/>
        <v>12241.32</v>
      </c>
      <c r="AC610" s="70">
        <f t="shared" si="110"/>
        <v>897</v>
      </c>
      <c r="AD610" s="505">
        <f t="shared" si="111"/>
        <v>13.6469565217391</v>
      </c>
      <c r="AE610" s="506">
        <f t="shared" si="112"/>
        <v>0.0889969242980454</v>
      </c>
      <c r="AF610" s="69">
        <f t="shared" si="113"/>
        <v>10079</v>
      </c>
      <c r="AG610" s="71">
        <f t="shared" si="114"/>
        <v>1.21453715646394</v>
      </c>
      <c r="AH610" s="71">
        <f t="shared" si="115"/>
        <v>10.8053438315113</v>
      </c>
    </row>
    <row r="611" spans="1:34">
      <c r="A611" s="304">
        <v>45599</v>
      </c>
      <c r="C611" s="176">
        <f t="shared" si="116"/>
        <v>0.0927176365275407</v>
      </c>
      <c r="D611" s="443">
        <f>明星店铺!B952</f>
        <v>1174.56</v>
      </c>
      <c r="E611" s="404">
        <f>明星店铺!C952</f>
        <v>1309</v>
      </c>
      <c r="F611" s="404">
        <f>明星店铺!D952</f>
        <v>205</v>
      </c>
      <c r="G611" s="325">
        <f>明星店铺!G952+明星店铺!H952</f>
        <v>70</v>
      </c>
      <c r="I611" s="176">
        <f t="shared" si="106"/>
        <v>0.398624423159201</v>
      </c>
      <c r="J611" s="443">
        <f>直通车!B952</f>
        <v>5049.83</v>
      </c>
      <c r="K611" s="399">
        <f>直通车!C952</f>
        <v>32804</v>
      </c>
      <c r="L611" s="511">
        <f>直通车!D952</f>
        <v>1235</v>
      </c>
      <c r="M611" s="325">
        <f>直通车!G952+直通车!H952</f>
        <v>95</v>
      </c>
      <c r="O611" s="176">
        <f t="shared" si="107"/>
        <v>0.0903234413260352</v>
      </c>
      <c r="P611" s="443">
        <f>引力魔方!B851</f>
        <v>1144.23</v>
      </c>
      <c r="Q611" s="398">
        <f>引力魔方!C851</f>
        <v>1403627</v>
      </c>
      <c r="R611" s="399">
        <f>引力魔方!D851</f>
        <v>7049</v>
      </c>
      <c r="S611" s="325">
        <f>引力魔方!G851+引力魔方!H851</f>
        <v>169</v>
      </c>
      <c r="U611" s="176">
        <f t="shared" si="108"/>
        <v>0.418334498987223</v>
      </c>
      <c r="V611" s="326">
        <f>万相台!B440</f>
        <v>5299.52</v>
      </c>
      <c r="W611" s="417">
        <f>万相台!C440</f>
        <v>306490</v>
      </c>
      <c r="X611" s="417">
        <f>万相台!D440</f>
        <v>3746</v>
      </c>
      <c r="Y611" s="306">
        <f>万相台!G440+万相台!H440</f>
        <v>593</v>
      </c>
      <c r="AB611" s="69">
        <f t="shared" ref="AB611:AB645" si="117">D611+J611+P611+V611</f>
        <v>12668.14</v>
      </c>
      <c r="AC611" s="70">
        <f t="shared" ref="AC611:AC645" si="118">G611+M611+S611+Y611</f>
        <v>927</v>
      </c>
      <c r="AD611" s="505">
        <f t="shared" ref="AD611:AD645" si="119">AB611/AC611</f>
        <v>13.6657389428263</v>
      </c>
      <c r="AE611" s="506">
        <f t="shared" ref="AE611:AE645" si="120">AC611/AF611</f>
        <v>0.0757662443808745</v>
      </c>
      <c r="AF611" s="69">
        <f t="shared" ref="AF611:AF645" si="121">F611+L611+R611+X611</f>
        <v>12235</v>
      </c>
      <c r="AG611" s="71">
        <f t="shared" ref="AG611:AG645" si="122">AB611/AF611</f>
        <v>1.03540171638741</v>
      </c>
      <c r="AH611" s="71">
        <f t="shared" ref="AH611:AH645" si="123">AB611/((E611+K611+Q611+W611)/1000)</f>
        <v>7.26288390865883</v>
      </c>
    </row>
    <row r="612" spans="1:34">
      <c r="A612" s="304">
        <v>45600</v>
      </c>
      <c r="C612" s="176">
        <f t="shared" si="116"/>
        <v>0.0595048197463134</v>
      </c>
      <c r="D612" s="443">
        <f>明星店铺!B953</f>
        <v>875.52</v>
      </c>
      <c r="E612" s="404">
        <f>明星店铺!C953</f>
        <v>824</v>
      </c>
      <c r="F612" s="404">
        <f>明星店铺!D953</f>
        <v>247</v>
      </c>
      <c r="G612" s="325">
        <f>明星店铺!G953+明星店铺!H953</f>
        <v>82</v>
      </c>
      <c r="I612" s="176">
        <f t="shared" si="106"/>
        <v>0.415903021933023</v>
      </c>
      <c r="J612" s="443">
        <f>直通车!B953</f>
        <v>6119.36</v>
      </c>
      <c r="K612" s="399">
        <f>直通车!C953</f>
        <v>38752</v>
      </c>
      <c r="L612" s="511">
        <f>直通车!D953</f>
        <v>1371</v>
      </c>
      <c r="M612" s="325">
        <f>直通车!G953+直通车!H953</f>
        <v>125</v>
      </c>
      <c r="O612" s="176">
        <f t="shared" si="107"/>
        <v>0.0781143485917288</v>
      </c>
      <c r="P612" s="443">
        <f>引力魔方!B852</f>
        <v>1149.33</v>
      </c>
      <c r="Q612" s="398">
        <f>引力魔方!C852</f>
        <v>1357629</v>
      </c>
      <c r="R612" s="399">
        <f>引力魔方!D852</f>
        <v>6918</v>
      </c>
      <c r="S612" s="325">
        <f>引力魔方!G852+引力魔方!H852</f>
        <v>130</v>
      </c>
      <c r="U612" s="176">
        <f t="shared" si="108"/>
        <v>0.446477809728935</v>
      </c>
      <c r="V612" s="326">
        <f>万相台!B441</f>
        <v>6569.22</v>
      </c>
      <c r="W612" s="417">
        <f>万相台!C441</f>
        <v>472232</v>
      </c>
      <c r="X612" s="417">
        <f>万相台!D441</f>
        <v>5408</v>
      </c>
      <c r="Y612" s="306">
        <f>万相台!G441+万相台!H441</f>
        <v>547</v>
      </c>
      <c r="AB612" s="69">
        <f t="shared" si="117"/>
        <v>14713.43</v>
      </c>
      <c r="AC612" s="70">
        <f t="shared" si="118"/>
        <v>884</v>
      </c>
      <c r="AD612" s="505">
        <f t="shared" si="119"/>
        <v>16.6441515837104</v>
      </c>
      <c r="AE612" s="506">
        <f t="shared" si="120"/>
        <v>0.0633964429145152</v>
      </c>
      <c r="AF612" s="69">
        <f t="shared" si="121"/>
        <v>13944</v>
      </c>
      <c r="AG612" s="71">
        <f t="shared" si="122"/>
        <v>1.05518000573723</v>
      </c>
      <c r="AH612" s="71">
        <f t="shared" si="123"/>
        <v>7.87051395687579</v>
      </c>
    </row>
    <row r="613" spans="1:34">
      <c r="A613" s="304">
        <v>45601</v>
      </c>
      <c r="C613" s="176">
        <f t="shared" si="116"/>
        <v>0.0698717640321622</v>
      </c>
      <c r="D613" s="443">
        <f>明星店铺!B954</f>
        <v>900.45</v>
      </c>
      <c r="E613" s="404">
        <f>明星店铺!C954</f>
        <v>901</v>
      </c>
      <c r="F613" s="404">
        <f>明星店铺!D954</f>
        <v>188</v>
      </c>
      <c r="G613" s="325">
        <f>明星店铺!G954+明星店铺!H954</f>
        <v>59</v>
      </c>
      <c r="I613" s="176">
        <f t="shared" si="106"/>
        <v>0.421926286433494</v>
      </c>
      <c r="J613" s="443">
        <f>直通车!B954</f>
        <v>5437.44</v>
      </c>
      <c r="K613" s="399">
        <f>直通车!C954</f>
        <v>46192</v>
      </c>
      <c r="L613" s="511">
        <f>直通车!D954</f>
        <v>1243</v>
      </c>
      <c r="M613" s="325">
        <f>直通车!G954+直通车!H954</f>
        <v>87</v>
      </c>
      <c r="O613" s="176">
        <f t="shared" si="107"/>
        <v>0.0873527024531356</v>
      </c>
      <c r="P613" s="443">
        <f>引力魔方!B853</f>
        <v>1125.73</v>
      </c>
      <c r="Q613" s="398">
        <f>引力魔方!C853</f>
        <v>1079772</v>
      </c>
      <c r="R613" s="399">
        <f>引力魔方!D853</f>
        <v>6393</v>
      </c>
      <c r="S613" s="325">
        <f>引力魔方!G853+引力魔方!H853</f>
        <v>146</v>
      </c>
      <c r="U613" s="176">
        <f t="shared" si="108"/>
        <v>0.420849247081208</v>
      </c>
      <c r="V613" s="326">
        <f>万相台!B442</f>
        <v>5423.56</v>
      </c>
      <c r="W613" s="417">
        <f>万相台!C442</f>
        <v>333355</v>
      </c>
      <c r="X613" s="417">
        <f>万相台!D442</f>
        <v>3671</v>
      </c>
      <c r="Y613" s="306">
        <f>万相台!G442+万相台!H442</f>
        <v>483</v>
      </c>
      <c r="AB613" s="69">
        <f t="shared" si="117"/>
        <v>12887.18</v>
      </c>
      <c r="AC613" s="70">
        <f t="shared" si="118"/>
        <v>775</v>
      </c>
      <c r="AD613" s="505">
        <f t="shared" si="119"/>
        <v>16.6286193548387</v>
      </c>
      <c r="AE613" s="506">
        <f t="shared" si="120"/>
        <v>0.0674206176598521</v>
      </c>
      <c r="AF613" s="69">
        <f t="shared" si="121"/>
        <v>11495</v>
      </c>
      <c r="AG613" s="71">
        <f t="shared" si="122"/>
        <v>1.1211117877338</v>
      </c>
      <c r="AH613" s="71">
        <f t="shared" si="123"/>
        <v>8.82550574570955</v>
      </c>
    </row>
    <row r="614" spans="1:34">
      <c r="A614" s="304">
        <v>45602</v>
      </c>
      <c r="C614" s="176">
        <f t="shared" si="116"/>
        <v>0.0937525954202621</v>
      </c>
      <c r="D614" s="443">
        <f>明星店铺!B955</f>
        <v>1207.84</v>
      </c>
      <c r="E614" s="404">
        <f>明星店铺!C955</f>
        <v>1496</v>
      </c>
      <c r="F614" s="404">
        <f>明星店铺!D955</f>
        <v>182</v>
      </c>
      <c r="G614" s="325">
        <f>明星店铺!G955+明星店铺!H955</f>
        <v>56</v>
      </c>
      <c r="I614" s="176">
        <f t="shared" si="106"/>
        <v>0.319065734087697</v>
      </c>
      <c r="J614" s="443">
        <f>直通车!B955</f>
        <v>4110.61</v>
      </c>
      <c r="K614" s="399">
        <f>直通车!C955</f>
        <v>42415</v>
      </c>
      <c r="L614" s="511">
        <f>直通车!D955</f>
        <v>1016</v>
      </c>
      <c r="M614" s="325">
        <f>直通车!G955+直通车!H955</f>
        <v>65</v>
      </c>
      <c r="O614" s="176">
        <f t="shared" si="107"/>
        <v>0.0874576097528034</v>
      </c>
      <c r="P614" s="443">
        <f>引力魔方!B854</f>
        <v>1126.74</v>
      </c>
      <c r="Q614" s="398">
        <f>引力魔方!C854</f>
        <v>1185598</v>
      </c>
      <c r="R614" s="399">
        <f>引力魔方!D854</f>
        <v>6380</v>
      </c>
      <c r="S614" s="325">
        <f>引力魔方!G854+引力魔方!H854</f>
        <v>129</v>
      </c>
      <c r="U614" s="176">
        <f t="shared" si="108"/>
        <v>0.499724060739238</v>
      </c>
      <c r="V614" s="326">
        <f>万相台!B443</f>
        <v>6438.08</v>
      </c>
      <c r="W614" s="417">
        <f>万相台!C443</f>
        <v>528275</v>
      </c>
      <c r="X614" s="417">
        <f>万相台!D443</f>
        <v>7360</v>
      </c>
      <c r="Y614" s="306">
        <f>万相台!G443+万相台!H443</f>
        <v>447</v>
      </c>
      <c r="AB614" s="69">
        <f t="shared" si="117"/>
        <v>12883.27</v>
      </c>
      <c r="AC614" s="70">
        <f t="shared" si="118"/>
        <v>697</v>
      </c>
      <c r="AD614" s="505">
        <f t="shared" si="119"/>
        <v>18.4838880918221</v>
      </c>
      <c r="AE614" s="506">
        <f t="shared" si="120"/>
        <v>0.0466595260409693</v>
      </c>
      <c r="AF614" s="69">
        <f t="shared" si="121"/>
        <v>14938</v>
      </c>
      <c r="AG614" s="71">
        <f t="shared" si="122"/>
        <v>0.862449457758736</v>
      </c>
      <c r="AH614" s="71">
        <f t="shared" si="123"/>
        <v>7.32926798742052</v>
      </c>
    </row>
    <row r="615" spans="1:34">
      <c r="A615" s="304">
        <v>45603</v>
      </c>
      <c r="C615" s="176">
        <f t="shared" si="116"/>
        <v>0.0634703212677613</v>
      </c>
      <c r="D615" s="443">
        <f>明星店铺!B956</f>
        <v>887.35</v>
      </c>
      <c r="E615" s="404">
        <f>明星店铺!C956</f>
        <v>827</v>
      </c>
      <c r="F615" s="404">
        <f>明星店铺!E956</f>
        <v>5</v>
      </c>
      <c r="G615" s="325">
        <f>明星店铺!G956+明星店铺!H956</f>
        <v>66</v>
      </c>
      <c r="I615" s="176">
        <f t="shared" si="106"/>
        <v>0.334565521385067</v>
      </c>
      <c r="J615" s="443">
        <f>直通车!B956</f>
        <v>4677.41</v>
      </c>
      <c r="K615" s="399">
        <f>直通车!C956</f>
        <v>47599</v>
      </c>
      <c r="L615" s="511">
        <f>直通车!D956</f>
        <v>1147</v>
      </c>
      <c r="M615" s="325">
        <f>直通车!G956+直通车!H956</f>
        <v>52</v>
      </c>
      <c r="O615" s="176">
        <f t="shared" si="107"/>
        <v>0.0813895018436328</v>
      </c>
      <c r="P615" s="443">
        <f>引力魔方!B855</f>
        <v>1137.87</v>
      </c>
      <c r="Q615" s="398">
        <f>引力魔方!C855</f>
        <v>1322806</v>
      </c>
      <c r="R615" s="399">
        <f>引力魔方!D855</f>
        <v>6216</v>
      </c>
      <c r="S615" s="325">
        <f>引力魔方!G855+引力魔方!H855</f>
        <v>134</v>
      </c>
      <c r="U615" s="176">
        <f t="shared" si="108"/>
        <v>0.520574655503539</v>
      </c>
      <c r="V615" s="326">
        <f>万相台!B444</f>
        <v>7277.92</v>
      </c>
      <c r="W615" s="417">
        <f>万相台!C444</f>
        <v>889640</v>
      </c>
      <c r="X615" s="417">
        <f>万相台!D444</f>
        <v>9327</v>
      </c>
      <c r="Y615" s="306">
        <f>万相台!G444+万相台!H444</f>
        <v>649</v>
      </c>
      <c r="AB615" s="69">
        <f t="shared" si="117"/>
        <v>13980.55</v>
      </c>
      <c r="AC615" s="70">
        <f t="shared" si="118"/>
        <v>901</v>
      </c>
      <c r="AD615" s="505">
        <f t="shared" si="119"/>
        <v>15.5167036625971</v>
      </c>
      <c r="AE615" s="506">
        <f t="shared" si="120"/>
        <v>0.053968253968254</v>
      </c>
      <c r="AF615" s="69">
        <f t="shared" si="121"/>
        <v>16695</v>
      </c>
      <c r="AG615" s="71">
        <f t="shared" si="122"/>
        <v>0.837409404013178</v>
      </c>
      <c r="AH615" s="71">
        <f t="shared" si="123"/>
        <v>6.18369814832507</v>
      </c>
    </row>
    <row r="616" spans="1:34">
      <c r="A616" s="304">
        <v>45604</v>
      </c>
      <c r="C616" s="176">
        <f t="shared" si="116"/>
        <v>0.0397294290831501</v>
      </c>
      <c r="D616" s="443">
        <f>明星店铺!B957</f>
        <v>702.52</v>
      </c>
      <c r="E616" s="404">
        <f>明星店铺!C957</f>
        <v>582</v>
      </c>
      <c r="F616" s="404">
        <f>明星店铺!D957</f>
        <v>147</v>
      </c>
      <c r="G616" s="325">
        <f>明星店铺!G957+明星店铺!H957</f>
        <v>56</v>
      </c>
      <c r="I616" s="176">
        <f t="shared" si="106"/>
        <v>0.312180158924503</v>
      </c>
      <c r="J616" s="443">
        <f>直通车!B957</f>
        <v>5520.16</v>
      </c>
      <c r="K616" s="399">
        <f>直通车!C957</f>
        <v>45879</v>
      </c>
      <c r="L616" s="511">
        <f>直通车!D957</f>
        <v>1160</v>
      </c>
      <c r="M616" s="325">
        <f>直通车!G957+直通车!H957</f>
        <v>73</v>
      </c>
      <c r="O616" s="176">
        <f t="shared" si="107"/>
        <v>0.100064979095281</v>
      </c>
      <c r="P616" s="443">
        <f>引力魔方!B856</f>
        <v>1769.41</v>
      </c>
      <c r="Q616" s="398">
        <f>引力魔方!C856</f>
        <v>1333531</v>
      </c>
      <c r="R616" s="399">
        <f>引力魔方!D856</f>
        <v>8059</v>
      </c>
      <c r="S616" s="325">
        <f>引力魔方!G856+引力魔方!H856</f>
        <v>170</v>
      </c>
      <c r="U616" s="176">
        <f t="shared" si="108"/>
        <v>0.548025432897067</v>
      </c>
      <c r="V616" s="326">
        <f>万相台!B445</f>
        <v>9690.52</v>
      </c>
      <c r="W616" s="417">
        <f>万相台!C445</f>
        <v>509629</v>
      </c>
      <c r="X616" s="417">
        <f>万相台!D445</f>
        <v>7671</v>
      </c>
      <c r="Y616" s="306">
        <f>万相台!G445+万相台!H445</f>
        <v>685</v>
      </c>
      <c r="AB616" s="69">
        <f t="shared" si="117"/>
        <v>17682.61</v>
      </c>
      <c r="AC616" s="70">
        <f t="shared" si="118"/>
        <v>984</v>
      </c>
      <c r="AD616" s="505">
        <f t="shared" si="119"/>
        <v>17.9701321138211</v>
      </c>
      <c r="AE616" s="506">
        <f t="shared" si="120"/>
        <v>0.0577566472970593</v>
      </c>
      <c r="AF616" s="69">
        <f t="shared" si="121"/>
        <v>17037</v>
      </c>
      <c r="AG616" s="71">
        <f t="shared" si="122"/>
        <v>1.03789458237953</v>
      </c>
      <c r="AH616" s="71">
        <f t="shared" si="123"/>
        <v>9.35775480903313</v>
      </c>
    </row>
    <row r="617" spans="1:34">
      <c r="A617" s="304">
        <v>45605</v>
      </c>
      <c r="C617" s="176">
        <f t="shared" si="116"/>
        <v>0.0403412901383323</v>
      </c>
      <c r="D617" s="443">
        <f>明星店铺!B958</f>
        <v>754.32</v>
      </c>
      <c r="E617" s="404">
        <f>明星店铺!C958</f>
        <v>702</v>
      </c>
      <c r="F617" s="404">
        <f>明星店铺!D958</f>
        <v>175</v>
      </c>
      <c r="G617" s="325">
        <f>明星店铺!G958+明星店铺!H958</f>
        <v>53</v>
      </c>
      <c r="I617" s="176">
        <f t="shared" si="106"/>
        <v>0.387002993829438</v>
      </c>
      <c r="J617" s="443">
        <f>直通车!B958</f>
        <v>7236.36</v>
      </c>
      <c r="K617" s="399">
        <f>直通车!C958</f>
        <v>61364</v>
      </c>
      <c r="L617" s="511">
        <f>直通车!D958</f>
        <v>1227</v>
      </c>
      <c r="M617" s="325">
        <f>直通车!G958+直通车!H958</f>
        <v>53</v>
      </c>
      <c r="O617" s="176">
        <f t="shared" si="107"/>
        <v>0.0964817423466959</v>
      </c>
      <c r="P617" s="443">
        <f>引力魔方!B857</f>
        <v>1804.06</v>
      </c>
      <c r="Q617" s="398">
        <f>引力魔方!C857</f>
        <v>1503515</v>
      </c>
      <c r="R617" s="399">
        <f>引力魔方!D857</f>
        <v>7490</v>
      </c>
      <c r="S617" s="325">
        <f>引力魔方!G857+引力魔方!H857</f>
        <v>227</v>
      </c>
      <c r="U617" s="176">
        <f t="shared" si="108"/>
        <v>0.476173973685533</v>
      </c>
      <c r="V617" s="326">
        <f>万相台!B446</f>
        <v>8903.72</v>
      </c>
      <c r="W617" s="417">
        <f>万相台!C446</f>
        <v>638753</v>
      </c>
      <c r="X617" s="417">
        <f>万相台!D446</f>
        <v>7284</v>
      </c>
      <c r="Y617" s="306">
        <f>万相台!G446+万相台!H446</f>
        <v>794</v>
      </c>
      <c r="AB617" s="69">
        <f t="shared" si="117"/>
        <v>18698.46</v>
      </c>
      <c r="AC617" s="70">
        <f t="shared" si="118"/>
        <v>1127</v>
      </c>
      <c r="AD617" s="505">
        <f t="shared" si="119"/>
        <v>16.5913575865129</v>
      </c>
      <c r="AE617" s="506">
        <f t="shared" si="120"/>
        <v>0.0696711177052423</v>
      </c>
      <c r="AF617" s="69">
        <f t="shared" si="121"/>
        <v>16176</v>
      </c>
      <c r="AG617" s="71">
        <f t="shared" si="122"/>
        <v>1.1559384272997</v>
      </c>
      <c r="AH617" s="71">
        <f t="shared" si="123"/>
        <v>8.48258929908081</v>
      </c>
    </row>
    <row r="618" spans="1:34">
      <c r="A618" s="304">
        <v>45606</v>
      </c>
      <c r="C618" s="176">
        <f t="shared" ref="C618:C647" si="124">D618/$AB618</f>
        <v>0.0391526425358307</v>
      </c>
      <c r="D618" s="443">
        <f>明星店铺!B959</f>
        <v>742.69</v>
      </c>
      <c r="E618" s="404">
        <f>明星店铺!C959</f>
        <v>660</v>
      </c>
      <c r="F618" s="404">
        <f>明星店铺!D959</f>
        <v>164</v>
      </c>
      <c r="G618" s="325">
        <f>明星店铺!G959+明星店铺!H959</f>
        <v>48</v>
      </c>
      <c r="I618" s="176">
        <f t="shared" si="106"/>
        <v>0.349755839631738</v>
      </c>
      <c r="J618" s="443">
        <f>直通车!B959</f>
        <v>6634.55</v>
      </c>
      <c r="K618" s="399">
        <f>直通车!C959</f>
        <v>49225</v>
      </c>
      <c r="L618" s="511">
        <f>直通车!D959</f>
        <v>1183</v>
      </c>
      <c r="M618" s="325">
        <f>直通车!G959+直通车!H959</f>
        <v>88</v>
      </c>
      <c r="O618" s="176">
        <f t="shared" si="107"/>
        <v>0.0967041645118454</v>
      </c>
      <c r="P618" s="443">
        <f>引力魔方!B858</f>
        <v>1834.39</v>
      </c>
      <c r="Q618" s="398">
        <f>引力魔方!C858</f>
        <v>1331054</v>
      </c>
      <c r="R618" s="399">
        <f>引力魔方!D858</f>
        <v>6955</v>
      </c>
      <c r="S618" s="325">
        <f>引力魔方!G858+引力魔方!H858</f>
        <v>190</v>
      </c>
      <c r="U618" s="176">
        <f t="shared" si="108"/>
        <v>0.514387353320586</v>
      </c>
      <c r="V618" s="326">
        <f>万相台!B447</f>
        <v>9757.46</v>
      </c>
      <c r="W618" s="417">
        <f>万相台!C447</f>
        <v>474464</v>
      </c>
      <c r="X618" s="417">
        <f>万相台!D447</f>
        <v>7330</v>
      </c>
      <c r="Y618" s="306">
        <f>万相台!G447+万相台!H447</f>
        <v>655</v>
      </c>
      <c r="AB618" s="69">
        <f t="shared" si="117"/>
        <v>18969.09</v>
      </c>
      <c r="AC618" s="70">
        <f t="shared" si="118"/>
        <v>981</v>
      </c>
      <c r="AD618" s="505">
        <f t="shared" si="119"/>
        <v>19.3364831804281</v>
      </c>
      <c r="AE618" s="506">
        <f t="shared" si="120"/>
        <v>0.0627558853633572</v>
      </c>
      <c r="AF618" s="69">
        <f t="shared" si="121"/>
        <v>15632</v>
      </c>
      <c r="AG618" s="71">
        <f t="shared" si="122"/>
        <v>1.21347812180143</v>
      </c>
      <c r="AH618" s="71">
        <f t="shared" si="123"/>
        <v>10.2237034218442</v>
      </c>
    </row>
    <row r="619" spans="1:34">
      <c r="A619" s="304">
        <v>45607</v>
      </c>
      <c r="C619" s="176">
        <f t="shared" si="124"/>
        <v>0.040746699436499</v>
      </c>
      <c r="D619" s="443">
        <f>明星店铺!B960</f>
        <v>1008</v>
      </c>
      <c r="E619" s="404">
        <f>明星店铺!C960</f>
        <v>831</v>
      </c>
      <c r="F619" s="404">
        <f>明星店铺!D960</f>
        <v>264</v>
      </c>
      <c r="G619" s="325">
        <f>明星店铺!G960+明星店铺!H960</f>
        <v>85</v>
      </c>
      <c r="I619" s="176">
        <f t="shared" si="106"/>
        <v>0.387674123420459</v>
      </c>
      <c r="J619" s="443">
        <f>直通车!B960</f>
        <v>9590.36</v>
      </c>
      <c r="K619" s="399">
        <f>直通车!C960</f>
        <v>41810</v>
      </c>
      <c r="L619" s="511">
        <f>直通车!D960</f>
        <v>1493</v>
      </c>
      <c r="M619" s="325">
        <f>直通车!G960+直通车!H960</f>
        <v>109</v>
      </c>
      <c r="O619" s="176">
        <f t="shared" si="107"/>
        <v>0.0713669547501435</v>
      </c>
      <c r="P619" s="443">
        <f>引力魔方!B859</f>
        <v>1765.49</v>
      </c>
      <c r="Q619" s="398">
        <f>引力魔方!C859</f>
        <v>1485081</v>
      </c>
      <c r="R619" s="399">
        <f>引力魔方!D859</f>
        <v>6369</v>
      </c>
      <c r="S619" s="325">
        <f>引力魔方!G859+引力魔方!H859</f>
        <v>140</v>
      </c>
      <c r="U619" s="176">
        <f t="shared" si="108"/>
        <v>0.500212222392898</v>
      </c>
      <c r="V619" s="326">
        <f>万相台!B448</f>
        <v>12374.35</v>
      </c>
      <c r="W619" s="417">
        <f>万相台!C448</f>
        <v>620161</v>
      </c>
      <c r="X619" s="417">
        <f>万相台!D448</f>
        <v>8385</v>
      </c>
      <c r="Y619" s="306">
        <f>万相台!G448+万相台!H448</f>
        <v>664</v>
      </c>
      <c r="AB619" s="69">
        <f t="shared" si="117"/>
        <v>24738.2</v>
      </c>
      <c r="AC619" s="70">
        <f t="shared" si="118"/>
        <v>998</v>
      </c>
      <c r="AD619" s="505">
        <f t="shared" si="119"/>
        <v>24.7877755511022</v>
      </c>
      <c r="AE619" s="506">
        <f t="shared" si="120"/>
        <v>0.0604445521167706</v>
      </c>
      <c r="AF619" s="69">
        <f t="shared" si="121"/>
        <v>16511</v>
      </c>
      <c r="AG619" s="71">
        <f t="shared" si="122"/>
        <v>1.49828599115741</v>
      </c>
      <c r="AH619" s="71">
        <f t="shared" si="123"/>
        <v>11.5174802351897</v>
      </c>
    </row>
    <row r="620" spans="1:34">
      <c r="A620" s="304">
        <v>45608</v>
      </c>
      <c r="C620" s="176">
        <f t="shared" si="124"/>
        <v>0.116999968506913</v>
      </c>
      <c r="D620" s="443">
        <f>明星店铺!B961</f>
        <v>743.02</v>
      </c>
      <c r="E620" s="404">
        <f>明星店铺!C961</f>
        <v>622</v>
      </c>
      <c r="F620" s="404">
        <f>明星店铺!D961</f>
        <v>193</v>
      </c>
      <c r="G620" s="325">
        <f>明星店铺!G961+明星店铺!H961</f>
        <v>55</v>
      </c>
      <c r="I620" s="176">
        <f t="shared" si="106"/>
        <v>0.358411803609108</v>
      </c>
      <c r="J620" s="443">
        <f>直通车!B961</f>
        <v>2276.13</v>
      </c>
      <c r="K620" s="399">
        <f>直通车!C961</f>
        <v>13581</v>
      </c>
      <c r="L620" s="511">
        <f>直通车!D961</f>
        <v>410</v>
      </c>
      <c r="M620" s="325">
        <f>直通车!G961+直通车!H961</f>
        <v>33</v>
      </c>
      <c r="O620" s="176">
        <f t="shared" si="107"/>
        <v>0.0716751173117501</v>
      </c>
      <c r="P620" s="443">
        <f>引力魔方!B860</f>
        <v>455.18</v>
      </c>
      <c r="Q620" s="398">
        <f>引力魔方!C860</f>
        <v>572468</v>
      </c>
      <c r="R620" s="399">
        <f>引力魔方!D860</f>
        <v>3150</v>
      </c>
      <c r="S620" s="325">
        <f>引力魔方!G860+引力魔方!H860</f>
        <v>59</v>
      </c>
      <c r="U620" s="176">
        <f t="shared" si="108"/>
        <v>0.452913110572229</v>
      </c>
      <c r="V620" s="326">
        <f>万相台!B449</f>
        <v>2876.27</v>
      </c>
      <c r="W620" s="417">
        <f>万相台!C449</f>
        <v>272659</v>
      </c>
      <c r="X620" s="417">
        <f>万相台!D449</f>
        <v>2272</v>
      </c>
      <c r="Y620" s="306">
        <f>万相台!G449+万相台!H449</f>
        <v>210</v>
      </c>
      <c r="AB620" s="69">
        <f t="shared" si="117"/>
        <v>6350.6</v>
      </c>
      <c r="AC620" s="70">
        <f t="shared" si="118"/>
        <v>357</v>
      </c>
      <c r="AD620" s="505">
        <f t="shared" si="119"/>
        <v>17.7887955182073</v>
      </c>
      <c r="AE620" s="506">
        <f t="shared" si="120"/>
        <v>0.059253112033195</v>
      </c>
      <c r="AF620" s="69">
        <f t="shared" si="121"/>
        <v>6025</v>
      </c>
      <c r="AG620" s="71">
        <f t="shared" si="122"/>
        <v>1.05404149377593</v>
      </c>
      <c r="AH620" s="71">
        <f t="shared" si="123"/>
        <v>7.39017606740135</v>
      </c>
    </row>
    <row r="621" spans="1:34">
      <c r="A621" s="304">
        <v>45609</v>
      </c>
      <c r="C621" s="176">
        <f t="shared" si="124"/>
        <v>0.120777637969497</v>
      </c>
      <c r="D621" s="443">
        <f>明星店铺!B962</f>
        <v>794.77</v>
      </c>
      <c r="E621" s="404">
        <f>明星店铺!C962</f>
        <v>739</v>
      </c>
      <c r="F621" s="404">
        <f>明星店铺!D962</f>
        <v>192</v>
      </c>
      <c r="G621" s="325">
        <f>明星店铺!G962+明星店铺!H962</f>
        <v>57</v>
      </c>
      <c r="I621" s="176">
        <f t="shared" si="106"/>
        <v>0.379274030308004</v>
      </c>
      <c r="J621" s="443">
        <f>直通车!B962</f>
        <v>2495.79</v>
      </c>
      <c r="K621" s="399">
        <f>直通车!C962</f>
        <v>13941</v>
      </c>
      <c r="L621" s="511">
        <f>直通车!D962</f>
        <v>521</v>
      </c>
      <c r="M621" s="325">
        <f>直通车!G962+直通车!H962</f>
        <v>32</v>
      </c>
      <c r="O621" s="176">
        <f t="shared" si="107"/>
        <v>0.0708417674198078</v>
      </c>
      <c r="P621" s="443">
        <f>引力魔方!B861</f>
        <v>466.17</v>
      </c>
      <c r="Q621" s="398">
        <f>引力魔方!C861</f>
        <v>573878</v>
      </c>
      <c r="R621" s="399">
        <f>引力魔方!D861</f>
        <v>3065</v>
      </c>
      <c r="S621" s="325">
        <f>引力魔方!G861+引力魔方!H861</f>
        <v>77</v>
      </c>
      <c r="U621" s="176">
        <f t="shared" si="108"/>
        <v>0.429106564302691</v>
      </c>
      <c r="V621" s="326">
        <f>万相台!B450</f>
        <v>2823.71</v>
      </c>
      <c r="W621" s="417">
        <f>万相台!C450</f>
        <v>216945</v>
      </c>
      <c r="X621" s="417">
        <f>万相台!D450</f>
        <v>2323</v>
      </c>
      <c r="Y621" s="306">
        <f>万相台!G450+万相台!H450</f>
        <v>288</v>
      </c>
      <c r="AB621" s="69">
        <f t="shared" si="117"/>
        <v>6580.44</v>
      </c>
      <c r="AC621" s="70">
        <f t="shared" si="118"/>
        <v>454</v>
      </c>
      <c r="AD621" s="505">
        <f t="shared" si="119"/>
        <v>14.4943612334802</v>
      </c>
      <c r="AE621" s="506">
        <f t="shared" si="120"/>
        <v>0.0744140304868054</v>
      </c>
      <c r="AF621" s="69">
        <f t="shared" si="121"/>
        <v>6101</v>
      </c>
      <c r="AG621" s="71">
        <f t="shared" si="122"/>
        <v>1.07858383871496</v>
      </c>
      <c r="AH621" s="71">
        <f t="shared" si="123"/>
        <v>8.16935504895699</v>
      </c>
    </row>
    <row r="622" spans="1:34">
      <c r="A622" s="304">
        <v>45610</v>
      </c>
      <c r="C622" s="176">
        <f t="shared" si="124"/>
        <v>0.093556379507459</v>
      </c>
      <c r="D622" s="443">
        <f>明星店铺!B963</f>
        <v>269.23</v>
      </c>
      <c r="E622" s="404">
        <f>明星店铺!C963</f>
        <v>253</v>
      </c>
      <c r="F622" s="404">
        <f>明星店铺!D963</f>
        <v>104</v>
      </c>
      <c r="G622" s="325">
        <f>明星店铺!G963+明星店铺!H963</f>
        <v>9</v>
      </c>
      <c r="I622" s="176">
        <f t="shared" si="106"/>
        <v>0.450580839759116</v>
      </c>
      <c r="J622" s="443">
        <f>直通车!B963</f>
        <v>1296.65</v>
      </c>
      <c r="K622" s="399">
        <f>直通车!C963</f>
        <v>7605</v>
      </c>
      <c r="L622" s="511">
        <f>直通车!D963</f>
        <v>292</v>
      </c>
      <c r="M622" s="325">
        <f>直通车!G963+直通车!H963</f>
        <v>11</v>
      </c>
      <c r="O622" s="176">
        <f t="shared" ref="O622:O653" si="125">P622/$AB622</f>
        <v>0.0885246357371956</v>
      </c>
      <c r="P622" s="443">
        <f>引力魔方!B862</f>
        <v>254.75</v>
      </c>
      <c r="Q622" s="398">
        <f>引力魔方!C862</f>
        <v>492265</v>
      </c>
      <c r="R622" s="399">
        <f>引力魔方!D862</f>
        <v>2082</v>
      </c>
      <c r="S622" s="325">
        <f>引力魔方!G862+引力魔方!H862</f>
        <v>35</v>
      </c>
      <c r="U622" s="176">
        <f t="shared" ref="U622:U653" si="126">V622/$AB622</f>
        <v>0.36733814499623</v>
      </c>
      <c r="V622" s="326">
        <f>万相台!B451</f>
        <v>1057.1</v>
      </c>
      <c r="W622" s="417">
        <f>万相台!C451</f>
        <v>61833</v>
      </c>
      <c r="X622" s="417">
        <f>万相台!D451</f>
        <v>1123</v>
      </c>
      <c r="Y622" s="306">
        <f>万相台!G451+万相台!H451</f>
        <v>113</v>
      </c>
      <c r="AB622" s="69">
        <f t="shared" si="117"/>
        <v>2877.73</v>
      </c>
      <c r="AC622" s="70">
        <f t="shared" si="118"/>
        <v>168</v>
      </c>
      <c r="AD622" s="505">
        <f t="shared" si="119"/>
        <v>17.1293452380952</v>
      </c>
      <c r="AE622" s="506">
        <f t="shared" si="120"/>
        <v>0.0466537073035268</v>
      </c>
      <c r="AF622" s="69">
        <f t="shared" si="121"/>
        <v>3601</v>
      </c>
      <c r="AG622" s="71">
        <f t="shared" si="122"/>
        <v>0.799147459039156</v>
      </c>
      <c r="AH622" s="71">
        <f t="shared" si="123"/>
        <v>5.12091694011631</v>
      </c>
    </row>
    <row r="623" spans="1:34">
      <c r="A623" s="304">
        <v>45611</v>
      </c>
      <c r="C623" s="176">
        <f t="shared" si="124"/>
        <v>0.107384258550476</v>
      </c>
      <c r="D623" s="443">
        <f>明星店铺!B964</f>
        <v>561.13</v>
      </c>
      <c r="E623" s="404">
        <f>明星店铺!C964</f>
        <v>604</v>
      </c>
      <c r="F623" s="404">
        <f>明星店铺!D964</f>
        <v>190</v>
      </c>
      <c r="G623" s="325">
        <f>明星店铺!G964+明星店铺!H964</f>
        <v>26</v>
      </c>
      <c r="I623" s="176">
        <f t="shared" si="106"/>
        <v>0.407424063810894</v>
      </c>
      <c r="J623" s="443">
        <f>直通车!B964</f>
        <v>2128.97</v>
      </c>
      <c r="K623" s="399">
        <f>直通车!C964</f>
        <v>13845</v>
      </c>
      <c r="L623" s="511">
        <f>直通车!D964</f>
        <v>472</v>
      </c>
      <c r="M623" s="325">
        <f>直通车!G964+直通车!H964</f>
        <v>23</v>
      </c>
      <c r="O623" s="176">
        <f t="shared" si="125"/>
        <v>0.0464745552527634</v>
      </c>
      <c r="P623" s="443">
        <f>引力魔方!B863</f>
        <v>242.85</v>
      </c>
      <c r="Q623" s="398">
        <f>引力魔方!C863</f>
        <v>375450</v>
      </c>
      <c r="R623" s="399">
        <f>引力魔方!D863</f>
        <v>2206</v>
      </c>
      <c r="S623" s="325">
        <f>引力魔方!G863+引力魔方!H863</f>
        <v>30</v>
      </c>
      <c r="U623" s="176">
        <f t="shared" si="126"/>
        <v>0.438717122385866</v>
      </c>
      <c r="V623" s="326">
        <f>万相台!B452</f>
        <v>2292.49</v>
      </c>
      <c r="W623" s="417">
        <f>万相台!C452</f>
        <v>172374</v>
      </c>
      <c r="X623" s="417">
        <f>万相台!D452</f>
        <v>1711</v>
      </c>
      <c r="Y623" s="306">
        <f>万相台!G452+万相台!H452</f>
        <v>175</v>
      </c>
      <c r="AB623" s="69">
        <f t="shared" si="117"/>
        <v>5225.44</v>
      </c>
      <c r="AC623" s="70">
        <f t="shared" si="118"/>
        <v>254</v>
      </c>
      <c r="AD623" s="505">
        <f t="shared" si="119"/>
        <v>20.5725984251968</v>
      </c>
      <c r="AE623" s="506">
        <f t="shared" si="120"/>
        <v>0.0554706267744049</v>
      </c>
      <c r="AF623" s="69">
        <f t="shared" si="121"/>
        <v>4579</v>
      </c>
      <c r="AG623" s="71">
        <f t="shared" si="122"/>
        <v>1.1411749290238</v>
      </c>
      <c r="AH623" s="71">
        <f t="shared" si="123"/>
        <v>9.29342152299684</v>
      </c>
    </row>
    <row r="624" spans="1:34">
      <c r="A624" s="304">
        <v>45612</v>
      </c>
      <c r="C624" s="176">
        <f t="shared" si="124"/>
        <v>0.0949547624021727</v>
      </c>
      <c r="D624" s="443">
        <f>明星店铺!B965</f>
        <v>472.7</v>
      </c>
      <c r="E624" s="404">
        <f>明星店铺!C965</f>
        <v>413</v>
      </c>
      <c r="F624" s="404">
        <f>明星店铺!D965</f>
        <v>158</v>
      </c>
      <c r="G624" s="325">
        <f>明星店铺!G965+明星店铺!H965</f>
        <v>43</v>
      </c>
      <c r="I624" s="176">
        <f t="shared" si="106"/>
        <v>0.392171002940846</v>
      </c>
      <c r="J624" s="443">
        <f>直通车!B965</f>
        <v>1952.29</v>
      </c>
      <c r="K624" s="399">
        <f>直通车!C965</f>
        <v>13778</v>
      </c>
      <c r="L624" s="511">
        <f>直通车!D965</f>
        <v>403</v>
      </c>
      <c r="M624" s="325">
        <f>直通车!G965+直通车!H965</f>
        <v>35</v>
      </c>
      <c r="O624" s="176">
        <f t="shared" si="125"/>
        <v>0.0488212512253523</v>
      </c>
      <c r="P624" s="443">
        <f>引力魔方!B864</f>
        <v>243.04</v>
      </c>
      <c r="Q624" s="398">
        <f>引力魔方!C864</f>
        <v>385299</v>
      </c>
      <c r="R624" s="399">
        <f>引力魔方!D864</f>
        <v>2176</v>
      </c>
      <c r="S624" s="325">
        <f>引力魔方!G864+引力魔方!H864</f>
        <v>50</v>
      </c>
      <c r="U624" s="176">
        <f t="shared" si="126"/>
        <v>0.464052983431629</v>
      </c>
      <c r="V624" s="326">
        <f>万相台!B453</f>
        <v>2310.13</v>
      </c>
      <c r="W624" s="417">
        <f>万相台!C453</f>
        <v>135016</v>
      </c>
      <c r="X624" s="417">
        <f>万相台!D453</f>
        <v>1872</v>
      </c>
      <c r="Y624" s="306">
        <f>万相台!G453+万相台!H453</f>
        <v>215</v>
      </c>
      <c r="AB624" s="69">
        <f t="shared" si="117"/>
        <v>4978.16</v>
      </c>
      <c r="AC624" s="70">
        <f t="shared" si="118"/>
        <v>343</v>
      </c>
      <c r="AD624" s="505">
        <f t="shared" si="119"/>
        <v>14.5135860058309</v>
      </c>
      <c r="AE624" s="506">
        <f t="shared" si="120"/>
        <v>0.0744196137990887</v>
      </c>
      <c r="AF624" s="69">
        <f t="shared" si="121"/>
        <v>4609</v>
      </c>
      <c r="AG624" s="71">
        <f t="shared" si="122"/>
        <v>1.08009546539379</v>
      </c>
      <c r="AH624" s="71">
        <f t="shared" si="123"/>
        <v>9.31357178403984</v>
      </c>
    </row>
    <row r="625" spans="1:34">
      <c r="A625" s="304">
        <v>45613</v>
      </c>
      <c r="C625" s="176">
        <f t="shared" si="124"/>
        <v>0.100283791729768</v>
      </c>
      <c r="D625" s="443">
        <f>明星店铺!B966</f>
        <v>530.41</v>
      </c>
      <c r="E625" s="404">
        <f>明星店铺!C966</f>
        <v>443</v>
      </c>
      <c r="F625" s="404">
        <f>明星店铺!D966</f>
        <v>180</v>
      </c>
      <c r="G625" s="325">
        <f>明星店铺!G966+明星店铺!H966</f>
        <v>33</v>
      </c>
      <c r="I625" s="176">
        <f t="shared" si="106"/>
        <v>0.425180891230817</v>
      </c>
      <c r="J625" s="443">
        <f>直通车!B966</f>
        <v>2248.82</v>
      </c>
      <c r="K625" s="399">
        <f>直通车!C966</f>
        <v>12396</v>
      </c>
      <c r="L625" s="511">
        <f>直通车!D966</f>
        <v>503</v>
      </c>
      <c r="M625" s="325">
        <f>直通车!G966+直通车!H966</f>
        <v>42</v>
      </c>
      <c r="O625" s="176">
        <f t="shared" si="125"/>
        <v>0.0439130360799306</v>
      </c>
      <c r="P625" s="443">
        <f>引力魔方!B865</f>
        <v>232.26</v>
      </c>
      <c r="Q625" s="398">
        <f>引力魔方!C865</f>
        <v>368171</v>
      </c>
      <c r="R625" s="399">
        <f>引力魔方!D865</f>
        <v>2339</v>
      </c>
      <c r="S625" s="325">
        <f>引力魔方!G865+引力魔方!H865</f>
        <v>38</v>
      </c>
      <c r="U625" s="176">
        <f t="shared" si="126"/>
        <v>0.430622280959485</v>
      </c>
      <c r="V625" s="326">
        <f>万相台!B454</f>
        <v>2277.6</v>
      </c>
      <c r="W625" s="417">
        <f>万相台!C454</f>
        <v>137827</v>
      </c>
      <c r="X625" s="417">
        <f>万相台!D454</f>
        <v>1724</v>
      </c>
      <c r="Y625" s="306">
        <f>万相台!G454+万相台!H454</f>
        <v>220</v>
      </c>
      <c r="AB625" s="69">
        <f t="shared" si="117"/>
        <v>5289.09</v>
      </c>
      <c r="AC625" s="70">
        <f t="shared" si="118"/>
        <v>333</v>
      </c>
      <c r="AD625" s="505">
        <f t="shared" si="119"/>
        <v>15.8831531531532</v>
      </c>
      <c r="AE625" s="506">
        <f t="shared" si="120"/>
        <v>0.0701643489254109</v>
      </c>
      <c r="AF625" s="69">
        <f t="shared" si="121"/>
        <v>4746</v>
      </c>
      <c r="AG625" s="71">
        <f t="shared" si="122"/>
        <v>1.11443109987358</v>
      </c>
      <c r="AH625" s="71">
        <f t="shared" si="123"/>
        <v>10.1941264790291</v>
      </c>
    </row>
    <row r="626" spans="1:34">
      <c r="A626" s="304">
        <v>45614</v>
      </c>
      <c r="C626" s="176">
        <f t="shared" si="124"/>
        <v>0.10672085099895</v>
      </c>
      <c r="D626" s="443">
        <f>明星店铺!B967</f>
        <v>545.97</v>
      </c>
      <c r="E626" s="404">
        <f>明星店铺!C967</f>
        <v>456</v>
      </c>
      <c r="F626" s="404">
        <f>明星店铺!D967</f>
        <v>190</v>
      </c>
      <c r="G626" s="325">
        <f>明星店铺!G967+明星店铺!H967</f>
        <v>53</v>
      </c>
      <c r="I626" s="176">
        <f t="shared" si="106"/>
        <v>0.397162164011204</v>
      </c>
      <c r="J626" s="443">
        <f>直通车!B967</f>
        <v>2031.83</v>
      </c>
      <c r="K626" s="399">
        <f>直通车!C967</f>
        <v>12863</v>
      </c>
      <c r="L626" s="511">
        <f>直通车!D967</f>
        <v>419</v>
      </c>
      <c r="M626" s="325">
        <f>直通车!G967+直通车!H967</f>
        <v>32</v>
      </c>
      <c r="O626" s="176">
        <f t="shared" si="125"/>
        <v>0.0472725069245309</v>
      </c>
      <c r="P626" s="443">
        <f>引力魔方!B866</f>
        <v>241.84</v>
      </c>
      <c r="Q626" s="398">
        <f>引力魔方!C866</f>
        <v>435232</v>
      </c>
      <c r="R626" s="399">
        <f>引力魔方!D866</f>
        <v>2167</v>
      </c>
      <c r="S626" s="325">
        <f>引力魔方!G866+引力魔方!H866</f>
        <v>47</v>
      </c>
      <c r="U626" s="176">
        <f t="shared" si="126"/>
        <v>0.448844478065314</v>
      </c>
      <c r="V626" s="326">
        <f>万相台!B455</f>
        <v>2296.23</v>
      </c>
      <c r="W626" s="417">
        <f>万相台!C455</f>
        <v>417280</v>
      </c>
      <c r="X626" s="417">
        <f>万相台!D455</f>
        <v>2255</v>
      </c>
      <c r="Y626" s="306">
        <f>万相台!G455+万相台!H455</f>
        <v>152</v>
      </c>
      <c r="AB626" s="69">
        <f t="shared" si="117"/>
        <v>5115.87</v>
      </c>
      <c r="AC626" s="70">
        <f t="shared" si="118"/>
        <v>284</v>
      </c>
      <c r="AD626" s="505">
        <f t="shared" si="119"/>
        <v>18.0136267605634</v>
      </c>
      <c r="AE626" s="506">
        <f t="shared" si="120"/>
        <v>0.056450009938382</v>
      </c>
      <c r="AF626" s="69">
        <f t="shared" si="121"/>
        <v>5031</v>
      </c>
      <c r="AG626" s="71">
        <f t="shared" si="122"/>
        <v>1.01686940966011</v>
      </c>
      <c r="AH626" s="71">
        <f t="shared" si="123"/>
        <v>5.90862420033471</v>
      </c>
    </row>
    <row r="627" spans="1:34">
      <c r="A627" s="304">
        <v>45615</v>
      </c>
      <c r="C627" s="176">
        <f t="shared" si="124"/>
        <v>0.0872523549132318</v>
      </c>
      <c r="D627" s="443">
        <f>明星店铺!B968</f>
        <v>448.69</v>
      </c>
      <c r="E627" s="404">
        <f>明星店铺!C968</f>
        <v>382</v>
      </c>
      <c r="F627" s="404">
        <f>明星店铺!D968</f>
        <v>167</v>
      </c>
      <c r="G627" s="325">
        <f>明星店铺!G968+明星店铺!H968</f>
        <v>30</v>
      </c>
      <c r="I627" s="176">
        <f t="shared" si="106"/>
        <v>0.416697132100715</v>
      </c>
      <c r="J627" s="443">
        <f>直通车!B968</f>
        <v>2142.84</v>
      </c>
      <c r="K627" s="399">
        <f>直通车!C968</f>
        <v>15349</v>
      </c>
      <c r="L627" s="511">
        <f>直通车!D968</f>
        <v>466</v>
      </c>
      <c r="M627" s="325">
        <f>直通车!G968+直通车!H968</f>
        <v>39</v>
      </c>
      <c r="O627" s="176">
        <f t="shared" si="125"/>
        <v>0.0485372702452532</v>
      </c>
      <c r="P627" s="443">
        <f>引力魔方!B867</f>
        <v>249.6</v>
      </c>
      <c r="Q627" s="398">
        <f>引力魔方!C867</f>
        <v>279095</v>
      </c>
      <c r="R627" s="399">
        <f>引力魔方!D867</f>
        <v>1945</v>
      </c>
      <c r="S627" s="325">
        <f>引力魔方!G867+引力魔方!H867</f>
        <v>33</v>
      </c>
      <c r="U627" s="176">
        <f t="shared" si="126"/>
        <v>0.4475132427408</v>
      </c>
      <c r="V627" s="326">
        <f>万相台!B456</f>
        <v>2301.31</v>
      </c>
      <c r="W627" s="417">
        <f>万相台!C456</f>
        <v>254870</v>
      </c>
      <c r="X627" s="417">
        <f>万相台!D456</f>
        <v>2007</v>
      </c>
      <c r="Y627" s="306">
        <f>万相台!G456+万相台!H456</f>
        <v>178</v>
      </c>
      <c r="AB627" s="69">
        <f t="shared" si="117"/>
        <v>5142.44</v>
      </c>
      <c r="AC627" s="70">
        <f t="shared" si="118"/>
        <v>280</v>
      </c>
      <c r="AD627" s="505">
        <f t="shared" si="119"/>
        <v>18.3658571428571</v>
      </c>
      <c r="AE627" s="506">
        <f t="shared" si="120"/>
        <v>0.0610687022900763</v>
      </c>
      <c r="AF627" s="69">
        <f t="shared" si="121"/>
        <v>4585</v>
      </c>
      <c r="AG627" s="71">
        <f t="shared" si="122"/>
        <v>1.12157906215921</v>
      </c>
      <c r="AH627" s="71">
        <f t="shared" si="123"/>
        <v>9.35506170683432</v>
      </c>
    </row>
    <row r="628" spans="1:34">
      <c r="A628" s="304">
        <v>45616</v>
      </c>
      <c r="C628" s="176">
        <f t="shared" si="124"/>
        <v>0.08177501150791</v>
      </c>
      <c r="D628" s="443">
        <f>明星店铺!B969</f>
        <v>415.7</v>
      </c>
      <c r="E628" s="404">
        <f>明星店铺!C969</f>
        <v>341</v>
      </c>
      <c r="F628" s="404">
        <f>明星店铺!D969</f>
        <v>148</v>
      </c>
      <c r="G628" s="325">
        <f>明星店铺!G969+明星店铺!H969</f>
        <v>36</v>
      </c>
      <c r="I628" s="176">
        <f t="shared" si="106"/>
        <v>0.459195115138115</v>
      </c>
      <c r="J628" s="443">
        <f>直通车!B969</f>
        <v>2334.3</v>
      </c>
      <c r="K628" s="399">
        <f>直通车!C969</f>
        <v>13841</v>
      </c>
      <c r="L628" s="511">
        <f>直通车!D969</f>
        <v>517</v>
      </c>
      <c r="M628" s="325">
        <f>直通车!G969+直通车!H969</f>
        <v>19</v>
      </c>
      <c r="O628" s="176">
        <f t="shared" si="125"/>
        <v>0.0469935831107159</v>
      </c>
      <c r="P628" s="443">
        <f>引力魔方!B868</f>
        <v>238.89</v>
      </c>
      <c r="Q628" s="398">
        <f>引力魔方!C868</f>
        <v>324647</v>
      </c>
      <c r="R628" s="399">
        <f>引力魔方!D868</f>
        <v>1922</v>
      </c>
      <c r="S628" s="325">
        <f>引力魔方!G868+引力魔方!H868</f>
        <v>40</v>
      </c>
      <c r="U628" s="176">
        <f t="shared" si="126"/>
        <v>0.41203629024326</v>
      </c>
      <c r="V628" s="326">
        <f>万相台!B457</f>
        <v>2094.57</v>
      </c>
      <c r="W628" s="417">
        <f>万相台!C457</f>
        <v>627906</v>
      </c>
      <c r="X628" s="417">
        <f>万相台!D457</f>
        <v>3907</v>
      </c>
      <c r="Y628" s="306">
        <f>万相台!G457+万相台!H457</f>
        <v>152</v>
      </c>
      <c r="AB628" s="69">
        <f t="shared" si="117"/>
        <v>5083.46</v>
      </c>
      <c r="AC628" s="70">
        <f t="shared" si="118"/>
        <v>247</v>
      </c>
      <c r="AD628" s="505">
        <f t="shared" si="119"/>
        <v>20.5808097165992</v>
      </c>
      <c r="AE628" s="506">
        <f t="shared" si="120"/>
        <v>0.0380351093316908</v>
      </c>
      <c r="AF628" s="69">
        <f t="shared" si="121"/>
        <v>6494</v>
      </c>
      <c r="AG628" s="71">
        <f t="shared" si="122"/>
        <v>0.782793347705574</v>
      </c>
      <c r="AH628" s="71">
        <f t="shared" si="123"/>
        <v>5.25838001106818</v>
      </c>
    </row>
    <row r="629" spans="1:34">
      <c r="A629" s="304">
        <v>45617</v>
      </c>
      <c r="C629" s="176">
        <f t="shared" si="124"/>
        <v>0.0961062103480525</v>
      </c>
      <c r="D629" s="443">
        <f>明星店铺!B970</f>
        <v>456.27</v>
      </c>
      <c r="E629" s="404">
        <f>明星店铺!C970</f>
        <v>377</v>
      </c>
      <c r="F629" s="404">
        <f>明星店铺!D970</f>
        <v>149</v>
      </c>
      <c r="G629" s="325">
        <f>明星店铺!G970+明星店铺!H970</f>
        <v>42</v>
      </c>
      <c r="I629" s="176">
        <f t="shared" si="106"/>
        <v>0.474744921601833</v>
      </c>
      <c r="J629" s="443">
        <f>直通车!B970</f>
        <v>2253.88</v>
      </c>
      <c r="K629" s="399">
        <f>直通车!C970</f>
        <v>13973</v>
      </c>
      <c r="L629" s="511">
        <f>直通车!D970</f>
        <v>458</v>
      </c>
      <c r="M629" s="325">
        <f>直通车!G970+直通车!H970</f>
        <v>47</v>
      </c>
      <c r="O629" s="176">
        <f t="shared" si="125"/>
        <v>0.049722383708684</v>
      </c>
      <c r="P629" s="443">
        <f>引力魔方!B869</f>
        <v>236.06</v>
      </c>
      <c r="Q629" s="398">
        <f>引力魔方!C869</f>
        <v>261067</v>
      </c>
      <c r="R629" s="399">
        <f>引力魔方!D869</f>
        <v>2156</v>
      </c>
      <c r="S629" s="325">
        <f>引力魔方!G869+引力魔方!H869</f>
        <v>40</v>
      </c>
      <c r="U629" s="176">
        <f t="shared" si="126"/>
        <v>0.37942648434143</v>
      </c>
      <c r="V629" s="326">
        <f>万相台!B458</f>
        <v>1801.35</v>
      </c>
      <c r="W629" s="417">
        <f>万相台!C458</f>
        <v>512514</v>
      </c>
      <c r="X629" s="417">
        <f>万相台!D458</f>
        <v>2671</v>
      </c>
      <c r="Y629" s="306">
        <f>万相台!G458+万相台!H458</f>
        <v>124</v>
      </c>
      <c r="AB629" s="69">
        <f t="shared" si="117"/>
        <v>4747.56</v>
      </c>
      <c r="AC629" s="70">
        <f t="shared" si="118"/>
        <v>253</v>
      </c>
      <c r="AD629" s="505">
        <f t="shared" si="119"/>
        <v>18.7650592885375</v>
      </c>
      <c r="AE629" s="506">
        <f t="shared" si="120"/>
        <v>0.0465587044534413</v>
      </c>
      <c r="AF629" s="69">
        <f t="shared" si="121"/>
        <v>5434</v>
      </c>
      <c r="AG629" s="71">
        <f t="shared" si="122"/>
        <v>0.873676849466323</v>
      </c>
      <c r="AH629" s="71">
        <f t="shared" si="123"/>
        <v>6.02534993546389</v>
      </c>
    </row>
    <row r="630" spans="1:34">
      <c r="A630" s="304">
        <v>45618</v>
      </c>
      <c r="C630" s="176">
        <f t="shared" si="124"/>
        <v>0.0957448348752697</v>
      </c>
      <c r="D630" s="443">
        <f>明星店铺!B971</f>
        <v>462.91</v>
      </c>
      <c r="E630" s="404">
        <f>明星店铺!C971</f>
        <v>371</v>
      </c>
      <c r="F630" s="404">
        <f>明星店铺!D971</f>
        <v>164</v>
      </c>
      <c r="G630" s="325">
        <f>明星店铺!G971+明星店铺!H971</f>
        <v>43</v>
      </c>
      <c r="I630" s="176">
        <f t="shared" si="106"/>
        <v>0.479330193615908</v>
      </c>
      <c r="J630" s="443">
        <f>直通车!B971</f>
        <v>2317.48</v>
      </c>
      <c r="K630" s="399">
        <f>直通车!C971</f>
        <v>13696</v>
      </c>
      <c r="L630" s="511">
        <f>直通车!D971</f>
        <v>481</v>
      </c>
      <c r="M630" s="325">
        <f>直通车!G971+直通车!H971</f>
        <v>50</v>
      </c>
      <c r="O630" s="176">
        <f t="shared" si="125"/>
        <v>0.0490710118039311</v>
      </c>
      <c r="P630" s="443">
        <f>引力魔方!B870</f>
        <v>237.25</v>
      </c>
      <c r="Q630" s="398">
        <f>引力魔方!C870</f>
        <v>282154</v>
      </c>
      <c r="R630" s="399">
        <f>引力魔方!D870</f>
        <v>2127</v>
      </c>
      <c r="S630" s="325">
        <f>引力魔方!G870+引力魔方!H870</f>
        <v>43</v>
      </c>
      <c r="U630" s="176">
        <f t="shared" si="126"/>
        <v>0.375853959704891</v>
      </c>
      <c r="V630" s="326">
        <f>万相台!B459</f>
        <v>1817.19</v>
      </c>
      <c r="W630" s="417">
        <f>万相台!C459</f>
        <v>497094</v>
      </c>
      <c r="X630" s="417">
        <f>万相台!D459</f>
        <v>3207</v>
      </c>
      <c r="Y630" s="306">
        <f>万相台!G459+万相台!H459</f>
        <v>207</v>
      </c>
      <c r="AB630" s="69">
        <f t="shared" si="117"/>
        <v>4834.83</v>
      </c>
      <c r="AC630" s="70">
        <f t="shared" si="118"/>
        <v>343</v>
      </c>
      <c r="AD630" s="505">
        <f t="shared" si="119"/>
        <v>14.0957142857143</v>
      </c>
      <c r="AE630" s="506">
        <f t="shared" si="120"/>
        <v>0.0573674527512962</v>
      </c>
      <c r="AF630" s="69">
        <f t="shared" si="121"/>
        <v>5979</v>
      </c>
      <c r="AG630" s="71">
        <f t="shared" si="122"/>
        <v>0.808635223281485</v>
      </c>
      <c r="AH630" s="71">
        <f t="shared" si="123"/>
        <v>6.09446436787405</v>
      </c>
    </row>
    <row r="631" spans="1:34">
      <c r="A631" s="304">
        <v>45619</v>
      </c>
      <c r="C631" s="176">
        <f t="shared" si="124"/>
        <v>0.0330587923554828</v>
      </c>
      <c r="D631" s="443">
        <f>明星店铺!B972</f>
        <v>150.96</v>
      </c>
      <c r="E631" s="404">
        <f>明星店铺!C972</f>
        <v>123</v>
      </c>
      <c r="F631" s="404">
        <f>明星店铺!D972</f>
        <v>60</v>
      </c>
      <c r="G631" s="325">
        <f>明星店铺!G972+明星店铺!H972</f>
        <v>22</v>
      </c>
      <c r="I631" s="176">
        <f t="shared" si="106"/>
        <v>0.512993796001673</v>
      </c>
      <c r="J631" s="443">
        <f>直通车!B972</f>
        <v>2342.54</v>
      </c>
      <c r="K631" s="399">
        <f>直通车!C972</f>
        <v>13598</v>
      </c>
      <c r="L631" s="511">
        <f>直通车!D972</f>
        <v>500</v>
      </c>
      <c r="M631" s="325">
        <f>直通车!G972+直通车!H972</f>
        <v>32</v>
      </c>
      <c r="O631" s="176">
        <f t="shared" si="125"/>
        <v>0.0518153210070931</v>
      </c>
      <c r="P631" s="443">
        <f>引力魔方!B871</f>
        <v>236.61</v>
      </c>
      <c r="Q631" s="398">
        <f>引力魔方!C871</f>
        <v>270039</v>
      </c>
      <c r="R631" s="399">
        <f>引力魔方!D871</f>
        <v>2047</v>
      </c>
      <c r="S631" s="325">
        <f>引力魔方!G871+引力魔方!H871</f>
        <v>56</v>
      </c>
      <c r="U631" s="176">
        <f t="shared" si="126"/>
        <v>0.402132090635751</v>
      </c>
      <c r="V631" s="326">
        <f>万相台!B460</f>
        <v>1836.3</v>
      </c>
      <c r="W631" s="417">
        <f>万相台!C460</f>
        <v>528696</v>
      </c>
      <c r="X631" s="417">
        <f>万相台!D460</f>
        <v>3631</v>
      </c>
      <c r="Y631" s="306">
        <f>万相台!G460+万相台!H460</f>
        <v>171</v>
      </c>
      <c r="AB631" s="69">
        <f t="shared" si="117"/>
        <v>4566.41</v>
      </c>
      <c r="AC631" s="70">
        <f t="shared" si="118"/>
        <v>281</v>
      </c>
      <c r="AD631" s="505">
        <f t="shared" si="119"/>
        <v>16.2505693950178</v>
      </c>
      <c r="AE631" s="506">
        <f t="shared" si="120"/>
        <v>0.045046489259378</v>
      </c>
      <c r="AF631" s="69">
        <f t="shared" si="121"/>
        <v>6238</v>
      </c>
      <c r="AG631" s="71">
        <f t="shared" si="122"/>
        <v>0.732031099711446</v>
      </c>
      <c r="AH631" s="71">
        <f t="shared" si="123"/>
        <v>5.62050129483935</v>
      </c>
    </row>
    <row r="632" spans="1:34">
      <c r="A632" s="304">
        <v>45620</v>
      </c>
      <c r="C632" s="176">
        <f t="shared" si="124"/>
        <v>8.67998053856995e-5</v>
      </c>
      <c r="D632" s="443">
        <f>明星店铺!B973</f>
        <v>0.38</v>
      </c>
      <c r="E632" s="404">
        <f>明星店铺!C973</f>
        <v>1</v>
      </c>
      <c r="F632" s="404">
        <f>明星店铺!D973</f>
        <v>0</v>
      </c>
      <c r="G632" s="325">
        <f>明星店铺!G973+明星店铺!H973</f>
        <v>0</v>
      </c>
      <c r="I632" s="176">
        <f t="shared" si="106"/>
        <v>0.53234092222509</v>
      </c>
      <c r="J632" s="443">
        <f>直通车!B973</f>
        <v>2330.53</v>
      </c>
      <c r="K632" s="399">
        <f>直通车!C973</f>
        <v>18021</v>
      </c>
      <c r="L632" s="511">
        <f>直通车!D973</f>
        <v>502</v>
      </c>
      <c r="M632" s="325">
        <f>直通车!G973+直通车!H973</f>
        <v>60</v>
      </c>
      <c r="O632" s="176">
        <f t="shared" si="125"/>
        <v>0.0546062144092245</v>
      </c>
      <c r="P632" s="443">
        <f>引力魔方!B872</f>
        <v>239.06</v>
      </c>
      <c r="Q632" s="398">
        <f>引力魔方!C872</f>
        <v>339900</v>
      </c>
      <c r="R632" s="399">
        <f>引力魔方!D872</f>
        <v>2282</v>
      </c>
      <c r="S632" s="325">
        <f>引力魔方!G872+引力魔方!H872</f>
        <v>43</v>
      </c>
      <c r="U632" s="176">
        <f t="shared" si="126"/>
        <v>0.4129660635603</v>
      </c>
      <c r="V632" s="326">
        <f>万相台!B461</f>
        <v>1807.92</v>
      </c>
      <c r="W632" s="417">
        <f>万相台!C461</f>
        <v>472290</v>
      </c>
      <c r="X632" s="417">
        <f>万相台!D461</f>
        <v>3354</v>
      </c>
      <c r="Y632" s="306">
        <f>万相台!G461+万相台!H461</f>
        <v>197</v>
      </c>
      <c r="AB632" s="69">
        <f t="shared" si="117"/>
        <v>4377.89</v>
      </c>
      <c r="AC632" s="70">
        <f t="shared" si="118"/>
        <v>300</v>
      </c>
      <c r="AD632" s="505">
        <f t="shared" si="119"/>
        <v>14.5929666666667</v>
      </c>
      <c r="AE632" s="506">
        <f t="shared" si="120"/>
        <v>0.0488758553274682</v>
      </c>
      <c r="AF632" s="69">
        <f t="shared" si="121"/>
        <v>6138</v>
      </c>
      <c r="AG632" s="71">
        <f t="shared" si="122"/>
        <v>0.713243727598566</v>
      </c>
      <c r="AH632" s="71">
        <f t="shared" si="123"/>
        <v>5.27321937047405</v>
      </c>
    </row>
    <row r="633" spans="1:34">
      <c r="A633" s="304">
        <v>45621</v>
      </c>
      <c r="C633" s="176">
        <f t="shared" si="124"/>
        <v>0</v>
      </c>
      <c r="D633" s="443">
        <f>明星店铺!B974</f>
        <v>0</v>
      </c>
      <c r="E633" s="404">
        <f>明星店铺!C974</f>
        <v>0</v>
      </c>
      <c r="F633" s="404">
        <f>明星店铺!D974</f>
        <v>0</v>
      </c>
      <c r="G633" s="325">
        <f>明星店铺!G974+明星店铺!H974</f>
        <v>0</v>
      </c>
      <c r="I633" s="176">
        <f t="shared" ref="I633:I653" si="127">J633/$AB633</f>
        <v>0.539140449528424</v>
      </c>
      <c r="J633" s="443">
        <f>直通车!B974</f>
        <v>2350</v>
      </c>
      <c r="K633" s="399">
        <f>直通车!C974</f>
        <v>11552</v>
      </c>
      <c r="L633" s="511">
        <f>直通车!D974</f>
        <v>519</v>
      </c>
      <c r="M633" s="325">
        <f>直通车!G974+直通车!H974</f>
        <v>41</v>
      </c>
      <c r="O633" s="176">
        <f t="shared" si="125"/>
        <v>0.055600292741793</v>
      </c>
      <c r="P633" s="443">
        <f>引力魔方!B873</f>
        <v>242.35</v>
      </c>
      <c r="Q633" s="398">
        <f>引力魔方!C873</f>
        <v>311791</v>
      </c>
      <c r="R633" s="399">
        <f>引力魔方!D873</f>
        <v>1977</v>
      </c>
      <c r="S633" s="325">
        <f>引力魔方!G873+引力魔方!H873</f>
        <v>41</v>
      </c>
      <c r="U633" s="176">
        <f t="shared" si="126"/>
        <v>0.405259257729783</v>
      </c>
      <c r="V633" s="326">
        <f>万相台!B462</f>
        <v>1766.44</v>
      </c>
      <c r="W633" s="417">
        <f>万相台!C462</f>
        <v>420474</v>
      </c>
      <c r="X633" s="417">
        <f>万相台!D462</f>
        <v>2883</v>
      </c>
      <c r="Y633" s="306">
        <f>万相台!G462+万相台!H462</f>
        <v>157</v>
      </c>
      <c r="AB633" s="69">
        <f t="shared" si="117"/>
        <v>4358.79</v>
      </c>
      <c r="AC633" s="70">
        <f t="shared" si="118"/>
        <v>239</v>
      </c>
      <c r="AD633" s="505">
        <f t="shared" si="119"/>
        <v>18.2376150627615</v>
      </c>
      <c r="AE633" s="506">
        <f t="shared" si="120"/>
        <v>0.0444320505670199</v>
      </c>
      <c r="AF633" s="69">
        <f t="shared" si="121"/>
        <v>5379</v>
      </c>
      <c r="AG633" s="71">
        <f t="shared" si="122"/>
        <v>0.810334634690463</v>
      </c>
      <c r="AH633" s="71">
        <f t="shared" si="123"/>
        <v>5.86003008804585</v>
      </c>
    </row>
    <row r="634" spans="1:34">
      <c r="A634" s="304">
        <v>45622</v>
      </c>
      <c r="C634" s="176">
        <f t="shared" si="124"/>
        <v>0.0649233024895257</v>
      </c>
      <c r="D634" s="443">
        <f>明星店铺!B975</f>
        <v>304.65</v>
      </c>
      <c r="E634" s="404">
        <f>明星店铺!C975</f>
        <v>238</v>
      </c>
      <c r="F634" s="404">
        <f>明星店铺!D975</f>
        <v>115</v>
      </c>
      <c r="G634" s="325">
        <f>明星店铺!G975+明星店铺!H975</f>
        <v>32</v>
      </c>
      <c r="I634" s="176">
        <f t="shared" si="127"/>
        <v>0.498987737775069</v>
      </c>
      <c r="J634" s="443">
        <f>直通车!B975</f>
        <v>2341.48</v>
      </c>
      <c r="K634" s="399">
        <f>直通车!C975</f>
        <v>13829</v>
      </c>
      <c r="L634" s="511">
        <f>直通车!D975</f>
        <v>484</v>
      </c>
      <c r="M634" s="325">
        <f>直通车!G975+直通车!H975</f>
        <v>36</v>
      </c>
      <c r="O634" s="176">
        <f t="shared" si="125"/>
        <v>0.050651470657182</v>
      </c>
      <c r="P634" s="443">
        <f>引力魔方!B874</f>
        <v>237.68</v>
      </c>
      <c r="Q634" s="398">
        <f>引力魔方!C874</f>
        <v>528800</v>
      </c>
      <c r="R634" s="399">
        <f>引力魔方!D874</f>
        <v>2067</v>
      </c>
      <c r="S634" s="325">
        <f>引力魔方!G874+引力魔方!H874</f>
        <v>44</v>
      </c>
      <c r="U634" s="176">
        <f t="shared" si="126"/>
        <v>0.385437489078223</v>
      </c>
      <c r="V634" s="326">
        <f>万相台!B463</f>
        <v>1808.65</v>
      </c>
      <c r="W634" s="417">
        <f>万相台!C463</f>
        <v>494904</v>
      </c>
      <c r="X634" s="417">
        <f>万相台!D463</f>
        <v>4256</v>
      </c>
      <c r="Y634" s="306">
        <f>万相台!G463+万相台!H463</f>
        <v>165</v>
      </c>
      <c r="AB634" s="69">
        <f t="shared" si="117"/>
        <v>4692.46</v>
      </c>
      <c r="AC634" s="70">
        <f t="shared" si="118"/>
        <v>277</v>
      </c>
      <c r="AD634" s="505">
        <f t="shared" si="119"/>
        <v>16.9402888086643</v>
      </c>
      <c r="AE634" s="506">
        <f t="shared" si="120"/>
        <v>0.0400173360300491</v>
      </c>
      <c r="AF634" s="69">
        <f t="shared" si="121"/>
        <v>6922</v>
      </c>
      <c r="AG634" s="71">
        <f t="shared" si="122"/>
        <v>0.677905229702398</v>
      </c>
      <c r="AH634" s="71">
        <f t="shared" si="123"/>
        <v>4.521671929549</v>
      </c>
    </row>
    <row r="635" spans="1:34">
      <c r="A635" s="304">
        <v>45623</v>
      </c>
      <c r="C635" s="176">
        <f t="shared" si="124"/>
        <v>0.0978148828407636</v>
      </c>
      <c r="D635" s="443">
        <f>明星店铺!B976</f>
        <v>439.36</v>
      </c>
      <c r="E635" s="404">
        <f>明星店铺!C976</f>
        <v>344</v>
      </c>
      <c r="F635" s="404">
        <f>明星店铺!D976</f>
        <v>175</v>
      </c>
      <c r="G635" s="325">
        <f>明星店铺!G976+明星店铺!H976</f>
        <v>28</v>
      </c>
      <c r="I635" s="176">
        <f t="shared" si="127"/>
        <v>0.445579117270552</v>
      </c>
      <c r="J635" s="443">
        <f>直通车!B976</f>
        <v>2001.43</v>
      </c>
      <c r="K635" s="399">
        <f>直通车!C976</f>
        <v>21772</v>
      </c>
      <c r="L635" s="511">
        <f>直通车!D976</f>
        <v>431</v>
      </c>
      <c r="M635" s="325">
        <f>直通车!G976+直通车!H976</f>
        <v>33</v>
      </c>
      <c r="O635" s="176">
        <f t="shared" si="125"/>
        <v>0.0541993655034229</v>
      </c>
      <c r="P635" s="443">
        <f>引力魔方!B875</f>
        <v>243.45</v>
      </c>
      <c r="Q635" s="398">
        <f>引力魔方!C875</f>
        <v>430316</v>
      </c>
      <c r="R635" s="399">
        <f>引力魔方!D875</f>
        <v>1867</v>
      </c>
      <c r="S635" s="325">
        <f>引力魔方!G875+引力魔方!H875</f>
        <v>36</v>
      </c>
      <c r="U635" s="176">
        <f t="shared" si="126"/>
        <v>0.402406634385262</v>
      </c>
      <c r="V635" s="326">
        <f>万相台!B464</f>
        <v>1807.51</v>
      </c>
      <c r="W635" s="417">
        <f>万相台!C464</f>
        <v>451368</v>
      </c>
      <c r="X635" s="417">
        <f>万相台!D464</f>
        <v>3871</v>
      </c>
      <c r="Y635" s="306">
        <f>万相台!G464+万相台!H464</f>
        <v>136</v>
      </c>
      <c r="AB635" s="69">
        <f t="shared" si="117"/>
        <v>4491.75</v>
      </c>
      <c r="AC635" s="70">
        <f t="shared" si="118"/>
        <v>233</v>
      </c>
      <c r="AD635" s="505">
        <f t="shared" si="119"/>
        <v>19.2778969957082</v>
      </c>
      <c r="AE635" s="506">
        <f t="shared" si="120"/>
        <v>0.0367276166456494</v>
      </c>
      <c r="AF635" s="69">
        <f t="shared" si="121"/>
        <v>6344</v>
      </c>
      <c r="AG635" s="71">
        <f t="shared" si="122"/>
        <v>0.708031210592686</v>
      </c>
      <c r="AH635" s="71">
        <f t="shared" si="123"/>
        <v>4.96984952423102</v>
      </c>
    </row>
    <row r="636" spans="1:34">
      <c r="A636" s="304">
        <v>45624</v>
      </c>
      <c r="C636" s="176">
        <f t="shared" si="124"/>
        <v>0.10877851677794</v>
      </c>
      <c r="D636" s="443">
        <f>明星店铺!B977</f>
        <v>513.39</v>
      </c>
      <c r="E636" s="404">
        <f>明星店铺!C977</f>
        <v>410</v>
      </c>
      <c r="F636" s="404">
        <f>明星店铺!D977</f>
        <v>186</v>
      </c>
      <c r="G636" s="325">
        <f>明星店铺!G977+明星店铺!H977</f>
        <v>43</v>
      </c>
      <c r="I636" s="176">
        <f t="shared" si="127"/>
        <v>0.45648244868728</v>
      </c>
      <c r="J636" s="443">
        <f>直通车!B977</f>
        <v>2154.41</v>
      </c>
      <c r="K636" s="399">
        <f>直通车!C977</f>
        <v>12530</v>
      </c>
      <c r="L636" s="511">
        <f>直通车!D977</f>
        <v>464</v>
      </c>
      <c r="M636" s="325">
        <f>直通车!G977+直通车!H977</f>
        <v>28</v>
      </c>
      <c r="O636" s="176">
        <f t="shared" si="125"/>
        <v>0.0511908873440278</v>
      </c>
      <c r="P636" s="443">
        <f>引力魔方!B876</f>
        <v>241.6</v>
      </c>
      <c r="Q636" s="398">
        <f>引力魔方!C876</f>
        <v>431774</v>
      </c>
      <c r="R636" s="399">
        <f>引力魔方!D876</f>
        <v>1840</v>
      </c>
      <c r="S636" s="325">
        <f>引力魔方!G876+引力魔方!H876</f>
        <v>45</v>
      </c>
      <c r="U636" s="176">
        <f t="shared" si="126"/>
        <v>0.383548147190752</v>
      </c>
      <c r="V636" s="326">
        <f>万相台!B465</f>
        <v>1810.19</v>
      </c>
      <c r="W636" s="417">
        <f>万相台!C465</f>
        <v>333311</v>
      </c>
      <c r="X636" s="417">
        <f>万相台!D465</f>
        <v>2468</v>
      </c>
      <c r="Y636" s="306">
        <f>万相台!G465+万相台!H465</f>
        <v>190</v>
      </c>
      <c r="AB636" s="69">
        <f t="shared" si="117"/>
        <v>4719.59</v>
      </c>
      <c r="AC636" s="70">
        <f t="shared" si="118"/>
        <v>306</v>
      </c>
      <c r="AD636" s="505">
        <f t="shared" si="119"/>
        <v>15.4234967320261</v>
      </c>
      <c r="AE636" s="506">
        <f t="shared" si="120"/>
        <v>0.0617184348527632</v>
      </c>
      <c r="AF636" s="69">
        <f t="shared" si="121"/>
        <v>4958</v>
      </c>
      <c r="AG636" s="71">
        <f t="shared" si="122"/>
        <v>0.951914078257362</v>
      </c>
      <c r="AH636" s="71">
        <f t="shared" si="123"/>
        <v>6.0661161273738</v>
      </c>
    </row>
    <row r="637" spans="1:34">
      <c r="A637" s="304">
        <v>45625</v>
      </c>
      <c r="C637" s="176">
        <f t="shared" si="124"/>
        <v>0.096837584195738</v>
      </c>
      <c r="D637" s="443">
        <f>明星店铺!B978</f>
        <v>445.97</v>
      </c>
      <c r="E637" s="404">
        <f>明星店铺!C978</f>
        <v>347</v>
      </c>
      <c r="F637" s="404">
        <f>明星店铺!D978</f>
        <v>153</v>
      </c>
      <c r="G637" s="325">
        <f>明星店铺!G978+明星店铺!H978</f>
        <v>26</v>
      </c>
      <c r="I637" s="176">
        <f t="shared" si="127"/>
        <v>0.453590831512983</v>
      </c>
      <c r="J637" s="443">
        <f>直通车!B978</f>
        <v>2088.94</v>
      </c>
      <c r="K637" s="399">
        <f>直通车!C978</f>
        <v>15941</v>
      </c>
      <c r="L637" s="511">
        <f>直通车!D978</f>
        <v>447</v>
      </c>
      <c r="M637" s="325">
        <f>直通车!G978+直通车!H978</f>
        <v>22</v>
      </c>
      <c r="O637" s="176">
        <f t="shared" si="125"/>
        <v>0.0526410645033809</v>
      </c>
      <c r="P637" s="443">
        <f>引力魔方!B877</f>
        <v>242.43</v>
      </c>
      <c r="Q637" s="398">
        <f>引力魔方!C877</f>
        <v>354527</v>
      </c>
      <c r="R637" s="399">
        <f>引力魔方!D877</f>
        <v>1718</v>
      </c>
      <c r="S637" s="325">
        <f>引力魔方!G877+引力魔方!H877</f>
        <v>44</v>
      </c>
      <c r="U637" s="176">
        <f t="shared" si="126"/>
        <v>0.396930519787898</v>
      </c>
      <c r="V637" s="326">
        <f>万相台!B466</f>
        <v>1828</v>
      </c>
      <c r="W637" s="417">
        <f>万相台!C466</f>
        <v>317534</v>
      </c>
      <c r="X637" s="417">
        <f>万相台!D466</f>
        <v>3146</v>
      </c>
      <c r="Y637" s="306">
        <f>万相台!G466+万相台!H466</f>
        <v>171</v>
      </c>
      <c r="AB637" s="69">
        <f t="shared" si="117"/>
        <v>4605.34</v>
      </c>
      <c r="AC637" s="70">
        <f t="shared" si="118"/>
        <v>263</v>
      </c>
      <c r="AD637" s="505">
        <f t="shared" si="119"/>
        <v>17.5107984790875</v>
      </c>
      <c r="AE637" s="506">
        <f t="shared" si="120"/>
        <v>0.0481332357247438</v>
      </c>
      <c r="AF637" s="69">
        <f t="shared" si="121"/>
        <v>5464</v>
      </c>
      <c r="AG637" s="71">
        <f t="shared" si="122"/>
        <v>0.842851390922401</v>
      </c>
      <c r="AH637" s="71">
        <f t="shared" si="123"/>
        <v>6.69041431018277</v>
      </c>
    </row>
    <row r="638" spans="1:34">
      <c r="A638" s="304">
        <v>45626</v>
      </c>
      <c r="C638" s="176">
        <f t="shared" si="124"/>
        <v>0.0794349793563266</v>
      </c>
      <c r="D638" s="443">
        <f>明星店铺!B979</f>
        <v>372.67</v>
      </c>
      <c r="E638" s="404">
        <f>明星店铺!C979</f>
        <v>298</v>
      </c>
      <c r="F638" s="404">
        <f>明星店铺!D979</f>
        <v>162</v>
      </c>
      <c r="G638" s="325">
        <f>明星店铺!G979+明星店铺!H979</f>
        <v>27</v>
      </c>
      <c r="I638" s="176">
        <f t="shared" si="127"/>
        <v>0.492681460766363</v>
      </c>
      <c r="J638" s="443">
        <f>直通车!B979</f>
        <v>2311.42</v>
      </c>
      <c r="K638" s="399">
        <f>直通车!C979</f>
        <v>13278</v>
      </c>
      <c r="L638" s="511">
        <f>直通车!D979</f>
        <v>480</v>
      </c>
      <c r="M638" s="325">
        <f>直通车!G979+直通车!H979</f>
        <v>23</v>
      </c>
      <c r="O638" s="176">
        <f t="shared" si="125"/>
        <v>0.0505423626934612</v>
      </c>
      <c r="P638" s="443">
        <f>引力魔方!B878</f>
        <v>237.12</v>
      </c>
      <c r="Q638" s="398">
        <f>引力魔方!C878</f>
        <v>349053</v>
      </c>
      <c r="R638" s="399">
        <f>引力魔方!D878</f>
        <v>2013</v>
      </c>
      <c r="S638" s="325">
        <f>引力魔方!G878+引力魔方!H878</f>
        <v>33</v>
      </c>
      <c r="U638" s="176">
        <f t="shared" si="126"/>
        <v>0.377341197183849</v>
      </c>
      <c r="V638" s="326">
        <f>万相台!B467</f>
        <v>1770.3</v>
      </c>
      <c r="W638" s="417">
        <f>万相台!C467</f>
        <v>189207</v>
      </c>
      <c r="X638" s="417">
        <f>万相台!D467</f>
        <v>2153</v>
      </c>
      <c r="Y638" s="306">
        <f>万相台!G467+万相台!H467</f>
        <v>240</v>
      </c>
      <c r="AB638" s="69">
        <f t="shared" si="117"/>
        <v>4691.51</v>
      </c>
      <c r="AC638" s="70">
        <f t="shared" si="118"/>
        <v>323</v>
      </c>
      <c r="AD638" s="505">
        <f t="shared" si="119"/>
        <v>14.5247987616099</v>
      </c>
      <c r="AE638" s="506">
        <f t="shared" si="120"/>
        <v>0.067179700499168</v>
      </c>
      <c r="AF638" s="69">
        <f t="shared" si="121"/>
        <v>4808</v>
      </c>
      <c r="AG638" s="71">
        <f t="shared" si="122"/>
        <v>0.975771630615641</v>
      </c>
      <c r="AH638" s="71">
        <f t="shared" si="123"/>
        <v>8.50163816786147</v>
      </c>
    </row>
    <row r="639" spans="1:34">
      <c r="A639" s="304">
        <v>45627</v>
      </c>
      <c r="C639" s="176">
        <f t="shared" si="124"/>
        <v>0.0902346091541335</v>
      </c>
      <c r="D639" s="443">
        <f>明星店铺!B980</f>
        <v>435.04</v>
      </c>
      <c r="E639" s="404">
        <f>明星店铺!C980</f>
        <v>341</v>
      </c>
      <c r="F639" s="404">
        <f>明星店铺!D980</f>
        <v>165</v>
      </c>
      <c r="G639" s="325">
        <f>明星店铺!G980+明星店铺!H980</f>
        <v>26</v>
      </c>
      <c r="I639" s="176">
        <f t="shared" si="127"/>
        <v>0.485585568768006</v>
      </c>
      <c r="J639" s="443">
        <f>直通车!B980</f>
        <v>2341.11</v>
      </c>
      <c r="K639" s="399">
        <f>直通车!C980</f>
        <v>13871</v>
      </c>
      <c r="L639" s="511">
        <f>直通车!D980</f>
        <v>483</v>
      </c>
      <c r="M639" s="325">
        <f>直通车!G980+直通车!H980</f>
        <v>33</v>
      </c>
      <c r="O639" s="176">
        <f t="shared" si="125"/>
        <v>0.0493776458606864</v>
      </c>
      <c r="P639" s="443">
        <f>引力魔方!B879</f>
        <v>238.06</v>
      </c>
      <c r="Q639" s="398">
        <f>引力魔方!C879</f>
        <v>347131</v>
      </c>
      <c r="R639" s="399">
        <f>引力魔方!D879</f>
        <v>2023</v>
      </c>
      <c r="S639" s="325">
        <f>引力魔方!G879+引力魔方!H879</f>
        <v>42</v>
      </c>
      <c r="U639" s="176">
        <f t="shared" si="126"/>
        <v>0.374802176217174</v>
      </c>
      <c r="V639" s="326">
        <f>万相台!B468</f>
        <v>1807</v>
      </c>
      <c r="W639" s="417">
        <f>万相台!C468</f>
        <v>293388</v>
      </c>
      <c r="X639" s="417">
        <f>万相台!D468</f>
        <v>2629</v>
      </c>
      <c r="Y639" s="306">
        <f>万相台!G468+万相台!H468</f>
        <v>247</v>
      </c>
      <c r="AB639" s="69">
        <f t="shared" si="117"/>
        <v>4821.21</v>
      </c>
      <c r="AC639" s="70">
        <f t="shared" si="118"/>
        <v>348</v>
      </c>
      <c r="AD639" s="505">
        <f t="shared" si="119"/>
        <v>13.8540517241379</v>
      </c>
      <c r="AE639" s="506">
        <f t="shared" si="120"/>
        <v>0.0656603773584906</v>
      </c>
      <c r="AF639" s="69">
        <f t="shared" si="121"/>
        <v>5300</v>
      </c>
      <c r="AG639" s="71">
        <f t="shared" si="122"/>
        <v>0.909662264150943</v>
      </c>
      <c r="AH639" s="71">
        <f t="shared" si="123"/>
        <v>7.36365010973973</v>
      </c>
    </row>
    <row r="640" spans="1:34">
      <c r="A640" s="304">
        <v>45628</v>
      </c>
      <c r="C640" s="176">
        <f t="shared" si="124"/>
        <v>0.130227058466357</v>
      </c>
      <c r="D640" s="443">
        <f>明星店铺!B981</f>
        <v>733.5</v>
      </c>
      <c r="E640" s="404">
        <f>明星店铺!C981</f>
        <v>589</v>
      </c>
      <c r="F640" s="404">
        <f>明星店铺!D981</f>
        <v>208</v>
      </c>
      <c r="G640" s="325">
        <f>明星店铺!G981+明星店铺!H981</f>
        <v>53</v>
      </c>
      <c r="I640" s="176">
        <f t="shared" si="127"/>
        <v>0.488226302137428</v>
      </c>
      <c r="J640" s="443">
        <f>直通车!B981</f>
        <v>2749.92</v>
      </c>
      <c r="K640" s="399">
        <f>直通车!C981</f>
        <v>14194</v>
      </c>
      <c r="L640" s="511">
        <f>直通车!D981</f>
        <v>572</v>
      </c>
      <c r="M640" s="325">
        <f>直通车!G981+直通车!H981</f>
        <v>39</v>
      </c>
      <c r="O640" s="176">
        <f t="shared" si="125"/>
        <v>0.0429740415838877</v>
      </c>
      <c r="P640" s="443">
        <f>引力魔方!B880</f>
        <v>242.05</v>
      </c>
      <c r="Q640" s="398">
        <f>引力魔方!C880</f>
        <v>356033</v>
      </c>
      <c r="R640" s="399">
        <f>引力魔方!D880</f>
        <v>1748</v>
      </c>
      <c r="S640" s="325">
        <f>引力魔方!G880+引力魔方!H880</f>
        <v>42</v>
      </c>
      <c r="U640" s="176">
        <f t="shared" si="126"/>
        <v>0.338572597812327</v>
      </c>
      <c r="V640" s="326">
        <f>万相台!B469</f>
        <v>1907</v>
      </c>
      <c r="W640" s="417">
        <f>万相台!C469</f>
        <v>128774</v>
      </c>
      <c r="X640" s="417">
        <f>万相台!D469</f>
        <v>1888</v>
      </c>
      <c r="Y640" s="306">
        <f>万相台!G469+万相台!H469</f>
        <v>192</v>
      </c>
      <c r="AB640" s="69">
        <f t="shared" si="117"/>
        <v>5632.47</v>
      </c>
      <c r="AC640" s="70">
        <f t="shared" si="118"/>
        <v>326</v>
      </c>
      <c r="AD640" s="505">
        <f t="shared" si="119"/>
        <v>17.2775153374233</v>
      </c>
      <c r="AE640" s="506">
        <f t="shared" si="120"/>
        <v>0.0738224637681159</v>
      </c>
      <c r="AF640" s="69">
        <f t="shared" si="121"/>
        <v>4416</v>
      </c>
      <c r="AG640" s="71">
        <f t="shared" si="122"/>
        <v>1.27546875</v>
      </c>
      <c r="AH640" s="71">
        <f t="shared" si="123"/>
        <v>11.2741848315619</v>
      </c>
    </row>
    <row r="641" spans="1:34">
      <c r="A641" s="304">
        <v>45629</v>
      </c>
      <c r="C641" s="176">
        <f t="shared" si="124"/>
        <v>0.107322742417039</v>
      </c>
      <c r="D641" s="443">
        <f>明星店铺!B982</f>
        <v>589.16</v>
      </c>
      <c r="E641" s="404">
        <f>明星店铺!C982</f>
        <v>488</v>
      </c>
      <c r="F641" s="404">
        <f>明星店铺!D982</f>
        <v>194</v>
      </c>
      <c r="G641" s="325">
        <f>明星店铺!G982+明星店铺!H982</f>
        <v>48</v>
      </c>
      <c r="I641" s="176">
        <f t="shared" si="127"/>
        <v>0.500946333163922</v>
      </c>
      <c r="J641" s="443">
        <f>直通车!B982</f>
        <v>2750</v>
      </c>
      <c r="K641" s="399">
        <f>直通车!C982</f>
        <v>13840</v>
      </c>
      <c r="L641" s="511">
        <f>直通车!D982</f>
        <v>581</v>
      </c>
      <c r="M641" s="325">
        <f>直通车!G982+直通车!H982</f>
        <v>31</v>
      </c>
      <c r="O641" s="176">
        <f t="shared" si="125"/>
        <v>0.0443474126577298</v>
      </c>
      <c r="P641" s="443">
        <f>引力魔方!B881</f>
        <v>243.45</v>
      </c>
      <c r="Q641" s="398">
        <f>引力魔方!C881</f>
        <v>337586</v>
      </c>
      <c r="R641" s="399">
        <f>引力魔方!D881</f>
        <v>1909</v>
      </c>
      <c r="S641" s="325">
        <f>引力魔方!G881+引力魔方!H881</f>
        <v>36</v>
      </c>
      <c r="U641" s="176">
        <f t="shared" si="126"/>
        <v>0.347383511761309</v>
      </c>
      <c r="V641" s="326">
        <f>万相台!B470</f>
        <v>1907</v>
      </c>
      <c r="W641" s="417">
        <f>万相台!C470</f>
        <v>148877</v>
      </c>
      <c r="X641" s="417">
        <f>万相台!D470</f>
        <v>2066</v>
      </c>
      <c r="Y641" s="306">
        <f>万相台!G470+万相台!H470</f>
        <v>191</v>
      </c>
      <c r="AB641" s="69">
        <f t="shared" si="117"/>
        <v>5489.61</v>
      </c>
      <c r="AC641" s="70">
        <f t="shared" si="118"/>
        <v>306</v>
      </c>
      <c r="AD641" s="505">
        <f t="shared" si="119"/>
        <v>17.9399019607843</v>
      </c>
      <c r="AE641" s="506">
        <f t="shared" si="120"/>
        <v>0.0644210526315789</v>
      </c>
      <c r="AF641" s="69">
        <f t="shared" si="121"/>
        <v>4750</v>
      </c>
      <c r="AG641" s="71">
        <f t="shared" si="122"/>
        <v>1.15570736842105</v>
      </c>
      <c r="AH641" s="71">
        <f t="shared" si="123"/>
        <v>10.9618783085159</v>
      </c>
    </row>
    <row r="642" spans="1:34">
      <c r="A642" s="304">
        <v>45630</v>
      </c>
      <c r="C642" s="176">
        <f t="shared" si="124"/>
        <v>0.115013344424803</v>
      </c>
      <c r="D642" s="443">
        <f>明星店铺!B983</f>
        <v>663.65</v>
      </c>
      <c r="E642" s="404">
        <f>明星店铺!C983</f>
        <v>683</v>
      </c>
      <c r="F642" s="404">
        <f>明星店铺!D983</f>
        <v>218</v>
      </c>
      <c r="G642" s="325">
        <f>明星店铺!G983+明星店铺!H983</f>
        <v>43</v>
      </c>
      <c r="I642" s="176">
        <f t="shared" si="127"/>
        <v>0.476538074936744</v>
      </c>
      <c r="J642" s="443">
        <f>直通车!B983</f>
        <v>2749.72</v>
      </c>
      <c r="K642" s="399">
        <f>直通车!C983</f>
        <v>17047</v>
      </c>
      <c r="L642" s="511">
        <f>直通车!D983</f>
        <v>582</v>
      </c>
      <c r="M642" s="325">
        <f>直通车!G983+直通车!H983</f>
        <v>57</v>
      </c>
      <c r="O642" s="176">
        <f t="shared" si="125"/>
        <v>0.0408703337839243</v>
      </c>
      <c r="P642" s="443">
        <f>引力魔方!B882</f>
        <v>235.83</v>
      </c>
      <c r="Q642" s="398">
        <f>引力魔方!C882</f>
        <v>281686</v>
      </c>
      <c r="R642" s="399">
        <f>引力魔方!D882</f>
        <v>1633</v>
      </c>
      <c r="S642" s="325">
        <f>引力魔方!G882+引力魔方!H882</f>
        <v>28</v>
      </c>
      <c r="U642" s="176">
        <f t="shared" si="126"/>
        <v>0.367578246854528</v>
      </c>
      <c r="V642" s="326">
        <f>万相台!B471</f>
        <v>2121</v>
      </c>
      <c r="W642" s="417">
        <f>万相台!C471</f>
        <v>367682</v>
      </c>
      <c r="X642" s="417">
        <f>万相台!D471</f>
        <v>3155</v>
      </c>
      <c r="Y642" s="306">
        <f>万相台!G471+万相台!H471</f>
        <v>187</v>
      </c>
      <c r="AB642" s="69">
        <f t="shared" si="117"/>
        <v>5770.2</v>
      </c>
      <c r="AC642" s="70">
        <f t="shared" si="118"/>
        <v>315</v>
      </c>
      <c r="AD642" s="505">
        <f t="shared" si="119"/>
        <v>18.3180952380952</v>
      </c>
      <c r="AE642" s="506">
        <f t="shared" si="120"/>
        <v>0.0563707945597709</v>
      </c>
      <c r="AF642" s="69">
        <f t="shared" si="121"/>
        <v>5588</v>
      </c>
      <c r="AG642" s="71">
        <f t="shared" si="122"/>
        <v>1.03260558339299</v>
      </c>
      <c r="AH642" s="71">
        <f t="shared" si="123"/>
        <v>8.64970364174379</v>
      </c>
    </row>
    <row r="643" spans="1:34">
      <c r="A643" s="304">
        <v>45631</v>
      </c>
      <c r="C643" s="176">
        <f t="shared" si="124"/>
        <v>0.124720476354669</v>
      </c>
      <c r="D643" s="443">
        <f>明星店铺!B984</f>
        <v>618.53</v>
      </c>
      <c r="E643" s="404">
        <f>明星店铺!C984</f>
        <v>676</v>
      </c>
      <c r="F643" s="404">
        <f>明星店铺!D984</f>
        <v>201</v>
      </c>
      <c r="G643" s="325">
        <f>明星店铺!G984+明星店铺!H984</f>
        <v>42</v>
      </c>
      <c r="I643" s="176">
        <f t="shared" si="127"/>
        <v>0.5535404984141</v>
      </c>
      <c r="J643" s="443">
        <f>直通车!B984</f>
        <v>2745.19</v>
      </c>
      <c r="K643" s="399">
        <f>直通车!C984</f>
        <v>15350</v>
      </c>
      <c r="L643" s="511">
        <f>直通车!D984</f>
        <v>577</v>
      </c>
      <c r="M643" s="325">
        <f>直通车!G984+直通车!H984</f>
        <v>23</v>
      </c>
      <c r="O643" s="176">
        <f t="shared" si="125"/>
        <v>0.0392411878217421</v>
      </c>
      <c r="P643" s="443">
        <f>引力魔方!B883</f>
        <v>194.61</v>
      </c>
      <c r="Q643" s="398">
        <f>引力魔方!C883</f>
        <v>30181</v>
      </c>
      <c r="R643" s="399">
        <f>引力魔方!D883</f>
        <v>307</v>
      </c>
      <c r="S643" s="325">
        <f>引力魔方!G883+引力魔方!H883</f>
        <v>35</v>
      </c>
      <c r="U643" s="176">
        <f t="shared" si="126"/>
        <v>0.282497837409489</v>
      </c>
      <c r="V643" s="326">
        <f>万相台!B472</f>
        <v>1401</v>
      </c>
      <c r="W643" s="417">
        <f>万相台!C472</f>
        <v>386224</v>
      </c>
      <c r="X643" s="417">
        <f>万相台!D472</f>
        <v>3772</v>
      </c>
      <c r="Y643" s="306">
        <f>万相台!G472+万相台!H472</f>
        <v>96</v>
      </c>
      <c r="AB643" s="69">
        <f t="shared" si="117"/>
        <v>4959.33</v>
      </c>
      <c r="AC643" s="70">
        <f t="shared" si="118"/>
        <v>196</v>
      </c>
      <c r="AD643" s="505">
        <f t="shared" si="119"/>
        <v>25.3027040816327</v>
      </c>
      <c r="AE643" s="506">
        <f t="shared" si="120"/>
        <v>0.0403541280625901</v>
      </c>
      <c r="AF643" s="69">
        <f t="shared" si="121"/>
        <v>4857</v>
      </c>
      <c r="AG643" s="71">
        <f t="shared" si="122"/>
        <v>1.02106856084002</v>
      </c>
      <c r="AH643" s="71">
        <f t="shared" si="123"/>
        <v>11.4684886143685</v>
      </c>
    </row>
    <row r="644" spans="1:34">
      <c r="A644" s="304">
        <v>45632</v>
      </c>
      <c r="C644" s="176">
        <f t="shared" si="124"/>
        <v>0.153310259055369</v>
      </c>
      <c r="D644" s="443">
        <f>明星店铺!B985</f>
        <v>795.09</v>
      </c>
      <c r="E644" s="404">
        <f>明星店铺!C985</f>
        <v>801</v>
      </c>
      <c r="F644" s="404">
        <f>明星店铺!D985</f>
        <v>265</v>
      </c>
      <c r="G644" s="325">
        <f>明星店铺!G985+明星店铺!H985</f>
        <v>69</v>
      </c>
      <c r="I644" s="176">
        <f t="shared" si="127"/>
        <v>0.530258476904833</v>
      </c>
      <c r="J644" s="443">
        <f>直通车!B985</f>
        <v>2750</v>
      </c>
      <c r="K644" s="399">
        <f>直通车!C985</f>
        <v>14293</v>
      </c>
      <c r="L644" s="511">
        <f>直通车!D985</f>
        <v>555</v>
      </c>
      <c r="M644" s="325">
        <f>直通车!G985+直通车!H985</f>
        <v>31</v>
      </c>
      <c r="O644" s="176">
        <f t="shared" si="125"/>
        <v>0.0368404307627045</v>
      </c>
      <c r="P644" s="443">
        <f>引力魔方!B884</f>
        <v>191.06</v>
      </c>
      <c r="Q644" s="398">
        <f>引力魔方!C884</f>
        <v>31585</v>
      </c>
      <c r="R644" s="399">
        <f>引力魔方!D884</f>
        <v>310</v>
      </c>
      <c r="S644" s="325">
        <f>引力魔方!G884+引力魔方!H884</f>
        <v>37</v>
      </c>
      <c r="U644" s="176">
        <f t="shared" si="126"/>
        <v>0.279590833277094</v>
      </c>
      <c r="V644" s="326">
        <f>万相台!B473</f>
        <v>1450</v>
      </c>
      <c r="W644" s="417">
        <f>万相台!C473</f>
        <v>319032</v>
      </c>
      <c r="X644" s="417">
        <f>万相台!D473</f>
        <v>3715</v>
      </c>
      <c r="Y644" s="306">
        <f>万相台!G473+万相台!H473</f>
        <v>116</v>
      </c>
      <c r="AB644" s="69">
        <f t="shared" si="117"/>
        <v>5186.15</v>
      </c>
      <c r="AC644" s="70">
        <f t="shared" si="118"/>
        <v>253</v>
      </c>
      <c r="AD644" s="505">
        <f t="shared" si="119"/>
        <v>20.4986166007905</v>
      </c>
      <c r="AE644" s="506">
        <f t="shared" si="120"/>
        <v>0.052218782249742</v>
      </c>
      <c r="AF644" s="69">
        <f t="shared" si="121"/>
        <v>4845</v>
      </c>
      <c r="AG644" s="71">
        <f t="shared" si="122"/>
        <v>1.07041279669763</v>
      </c>
      <c r="AH644" s="71">
        <f t="shared" si="123"/>
        <v>14.1810063137286</v>
      </c>
    </row>
    <row r="645" spans="1:34">
      <c r="A645" s="304">
        <v>45633</v>
      </c>
      <c r="C645" s="176">
        <f t="shared" si="124"/>
        <v>0.183062299062644</v>
      </c>
      <c r="D645" s="443">
        <f>明星店铺!B986</f>
        <v>998.16</v>
      </c>
      <c r="E645" s="404">
        <f>明星店铺!C986</f>
        <v>970</v>
      </c>
      <c r="F645" s="404">
        <f>明星店铺!D986</f>
        <v>369</v>
      </c>
      <c r="G645" s="325">
        <f>明星店铺!G986+明星店铺!H986</f>
        <v>88</v>
      </c>
      <c r="I645" s="176">
        <f t="shared" si="127"/>
        <v>0.504349325180603</v>
      </c>
      <c r="J645" s="443">
        <f>直通车!B986</f>
        <v>2750</v>
      </c>
      <c r="K645" s="399">
        <f>直通车!C986</f>
        <v>10274</v>
      </c>
      <c r="L645" s="511">
        <f>直通车!D986</f>
        <v>625</v>
      </c>
      <c r="M645" s="325">
        <f>直通车!G986+直通车!H986</f>
        <v>40</v>
      </c>
      <c r="O645" s="176">
        <f t="shared" si="125"/>
        <v>0.0345543477662827</v>
      </c>
      <c r="P645" s="443">
        <f>引力魔方!B885</f>
        <v>188.41</v>
      </c>
      <c r="Q645" s="398">
        <f>引力魔方!C885</f>
        <v>24178</v>
      </c>
      <c r="R645" s="399">
        <f>引力魔方!D885</f>
        <v>439</v>
      </c>
      <c r="S645" s="325">
        <f>引力魔方!G885+引力魔方!H885</f>
        <v>54</v>
      </c>
      <c r="U645" s="176">
        <f t="shared" si="126"/>
        <v>0.278034027990471</v>
      </c>
      <c r="V645" s="326">
        <f>万相台!B474</f>
        <v>1516</v>
      </c>
      <c r="W645" s="417">
        <f>万相台!C474</f>
        <v>171266</v>
      </c>
      <c r="X645" s="417">
        <f>万相台!D474</f>
        <v>2741</v>
      </c>
      <c r="Y645" s="306">
        <f>万相台!G474+万相台!H474</f>
        <v>137</v>
      </c>
      <c r="AB645" s="69">
        <f t="shared" si="117"/>
        <v>5452.57</v>
      </c>
      <c r="AC645" s="70">
        <f t="shared" si="118"/>
        <v>319</v>
      </c>
      <c r="AD645" s="505">
        <f t="shared" si="119"/>
        <v>17.0926959247649</v>
      </c>
      <c r="AE645" s="506">
        <f t="shared" si="120"/>
        <v>0.0764254911356013</v>
      </c>
      <c r="AF645" s="69">
        <f t="shared" si="121"/>
        <v>4174</v>
      </c>
      <c r="AG645" s="71">
        <f t="shared" si="122"/>
        <v>1.30631768088165</v>
      </c>
      <c r="AH645" s="71">
        <f t="shared" si="123"/>
        <v>26.3806800588326</v>
      </c>
    </row>
    <row r="646" spans="1:34">
      <c r="C646" s="176" t="e">
        <f t="shared" si="124"/>
        <v>#DIV/0!</v>
      </c>
      <c r="D646" s="443">
        <f>明星店铺!B987</f>
        <v>997.05</v>
      </c>
      <c r="E646" s="404">
        <f>明星店铺!C987</f>
        <v>1075</v>
      </c>
      <c r="F646" s="404">
        <f>明星店铺!D987</f>
        <v>352</v>
      </c>
      <c r="G646" s="325">
        <f>明星店铺!G987+明星店铺!H987</f>
        <v>65</v>
      </c>
      <c r="I646" s="176" t="e">
        <f t="shared" si="127"/>
        <v>#DIV/0!</v>
      </c>
      <c r="J646" s="443">
        <f>直通车!B987</f>
        <v>2750</v>
      </c>
      <c r="K646" s="399">
        <f>直通车!C987</f>
        <v>14031</v>
      </c>
      <c r="L646" s="511">
        <f>直通车!D987</f>
        <v>570</v>
      </c>
      <c r="M646" s="325">
        <f>直通车!G987+直通车!H987</f>
        <v>32</v>
      </c>
      <c r="O646" s="176" t="e">
        <f t="shared" si="125"/>
        <v>#DIV/0!</v>
      </c>
      <c r="P646" s="443">
        <f>引力魔方!B886</f>
        <v>189.76</v>
      </c>
      <c r="Q646" s="398">
        <f>引力魔方!C886</f>
        <v>50349</v>
      </c>
      <c r="R646" s="399">
        <f>引力魔方!D886</f>
        <v>438</v>
      </c>
      <c r="S646" s="325">
        <f>引力魔方!G886+引力魔方!H886</f>
        <v>38</v>
      </c>
      <c r="U646" s="176" t="e">
        <f t="shared" si="126"/>
        <v>#DIV/0!</v>
      </c>
      <c r="V646" s="326">
        <f>万相台!B475</f>
        <v>1693</v>
      </c>
      <c r="W646" s="417">
        <f>万相台!C475</f>
        <v>167777</v>
      </c>
      <c r="X646" s="417">
        <f>万相台!D475</f>
        <v>2942</v>
      </c>
      <c r="Y646" s="306">
        <f>万相台!G475+万相台!H475</f>
        <v>211</v>
      </c>
    </row>
    <row r="647" spans="1:34">
      <c r="C647" s="176" t="e">
        <f t="shared" si="124"/>
        <v>#DIV/0!</v>
      </c>
      <c r="D647" s="443">
        <f>明星店铺!B988</f>
        <v>868.84</v>
      </c>
      <c r="E647" s="404">
        <f>明星店铺!C988</f>
        <v>806</v>
      </c>
      <c r="F647" s="404">
        <f>明星店铺!D988</f>
        <v>266</v>
      </c>
      <c r="G647" s="325">
        <f>明星店铺!G988+明星店铺!H988</f>
        <v>44</v>
      </c>
      <c r="I647" s="176" t="e">
        <f t="shared" si="127"/>
        <v>#DIV/0!</v>
      </c>
      <c r="J647" s="443">
        <f>直通车!B988</f>
        <v>2901.84</v>
      </c>
      <c r="K647" s="399">
        <f>直通车!C988</f>
        <v>11920</v>
      </c>
      <c r="L647" s="511">
        <f>直通车!D988</f>
        <v>634</v>
      </c>
      <c r="M647" s="325">
        <f>直通车!G988+直通车!H988</f>
        <v>36</v>
      </c>
      <c r="O647" s="176" t="e">
        <f t="shared" si="125"/>
        <v>#DIV/0!</v>
      </c>
      <c r="P647" s="443">
        <f>引力魔方!B887</f>
        <v>658.07</v>
      </c>
      <c r="Q647" s="398">
        <f>引力魔方!C887</f>
        <v>47693</v>
      </c>
      <c r="R647" s="399">
        <f>引力魔方!D887</f>
        <v>509</v>
      </c>
      <c r="S647" s="325">
        <f>引力魔方!G887+引力魔方!H887</f>
        <v>48</v>
      </c>
      <c r="U647" s="176" t="e">
        <f t="shared" si="126"/>
        <v>#DIV/0!</v>
      </c>
      <c r="V647" s="326">
        <f>万相台!B476</f>
        <v>1765</v>
      </c>
      <c r="W647" s="417">
        <f>万相台!C476</f>
        <v>171050</v>
      </c>
      <c r="X647" s="417">
        <f>万相台!D476</f>
        <v>2126</v>
      </c>
      <c r="Y647" s="306">
        <f>万相台!G476+万相台!H476</f>
        <v>154</v>
      </c>
    </row>
    <row r="648" spans="1:34">
      <c r="I648" s="176" t="e">
        <f t="shared" si="127"/>
        <v>#DIV/0!</v>
      </c>
      <c r="J648" s="443">
        <f>直通车!B989</f>
        <v>3826.43</v>
      </c>
      <c r="K648" s="399">
        <f>直通车!C989</f>
        <v>16266</v>
      </c>
      <c r="L648" s="511">
        <f>直通车!D989</f>
        <v>862</v>
      </c>
      <c r="M648" s="325">
        <f>直通车!G989+直通车!H989</f>
        <v>65</v>
      </c>
      <c r="O648" s="176" t="e">
        <f t="shared" si="125"/>
        <v>#DIV/0!</v>
      </c>
      <c r="P648" s="443">
        <f>引力魔方!B888</f>
        <v>678.01</v>
      </c>
      <c r="Q648" s="398">
        <f>引力魔方!C888</f>
        <v>57687</v>
      </c>
      <c r="R648" s="399">
        <f>引力魔方!D888</f>
        <v>633</v>
      </c>
      <c r="S648" s="325">
        <f>引力魔方!G888+引力魔方!H888</f>
        <v>61</v>
      </c>
      <c r="U648" s="176" t="e">
        <f t="shared" si="126"/>
        <v>#DIV/0!</v>
      </c>
      <c r="V648" s="326">
        <f>万相台!B477</f>
        <v>2989</v>
      </c>
      <c r="W648" s="417">
        <f>万相台!C477</f>
        <v>221581</v>
      </c>
      <c r="X648" s="417">
        <f>万相台!D477</f>
        <v>3426</v>
      </c>
      <c r="Y648" s="306">
        <f>万相台!G477+万相台!H477</f>
        <v>167</v>
      </c>
    </row>
    <row r="649" spans="1:34">
      <c r="I649" s="176" t="e">
        <f t="shared" si="127"/>
        <v>#DIV/0!</v>
      </c>
      <c r="J649" s="443">
        <f>直通车!B990</f>
        <v>4033.33</v>
      </c>
      <c r="K649" s="399">
        <f>直通车!C990</f>
        <v>14745</v>
      </c>
      <c r="L649" s="511">
        <f>直通车!D990</f>
        <v>946</v>
      </c>
      <c r="M649" s="325">
        <f>直通车!G990+直通车!H990</f>
        <v>67</v>
      </c>
      <c r="O649" s="176" t="e">
        <f t="shared" si="125"/>
        <v>#DIV/0!</v>
      </c>
      <c r="P649" s="443">
        <f>引力魔方!B889</f>
        <v>687.11</v>
      </c>
      <c r="Q649" s="398">
        <f>引力魔方!C889</f>
        <v>54451</v>
      </c>
      <c r="R649" s="399">
        <f>引力魔方!D889</f>
        <v>575</v>
      </c>
      <c r="S649" s="325">
        <f>引力魔方!G889+引力魔方!H889</f>
        <v>79</v>
      </c>
      <c r="U649" s="176" t="e">
        <f t="shared" si="126"/>
        <v>#DIV/0!</v>
      </c>
      <c r="V649" s="326">
        <f>万相台!B478</f>
        <v>2222</v>
      </c>
      <c r="W649" s="417">
        <f>万相台!C478</f>
        <v>135500</v>
      </c>
      <c r="X649" s="417">
        <f>万相台!D478</f>
        <v>1920</v>
      </c>
      <c r="Y649" s="306">
        <f>万相台!G478+万相台!H478</f>
        <v>192</v>
      </c>
    </row>
    <row r="650" spans="1:34">
      <c r="I650" s="176" t="e">
        <f t="shared" si="127"/>
        <v>#DIV/0!</v>
      </c>
      <c r="J650" s="443">
        <f>直通车!B991</f>
        <v>3689.84</v>
      </c>
      <c r="K650" s="399">
        <f>直通车!C991</f>
        <v>19285</v>
      </c>
      <c r="L650" s="511">
        <f>直通车!D991</f>
        <v>952</v>
      </c>
      <c r="M650" s="325">
        <f>直通车!G991+直通车!H991</f>
        <v>66</v>
      </c>
      <c r="O650" s="176" t="e">
        <f t="shared" si="125"/>
        <v>#DIV/0!</v>
      </c>
      <c r="P650" s="443">
        <f>引力魔方!B890</f>
        <v>673.25</v>
      </c>
      <c r="Q650" s="398">
        <f>引力魔方!C890</f>
        <v>26096</v>
      </c>
      <c r="R650" s="399">
        <f>引力魔方!D890</f>
        <v>593</v>
      </c>
      <c r="S650" s="325">
        <f>引力魔方!G890+引力魔方!H890</f>
        <v>49</v>
      </c>
      <c r="U650" s="176" t="e">
        <f t="shared" si="126"/>
        <v>#DIV/0!</v>
      </c>
      <c r="V650" s="326">
        <f>万相台!B479</f>
        <v>2927</v>
      </c>
      <c r="W650" s="417">
        <f>万相台!C479</f>
        <v>138084</v>
      </c>
      <c r="X650" s="417">
        <f>万相台!D479</f>
        <v>3526</v>
      </c>
      <c r="Y650" s="306">
        <f>万相台!G479+万相台!H479</f>
        <v>261</v>
      </c>
    </row>
    <row r="651" spans="1:34">
      <c r="I651" s="176" t="e">
        <f t="shared" si="127"/>
        <v>#DIV/0!</v>
      </c>
      <c r="J651" s="443">
        <f>直通车!B992</f>
        <v>3163.84</v>
      </c>
      <c r="K651" s="399">
        <f>直通车!C992</f>
        <v>16801</v>
      </c>
      <c r="L651" s="511">
        <f>直通车!D992</f>
        <v>862</v>
      </c>
      <c r="M651" s="325">
        <f>直通车!G992+直通车!H992</f>
        <v>58</v>
      </c>
      <c r="O651" s="176" t="e">
        <f t="shared" si="125"/>
        <v>#DIV/0!</v>
      </c>
      <c r="P651" s="443">
        <f>引力魔方!B891</f>
        <v>145.81</v>
      </c>
      <c r="Q651" s="398">
        <f>引力魔方!C891</f>
        <v>8331</v>
      </c>
      <c r="R651" s="399">
        <f>引力魔方!D891</f>
        <v>159</v>
      </c>
      <c r="S651" s="325">
        <f>引力魔方!G891+引力魔方!H891</f>
        <v>12</v>
      </c>
      <c r="U651" s="176" t="e">
        <f t="shared" si="126"/>
        <v>#DIV/0!</v>
      </c>
      <c r="V651" s="326">
        <f>万相台!B480</f>
        <v>1289</v>
      </c>
      <c r="W651" s="417">
        <f>万相台!C480</f>
        <v>77041</v>
      </c>
      <c r="X651" s="417">
        <f>万相台!D480</f>
        <v>1183</v>
      </c>
      <c r="Y651" s="306">
        <f>万相台!G480+万相台!H480</f>
        <v>121</v>
      </c>
    </row>
    <row r="652" spans="1:34">
      <c r="I652" s="176" t="e">
        <f t="shared" si="127"/>
        <v>#DIV/0!</v>
      </c>
      <c r="J652" s="443">
        <f>直通车!B993</f>
        <v>2298.32</v>
      </c>
      <c r="K652" s="399">
        <f>直通车!C993</f>
        <v>10285</v>
      </c>
      <c r="L652" s="511">
        <f>直通车!D993</f>
        <v>732</v>
      </c>
      <c r="M652" s="325">
        <f>直通车!G993+直通车!H993</f>
        <v>47</v>
      </c>
      <c r="O652" s="176" t="e">
        <f t="shared" si="125"/>
        <v>#DIV/0!</v>
      </c>
      <c r="P652" s="443">
        <f>引力魔方!B892</f>
        <v>50</v>
      </c>
      <c r="Q652" s="398">
        <f>引力魔方!C892</f>
        <v>1222</v>
      </c>
      <c r="R652" s="399">
        <f>引力魔方!D892</f>
        <v>30</v>
      </c>
      <c r="S652" s="325">
        <f>引力魔方!G892+引力魔方!H892</f>
        <v>1</v>
      </c>
      <c r="U652" s="176" t="e">
        <f t="shared" si="126"/>
        <v>#DIV/0!</v>
      </c>
      <c r="V652" s="326">
        <f>万相台!B481</f>
        <v>1164</v>
      </c>
      <c r="W652" s="417">
        <f>万相台!C481</f>
        <v>234643</v>
      </c>
      <c r="X652" s="417">
        <f>万相台!D481</f>
        <v>1901</v>
      </c>
      <c r="Y652" s="306">
        <f>万相台!G481+万相台!H481</f>
        <v>107</v>
      </c>
    </row>
    <row r="653" spans="1:34">
      <c r="I653" s="176" t="e">
        <f t="shared" si="127"/>
        <v>#DIV/0!</v>
      </c>
      <c r="J653" s="443">
        <f>直通车!B994</f>
        <v>1729.11</v>
      </c>
      <c r="K653" s="399">
        <f>直通车!C994</f>
        <v>7579</v>
      </c>
      <c r="L653" s="511">
        <f>直通车!D994</f>
        <v>587</v>
      </c>
      <c r="M653" s="325">
        <f>直通车!G994+直通车!H994</f>
        <v>40</v>
      </c>
      <c r="O653" s="176" t="e">
        <f t="shared" si="125"/>
        <v>#DIV/0!</v>
      </c>
      <c r="P653" s="443">
        <f>引力魔方!B893</f>
        <v>50</v>
      </c>
      <c r="Q653" s="398">
        <f>引力魔方!C893</f>
        <v>1809</v>
      </c>
      <c r="R653" s="399">
        <f>引力魔方!D893</f>
        <v>36</v>
      </c>
      <c r="S653" s="325">
        <f>引力魔方!G893+引力魔方!H893</f>
        <v>0</v>
      </c>
      <c r="U653" s="176" t="e">
        <f t="shared" si="126"/>
        <v>#DIV/0!</v>
      </c>
      <c r="V653" s="326">
        <f>万相台!B482</f>
        <v>1557</v>
      </c>
      <c r="W653" s="417">
        <f>万相台!C482</f>
        <v>96113</v>
      </c>
      <c r="X653" s="417">
        <f>万相台!D482</f>
        <v>1957</v>
      </c>
      <c r="Y653" s="306">
        <f>万相台!G482+万相台!H482</f>
        <v>133</v>
      </c>
    </row>
  </sheetData>
  <sheetProtection formatCells="0" insertHyperlinks="0" autoFilter="0"/>
  <mergeCells count="6">
    <mergeCell ref="B1:G1"/>
    <mergeCell ref="H1:M1"/>
    <mergeCell ref="N1:S1"/>
    <mergeCell ref="T1:Y1"/>
    <mergeCell ref="A1:A2"/>
    <mergeCell ref="Z1:Z2"/>
  </mergeCells>
  <conditionalFormatting sqref="D3">
    <cfRule type="expression" dxfId="0" priority="588">
      <formula>D3&gt;B3</formula>
    </cfRule>
    <cfRule type="expression" dxfId="1" priority="589">
      <formula>D3&lt;B3</formula>
    </cfRule>
  </conditionalFormatting>
  <conditionalFormatting sqref="J3">
    <cfRule type="expression" dxfId="2" priority="584">
      <formula>J3&gt;H3</formula>
    </cfRule>
    <cfRule type="expression" dxfId="1" priority="585">
      <formula>J3&lt;H3</formula>
    </cfRule>
  </conditionalFormatting>
  <conditionalFormatting sqref="P3">
    <cfRule type="expression" dxfId="2" priority="582">
      <formula>P3&gt;N3</formula>
    </cfRule>
    <cfRule type="expression" dxfId="3" priority="583">
      <formula>P3&lt;N3</formula>
    </cfRule>
  </conditionalFormatting>
  <conditionalFormatting sqref="D11">
    <cfRule type="expression" dxfId="0" priority="570">
      <formula>D11&gt;B11</formula>
    </cfRule>
    <cfRule type="expression" dxfId="1" priority="571">
      <formula>D11&lt;B11</formula>
    </cfRule>
  </conditionalFormatting>
  <conditionalFormatting sqref="J11">
    <cfRule type="expression" dxfId="2" priority="568">
      <formula>J11&gt;H11</formula>
    </cfRule>
    <cfRule type="expression" dxfId="1" priority="569">
      <formula>J11&lt;H11</formula>
    </cfRule>
  </conditionalFormatting>
  <conditionalFormatting sqref="P11">
    <cfRule type="expression" dxfId="2" priority="566">
      <formula>P11&gt;N11</formula>
    </cfRule>
    <cfRule type="expression" dxfId="3" priority="567">
      <formula>P11&lt;N11</formula>
    </cfRule>
  </conditionalFormatting>
  <conditionalFormatting sqref="J42">
    <cfRule type="expression" dxfId="2" priority="541">
      <formula>J42&gt;H42</formula>
    </cfRule>
    <cfRule type="expression" dxfId="1" priority="542">
      <formula>J42&lt;H42</formula>
    </cfRule>
  </conditionalFormatting>
  <conditionalFormatting sqref="D45">
    <cfRule type="expression" dxfId="0" priority="551">
      <formula>D45&gt;B45</formula>
    </cfRule>
    <cfRule type="expression" dxfId="1" priority="552">
      <formula>D45&lt;B45</formula>
    </cfRule>
  </conditionalFormatting>
  <conditionalFormatting sqref="P73">
    <cfRule type="expression" dxfId="2" priority="518">
      <formula>P73&gt;N73</formula>
    </cfRule>
    <cfRule type="expression" dxfId="3" priority="524">
      <formula>P73&lt;N73</formula>
    </cfRule>
  </conditionalFormatting>
  <conditionalFormatting sqref="P74">
    <cfRule type="expression" dxfId="2" priority="517">
      <formula>P74&gt;N74</formula>
    </cfRule>
    <cfRule type="expression" dxfId="3" priority="523">
      <formula>P74&lt;N74</formula>
    </cfRule>
  </conditionalFormatting>
  <conditionalFormatting sqref="P75">
    <cfRule type="expression" dxfId="2" priority="516">
      <formula>P75&gt;N75</formula>
    </cfRule>
    <cfRule type="expression" dxfId="3" priority="522">
      <formula>P75&lt;N75</formula>
    </cfRule>
  </conditionalFormatting>
  <conditionalFormatting sqref="P76">
    <cfRule type="expression" dxfId="2" priority="515">
      <formula>P76&gt;N76</formula>
    </cfRule>
    <cfRule type="expression" dxfId="3" priority="521">
      <formula>P76&lt;N76</formula>
    </cfRule>
  </conditionalFormatting>
  <conditionalFormatting sqref="P77">
    <cfRule type="expression" dxfId="2" priority="514">
      <formula>P77&gt;N77</formula>
    </cfRule>
    <cfRule type="expression" dxfId="3" priority="520">
      <formula>P77&lt;N77</formula>
    </cfRule>
  </conditionalFormatting>
  <conditionalFormatting sqref="P78">
    <cfRule type="expression" dxfId="2" priority="513">
      <formula>P78&gt;N78</formula>
    </cfRule>
    <cfRule type="expression" dxfId="3" priority="519">
      <formula>P78&lt;N78</formula>
    </cfRule>
  </conditionalFormatting>
  <conditionalFormatting sqref="D79">
    <cfRule type="expression" dxfId="0" priority="472">
      <formula>D79&gt;B79</formula>
    </cfRule>
    <cfRule type="expression" dxfId="1" priority="480">
      <formula>D79&lt;B79</formula>
    </cfRule>
  </conditionalFormatting>
  <conditionalFormatting sqref="J79">
    <cfRule type="expression" dxfId="2" priority="488">
      <formula>J79&gt;H79</formula>
    </cfRule>
    <cfRule type="expression" dxfId="1" priority="496">
      <formula>J79&lt;H79</formula>
    </cfRule>
  </conditionalFormatting>
  <conditionalFormatting sqref="P79">
    <cfRule type="expression" dxfId="2" priority="504">
      <formula>P79&gt;N79</formula>
    </cfRule>
    <cfRule type="expression" dxfId="3" priority="512">
      <formula>P79&lt;N79</formula>
    </cfRule>
  </conditionalFormatting>
  <conditionalFormatting sqref="D80">
    <cfRule type="expression" dxfId="0" priority="471">
      <formula>D80&gt;B80</formula>
    </cfRule>
    <cfRule type="expression" dxfId="1" priority="479">
      <formula>D80&lt;B80</formula>
    </cfRule>
  </conditionalFormatting>
  <conditionalFormatting sqref="J80">
    <cfRule type="expression" dxfId="2" priority="487">
      <formula>J80&gt;H80</formula>
    </cfRule>
    <cfRule type="expression" dxfId="1" priority="495">
      <formula>J80&lt;H80</formula>
    </cfRule>
  </conditionalFormatting>
  <conditionalFormatting sqref="P80">
    <cfRule type="expression" dxfId="2" priority="503">
      <formula>P80&gt;N80</formula>
    </cfRule>
    <cfRule type="expression" dxfId="3" priority="511">
      <formula>P80&lt;N80</formula>
    </cfRule>
  </conditionalFormatting>
  <conditionalFormatting sqref="D81">
    <cfRule type="expression" dxfId="0" priority="470">
      <formula>D81&gt;B81</formula>
    </cfRule>
    <cfRule type="expression" dxfId="1" priority="478">
      <formula>D81&lt;B81</formula>
    </cfRule>
  </conditionalFormatting>
  <conditionalFormatting sqref="J81">
    <cfRule type="expression" dxfId="2" priority="486">
      <formula>J81&gt;H81</formula>
    </cfRule>
    <cfRule type="expression" dxfId="1" priority="494">
      <formula>J81&lt;H81</formula>
    </cfRule>
  </conditionalFormatting>
  <conditionalFormatting sqref="P81">
    <cfRule type="expression" dxfId="2" priority="502">
      <formula>P81&gt;N81</formula>
    </cfRule>
    <cfRule type="expression" dxfId="3" priority="510">
      <formula>P81&lt;N81</formula>
    </cfRule>
  </conditionalFormatting>
  <conditionalFormatting sqref="D82">
    <cfRule type="expression" dxfId="0" priority="469">
      <formula>D82&gt;B82</formula>
    </cfRule>
    <cfRule type="expression" dxfId="1" priority="477">
      <formula>D82&lt;B82</formula>
    </cfRule>
  </conditionalFormatting>
  <conditionalFormatting sqref="J82">
    <cfRule type="expression" dxfId="2" priority="485">
      <formula>J82&gt;H82</formula>
    </cfRule>
    <cfRule type="expression" dxfId="1" priority="493">
      <formula>J82&lt;H82</formula>
    </cfRule>
  </conditionalFormatting>
  <conditionalFormatting sqref="P82">
    <cfRule type="expression" dxfId="2" priority="501">
      <formula>P82&gt;N82</formula>
    </cfRule>
    <cfRule type="expression" dxfId="3" priority="509">
      <formula>P82&lt;N82</formula>
    </cfRule>
  </conditionalFormatting>
  <conditionalFormatting sqref="D83">
    <cfRule type="expression" dxfId="0" priority="468">
      <formula>D83&gt;B83</formula>
    </cfRule>
    <cfRule type="expression" dxfId="1" priority="476">
      <formula>D83&lt;B83</formula>
    </cfRule>
  </conditionalFormatting>
  <conditionalFormatting sqref="J83">
    <cfRule type="expression" dxfId="2" priority="484">
      <formula>J83&gt;H83</formula>
    </cfRule>
    <cfRule type="expression" dxfId="1" priority="492">
      <formula>J83&lt;H83</formula>
    </cfRule>
  </conditionalFormatting>
  <conditionalFormatting sqref="P83">
    <cfRule type="expression" dxfId="2" priority="500">
      <formula>P83&gt;N83</formula>
    </cfRule>
    <cfRule type="expression" dxfId="3" priority="508">
      <formula>P83&lt;N83</formula>
    </cfRule>
  </conditionalFormatting>
  <conditionalFormatting sqref="D84">
    <cfRule type="expression" dxfId="0" priority="467">
      <formula>D84&gt;B84</formula>
    </cfRule>
    <cfRule type="expression" dxfId="1" priority="475">
      <formula>D84&lt;B84</formula>
    </cfRule>
  </conditionalFormatting>
  <conditionalFormatting sqref="J84">
    <cfRule type="expression" dxfId="2" priority="483">
      <formula>J84&gt;H84</formula>
    </cfRule>
    <cfRule type="expression" dxfId="1" priority="491">
      <formula>J84&lt;H84</formula>
    </cfRule>
  </conditionalFormatting>
  <conditionalFormatting sqref="P84">
    <cfRule type="expression" dxfId="2" priority="499">
      <formula>P84&gt;N84</formula>
    </cfRule>
    <cfRule type="expression" dxfId="3" priority="507">
      <formula>P84&lt;N84</formula>
    </cfRule>
  </conditionalFormatting>
  <conditionalFormatting sqref="D85">
    <cfRule type="expression" dxfId="0" priority="466">
      <formula>D85&gt;B85</formula>
    </cfRule>
    <cfRule type="expression" dxfId="1" priority="474">
      <formula>D85&lt;B85</formula>
    </cfRule>
  </conditionalFormatting>
  <conditionalFormatting sqref="J85">
    <cfRule type="expression" dxfId="2" priority="482">
      <formula>J85&gt;H85</formula>
    </cfRule>
    <cfRule type="expression" dxfId="1" priority="490">
      <formula>J85&lt;H85</formula>
    </cfRule>
  </conditionalFormatting>
  <conditionalFormatting sqref="P85">
    <cfRule type="expression" dxfId="2" priority="498">
      <formula>P85&gt;N85</formula>
    </cfRule>
    <cfRule type="expression" dxfId="3" priority="506">
      <formula>P85&lt;N85</formula>
    </cfRule>
  </conditionalFormatting>
  <conditionalFormatting sqref="D86">
    <cfRule type="expression" dxfId="0" priority="465">
      <formula>D86&gt;B86</formula>
    </cfRule>
    <cfRule type="expression" dxfId="1" priority="473">
      <formula>D86&lt;B86</formula>
    </cfRule>
  </conditionalFormatting>
  <conditionalFormatting sqref="J86">
    <cfRule type="expression" dxfId="2" priority="481">
      <formula>J86&gt;H86</formula>
    </cfRule>
    <cfRule type="expression" dxfId="1" priority="489">
      <formula>J86&lt;H86</formula>
    </cfRule>
  </conditionalFormatting>
  <conditionalFormatting sqref="P86">
    <cfRule type="expression" dxfId="2" priority="497">
      <formula>P86&gt;N86</formula>
    </cfRule>
    <cfRule type="expression" dxfId="3" priority="505">
      <formula>P86&lt;N86</formula>
    </cfRule>
  </conditionalFormatting>
  <conditionalFormatting sqref="D87">
    <cfRule type="expression" dxfId="0" priority="457">
      <formula>D87&gt;B87</formula>
    </cfRule>
    <cfRule type="expression" dxfId="1" priority="464">
      <formula>D87&lt;B87</formula>
    </cfRule>
  </conditionalFormatting>
  <conditionalFormatting sqref="J87">
    <cfRule type="expression" dxfId="2" priority="443">
      <formula>J87&gt;H87</formula>
    </cfRule>
    <cfRule type="expression" dxfId="1" priority="450">
      <formula>J87&lt;H87</formula>
    </cfRule>
  </conditionalFormatting>
  <conditionalFormatting sqref="P87">
    <cfRule type="expression" dxfId="2" priority="429">
      <formula>P87&gt;N87</formula>
    </cfRule>
    <cfRule type="expression" dxfId="3" priority="436">
      <formula>P87&lt;N87</formula>
    </cfRule>
  </conditionalFormatting>
  <conditionalFormatting sqref="D88">
    <cfRule type="expression" dxfId="0" priority="456">
      <formula>D88&gt;B88</formula>
    </cfRule>
    <cfRule type="expression" dxfId="1" priority="463">
      <formula>D88&lt;B88</formula>
    </cfRule>
  </conditionalFormatting>
  <conditionalFormatting sqref="J88">
    <cfRule type="expression" dxfId="2" priority="442">
      <formula>J88&gt;H88</formula>
    </cfRule>
    <cfRule type="expression" dxfId="1" priority="449">
      <formula>J88&lt;H88</formula>
    </cfRule>
  </conditionalFormatting>
  <conditionalFormatting sqref="P88">
    <cfRule type="expression" dxfId="2" priority="428">
      <formula>P88&gt;N88</formula>
    </cfRule>
    <cfRule type="expression" dxfId="3" priority="435">
      <formula>P88&lt;N88</formula>
    </cfRule>
  </conditionalFormatting>
  <conditionalFormatting sqref="D89">
    <cfRule type="expression" dxfId="0" priority="455">
      <formula>D89&gt;B89</formula>
    </cfRule>
    <cfRule type="expression" dxfId="1" priority="462">
      <formula>D89&lt;B89</formula>
    </cfRule>
  </conditionalFormatting>
  <conditionalFormatting sqref="J89">
    <cfRule type="expression" dxfId="2" priority="441">
      <formula>J89&gt;H89</formula>
    </cfRule>
    <cfRule type="expression" dxfId="1" priority="448">
      <formula>J89&lt;H89</formula>
    </cfRule>
  </conditionalFormatting>
  <conditionalFormatting sqref="P89">
    <cfRule type="expression" dxfId="2" priority="427">
      <formula>P89&gt;N89</formula>
    </cfRule>
    <cfRule type="expression" dxfId="3" priority="434">
      <formula>P89&lt;N89</formula>
    </cfRule>
  </conditionalFormatting>
  <conditionalFormatting sqref="D90">
    <cfRule type="expression" dxfId="0" priority="454">
      <formula>D90&gt;B90</formula>
    </cfRule>
    <cfRule type="expression" dxfId="1" priority="461">
      <formula>D90&lt;B90</formula>
    </cfRule>
  </conditionalFormatting>
  <conditionalFormatting sqref="J90">
    <cfRule type="expression" dxfId="2" priority="440">
      <formula>J90&gt;H90</formula>
    </cfRule>
    <cfRule type="expression" dxfId="1" priority="447">
      <formula>J90&lt;H90</formula>
    </cfRule>
  </conditionalFormatting>
  <conditionalFormatting sqref="P90">
    <cfRule type="expression" dxfId="2" priority="426">
      <formula>P90&gt;N90</formula>
    </cfRule>
    <cfRule type="expression" dxfId="3" priority="433">
      <formula>P90&lt;N90</formula>
    </cfRule>
  </conditionalFormatting>
  <conditionalFormatting sqref="D91">
    <cfRule type="expression" dxfId="0" priority="453">
      <formula>D91&gt;B91</formula>
    </cfRule>
    <cfRule type="expression" dxfId="1" priority="460">
      <formula>D91&lt;B91</formula>
    </cfRule>
  </conditionalFormatting>
  <conditionalFormatting sqref="J91">
    <cfRule type="expression" dxfId="2" priority="439">
      <formula>J91&gt;H91</formula>
    </cfRule>
    <cfRule type="expression" dxfId="1" priority="446">
      <formula>J91&lt;H91</formula>
    </cfRule>
  </conditionalFormatting>
  <conditionalFormatting sqref="P91">
    <cfRule type="expression" dxfId="2" priority="425">
      <formula>P91&gt;N91</formula>
    </cfRule>
    <cfRule type="expression" dxfId="3" priority="432">
      <formula>P91&lt;N91</formula>
    </cfRule>
  </conditionalFormatting>
  <conditionalFormatting sqref="D92">
    <cfRule type="expression" dxfId="0" priority="452">
      <formula>D92&gt;B92</formula>
    </cfRule>
    <cfRule type="expression" dxfId="1" priority="459">
      <formula>D92&lt;B92</formula>
    </cfRule>
  </conditionalFormatting>
  <conditionalFormatting sqref="J92">
    <cfRule type="expression" dxfId="2" priority="438">
      <formula>J92&gt;H92</formula>
    </cfRule>
    <cfRule type="expression" dxfId="1" priority="445">
      <formula>J92&lt;H92</formula>
    </cfRule>
  </conditionalFormatting>
  <conditionalFormatting sqref="P92">
    <cfRule type="expression" dxfId="2" priority="424">
      <formula>P92&gt;N92</formula>
    </cfRule>
    <cfRule type="expression" dxfId="3" priority="431">
      <formula>P92&lt;N92</formula>
    </cfRule>
  </conditionalFormatting>
  <conditionalFormatting sqref="D93">
    <cfRule type="expression" dxfId="0" priority="451">
      <formula>D93&gt;B93</formula>
    </cfRule>
    <cfRule type="expression" dxfId="1" priority="458">
      <formula>D93&lt;B93</formula>
    </cfRule>
  </conditionalFormatting>
  <conditionalFormatting sqref="J93">
    <cfRule type="expression" dxfId="2" priority="437">
      <formula>J93&gt;H93</formula>
    </cfRule>
    <cfRule type="expression" dxfId="1" priority="444">
      <formula>J93&lt;H93</formula>
    </cfRule>
  </conditionalFormatting>
  <conditionalFormatting sqref="P93">
    <cfRule type="expression" dxfId="2" priority="423">
      <formula>P93&gt;N93</formula>
    </cfRule>
    <cfRule type="expression" dxfId="3" priority="430">
      <formula>P93&lt;N93</formula>
    </cfRule>
  </conditionalFormatting>
  <conditionalFormatting sqref="D94">
    <cfRule type="expression" dxfId="0" priority="415">
      <formula>D94&gt;B94</formula>
    </cfRule>
    <cfRule type="expression" dxfId="1" priority="422">
      <formula>D94&lt;B94</formula>
    </cfRule>
  </conditionalFormatting>
  <conditionalFormatting sqref="J94">
    <cfRule type="expression" dxfId="2" priority="401">
      <formula>J94&gt;H94</formula>
    </cfRule>
    <cfRule type="expression" dxfId="1" priority="408">
      <formula>J94&lt;H94</formula>
    </cfRule>
  </conditionalFormatting>
  <conditionalFormatting sqref="P94">
    <cfRule type="expression" dxfId="2" priority="387">
      <formula>P94&gt;N94</formula>
    </cfRule>
    <cfRule type="expression" dxfId="3" priority="394">
      <formula>P94&lt;N94</formula>
    </cfRule>
  </conditionalFormatting>
  <conditionalFormatting sqref="D95">
    <cfRule type="expression" dxfId="0" priority="414">
      <formula>D95&gt;B95</formula>
    </cfRule>
    <cfRule type="expression" dxfId="1" priority="421">
      <formula>D95&lt;B95</formula>
    </cfRule>
  </conditionalFormatting>
  <conditionalFormatting sqref="J95">
    <cfRule type="expression" dxfId="2" priority="400">
      <formula>J95&gt;H95</formula>
    </cfRule>
    <cfRule type="expression" dxfId="1" priority="407">
      <formula>J95&lt;H95</formula>
    </cfRule>
  </conditionalFormatting>
  <conditionalFormatting sqref="P95">
    <cfRule type="expression" dxfId="2" priority="386">
      <formula>P95&gt;N95</formula>
    </cfRule>
    <cfRule type="expression" dxfId="3" priority="393">
      <formula>P95&lt;N95</formula>
    </cfRule>
  </conditionalFormatting>
  <conditionalFormatting sqref="D96">
    <cfRule type="expression" dxfId="0" priority="413">
      <formula>D96&gt;B96</formula>
    </cfRule>
    <cfRule type="expression" dxfId="1" priority="420">
      <formula>D96&lt;B96</formula>
    </cfRule>
  </conditionalFormatting>
  <conditionalFormatting sqref="J96">
    <cfRule type="expression" dxfId="2" priority="399">
      <formula>J96&gt;H96</formula>
    </cfRule>
    <cfRule type="expression" dxfId="1" priority="406">
      <formula>J96&lt;H96</formula>
    </cfRule>
  </conditionalFormatting>
  <conditionalFormatting sqref="P96">
    <cfRule type="expression" dxfId="2" priority="385">
      <formula>P96&gt;N96</formula>
    </cfRule>
    <cfRule type="expression" dxfId="3" priority="392">
      <formula>P96&lt;N96</formula>
    </cfRule>
  </conditionalFormatting>
  <conditionalFormatting sqref="D97">
    <cfRule type="expression" dxfId="0" priority="412">
      <formula>D97&gt;B97</formula>
    </cfRule>
    <cfRule type="expression" dxfId="1" priority="419">
      <formula>D97&lt;B97</formula>
    </cfRule>
  </conditionalFormatting>
  <conditionalFormatting sqref="J97">
    <cfRule type="expression" dxfId="2" priority="398">
      <formula>J97&gt;H97</formula>
    </cfRule>
    <cfRule type="expression" dxfId="1" priority="405">
      <formula>J97&lt;H97</formula>
    </cfRule>
  </conditionalFormatting>
  <conditionalFormatting sqref="P97">
    <cfRule type="expression" dxfId="2" priority="384">
      <formula>P97&gt;N97</formula>
    </cfRule>
    <cfRule type="expression" dxfId="3" priority="391">
      <formula>P97&lt;N97</formula>
    </cfRule>
  </conditionalFormatting>
  <conditionalFormatting sqref="D98">
    <cfRule type="expression" dxfId="0" priority="411">
      <formula>D98&gt;B98</formula>
    </cfRule>
    <cfRule type="expression" dxfId="1" priority="418">
      <formula>D98&lt;B98</formula>
    </cfRule>
  </conditionalFormatting>
  <conditionalFormatting sqref="J98">
    <cfRule type="expression" dxfId="2" priority="397">
      <formula>J98&gt;H98</formula>
    </cfRule>
    <cfRule type="expression" dxfId="1" priority="404">
      <formula>J98&lt;H98</formula>
    </cfRule>
  </conditionalFormatting>
  <conditionalFormatting sqref="P98">
    <cfRule type="expression" dxfId="2" priority="383">
      <formula>P98&gt;N98</formula>
    </cfRule>
    <cfRule type="expression" dxfId="3" priority="390">
      <formula>P98&lt;N98</formula>
    </cfRule>
  </conditionalFormatting>
  <conditionalFormatting sqref="D99">
    <cfRule type="expression" dxfId="0" priority="410">
      <formula>D99&gt;B99</formula>
    </cfRule>
    <cfRule type="expression" dxfId="1" priority="417">
      <formula>D99&lt;B99</formula>
    </cfRule>
  </conditionalFormatting>
  <conditionalFormatting sqref="J99">
    <cfRule type="expression" dxfId="2" priority="396">
      <formula>J99&gt;H99</formula>
    </cfRule>
    <cfRule type="expression" dxfId="1" priority="403">
      <formula>J99&lt;H99</formula>
    </cfRule>
  </conditionalFormatting>
  <conditionalFormatting sqref="P99">
    <cfRule type="expression" dxfId="2" priority="382">
      <formula>P99&gt;N99</formula>
    </cfRule>
    <cfRule type="expression" dxfId="3" priority="389">
      <formula>P99&lt;N99</formula>
    </cfRule>
  </conditionalFormatting>
  <conditionalFormatting sqref="D100">
    <cfRule type="expression" dxfId="0" priority="409">
      <formula>D100&gt;B100</formula>
    </cfRule>
    <cfRule type="expression" dxfId="1" priority="416">
      <formula>D100&lt;B100</formula>
    </cfRule>
  </conditionalFormatting>
  <conditionalFormatting sqref="J100">
    <cfRule type="expression" dxfId="2" priority="395">
      <formula>J100&gt;H100</formula>
    </cfRule>
    <cfRule type="expression" dxfId="1" priority="402">
      <formula>J100&lt;H100</formula>
    </cfRule>
  </conditionalFormatting>
  <conditionalFormatting sqref="P100">
    <cfRule type="expression" dxfId="2" priority="381">
      <formula>P100&gt;N100</formula>
    </cfRule>
    <cfRule type="expression" dxfId="3" priority="388">
      <formula>P100&lt;N100</formula>
    </cfRule>
  </conditionalFormatting>
  <conditionalFormatting sqref="D101">
    <cfRule type="expression" dxfId="0" priority="373">
      <formula>D101&gt;B101</formula>
    </cfRule>
    <cfRule type="expression" dxfId="1" priority="380">
      <formula>D101&lt;B101</formula>
    </cfRule>
  </conditionalFormatting>
  <conditionalFormatting sqref="J101">
    <cfRule type="expression" dxfId="2" priority="359">
      <formula>J101&gt;H101</formula>
    </cfRule>
    <cfRule type="expression" dxfId="1" priority="366">
      <formula>J101&lt;H101</formula>
    </cfRule>
  </conditionalFormatting>
  <conditionalFormatting sqref="P101">
    <cfRule type="expression" dxfId="2" priority="345">
      <formula>P101&gt;N101</formula>
    </cfRule>
    <cfRule type="expression" dxfId="3" priority="352">
      <formula>P101&lt;N101</formula>
    </cfRule>
  </conditionalFormatting>
  <conditionalFormatting sqref="D102">
    <cfRule type="expression" dxfId="0" priority="372">
      <formula>D102&gt;B102</formula>
    </cfRule>
    <cfRule type="expression" dxfId="1" priority="379">
      <formula>D102&lt;B102</formula>
    </cfRule>
  </conditionalFormatting>
  <conditionalFormatting sqref="J102">
    <cfRule type="expression" dxfId="2" priority="358">
      <formula>J102&gt;H102</formula>
    </cfRule>
    <cfRule type="expression" dxfId="1" priority="365">
      <formula>J102&lt;H102</formula>
    </cfRule>
  </conditionalFormatting>
  <conditionalFormatting sqref="P102">
    <cfRule type="expression" dxfId="2" priority="344">
      <formula>P102&gt;N102</formula>
    </cfRule>
    <cfRule type="expression" dxfId="3" priority="351">
      <formula>P102&lt;N102</formula>
    </cfRule>
  </conditionalFormatting>
  <conditionalFormatting sqref="D103">
    <cfRule type="expression" dxfId="0" priority="371">
      <formula>D103&gt;B103</formula>
    </cfRule>
    <cfRule type="expression" dxfId="1" priority="378">
      <formula>D103&lt;B103</formula>
    </cfRule>
  </conditionalFormatting>
  <conditionalFormatting sqref="J103">
    <cfRule type="expression" dxfId="2" priority="357">
      <formula>J103&gt;H103</formula>
    </cfRule>
    <cfRule type="expression" dxfId="1" priority="364">
      <formula>J103&lt;H103</formula>
    </cfRule>
  </conditionalFormatting>
  <conditionalFormatting sqref="P103">
    <cfRule type="expression" dxfId="2" priority="343">
      <formula>P103&gt;N103</formula>
    </cfRule>
    <cfRule type="expression" dxfId="3" priority="350">
      <formula>P103&lt;N103</formula>
    </cfRule>
  </conditionalFormatting>
  <conditionalFormatting sqref="D104">
    <cfRule type="expression" dxfId="0" priority="370">
      <formula>D104&gt;B104</formula>
    </cfRule>
    <cfRule type="expression" dxfId="1" priority="377">
      <formula>D104&lt;B104</formula>
    </cfRule>
  </conditionalFormatting>
  <conditionalFormatting sqref="J104">
    <cfRule type="expression" dxfId="2" priority="356">
      <formula>J104&gt;H104</formula>
    </cfRule>
    <cfRule type="expression" dxfId="1" priority="363">
      <formula>J104&lt;H104</formula>
    </cfRule>
  </conditionalFormatting>
  <conditionalFormatting sqref="P104">
    <cfRule type="expression" dxfId="2" priority="342">
      <formula>P104&gt;N104</formula>
    </cfRule>
    <cfRule type="expression" dxfId="3" priority="349">
      <formula>P104&lt;N104</formula>
    </cfRule>
  </conditionalFormatting>
  <conditionalFormatting sqref="D105">
    <cfRule type="expression" dxfId="0" priority="369">
      <formula>D105&gt;B105</formula>
    </cfRule>
    <cfRule type="expression" dxfId="1" priority="376">
      <formula>D105&lt;B105</formula>
    </cfRule>
  </conditionalFormatting>
  <conditionalFormatting sqref="J105">
    <cfRule type="expression" dxfId="2" priority="355">
      <formula>J105&gt;H105</formula>
    </cfRule>
    <cfRule type="expression" dxfId="1" priority="362">
      <formula>J105&lt;H105</formula>
    </cfRule>
  </conditionalFormatting>
  <conditionalFormatting sqref="P105">
    <cfRule type="expression" dxfId="2" priority="341">
      <formula>P105&gt;N105</formula>
    </cfRule>
    <cfRule type="expression" dxfId="3" priority="348">
      <formula>P105&lt;N105</formula>
    </cfRule>
  </conditionalFormatting>
  <conditionalFormatting sqref="D106">
    <cfRule type="expression" dxfId="0" priority="368">
      <formula>D106&gt;B106</formula>
    </cfRule>
    <cfRule type="expression" dxfId="1" priority="375">
      <formula>D106&lt;B106</formula>
    </cfRule>
  </conditionalFormatting>
  <conditionalFormatting sqref="J106">
    <cfRule type="expression" dxfId="2" priority="354">
      <formula>J106&gt;H106</formula>
    </cfRule>
    <cfRule type="expression" dxfId="1" priority="361">
      <formula>J106&lt;H106</formula>
    </cfRule>
  </conditionalFormatting>
  <conditionalFormatting sqref="P106">
    <cfRule type="expression" dxfId="2" priority="340">
      <formula>P106&gt;N106</formula>
    </cfRule>
    <cfRule type="expression" dxfId="3" priority="347">
      <formula>P106&lt;N106</formula>
    </cfRule>
  </conditionalFormatting>
  <conditionalFormatting sqref="D107">
    <cfRule type="expression" dxfId="0" priority="367">
      <formula>D107&gt;B107</formula>
    </cfRule>
    <cfRule type="expression" dxfId="1" priority="374">
      <formula>D107&lt;B107</formula>
    </cfRule>
  </conditionalFormatting>
  <conditionalFormatting sqref="J107">
    <cfRule type="expression" dxfId="2" priority="353">
      <formula>J107&gt;H107</formula>
    </cfRule>
    <cfRule type="expression" dxfId="1" priority="360">
      <formula>J107&lt;H107</formula>
    </cfRule>
  </conditionalFormatting>
  <conditionalFormatting sqref="P107">
    <cfRule type="expression" dxfId="2" priority="339">
      <formula>P107&gt;N107</formula>
    </cfRule>
    <cfRule type="expression" dxfId="3" priority="346">
      <formula>P107&lt;N107</formula>
    </cfRule>
  </conditionalFormatting>
  <conditionalFormatting sqref="D108">
    <cfRule type="expression" dxfId="0" priority="315">
      <formula>D108&gt;B108</formula>
    </cfRule>
    <cfRule type="expression" dxfId="1" priority="322">
      <formula>D108&lt;B108</formula>
    </cfRule>
  </conditionalFormatting>
  <conditionalFormatting sqref="P108">
    <cfRule type="expression" dxfId="2" priority="329">
      <formula>P108&gt;N108</formula>
    </cfRule>
    <cfRule type="expression" dxfId="3" priority="336">
      <formula>P108&lt;N108</formula>
    </cfRule>
  </conditionalFormatting>
  <conditionalFormatting sqref="D109">
    <cfRule type="expression" dxfId="0" priority="314">
      <formula>D109&gt;B109</formula>
    </cfRule>
    <cfRule type="expression" dxfId="1" priority="321">
      <formula>D109&lt;B109</formula>
    </cfRule>
  </conditionalFormatting>
  <conditionalFormatting sqref="P109">
    <cfRule type="expression" dxfId="2" priority="328">
      <formula>P109&gt;N109</formula>
    </cfRule>
    <cfRule type="expression" dxfId="3" priority="335">
      <formula>P109&lt;N109</formula>
    </cfRule>
  </conditionalFormatting>
  <conditionalFormatting sqref="D110">
    <cfRule type="expression" dxfId="0" priority="313">
      <formula>D110&gt;B110</formula>
    </cfRule>
    <cfRule type="expression" dxfId="1" priority="320">
      <formula>D110&lt;B110</formula>
    </cfRule>
  </conditionalFormatting>
  <conditionalFormatting sqref="P110">
    <cfRule type="expression" dxfId="2" priority="327">
      <formula>P110&gt;N110</formula>
    </cfRule>
    <cfRule type="expression" dxfId="3" priority="334">
      <formula>P110&lt;N110</formula>
    </cfRule>
  </conditionalFormatting>
  <conditionalFormatting sqref="D111">
    <cfRule type="expression" dxfId="0" priority="312">
      <formula>D111&gt;B111</formula>
    </cfRule>
    <cfRule type="expression" dxfId="1" priority="319">
      <formula>D111&lt;B111</formula>
    </cfRule>
  </conditionalFormatting>
  <conditionalFormatting sqref="P111">
    <cfRule type="expression" dxfId="2" priority="326">
      <formula>P111&gt;N111</formula>
    </cfRule>
    <cfRule type="expression" dxfId="3" priority="333">
      <formula>P111&lt;N111</formula>
    </cfRule>
  </conditionalFormatting>
  <conditionalFormatting sqref="D112">
    <cfRule type="expression" dxfId="0" priority="311">
      <formula>D112&gt;B112</formula>
    </cfRule>
    <cfRule type="expression" dxfId="1" priority="318">
      <formula>D112&lt;B112</formula>
    </cfRule>
  </conditionalFormatting>
  <conditionalFormatting sqref="P112">
    <cfRule type="expression" dxfId="2" priority="325">
      <formula>P112&gt;N112</formula>
    </cfRule>
    <cfRule type="expression" dxfId="3" priority="332">
      <formula>P112&lt;N112</formula>
    </cfRule>
  </conditionalFormatting>
  <conditionalFormatting sqref="D113">
    <cfRule type="expression" dxfId="0" priority="310">
      <formula>D113&gt;B113</formula>
    </cfRule>
    <cfRule type="expression" dxfId="1" priority="317">
      <formula>D113&lt;B113</formula>
    </cfRule>
  </conditionalFormatting>
  <conditionalFormatting sqref="P113">
    <cfRule type="expression" dxfId="2" priority="324">
      <formula>P113&gt;N113</formula>
    </cfRule>
    <cfRule type="expression" dxfId="3" priority="331">
      <formula>P113&lt;N113</formula>
    </cfRule>
  </conditionalFormatting>
  <conditionalFormatting sqref="D114">
    <cfRule type="expression" dxfId="0" priority="309">
      <formula>D114&gt;B114</formula>
    </cfRule>
    <cfRule type="expression" dxfId="1" priority="316">
      <formula>D114&lt;B114</formula>
    </cfRule>
  </conditionalFormatting>
  <conditionalFormatting sqref="P114">
    <cfRule type="expression" dxfId="2" priority="323">
      <formula>P114&gt;N114</formula>
    </cfRule>
    <cfRule type="expression" dxfId="3" priority="330">
      <formula>P114&lt;N114</formula>
    </cfRule>
  </conditionalFormatting>
  <conditionalFormatting sqref="D115">
    <cfRule type="expression" dxfId="0" priority="301">
      <formula>D115&gt;B115</formula>
    </cfRule>
    <cfRule type="expression" dxfId="1" priority="308">
      <formula>D115&lt;B115</formula>
    </cfRule>
  </conditionalFormatting>
  <conditionalFormatting sqref="J115">
    <cfRule type="expression" dxfId="2" priority="287">
      <formula>J115&gt;H115</formula>
    </cfRule>
    <cfRule type="expression" dxfId="1" priority="294">
      <formula>J115&lt;H115</formula>
    </cfRule>
  </conditionalFormatting>
  <conditionalFormatting sqref="P115">
    <cfRule type="expression" dxfId="2" priority="273">
      <formula>P115&gt;N115</formula>
    </cfRule>
    <cfRule type="expression" dxfId="3" priority="280">
      <formula>P115&lt;N115</formula>
    </cfRule>
  </conditionalFormatting>
  <conditionalFormatting sqref="D116">
    <cfRule type="expression" dxfId="0" priority="300">
      <formula>D116&gt;B116</formula>
    </cfRule>
    <cfRule type="expression" dxfId="1" priority="307">
      <formula>D116&lt;B116</formula>
    </cfRule>
  </conditionalFormatting>
  <conditionalFormatting sqref="J116">
    <cfRule type="expression" dxfId="2" priority="286">
      <formula>J116&gt;H116</formula>
    </cfRule>
    <cfRule type="expression" dxfId="1" priority="293">
      <formula>J116&lt;H116</formula>
    </cfRule>
  </conditionalFormatting>
  <conditionalFormatting sqref="P116">
    <cfRule type="expression" dxfId="2" priority="272">
      <formula>P116&gt;N116</formula>
    </cfRule>
    <cfRule type="expression" dxfId="3" priority="279">
      <formula>P116&lt;N116</formula>
    </cfRule>
  </conditionalFormatting>
  <conditionalFormatting sqref="D117">
    <cfRule type="expression" dxfId="0" priority="299">
      <formula>D117&gt;B117</formula>
    </cfRule>
    <cfRule type="expression" dxfId="1" priority="306">
      <formula>D117&lt;B117</formula>
    </cfRule>
  </conditionalFormatting>
  <conditionalFormatting sqref="J117">
    <cfRule type="expression" dxfId="2" priority="285">
      <formula>J117&gt;H117</formula>
    </cfRule>
    <cfRule type="expression" dxfId="1" priority="292">
      <formula>J117&lt;H117</formula>
    </cfRule>
  </conditionalFormatting>
  <conditionalFormatting sqref="P117">
    <cfRule type="expression" dxfId="2" priority="271">
      <formula>P117&gt;N117</formula>
    </cfRule>
    <cfRule type="expression" dxfId="3" priority="278">
      <formula>P117&lt;N117</formula>
    </cfRule>
  </conditionalFormatting>
  <conditionalFormatting sqref="D118">
    <cfRule type="expression" dxfId="0" priority="298">
      <formula>D118&gt;B118</formula>
    </cfRule>
    <cfRule type="expression" dxfId="1" priority="305">
      <formula>D118&lt;B118</formula>
    </cfRule>
  </conditionalFormatting>
  <conditionalFormatting sqref="J118">
    <cfRule type="expression" dxfId="2" priority="284">
      <formula>J118&gt;H118</formula>
    </cfRule>
    <cfRule type="expression" dxfId="1" priority="291">
      <formula>J118&lt;H118</formula>
    </cfRule>
  </conditionalFormatting>
  <conditionalFormatting sqref="P118">
    <cfRule type="expression" dxfId="2" priority="270">
      <formula>P118&gt;N118</formula>
    </cfRule>
    <cfRule type="expression" dxfId="3" priority="277">
      <formula>P118&lt;N118</formula>
    </cfRule>
  </conditionalFormatting>
  <conditionalFormatting sqref="D119">
    <cfRule type="expression" dxfId="0" priority="297">
      <formula>D119&gt;B119</formula>
    </cfRule>
    <cfRule type="expression" dxfId="1" priority="304">
      <formula>D119&lt;B119</formula>
    </cfRule>
  </conditionalFormatting>
  <conditionalFormatting sqref="J119">
    <cfRule type="expression" dxfId="2" priority="283">
      <formula>J119&gt;H119</formula>
    </cfRule>
    <cfRule type="expression" dxfId="1" priority="290">
      <formula>J119&lt;H119</formula>
    </cfRule>
  </conditionalFormatting>
  <conditionalFormatting sqref="P119">
    <cfRule type="expression" dxfId="2" priority="269">
      <formula>P119&gt;N119</formula>
    </cfRule>
    <cfRule type="expression" dxfId="3" priority="276">
      <formula>P119&lt;N119</formula>
    </cfRule>
  </conditionalFormatting>
  <conditionalFormatting sqref="D120">
    <cfRule type="expression" dxfId="0" priority="296">
      <formula>D120&gt;B120</formula>
    </cfRule>
    <cfRule type="expression" dxfId="1" priority="303">
      <formula>D120&lt;B120</formula>
    </cfRule>
  </conditionalFormatting>
  <conditionalFormatting sqref="J120">
    <cfRule type="expression" dxfId="2" priority="282">
      <formula>J120&gt;H120</formula>
    </cfRule>
    <cfRule type="expression" dxfId="1" priority="289">
      <formula>J120&lt;H120</formula>
    </cfRule>
  </conditionalFormatting>
  <conditionalFormatting sqref="P120">
    <cfRule type="expression" dxfId="2" priority="268">
      <formula>P120&gt;N120</formula>
    </cfRule>
    <cfRule type="expression" dxfId="3" priority="275">
      <formula>P120&lt;N120</formula>
    </cfRule>
  </conditionalFormatting>
  <conditionalFormatting sqref="D121">
    <cfRule type="expression" dxfId="0" priority="295">
      <formula>D121&gt;B121</formula>
    </cfRule>
    <cfRule type="expression" dxfId="1" priority="302">
      <formula>D121&lt;B121</formula>
    </cfRule>
  </conditionalFormatting>
  <conditionalFormatting sqref="J121">
    <cfRule type="expression" dxfId="2" priority="281">
      <formula>J121&gt;H121</formula>
    </cfRule>
    <cfRule type="expression" dxfId="1" priority="288">
      <formula>J121&lt;H121</formula>
    </cfRule>
  </conditionalFormatting>
  <conditionalFormatting sqref="P121">
    <cfRule type="expression" dxfId="2" priority="267">
      <formula>P121&gt;N121</formula>
    </cfRule>
    <cfRule type="expression" dxfId="3" priority="274">
      <formula>P121&lt;N121</formula>
    </cfRule>
  </conditionalFormatting>
  <conditionalFormatting sqref="D122">
    <cfRule type="expression" dxfId="0" priority="231">
      <formula>D122&gt;B122</formula>
    </cfRule>
    <cfRule type="expression" dxfId="1" priority="238">
      <formula>D122&lt;B122</formula>
    </cfRule>
  </conditionalFormatting>
  <conditionalFormatting sqref="J122">
    <cfRule type="expression" dxfId="2" priority="251">
      <formula>J122&gt;H122</formula>
    </cfRule>
    <cfRule type="expression" dxfId="1" priority="252">
      <formula>J122&lt;H122</formula>
    </cfRule>
  </conditionalFormatting>
  <conditionalFormatting sqref="P122">
    <cfRule type="expression" dxfId="2" priority="265">
      <formula>P122&gt;N122</formula>
    </cfRule>
    <cfRule type="expression" dxfId="3" priority="266">
      <formula>P122&lt;N122</formula>
    </cfRule>
  </conditionalFormatting>
  <conditionalFormatting sqref="D123">
    <cfRule type="expression" dxfId="0" priority="230">
      <formula>D123&gt;B123</formula>
    </cfRule>
    <cfRule type="expression" dxfId="1" priority="237">
      <formula>D123&lt;B123</formula>
    </cfRule>
  </conditionalFormatting>
  <conditionalFormatting sqref="J123">
    <cfRule type="expression" dxfId="2" priority="244">
      <formula>J123&gt;H123</formula>
    </cfRule>
    <cfRule type="expression" dxfId="1" priority="250">
      <formula>J123&lt;H123</formula>
    </cfRule>
  </conditionalFormatting>
  <conditionalFormatting sqref="P123">
    <cfRule type="expression" dxfId="2" priority="258">
      <formula>P123&gt;N123</formula>
    </cfRule>
    <cfRule type="expression" dxfId="3" priority="264">
      <formula>P123&lt;N123</formula>
    </cfRule>
  </conditionalFormatting>
  <conditionalFormatting sqref="D124">
    <cfRule type="expression" dxfId="0" priority="229">
      <formula>D124&gt;B124</formula>
    </cfRule>
    <cfRule type="expression" dxfId="1" priority="236">
      <formula>D124&lt;B124</formula>
    </cfRule>
  </conditionalFormatting>
  <conditionalFormatting sqref="J124">
    <cfRule type="expression" dxfId="2" priority="243">
      <formula>J124&gt;H124</formula>
    </cfRule>
    <cfRule type="expression" dxfId="1" priority="249">
      <formula>J124&lt;H124</formula>
    </cfRule>
  </conditionalFormatting>
  <conditionalFormatting sqref="P124">
    <cfRule type="expression" dxfId="2" priority="257">
      <formula>P124&gt;N124</formula>
    </cfRule>
    <cfRule type="expression" dxfId="3" priority="263">
      <formula>P124&lt;N124</formula>
    </cfRule>
  </conditionalFormatting>
  <conditionalFormatting sqref="D125">
    <cfRule type="expression" dxfId="0" priority="228">
      <formula>D125&gt;B125</formula>
    </cfRule>
    <cfRule type="expression" dxfId="1" priority="235">
      <formula>D125&lt;B125</formula>
    </cfRule>
  </conditionalFormatting>
  <conditionalFormatting sqref="J125">
    <cfRule type="expression" dxfId="2" priority="242">
      <formula>J125&gt;H125</formula>
    </cfRule>
    <cfRule type="expression" dxfId="1" priority="248">
      <formula>J125&lt;H125</formula>
    </cfRule>
  </conditionalFormatting>
  <conditionalFormatting sqref="P125">
    <cfRule type="expression" dxfId="2" priority="256">
      <formula>P125&gt;N125</formula>
    </cfRule>
    <cfRule type="expression" dxfId="3" priority="262">
      <formula>P125&lt;N125</formula>
    </cfRule>
  </conditionalFormatting>
  <conditionalFormatting sqref="D126">
    <cfRule type="expression" dxfId="0" priority="227">
      <formula>D126&gt;B126</formula>
    </cfRule>
    <cfRule type="expression" dxfId="1" priority="234">
      <formula>D126&lt;B126</formula>
    </cfRule>
  </conditionalFormatting>
  <conditionalFormatting sqref="J126">
    <cfRule type="expression" dxfId="2" priority="241">
      <formula>J126&gt;H126</formula>
    </cfRule>
    <cfRule type="expression" dxfId="1" priority="247">
      <formula>J126&lt;H126</formula>
    </cfRule>
  </conditionalFormatting>
  <conditionalFormatting sqref="P126">
    <cfRule type="expression" dxfId="2" priority="255">
      <formula>P126&gt;N126</formula>
    </cfRule>
    <cfRule type="expression" dxfId="3" priority="261">
      <formula>P126&lt;N126</formula>
    </cfRule>
  </conditionalFormatting>
  <conditionalFormatting sqref="D127">
    <cfRule type="expression" dxfId="0" priority="226">
      <formula>D127&gt;B127</formula>
    </cfRule>
    <cfRule type="expression" dxfId="1" priority="233">
      <formula>D127&lt;B127</formula>
    </cfRule>
  </conditionalFormatting>
  <conditionalFormatting sqref="J127">
    <cfRule type="expression" dxfId="2" priority="240">
      <formula>J127&gt;H127</formula>
    </cfRule>
    <cfRule type="expression" dxfId="1" priority="246">
      <formula>J127&lt;H127</formula>
    </cfRule>
  </conditionalFormatting>
  <conditionalFormatting sqref="P127">
    <cfRule type="expression" dxfId="2" priority="254">
      <formula>P127&gt;N127</formula>
    </cfRule>
    <cfRule type="expression" dxfId="3" priority="260">
      <formula>P127&lt;N127</formula>
    </cfRule>
  </conditionalFormatting>
  <conditionalFormatting sqref="D128">
    <cfRule type="expression" dxfId="0" priority="225">
      <formula>D128&gt;B128</formula>
    </cfRule>
    <cfRule type="expression" dxfId="1" priority="232">
      <formula>D128&lt;B128</formula>
    </cfRule>
  </conditionalFormatting>
  <conditionalFormatting sqref="J128">
    <cfRule type="expression" dxfId="2" priority="239">
      <formula>J128&gt;H128</formula>
    </cfRule>
    <cfRule type="expression" dxfId="1" priority="245">
      <formula>J128&lt;H128</formula>
    </cfRule>
  </conditionalFormatting>
  <conditionalFormatting sqref="P128">
    <cfRule type="expression" dxfId="2" priority="253">
      <formula>P128&gt;N128</formula>
    </cfRule>
    <cfRule type="expression" dxfId="3" priority="259">
      <formula>P128&lt;N128</formula>
    </cfRule>
  </conditionalFormatting>
  <conditionalFormatting sqref="D129">
    <cfRule type="expression" dxfId="0" priority="189">
      <formula>D129&gt;B129</formula>
    </cfRule>
    <cfRule type="expression" dxfId="1" priority="196">
      <formula>D129&lt;B129</formula>
    </cfRule>
  </conditionalFormatting>
  <conditionalFormatting sqref="J129">
    <cfRule type="expression" dxfId="2" priority="203">
      <formula>J129&gt;H129</formula>
    </cfRule>
    <cfRule type="expression" dxfId="1" priority="210">
      <formula>J129&lt;H129</formula>
    </cfRule>
  </conditionalFormatting>
  <conditionalFormatting sqref="P129">
    <cfRule type="expression" dxfId="2" priority="217">
      <formula>P129&gt;N129</formula>
    </cfRule>
    <cfRule type="expression" dxfId="3" priority="224">
      <formula>P129&lt;N129</formula>
    </cfRule>
  </conditionalFormatting>
  <conditionalFormatting sqref="D130">
    <cfRule type="expression" dxfId="0" priority="188">
      <formula>D130&gt;B130</formula>
    </cfRule>
    <cfRule type="expression" dxfId="1" priority="195">
      <formula>D130&lt;B130</formula>
    </cfRule>
  </conditionalFormatting>
  <conditionalFormatting sqref="J130">
    <cfRule type="expression" dxfId="2" priority="202">
      <formula>J130&gt;H130</formula>
    </cfRule>
    <cfRule type="expression" dxfId="1" priority="209">
      <formula>J130&lt;H130</formula>
    </cfRule>
  </conditionalFormatting>
  <conditionalFormatting sqref="P130">
    <cfRule type="expression" dxfId="2" priority="216">
      <formula>P130&gt;N130</formula>
    </cfRule>
    <cfRule type="expression" dxfId="3" priority="223">
      <formula>P130&lt;N130</formula>
    </cfRule>
  </conditionalFormatting>
  <conditionalFormatting sqref="D131">
    <cfRule type="expression" dxfId="0" priority="187">
      <formula>D131&gt;B131</formula>
    </cfRule>
    <cfRule type="expression" dxfId="1" priority="194">
      <formula>D131&lt;B131</formula>
    </cfRule>
  </conditionalFormatting>
  <conditionalFormatting sqref="J131">
    <cfRule type="expression" dxfId="2" priority="201">
      <formula>J131&gt;H131</formula>
    </cfRule>
    <cfRule type="expression" dxfId="1" priority="208">
      <formula>J131&lt;H131</formula>
    </cfRule>
  </conditionalFormatting>
  <conditionalFormatting sqref="P131">
    <cfRule type="expression" dxfId="2" priority="215">
      <formula>P131&gt;N131</formula>
    </cfRule>
    <cfRule type="expression" dxfId="3" priority="222">
      <formula>P131&lt;N131</formula>
    </cfRule>
  </conditionalFormatting>
  <conditionalFormatting sqref="D132">
    <cfRule type="expression" dxfId="0" priority="186">
      <formula>D132&gt;B132</formula>
    </cfRule>
    <cfRule type="expression" dxfId="1" priority="193">
      <formula>D132&lt;B132</formula>
    </cfRule>
  </conditionalFormatting>
  <conditionalFormatting sqref="J132">
    <cfRule type="expression" dxfId="2" priority="200">
      <formula>J132&gt;H132</formula>
    </cfRule>
    <cfRule type="expression" dxfId="1" priority="207">
      <formula>J132&lt;H132</formula>
    </cfRule>
  </conditionalFormatting>
  <conditionalFormatting sqref="P132">
    <cfRule type="expression" dxfId="2" priority="214">
      <formula>P132&gt;N132</formula>
    </cfRule>
    <cfRule type="expression" dxfId="3" priority="221">
      <formula>P132&lt;N132</formula>
    </cfRule>
  </conditionalFormatting>
  <conditionalFormatting sqref="D133">
    <cfRule type="expression" dxfId="0" priority="185">
      <formula>D133&gt;B133</formula>
    </cfRule>
    <cfRule type="expression" dxfId="1" priority="192">
      <formula>D133&lt;B133</formula>
    </cfRule>
  </conditionalFormatting>
  <conditionalFormatting sqref="J133">
    <cfRule type="expression" dxfId="2" priority="199">
      <formula>J133&gt;H133</formula>
    </cfRule>
    <cfRule type="expression" dxfId="1" priority="206">
      <formula>J133&lt;H133</formula>
    </cfRule>
  </conditionalFormatting>
  <conditionalFormatting sqref="P133">
    <cfRule type="expression" dxfId="2" priority="213">
      <formula>P133&gt;N133</formula>
    </cfRule>
    <cfRule type="expression" dxfId="3" priority="220">
      <formula>P133&lt;N133</formula>
    </cfRule>
  </conditionalFormatting>
  <conditionalFormatting sqref="D134">
    <cfRule type="expression" dxfId="0" priority="184">
      <formula>D134&gt;B134</formula>
    </cfRule>
    <cfRule type="expression" dxfId="1" priority="191">
      <formula>D134&lt;B134</formula>
    </cfRule>
  </conditionalFormatting>
  <conditionalFormatting sqref="J134">
    <cfRule type="expression" dxfId="2" priority="198">
      <formula>J134&gt;H134</formula>
    </cfRule>
    <cfRule type="expression" dxfId="1" priority="205">
      <formula>J134&lt;H134</formula>
    </cfRule>
  </conditionalFormatting>
  <conditionalFormatting sqref="P134">
    <cfRule type="expression" dxfId="2" priority="212">
      <formula>P134&gt;N134</formula>
    </cfRule>
    <cfRule type="expression" dxfId="3" priority="219">
      <formula>P134&lt;N134</formula>
    </cfRule>
  </conditionalFormatting>
  <conditionalFormatting sqref="D135">
    <cfRule type="expression" dxfId="0" priority="183">
      <formula>D135&gt;B135</formula>
    </cfRule>
    <cfRule type="expression" dxfId="1" priority="190">
      <formula>D135&lt;B135</formula>
    </cfRule>
  </conditionalFormatting>
  <conditionalFormatting sqref="J135">
    <cfRule type="expression" dxfId="2" priority="197">
      <formula>J135&gt;H135</formula>
    </cfRule>
    <cfRule type="expression" dxfId="1" priority="204">
      <formula>J135&lt;H135</formula>
    </cfRule>
  </conditionalFormatting>
  <conditionalFormatting sqref="P135">
    <cfRule type="expression" dxfId="2" priority="211">
      <formula>P135&gt;N135</formula>
    </cfRule>
    <cfRule type="expression" dxfId="3" priority="218">
      <formula>P135&lt;N135</formula>
    </cfRule>
  </conditionalFormatting>
  <conditionalFormatting sqref="D136">
    <cfRule type="expression" dxfId="0" priority="175">
      <formula>D136&gt;B136</formula>
    </cfRule>
    <cfRule type="expression" dxfId="1" priority="182">
      <formula>D136&lt;B136</formula>
    </cfRule>
  </conditionalFormatting>
  <conditionalFormatting sqref="J136">
    <cfRule type="expression" dxfId="2" priority="161">
      <formula>J136&gt;H136</formula>
    </cfRule>
    <cfRule type="expression" dxfId="1" priority="168">
      <formula>J136&lt;H136</formula>
    </cfRule>
  </conditionalFormatting>
  <conditionalFormatting sqref="P136">
    <cfRule type="expression" dxfId="2" priority="147">
      <formula>P136&gt;N136</formula>
    </cfRule>
    <cfRule type="expression" dxfId="3" priority="154">
      <formula>P136&lt;N136</formula>
    </cfRule>
  </conditionalFormatting>
  <conditionalFormatting sqref="D137">
    <cfRule type="expression" dxfId="0" priority="174">
      <formula>D137&gt;B137</formula>
    </cfRule>
    <cfRule type="expression" dxfId="1" priority="181">
      <formula>D137&lt;B137</formula>
    </cfRule>
  </conditionalFormatting>
  <conditionalFormatting sqref="J137">
    <cfRule type="expression" dxfId="2" priority="160">
      <formula>J137&gt;H137</formula>
    </cfRule>
    <cfRule type="expression" dxfId="1" priority="167">
      <formula>J137&lt;H137</formula>
    </cfRule>
  </conditionalFormatting>
  <conditionalFormatting sqref="P137">
    <cfRule type="expression" dxfId="2" priority="146">
      <formula>P137&gt;N137</formula>
    </cfRule>
    <cfRule type="expression" dxfId="3" priority="153">
      <formula>P137&lt;N137</formula>
    </cfRule>
  </conditionalFormatting>
  <conditionalFormatting sqref="D138">
    <cfRule type="expression" dxfId="0" priority="173">
      <formula>D138&gt;B138</formula>
    </cfRule>
    <cfRule type="expression" dxfId="1" priority="180">
      <formula>D138&lt;B138</formula>
    </cfRule>
  </conditionalFormatting>
  <conditionalFormatting sqref="J138">
    <cfRule type="expression" dxfId="2" priority="159">
      <formula>J138&gt;H138</formula>
    </cfRule>
    <cfRule type="expression" dxfId="1" priority="166">
      <formula>J138&lt;H138</formula>
    </cfRule>
  </conditionalFormatting>
  <conditionalFormatting sqref="P138">
    <cfRule type="expression" dxfId="2" priority="145">
      <formula>P138&gt;N138</formula>
    </cfRule>
    <cfRule type="expression" dxfId="3" priority="152">
      <formula>P138&lt;N138</formula>
    </cfRule>
  </conditionalFormatting>
  <conditionalFormatting sqref="D139">
    <cfRule type="expression" dxfId="0" priority="172">
      <formula>D139&gt;B139</formula>
    </cfRule>
    <cfRule type="expression" dxfId="1" priority="179">
      <formula>D139&lt;B139</formula>
    </cfRule>
  </conditionalFormatting>
  <conditionalFormatting sqref="J139">
    <cfRule type="expression" dxfId="2" priority="158">
      <formula>J139&gt;H139</formula>
    </cfRule>
    <cfRule type="expression" dxfId="1" priority="165">
      <formula>J139&lt;H139</formula>
    </cfRule>
  </conditionalFormatting>
  <conditionalFormatting sqref="P139">
    <cfRule type="expression" dxfId="2" priority="144">
      <formula>P139&gt;N139</formula>
    </cfRule>
    <cfRule type="expression" dxfId="3" priority="151">
      <formula>P139&lt;N139</formula>
    </cfRule>
  </conditionalFormatting>
  <conditionalFormatting sqref="D140">
    <cfRule type="expression" dxfId="0" priority="171">
      <formula>D140&gt;B140</formula>
    </cfRule>
    <cfRule type="expression" dxfId="1" priority="178">
      <formula>D140&lt;B140</formula>
    </cfRule>
  </conditionalFormatting>
  <conditionalFormatting sqref="J140">
    <cfRule type="expression" dxfId="2" priority="157">
      <formula>J140&gt;H140</formula>
    </cfRule>
    <cfRule type="expression" dxfId="1" priority="164">
      <formula>J140&lt;H140</formula>
    </cfRule>
  </conditionalFormatting>
  <conditionalFormatting sqref="P140">
    <cfRule type="expression" dxfId="2" priority="143">
      <formula>P140&gt;N140</formula>
    </cfRule>
    <cfRule type="expression" dxfId="3" priority="150">
      <formula>P140&lt;N140</formula>
    </cfRule>
  </conditionalFormatting>
  <conditionalFormatting sqref="D141">
    <cfRule type="expression" dxfId="0" priority="170">
      <formula>D141&gt;B141</formula>
    </cfRule>
    <cfRule type="expression" dxfId="1" priority="177">
      <formula>D141&lt;B141</formula>
    </cfRule>
  </conditionalFormatting>
  <conditionalFormatting sqref="J141">
    <cfRule type="expression" dxfId="2" priority="156">
      <formula>J141&gt;H141</formula>
    </cfRule>
    <cfRule type="expression" dxfId="1" priority="163">
      <formula>J141&lt;H141</formula>
    </cfRule>
  </conditionalFormatting>
  <conditionalFormatting sqref="P141">
    <cfRule type="expression" dxfId="2" priority="142">
      <formula>P141&gt;N141</formula>
    </cfRule>
    <cfRule type="expression" dxfId="3" priority="149">
      <formula>P141&lt;N141</formula>
    </cfRule>
  </conditionalFormatting>
  <conditionalFormatting sqref="D142">
    <cfRule type="expression" dxfId="0" priority="169">
      <formula>D142&gt;B142</formula>
    </cfRule>
    <cfRule type="expression" dxfId="1" priority="176">
      <formula>D142&lt;B142</formula>
    </cfRule>
  </conditionalFormatting>
  <conditionalFormatting sqref="J142">
    <cfRule type="expression" dxfId="2" priority="155">
      <formula>J142&gt;H142</formula>
    </cfRule>
    <cfRule type="expression" dxfId="1" priority="162">
      <formula>J142&lt;H142</formula>
    </cfRule>
  </conditionalFormatting>
  <conditionalFormatting sqref="P142">
    <cfRule type="expression" dxfId="2" priority="141">
      <formula>P142&gt;N142</formula>
    </cfRule>
    <cfRule type="expression" dxfId="3" priority="148">
      <formula>P142&lt;N142</formula>
    </cfRule>
  </conditionalFormatting>
  <conditionalFormatting sqref="D143">
    <cfRule type="expression" dxfId="0" priority="133">
      <formula>D143&gt;B143</formula>
    </cfRule>
    <cfRule type="expression" dxfId="1" priority="140">
      <formula>D143&lt;B143</formula>
    </cfRule>
  </conditionalFormatting>
  <conditionalFormatting sqref="J143">
    <cfRule type="expression" dxfId="2" priority="119">
      <formula>J143&gt;H143</formula>
    </cfRule>
    <cfRule type="expression" dxfId="1" priority="126">
      <formula>J143&lt;H143</formula>
    </cfRule>
  </conditionalFormatting>
  <conditionalFormatting sqref="P143">
    <cfRule type="expression" dxfId="2" priority="105">
      <formula>P143&gt;N143</formula>
    </cfRule>
    <cfRule type="expression" dxfId="3" priority="112">
      <formula>P143&lt;N143</formula>
    </cfRule>
  </conditionalFormatting>
  <conditionalFormatting sqref="D144">
    <cfRule type="expression" dxfId="0" priority="132">
      <formula>D144&gt;B144</formula>
    </cfRule>
    <cfRule type="expression" dxfId="1" priority="139">
      <formula>D144&lt;B144</formula>
    </cfRule>
  </conditionalFormatting>
  <conditionalFormatting sqref="J144">
    <cfRule type="expression" dxfId="2" priority="118">
      <formula>J144&gt;H144</formula>
    </cfRule>
    <cfRule type="expression" dxfId="1" priority="125">
      <formula>J144&lt;H144</formula>
    </cfRule>
  </conditionalFormatting>
  <conditionalFormatting sqref="P144">
    <cfRule type="expression" dxfId="2" priority="104">
      <formula>P144&gt;N144</formula>
    </cfRule>
    <cfRule type="expression" dxfId="3" priority="111">
      <formula>P144&lt;N144</formula>
    </cfRule>
  </conditionalFormatting>
  <conditionalFormatting sqref="D145">
    <cfRule type="expression" dxfId="0" priority="131">
      <formula>D145&gt;B145</formula>
    </cfRule>
    <cfRule type="expression" dxfId="1" priority="138">
      <formula>D145&lt;B145</formula>
    </cfRule>
  </conditionalFormatting>
  <conditionalFormatting sqref="J145">
    <cfRule type="expression" dxfId="2" priority="117">
      <formula>J145&gt;H145</formula>
    </cfRule>
    <cfRule type="expression" dxfId="1" priority="124">
      <formula>J145&lt;H145</formula>
    </cfRule>
  </conditionalFormatting>
  <conditionalFormatting sqref="P145">
    <cfRule type="expression" dxfId="2" priority="103">
      <formula>P145&gt;N145</formula>
    </cfRule>
    <cfRule type="expression" dxfId="3" priority="110">
      <formula>P145&lt;N145</formula>
    </cfRule>
  </conditionalFormatting>
  <conditionalFormatting sqref="D146">
    <cfRule type="expression" dxfId="0" priority="130">
      <formula>D146&gt;B146</formula>
    </cfRule>
    <cfRule type="expression" dxfId="1" priority="137">
      <formula>D146&lt;B146</formula>
    </cfRule>
  </conditionalFormatting>
  <conditionalFormatting sqref="J146">
    <cfRule type="expression" dxfId="2" priority="116">
      <formula>J146&gt;H146</formula>
    </cfRule>
    <cfRule type="expression" dxfId="1" priority="123">
      <formula>J146&lt;H146</formula>
    </cfRule>
  </conditionalFormatting>
  <conditionalFormatting sqref="P146">
    <cfRule type="expression" dxfId="2" priority="102">
      <formula>P146&gt;N146</formula>
    </cfRule>
    <cfRule type="expression" dxfId="3" priority="109">
      <formula>P146&lt;N146</formula>
    </cfRule>
  </conditionalFormatting>
  <conditionalFormatting sqref="D147">
    <cfRule type="expression" dxfId="0" priority="129">
      <formula>D147&gt;B147</formula>
    </cfRule>
    <cfRule type="expression" dxfId="1" priority="136">
      <formula>D147&lt;B147</formula>
    </cfRule>
  </conditionalFormatting>
  <conditionalFormatting sqref="J147">
    <cfRule type="expression" dxfId="2" priority="115">
      <formula>J147&gt;H147</formula>
    </cfRule>
    <cfRule type="expression" dxfId="1" priority="122">
      <formula>J147&lt;H147</formula>
    </cfRule>
  </conditionalFormatting>
  <conditionalFormatting sqref="P147">
    <cfRule type="expression" dxfId="2" priority="101">
      <formula>P147&gt;N147</formula>
    </cfRule>
    <cfRule type="expression" dxfId="3" priority="108">
      <formula>P147&lt;N147</formula>
    </cfRule>
  </conditionalFormatting>
  <conditionalFormatting sqref="D148">
    <cfRule type="expression" dxfId="0" priority="128">
      <formula>D148&gt;B148</formula>
    </cfRule>
    <cfRule type="expression" dxfId="1" priority="135">
      <formula>D148&lt;B148</formula>
    </cfRule>
  </conditionalFormatting>
  <conditionalFormatting sqref="J148">
    <cfRule type="expression" dxfId="2" priority="114">
      <formula>J148&gt;H148</formula>
    </cfRule>
    <cfRule type="expression" dxfId="1" priority="121">
      <formula>J148&lt;H148</formula>
    </cfRule>
  </conditionalFormatting>
  <conditionalFormatting sqref="P148">
    <cfRule type="expression" dxfId="2" priority="100">
      <formula>P148&gt;N148</formula>
    </cfRule>
    <cfRule type="expression" dxfId="3" priority="107">
      <formula>P148&lt;N148</formula>
    </cfRule>
  </conditionalFormatting>
  <conditionalFormatting sqref="D149">
    <cfRule type="expression" dxfId="0" priority="127">
      <formula>D149&gt;B149</formula>
    </cfRule>
    <cfRule type="expression" dxfId="1" priority="134">
      <formula>D149&lt;B149</formula>
    </cfRule>
  </conditionalFormatting>
  <conditionalFormatting sqref="J149">
    <cfRule type="expression" dxfId="2" priority="113">
      <formula>J149&gt;H149</formula>
    </cfRule>
    <cfRule type="expression" dxfId="1" priority="120">
      <formula>J149&lt;H149</formula>
    </cfRule>
  </conditionalFormatting>
  <conditionalFormatting sqref="P149">
    <cfRule type="expression" dxfId="2" priority="99">
      <formula>P149&gt;N149</formula>
    </cfRule>
    <cfRule type="expression" dxfId="3" priority="106">
      <formula>P149&lt;N149</formula>
    </cfRule>
  </conditionalFormatting>
  <conditionalFormatting sqref="D156">
    <cfRule type="expression" dxfId="0" priority="97">
      <formula>D156&gt;B156</formula>
    </cfRule>
    <cfRule type="expression" dxfId="1" priority="98">
      <formula>D156&lt;B156</formula>
    </cfRule>
  </conditionalFormatting>
  <conditionalFormatting sqref="J156">
    <cfRule type="expression" dxfId="0" priority="95">
      <formula>J156&gt;H156</formula>
    </cfRule>
    <cfRule type="expression" dxfId="1" priority="96">
      <formula>J156&lt;H156</formula>
    </cfRule>
  </conditionalFormatting>
  <conditionalFormatting sqref="P156">
    <cfRule type="expression" dxfId="0" priority="93">
      <formula>P156&gt;N156</formula>
    </cfRule>
    <cfRule type="expression" dxfId="1" priority="94">
      <formula>P156&lt;N156</formula>
    </cfRule>
  </conditionalFormatting>
  <conditionalFormatting sqref="T156:U156">
    <cfRule type="expression" dxfId="0" priority="91">
      <formula>T156&gt;#REF!</formula>
    </cfRule>
    <cfRule type="expression" dxfId="1" priority="92">
      <formula>T156&lt;#REF!</formula>
    </cfRule>
  </conditionalFormatting>
  <conditionalFormatting sqref="V156">
    <cfRule type="expression" dxfId="0" priority="89">
      <formula>V156&gt;T156</formula>
    </cfRule>
    <cfRule type="expression" dxfId="1" priority="90">
      <formula>V156&lt;T156</formula>
    </cfRule>
  </conditionalFormatting>
  <conditionalFormatting sqref="W156">
    <cfRule type="expression" dxfId="0" priority="87">
      <formula>W156&gt;V156</formula>
    </cfRule>
    <cfRule type="expression" dxfId="1" priority="88">
      <formula>W156&lt;V156</formula>
    </cfRule>
  </conditionalFormatting>
  <conditionalFormatting sqref="X156:Y156">
    <cfRule type="expression" dxfId="0" priority="85">
      <formula>X156&gt;W156</formula>
    </cfRule>
    <cfRule type="expression" dxfId="1" priority="86">
      <formula>X156&lt;W156</formula>
    </cfRule>
  </conditionalFormatting>
  <conditionalFormatting sqref="D157">
    <cfRule type="expression" dxfId="0" priority="83">
      <formula>D157&gt;B157</formula>
    </cfRule>
    <cfRule type="expression" dxfId="1" priority="84">
      <formula>D157&lt;B157</formula>
    </cfRule>
  </conditionalFormatting>
  <conditionalFormatting sqref="J157">
    <cfRule type="expression" dxfId="0" priority="81">
      <formula>J157&gt;H157</formula>
    </cfRule>
    <cfRule type="expression" dxfId="1" priority="82">
      <formula>J157&lt;H157</formula>
    </cfRule>
  </conditionalFormatting>
  <conditionalFormatting sqref="P157">
    <cfRule type="expression" dxfId="0" priority="79">
      <formula>P157&gt;N157</formula>
    </cfRule>
    <cfRule type="expression" dxfId="1" priority="80">
      <formula>P157&lt;N157</formula>
    </cfRule>
  </conditionalFormatting>
  <conditionalFormatting sqref="T157:U157">
    <cfRule type="expression" dxfId="0" priority="77">
      <formula>T157&gt;#REF!</formula>
    </cfRule>
    <cfRule type="expression" dxfId="1" priority="78">
      <formula>T157&lt;#REF!</formula>
    </cfRule>
  </conditionalFormatting>
  <conditionalFormatting sqref="V157">
    <cfRule type="expression" dxfId="0" priority="75">
      <formula>V157&gt;T157</formula>
    </cfRule>
    <cfRule type="expression" dxfId="1" priority="76">
      <formula>V157&lt;T157</formula>
    </cfRule>
  </conditionalFormatting>
  <conditionalFormatting sqref="W157">
    <cfRule type="expression" dxfId="0" priority="73">
      <formula>W157&gt;V157</formula>
    </cfRule>
    <cfRule type="expression" dxfId="1" priority="74">
      <formula>W157&lt;V157</formula>
    </cfRule>
  </conditionalFormatting>
  <conditionalFormatting sqref="X157:Y157">
    <cfRule type="expression" dxfId="0" priority="71">
      <formula>X157&gt;W157</formula>
    </cfRule>
    <cfRule type="expression" dxfId="1" priority="72">
      <formula>X157&lt;W157</formula>
    </cfRule>
  </conditionalFormatting>
  <conditionalFormatting sqref="D158">
    <cfRule type="expression" dxfId="0" priority="69">
      <formula>D158&gt;B158</formula>
    </cfRule>
    <cfRule type="expression" dxfId="1" priority="70">
      <formula>D158&lt;B158</formula>
    </cfRule>
  </conditionalFormatting>
  <conditionalFormatting sqref="J158">
    <cfRule type="expression" dxfId="0" priority="67">
      <formula>J158&gt;H158</formula>
    </cfRule>
    <cfRule type="expression" dxfId="1" priority="68">
      <formula>J158&lt;H158</formula>
    </cfRule>
  </conditionalFormatting>
  <conditionalFormatting sqref="T158:U158">
    <cfRule type="expression" dxfId="0" priority="63">
      <formula>T158&gt;#REF!</formula>
    </cfRule>
    <cfRule type="expression" dxfId="1" priority="64">
      <formula>T158&lt;#REF!</formula>
    </cfRule>
  </conditionalFormatting>
  <conditionalFormatting sqref="V158">
    <cfRule type="expression" dxfId="0" priority="61">
      <formula>V158&gt;T158</formula>
    </cfRule>
    <cfRule type="expression" dxfId="1" priority="62">
      <formula>V158&lt;T158</formula>
    </cfRule>
  </conditionalFormatting>
  <conditionalFormatting sqref="W158">
    <cfRule type="expression" dxfId="0" priority="59">
      <formula>W158&gt;V158</formula>
    </cfRule>
    <cfRule type="expression" dxfId="1" priority="60">
      <formula>W158&lt;V158</formula>
    </cfRule>
  </conditionalFormatting>
  <conditionalFormatting sqref="X158:Y158">
    <cfRule type="expression" dxfId="0" priority="57">
      <formula>X158&gt;W158</formula>
    </cfRule>
    <cfRule type="expression" dxfId="1" priority="58">
      <formula>X158&lt;W158</formula>
    </cfRule>
  </conditionalFormatting>
  <conditionalFormatting sqref="D159">
    <cfRule type="expression" dxfId="0" priority="55">
      <formula>D159&gt;B159</formula>
    </cfRule>
    <cfRule type="expression" dxfId="1" priority="56">
      <formula>D159&lt;B159</formula>
    </cfRule>
  </conditionalFormatting>
  <conditionalFormatting sqref="J159">
    <cfRule type="expression" dxfId="0" priority="53">
      <formula>J159&gt;H159</formula>
    </cfRule>
    <cfRule type="expression" dxfId="1" priority="54">
      <formula>J159&lt;H159</formula>
    </cfRule>
  </conditionalFormatting>
  <conditionalFormatting sqref="D160">
    <cfRule type="expression" dxfId="0" priority="41">
      <formula>D160&gt;B160</formula>
    </cfRule>
    <cfRule type="expression" dxfId="1" priority="42">
      <formula>D160&lt;B160</formula>
    </cfRule>
  </conditionalFormatting>
  <conditionalFormatting sqref="J160">
    <cfRule type="expression" dxfId="0" priority="39">
      <formula>J160&gt;H160</formula>
    </cfRule>
    <cfRule type="expression" dxfId="1" priority="40">
      <formula>J160&lt;H160</formula>
    </cfRule>
  </conditionalFormatting>
  <conditionalFormatting sqref="D161">
    <cfRule type="expression" dxfId="0" priority="27">
      <formula>D161&gt;B161</formula>
    </cfRule>
    <cfRule type="expression" dxfId="1" priority="28">
      <formula>D161&lt;B161</formula>
    </cfRule>
  </conditionalFormatting>
  <conditionalFormatting sqref="J161">
    <cfRule type="expression" dxfId="0" priority="25">
      <formula>J161&gt;H161</formula>
    </cfRule>
    <cfRule type="expression" dxfId="1" priority="26">
      <formula>J161&lt;H161</formula>
    </cfRule>
  </conditionalFormatting>
  <conditionalFormatting sqref="L170:M170">
    <cfRule type="expression" dxfId="0" priority="11">
      <formula>L170&gt;K170</formula>
    </cfRule>
    <cfRule type="expression" dxfId="1" priority="12">
      <formula>L170&lt;K170</formula>
    </cfRule>
  </conditionalFormatting>
  <conditionalFormatting sqref="Q170">
    <cfRule type="expression" dxfId="0" priority="21">
      <formula>Q170&gt;#REF!</formula>
    </cfRule>
    <cfRule type="expression" dxfId="1" priority="22">
      <formula>Q170&lt;#REF!</formula>
    </cfRule>
  </conditionalFormatting>
  <conditionalFormatting sqref="R170:S170">
    <cfRule type="expression" dxfId="0" priority="9">
      <formula>R170&gt;Q170</formula>
    </cfRule>
    <cfRule type="expression" dxfId="1" priority="10">
      <formula>R170&lt;Q170</formula>
    </cfRule>
  </conditionalFormatting>
  <conditionalFormatting sqref="T170:U170">
    <cfRule type="expression" dxfId="0" priority="7">
      <formula>T170&gt;#REF!</formula>
    </cfRule>
    <cfRule type="expression" dxfId="1" priority="8">
      <formula>T170&lt;#REF!</formula>
    </cfRule>
  </conditionalFormatting>
  <conditionalFormatting sqref="V170">
    <cfRule type="expression" dxfId="0" priority="5">
      <formula>V170&gt;T170</formula>
    </cfRule>
    <cfRule type="expression" dxfId="1" priority="6">
      <formula>V170&lt;T170</formula>
    </cfRule>
  </conditionalFormatting>
  <conditionalFormatting sqref="W170">
    <cfRule type="expression" dxfId="0" priority="3">
      <formula>W170&gt;V170</formula>
    </cfRule>
    <cfRule type="expression" dxfId="1" priority="4">
      <formula>W170&lt;V170</formula>
    </cfRule>
  </conditionalFormatting>
  <conditionalFormatting sqref="X170:Y170">
    <cfRule type="expression" dxfId="0" priority="1">
      <formula>X170&gt;W170</formula>
    </cfRule>
    <cfRule type="expression" dxfId="1" priority="2">
      <formula>X170&lt;W170</formula>
    </cfRule>
  </conditionalFormatting>
  <conditionalFormatting sqref="D12:D18">
    <cfRule type="expression" dxfId="0" priority="564">
      <formula>D12&gt;B12</formula>
    </cfRule>
    <cfRule type="expression" dxfId="1" priority="565">
      <formula>D12&lt;B12</formula>
    </cfRule>
  </conditionalFormatting>
  <conditionalFormatting sqref="D23:D33">
    <cfRule type="expression" dxfId="0" priority="586">
      <formula>D23&gt;B23</formula>
    </cfRule>
    <cfRule type="expression" dxfId="1" priority="587">
      <formula>D23&lt;B23</formula>
    </cfRule>
  </conditionalFormatting>
  <conditionalFormatting sqref="D34:D41">
    <cfRule type="expression" dxfId="0" priority="553">
      <formula>D34&gt;B34</formula>
    </cfRule>
    <cfRule type="expression" dxfId="1" priority="554">
      <formula>D34&lt;B34</formula>
    </cfRule>
  </conditionalFormatting>
  <conditionalFormatting sqref="D42:D44">
    <cfRule type="expression" dxfId="0" priority="545">
      <formula>D42&gt;B42</formula>
    </cfRule>
    <cfRule type="expression" dxfId="1" priority="546">
      <formula>D42&lt;B42</formula>
    </cfRule>
  </conditionalFormatting>
  <conditionalFormatting sqref="D46:D50">
    <cfRule type="expression" dxfId="0" priority="547">
      <formula>D46&gt;B46</formula>
    </cfRule>
    <cfRule type="expression" dxfId="1" priority="548">
      <formula>D46&lt;B46</formula>
    </cfRule>
  </conditionalFormatting>
  <conditionalFormatting sqref="D49:D50">
    <cfRule type="expression" dxfId="0" priority="549">
      <formula>D49&gt;B49</formula>
    </cfRule>
    <cfRule type="expression" dxfId="1" priority="550">
      <formula>D49&lt;B49</formula>
    </cfRule>
  </conditionalFormatting>
  <conditionalFormatting sqref="D51:D57">
    <cfRule type="expression" dxfId="0" priority="537">
      <formula>D51&gt;B51</formula>
    </cfRule>
    <cfRule type="expression" dxfId="1" priority="538">
      <formula>D51&lt;B51</formula>
    </cfRule>
  </conditionalFormatting>
  <conditionalFormatting sqref="D58:D65">
    <cfRule type="expression" dxfId="0" priority="533">
      <formula>D58&gt;B58</formula>
    </cfRule>
    <cfRule type="expression" dxfId="1" priority="534">
      <formula>D58&lt;B58</formula>
    </cfRule>
  </conditionalFormatting>
  <conditionalFormatting sqref="D66:D71">
    <cfRule type="expression" dxfId="0" priority="531">
      <formula>D66&gt;B66</formula>
    </cfRule>
    <cfRule type="expression" dxfId="1" priority="532">
      <formula>D66&lt;B66</formula>
    </cfRule>
  </conditionalFormatting>
  <conditionalFormatting sqref="D72:D78">
    <cfRule type="expression" dxfId="0" priority="527">
      <formula>D72&gt;B72</formula>
    </cfRule>
    <cfRule type="expression" dxfId="1" priority="528">
      <formula>D72&lt;B72</formula>
    </cfRule>
  </conditionalFormatting>
  <conditionalFormatting sqref="D150:D153">
    <cfRule type="expression" dxfId="0" priority="558">
      <formula>D150&gt;B150</formula>
    </cfRule>
    <cfRule type="expression" dxfId="1" priority="559">
      <formula>D150&lt;B150</formula>
    </cfRule>
  </conditionalFormatting>
  <conditionalFormatting sqref="J4:J5">
    <cfRule type="expression" priority="590">
      <formula>J1=H1</formula>
    </cfRule>
    <cfRule type="expression" dxfId="2" priority="591">
      <formula>J4&gt;H4</formula>
    </cfRule>
    <cfRule type="expression" dxfId="1" priority="592">
      <formula>J4&lt;H4</formula>
    </cfRule>
  </conditionalFormatting>
  <conditionalFormatting sqref="J12:J18">
    <cfRule type="expression" dxfId="2" priority="560">
      <formula>J12&gt;H12</formula>
    </cfRule>
    <cfRule type="expression" dxfId="1" priority="561">
      <formula>J12&lt;H12</formula>
    </cfRule>
  </conditionalFormatting>
  <conditionalFormatting sqref="J23:J33">
    <cfRule type="expression" dxfId="2" priority="578">
      <formula>J23&gt;H23</formula>
    </cfRule>
    <cfRule type="expression" dxfId="1" priority="579">
      <formula>J23&lt;H23</formula>
    </cfRule>
  </conditionalFormatting>
  <conditionalFormatting sqref="J34:J41">
    <cfRule type="expression" dxfId="2" priority="543">
      <formula>J34&gt;H34</formula>
    </cfRule>
    <cfRule type="expression" dxfId="1" priority="544">
      <formula>J34&lt;H34</formula>
    </cfRule>
  </conditionalFormatting>
  <conditionalFormatting sqref="J43:J46">
    <cfRule type="expression" dxfId="2" priority="539">
      <formula>J43&gt;H43</formula>
    </cfRule>
    <cfRule type="expression" dxfId="1" priority="540">
      <formula>J43&lt;H43</formula>
    </cfRule>
  </conditionalFormatting>
  <conditionalFormatting sqref="J47:J63">
    <cfRule type="expression" dxfId="2" priority="535">
      <formula>J47&gt;H47</formula>
    </cfRule>
    <cfRule type="expression" dxfId="1" priority="536">
      <formula>J47&lt;H47</formula>
    </cfRule>
  </conditionalFormatting>
  <conditionalFormatting sqref="J64:J70">
    <cfRule type="expression" dxfId="2" priority="529">
      <formula>J64&gt;H64</formula>
    </cfRule>
    <cfRule type="expression" dxfId="1" priority="530">
      <formula>J64&lt;H64</formula>
    </cfRule>
  </conditionalFormatting>
  <conditionalFormatting sqref="J71:J78">
    <cfRule type="expression" dxfId="2" priority="525">
      <formula>J71&gt;H71</formula>
    </cfRule>
    <cfRule type="expression" dxfId="1" priority="526">
      <formula>J71&lt;H71</formula>
    </cfRule>
  </conditionalFormatting>
  <conditionalFormatting sqref="J108:J114">
    <cfRule type="expression" dxfId="2" priority="337">
      <formula>J108&gt;H108</formula>
    </cfRule>
    <cfRule type="expression" dxfId="1" priority="338">
      <formula>J108&lt;H108</formula>
    </cfRule>
  </conditionalFormatting>
  <conditionalFormatting sqref="J150:J153">
    <cfRule type="expression" dxfId="2" priority="556">
      <formula>J150&gt;H150</formula>
    </cfRule>
    <cfRule type="expression" dxfId="1" priority="557">
      <formula>J150&lt;H150</formula>
    </cfRule>
  </conditionalFormatting>
  <conditionalFormatting sqref="P4:P10">
    <cfRule type="expression" dxfId="2" priority="574">
      <formula>P4&gt;N4</formula>
    </cfRule>
    <cfRule type="expression" dxfId="3" priority="575">
      <formula>P4&lt;N4</formula>
    </cfRule>
  </conditionalFormatting>
  <conditionalFormatting sqref="P12:P32">
    <cfRule type="expression" dxfId="2" priority="562">
      <formula>P12&gt;N12</formula>
    </cfRule>
    <cfRule type="expression" dxfId="3" priority="563">
      <formula>P12&lt;N12</formula>
    </cfRule>
  </conditionalFormatting>
  <conditionalFormatting sqref="D4:D10 D19:D22">
    <cfRule type="expression" dxfId="0" priority="576">
      <formula>D4&gt;B4</formula>
    </cfRule>
    <cfRule type="expression" dxfId="1" priority="577">
      <formula>D4&lt;B4</formula>
    </cfRule>
  </conditionalFormatting>
  <conditionalFormatting sqref="J6:J10 J19:J22">
    <cfRule type="expression" priority="555">
      <formula>J3=H3</formula>
    </cfRule>
    <cfRule type="expression" dxfId="2" priority="572">
      <formula>J6&gt;H6</formula>
    </cfRule>
    <cfRule type="expression" dxfId="1" priority="573">
      <formula>J6&lt;H6</formula>
    </cfRule>
  </conditionalFormatting>
  <conditionalFormatting sqref="P33:P72 P150:P153">
    <cfRule type="expression" dxfId="2" priority="580">
      <formula>P33&gt;N33</formula>
    </cfRule>
    <cfRule type="expression" dxfId="3" priority="581">
      <formula>P33&lt;N33</formula>
    </cfRule>
  </conditionalFormatting>
  <conditionalFormatting sqref="P158 P162 P166">
    <cfRule type="expression" dxfId="0" priority="65">
      <formula>P158&gt;N158</formula>
    </cfRule>
    <cfRule type="expression" dxfId="1" priority="66">
      <formula>P158&lt;N158</formula>
    </cfRule>
  </conditionalFormatting>
  <conditionalFormatting sqref="P159 P163 P167">
    <cfRule type="expression" dxfId="0" priority="51">
      <formula>P159&gt;N159</formula>
    </cfRule>
    <cfRule type="expression" dxfId="1" priority="52">
      <formula>P159&lt;N159</formula>
    </cfRule>
  </conditionalFormatting>
  <conditionalFormatting sqref="T159:U159 T163:U163 T167:U167">
    <cfRule type="expression" dxfId="0" priority="49">
      <formula>T159&gt;#REF!</formula>
    </cfRule>
    <cfRule type="expression" dxfId="1" priority="50">
      <formula>T159&lt;#REF!</formula>
    </cfRule>
  </conditionalFormatting>
  <conditionalFormatting sqref="V159 V163 V167">
    <cfRule type="expression" dxfId="0" priority="47">
      <formula>V159&gt;T159</formula>
    </cfRule>
    <cfRule type="expression" dxfId="1" priority="48">
      <formula>V159&lt;T159</formula>
    </cfRule>
  </conditionalFormatting>
  <conditionalFormatting sqref="W159 W163 W167">
    <cfRule type="expression" dxfId="0" priority="45">
      <formula>W159&gt;V159</formula>
    </cfRule>
    <cfRule type="expression" dxfId="1" priority="46">
      <formula>W159&lt;V159</formula>
    </cfRule>
  </conditionalFormatting>
  <conditionalFormatting sqref="X159:Y159 X163:Y163 X167:Y167">
    <cfRule type="expression" dxfId="0" priority="43">
      <formula>X159&gt;W159</formula>
    </cfRule>
    <cfRule type="expression" dxfId="1" priority="44">
      <formula>X159&lt;W159</formula>
    </cfRule>
  </conditionalFormatting>
  <conditionalFormatting sqref="P160 P164 P168">
    <cfRule type="expression" dxfId="0" priority="37">
      <formula>P160&gt;N160</formula>
    </cfRule>
    <cfRule type="expression" dxfId="1" priority="38">
      <formula>P160&lt;N160</formula>
    </cfRule>
  </conditionalFormatting>
  <conditionalFormatting sqref="T160:U160 T164:U164 T168:U168">
    <cfRule type="expression" dxfId="0" priority="35">
      <formula>T160&gt;#REF!</formula>
    </cfRule>
    <cfRule type="expression" dxfId="1" priority="36">
      <formula>T160&lt;#REF!</formula>
    </cfRule>
  </conditionalFormatting>
  <conditionalFormatting sqref="V160 V164 V168">
    <cfRule type="expression" dxfId="0" priority="33">
      <formula>V160&gt;T160</formula>
    </cfRule>
    <cfRule type="expression" dxfId="1" priority="34">
      <formula>V160&lt;T160</formula>
    </cfRule>
  </conditionalFormatting>
  <conditionalFormatting sqref="W160 W164 W168">
    <cfRule type="expression" dxfId="0" priority="31">
      <formula>W160&gt;V160</formula>
    </cfRule>
    <cfRule type="expression" dxfId="1" priority="32">
      <formula>W160&lt;V160</formula>
    </cfRule>
  </conditionalFormatting>
  <conditionalFormatting sqref="X160:Y160 X164:Y164 X168:Y168">
    <cfRule type="expression" dxfId="0" priority="29">
      <formula>X160&gt;W160</formula>
    </cfRule>
    <cfRule type="expression" dxfId="1" priority="30">
      <formula>X160&lt;W160</formula>
    </cfRule>
  </conditionalFormatting>
  <conditionalFormatting sqref="P161 P165 P169:P170">
    <cfRule type="expression" dxfId="0" priority="23">
      <formula>P161&gt;N161</formula>
    </cfRule>
    <cfRule type="expression" dxfId="1" priority="24">
      <formula>P161&lt;N161</formula>
    </cfRule>
  </conditionalFormatting>
  <conditionalFormatting sqref="T161:U161 T165:U165 T169:U169">
    <cfRule type="expression" dxfId="0" priority="19">
      <formula>T161&gt;#REF!</formula>
    </cfRule>
    <cfRule type="expression" dxfId="1" priority="20">
      <formula>T161&lt;#REF!</formula>
    </cfRule>
  </conditionalFormatting>
  <conditionalFormatting sqref="V161 V165 V169">
    <cfRule type="expression" dxfId="0" priority="17">
      <formula>V161&gt;T161</formula>
    </cfRule>
    <cfRule type="expression" dxfId="1" priority="18">
      <formula>V161&lt;T161</formula>
    </cfRule>
  </conditionalFormatting>
  <conditionalFormatting sqref="W161 W165 W169">
    <cfRule type="expression" dxfId="0" priority="15">
      <formula>W161&gt;V161</formula>
    </cfRule>
    <cfRule type="expression" dxfId="1" priority="16">
      <formula>W161&lt;V161</formula>
    </cfRule>
  </conditionalFormatting>
  <conditionalFormatting sqref="X161:Y161 X165:Y165 X169:Y169">
    <cfRule type="expression" dxfId="0" priority="13">
      <formula>X161&gt;W161</formula>
    </cfRule>
    <cfRule type="expression" dxfId="1" priority="14">
      <formula>X161&lt;W161</formula>
    </cfRule>
  </conditionalFormatting>
  <pageMargins left="0.699305555555556" right="0.699305555555556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0"/>
  <sheetViews>
    <sheetView workbookViewId="0">
      <pane ySplit="1" topLeftCell="A327" activePane="bottomLeft" state="frozen"/>
      <selection/>
      <selection pane="bottomLeft" activeCell="I1485" sqref="I1485"/>
    </sheetView>
  </sheetViews>
  <sheetFormatPr defaultColWidth="9" defaultRowHeight="15.6"/>
  <cols>
    <col min="1" max="1" width="15.6296296296296" style="43" customWidth="1"/>
    <col min="2" max="2" width="15.6296296296296" style="44" customWidth="1"/>
    <col min="3" max="3" width="15.6296296296296" style="45" customWidth="1"/>
    <col min="4" max="6" width="15.6296296296296" style="43" customWidth="1"/>
    <col min="7" max="7" width="15.6296296296296" style="46" customWidth="1"/>
    <col min="8" max="9" width="9" style="47"/>
  </cols>
  <sheetData>
    <row r="1" s="1" customFormat="1" ht="52.2" spans="1:9">
      <c r="A1" s="48" t="s">
        <v>68</v>
      </c>
      <c r="B1" s="49" t="s">
        <v>1</v>
      </c>
      <c r="C1" s="50" t="s">
        <v>2</v>
      </c>
      <c r="D1" s="48" t="s">
        <v>123</v>
      </c>
      <c r="E1" s="48" t="s">
        <v>124</v>
      </c>
      <c r="F1" s="51" t="s">
        <v>125</v>
      </c>
      <c r="G1" s="52" t="s">
        <v>126</v>
      </c>
      <c r="H1" s="53"/>
      <c r="I1" s="53"/>
    </row>
    <row r="2" spans="1:9">
      <c r="A2" s="54">
        <v>44293</v>
      </c>
      <c r="B2" s="44">
        <v>500</v>
      </c>
      <c r="C2" s="45">
        <v>3332</v>
      </c>
      <c r="D2" s="43">
        <v>6</v>
      </c>
      <c r="E2" s="43">
        <v>39</v>
      </c>
      <c r="F2" s="43">
        <v>0.15</v>
      </c>
      <c r="G2" s="46">
        <v>3679</v>
      </c>
    </row>
    <row r="3" spans="1:9">
      <c r="A3" s="54">
        <v>44294</v>
      </c>
      <c r="B3" s="44" t="s">
        <v>18</v>
      </c>
      <c r="C3" s="45" t="s">
        <v>18</v>
      </c>
      <c r="D3" s="43" t="s">
        <v>18</v>
      </c>
      <c r="E3" s="44" t="s">
        <v>18</v>
      </c>
      <c r="F3" s="43" t="s">
        <v>18</v>
      </c>
      <c r="G3" s="46" t="s">
        <v>18</v>
      </c>
    </row>
    <row r="4" spans="1:9">
      <c r="A4" s="54">
        <v>44295</v>
      </c>
      <c r="B4" s="44" t="s">
        <v>18</v>
      </c>
      <c r="C4" s="45" t="s">
        <v>18</v>
      </c>
      <c r="D4" s="43" t="s">
        <v>18</v>
      </c>
      <c r="E4" s="44" t="s">
        <v>18</v>
      </c>
      <c r="F4" s="43" t="s">
        <v>18</v>
      </c>
      <c r="G4" s="46" t="s">
        <v>18</v>
      </c>
    </row>
    <row r="5" spans="1:9">
      <c r="A5" s="54">
        <v>44296</v>
      </c>
      <c r="B5" s="44" t="s">
        <v>18</v>
      </c>
      <c r="C5" s="45" t="s">
        <v>18</v>
      </c>
      <c r="D5" s="43" t="s">
        <v>18</v>
      </c>
      <c r="E5" s="44" t="s">
        <v>18</v>
      </c>
      <c r="F5" s="43" t="s">
        <v>18</v>
      </c>
      <c r="G5" s="46" t="s">
        <v>18</v>
      </c>
    </row>
    <row r="6" spans="1:9">
      <c r="A6" s="54">
        <v>44297</v>
      </c>
      <c r="B6" s="44" t="s">
        <v>18</v>
      </c>
      <c r="C6" s="45" t="s">
        <v>18</v>
      </c>
      <c r="D6" s="43" t="s">
        <v>18</v>
      </c>
      <c r="E6" s="44" t="s">
        <v>18</v>
      </c>
      <c r="F6" s="43" t="s">
        <v>18</v>
      </c>
      <c r="G6" s="46" t="s">
        <v>18</v>
      </c>
    </row>
    <row r="7" spans="1:9">
      <c r="A7" s="54">
        <v>44298</v>
      </c>
      <c r="B7" s="44" t="s">
        <v>18</v>
      </c>
      <c r="C7" s="45" t="s">
        <v>18</v>
      </c>
      <c r="D7" s="43" t="s">
        <v>18</v>
      </c>
      <c r="E7" s="44" t="s">
        <v>18</v>
      </c>
      <c r="F7" s="43" t="s">
        <v>18</v>
      </c>
      <c r="G7" s="46" t="s">
        <v>18</v>
      </c>
    </row>
    <row r="8" spans="1:9">
      <c r="A8" s="54">
        <v>44299</v>
      </c>
      <c r="B8" s="44" t="s">
        <v>18</v>
      </c>
      <c r="C8" s="45" t="s">
        <v>18</v>
      </c>
      <c r="D8" s="43" t="s">
        <v>18</v>
      </c>
      <c r="E8" s="44" t="s">
        <v>18</v>
      </c>
      <c r="F8" s="43" t="s">
        <v>18</v>
      </c>
      <c r="G8" s="46" t="s">
        <v>18</v>
      </c>
    </row>
    <row r="9" spans="1:9">
      <c r="A9" s="54">
        <v>44300</v>
      </c>
      <c r="B9" s="44" t="s">
        <v>18</v>
      </c>
      <c r="C9" s="45" t="s">
        <v>18</v>
      </c>
      <c r="D9" s="43" t="s">
        <v>18</v>
      </c>
      <c r="E9" s="44" t="s">
        <v>18</v>
      </c>
      <c r="F9" s="43" t="s">
        <v>18</v>
      </c>
      <c r="G9" s="46" t="s">
        <v>18</v>
      </c>
    </row>
    <row r="10" spans="1:9">
      <c r="A10" s="54">
        <v>44301</v>
      </c>
      <c r="B10" s="44" t="s">
        <v>18</v>
      </c>
      <c r="C10" s="45" t="s">
        <v>18</v>
      </c>
      <c r="D10" s="43" t="s">
        <v>18</v>
      </c>
      <c r="E10" s="44" t="s">
        <v>18</v>
      </c>
      <c r="F10" s="43" t="s">
        <v>18</v>
      </c>
      <c r="G10" s="46" t="s">
        <v>18</v>
      </c>
    </row>
    <row r="11" spans="1:9">
      <c r="A11" s="54">
        <v>44302</v>
      </c>
      <c r="B11" s="44" t="s">
        <v>18</v>
      </c>
      <c r="C11" s="45" t="s">
        <v>18</v>
      </c>
      <c r="D11" s="43" t="s">
        <v>18</v>
      </c>
      <c r="E11" s="44" t="s">
        <v>18</v>
      </c>
      <c r="F11" s="43" t="s">
        <v>18</v>
      </c>
      <c r="G11" s="46" t="s">
        <v>18</v>
      </c>
    </row>
    <row r="12" spans="1:9">
      <c r="A12" s="54">
        <v>44303</v>
      </c>
      <c r="B12" s="44" t="s">
        <v>18</v>
      </c>
      <c r="C12" s="45" t="s">
        <v>18</v>
      </c>
      <c r="D12" s="43" t="s">
        <v>18</v>
      </c>
      <c r="E12" s="44" t="s">
        <v>18</v>
      </c>
      <c r="F12" s="43" t="s">
        <v>18</v>
      </c>
      <c r="G12" s="46" t="s">
        <v>18</v>
      </c>
    </row>
    <row r="13" spans="1:9">
      <c r="A13" s="54">
        <v>44304</v>
      </c>
      <c r="B13" s="44" t="s">
        <v>18</v>
      </c>
      <c r="C13" s="45" t="s">
        <v>18</v>
      </c>
      <c r="D13" s="43" t="s">
        <v>18</v>
      </c>
      <c r="E13" s="44" t="s">
        <v>18</v>
      </c>
      <c r="F13" s="43" t="s">
        <v>18</v>
      </c>
      <c r="G13" s="46" t="s">
        <v>18</v>
      </c>
    </row>
    <row r="14" spans="1:9">
      <c r="A14" s="54">
        <v>44305</v>
      </c>
      <c r="B14" s="44" t="s">
        <v>18</v>
      </c>
      <c r="C14" s="45" t="s">
        <v>18</v>
      </c>
      <c r="D14" s="43" t="s">
        <v>18</v>
      </c>
      <c r="E14" s="44" t="s">
        <v>18</v>
      </c>
      <c r="F14" s="43" t="s">
        <v>18</v>
      </c>
      <c r="G14" s="46" t="s">
        <v>18</v>
      </c>
    </row>
    <row r="15" spans="1:9">
      <c r="A15" s="54">
        <v>44306</v>
      </c>
      <c r="B15" s="44">
        <v>3000</v>
      </c>
      <c r="C15" s="45">
        <v>19995</v>
      </c>
      <c r="D15" s="43">
        <v>27</v>
      </c>
      <c r="E15" s="43">
        <v>37</v>
      </c>
      <c r="F15" s="43">
        <v>0.15</v>
      </c>
      <c r="G15" s="46">
        <v>21817</v>
      </c>
    </row>
    <row r="16" spans="1:9">
      <c r="A16" s="54">
        <v>44307</v>
      </c>
      <c r="B16" s="44" t="s">
        <v>18</v>
      </c>
      <c r="C16" s="44" t="s">
        <v>18</v>
      </c>
      <c r="D16" s="44" t="s">
        <v>18</v>
      </c>
      <c r="E16" s="44" t="s">
        <v>18</v>
      </c>
      <c r="F16" s="44" t="s">
        <v>18</v>
      </c>
      <c r="G16" s="44" t="s">
        <v>18</v>
      </c>
    </row>
    <row r="17" spans="1:7">
      <c r="A17" s="54">
        <v>44308</v>
      </c>
      <c r="B17" s="44" t="s">
        <v>18</v>
      </c>
      <c r="C17" s="44" t="s">
        <v>18</v>
      </c>
      <c r="D17" s="44" t="s">
        <v>18</v>
      </c>
      <c r="E17" s="44" t="s">
        <v>18</v>
      </c>
      <c r="F17" s="44" t="s">
        <v>18</v>
      </c>
      <c r="G17" s="44" t="s">
        <v>18</v>
      </c>
    </row>
    <row r="18" spans="1:7">
      <c r="A18" s="54">
        <v>44309</v>
      </c>
      <c r="B18" s="44" t="s">
        <v>18</v>
      </c>
      <c r="C18" s="44" t="s">
        <v>18</v>
      </c>
      <c r="D18" s="44" t="s">
        <v>18</v>
      </c>
      <c r="E18" s="44" t="s">
        <v>18</v>
      </c>
      <c r="F18" s="44" t="s">
        <v>18</v>
      </c>
      <c r="G18" s="44" t="s">
        <v>18</v>
      </c>
    </row>
    <row r="19" spans="1:7">
      <c r="A19" s="54">
        <v>44310</v>
      </c>
      <c r="B19" s="44" t="s">
        <v>18</v>
      </c>
      <c r="C19" s="44" t="s">
        <v>18</v>
      </c>
      <c r="D19" s="44" t="s">
        <v>18</v>
      </c>
      <c r="E19" s="44" t="s">
        <v>18</v>
      </c>
      <c r="F19" s="44" t="s">
        <v>18</v>
      </c>
      <c r="G19" s="44" t="s">
        <v>18</v>
      </c>
    </row>
    <row r="20" spans="1:7">
      <c r="A20" s="54">
        <v>44311</v>
      </c>
      <c r="B20" s="44" t="s">
        <v>18</v>
      </c>
      <c r="C20" s="44" t="s">
        <v>18</v>
      </c>
      <c r="D20" s="44" t="s">
        <v>18</v>
      </c>
      <c r="E20" s="44" t="s">
        <v>18</v>
      </c>
      <c r="F20" s="44" t="s">
        <v>18</v>
      </c>
      <c r="G20" s="44" t="s">
        <v>18</v>
      </c>
    </row>
    <row r="21" spans="1:7">
      <c r="A21" s="54">
        <v>44312</v>
      </c>
      <c r="B21" s="44" t="s">
        <v>18</v>
      </c>
      <c r="C21" s="44" t="s">
        <v>18</v>
      </c>
      <c r="D21" s="44" t="s">
        <v>18</v>
      </c>
      <c r="E21" s="44" t="s">
        <v>18</v>
      </c>
      <c r="F21" s="44" t="s">
        <v>18</v>
      </c>
      <c r="G21" s="44" t="s">
        <v>18</v>
      </c>
    </row>
    <row r="22" spans="1:7">
      <c r="A22" s="54">
        <v>44313</v>
      </c>
      <c r="B22" s="44" t="s">
        <v>18</v>
      </c>
      <c r="C22" s="44" t="s">
        <v>18</v>
      </c>
      <c r="D22" s="44" t="s">
        <v>18</v>
      </c>
      <c r="E22" s="44" t="s">
        <v>18</v>
      </c>
      <c r="F22" s="44" t="s">
        <v>18</v>
      </c>
      <c r="G22" s="44" t="s">
        <v>18</v>
      </c>
    </row>
    <row r="23" spans="1:7">
      <c r="A23" s="54">
        <v>44314</v>
      </c>
      <c r="B23" s="44" t="s">
        <v>18</v>
      </c>
      <c r="C23" s="44" t="s">
        <v>18</v>
      </c>
      <c r="D23" s="44" t="s">
        <v>18</v>
      </c>
      <c r="E23" s="44" t="s">
        <v>18</v>
      </c>
      <c r="F23" s="44" t="s">
        <v>18</v>
      </c>
      <c r="G23" s="44" t="s">
        <v>18</v>
      </c>
    </row>
    <row r="24" spans="1:7">
      <c r="A24" s="54">
        <v>44315</v>
      </c>
      <c r="B24" s="44" t="s">
        <v>18</v>
      </c>
      <c r="C24" s="44" t="s">
        <v>18</v>
      </c>
      <c r="D24" s="44" t="s">
        <v>18</v>
      </c>
      <c r="E24" s="44" t="s">
        <v>18</v>
      </c>
      <c r="F24" s="44" t="s">
        <v>18</v>
      </c>
      <c r="G24" s="44" t="s">
        <v>18</v>
      </c>
    </row>
    <row r="25" spans="1:7">
      <c r="A25" s="54">
        <v>44316</v>
      </c>
      <c r="B25" s="44" t="s">
        <v>18</v>
      </c>
      <c r="C25" s="44" t="s">
        <v>18</v>
      </c>
      <c r="D25" s="44" t="s">
        <v>18</v>
      </c>
      <c r="E25" s="44" t="s">
        <v>18</v>
      </c>
      <c r="F25" s="44" t="s">
        <v>18</v>
      </c>
      <c r="G25" s="44" t="s">
        <v>18</v>
      </c>
    </row>
    <row r="26" spans="1:7">
      <c r="A26" s="54">
        <v>44317</v>
      </c>
      <c r="B26" s="44" t="s">
        <v>18</v>
      </c>
      <c r="C26" s="44" t="s">
        <v>18</v>
      </c>
      <c r="D26" s="44" t="s">
        <v>18</v>
      </c>
      <c r="E26" s="44" t="s">
        <v>18</v>
      </c>
      <c r="F26" s="44" t="s">
        <v>18</v>
      </c>
      <c r="G26" s="44" t="s">
        <v>18</v>
      </c>
    </row>
    <row r="27" spans="1:7">
      <c r="A27" s="54">
        <v>44318</v>
      </c>
      <c r="B27" s="44" t="s">
        <v>18</v>
      </c>
      <c r="C27" s="44" t="s">
        <v>18</v>
      </c>
      <c r="D27" s="44" t="s">
        <v>18</v>
      </c>
      <c r="E27" s="44" t="s">
        <v>18</v>
      </c>
      <c r="F27" s="44" t="s">
        <v>18</v>
      </c>
      <c r="G27" s="44" t="s">
        <v>18</v>
      </c>
    </row>
    <row r="28" spans="1:7">
      <c r="A28" s="54">
        <v>44319</v>
      </c>
      <c r="B28" s="44" t="s">
        <v>18</v>
      </c>
      <c r="C28" s="44" t="s">
        <v>18</v>
      </c>
      <c r="D28" s="44" t="s">
        <v>18</v>
      </c>
      <c r="E28" s="44" t="s">
        <v>18</v>
      </c>
      <c r="F28" s="44" t="s">
        <v>18</v>
      </c>
      <c r="G28" s="44" t="s">
        <v>18</v>
      </c>
    </row>
    <row r="29" spans="1:7">
      <c r="A29" s="54">
        <v>44320</v>
      </c>
      <c r="B29" s="44" t="s">
        <v>18</v>
      </c>
      <c r="C29" s="44" t="s">
        <v>18</v>
      </c>
      <c r="D29" s="44" t="s">
        <v>18</v>
      </c>
      <c r="E29" s="44" t="s">
        <v>18</v>
      </c>
      <c r="F29" s="44" t="s">
        <v>18</v>
      </c>
      <c r="G29" s="44" t="s">
        <v>18</v>
      </c>
    </row>
    <row r="30" spans="1:7">
      <c r="A30" s="54">
        <v>44321</v>
      </c>
      <c r="B30" s="44" t="s">
        <v>18</v>
      </c>
      <c r="C30" s="44" t="s">
        <v>18</v>
      </c>
      <c r="D30" s="44" t="s">
        <v>18</v>
      </c>
      <c r="E30" s="44" t="s">
        <v>18</v>
      </c>
      <c r="F30" s="44" t="s">
        <v>18</v>
      </c>
      <c r="G30" s="44" t="s">
        <v>18</v>
      </c>
    </row>
    <row r="31" spans="1:7">
      <c r="A31" s="54">
        <v>44322</v>
      </c>
      <c r="B31" s="44" t="s">
        <v>18</v>
      </c>
      <c r="C31" s="44" t="s">
        <v>18</v>
      </c>
      <c r="D31" s="44" t="s">
        <v>18</v>
      </c>
      <c r="E31" s="44" t="s">
        <v>18</v>
      </c>
      <c r="F31" s="44" t="s">
        <v>18</v>
      </c>
      <c r="G31" s="44" t="s">
        <v>18</v>
      </c>
    </row>
    <row r="32" spans="1:7">
      <c r="A32" s="54">
        <v>44323</v>
      </c>
      <c r="B32" s="44" t="s">
        <v>18</v>
      </c>
      <c r="C32" s="44" t="s">
        <v>18</v>
      </c>
      <c r="D32" s="44" t="s">
        <v>18</v>
      </c>
      <c r="E32" s="44" t="s">
        <v>18</v>
      </c>
      <c r="F32" s="44" t="s">
        <v>18</v>
      </c>
      <c r="G32" s="44" t="s">
        <v>18</v>
      </c>
    </row>
    <row r="33" spans="1:7">
      <c r="A33" s="54">
        <v>44324</v>
      </c>
      <c r="B33" s="44" t="s">
        <v>18</v>
      </c>
      <c r="C33" s="44" t="s">
        <v>18</v>
      </c>
      <c r="D33" s="44" t="s">
        <v>18</v>
      </c>
      <c r="E33" s="44" t="s">
        <v>18</v>
      </c>
      <c r="F33" s="44" t="s">
        <v>18</v>
      </c>
      <c r="G33" s="44" t="s">
        <v>18</v>
      </c>
    </row>
    <row r="34" spans="1:7">
      <c r="A34" s="54">
        <v>44325</v>
      </c>
      <c r="B34" s="44" t="s">
        <v>18</v>
      </c>
      <c r="C34" s="44" t="s">
        <v>18</v>
      </c>
      <c r="D34" s="44" t="s">
        <v>18</v>
      </c>
      <c r="E34" s="44" t="s">
        <v>18</v>
      </c>
      <c r="F34" s="44" t="s">
        <v>18</v>
      </c>
      <c r="G34" s="44" t="s">
        <v>18</v>
      </c>
    </row>
    <row r="35" spans="1:7">
      <c r="A35" s="54">
        <v>44326</v>
      </c>
      <c r="B35" s="44" t="s">
        <v>18</v>
      </c>
      <c r="C35" s="44" t="s">
        <v>18</v>
      </c>
      <c r="D35" s="44" t="s">
        <v>18</v>
      </c>
      <c r="E35" s="44" t="s">
        <v>18</v>
      </c>
      <c r="F35" s="44" t="s">
        <v>18</v>
      </c>
      <c r="G35" s="44" t="s">
        <v>18</v>
      </c>
    </row>
    <row r="36" spans="1:7">
      <c r="A36" s="54">
        <v>44327</v>
      </c>
      <c r="B36" s="44" t="s">
        <v>18</v>
      </c>
      <c r="C36" s="44" t="s">
        <v>18</v>
      </c>
      <c r="D36" s="44" t="s">
        <v>18</v>
      </c>
      <c r="E36" s="44" t="s">
        <v>18</v>
      </c>
      <c r="F36" s="44" t="s">
        <v>18</v>
      </c>
      <c r="G36" s="44" t="s">
        <v>18</v>
      </c>
    </row>
    <row r="37" spans="1:7">
      <c r="A37" s="54">
        <v>44328</v>
      </c>
      <c r="B37" s="44">
        <v>2000</v>
      </c>
      <c r="C37" s="45">
        <v>11102</v>
      </c>
      <c r="D37" s="43">
        <v>42</v>
      </c>
      <c r="E37" s="43">
        <v>50</v>
      </c>
      <c r="F37" s="43">
        <v>0.18</v>
      </c>
      <c r="G37" s="46">
        <v>17231</v>
      </c>
    </row>
    <row r="38" spans="1:7">
      <c r="A38" s="54">
        <v>44329</v>
      </c>
      <c r="B38" s="44" t="s">
        <v>18</v>
      </c>
      <c r="C38" s="44" t="s">
        <v>18</v>
      </c>
      <c r="D38" s="44" t="s">
        <v>18</v>
      </c>
      <c r="E38" s="44" t="s">
        <v>18</v>
      </c>
      <c r="F38" s="44" t="s">
        <v>18</v>
      </c>
      <c r="G38" s="44" t="s">
        <v>18</v>
      </c>
    </row>
    <row r="39" spans="1:7">
      <c r="A39" s="54">
        <v>44330</v>
      </c>
      <c r="B39" s="44" t="s">
        <v>18</v>
      </c>
      <c r="C39" s="44" t="s">
        <v>18</v>
      </c>
      <c r="D39" s="44" t="s">
        <v>18</v>
      </c>
      <c r="E39" s="44" t="s">
        <v>18</v>
      </c>
      <c r="F39" s="44" t="s">
        <v>18</v>
      </c>
      <c r="G39" s="44" t="s">
        <v>18</v>
      </c>
    </row>
    <row r="40" spans="1:7">
      <c r="A40" s="54">
        <v>44331</v>
      </c>
      <c r="B40" s="44" t="s">
        <v>18</v>
      </c>
      <c r="C40" s="44" t="s">
        <v>18</v>
      </c>
      <c r="D40" s="44" t="s">
        <v>18</v>
      </c>
      <c r="E40" s="44" t="s">
        <v>18</v>
      </c>
      <c r="F40" s="44" t="s">
        <v>18</v>
      </c>
      <c r="G40" s="44" t="s">
        <v>18</v>
      </c>
    </row>
    <row r="41" spans="1:7">
      <c r="A41" s="54">
        <v>44332</v>
      </c>
      <c r="B41" s="44" t="s">
        <v>18</v>
      </c>
      <c r="C41" s="44" t="s">
        <v>18</v>
      </c>
      <c r="D41" s="44" t="s">
        <v>18</v>
      </c>
      <c r="E41" s="44" t="s">
        <v>18</v>
      </c>
      <c r="F41" s="44" t="s">
        <v>18</v>
      </c>
      <c r="G41" s="44" t="s">
        <v>18</v>
      </c>
    </row>
    <row r="42" spans="1:7">
      <c r="A42" s="54">
        <v>44333</v>
      </c>
      <c r="B42" s="44" t="s">
        <v>18</v>
      </c>
      <c r="C42" s="44" t="s">
        <v>18</v>
      </c>
      <c r="D42" s="44" t="s">
        <v>18</v>
      </c>
      <c r="E42" s="44" t="s">
        <v>18</v>
      </c>
      <c r="F42" s="44" t="s">
        <v>18</v>
      </c>
      <c r="G42" s="44" t="s">
        <v>18</v>
      </c>
    </row>
    <row r="43" spans="1:7">
      <c r="A43" s="54">
        <v>44334</v>
      </c>
      <c r="B43" s="44" t="s">
        <v>18</v>
      </c>
      <c r="C43" s="44" t="s">
        <v>18</v>
      </c>
      <c r="D43" s="44" t="s">
        <v>18</v>
      </c>
      <c r="E43" s="44" t="s">
        <v>18</v>
      </c>
      <c r="F43" s="44" t="s">
        <v>18</v>
      </c>
      <c r="G43" s="44" t="s">
        <v>18</v>
      </c>
    </row>
    <row r="44" spans="1:7">
      <c r="A44" s="54">
        <v>44335</v>
      </c>
      <c r="B44" s="44" t="s">
        <v>18</v>
      </c>
      <c r="C44" s="44" t="s">
        <v>18</v>
      </c>
      <c r="D44" s="44" t="s">
        <v>18</v>
      </c>
      <c r="E44" s="44" t="s">
        <v>18</v>
      </c>
      <c r="F44" s="44" t="s">
        <v>18</v>
      </c>
      <c r="G44" s="44" t="s">
        <v>18</v>
      </c>
    </row>
    <row r="45" spans="1:7">
      <c r="A45" s="54">
        <v>44336</v>
      </c>
      <c r="B45" s="44" t="s">
        <v>18</v>
      </c>
      <c r="C45" s="44" t="s">
        <v>18</v>
      </c>
      <c r="D45" s="44" t="s">
        <v>18</v>
      </c>
      <c r="E45" s="44" t="s">
        <v>18</v>
      </c>
      <c r="F45" s="44" t="s">
        <v>18</v>
      </c>
      <c r="G45" s="44" t="s">
        <v>18</v>
      </c>
    </row>
    <row r="46" spans="1:7">
      <c r="A46" s="54">
        <v>44337</v>
      </c>
      <c r="B46" s="44" t="s">
        <v>18</v>
      </c>
      <c r="C46" s="44" t="s">
        <v>18</v>
      </c>
      <c r="D46" s="44" t="s">
        <v>18</v>
      </c>
      <c r="E46" s="44" t="s">
        <v>18</v>
      </c>
      <c r="F46" s="44" t="s">
        <v>18</v>
      </c>
      <c r="G46" s="44" t="s">
        <v>18</v>
      </c>
    </row>
    <row r="47" spans="1:7">
      <c r="A47" s="54">
        <v>44338</v>
      </c>
      <c r="B47" s="44" t="s">
        <v>18</v>
      </c>
      <c r="C47" s="44" t="s">
        <v>18</v>
      </c>
      <c r="D47" s="44" t="s">
        <v>18</v>
      </c>
      <c r="E47" s="44" t="s">
        <v>18</v>
      </c>
      <c r="F47" s="44" t="s">
        <v>18</v>
      </c>
      <c r="G47" s="44" t="s">
        <v>18</v>
      </c>
    </row>
    <row r="48" spans="1:7">
      <c r="A48" s="54">
        <v>44339</v>
      </c>
      <c r="B48" s="44" t="s">
        <v>18</v>
      </c>
      <c r="C48" s="44" t="s">
        <v>18</v>
      </c>
      <c r="D48" s="44" t="s">
        <v>18</v>
      </c>
      <c r="E48" s="44" t="s">
        <v>18</v>
      </c>
      <c r="F48" s="44" t="s">
        <v>18</v>
      </c>
      <c r="G48" s="44" t="s">
        <v>18</v>
      </c>
    </row>
    <row r="49" spans="1:7">
      <c r="A49" s="54">
        <v>44340</v>
      </c>
      <c r="B49" s="44" t="s">
        <v>18</v>
      </c>
      <c r="C49" s="44" t="s">
        <v>18</v>
      </c>
      <c r="D49" s="44" t="s">
        <v>18</v>
      </c>
      <c r="E49" s="44" t="s">
        <v>18</v>
      </c>
      <c r="F49" s="44" t="s">
        <v>18</v>
      </c>
      <c r="G49" s="44" t="s">
        <v>18</v>
      </c>
    </row>
    <row r="50" spans="1:7">
      <c r="A50" s="54">
        <v>44341</v>
      </c>
      <c r="B50" s="44" t="s">
        <v>18</v>
      </c>
      <c r="C50" s="44" t="s">
        <v>18</v>
      </c>
      <c r="D50" s="44" t="s">
        <v>18</v>
      </c>
      <c r="E50" s="44" t="s">
        <v>18</v>
      </c>
      <c r="F50" s="44" t="s">
        <v>18</v>
      </c>
      <c r="G50" s="44" t="s">
        <v>18</v>
      </c>
    </row>
    <row r="51" spans="1:7">
      <c r="A51" s="54">
        <v>44342</v>
      </c>
      <c r="B51" s="44" t="s">
        <v>18</v>
      </c>
      <c r="C51" s="44" t="s">
        <v>18</v>
      </c>
      <c r="D51" s="44" t="s">
        <v>18</v>
      </c>
      <c r="E51" s="44" t="s">
        <v>18</v>
      </c>
      <c r="F51" s="44" t="s">
        <v>18</v>
      </c>
      <c r="G51" s="44" t="s">
        <v>18</v>
      </c>
    </row>
    <row r="52" spans="1:7">
      <c r="A52" s="54">
        <v>44343</v>
      </c>
      <c r="B52" s="44" t="s">
        <v>18</v>
      </c>
      <c r="C52" s="44" t="s">
        <v>18</v>
      </c>
      <c r="D52" s="44" t="s">
        <v>18</v>
      </c>
      <c r="E52" s="44" t="s">
        <v>18</v>
      </c>
      <c r="F52" s="44" t="s">
        <v>18</v>
      </c>
      <c r="G52" s="44" t="s">
        <v>18</v>
      </c>
    </row>
    <row r="53" spans="1:7">
      <c r="A53" s="54">
        <v>44344</v>
      </c>
      <c r="B53" s="44" t="s">
        <v>18</v>
      </c>
      <c r="C53" s="44" t="s">
        <v>18</v>
      </c>
      <c r="D53" s="44" t="s">
        <v>18</v>
      </c>
      <c r="E53" s="44" t="s">
        <v>18</v>
      </c>
      <c r="F53" s="44" t="s">
        <v>18</v>
      </c>
      <c r="G53" s="44" t="s">
        <v>18</v>
      </c>
    </row>
    <row r="54" spans="1:7">
      <c r="A54" s="54">
        <v>44345</v>
      </c>
      <c r="B54" s="44" t="s">
        <v>18</v>
      </c>
      <c r="C54" s="44" t="s">
        <v>18</v>
      </c>
      <c r="D54" s="44" t="s">
        <v>18</v>
      </c>
      <c r="E54" s="44" t="s">
        <v>18</v>
      </c>
      <c r="F54" s="44" t="s">
        <v>18</v>
      </c>
      <c r="G54" s="44" t="s">
        <v>18</v>
      </c>
    </row>
    <row r="55" spans="1:7">
      <c r="A55" s="54">
        <v>44346</v>
      </c>
      <c r="B55" s="44" t="s">
        <v>18</v>
      </c>
      <c r="C55" s="44" t="s">
        <v>18</v>
      </c>
      <c r="D55" s="44" t="s">
        <v>18</v>
      </c>
      <c r="E55" s="44" t="s">
        <v>18</v>
      </c>
      <c r="F55" s="44" t="s">
        <v>18</v>
      </c>
      <c r="G55" s="44" t="s">
        <v>18</v>
      </c>
    </row>
    <row r="56" spans="1:7">
      <c r="A56" s="54">
        <v>44347</v>
      </c>
      <c r="B56" s="44" t="s">
        <v>18</v>
      </c>
      <c r="C56" s="44" t="s">
        <v>18</v>
      </c>
      <c r="D56" s="44" t="s">
        <v>18</v>
      </c>
      <c r="E56" s="44" t="s">
        <v>18</v>
      </c>
      <c r="F56" s="44" t="s">
        <v>18</v>
      </c>
      <c r="G56" s="44" t="s">
        <v>18</v>
      </c>
    </row>
    <row r="57" spans="1:7">
      <c r="A57" s="54">
        <v>44348</v>
      </c>
      <c r="B57" s="44" t="s">
        <v>18</v>
      </c>
      <c r="C57" s="44" t="s">
        <v>18</v>
      </c>
      <c r="D57" s="44" t="s">
        <v>18</v>
      </c>
      <c r="E57" s="44" t="s">
        <v>18</v>
      </c>
      <c r="F57" s="44" t="s">
        <v>18</v>
      </c>
      <c r="G57" s="44" t="s">
        <v>18</v>
      </c>
    </row>
    <row r="58" spans="1:7">
      <c r="A58" s="54">
        <v>44349</v>
      </c>
      <c r="B58" s="44" t="s">
        <v>18</v>
      </c>
      <c r="C58" s="44" t="s">
        <v>18</v>
      </c>
      <c r="D58" s="44" t="s">
        <v>18</v>
      </c>
      <c r="E58" s="44" t="s">
        <v>18</v>
      </c>
      <c r="F58" s="44" t="s">
        <v>18</v>
      </c>
      <c r="G58" s="44" t="s">
        <v>18</v>
      </c>
    </row>
    <row r="59" spans="1:7">
      <c r="A59" s="54">
        <v>44350</v>
      </c>
      <c r="B59" s="44" t="s">
        <v>18</v>
      </c>
      <c r="C59" s="44" t="s">
        <v>18</v>
      </c>
      <c r="D59" s="44" t="s">
        <v>18</v>
      </c>
      <c r="E59" s="44" t="s">
        <v>18</v>
      </c>
      <c r="F59" s="44" t="s">
        <v>18</v>
      </c>
      <c r="G59" s="44" t="s">
        <v>18</v>
      </c>
    </row>
    <row r="60" spans="1:7">
      <c r="A60" s="54">
        <v>44351</v>
      </c>
      <c r="B60" s="44" t="s">
        <v>18</v>
      </c>
      <c r="C60" s="44" t="s">
        <v>18</v>
      </c>
      <c r="D60" s="44" t="s">
        <v>18</v>
      </c>
      <c r="E60" s="44" t="s">
        <v>18</v>
      </c>
      <c r="F60" s="44" t="s">
        <v>18</v>
      </c>
      <c r="G60" s="44" t="s">
        <v>18</v>
      </c>
    </row>
    <row r="61" spans="1:7">
      <c r="A61" s="54">
        <v>44352</v>
      </c>
      <c r="B61" s="44" t="s">
        <v>18</v>
      </c>
      <c r="C61" s="44" t="s">
        <v>18</v>
      </c>
      <c r="D61" s="44" t="s">
        <v>18</v>
      </c>
      <c r="E61" s="44" t="s">
        <v>18</v>
      </c>
      <c r="F61" s="44" t="s">
        <v>18</v>
      </c>
      <c r="G61" s="44" t="s">
        <v>18</v>
      </c>
    </row>
    <row r="62" spans="1:7">
      <c r="A62" s="54">
        <v>44353</v>
      </c>
      <c r="B62" s="44" t="s">
        <v>18</v>
      </c>
      <c r="C62" s="44" t="s">
        <v>18</v>
      </c>
      <c r="D62" s="44" t="s">
        <v>18</v>
      </c>
      <c r="E62" s="44" t="s">
        <v>18</v>
      </c>
      <c r="F62" s="44" t="s">
        <v>18</v>
      </c>
      <c r="G62" s="44" t="s">
        <v>18</v>
      </c>
    </row>
    <row r="63" spans="1:7">
      <c r="A63" s="54">
        <v>44354</v>
      </c>
      <c r="B63" s="44" t="s">
        <v>18</v>
      </c>
      <c r="C63" s="44" t="s">
        <v>18</v>
      </c>
      <c r="D63" s="44" t="s">
        <v>18</v>
      </c>
      <c r="E63" s="44" t="s">
        <v>18</v>
      </c>
      <c r="F63" s="44" t="s">
        <v>18</v>
      </c>
      <c r="G63" s="44" t="s">
        <v>18</v>
      </c>
    </row>
    <row r="64" spans="1:7">
      <c r="A64" s="54">
        <v>44355</v>
      </c>
      <c r="B64" s="44" t="s">
        <v>18</v>
      </c>
      <c r="C64" s="44" t="s">
        <v>18</v>
      </c>
      <c r="D64" s="44" t="s">
        <v>18</v>
      </c>
      <c r="E64" s="44" t="s">
        <v>18</v>
      </c>
      <c r="F64" s="44" t="s">
        <v>18</v>
      </c>
      <c r="G64" s="44" t="s">
        <v>18</v>
      </c>
    </row>
    <row r="65" spans="1:7">
      <c r="A65" s="54">
        <v>44356</v>
      </c>
      <c r="B65" s="44" t="s">
        <v>18</v>
      </c>
      <c r="C65" s="44" t="s">
        <v>18</v>
      </c>
      <c r="D65" s="44" t="s">
        <v>18</v>
      </c>
      <c r="E65" s="44" t="s">
        <v>18</v>
      </c>
      <c r="F65" s="44" t="s">
        <v>18</v>
      </c>
      <c r="G65" s="44" t="s">
        <v>18</v>
      </c>
    </row>
    <row r="66" spans="1:7">
      <c r="A66" s="54">
        <v>44357</v>
      </c>
      <c r="B66" s="44" t="s">
        <v>18</v>
      </c>
      <c r="C66" s="44" t="s">
        <v>18</v>
      </c>
      <c r="D66" s="44" t="s">
        <v>18</v>
      </c>
      <c r="E66" s="44" t="s">
        <v>18</v>
      </c>
      <c r="F66" s="44" t="s">
        <v>18</v>
      </c>
      <c r="G66" s="44" t="s">
        <v>18</v>
      </c>
    </row>
    <row r="67" spans="1:7">
      <c r="A67" s="54">
        <v>44358</v>
      </c>
      <c r="B67" s="44" t="s">
        <v>18</v>
      </c>
      <c r="C67" s="44" t="s">
        <v>18</v>
      </c>
      <c r="D67" s="44" t="s">
        <v>18</v>
      </c>
      <c r="E67" s="44" t="s">
        <v>18</v>
      </c>
      <c r="F67" s="44" t="s">
        <v>18</v>
      </c>
      <c r="G67" s="44" t="s">
        <v>18</v>
      </c>
    </row>
    <row r="68" spans="1:7">
      <c r="A68" s="54">
        <v>44359</v>
      </c>
      <c r="B68" s="44" t="s">
        <v>18</v>
      </c>
      <c r="C68" s="44" t="s">
        <v>18</v>
      </c>
      <c r="D68" s="44" t="s">
        <v>18</v>
      </c>
      <c r="E68" s="44" t="s">
        <v>18</v>
      </c>
      <c r="F68" s="44" t="s">
        <v>18</v>
      </c>
      <c r="G68" s="44" t="s">
        <v>18</v>
      </c>
    </row>
    <row r="69" spans="1:7">
      <c r="A69" s="54">
        <v>44360</v>
      </c>
      <c r="B69" s="44" t="s">
        <v>18</v>
      </c>
      <c r="C69" s="44" t="s">
        <v>18</v>
      </c>
      <c r="D69" s="44" t="s">
        <v>18</v>
      </c>
      <c r="E69" s="44" t="s">
        <v>18</v>
      </c>
      <c r="F69" s="44" t="s">
        <v>18</v>
      </c>
      <c r="G69" s="44" t="s">
        <v>18</v>
      </c>
    </row>
    <row r="70" spans="1:7">
      <c r="A70" s="54">
        <v>44361</v>
      </c>
      <c r="B70" s="44" t="s">
        <v>18</v>
      </c>
      <c r="C70" s="44" t="s">
        <v>18</v>
      </c>
      <c r="D70" s="44" t="s">
        <v>18</v>
      </c>
      <c r="E70" s="44" t="s">
        <v>18</v>
      </c>
      <c r="F70" s="44" t="s">
        <v>18</v>
      </c>
      <c r="G70" s="44" t="s">
        <v>18</v>
      </c>
    </row>
    <row r="71" spans="1:7">
      <c r="A71" s="54">
        <v>44362</v>
      </c>
      <c r="B71" s="44" t="s">
        <v>18</v>
      </c>
      <c r="C71" s="44" t="s">
        <v>18</v>
      </c>
      <c r="D71" s="44" t="s">
        <v>18</v>
      </c>
      <c r="E71" s="44" t="s">
        <v>18</v>
      </c>
      <c r="F71" s="44" t="s">
        <v>18</v>
      </c>
      <c r="G71" s="44" t="s">
        <v>18</v>
      </c>
    </row>
    <row r="72" spans="1:7">
      <c r="A72" s="54">
        <v>44363</v>
      </c>
      <c r="B72" s="44" t="s">
        <v>18</v>
      </c>
      <c r="C72" s="44" t="s">
        <v>18</v>
      </c>
      <c r="D72" s="44" t="s">
        <v>18</v>
      </c>
      <c r="E72" s="44" t="s">
        <v>18</v>
      </c>
      <c r="F72" s="44" t="s">
        <v>18</v>
      </c>
      <c r="G72" s="44" t="s">
        <v>18</v>
      </c>
    </row>
    <row r="73" spans="1:7">
      <c r="A73" s="54">
        <v>44364</v>
      </c>
      <c r="B73" s="44" t="s">
        <v>18</v>
      </c>
      <c r="C73" s="44" t="s">
        <v>18</v>
      </c>
      <c r="D73" s="44" t="s">
        <v>18</v>
      </c>
      <c r="E73" s="44" t="s">
        <v>18</v>
      </c>
      <c r="F73" s="44" t="s">
        <v>18</v>
      </c>
      <c r="G73" s="44" t="s">
        <v>18</v>
      </c>
    </row>
    <row r="74" spans="1:7">
      <c r="A74" s="54">
        <v>44365</v>
      </c>
      <c r="B74" s="44">
        <v>102.3</v>
      </c>
      <c r="C74" s="45">
        <v>382</v>
      </c>
      <c r="D74" s="43">
        <v>1</v>
      </c>
      <c r="E74" s="43">
        <v>31</v>
      </c>
      <c r="F74" s="43">
        <v>0.27</v>
      </c>
      <c r="G74" s="46">
        <v>398</v>
      </c>
    </row>
    <row r="75" spans="1:7">
      <c r="A75" s="54">
        <v>44366</v>
      </c>
      <c r="B75" s="44" t="s">
        <v>18</v>
      </c>
      <c r="C75" s="44" t="s">
        <v>18</v>
      </c>
      <c r="D75" s="44" t="s">
        <v>18</v>
      </c>
      <c r="E75" s="44" t="s">
        <v>18</v>
      </c>
      <c r="F75" s="44" t="s">
        <v>18</v>
      </c>
      <c r="G75" s="44" t="s">
        <v>18</v>
      </c>
    </row>
    <row r="76" spans="1:7">
      <c r="A76" s="54">
        <v>44367</v>
      </c>
      <c r="B76" s="44" t="s">
        <v>18</v>
      </c>
      <c r="C76" s="44" t="s">
        <v>18</v>
      </c>
      <c r="D76" s="44" t="s">
        <v>18</v>
      </c>
      <c r="E76" s="44" t="s">
        <v>18</v>
      </c>
      <c r="F76" s="44" t="s">
        <v>18</v>
      </c>
      <c r="G76" s="44" t="s">
        <v>18</v>
      </c>
    </row>
    <row r="77" spans="1:7">
      <c r="A77" s="54">
        <v>44368</v>
      </c>
      <c r="B77" s="44" t="s">
        <v>18</v>
      </c>
      <c r="C77" s="44" t="s">
        <v>18</v>
      </c>
      <c r="D77" s="44" t="s">
        <v>18</v>
      </c>
      <c r="E77" s="44" t="s">
        <v>18</v>
      </c>
      <c r="F77" s="44" t="s">
        <v>18</v>
      </c>
      <c r="G77" s="44" t="s">
        <v>18</v>
      </c>
    </row>
    <row r="78" spans="1:7">
      <c r="A78" s="54">
        <v>44369</v>
      </c>
      <c r="B78" s="44" t="s">
        <v>18</v>
      </c>
      <c r="C78" s="44" t="s">
        <v>18</v>
      </c>
      <c r="D78" s="44" t="s">
        <v>18</v>
      </c>
      <c r="E78" s="44" t="s">
        <v>18</v>
      </c>
      <c r="F78" s="44" t="s">
        <v>18</v>
      </c>
      <c r="G78" s="44" t="s">
        <v>18</v>
      </c>
    </row>
    <row r="79" spans="1:7">
      <c r="A79" s="54">
        <v>44370</v>
      </c>
      <c r="B79" s="44" t="s">
        <v>18</v>
      </c>
      <c r="C79" s="44" t="s">
        <v>18</v>
      </c>
      <c r="D79" s="44" t="s">
        <v>18</v>
      </c>
      <c r="E79" s="44" t="s">
        <v>18</v>
      </c>
      <c r="F79" s="44" t="s">
        <v>18</v>
      </c>
      <c r="G79" s="44" t="s">
        <v>18</v>
      </c>
    </row>
    <row r="80" spans="1:7">
      <c r="A80" s="54">
        <v>44371</v>
      </c>
      <c r="B80" s="44" t="s">
        <v>18</v>
      </c>
      <c r="C80" s="44" t="s">
        <v>18</v>
      </c>
      <c r="D80" s="44" t="s">
        <v>18</v>
      </c>
      <c r="E80" s="44" t="s">
        <v>18</v>
      </c>
      <c r="F80" s="44" t="s">
        <v>18</v>
      </c>
      <c r="G80" s="44" t="s">
        <v>18</v>
      </c>
    </row>
    <row r="81" spans="1:7">
      <c r="A81" s="54">
        <v>44372</v>
      </c>
      <c r="B81" s="44" t="s">
        <v>18</v>
      </c>
      <c r="C81" s="44" t="s">
        <v>18</v>
      </c>
      <c r="D81" s="44" t="s">
        <v>18</v>
      </c>
      <c r="E81" s="44" t="s">
        <v>18</v>
      </c>
      <c r="F81" s="44" t="s">
        <v>18</v>
      </c>
      <c r="G81" s="44" t="s">
        <v>18</v>
      </c>
    </row>
    <row r="82" spans="1:7">
      <c r="A82" s="54">
        <v>44373</v>
      </c>
      <c r="B82" s="44" t="s">
        <v>18</v>
      </c>
      <c r="C82" s="44" t="s">
        <v>18</v>
      </c>
      <c r="D82" s="44" t="s">
        <v>18</v>
      </c>
      <c r="E82" s="44" t="s">
        <v>18</v>
      </c>
      <c r="F82" s="44" t="s">
        <v>18</v>
      </c>
      <c r="G82" s="44" t="s">
        <v>18</v>
      </c>
    </row>
    <row r="83" spans="1:7">
      <c r="A83" s="54">
        <v>44374</v>
      </c>
      <c r="B83" s="44" t="s">
        <v>18</v>
      </c>
      <c r="C83" s="44" t="s">
        <v>18</v>
      </c>
      <c r="D83" s="44" t="s">
        <v>18</v>
      </c>
      <c r="E83" s="44" t="s">
        <v>18</v>
      </c>
      <c r="F83" s="44" t="s">
        <v>18</v>
      </c>
      <c r="G83" s="44" t="s">
        <v>18</v>
      </c>
    </row>
    <row r="84" spans="1:7">
      <c r="A84" s="54">
        <v>44375</v>
      </c>
      <c r="B84" s="44" t="s">
        <v>18</v>
      </c>
      <c r="C84" s="44" t="s">
        <v>18</v>
      </c>
      <c r="D84" s="44" t="s">
        <v>18</v>
      </c>
      <c r="E84" s="44" t="s">
        <v>18</v>
      </c>
      <c r="F84" s="44" t="s">
        <v>18</v>
      </c>
      <c r="G84" s="44" t="s">
        <v>18</v>
      </c>
    </row>
    <row r="85" spans="1:7">
      <c r="A85" s="54">
        <v>44376</v>
      </c>
      <c r="B85" s="44" t="s">
        <v>18</v>
      </c>
      <c r="C85" s="44" t="s">
        <v>18</v>
      </c>
      <c r="D85" s="44" t="s">
        <v>18</v>
      </c>
      <c r="E85" s="44" t="s">
        <v>18</v>
      </c>
      <c r="F85" s="44" t="s">
        <v>18</v>
      </c>
      <c r="G85" s="44" t="s">
        <v>18</v>
      </c>
    </row>
    <row r="86" spans="1:7">
      <c r="A86" s="54">
        <v>44377</v>
      </c>
      <c r="B86" s="44" t="s">
        <v>18</v>
      </c>
      <c r="C86" s="44" t="s">
        <v>18</v>
      </c>
      <c r="D86" s="44" t="s">
        <v>18</v>
      </c>
      <c r="E86" s="44" t="s">
        <v>18</v>
      </c>
      <c r="F86" s="44" t="s">
        <v>18</v>
      </c>
      <c r="G86" s="44" t="s">
        <v>18</v>
      </c>
    </row>
    <row r="87" spans="1:7">
      <c r="A87" s="54">
        <v>44378</v>
      </c>
      <c r="B87" s="44" t="s">
        <v>18</v>
      </c>
      <c r="C87" s="44" t="s">
        <v>18</v>
      </c>
      <c r="D87" s="44" t="s">
        <v>18</v>
      </c>
      <c r="E87" s="44" t="s">
        <v>18</v>
      </c>
      <c r="F87" s="44" t="s">
        <v>18</v>
      </c>
      <c r="G87" s="44" t="s">
        <v>18</v>
      </c>
    </row>
    <row r="88" spans="1:7">
      <c r="A88" s="54">
        <v>44379</v>
      </c>
      <c r="B88" s="44" t="s">
        <v>18</v>
      </c>
      <c r="C88" s="44" t="s">
        <v>18</v>
      </c>
      <c r="D88" s="44" t="s">
        <v>18</v>
      </c>
      <c r="E88" s="44" t="s">
        <v>18</v>
      </c>
      <c r="F88" s="44" t="s">
        <v>18</v>
      </c>
      <c r="G88" s="44" t="s">
        <v>18</v>
      </c>
    </row>
    <row r="89" spans="1:7">
      <c r="A89" s="54">
        <v>44380</v>
      </c>
      <c r="B89" s="44" t="s">
        <v>18</v>
      </c>
      <c r="C89" s="44" t="s">
        <v>18</v>
      </c>
      <c r="D89" s="44" t="s">
        <v>18</v>
      </c>
      <c r="E89" s="44" t="s">
        <v>18</v>
      </c>
      <c r="F89" s="44" t="s">
        <v>18</v>
      </c>
      <c r="G89" s="44" t="s">
        <v>18</v>
      </c>
    </row>
    <row r="90" spans="1:7">
      <c r="A90" s="54">
        <v>44381</v>
      </c>
      <c r="B90" s="44" t="s">
        <v>18</v>
      </c>
      <c r="C90" s="44" t="s">
        <v>18</v>
      </c>
      <c r="D90" s="44" t="s">
        <v>18</v>
      </c>
      <c r="E90" s="44" t="s">
        <v>18</v>
      </c>
      <c r="F90" s="44" t="s">
        <v>18</v>
      </c>
      <c r="G90" s="44" t="s">
        <v>18</v>
      </c>
    </row>
    <row r="91" spans="1:7">
      <c r="A91" s="54">
        <v>44382</v>
      </c>
      <c r="B91" s="44" t="s">
        <v>18</v>
      </c>
      <c r="C91" s="44" t="s">
        <v>18</v>
      </c>
      <c r="D91" s="44" t="s">
        <v>18</v>
      </c>
      <c r="E91" s="44" t="s">
        <v>18</v>
      </c>
      <c r="F91" s="44" t="s">
        <v>18</v>
      </c>
      <c r="G91" s="44" t="s">
        <v>18</v>
      </c>
    </row>
    <row r="92" spans="1:7">
      <c r="A92" s="54">
        <v>44383</v>
      </c>
      <c r="B92" s="44" t="s">
        <v>18</v>
      </c>
      <c r="C92" s="44" t="s">
        <v>18</v>
      </c>
      <c r="D92" s="44" t="s">
        <v>18</v>
      </c>
      <c r="E92" s="44" t="s">
        <v>18</v>
      </c>
      <c r="F92" s="44" t="s">
        <v>18</v>
      </c>
      <c r="G92" s="44" t="s">
        <v>18</v>
      </c>
    </row>
    <row r="93" spans="1:7">
      <c r="A93" s="54">
        <v>44384</v>
      </c>
      <c r="B93" s="44" t="s">
        <v>18</v>
      </c>
      <c r="C93" s="44" t="s">
        <v>18</v>
      </c>
      <c r="D93" s="44" t="s">
        <v>18</v>
      </c>
      <c r="E93" s="44" t="s">
        <v>18</v>
      </c>
      <c r="F93" s="44" t="s">
        <v>18</v>
      </c>
      <c r="G93" s="44" t="s">
        <v>18</v>
      </c>
    </row>
    <row r="94" spans="1:7">
      <c r="A94" s="54">
        <v>44385</v>
      </c>
      <c r="B94" s="44" t="s">
        <v>18</v>
      </c>
      <c r="C94" s="44" t="s">
        <v>18</v>
      </c>
      <c r="D94" s="44" t="s">
        <v>18</v>
      </c>
      <c r="E94" s="44" t="s">
        <v>18</v>
      </c>
      <c r="F94" s="44" t="s">
        <v>18</v>
      </c>
      <c r="G94" s="44" t="s">
        <v>18</v>
      </c>
    </row>
    <row r="95" spans="1:7">
      <c r="A95" s="54">
        <v>44386</v>
      </c>
      <c r="B95" s="44" t="s">
        <v>18</v>
      </c>
      <c r="C95" s="44" t="s">
        <v>18</v>
      </c>
      <c r="D95" s="44" t="s">
        <v>18</v>
      </c>
      <c r="E95" s="44" t="s">
        <v>18</v>
      </c>
      <c r="F95" s="44" t="s">
        <v>18</v>
      </c>
      <c r="G95" s="44" t="s">
        <v>18</v>
      </c>
    </row>
    <row r="96" spans="1:7">
      <c r="A96" s="54">
        <v>44387</v>
      </c>
      <c r="B96" s="44" t="s">
        <v>18</v>
      </c>
      <c r="C96" s="44" t="s">
        <v>18</v>
      </c>
      <c r="D96" s="44" t="s">
        <v>18</v>
      </c>
      <c r="E96" s="44" t="s">
        <v>18</v>
      </c>
      <c r="F96" s="44" t="s">
        <v>18</v>
      </c>
      <c r="G96" s="44" t="s">
        <v>18</v>
      </c>
    </row>
    <row r="97" spans="1:7">
      <c r="A97" s="54">
        <v>44388</v>
      </c>
      <c r="B97" s="44" t="s">
        <v>18</v>
      </c>
      <c r="C97" s="44" t="s">
        <v>18</v>
      </c>
      <c r="D97" s="44" t="s">
        <v>18</v>
      </c>
      <c r="E97" s="44" t="s">
        <v>18</v>
      </c>
      <c r="F97" s="44" t="s">
        <v>18</v>
      </c>
      <c r="G97" s="44" t="s">
        <v>18</v>
      </c>
    </row>
    <row r="98" spans="1:7">
      <c r="A98" s="54">
        <v>44389</v>
      </c>
      <c r="B98" s="44" t="s">
        <v>18</v>
      </c>
      <c r="C98" s="44" t="s">
        <v>18</v>
      </c>
      <c r="D98" s="44" t="s">
        <v>18</v>
      </c>
      <c r="E98" s="44" t="s">
        <v>18</v>
      </c>
      <c r="F98" s="44" t="s">
        <v>18</v>
      </c>
      <c r="G98" s="44" t="s">
        <v>18</v>
      </c>
    </row>
    <row r="99" spans="1:7">
      <c r="A99" s="54">
        <v>44390</v>
      </c>
      <c r="B99" s="44" t="s">
        <v>18</v>
      </c>
      <c r="C99" s="44" t="s">
        <v>18</v>
      </c>
      <c r="D99" s="44" t="s">
        <v>18</v>
      </c>
      <c r="E99" s="44" t="s">
        <v>18</v>
      </c>
      <c r="F99" s="44" t="s">
        <v>18</v>
      </c>
      <c r="G99" s="44" t="s">
        <v>18</v>
      </c>
    </row>
    <row r="100" spans="1:7">
      <c r="A100" s="54">
        <v>44391</v>
      </c>
      <c r="B100" s="44" t="s">
        <v>18</v>
      </c>
      <c r="C100" s="44" t="s">
        <v>18</v>
      </c>
      <c r="D100" s="44" t="s">
        <v>18</v>
      </c>
      <c r="E100" s="44" t="s">
        <v>18</v>
      </c>
      <c r="F100" s="44" t="s">
        <v>18</v>
      </c>
      <c r="G100" s="44" t="s">
        <v>18</v>
      </c>
    </row>
    <row r="101" spans="1:7">
      <c r="A101" s="54">
        <v>44392</v>
      </c>
      <c r="B101" s="44" t="s">
        <v>18</v>
      </c>
      <c r="C101" s="44" t="s">
        <v>18</v>
      </c>
      <c r="D101" s="44" t="s">
        <v>18</v>
      </c>
      <c r="E101" s="44" t="s">
        <v>18</v>
      </c>
      <c r="F101" s="44" t="s">
        <v>18</v>
      </c>
      <c r="G101" s="44" t="s">
        <v>18</v>
      </c>
    </row>
    <row r="102" spans="1:7">
      <c r="A102" s="54">
        <v>44393</v>
      </c>
      <c r="B102" s="44" t="s">
        <v>18</v>
      </c>
      <c r="C102" s="44" t="s">
        <v>18</v>
      </c>
      <c r="D102" s="44" t="s">
        <v>18</v>
      </c>
      <c r="E102" s="44" t="s">
        <v>18</v>
      </c>
      <c r="F102" s="44" t="s">
        <v>18</v>
      </c>
      <c r="G102" s="44" t="s">
        <v>18</v>
      </c>
    </row>
    <row r="103" spans="1:7">
      <c r="A103" s="54">
        <v>44394</v>
      </c>
      <c r="B103" s="44" t="s">
        <v>18</v>
      </c>
      <c r="C103" s="44" t="s">
        <v>18</v>
      </c>
      <c r="D103" s="44" t="s">
        <v>18</v>
      </c>
      <c r="E103" s="44" t="s">
        <v>18</v>
      </c>
      <c r="F103" s="44" t="s">
        <v>18</v>
      </c>
      <c r="G103" s="44" t="s">
        <v>18</v>
      </c>
    </row>
    <row r="104" spans="1:7">
      <c r="A104" s="54">
        <v>44395</v>
      </c>
      <c r="B104" s="44" t="s">
        <v>18</v>
      </c>
      <c r="C104" s="44" t="s">
        <v>18</v>
      </c>
      <c r="D104" s="44" t="s">
        <v>18</v>
      </c>
      <c r="E104" s="44" t="s">
        <v>18</v>
      </c>
      <c r="F104" s="44" t="s">
        <v>18</v>
      </c>
      <c r="G104" s="44" t="s">
        <v>18</v>
      </c>
    </row>
    <row r="105" spans="1:7">
      <c r="A105" s="54">
        <v>44396</v>
      </c>
      <c r="B105" s="44" t="s">
        <v>18</v>
      </c>
      <c r="C105" s="44" t="s">
        <v>18</v>
      </c>
      <c r="D105" s="44" t="s">
        <v>18</v>
      </c>
      <c r="E105" s="44" t="s">
        <v>18</v>
      </c>
      <c r="F105" s="44" t="s">
        <v>18</v>
      </c>
      <c r="G105" s="44" t="s">
        <v>18</v>
      </c>
    </row>
    <row r="106" spans="1:7">
      <c r="A106" s="54">
        <v>44397</v>
      </c>
      <c r="B106" s="44" t="s">
        <v>18</v>
      </c>
      <c r="C106" s="44" t="s">
        <v>18</v>
      </c>
      <c r="D106" s="44" t="s">
        <v>18</v>
      </c>
      <c r="E106" s="44" t="s">
        <v>18</v>
      </c>
      <c r="F106" s="44" t="s">
        <v>18</v>
      </c>
      <c r="G106" s="44" t="s">
        <v>18</v>
      </c>
    </row>
    <row r="107" spans="1:7">
      <c r="A107" s="54">
        <v>44398</v>
      </c>
      <c r="B107" s="44" t="s">
        <v>18</v>
      </c>
      <c r="C107" s="44" t="s">
        <v>18</v>
      </c>
      <c r="D107" s="44" t="s">
        <v>18</v>
      </c>
      <c r="E107" s="44" t="s">
        <v>18</v>
      </c>
      <c r="F107" s="44" t="s">
        <v>18</v>
      </c>
      <c r="G107" s="44" t="s">
        <v>18</v>
      </c>
    </row>
    <row r="108" spans="1:7">
      <c r="A108" s="54">
        <v>44399</v>
      </c>
      <c r="B108" s="44" t="s">
        <v>18</v>
      </c>
      <c r="C108" s="44" t="s">
        <v>18</v>
      </c>
      <c r="D108" s="44" t="s">
        <v>18</v>
      </c>
      <c r="E108" s="44" t="s">
        <v>18</v>
      </c>
      <c r="F108" s="44" t="s">
        <v>18</v>
      </c>
      <c r="G108" s="44" t="s">
        <v>18</v>
      </c>
    </row>
    <row r="109" spans="1:7">
      <c r="A109" s="54">
        <v>44400</v>
      </c>
      <c r="B109" s="44" t="s">
        <v>18</v>
      </c>
      <c r="C109" s="44" t="s">
        <v>18</v>
      </c>
      <c r="D109" s="44" t="s">
        <v>18</v>
      </c>
      <c r="E109" s="44" t="s">
        <v>18</v>
      </c>
      <c r="F109" s="44" t="s">
        <v>18</v>
      </c>
      <c r="G109" s="44" t="s">
        <v>18</v>
      </c>
    </row>
    <row r="110" spans="1:7">
      <c r="A110" s="54">
        <v>44401</v>
      </c>
      <c r="B110" s="44" t="s">
        <v>18</v>
      </c>
      <c r="C110" s="44" t="s">
        <v>18</v>
      </c>
      <c r="D110" s="44" t="s">
        <v>18</v>
      </c>
      <c r="E110" s="44" t="s">
        <v>18</v>
      </c>
      <c r="F110" s="44" t="s">
        <v>18</v>
      </c>
      <c r="G110" s="44" t="s">
        <v>18</v>
      </c>
    </row>
    <row r="111" spans="1:7">
      <c r="A111" s="54">
        <v>44402</v>
      </c>
      <c r="B111" s="44" t="s">
        <v>18</v>
      </c>
      <c r="C111" s="44" t="s">
        <v>18</v>
      </c>
      <c r="D111" s="44" t="s">
        <v>18</v>
      </c>
      <c r="E111" s="44" t="s">
        <v>18</v>
      </c>
      <c r="F111" s="44" t="s">
        <v>18</v>
      </c>
      <c r="G111" s="44" t="s">
        <v>18</v>
      </c>
    </row>
    <row r="112" spans="1:7">
      <c r="A112" s="54">
        <v>44403</v>
      </c>
      <c r="B112" s="44" t="s">
        <v>18</v>
      </c>
      <c r="C112" s="44" t="s">
        <v>18</v>
      </c>
      <c r="D112" s="44" t="s">
        <v>18</v>
      </c>
      <c r="E112" s="44" t="s">
        <v>18</v>
      </c>
      <c r="F112" s="44" t="s">
        <v>18</v>
      </c>
      <c r="G112" s="44" t="s">
        <v>18</v>
      </c>
    </row>
    <row r="113" spans="1:7">
      <c r="A113" s="54">
        <v>44404</v>
      </c>
      <c r="B113" s="44" t="s">
        <v>18</v>
      </c>
      <c r="C113" s="44" t="s">
        <v>18</v>
      </c>
      <c r="D113" s="44" t="s">
        <v>18</v>
      </c>
      <c r="E113" s="44" t="s">
        <v>18</v>
      </c>
      <c r="F113" s="44" t="s">
        <v>18</v>
      </c>
      <c r="G113" s="44" t="s">
        <v>18</v>
      </c>
    </row>
    <row r="114" spans="1:7">
      <c r="A114" s="54">
        <v>44405</v>
      </c>
      <c r="B114" s="44" t="s">
        <v>18</v>
      </c>
      <c r="C114" s="44" t="s">
        <v>18</v>
      </c>
      <c r="D114" s="44" t="s">
        <v>18</v>
      </c>
      <c r="E114" s="44" t="s">
        <v>18</v>
      </c>
      <c r="F114" s="44" t="s">
        <v>18</v>
      </c>
      <c r="G114" s="44" t="s">
        <v>18</v>
      </c>
    </row>
    <row r="115" spans="1:7">
      <c r="A115" s="54">
        <v>44406</v>
      </c>
      <c r="B115" s="44" t="s">
        <v>18</v>
      </c>
      <c r="C115" s="44" t="s">
        <v>18</v>
      </c>
      <c r="D115" s="44" t="s">
        <v>18</v>
      </c>
      <c r="E115" s="44" t="s">
        <v>18</v>
      </c>
      <c r="F115" s="44" t="s">
        <v>18</v>
      </c>
      <c r="G115" s="44" t="s">
        <v>18</v>
      </c>
    </row>
    <row r="116" spans="1:7">
      <c r="A116" s="54">
        <v>44407</v>
      </c>
      <c r="B116" s="44" t="s">
        <v>18</v>
      </c>
      <c r="C116" s="44" t="s">
        <v>18</v>
      </c>
      <c r="D116" s="44" t="s">
        <v>18</v>
      </c>
      <c r="E116" s="44" t="s">
        <v>18</v>
      </c>
      <c r="F116" s="44" t="s">
        <v>18</v>
      </c>
      <c r="G116" s="44" t="s">
        <v>18</v>
      </c>
    </row>
    <row r="117" spans="1:7">
      <c r="A117" s="54">
        <v>44408</v>
      </c>
      <c r="B117" s="44" t="s">
        <v>18</v>
      </c>
      <c r="C117" s="44" t="s">
        <v>18</v>
      </c>
      <c r="D117" s="44" t="s">
        <v>18</v>
      </c>
      <c r="E117" s="44" t="s">
        <v>18</v>
      </c>
      <c r="F117" s="44" t="s">
        <v>18</v>
      </c>
      <c r="G117" s="44" t="s">
        <v>18</v>
      </c>
    </row>
    <row r="118" spans="1:7">
      <c r="A118" s="54">
        <v>44409</v>
      </c>
      <c r="B118" s="44" t="s">
        <v>18</v>
      </c>
      <c r="C118" s="44" t="s">
        <v>18</v>
      </c>
      <c r="D118" s="44" t="s">
        <v>18</v>
      </c>
      <c r="E118" s="44" t="s">
        <v>18</v>
      </c>
      <c r="F118" s="44" t="s">
        <v>18</v>
      </c>
      <c r="G118" s="44" t="s">
        <v>18</v>
      </c>
    </row>
    <row r="119" spans="1:7">
      <c r="A119" s="54">
        <v>44410</v>
      </c>
      <c r="B119" s="44" t="s">
        <v>18</v>
      </c>
      <c r="C119" s="44" t="s">
        <v>18</v>
      </c>
      <c r="D119" s="44" t="s">
        <v>18</v>
      </c>
      <c r="E119" s="44" t="s">
        <v>18</v>
      </c>
      <c r="F119" s="44" t="s">
        <v>18</v>
      </c>
      <c r="G119" s="44" t="s">
        <v>18</v>
      </c>
    </row>
    <row r="120" spans="1:7">
      <c r="A120" s="54">
        <v>44411</v>
      </c>
      <c r="B120" s="44" t="s">
        <v>18</v>
      </c>
      <c r="C120" s="44" t="s">
        <v>18</v>
      </c>
      <c r="D120" s="44" t="s">
        <v>18</v>
      </c>
      <c r="E120" s="44" t="s">
        <v>18</v>
      </c>
      <c r="F120" s="44" t="s">
        <v>18</v>
      </c>
      <c r="G120" s="44" t="s">
        <v>18</v>
      </c>
    </row>
    <row r="121" spans="1:7">
      <c r="A121" s="54">
        <v>44412</v>
      </c>
      <c r="B121" s="44" t="s">
        <v>18</v>
      </c>
      <c r="C121" s="44" t="s">
        <v>18</v>
      </c>
      <c r="D121" s="44" t="s">
        <v>18</v>
      </c>
      <c r="E121" s="44" t="s">
        <v>18</v>
      </c>
      <c r="F121" s="44" t="s">
        <v>18</v>
      </c>
      <c r="G121" s="44" t="s">
        <v>18</v>
      </c>
    </row>
    <row r="122" spans="1:7">
      <c r="A122" s="54">
        <v>44413</v>
      </c>
      <c r="B122" s="44" t="s">
        <v>18</v>
      </c>
      <c r="C122" s="44" t="s">
        <v>18</v>
      </c>
      <c r="D122" s="44" t="s">
        <v>18</v>
      </c>
      <c r="E122" s="44" t="s">
        <v>18</v>
      </c>
      <c r="F122" s="44" t="s">
        <v>18</v>
      </c>
      <c r="G122" s="44" t="s">
        <v>18</v>
      </c>
    </row>
    <row r="123" spans="1:7">
      <c r="A123" s="54">
        <v>44414</v>
      </c>
      <c r="B123" s="44" t="s">
        <v>18</v>
      </c>
      <c r="C123" s="44" t="s">
        <v>18</v>
      </c>
      <c r="D123" s="44" t="s">
        <v>18</v>
      </c>
      <c r="E123" s="44" t="s">
        <v>18</v>
      </c>
      <c r="F123" s="44" t="s">
        <v>18</v>
      </c>
      <c r="G123" s="44" t="s">
        <v>18</v>
      </c>
    </row>
    <row r="124" spans="1:7">
      <c r="A124" s="54">
        <v>44415</v>
      </c>
      <c r="B124" s="44" t="s">
        <v>18</v>
      </c>
      <c r="C124" s="44" t="s">
        <v>18</v>
      </c>
      <c r="D124" s="44" t="s">
        <v>18</v>
      </c>
      <c r="E124" s="44" t="s">
        <v>18</v>
      </c>
      <c r="F124" s="44" t="s">
        <v>18</v>
      </c>
      <c r="G124" s="44" t="s">
        <v>18</v>
      </c>
    </row>
    <row r="125" spans="1:7">
      <c r="A125" s="54">
        <v>44416</v>
      </c>
      <c r="B125" s="44" t="s">
        <v>18</v>
      </c>
      <c r="C125" s="44" t="s">
        <v>18</v>
      </c>
      <c r="D125" s="44" t="s">
        <v>18</v>
      </c>
      <c r="E125" s="44" t="s">
        <v>18</v>
      </c>
      <c r="F125" s="44" t="s">
        <v>18</v>
      </c>
      <c r="G125" s="44" t="s">
        <v>18</v>
      </c>
    </row>
    <row r="126" spans="1:7">
      <c r="A126" s="54">
        <v>44417</v>
      </c>
      <c r="B126" s="44" t="s">
        <v>18</v>
      </c>
      <c r="C126" s="44" t="s">
        <v>18</v>
      </c>
      <c r="D126" s="44" t="s">
        <v>18</v>
      </c>
      <c r="E126" s="44" t="s">
        <v>18</v>
      </c>
      <c r="F126" s="44" t="s">
        <v>18</v>
      </c>
      <c r="G126" s="44" t="s">
        <v>18</v>
      </c>
    </row>
    <row r="127" spans="1:7">
      <c r="A127" s="54">
        <v>44418</v>
      </c>
      <c r="B127" s="44" t="s">
        <v>18</v>
      </c>
      <c r="C127" s="44" t="s">
        <v>18</v>
      </c>
      <c r="D127" s="44" t="s">
        <v>18</v>
      </c>
      <c r="E127" s="44" t="s">
        <v>18</v>
      </c>
      <c r="F127" s="44" t="s">
        <v>18</v>
      </c>
      <c r="G127" s="44" t="s">
        <v>18</v>
      </c>
    </row>
    <row r="128" spans="1:7">
      <c r="A128" s="54">
        <v>44419</v>
      </c>
      <c r="B128" s="44" t="s">
        <v>18</v>
      </c>
      <c r="C128" s="44" t="s">
        <v>18</v>
      </c>
      <c r="D128" s="44" t="s">
        <v>18</v>
      </c>
      <c r="E128" s="44" t="s">
        <v>18</v>
      </c>
      <c r="F128" s="44" t="s">
        <v>18</v>
      </c>
      <c r="G128" s="44" t="s">
        <v>18</v>
      </c>
    </row>
    <row r="129" spans="1:7">
      <c r="A129" s="54">
        <v>44420</v>
      </c>
      <c r="B129" s="44" t="s">
        <v>18</v>
      </c>
      <c r="C129" s="44" t="s">
        <v>18</v>
      </c>
      <c r="D129" s="44" t="s">
        <v>18</v>
      </c>
      <c r="E129" s="44" t="s">
        <v>18</v>
      </c>
      <c r="F129" s="44" t="s">
        <v>18</v>
      </c>
      <c r="G129" s="44" t="s">
        <v>18</v>
      </c>
    </row>
    <row r="130" spans="1:7">
      <c r="A130" s="54">
        <v>44421</v>
      </c>
      <c r="B130" s="44" t="s">
        <v>18</v>
      </c>
      <c r="C130" s="44" t="s">
        <v>18</v>
      </c>
      <c r="D130" s="44" t="s">
        <v>18</v>
      </c>
      <c r="E130" s="44" t="s">
        <v>18</v>
      </c>
      <c r="F130" s="44" t="s">
        <v>18</v>
      </c>
      <c r="G130" s="44" t="s">
        <v>18</v>
      </c>
    </row>
    <row r="131" spans="1:7">
      <c r="A131" s="54">
        <v>44422</v>
      </c>
      <c r="B131" s="44" t="s">
        <v>18</v>
      </c>
      <c r="C131" s="44" t="s">
        <v>18</v>
      </c>
      <c r="D131" s="44" t="s">
        <v>18</v>
      </c>
      <c r="E131" s="44" t="s">
        <v>18</v>
      </c>
      <c r="F131" s="44" t="s">
        <v>18</v>
      </c>
      <c r="G131" s="44" t="s">
        <v>18</v>
      </c>
    </row>
    <row r="132" spans="1:7">
      <c r="A132" s="54">
        <v>44423</v>
      </c>
      <c r="B132" s="44" t="s">
        <v>18</v>
      </c>
      <c r="C132" s="44" t="s">
        <v>18</v>
      </c>
      <c r="D132" s="44" t="s">
        <v>18</v>
      </c>
      <c r="E132" s="44" t="s">
        <v>18</v>
      </c>
      <c r="F132" s="44" t="s">
        <v>18</v>
      </c>
      <c r="G132" s="44" t="s">
        <v>18</v>
      </c>
    </row>
    <row r="133" spans="1:7">
      <c r="A133" s="54">
        <v>44424</v>
      </c>
      <c r="B133" s="44" t="s">
        <v>18</v>
      </c>
      <c r="C133" s="44" t="s">
        <v>18</v>
      </c>
      <c r="D133" s="44" t="s">
        <v>18</v>
      </c>
      <c r="E133" s="44" t="s">
        <v>18</v>
      </c>
      <c r="F133" s="44" t="s">
        <v>18</v>
      </c>
      <c r="G133" s="44" t="s">
        <v>18</v>
      </c>
    </row>
    <row r="134" spans="1:7">
      <c r="A134" s="54">
        <v>44425</v>
      </c>
      <c r="B134" s="44" t="s">
        <v>18</v>
      </c>
      <c r="C134" s="44" t="s">
        <v>18</v>
      </c>
      <c r="D134" s="44" t="s">
        <v>18</v>
      </c>
      <c r="E134" s="44" t="s">
        <v>18</v>
      </c>
      <c r="F134" s="44" t="s">
        <v>18</v>
      </c>
      <c r="G134" s="44" t="s">
        <v>18</v>
      </c>
    </row>
    <row r="135" spans="1:7">
      <c r="A135" s="54">
        <v>44426</v>
      </c>
      <c r="B135" s="44" t="s">
        <v>18</v>
      </c>
      <c r="C135" s="44" t="s">
        <v>18</v>
      </c>
      <c r="D135" s="44" t="s">
        <v>18</v>
      </c>
      <c r="E135" s="44" t="s">
        <v>18</v>
      </c>
      <c r="F135" s="44" t="s">
        <v>18</v>
      </c>
      <c r="G135" s="44" t="s">
        <v>18</v>
      </c>
    </row>
    <row r="136" spans="1:7">
      <c r="A136" s="54">
        <v>44427</v>
      </c>
      <c r="B136" s="44" t="s">
        <v>18</v>
      </c>
      <c r="C136" s="44" t="s">
        <v>18</v>
      </c>
      <c r="D136" s="44" t="s">
        <v>18</v>
      </c>
      <c r="E136" s="44" t="s">
        <v>18</v>
      </c>
      <c r="F136" s="44" t="s">
        <v>18</v>
      </c>
      <c r="G136" s="44" t="s">
        <v>18</v>
      </c>
    </row>
    <row r="137" spans="1:7">
      <c r="A137" s="54">
        <v>44428</v>
      </c>
      <c r="B137" s="44" t="s">
        <v>18</v>
      </c>
      <c r="C137" s="44" t="s">
        <v>18</v>
      </c>
      <c r="D137" s="44" t="s">
        <v>18</v>
      </c>
      <c r="E137" s="44" t="s">
        <v>18</v>
      </c>
      <c r="F137" s="44" t="s">
        <v>18</v>
      </c>
      <c r="G137" s="44" t="s">
        <v>18</v>
      </c>
    </row>
    <row r="138" spans="1:7">
      <c r="A138" s="54">
        <v>44429</v>
      </c>
      <c r="B138" s="44" t="s">
        <v>18</v>
      </c>
      <c r="C138" s="44" t="s">
        <v>18</v>
      </c>
      <c r="D138" s="44" t="s">
        <v>18</v>
      </c>
      <c r="E138" s="44" t="s">
        <v>18</v>
      </c>
      <c r="F138" s="44" t="s">
        <v>18</v>
      </c>
      <c r="G138" s="44" t="s">
        <v>18</v>
      </c>
    </row>
    <row r="139" spans="1:7">
      <c r="A139" s="54">
        <v>44430</v>
      </c>
      <c r="B139" s="44" t="s">
        <v>18</v>
      </c>
      <c r="C139" s="44" t="s">
        <v>18</v>
      </c>
      <c r="D139" s="44" t="s">
        <v>18</v>
      </c>
      <c r="E139" s="44" t="s">
        <v>18</v>
      </c>
      <c r="F139" s="44" t="s">
        <v>18</v>
      </c>
      <c r="G139" s="44" t="s">
        <v>18</v>
      </c>
    </row>
    <row r="140" spans="1:7">
      <c r="A140" s="54">
        <v>44431</v>
      </c>
      <c r="B140" s="44" t="s">
        <v>18</v>
      </c>
      <c r="C140" s="44" t="s">
        <v>18</v>
      </c>
      <c r="D140" s="44" t="s">
        <v>18</v>
      </c>
      <c r="E140" s="44" t="s">
        <v>18</v>
      </c>
      <c r="F140" s="44" t="s">
        <v>18</v>
      </c>
      <c r="G140" s="44" t="s">
        <v>18</v>
      </c>
    </row>
    <row r="141" spans="1:7">
      <c r="A141" s="54">
        <v>44432</v>
      </c>
      <c r="B141" s="44" t="s">
        <v>18</v>
      </c>
      <c r="C141" s="44" t="s">
        <v>18</v>
      </c>
      <c r="D141" s="44" t="s">
        <v>18</v>
      </c>
      <c r="E141" s="44" t="s">
        <v>18</v>
      </c>
      <c r="F141" s="44" t="s">
        <v>18</v>
      </c>
      <c r="G141" s="44" t="s">
        <v>18</v>
      </c>
    </row>
    <row r="142" spans="1:7">
      <c r="A142" s="54">
        <v>44433</v>
      </c>
      <c r="B142" s="44" t="s">
        <v>18</v>
      </c>
      <c r="C142" s="44" t="s">
        <v>18</v>
      </c>
      <c r="D142" s="44" t="s">
        <v>18</v>
      </c>
      <c r="E142" s="44" t="s">
        <v>18</v>
      </c>
      <c r="F142" s="44" t="s">
        <v>18</v>
      </c>
      <c r="G142" s="44" t="s">
        <v>18</v>
      </c>
    </row>
    <row r="143" spans="1:7">
      <c r="A143" s="54">
        <v>44434</v>
      </c>
      <c r="B143" s="44" t="s">
        <v>18</v>
      </c>
      <c r="C143" s="44" t="s">
        <v>18</v>
      </c>
      <c r="D143" s="44" t="s">
        <v>18</v>
      </c>
      <c r="E143" s="44" t="s">
        <v>18</v>
      </c>
      <c r="F143" s="44" t="s">
        <v>18</v>
      </c>
      <c r="G143" s="44" t="s">
        <v>18</v>
      </c>
    </row>
    <row r="144" spans="1:7">
      <c r="A144" s="54">
        <v>44435</v>
      </c>
      <c r="B144" s="44" t="s">
        <v>18</v>
      </c>
      <c r="C144" s="44" t="s">
        <v>18</v>
      </c>
      <c r="D144" s="44" t="s">
        <v>18</v>
      </c>
      <c r="E144" s="44" t="s">
        <v>18</v>
      </c>
      <c r="F144" s="44" t="s">
        <v>18</v>
      </c>
      <c r="G144" s="44" t="s">
        <v>18</v>
      </c>
    </row>
    <row r="145" spans="1:7">
      <c r="A145" s="54">
        <v>44436</v>
      </c>
      <c r="B145" s="44" t="s">
        <v>18</v>
      </c>
      <c r="C145" s="44" t="s">
        <v>18</v>
      </c>
      <c r="D145" s="44" t="s">
        <v>18</v>
      </c>
      <c r="E145" s="44" t="s">
        <v>18</v>
      </c>
      <c r="F145" s="44" t="s">
        <v>18</v>
      </c>
      <c r="G145" s="44" t="s">
        <v>18</v>
      </c>
    </row>
    <row r="146" spans="1:7">
      <c r="A146" s="54">
        <v>44437</v>
      </c>
      <c r="B146" s="44" t="s">
        <v>18</v>
      </c>
      <c r="C146" s="44" t="s">
        <v>18</v>
      </c>
      <c r="D146" s="44" t="s">
        <v>18</v>
      </c>
      <c r="E146" s="44" t="s">
        <v>18</v>
      </c>
      <c r="F146" s="44" t="s">
        <v>18</v>
      </c>
      <c r="G146" s="44" t="s">
        <v>18</v>
      </c>
    </row>
    <row r="147" spans="1:7">
      <c r="A147" s="54">
        <v>44438</v>
      </c>
      <c r="B147" s="44" t="s">
        <v>18</v>
      </c>
      <c r="C147" s="44" t="s">
        <v>18</v>
      </c>
      <c r="D147" s="44" t="s">
        <v>18</v>
      </c>
      <c r="E147" s="44" t="s">
        <v>18</v>
      </c>
      <c r="F147" s="44" t="s">
        <v>18</v>
      </c>
      <c r="G147" s="44" t="s">
        <v>18</v>
      </c>
    </row>
    <row r="148" spans="1:7">
      <c r="A148" s="54">
        <v>44439</v>
      </c>
      <c r="B148" s="44" t="s">
        <v>18</v>
      </c>
      <c r="C148" s="44" t="s">
        <v>18</v>
      </c>
      <c r="D148" s="44" t="s">
        <v>18</v>
      </c>
      <c r="E148" s="44" t="s">
        <v>18</v>
      </c>
      <c r="F148" s="44" t="s">
        <v>18</v>
      </c>
      <c r="G148" s="44" t="s">
        <v>18</v>
      </c>
    </row>
    <row r="149" spans="1:7">
      <c r="A149" s="54">
        <v>44440</v>
      </c>
      <c r="B149" s="44" t="s">
        <v>18</v>
      </c>
      <c r="C149" s="44" t="s">
        <v>18</v>
      </c>
      <c r="D149" s="44" t="s">
        <v>18</v>
      </c>
      <c r="E149" s="44" t="s">
        <v>18</v>
      </c>
      <c r="F149" s="44" t="s">
        <v>18</v>
      </c>
      <c r="G149" s="44" t="s">
        <v>18</v>
      </c>
    </row>
    <row r="150" spans="1:7">
      <c r="A150" s="54">
        <v>44441</v>
      </c>
      <c r="B150" s="44" t="s">
        <v>18</v>
      </c>
      <c r="C150" s="44" t="s">
        <v>18</v>
      </c>
      <c r="D150" s="44" t="s">
        <v>18</v>
      </c>
      <c r="E150" s="44" t="s">
        <v>18</v>
      </c>
      <c r="F150" s="44" t="s">
        <v>18</v>
      </c>
      <c r="G150" s="44" t="s">
        <v>18</v>
      </c>
    </row>
    <row r="151" spans="1:7">
      <c r="A151" s="54">
        <v>44442</v>
      </c>
      <c r="B151" s="44" t="s">
        <v>18</v>
      </c>
      <c r="C151" s="44" t="s">
        <v>18</v>
      </c>
      <c r="D151" s="44" t="s">
        <v>18</v>
      </c>
      <c r="E151" s="44" t="s">
        <v>18</v>
      </c>
      <c r="F151" s="44" t="s">
        <v>18</v>
      </c>
      <c r="G151" s="44" t="s">
        <v>18</v>
      </c>
    </row>
    <row r="152" spans="1:7">
      <c r="A152" s="54">
        <v>44443</v>
      </c>
      <c r="B152" s="44" t="s">
        <v>18</v>
      </c>
      <c r="C152" s="44" t="s">
        <v>18</v>
      </c>
      <c r="D152" s="44" t="s">
        <v>18</v>
      </c>
      <c r="E152" s="44" t="s">
        <v>18</v>
      </c>
      <c r="F152" s="44" t="s">
        <v>18</v>
      </c>
      <c r="G152" s="44" t="s">
        <v>18</v>
      </c>
    </row>
    <row r="153" spans="1:7">
      <c r="A153" s="54">
        <v>44444</v>
      </c>
      <c r="B153" s="44" t="s">
        <v>18</v>
      </c>
      <c r="C153" s="44" t="s">
        <v>18</v>
      </c>
      <c r="D153" s="44" t="s">
        <v>18</v>
      </c>
      <c r="E153" s="44" t="s">
        <v>18</v>
      </c>
      <c r="F153" s="44" t="s">
        <v>18</v>
      </c>
      <c r="G153" s="44" t="s">
        <v>18</v>
      </c>
    </row>
    <row r="154" spans="1:7">
      <c r="A154" s="54">
        <v>44445</v>
      </c>
      <c r="B154" s="44" t="s">
        <v>18</v>
      </c>
      <c r="C154" s="44" t="s">
        <v>18</v>
      </c>
      <c r="D154" s="44" t="s">
        <v>18</v>
      </c>
      <c r="E154" s="44" t="s">
        <v>18</v>
      </c>
      <c r="F154" s="44" t="s">
        <v>18</v>
      </c>
      <c r="G154" s="44" t="s">
        <v>18</v>
      </c>
    </row>
    <row r="155" spans="1:7">
      <c r="A155" s="54">
        <v>44446</v>
      </c>
      <c r="B155" s="44" t="s">
        <v>18</v>
      </c>
      <c r="C155" s="44" t="s">
        <v>18</v>
      </c>
      <c r="D155" s="44" t="s">
        <v>18</v>
      </c>
      <c r="E155" s="44" t="s">
        <v>18</v>
      </c>
      <c r="F155" s="44" t="s">
        <v>18</v>
      </c>
      <c r="G155" s="44" t="s">
        <v>18</v>
      </c>
    </row>
    <row r="156" spans="1:7">
      <c r="A156" s="54">
        <v>44447</v>
      </c>
      <c r="B156" s="44" t="s">
        <v>18</v>
      </c>
      <c r="C156" s="44" t="s">
        <v>18</v>
      </c>
      <c r="D156" s="44" t="s">
        <v>18</v>
      </c>
      <c r="E156" s="44" t="s">
        <v>18</v>
      </c>
      <c r="F156" s="44" t="s">
        <v>18</v>
      </c>
      <c r="G156" s="44" t="s">
        <v>18</v>
      </c>
    </row>
    <row r="157" spans="1:7">
      <c r="A157" s="54">
        <v>44448</v>
      </c>
      <c r="B157" s="44" t="s">
        <v>18</v>
      </c>
      <c r="C157" s="44" t="s">
        <v>18</v>
      </c>
      <c r="D157" s="44" t="s">
        <v>18</v>
      </c>
      <c r="E157" s="44" t="s">
        <v>18</v>
      </c>
      <c r="F157" s="44" t="s">
        <v>18</v>
      </c>
      <c r="G157" s="44" t="s">
        <v>18</v>
      </c>
    </row>
    <row r="158" spans="1:7">
      <c r="A158" s="54">
        <v>44449</v>
      </c>
      <c r="B158" s="44" t="s">
        <v>18</v>
      </c>
      <c r="C158" s="44" t="s">
        <v>18</v>
      </c>
      <c r="D158" s="44" t="s">
        <v>18</v>
      </c>
      <c r="E158" s="44" t="s">
        <v>18</v>
      </c>
      <c r="F158" s="44" t="s">
        <v>18</v>
      </c>
      <c r="G158" s="44" t="s">
        <v>18</v>
      </c>
    </row>
    <row r="159" spans="1:7">
      <c r="A159" s="54">
        <v>44450</v>
      </c>
      <c r="B159" s="44" t="s">
        <v>18</v>
      </c>
      <c r="C159" s="44" t="s">
        <v>18</v>
      </c>
      <c r="D159" s="44" t="s">
        <v>18</v>
      </c>
      <c r="E159" s="44" t="s">
        <v>18</v>
      </c>
      <c r="F159" s="44" t="s">
        <v>18</v>
      </c>
      <c r="G159" s="44" t="s">
        <v>18</v>
      </c>
    </row>
    <row r="160" spans="1:7">
      <c r="A160" s="54">
        <v>44451</v>
      </c>
      <c r="B160" s="44" t="s">
        <v>18</v>
      </c>
      <c r="C160" s="44" t="s">
        <v>18</v>
      </c>
      <c r="D160" s="44" t="s">
        <v>18</v>
      </c>
      <c r="E160" s="44" t="s">
        <v>18</v>
      </c>
      <c r="F160" s="44" t="s">
        <v>18</v>
      </c>
      <c r="G160" s="44" t="s">
        <v>18</v>
      </c>
    </row>
    <row r="161" spans="1:7">
      <c r="A161" s="54">
        <v>44452</v>
      </c>
      <c r="B161" s="44" t="s">
        <v>18</v>
      </c>
      <c r="C161" s="44" t="s">
        <v>18</v>
      </c>
      <c r="D161" s="44" t="s">
        <v>18</v>
      </c>
      <c r="E161" s="44" t="s">
        <v>18</v>
      </c>
      <c r="F161" s="44" t="s">
        <v>18</v>
      </c>
      <c r="G161" s="44" t="s">
        <v>18</v>
      </c>
    </row>
    <row r="162" spans="1:7">
      <c r="A162" s="54">
        <v>44453</v>
      </c>
      <c r="B162" s="44" t="s">
        <v>18</v>
      </c>
      <c r="C162" s="44" t="s">
        <v>18</v>
      </c>
      <c r="D162" s="44" t="s">
        <v>18</v>
      </c>
      <c r="E162" s="44" t="s">
        <v>18</v>
      </c>
      <c r="F162" s="44" t="s">
        <v>18</v>
      </c>
      <c r="G162" s="44" t="s">
        <v>18</v>
      </c>
    </row>
    <row r="163" spans="1:7">
      <c r="A163" s="54">
        <v>44454</v>
      </c>
      <c r="B163" s="44" t="s">
        <v>18</v>
      </c>
      <c r="C163" s="44" t="s">
        <v>18</v>
      </c>
      <c r="D163" s="44" t="s">
        <v>18</v>
      </c>
      <c r="E163" s="44" t="s">
        <v>18</v>
      </c>
      <c r="F163" s="44" t="s">
        <v>18</v>
      </c>
      <c r="G163" s="44" t="s">
        <v>18</v>
      </c>
    </row>
    <row r="164" spans="1:7">
      <c r="A164" s="54">
        <v>44455</v>
      </c>
      <c r="B164" s="44" t="s">
        <v>18</v>
      </c>
      <c r="C164" s="44" t="s">
        <v>18</v>
      </c>
      <c r="D164" s="44" t="s">
        <v>18</v>
      </c>
      <c r="E164" s="44" t="s">
        <v>18</v>
      </c>
      <c r="F164" s="44" t="s">
        <v>18</v>
      </c>
      <c r="G164" s="44" t="s">
        <v>18</v>
      </c>
    </row>
    <row r="165" spans="1:7">
      <c r="A165" s="54">
        <v>44456</v>
      </c>
      <c r="B165" s="44" t="s">
        <v>18</v>
      </c>
      <c r="C165" s="44" t="s">
        <v>18</v>
      </c>
      <c r="D165" s="44" t="s">
        <v>18</v>
      </c>
      <c r="E165" s="44" t="s">
        <v>18</v>
      </c>
      <c r="F165" s="44" t="s">
        <v>18</v>
      </c>
      <c r="G165" s="44" t="s">
        <v>18</v>
      </c>
    </row>
    <row r="166" spans="1:7">
      <c r="A166" s="54">
        <v>44457</v>
      </c>
      <c r="B166" s="44" t="s">
        <v>18</v>
      </c>
      <c r="C166" s="44" t="s">
        <v>18</v>
      </c>
      <c r="D166" s="44" t="s">
        <v>18</v>
      </c>
      <c r="E166" s="44" t="s">
        <v>18</v>
      </c>
      <c r="F166" s="44" t="s">
        <v>18</v>
      </c>
      <c r="G166" s="44" t="s">
        <v>18</v>
      </c>
    </row>
    <row r="167" spans="1:7">
      <c r="A167" s="54">
        <v>44458</v>
      </c>
      <c r="B167" s="44" t="s">
        <v>18</v>
      </c>
      <c r="C167" s="44" t="s">
        <v>18</v>
      </c>
      <c r="D167" s="44" t="s">
        <v>18</v>
      </c>
      <c r="E167" s="44" t="s">
        <v>18</v>
      </c>
      <c r="F167" s="44" t="s">
        <v>18</v>
      </c>
      <c r="G167" s="44" t="s">
        <v>18</v>
      </c>
    </row>
    <row r="168" spans="1:7">
      <c r="A168" s="54">
        <v>44459</v>
      </c>
      <c r="B168" s="44" t="s">
        <v>18</v>
      </c>
      <c r="C168" s="44" t="s">
        <v>18</v>
      </c>
      <c r="D168" s="44" t="s">
        <v>18</v>
      </c>
      <c r="E168" s="44" t="s">
        <v>18</v>
      </c>
      <c r="F168" s="44" t="s">
        <v>18</v>
      </c>
      <c r="G168" s="44" t="s">
        <v>18</v>
      </c>
    </row>
    <row r="169" spans="1:7">
      <c r="A169" s="54">
        <v>44460</v>
      </c>
      <c r="B169" s="44" t="s">
        <v>18</v>
      </c>
      <c r="C169" s="44" t="s">
        <v>18</v>
      </c>
      <c r="D169" s="44" t="s">
        <v>18</v>
      </c>
      <c r="E169" s="44" t="s">
        <v>18</v>
      </c>
      <c r="F169" s="44" t="s">
        <v>18</v>
      </c>
      <c r="G169" s="44" t="s">
        <v>18</v>
      </c>
    </row>
    <row r="170" spans="1:7">
      <c r="A170" s="54">
        <v>44461</v>
      </c>
      <c r="B170" s="44" t="s">
        <v>18</v>
      </c>
      <c r="C170" s="44" t="s">
        <v>18</v>
      </c>
      <c r="D170" s="44" t="s">
        <v>18</v>
      </c>
      <c r="E170" s="44" t="s">
        <v>18</v>
      </c>
      <c r="F170" s="44" t="s">
        <v>18</v>
      </c>
      <c r="G170" s="44" t="s">
        <v>18</v>
      </c>
    </row>
    <row r="171" spans="1:7">
      <c r="A171" s="54">
        <v>44462</v>
      </c>
      <c r="B171" s="44" t="s">
        <v>18</v>
      </c>
      <c r="C171" s="44" t="s">
        <v>18</v>
      </c>
      <c r="D171" s="44" t="s">
        <v>18</v>
      </c>
      <c r="E171" s="44" t="s">
        <v>18</v>
      </c>
      <c r="F171" s="44" t="s">
        <v>18</v>
      </c>
      <c r="G171" s="44" t="s">
        <v>18</v>
      </c>
    </row>
    <row r="172" spans="1:7">
      <c r="A172" s="54">
        <v>44463</v>
      </c>
      <c r="B172" s="44" t="s">
        <v>18</v>
      </c>
      <c r="C172" s="44" t="s">
        <v>18</v>
      </c>
      <c r="D172" s="44" t="s">
        <v>18</v>
      </c>
      <c r="E172" s="44" t="s">
        <v>18</v>
      </c>
      <c r="F172" s="44" t="s">
        <v>18</v>
      </c>
      <c r="G172" s="44" t="s">
        <v>18</v>
      </c>
    </row>
    <row r="173" spans="1:7">
      <c r="A173" s="54">
        <v>44464</v>
      </c>
      <c r="B173" s="44" t="s">
        <v>18</v>
      </c>
      <c r="C173" s="44" t="s">
        <v>18</v>
      </c>
      <c r="D173" s="44" t="s">
        <v>18</v>
      </c>
      <c r="E173" s="44" t="s">
        <v>18</v>
      </c>
      <c r="F173" s="44" t="s">
        <v>18</v>
      </c>
      <c r="G173" s="44" t="s">
        <v>18</v>
      </c>
    </row>
    <row r="174" spans="1:7">
      <c r="A174" s="54">
        <v>44465</v>
      </c>
      <c r="B174" s="44" t="s">
        <v>18</v>
      </c>
      <c r="C174" s="44" t="s">
        <v>18</v>
      </c>
      <c r="D174" s="44" t="s">
        <v>18</v>
      </c>
      <c r="E174" s="44" t="s">
        <v>18</v>
      </c>
      <c r="F174" s="44" t="s">
        <v>18</v>
      </c>
      <c r="G174" s="44" t="s">
        <v>18</v>
      </c>
    </row>
    <row r="175" spans="1:7">
      <c r="A175" s="54">
        <v>44466</v>
      </c>
      <c r="B175" s="44" t="s">
        <v>18</v>
      </c>
      <c r="C175" s="44" t="s">
        <v>18</v>
      </c>
      <c r="D175" s="44" t="s">
        <v>18</v>
      </c>
      <c r="E175" s="44" t="s">
        <v>18</v>
      </c>
      <c r="F175" s="44" t="s">
        <v>18</v>
      </c>
      <c r="G175" s="44" t="s">
        <v>18</v>
      </c>
    </row>
    <row r="176" spans="1:7">
      <c r="A176" s="54">
        <v>44467</v>
      </c>
      <c r="B176" s="44" t="s">
        <v>18</v>
      </c>
      <c r="C176" s="44" t="s">
        <v>18</v>
      </c>
      <c r="D176" s="44" t="s">
        <v>18</v>
      </c>
      <c r="E176" s="44" t="s">
        <v>18</v>
      </c>
      <c r="F176" s="44" t="s">
        <v>18</v>
      </c>
      <c r="G176" s="44" t="s">
        <v>18</v>
      </c>
    </row>
    <row r="177" spans="1:7">
      <c r="A177" s="54">
        <v>44468</v>
      </c>
      <c r="B177" s="44" t="s">
        <v>18</v>
      </c>
      <c r="C177" s="44" t="s">
        <v>18</v>
      </c>
      <c r="D177" s="44" t="s">
        <v>18</v>
      </c>
      <c r="E177" s="44" t="s">
        <v>18</v>
      </c>
      <c r="F177" s="44" t="s">
        <v>18</v>
      </c>
      <c r="G177" s="44" t="s">
        <v>18</v>
      </c>
    </row>
    <row r="178" spans="1:7">
      <c r="A178" s="54">
        <v>44469</v>
      </c>
      <c r="B178" s="44">
        <v>201.78</v>
      </c>
      <c r="C178" s="45">
        <v>1121</v>
      </c>
      <c r="D178" s="43">
        <v>0</v>
      </c>
      <c r="E178" s="43">
        <v>39</v>
      </c>
      <c r="F178" s="43">
        <v>0.18</v>
      </c>
      <c r="G178" s="46">
        <v>340</v>
      </c>
    </row>
    <row r="179" spans="1:7">
      <c r="A179" s="54">
        <v>44470</v>
      </c>
      <c r="B179" s="44" t="s">
        <v>18</v>
      </c>
      <c r="C179" s="44" t="s">
        <v>18</v>
      </c>
      <c r="D179" s="44" t="s">
        <v>18</v>
      </c>
      <c r="E179" s="44" t="s">
        <v>18</v>
      </c>
      <c r="F179" s="44" t="s">
        <v>18</v>
      </c>
      <c r="G179" s="44" t="s">
        <v>18</v>
      </c>
    </row>
    <row r="180" spans="1:7">
      <c r="A180" s="54">
        <v>44471</v>
      </c>
      <c r="B180" s="44" t="s">
        <v>18</v>
      </c>
      <c r="C180" s="44" t="s">
        <v>18</v>
      </c>
      <c r="D180" s="44" t="s">
        <v>18</v>
      </c>
      <c r="E180" s="44" t="s">
        <v>18</v>
      </c>
      <c r="F180" s="44" t="s">
        <v>18</v>
      </c>
      <c r="G180" s="44" t="s">
        <v>18</v>
      </c>
    </row>
    <row r="181" spans="1:7">
      <c r="A181" s="54">
        <v>44472</v>
      </c>
      <c r="B181" s="44" t="s">
        <v>18</v>
      </c>
      <c r="C181" s="44" t="s">
        <v>18</v>
      </c>
      <c r="D181" s="44" t="s">
        <v>18</v>
      </c>
      <c r="E181" s="44" t="s">
        <v>18</v>
      </c>
      <c r="F181" s="44" t="s">
        <v>18</v>
      </c>
      <c r="G181" s="44" t="s">
        <v>18</v>
      </c>
    </row>
    <row r="182" spans="1:7">
      <c r="A182" s="54">
        <v>44473</v>
      </c>
      <c r="B182" s="44" t="s">
        <v>18</v>
      </c>
      <c r="C182" s="44" t="s">
        <v>18</v>
      </c>
      <c r="D182" s="44" t="s">
        <v>18</v>
      </c>
      <c r="E182" s="44" t="s">
        <v>18</v>
      </c>
      <c r="F182" s="44" t="s">
        <v>18</v>
      </c>
      <c r="G182" s="44" t="s">
        <v>18</v>
      </c>
    </row>
    <row r="183" spans="1:7">
      <c r="A183" s="54">
        <v>44474</v>
      </c>
      <c r="B183" s="44" t="s">
        <v>18</v>
      </c>
      <c r="C183" s="44" t="s">
        <v>18</v>
      </c>
      <c r="D183" s="44" t="s">
        <v>18</v>
      </c>
      <c r="E183" s="44" t="s">
        <v>18</v>
      </c>
      <c r="F183" s="44" t="s">
        <v>18</v>
      </c>
      <c r="G183" s="44" t="s">
        <v>18</v>
      </c>
    </row>
    <row r="184" spans="1:7">
      <c r="A184" s="54">
        <v>44475</v>
      </c>
      <c r="B184" s="44" t="s">
        <v>18</v>
      </c>
      <c r="C184" s="44" t="s">
        <v>18</v>
      </c>
      <c r="D184" s="44" t="s">
        <v>18</v>
      </c>
      <c r="E184" s="44" t="s">
        <v>18</v>
      </c>
      <c r="F184" s="44" t="s">
        <v>18</v>
      </c>
      <c r="G184" s="44" t="s">
        <v>18</v>
      </c>
    </row>
    <row r="185" spans="1:7">
      <c r="A185" s="54">
        <v>44476</v>
      </c>
      <c r="B185" s="44" t="s">
        <v>18</v>
      </c>
      <c r="C185" s="44" t="s">
        <v>18</v>
      </c>
      <c r="D185" s="44" t="s">
        <v>18</v>
      </c>
      <c r="E185" s="44" t="s">
        <v>18</v>
      </c>
      <c r="F185" s="44" t="s">
        <v>18</v>
      </c>
      <c r="G185" s="44" t="s">
        <v>18</v>
      </c>
    </row>
    <row r="186" spans="1:7">
      <c r="A186" s="54">
        <v>44477</v>
      </c>
      <c r="B186" s="44" t="s">
        <v>18</v>
      </c>
      <c r="C186" s="44" t="s">
        <v>18</v>
      </c>
      <c r="D186" s="44" t="s">
        <v>18</v>
      </c>
      <c r="E186" s="44" t="s">
        <v>18</v>
      </c>
      <c r="F186" s="44" t="s">
        <v>18</v>
      </c>
      <c r="G186" s="44" t="s">
        <v>18</v>
      </c>
    </row>
    <row r="187" spans="1:7">
      <c r="A187" s="54">
        <v>44478</v>
      </c>
      <c r="B187" s="44" t="s">
        <v>18</v>
      </c>
      <c r="C187" s="44" t="s">
        <v>18</v>
      </c>
      <c r="D187" s="44" t="s">
        <v>18</v>
      </c>
      <c r="E187" s="44" t="s">
        <v>18</v>
      </c>
      <c r="F187" s="44" t="s">
        <v>18</v>
      </c>
      <c r="G187" s="44" t="s">
        <v>18</v>
      </c>
    </row>
    <row r="188" spans="1:7">
      <c r="A188" s="54">
        <v>44479</v>
      </c>
      <c r="B188" s="44" t="s">
        <v>18</v>
      </c>
      <c r="C188" s="44" t="s">
        <v>18</v>
      </c>
      <c r="D188" s="44" t="s">
        <v>18</v>
      </c>
      <c r="E188" s="44" t="s">
        <v>18</v>
      </c>
      <c r="F188" s="44" t="s">
        <v>18</v>
      </c>
      <c r="G188" s="44" t="s">
        <v>18</v>
      </c>
    </row>
    <row r="189" spans="1:7">
      <c r="A189" s="54">
        <v>44480</v>
      </c>
      <c r="B189" s="44" t="s">
        <v>18</v>
      </c>
      <c r="C189" s="44" t="s">
        <v>18</v>
      </c>
      <c r="D189" s="44" t="s">
        <v>18</v>
      </c>
      <c r="E189" s="44" t="s">
        <v>18</v>
      </c>
      <c r="F189" s="44" t="s">
        <v>18</v>
      </c>
      <c r="G189" s="44" t="s">
        <v>18</v>
      </c>
    </row>
    <row r="190" spans="1:7">
      <c r="A190" s="54">
        <v>44481</v>
      </c>
      <c r="B190" s="44" t="s">
        <v>18</v>
      </c>
      <c r="C190" s="44" t="s">
        <v>18</v>
      </c>
      <c r="D190" s="44" t="s">
        <v>18</v>
      </c>
      <c r="E190" s="44" t="s">
        <v>18</v>
      </c>
      <c r="F190" s="44" t="s">
        <v>18</v>
      </c>
      <c r="G190" s="44" t="s">
        <v>18</v>
      </c>
    </row>
    <row r="191" spans="1:7">
      <c r="A191" s="54">
        <v>44482</v>
      </c>
      <c r="B191" s="44" t="s">
        <v>18</v>
      </c>
      <c r="C191" s="44" t="s">
        <v>18</v>
      </c>
      <c r="D191" s="44" t="s">
        <v>18</v>
      </c>
      <c r="E191" s="44" t="s">
        <v>18</v>
      </c>
      <c r="F191" s="44" t="s">
        <v>18</v>
      </c>
      <c r="G191" s="44" t="s">
        <v>18</v>
      </c>
    </row>
    <row r="192" spans="1:7">
      <c r="A192" s="54">
        <v>44483</v>
      </c>
      <c r="B192" s="44">
        <v>74.3</v>
      </c>
      <c r="C192" s="45">
        <v>391</v>
      </c>
      <c r="D192" s="43">
        <v>0</v>
      </c>
      <c r="E192" s="43">
        <v>44</v>
      </c>
      <c r="F192" s="43">
        <v>0.19</v>
      </c>
      <c r="G192" s="46">
        <v>391</v>
      </c>
    </row>
    <row r="193" spans="1:7">
      <c r="A193" s="54">
        <v>44484</v>
      </c>
      <c r="B193" s="44" t="s">
        <v>18</v>
      </c>
      <c r="C193" s="44" t="s">
        <v>18</v>
      </c>
      <c r="D193" s="44" t="s">
        <v>18</v>
      </c>
      <c r="E193" s="44" t="s">
        <v>18</v>
      </c>
      <c r="F193" s="44" t="s">
        <v>18</v>
      </c>
      <c r="G193" s="44" t="s">
        <v>18</v>
      </c>
    </row>
    <row r="194" spans="1:7">
      <c r="A194" s="54">
        <v>44485</v>
      </c>
      <c r="B194" s="44" t="s">
        <v>18</v>
      </c>
      <c r="C194" s="44" t="s">
        <v>18</v>
      </c>
      <c r="D194" s="44" t="s">
        <v>18</v>
      </c>
      <c r="E194" s="44" t="s">
        <v>18</v>
      </c>
      <c r="F194" s="44" t="s">
        <v>18</v>
      </c>
      <c r="G194" s="44" t="s">
        <v>18</v>
      </c>
    </row>
    <row r="195" spans="1:7">
      <c r="A195" s="54">
        <v>44486</v>
      </c>
      <c r="B195" s="44" t="s">
        <v>18</v>
      </c>
      <c r="C195" s="44" t="s">
        <v>18</v>
      </c>
      <c r="D195" s="44" t="s">
        <v>18</v>
      </c>
      <c r="E195" s="44" t="s">
        <v>18</v>
      </c>
      <c r="F195" s="44" t="s">
        <v>18</v>
      </c>
      <c r="G195" s="44" t="s">
        <v>18</v>
      </c>
    </row>
    <row r="196" spans="1:7">
      <c r="A196" s="54">
        <v>44487</v>
      </c>
      <c r="B196" s="44" t="s">
        <v>18</v>
      </c>
      <c r="C196" s="44" t="s">
        <v>18</v>
      </c>
      <c r="D196" s="44" t="s">
        <v>18</v>
      </c>
      <c r="E196" s="44" t="s">
        <v>18</v>
      </c>
      <c r="F196" s="44" t="s">
        <v>18</v>
      </c>
      <c r="G196" s="44" t="s">
        <v>18</v>
      </c>
    </row>
    <row r="197" spans="1:7">
      <c r="A197" s="54">
        <v>44488</v>
      </c>
      <c r="B197" s="44" t="s">
        <v>18</v>
      </c>
      <c r="C197" s="44" t="s">
        <v>18</v>
      </c>
      <c r="D197" s="44" t="s">
        <v>18</v>
      </c>
      <c r="E197" s="44" t="s">
        <v>18</v>
      </c>
      <c r="F197" s="44" t="s">
        <v>18</v>
      </c>
      <c r="G197" s="44" t="s">
        <v>18</v>
      </c>
    </row>
    <row r="198" spans="1:7">
      <c r="A198" s="54">
        <v>44489</v>
      </c>
      <c r="B198" s="44" t="s">
        <v>18</v>
      </c>
      <c r="C198" s="44" t="s">
        <v>18</v>
      </c>
      <c r="D198" s="44" t="s">
        <v>18</v>
      </c>
      <c r="E198" s="44" t="s">
        <v>18</v>
      </c>
      <c r="F198" s="44" t="s">
        <v>18</v>
      </c>
      <c r="G198" s="44" t="s">
        <v>18</v>
      </c>
    </row>
    <row r="199" spans="1:7">
      <c r="A199" s="54">
        <v>44490</v>
      </c>
      <c r="B199" s="44">
        <v>1267.77</v>
      </c>
      <c r="C199" s="45">
        <v>6316</v>
      </c>
      <c r="D199" s="43">
        <v>9</v>
      </c>
      <c r="E199" s="43">
        <v>35</v>
      </c>
      <c r="F199" s="43">
        <v>0.2</v>
      </c>
      <c r="G199" s="46">
        <v>1313</v>
      </c>
    </row>
    <row r="200" spans="1:7">
      <c r="A200" s="54">
        <v>44491</v>
      </c>
      <c r="B200" s="44" t="s">
        <v>18</v>
      </c>
      <c r="C200" s="44" t="s">
        <v>18</v>
      </c>
      <c r="D200" s="44" t="s">
        <v>18</v>
      </c>
      <c r="E200" s="44" t="s">
        <v>18</v>
      </c>
      <c r="F200" s="44" t="s">
        <v>18</v>
      </c>
      <c r="G200" s="44" t="s">
        <v>18</v>
      </c>
    </row>
    <row r="201" spans="1:7">
      <c r="A201" s="54">
        <v>44492</v>
      </c>
      <c r="B201" s="44" t="s">
        <v>18</v>
      </c>
      <c r="C201" s="44" t="s">
        <v>18</v>
      </c>
      <c r="D201" s="44" t="s">
        <v>18</v>
      </c>
      <c r="E201" s="44" t="s">
        <v>18</v>
      </c>
      <c r="F201" s="44" t="s">
        <v>18</v>
      </c>
      <c r="G201" s="44" t="s">
        <v>18</v>
      </c>
    </row>
    <row r="202" spans="1:7">
      <c r="A202" s="54">
        <v>44493</v>
      </c>
      <c r="B202" s="44" t="s">
        <v>18</v>
      </c>
      <c r="C202" s="44" t="s">
        <v>18</v>
      </c>
      <c r="D202" s="44" t="s">
        <v>18</v>
      </c>
      <c r="E202" s="44" t="s">
        <v>18</v>
      </c>
      <c r="F202" s="44" t="s">
        <v>18</v>
      </c>
      <c r="G202" s="44" t="s">
        <v>18</v>
      </c>
    </row>
    <row r="203" spans="1:7">
      <c r="A203" s="54">
        <v>44494</v>
      </c>
      <c r="B203" s="44" t="s">
        <v>18</v>
      </c>
      <c r="C203" s="44" t="s">
        <v>18</v>
      </c>
      <c r="D203" s="44" t="s">
        <v>18</v>
      </c>
      <c r="E203" s="44" t="s">
        <v>18</v>
      </c>
      <c r="F203" s="44" t="s">
        <v>18</v>
      </c>
      <c r="G203" s="44" t="s">
        <v>18</v>
      </c>
    </row>
    <row r="204" spans="1:7">
      <c r="A204" s="54">
        <v>44495</v>
      </c>
      <c r="B204" s="44" t="s">
        <v>18</v>
      </c>
      <c r="C204" s="44" t="s">
        <v>18</v>
      </c>
      <c r="D204" s="44" t="s">
        <v>18</v>
      </c>
      <c r="E204" s="44" t="s">
        <v>18</v>
      </c>
      <c r="F204" s="44" t="s">
        <v>18</v>
      </c>
      <c r="G204" s="44" t="s">
        <v>18</v>
      </c>
    </row>
    <row r="205" spans="1:7">
      <c r="A205" s="54">
        <v>44496</v>
      </c>
      <c r="B205" s="44" t="s">
        <v>18</v>
      </c>
      <c r="C205" s="44" t="s">
        <v>18</v>
      </c>
      <c r="D205" s="44" t="s">
        <v>18</v>
      </c>
      <c r="E205" s="44" t="s">
        <v>18</v>
      </c>
      <c r="F205" s="44" t="s">
        <v>18</v>
      </c>
      <c r="G205" s="44" t="s">
        <v>18</v>
      </c>
    </row>
    <row r="206" spans="1:7">
      <c r="A206" s="54">
        <v>44497</v>
      </c>
      <c r="B206" s="44">
        <v>650</v>
      </c>
      <c r="C206" s="45">
        <v>3109</v>
      </c>
      <c r="D206" s="43">
        <v>3</v>
      </c>
      <c r="E206" s="43">
        <v>39</v>
      </c>
      <c r="F206" s="43">
        <v>0.21</v>
      </c>
      <c r="G206" s="46">
        <v>647</v>
      </c>
    </row>
    <row r="207" spans="1:7">
      <c r="A207" s="54">
        <v>44498</v>
      </c>
      <c r="B207" s="44" t="s">
        <v>18</v>
      </c>
      <c r="C207" s="44" t="s">
        <v>18</v>
      </c>
      <c r="D207" s="44" t="s">
        <v>18</v>
      </c>
      <c r="E207" s="44" t="s">
        <v>18</v>
      </c>
      <c r="F207" s="44" t="s">
        <v>18</v>
      </c>
      <c r="G207" s="44" t="s">
        <v>18</v>
      </c>
    </row>
    <row r="208" spans="1:7">
      <c r="A208" s="54">
        <v>44499</v>
      </c>
      <c r="B208" s="44" t="s">
        <v>18</v>
      </c>
      <c r="C208" s="44" t="s">
        <v>18</v>
      </c>
      <c r="D208" s="44" t="s">
        <v>18</v>
      </c>
      <c r="E208" s="44" t="s">
        <v>18</v>
      </c>
      <c r="F208" s="44" t="s">
        <v>18</v>
      </c>
      <c r="G208" s="44" t="s">
        <v>18</v>
      </c>
    </row>
    <row r="209" spans="1:7">
      <c r="A209" s="54">
        <v>44500</v>
      </c>
      <c r="B209" s="44" t="s">
        <v>18</v>
      </c>
      <c r="C209" s="44" t="s">
        <v>18</v>
      </c>
      <c r="D209" s="44" t="s">
        <v>18</v>
      </c>
      <c r="E209" s="44" t="s">
        <v>18</v>
      </c>
      <c r="F209" s="44" t="s">
        <v>18</v>
      </c>
      <c r="G209" s="44" t="s">
        <v>18</v>
      </c>
    </row>
    <row r="210" spans="1:7">
      <c r="A210" s="54">
        <v>44501</v>
      </c>
      <c r="B210" s="44" t="s">
        <v>18</v>
      </c>
      <c r="C210" s="44" t="s">
        <v>18</v>
      </c>
      <c r="D210" s="44" t="s">
        <v>18</v>
      </c>
      <c r="E210" s="44" t="s">
        <v>18</v>
      </c>
      <c r="F210" s="44" t="s">
        <v>18</v>
      </c>
      <c r="G210" s="44" t="s">
        <v>18</v>
      </c>
    </row>
    <row r="211" spans="1:7">
      <c r="A211" s="54">
        <v>44502</v>
      </c>
      <c r="B211" s="44" t="s">
        <v>18</v>
      </c>
      <c r="C211" s="44" t="s">
        <v>18</v>
      </c>
      <c r="D211" s="44" t="s">
        <v>18</v>
      </c>
      <c r="E211" s="44" t="s">
        <v>18</v>
      </c>
      <c r="F211" s="44" t="s">
        <v>18</v>
      </c>
      <c r="G211" s="44" t="s">
        <v>18</v>
      </c>
    </row>
    <row r="212" spans="1:7">
      <c r="A212" s="54">
        <v>44503</v>
      </c>
      <c r="B212" s="44" t="s">
        <v>18</v>
      </c>
      <c r="C212" s="44" t="s">
        <v>18</v>
      </c>
      <c r="D212" s="44" t="s">
        <v>18</v>
      </c>
      <c r="E212" s="44" t="s">
        <v>18</v>
      </c>
      <c r="F212" s="44" t="s">
        <v>18</v>
      </c>
      <c r="G212" s="44" t="s">
        <v>18</v>
      </c>
    </row>
    <row r="213" spans="1:7">
      <c r="A213" s="54">
        <v>44504</v>
      </c>
      <c r="B213" s="44">
        <v>1000</v>
      </c>
      <c r="C213" s="45">
        <v>4803</v>
      </c>
      <c r="D213" s="43">
        <v>6</v>
      </c>
      <c r="E213" s="43">
        <v>36</v>
      </c>
      <c r="F213" s="43">
        <v>0.21</v>
      </c>
      <c r="G213" s="46">
        <v>569</v>
      </c>
    </row>
    <row r="214" spans="1:7">
      <c r="A214" s="54">
        <v>44505</v>
      </c>
      <c r="B214" s="44" t="s">
        <v>18</v>
      </c>
      <c r="C214" s="44" t="s">
        <v>18</v>
      </c>
      <c r="D214" s="44" t="s">
        <v>18</v>
      </c>
      <c r="E214" s="44" t="s">
        <v>18</v>
      </c>
      <c r="F214" s="44" t="s">
        <v>18</v>
      </c>
      <c r="G214" s="44" t="s">
        <v>18</v>
      </c>
    </row>
    <row r="215" spans="1:7">
      <c r="A215" s="54">
        <v>44506</v>
      </c>
      <c r="B215" s="44" t="s">
        <v>18</v>
      </c>
      <c r="C215" s="44" t="s">
        <v>18</v>
      </c>
      <c r="D215" s="44" t="s">
        <v>18</v>
      </c>
      <c r="E215" s="44" t="s">
        <v>18</v>
      </c>
      <c r="F215" s="44" t="s">
        <v>18</v>
      </c>
      <c r="G215" s="44" t="s">
        <v>18</v>
      </c>
    </row>
    <row r="216" spans="1:7">
      <c r="A216" s="54">
        <v>44507</v>
      </c>
      <c r="B216" s="44" t="s">
        <v>18</v>
      </c>
      <c r="C216" s="44" t="s">
        <v>18</v>
      </c>
      <c r="D216" s="44" t="s">
        <v>18</v>
      </c>
      <c r="E216" s="44" t="s">
        <v>18</v>
      </c>
      <c r="F216" s="44" t="s">
        <v>18</v>
      </c>
      <c r="G216" s="44" t="s">
        <v>18</v>
      </c>
    </row>
    <row r="217" spans="1:7">
      <c r="A217" s="54">
        <v>44508</v>
      </c>
      <c r="B217" s="44" t="s">
        <v>18</v>
      </c>
      <c r="C217" s="44" t="s">
        <v>18</v>
      </c>
      <c r="D217" s="44" t="s">
        <v>18</v>
      </c>
      <c r="E217" s="44" t="s">
        <v>18</v>
      </c>
      <c r="F217" s="44" t="s">
        <v>18</v>
      </c>
      <c r="G217" s="44" t="s">
        <v>18</v>
      </c>
    </row>
    <row r="218" spans="1:7">
      <c r="A218" s="54">
        <v>44509</v>
      </c>
      <c r="B218" s="44" t="s">
        <v>18</v>
      </c>
      <c r="C218" s="44" t="s">
        <v>18</v>
      </c>
      <c r="D218" s="44" t="s">
        <v>18</v>
      </c>
      <c r="E218" s="44" t="s">
        <v>18</v>
      </c>
      <c r="F218" s="44" t="s">
        <v>18</v>
      </c>
      <c r="G218" s="44" t="s">
        <v>18</v>
      </c>
    </row>
    <row r="219" spans="1:7">
      <c r="A219" s="54">
        <v>44510</v>
      </c>
      <c r="B219" s="44" t="s">
        <v>18</v>
      </c>
      <c r="C219" s="44" t="s">
        <v>18</v>
      </c>
      <c r="D219" s="44" t="s">
        <v>18</v>
      </c>
      <c r="E219" s="44" t="s">
        <v>18</v>
      </c>
      <c r="F219" s="44" t="s">
        <v>18</v>
      </c>
      <c r="G219" s="44" t="s">
        <v>18</v>
      </c>
    </row>
    <row r="220" spans="1:7">
      <c r="A220" s="54">
        <v>44511</v>
      </c>
      <c r="B220" s="44">
        <v>974.54</v>
      </c>
      <c r="C220" s="45">
        <v>4650</v>
      </c>
      <c r="D220" s="43">
        <v>0</v>
      </c>
      <c r="E220" s="43">
        <v>38</v>
      </c>
      <c r="F220" s="43">
        <v>0.21</v>
      </c>
      <c r="G220" s="46">
        <v>476</v>
      </c>
    </row>
    <row r="221" spans="1:7">
      <c r="A221" s="54">
        <v>44512</v>
      </c>
      <c r="B221" s="44" t="s">
        <v>18</v>
      </c>
      <c r="C221" s="44" t="s">
        <v>18</v>
      </c>
      <c r="D221" s="44" t="s">
        <v>18</v>
      </c>
      <c r="E221" s="44" t="s">
        <v>18</v>
      </c>
      <c r="F221" s="44" t="s">
        <v>18</v>
      </c>
      <c r="G221" s="44" t="s">
        <v>18</v>
      </c>
    </row>
    <row r="222" spans="1:7">
      <c r="A222" s="54">
        <v>44513</v>
      </c>
      <c r="B222" s="44" t="s">
        <v>18</v>
      </c>
      <c r="C222" s="44" t="s">
        <v>18</v>
      </c>
      <c r="D222" s="44" t="s">
        <v>18</v>
      </c>
      <c r="E222" s="44" t="s">
        <v>18</v>
      </c>
      <c r="F222" s="44" t="s">
        <v>18</v>
      </c>
      <c r="G222" s="44" t="s">
        <v>18</v>
      </c>
    </row>
    <row r="223" spans="1:7">
      <c r="A223" s="54">
        <v>44514</v>
      </c>
      <c r="B223" s="44" t="s">
        <v>18</v>
      </c>
      <c r="C223" s="44" t="s">
        <v>18</v>
      </c>
      <c r="D223" s="44" t="s">
        <v>18</v>
      </c>
      <c r="E223" s="44" t="s">
        <v>18</v>
      </c>
      <c r="F223" s="44" t="s">
        <v>18</v>
      </c>
      <c r="G223" s="44" t="s">
        <v>18</v>
      </c>
    </row>
    <row r="224" spans="1:7">
      <c r="A224" s="54">
        <v>44515</v>
      </c>
      <c r="B224" s="44" t="s">
        <v>18</v>
      </c>
      <c r="C224" s="44" t="s">
        <v>18</v>
      </c>
      <c r="D224" s="44" t="s">
        <v>18</v>
      </c>
      <c r="E224" s="44" t="s">
        <v>18</v>
      </c>
      <c r="F224" s="44" t="s">
        <v>18</v>
      </c>
      <c r="G224" s="44" t="s">
        <v>18</v>
      </c>
    </row>
    <row r="225" spans="1:7">
      <c r="A225" s="54">
        <v>44516</v>
      </c>
      <c r="B225" s="44" t="s">
        <v>18</v>
      </c>
      <c r="C225" s="44" t="s">
        <v>18</v>
      </c>
      <c r="D225" s="44" t="s">
        <v>18</v>
      </c>
      <c r="E225" s="44" t="s">
        <v>18</v>
      </c>
      <c r="F225" s="44" t="s">
        <v>18</v>
      </c>
      <c r="G225" s="44" t="s">
        <v>18</v>
      </c>
    </row>
    <row r="226" spans="1:7">
      <c r="A226" s="54">
        <v>44517</v>
      </c>
      <c r="B226" s="44" t="s">
        <v>18</v>
      </c>
      <c r="C226" s="44" t="s">
        <v>18</v>
      </c>
      <c r="D226" s="44" t="s">
        <v>18</v>
      </c>
      <c r="E226" s="44" t="s">
        <v>18</v>
      </c>
      <c r="F226" s="44" t="s">
        <v>18</v>
      </c>
      <c r="G226" s="44" t="s">
        <v>18</v>
      </c>
    </row>
    <row r="227" spans="1:7">
      <c r="A227" s="54">
        <v>44518</v>
      </c>
      <c r="B227" s="44" t="s">
        <v>18</v>
      </c>
      <c r="C227" s="44" t="s">
        <v>18</v>
      </c>
      <c r="D227" s="44" t="s">
        <v>18</v>
      </c>
      <c r="E227" s="44" t="s">
        <v>18</v>
      </c>
      <c r="F227" s="44" t="s">
        <v>18</v>
      </c>
      <c r="G227" s="44" t="s">
        <v>18</v>
      </c>
    </row>
    <row r="228" spans="1:7">
      <c r="A228" s="54">
        <v>44519</v>
      </c>
      <c r="B228" s="44" t="s">
        <v>18</v>
      </c>
      <c r="C228" s="44" t="s">
        <v>18</v>
      </c>
      <c r="D228" s="44" t="s">
        <v>18</v>
      </c>
      <c r="E228" s="44" t="s">
        <v>18</v>
      </c>
      <c r="F228" s="44" t="s">
        <v>18</v>
      </c>
      <c r="G228" s="44" t="s">
        <v>18</v>
      </c>
    </row>
    <row r="229" spans="1:7">
      <c r="A229" s="54">
        <v>44520</v>
      </c>
      <c r="B229" s="44" t="s">
        <v>18</v>
      </c>
      <c r="C229" s="44" t="s">
        <v>18</v>
      </c>
      <c r="D229" s="44" t="s">
        <v>18</v>
      </c>
      <c r="E229" s="44" t="s">
        <v>18</v>
      </c>
      <c r="F229" s="44" t="s">
        <v>18</v>
      </c>
      <c r="G229" s="44" t="s">
        <v>18</v>
      </c>
    </row>
    <row r="230" spans="1:7">
      <c r="A230" s="54">
        <v>44521</v>
      </c>
      <c r="B230" s="44" t="s">
        <v>18</v>
      </c>
      <c r="C230" s="44" t="s">
        <v>18</v>
      </c>
      <c r="D230" s="44" t="s">
        <v>18</v>
      </c>
      <c r="E230" s="44" t="s">
        <v>18</v>
      </c>
      <c r="F230" s="44" t="s">
        <v>18</v>
      </c>
      <c r="G230" s="44" t="s">
        <v>18</v>
      </c>
    </row>
    <row r="231" spans="1:7">
      <c r="A231" s="54">
        <v>44522</v>
      </c>
      <c r="B231" s="44" t="s">
        <v>18</v>
      </c>
      <c r="C231" s="44" t="s">
        <v>18</v>
      </c>
      <c r="D231" s="44" t="s">
        <v>18</v>
      </c>
      <c r="E231" s="44" t="s">
        <v>18</v>
      </c>
      <c r="F231" s="44" t="s">
        <v>18</v>
      </c>
      <c r="G231" s="44" t="s">
        <v>18</v>
      </c>
    </row>
    <row r="232" spans="1:7">
      <c r="A232" s="54">
        <v>44523</v>
      </c>
      <c r="B232" s="44" t="s">
        <v>18</v>
      </c>
      <c r="C232" s="44" t="s">
        <v>18</v>
      </c>
      <c r="D232" s="44" t="s">
        <v>18</v>
      </c>
      <c r="E232" s="44" t="s">
        <v>18</v>
      </c>
      <c r="F232" s="44" t="s">
        <v>18</v>
      </c>
      <c r="G232" s="44" t="s">
        <v>18</v>
      </c>
    </row>
    <row r="233" spans="1:7">
      <c r="A233" s="54">
        <v>44524</v>
      </c>
      <c r="B233" s="44" t="s">
        <v>18</v>
      </c>
      <c r="C233" s="44" t="s">
        <v>18</v>
      </c>
      <c r="D233" s="44" t="s">
        <v>18</v>
      </c>
      <c r="E233" s="44" t="s">
        <v>18</v>
      </c>
      <c r="F233" s="44" t="s">
        <v>18</v>
      </c>
      <c r="G233" s="44" t="s">
        <v>18</v>
      </c>
    </row>
    <row r="234" spans="1:7">
      <c r="A234" s="54">
        <v>44525</v>
      </c>
      <c r="B234" s="44" t="s">
        <v>18</v>
      </c>
      <c r="C234" s="44" t="s">
        <v>18</v>
      </c>
      <c r="D234" s="44" t="s">
        <v>18</v>
      </c>
      <c r="E234" s="44" t="s">
        <v>18</v>
      </c>
      <c r="F234" s="44" t="s">
        <v>18</v>
      </c>
      <c r="G234" s="44" t="s">
        <v>18</v>
      </c>
    </row>
    <row r="235" spans="1:7">
      <c r="A235" s="54">
        <v>44526</v>
      </c>
      <c r="B235" s="44" t="s">
        <v>18</v>
      </c>
      <c r="C235" s="44" t="s">
        <v>18</v>
      </c>
      <c r="D235" s="44" t="s">
        <v>18</v>
      </c>
      <c r="E235" s="44" t="s">
        <v>18</v>
      </c>
      <c r="F235" s="44" t="s">
        <v>18</v>
      </c>
      <c r="G235" s="44" t="s">
        <v>18</v>
      </c>
    </row>
    <row r="236" spans="1:7">
      <c r="A236" s="54">
        <v>44527</v>
      </c>
      <c r="B236" s="44" t="s">
        <v>18</v>
      </c>
      <c r="C236" s="44" t="s">
        <v>18</v>
      </c>
      <c r="D236" s="44" t="s">
        <v>18</v>
      </c>
      <c r="E236" s="44" t="s">
        <v>18</v>
      </c>
      <c r="F236" s="44" t="s">
        <v>18</v>
      </c>
      <c r="G236" s="44" t="s">
        <v>18</v>
      </c>
    </row>
    <row r="237" spans="1:7">
      <c r="A237" s="54">
        <v>44528</v>
      </c>
      <c r="B237" s="44" t="s">
        <v>18</v>
      </c>
      <c r="C237" s="44" t="s">
        <v>18</v>
      </c>
      <c r="D237" s="44" t="s">
        <v>18</v>
      </c>
      <c r="E237" s="44" t="s">
        <v>18</v>
      </c>
      <c r="F237" s="44" t="s">
        <v>18</v>
      </c>
      <c r="G237" s="44" t="s">
        <v>18</v>
      </c>
    </row>
    <row r="238" spans="1:7">
      <c r="A238" s="54">
        <v>44529</v>
      </c>
      <c r="B238" s="44" t="s">
        <v>18</v>
      </c>
      <c r="C238" s="44" t="s">
        <v>18</v>
      </c>
      <c r="D238" s="44" t="s">
        <v>18</v>
      </c>
      <c r="E238" s="44" t="s">
        <v>18</v>
      </c>
      <c r="F238" s="44" t="s">
        <v>18</v>
      </c>
      <c r="G238" s="44" t="s">
        <v>18</v>
      </c>
    </row>
    <row r="239" spans="1:7">
      <c r="A239" s="54">
        <v>44530</v>
      </c>
      <c r="B239" s="44" t="s">
        <v>18</v>
      </c>
      <c r="C239" s="44" t="s">
        <v>18</v>
      </c>
      <c r="D239" s="44" t="s">
        <v>18</v>
      </c>
      <c r="E239" s="44" t="s">
        <v>18</v>
      </c>
      <c r="F239" s="44" t="s">
        <v>18</v>
      </c>
      <c r="G239" s="44" t="s">
        <v>18</v>
      </c>
    </row>
    <row r="240" spans="1:7">
      <c r="A240" s="54">
        <v>44531</v>
      </c>
      <c r="B240" s="44" t="s">
        <v>18</v>
      </c>
      <c r="C240" s="44" t="s">
        <v>18</v>
      </c>
      <c r="D240" s="44" t="s">
        <v>18</v>
      </c>
      <c r="E240" s="44" t="s">
        <v>18</v>
      </c>
      <c r="F240" s="44" t="s">
        <v>18</v>
      </c>
      <c r="G240" s="44" t="s">
        <v>18</v>
      </c>
    </row>
    <row r="241" spans="1:7">
      <c r="A241" s="54">
        <v>44532</v>
      </c>
      <c r="B241" s="44" t="s">
        <v>18</v>
      </c>
      <c r="C241" s="44" t="s">
        <v>18</v>
      </c>
      <c r="D241" s="44" t="s">
        <v>18</v>
      </c>
      <c r="E241" s="44" t="s">
        <v>18</v>
      </c>
      <c r="F241" s="44" t="s">
        <v>18</v>
      </c>
      <c r="G241" s="44" t="s">
        <v>18</v>
      </c>
    </row>
    <row r="242" spans="1:7">
      <c r="A242" s="54">
        <v>44533</v>
      </c>
      <c r="B242" s="44" t="s">
        <v>18</v>
      </c>
      <c r="C242" s="44" t="s">
        <v>18</v>
      </c>
      <c r="D242" s="44" t="s">
        <v>18</v>
      </c>
      <c r="E242" s="44" t="s">
        <v>18</v>
      </c>
      <c r="F242" s="44" t="s">
        <v>18</v>
      </c>
      <c r="G242" s="44" t="s">
        <v>18</v>
      </c>
    </row>
    <row r="243" spans="1:7">
      <c r="A243" s="54">
        <v>44534</v>
      </c>
      <c r="B243" s="44" t="s">
        <v>18</v>
      </c>
      <c r="C243" s="44" t="s">
        <v>18</v>
      </c>
      <c r="D243" s="44" t="s">
        <v>18</v>
      </c>
      <c r="E243" s="44" t="s">
        <v>18</v>
      </c>
      <c r="F243" s="44" t="s">
        <v>18</v>
      </c>
      <c r="G243" s="44" t="s">
        <v>18</v>
      </c>
    </row>
    <row r="244" spans="1:7">
      <c r="A244" s="54">
        <v>44535</v>
      </c>
      <c r="B244" s="44" t="s">
        <v>18</v>
      </c>
      <c r="C244" s="44" t="s">
        <v>18</v>
      </c>
      <c r="D244" s="44" t="s">
        <v>18</v>
      </c>
      <c r="E244" s="44" t="s">
        <v>18</v>
      </c>
      <c r="F244" s="44" t="s">
        <v>18</v>
      </c>
      <c r="G244" s="44" t="s">
        <v>18</v>
      </c>
    </row>
    <row r="245" spans="1:7">
      <c r="A245" s="54">
        <v>44536</v>
      </c>
      <c r="B245" s="44" t="s">
        <v>18</v>
      </c>
      <c r="C245" s="44" t="s">
        <v>18</v>
      </c>
      <c r="D245" s="44" t="s">
        <v>18</v>
      </c>
      <c r="E245" s="44" t="s">
        <v>18</v>
      </c>
      <c r="F245" s="44" t="s">
        <v>18</v>
      </c>
      <c r="G245" s="44" t="s">
        <v>18</v>
      </c>
    </row>
    <row r="246" spans="1:7">
      <c r="A246" s="54">
        <v>44537</v>
      </c>
      <c r="B246" s="44" t="s">
        <v>18</v>
      </c>
      <c r="C246" s="44" t="s">
        <v>18</v>
      </c>
      <c r="D246" s="44" t="s">
        <v>18</v>
      </c>
      <c r="E246" s="44" t="s">
        <v>18</v>
      </c>
      <c r="F246" s="44" t="s">
        <v>18</v>
      </c>
      <c r="G246" s="44" t="s">
        <v>18</v>
      </c>
    </row>
    <row r="247" spans="1:7">
      <c r="A247" s="54">
        <v>44538</v>
      </c>
      <c r="B247" s="44" t="s">
        <v>18</v>
      </c>
      <c r="C247" s="44" t="s">
        <v>18</v>
      </c>
      <c r="D247" s="44" t="s">
        <v>18</v>
      </c>
      <c r="E247" s="44" t="s">
        <v>18</v>
      </c>
      <c r="F247" s="44" t="s">
        <v>18</v>
      </c>
      <c r="G247" s="44" t="s">
        <v>18</v>
      </c>
    </row>
    <row r="248" spans="1:7">
      <c r="A248" s="54">
        <v>44539</v>
      </c>
      <c r="B248" s="44" t="s">
        <v>18</v>
      </c>
      <c r="C248" s="44" t="s">
        <v>18</v>
      </c>
      <c r="D248" s="44" t="s">
        <v>18</v>
      </c>
      <c r="E248" s="44" t="s">
        <v>18</v>
      </c>
      <c r="F248" s="44" t="s">
        <v>18</v>
      </c>
      <c r="G248" s="44" t="s">
        <v>18</v>
      </c>
    </row>
    <row r="249" spans="1:7">
      <c r="A249" s="54">
        <v>44540</v>
      </c>
      <c r="B249" s="44" t="s">
        <v>18</v>
      </c>
      <c r="C249" s="44" t="s">
        <v>18</v>
      </c>
      <c r="D249" s="44" t="s">
        <v>18</v>
      </c>
      <c r="E249" s="44" t="s">
        <v>18</v>
      </c>
      <c r="F249" s="44" t="s">
        <v>18</v>
      </c>
      <c r="G249" s="44" t="s">
        <v>18</v>
      </c>
    </row>
    <row r="250" spans="1:7">
      <c r="A250" s="54">
        <v>44541</v>
      </c>
      <c r="B250" s="44" t="s">
        <v>18</v>
      </c>
      <c r="C250" s="44" t="s">
        <v>18</v>
      </c>
      <c r="D250" s="44" t="s">
        <v>18</v>
      </c>
      <c r="E250" s="44" t="s">
        <v>18</v>
      </c>
      <c r="F250" s="44" t="s">
        <v>18</v>
      </c>
      <c r="G250" s="44" t="s">
        <v>18</v>
      </c>
    </row>
    <row r="251" spans="1:7">
      <c r="A251" s="54">
        <v>44542</v>
      </c>
      <c r="B251" s="44" t="s">
        <v>18</v>
      </c>
      <c r="C251" s="44" t="s">
        <v>18</v>
      </c>
      <c r="D251" s="44" t="s">
        <v>18</v>
      </c>
      <c r="E251" s="44" t="s">
        <v>18</v>
      </c>
      <c r="F251" s="44" t="s">
        <v>18</v>
      </c>
      <c r="G251" s="44" t="s">
        <v>18</v>
      </c>
    </row>
    <row r="252" spans="1:7">
      <c r="A252" s="54">
        <v>44543</v>
      </c>
      <c r="B252" s="44" t="s">
        <v>18</v>
      </c>
      <c r="C252" s="44" t="s">
        <v>18</v>
      </c>
      <c r="D252" s="44" t="s">
        <v>18</v>
      </c>
      <c r="E252" s="44" t="s">
        <v>18</v>
      </c>
      <c r="F252" s="44" t="s">
        <v>18</v>
      </c>
      <c r="G252" s="44" t="s">
        <v>18</v>
      </c>
    </row>
    <row r="253" spans="1:7">
      <c r="A253" s="54">
        <v>44544</v>
      </c>
      <c r="B253" s="44" t="s">
        <v>18</v>
      </c>
      <c r="C253" s="44" t="s">
        <v>18</v>
      </c>
      <c r="D253" s="44" t="s">
        <v>18</v>
      </c>
      <c r="E253" s="44" t="s">
        <v>18</v>
      </c>
      <c r="F253" s="44" t="s">
        <v>18</v>
      </c>
      <c r="G253" s="44" t="s">
        <v>18</v>
      </c>
    </row>
    <row r="254" spans="1:7">
      <c r="A254" s="54">
        <v>44545</v>
      </c>
      <c r="B254" s="44" t="s">
        <v>18</v>
      </c>
      <c r="C254" s="44" t="s">
        <v>18</v>
      </c>
      <c r="D254" s="44" t="s">
        <v>18</v>
      </c>
      <c r="E254" s="44" t="s">
        <v>18</v>
      </c>
      <c r="F254" s="44" t="s">
        <v>18</v>
      </c>
      <c r="G254" s="44" t="s">
        <v>18</v>
      </c>
    </row>
    <row r="255" spans="1:7">
      <c r="A255" s="54">
        <v>44546</v>
      </c>
      <c r="B255" s="44" t="s">
        <v>18</v>
      </c>
      <c r="C255" s="44" t="s">
        <v>18</v>
      </c>
      <c r="D255" s="44" t="s">
        <v>18</v>
      </c>
      <c r="E255" s="44" t="s">
        <v>18</v>
      </c>
      <c r="F255" s="44" t="s">
        <v>18</v>
      </c>
      <c r="G255" s="44" t="s">
        <v>18</v>
      </c>
    </row>
    <row r="256" spans="1:7">
      <c r="A256" s="54">
        <v>44547</v>
      </c>
      <c r="B256" s="44" t="s">
        <v>18</v>
      </c>
      <c r="C256" s="44" t="s">
        <v>18</v>
      </c>
      <c r="D256" s="44" t="s">
        <v>18</v>
      </c>
      <c r="E256" s="44" t="s">
        <v>18</v>
      </c>
      <c r="F256" s="44" t="s">
        <v>18</v>
      </c>
      <c r="G256" s="44" t="s">
        <v>18</v>
      </c>
    </row>
    <row r="257" spans="1:7">
      <c r="A257" s="54">
        <v>44548</v>
      </c>
      <c r="B257" s="44" t="s">
        <v>18</v>
      </c>
      <c r="C257" s="44" t="s">
        <v>18</v>
      </c>
      <c r="D257" s="44" t="s">
        <v>18</v>
      </c>
      <c r="E257" s="44" t="s">
        <v>18</v>
      </c>
      <c r="F257" s="44" t="s">
        <v>18</v>
      </c>
      <c r="G257" s="44" t="s">
        <v>18</v>
      </c>
    </row>
    <row r="258" spans="1:7">
      <c r="A258" s="54">
        <v>44549</v>
      </c>
      <c r="B258" s="44" t="s">
        <v>18</v>
      </c>
      <c r="C258" s="44" t="s">
        <v>18</v>
      </c>
      <c r="D258" s="44" t="s">
        <v>18</v>
      </c>
      <c r="E258" s="44" t="s">
        <v>18</v>
      </c>
      <c r="F258" s="44" t="s">
        <v>18</v>
      </c>
      <c r="G258" s="44" t="s">
        <v>18</v>
      </c>
    </row>
    <row r="259" spans="1:7">
      <c r="A259" s="54">
        <v>44550</v>
      </c>
      <c r="B259" s="44" t="s">
        <v>18</v>
      </c>
      <c r="C259" s="44" t="s">
        <v>18</v>
      </c>
      <c r="D259" s="44" t="s">
        <v>18</v>
      </c>
      <c r="E259" s="44" t="s">
        <v>18</v>
      </c>
      <c r="F259" s="44" t="s">
        <v>18</v>
      </c>
      <c r="G259" s="44" t="s">
        <v>18</v>
      </c>
    </row>
    <row r="260" spans="1:7">
      <c r="A260" s="54">
        <v>44551</v>
      </c>
      <c r="B260" s="44" t="s">
        <v>18</v>
      </c>
      <c r="C260" s="44" t="s">
        <v>18</v>
      </c>
      <c r="D260" s="44" t="s">
        <v>18</v>
      </c>
      <c r="E260" s="44" t="s">
        <v>18</v>
      </c>
      <c r="F260" s="44" t="s">
        <v>18</v>
      </c>
      <c r="G260" s="44" t="s">
        <v>18</v>
      </c>
    </row>
    <row r="261" spans="1:7">
      <c r="A261" s="54">
        <v>44552</v>
      </c>
      <c r="B261" s="44" t="s">
        <v>18</v>
      </c>
      <c r="C261" s="44" t="s">
        <v>18</v>
      </c>
      <c r="D261" s="44" t="s">
        <v>18</v>
      </c>
      <c r="E261" s="44" t="s">
        <v>18</v>
      </c>
      <c r="F261" s="44" t="s">
        <v>18</v>
      </c>
      <c r="G261" s="44" t="s">
        <v>18</v>
      </c>
    </row>
    <row r="262" spans="1:7">
      <c r="A262" s="54">
        <v>44553</v>
      </c>
      <c r="B262" s="44" t="s">
        <v>18</v>
      </c>
      <c r="C262" s="44" t="s">
        <v>18</v>
      </c>
      <c r="D262" s="44" t="s">
        <v>18</v>
      </c>
      <c r="E262" s="44" t="s">
        <v>18</v>
      </c>
      <c r="F262" s="44" t="s">
        <v>18</v>
      </c>
      <c r="G262" s="44" t="s">
        <v>18</v>
      </c>
    </row>
    <row r="263" spans="1:7">
      <c r="A263" s="54">
        <v>44554</v>
      </c>
      <c r="B263" s="44" t="s">
        <v>18</v>
      </c>
      <c r="C263" s="44" t="s">
        <v>18</v>
      </c>
      <c r="D263" s="44" t="s">
        <v>18</v>
      </c>
      <c r="E263" s="44" t="s">
        <v>18</v>
      </c>
      <c r="F263" s="44" t="s">
        <v>18</v>
      </c>
      <c r="G263" s="44" t="s">
        <v>18</v>
      </c>
    </row>
    <row r="264" spans="1:7">
      <c r="A264" s="54">
        <v>44555</v>
      </c>
      <c r="B264" s="44" t="s">
        <v>18</v>
      </c>
      <c r="C264" s="44" t="s">
        <v>18</v>
      </c>
      <c r="D264" s="44" t="s">
        <v>18</v>
      </c>
      <c r="E264" s="44" t="s">
        <v>18</v>
      </c>
      <c r="F264" s="44" t="s">
        <v>18</v>
      </c>
      <c r="G264" s="44" t="s">
        <v>18</v>
      </c>
    </row>
    <row r="265" spans="1:7">
      <c r="A265" s="54">
        <v>44556</v>
      </c>
      <c r="B265" s="44" t="s">
        <v>18</v>
      </c>
      <c r="C265" s="44" t="s">
        <v>18</v>
      </c>
      <c r="D265" s="44" t="s">
        <v>18</v>
      </c>
      <c r="E265" s="44" t="s">
        <v>18</v>
      </c>
      <c r="F265" s="44" t="s">
        <v>18</v>
      </c>
      <c r="G265" s="44" t="s">
        <v>18</v>
      </c>
    </row>
    <row r="266" spans="1:7">
      <c r="A266" s="54">
        <v>44557</v>
      </c>
      <c r="B266" s="44" t="s">
        <v>18</v>
      </c>
      <c r="C266" s="44" t="s">
        <v>18</v>
      </c>
      <c r="D266" s="44" t="s">
        <v>18</v>
      </c>
      <c r="E266" s="44" t="s">
        <v>18</v>
      </c>
      <c r="F266" s="44" t="s">
        <v>18</v>
      </c>
      <c r="G266" s="44" t="s">
        <v>18</v>
      </c>
    </row>
    <row r="267" spans="1:7">
      <c r="A267" s="54">
        <v>44558</v>
      </c>
      <c r="B267" s="44" t="s">
        <v>18</v>
      </c>
      <c r="C267" s="44" t="s">
        <v>18</v>
      </c>
      <c r="D267" s="44" t="s">
        <v>18</v>
      </c>
      <c r="E267" s="44" t="s">
        <v>18</v>
      </c>
      <c r="F267" s="44" t="s">
        <v>18</v>
      </c>
      <c r="G267" s="44" t="s">
        <v>18</v>
      </c>
    </row>
    <row r="268" spans="1:7">
      <c r="A268" s="54">
        <v>44559</v>
      </c>
      <c r="B268" s="44" t="s">
        <v>18</v>
      </c>
      <c r="C268" s="44" t="s">
        <v>18</v>
      </c>
      <c r="D268" s="44" t="s">
        <v>18</v>
      </c>
      <c r="E268" s="44" t="s">
        <v>18</v>
      </c>
      <c r="F268" s="44" t="s">
        <v>18</v>
      </c>
      <c r="G268" s="44" t="s">
        <v>18</v>
      </c>
    </row>
    <row r="269" spans="1:7">
      <c r="A269" s="54">
        <v>44560</v>
      </c>
      <c r="B269" s="44" t="s">
        <v>18</v>
      </c>
      <c r="C269" s="44" t="s">
        <v>18</v>
      </c>
      <c r="D269" s="44" t="s">
        <v>18</v>
      </c>
      <c r="E269" s="44" t="s">
        <v>18</v>
      </c>
      <c r="F269" s="44" t="s">
        <v>18</v>
      </c>
      <c r="G269" s="44" t="s">
        <v>18</v>
      </c>
    </row>
    <row r="270" spans="1:7">
      <c r="A270" s="54">
        <v>44561</v>
      </c>
      <c r="B270" s="44" t="s">
        <v>18</v>
      </c>
      <c r="C270" s="44" t="s">
        <v>18</v>
      </c>
      <c r="D270" s="44" t="s">
        <v>18</v>
      </c>
      <c r="E270" s="44" t="s">
        <v>18</v>
      </c>
      <c r="F270" s="44" t="s">
        <v>18</v>
      </c>
      <c r="G270" s="44" t="s">
        <v>18</v>
      </c>
    </row>
    <row r="271" spans="1:7">
      <c r="A271" s="54">
        <v>44562</v>
      </c>
      <c r="B271" s="44" t="s">
        <v>18</v>
      </c>
      <c r="C271" s="44" t="s">
        <v>18</v>
      </c>
      <c r="D271" s="44" t="s">
        <v>18</v>
      </c>
      <c r="E271" s="44" t="s">
        <v>18</v>
      </c>
      <c r="F271" s="44" t="s">
        <v>18</v>
      </c>
      <c r="G271" s="44" t="s">
        <v>18</v>
      </c>
    </row>
    <row r="272" spans="1:7">
      <c r="A272" s="54">
        <v>44563</v>
      </c>
      <c r="B272" s="44" t="s">
        <v>18</v>
      </c>
      <c r="C272" s="44" t="s">
        <v>18</v>
      </c>
      <c r="D272" s="44" t="s">
        <v>18</v>
      </c>
      <c r="E272" s="44" t="s">
        <v>18</v>
      </c>
      <c r="F272" s="44" t="s">
        <v>18</v>
      </c>
      <c r="G272" s="44" t="s">
        <v>18</v>
      </c>
    </row>
    <row r="273" spans="1:7">
      <c r="A273" s="54">
        <v>44564</v>
      </c>
      <c r="B273" s="44" t="s">
        <v>18</v>
      </c>
      <c r="C273" s="44" t="s">
        <v>18</v>
      </c>
      <c r="D273" s="44" t="s">
        <v>18</v>
      </c>
      <c r="E273" s="44" t="s">
        <v>18</v>
      </c>
      <c r="F273" s="44" t="s">
        <v>18</v>
      </c>
      <c r="G273" s="44" t="s">
        <v>18</v>
      </c>
    </row>
    <row r="274" spans="1:7">
      <c r="A274" s="54">
        <v>44565</v>
      </c>
      <c r="B274" s="44" t="s">
        <v>18</v>
      </c>
      <c r="C274" s="44" t="s">
        <v>18</v>
      </c>
      <c r="D274" s="44" t="s">
        <v>18</v>
      </c>
      <c r="E274" s="44" t="s">
        <v>18</v>
      </c>
      <c r="F274" s="44" t="s">
        <v>18</v>
      </c>
      <c r="G274" s="44" t="s">
        <v>18</v>
      </c>
    </row>
    <row r="275" spans="1:7">
      <c r="A275" s="54">
        <v>44566</v>
      </c>
      <c r="B275" s="44" t="s">
        <v>18</v>
      </c>
      <c r="C275" s="44" t="s">
        <v>18</v>
      </c>
      <c r="D275" s="44" t="s">
        <v>18</v>
      </c>
      <c r="E275" s="44" t="s">
        <v>18</v>
      </c>
      <c r="F275" s="44" t="s">
        <v>18</v>
      </c>
      <c r="G275" s="44" t="s">
        <v>18</v>
      </c>
    </row>
    <row r="276" spans="1:7">
      <c r="A276" s="54">
        <v>44567</v>
      </c>
      <c r="B276" s="44" t="s">
        <v>18</v>
      </c>
      <c r="C276" s="44" t="s">
        <v>18</v>
      </c>
      <c r="D276" s="44" t="s">
        <v>18</v>
      </c>
      <c r="E276" s="44" t="s">
        <v>18</v>
      </c>
      <c r="F276" s="44" t="s">
        <v>18</v>
      </c>
      <c r="G276" s="44" t="s">
        <v>18</v>
      </c>
    </row>
    <row r="277" spans="1:7">
      <c r="A277" s="54">
        <v>44568</v>
      </c>
      <c r="B277" s="44" t="s">
        <v>18</v>
      </c>
      <c r="C277" s="44" t="s">
        <v>18</v>
      </c>
      <c r="D277" s="44" t="s">
        <v>18</v>
      </c>
      <c r="E277" s="44" t="s">
        <v>18</v>
      </c>
      <c r="F277" s="44" t="s">
        <v>18</v>
      </c>
      <c r="G277" s="44" t="s">
        <v>18</v>
      </c>
    </row>
    <row r="278" spans="1:7">
      <c r="A278" s="54">
        <v>44569</v>
      </c>
      <c r="B278" s="44" t="s">
        <v>18</v>
      </c>
      <c r="C278" s="44" t="s">
        <v>18</v>
      </c>
      <c r="D278" s="44" t="s">
        <v>18</v>
      </c>
      <c r="E278" s="44" t="s">
        <v>18</v>
      </c>
      <c r="F278" s="44" t="s">
        <v>18</v>
      </c>
      <c r="G278" s="44" t="s">
        <v>18</v>
      </c>
    </row>
    <row r="279" spans="1:7">
      <c r="A279" s="54">
        <v>44570</v>
      </c>
      <c r="B279" s="44" t="s">
        <v>18</v>
      </c>
      <c r="C279" s="44" t="s">
        <v>18</v>
      </c>
      <c r="D279" s="44" t="s">
        <v>18</v>
      </c>
      <c r="E279" s="44" t="s">
        <v>18</v>
      </c>
      <c r="F279" s="44" t="s">
        <v>18</v>
      </c>
      <c r="G279" s="44" t="s">
        <v>18</v>
      </c>
    </row>
    <row r="280" spans="1:7">
      <c r="A280" s="54">
        <v>44571</v>
      </c>
      <c r="B280" s="44" t="s">
        <v>18</v>
      </c>
      <c r="C280" s="44" t="s">
        <v>18</v>
      </c>
      <c r="D280" s="44" t="s">
        <v>18</v>
      </c>
      <c r="E280" s="44" t="s">
        <v>18</v>
      </c>
      <c r="F280" s="44" t="s">
        <v>18</v>
      </c>
      <c r="G280" s="44" t="s">
        <v>18</v>
      </c>
    </row>
    <row r="281" spans="1:7">
      <c r="A281" s="54">
        <v>44572</v>
      </c>
      <c r="B281" s="44" t="s">
        <v>18</v>
      </c>
      <c r="C281" s="44" t="s">
        <v>18</v>
      </c>
      <c r="D281" s="44" t="s">
        <v>18</v>
      </c>
      <c r="E281" s="44" t="s">
        <v>18</v>
      </c>
      <c r="F281" s="44" t="s">
        <v>18</v>
      </c>
      <c r="G281" s="44" t="s">
        <v>18</v>
      </c>
    </row>
    <row r="282" spans="1:7">
      <c r="A282" s="54">
        <v>44573</v>
      </c>
      <c r="B282" s="44" t="s">
        <v>18</v>
      </c>
      <c r="C282" s="44" t="s">
        <v>18</v>
      </c>
      <c r="D282" s="44" t="s">
        <v>18</v>
      </c>
      <c r="E282" s="44" t="s">
        <v>18</v>
      </c>
      <c r="F282" s="44" t="s">
        <v>18</v>
      </c>
      <c r="G282" s="44" t="s">
        <v>18</v>
      </c>
    </row>
    <row r="283" spans="1:7">
      <c r="A283" s="54">
        <v>44574</v>
      </c>
      <c r="B283" s="44" t="s">
        <v>18</v>
      </c>
      <c r="C283" s="44" t="s">
        <v>18</v>
      </c>
      <c r="D283" s="44" t="s">
        <v>18</v>
      </c>
      <c r="E283" s="44" t="s">
        <v>18</v>
      </c>
      <c r="F283" s="44" t="s">
        <v>18</v>
      </c>
      <c r="G283" s="44" t="s">
        <v>18</v>
      </c>
    </row>
    <row r="284" spans="1:7">
      <c r="A284" s="54">
        <v>44575</v>
      </c>
      <c r="B284" s="44" t="s">
        <v>18</v>
      </c>
      <c r="C284" s="44" t="s">
        <v>18</v>
      </c>
      <c r="D284" s="44" t="s">
        <v>18</v>
      </c>
      <c r="E284" s="44" t="s">
        <v>18</v>
      </c>
      <c r="F284" s="44" t="s">
        <v>18</v>
      </c>
      <c r="G284" s="44" t="s">
        <v>18</v>
      </c>
    </row>
    <row r="285" spans="1:7">
      <c r="A285" s="54">
        <v>44576</v>
      </c>
      <c r="B285" s="44" t="s">
        <v>18</v>
      </c>
      <c r="C285" s="44" t="s">
        <v>18</v>
      </c>
      <c r="D285" s="44" t="s">
        <v>18</v>
      </c>
      <c r="E285" s="44" t="s">
        <v>18</v>
      </c>
      <c r="F285" s="44" t="s">
        <v>18</v>
      </c>
      <c r="G285" s="44" t="s">
        <v>18</v>
      </c>
    </row>
    <row r="286" spans="1:7">
      <c r="A286" s="54">
        <v>44577</v>
      </c>
      <c r="B286" s="44" t="s">
        <v>18</v>
      </c>
      <c r="C286" s="44" t="s">
        <v>18</v>
      </c>
      <c r="D286" s="44" t="s">
        <v>18</v>
      </c>
      <c r="E286" s="44" t="s">
        <v>18</v>
      </c>
      <c r="F286" s="44" t="s">
        <v>18</v>
      </c>
      <c r="G286" s="44" t="s">
        <v>18</v>
      </c>
    </row>
    <row r="287" spans="1:7">
      <c r="A287" s="54">
        <v>44578</v>
      </c>
      <c r="B287" s="44" t="s">
        <v>18</v>
      </c>
      <c r="C287" s="44" t="s">
        <v>18</v>
      </c>
      <c r="D287" s="44" t="s">
        <v>18</v>
      </c>
      <c r="E287" s="44" t="s">
        <v>18</v>
      </c>
      <c r="F287" s="44" t="s">
        <v>18</v>
      </c>
      <c r="G287" s="44" t="s">
        <v>18</v>
      </c>
    </row>
    <row r="288" spans="1:7">
      <c r="A288" s="54">
        <v>44579</v>
      </c>
      <c r="B288" s="44" t="s">
        <v>18</v>
      </c>
      <c r="C288" s="44" t="s">
        <v>18</v>
      </c>
      <c r="D288" s="44" t="s">
        <v>18</v>
      </c>
      <c r="E288" s="44" t="s">
        <v>18</v>
      </c>
      <c r="F288" s="44" t="s">
        <v>18</v>
      </c>
      <c r="G288" s="44" t="s">
        <v>18</v>
      </c>
    </row>
    <row r="289" spans="1:7">
      <c r="A289" s="54">
        <v>44580</v>
      </c>
      <c r="B289" s="44" t="s">
        <v>18</v>
      </c>
      <c r="C289" s="44" t="s">
        <v>18</v>
      </c>
      <c r="D289" s="44" t="s">
        <v>18</v>
      </c>
      <c r="E289" s="44" t="s">
        <v>18</v>
      </c>
      <c r="F289" s="44" t="s">
        <v>18</v>
      </c>
      <c r="G289" s="44" t="s">
        <v>18</v>
      </c>
    </row>
    <row r="290" spans="1:7">
      <c r="A290" s="54">
        <v>44581</v>
      </c>
      <c r="B290" s="44" t="s">
        <v>18</v>
      </c>
      <c r="C290" s="44" t="s">
        <v>18</v>
      </c>
      <c r="D290" s="44" t="s">
        <v>18</v>
      </c>
      <c r="E290" s="44" t="s">
        <v>18</v>
      </c>
      <c r="F290" s="44" t="s">
        <v>18</v>
      </c>
      <c r="G290" s="44" t="s">
        <v>18</v>
      </c>
    </row>
    <row r="291" spans="1:7">
      <c r="A291" s="54">
        <v>44582</v>
      </c>
      <c r="B291" s="44" t="s">
        <v>18</v>
      </c>
      <c r="C291" s="44" t="s">
        <v>18</v>
      </c>
      <c r="D291" s="44" t="s">
        <v>18</v>
      </c>
      <c r="E291" s="44" t="s">
        <v>18</v>
      </c>
      <c r="F291" s="44" t="s">
        <v>18</v>
      </c>
      <c r="G291" s="44" t="s">
        <v>18</v>
      </c>
    </row>
    <row r="292" spans="1:7">
      <c r="A292" s="54">
        <v>44583</v>
      </c>
      <c r="B292" s="44" t="s">
        <v>18</v>
      </c>
      <c r="C292" s="44" t="s">
        <v>18</v>
      </c>
      <c r="D292" s="44" t="s">
        <v>18</v>
      </c>
      <c r="E292" s="44" t="s">
        <v>18</v>
      </c>
      <c r="F292" s="44" t="s">
        <v>18</v>
      </c>
      <c r="G292" s="44" t="s">
        <v>18</v>
      </c>
    </row>
    <row r="293" spans="1:7">
      <c r="A293" s="54">
        <v>44584</v>
      </c>
      <c r="B293" s="44" t="s">
        <v>18</v>
      </c>
      <c r="C293" s="44" t="s">
        <v>18</v>
      </c>
      <c r="D293" s="44" t="s">
        <v>18</v>
      </c>
      <c r="E293" s="44" t="s">
        <v>18</v>
      </c>
      <c r="F293" s="44" t="s">
        <v>18</v>
      </c>
      <c r="G293" s="44" t="s">
        <v>18</v>
      </c>
    </row>
    <row r="294" spans="1:7">
      <c r="A294" s="54">
        <v>44585</v>
      </c>
      <c r="B294" s="44" t="s">
        <v>18</v>
      </c>
      <c r="C294" s="44" t="s">
        <v>18</v>
      </c>
      <c r="D294" s="44" t="s">
        <v>18</v>
      </c>
      <c r="E294" s="44" t="s">
        <v>18</v>
      </c>
      <c r="F294" s="44" t="s">
        <v>18</v>
      </c>
      <c r="G294" s="44" t="s">
        <v>18</v>
      </c>
    </row>
    <row r="295" spans="1:7">
      <c r="A295" s="54">
        <v>44586</v>
      </c>
      <c r="B295" s="44" t="s">
        <v>18</v>
      </c>
      <c r="C295" s="44" t="s">
        <v>18</v>
      </c>
      <c r="D295" s="44" t="s">
        <v>18</v>
      </c>
      <c r="E295" s="44" t="s">
        <v>18</v>
      </c>
      <c r="F295" s="44" t="s">
        <v>18</v>
      </c>
      <c r="G295" s="44" t="s">
        <v>18</v>
      </c>
    </row>
    <row r="296" spans="1:7">
      <c r="A296" s="54">
        <v>44587</v>
      </c>
      <c r="B296" s="44" t="s">
        <v>18</v>
      </c>
      <c r="C296" s="44" t="s">
        <v>18</v>
      </c>
      <c r="D296" s="44" t="s">
        <v>18</v>
      </c>
      <c r="E296" s="44" t="s">
        <v>18</v>
      </c>
      <c r="F296" s="44" t="s">
        <v>18</v>
      </c>
      <c r="G296" s="44" t="s">
        <v>18</v>
      </c>
    </row>
    <row r="297" spans="1:7">
      <c r="A297" s="54">
        <v>44588</v>
      </c>
      <c r="B297" s="44" t="s">
        <v>18</v>
      </c>
      <c r="C297" s="44" t="s">
        <v>18</v>
      </c>
      <c r="D297" s="44" t="s">
        <v>18</v>
      </c>
      <c r="E297" s="44" t="s">
        <v>18</v>
      </c>
      <c r="F297" s="44" t="s">
        <v>18</v>
      </c>
      <c r="G297" s="44" t="s">
        <v>18</v>
      </c>
    </row>
    <row r="298" spans="1:7">
      <c r="A298" s="54">
        <v>44589</v>
      </c>
      <c r="B298" s="44" t="s">
        <v>18</v>
      </c>
      <c r="C298" s="44" t="s">
        <v>18</v>
      </c>
      <c r="D298" s="44" t="s">
        <v>18</v>
      </c>
      <c r="E298" s="44" t="s">
        <v>18</v>
      </c>
      <c r="F298" s="44" t="s">
        <v>18</v>
      </c>
      <c r="G298" s="44" t="s">
        <v>18</v>
      </c>
    </row>
    <row r="299" spans="1:7">
      <c r="A299" s="54">
        <v>44590</v>
      </c>
      <c r="B299" s="44" t="s">
        <v>18</v>
      </c>
      <c r="C299" s="44" t="s">
        <v>18</v>
      </c>
      <c r="D299" s="44" t="s">
        <v>18</v>
      </c>
      <c r="E299" s="44" t="s">
        <v>18</v>
      </c>
      <c r="F299" s="44" t="s">
        <v>18</v>
      </c>
      <c r="G299" s="44" t="s">
        <v>18</v>
      </c>
    </row>
    <row r="300" spans="1:7">
      <c r="A300" s="54">
        <v>44591</v>
      </c>
      <c r="B300" s="44" t="s">
        <v>18</v>
      </c>
      <c r="C300" s="44" t="s">
        <v>18</v>
      </c>
      <c r="D300" s="44" t="s">
        <v>18</v>
      </c>
      <c r="E300" s="44" t="s">
        <v>18</v>
      </c>
      <c r="F300" s="44" t="s">
        <v>18</v>
      </c>
      <c r="G300" s="44" t="s">
        <v>18</v>
      </c>
    </row>
    <row r="301" spans="1:7">
      <c r="A301" s="54">
        <v>44592</v>
      </c>
      <c r="B301" s="44" t="s">
        <v>18</v>
      </c>
      <c r="C301" s="44" t="s">
        <v>18</v>
      </c>
      <c r="D301" s="44" t="s">
        <v>18</v>
      </c>
      <c r="E301" s="44" t="s">
        <v>18</v>
      </c>
      <c r="F301" s="44" t="s">
        <v>18</v>
      </c>
      <c r="G301" s="44" t="s">
        <v>18</v>
      </c>
    </row>
    <row r="302" spans="1:7">
      <c r="A302" s="54">
        <v>44593</v>
      </c>
      <c r="B302" s="44" t="s">
        <v>18</v>
      </c>
      <c r="C302" s="44" t="s">
        <v>18</v>
      </c>
      <c r="D302" s="44" t="s">
        <v>18</v>
      </c>
      <c r="E302" s="44" t="s">
        <v>18</v>
      </c>
      <c r="F302" s="44" t="s">
        <v>18</v>
      </c>
      <c r="G302" s="44" t="s">
        <v>18</v>
      </c>
    </row>
    <row r="303" spans="1:7">
      <c r="A303" s="54">
        <v>44594</v>
      </c>
      <c r="B303" s="44" t="s">
        <v>18</v>
      </c>
      <c r="C303" s="44" t="s">
        <v>18</v>
      </c>
      <c r="D303" s="44" t="s">
        <v>18</v>
      </c>
      <c r="E303" s="44" t="s">
        <v>18</v>
      </c>
      <c r="F303" s="44" t="s">
        <v>18</v>
      </c>
      <c r="G303" s="44" t="s">
        <v>18</v>
      </c>
    </row>
    <row r="304" spans="1:7">
      <c r="A304" s="54">
        <v>44595</v>
      </c>
      <c r="B304" s="44" t="s">
        <v>18</v>
      </c>
      <c r="C304" s="44" t="s">
        <v>18</v>
      </c>
      <c r="D304" s="44" t="s">
        <v>18</v>
      </c>
      <c r="E304" s="44" t="s">
        <v>18</v>
      </c>
      <c r="F304" s="44" t="s">
        <v>18</v>
      </c>
      <c r="G304" s="44" t="s">
        <v>18</v>
      </c>
    </row>
    <row r="305" spans="1:7">
      <c r="A305" s="54">
        <v>44596</v>
      </c>
      <c r="B305" s="44" t="s">
        <v>18</v>
      </c>
      <c r="C305" s="44" t="s">
        <v>18</v>
      </c>
      <c r="D305" s="44" t="s">
        <v>18</v>
      </c>
      <c r="E305" s="44" t="s">
        <v>18</v>
      </c>
      <c r="F305" s="44" t="s">
        <v>18</v>
      </c>
      <c r="G305" s="44" t="s">
        <v>18</v>
      </c>
    </row>
    <row r="306" spans="1:7">
      <c r="A306" s="54">
        <v>44597</v>
      </c>
      <c r="B306" s="44" t="s">
        <v>18</v>
      </c>
      <c r="C306" s="44" t="s">
        <v>18</v>
      </c>
      <c r="D306" s="44" t="s">
        <v>18</v>
      </c>
      <c r="E306" s="44" t="s">
        <v>18</v>
      </c>
      <c r="F306" s="44" t="s">
        <v>18</v>
      </c>
      <c r="G306" s="44" t="s">
        <v>18</v>
      </c>
    </row>
    <row r="307" spans="1:7">
      <c r="A307" s="54">
        <v>44598</v>
      </c>
      <c r="B307" s="44" t="s">
        <v>18</v>
      </c>
      <c r="C307" s="44" t="s">
        <v>18</v>
      </c>
      <c r="D307" s="44" t="s">
        <v>18</v>
      </c>
      <c r="E307" s="44" t="s">
        <v>18</v>
      </c>
      <c r="F307" s="44" t="s">
        <v>18</v>
      </c>
      <c r="G307" s="44" t="s">
        <v>18</v>
      </c>
    </row>
    <row r="308" spans="1:7">
      <c r="A308" s="54">
        <v>44599</v>
      </c>
      <c r="B308" s="44" t="s">
        <v>18</v>
      </c>
      <c r="C308" s="44" t="s">
        <v>18</v>
      </c>
      <c r="D308" s="44" t="s">
        <v>18</v>
      </c>
      <c r="E308" s="44" t="s">
        <v>18</v>
      </c>
      <c r="F308" s="44" t="s">
        <v>18</v>
      </c>
      <c r="G308" s="44" t="s">
        <v>18</v>
      </c>
    </row>
    <row r="309" spans="1:7">
      <c r="A309" s="54">
        <v>44600</v>
      </c>
      <c r="B309" s="44" t="s">
        <v>18</v>
      </c>
      <c r="C309" s="44" t="s">
        <v>18</v>
      </c>
      <c r="D309" s="44" t="s">
        <v>18</v>
      </c>
      <c r="E309" s="44" t="s">
        <v>18</v>
      </c>
      <c r="F309" s="44" t="s">
        <v>18</v>
      </c>
      <c r="G309" s="44" t="s">
        <v>18</v>
      </c>
    </row>
    <row r="310" spans="1:7">
      <c r="A310" s="54">
        <v>44601</v>
      </c>
      <c r="B310" s="44" t="s">
        <v>18</v>
      </c>
      <c r="C310" s="44" t="s">
        <v>18</v>
      </c>
      <c r="D310" s="44" t="s">
        <v>18</v>
      </c>
      <c r="E310" s="44" t="s">
        <v>18</v>
      </c>
      <c r="F310" s="44" t="s">
        <v>18</v>
      </c>
      <c r="G310" s="44" t="s">
        <v>18</v>
      </c>
    </row>
    <row r="311" spans="1:7">
      <c r="A311" s="54">
        <v>44602</v>
      </c>
      <c r="B311" s="44" t="s">
        <v>18</v>
      </c>
      <c r="C311" s="44" t="s">
        <v>18</v>
      </c>
      <c r="D311" s="44" t="s">
        <v>18</v>
      </c>
      <c r="E311" s="44" t="s">
        <v>18</v>
      </c>
      <c r="F311" s="44" t="s">
        <v>18</v>
      </c>
      <c r="G311" s="44" t="s">
        <v>18</v>
      </c>
    </row>
    <row r="312" spans="1:7">
      <c r="A312" s="54">
        <v>44603</v>
      </c>
      <c r="B312" s="44" t="s">
        <v>18</v>
      </c>
      <c r="C312" s="44" t="s">
        <v>18</v>
      </c>
      <c r="D312" s="44" t="s">
        <v>18</v>
      </c>
      <c r="E312" s="44" t="s">
        <v>18</v>
      </c>
      <c r="F312" s="44" t="s">
        <v>18</v>
      </c>
      <c r="G312" s="44" t="s">
        <v>18</v>
      </c>
    </row>
    <row r="313" spans="1:7">
      <c r="A313" s="54">
        <v>44604</v>
      </c>
      <c r="B313" s="44" t="s">
        <v>18</v>
      </c>
      <c r="C313" s="44" t="s">
        <v>18</v>
      </c>
      <c r="D313" s="44" t="s">
        <v>18</v>
      </c>
      <c r="E313" s="44" t="s">
        <v>18</v>
      </c>
      <c r="F313" s="44" t="s">
        <v>18</v>
      </c>
      <c r="G313" s="44" t="s">
        <v>18</v>
      </c>
    </row>
    <row r="314" spans="1:7">
      <c r="A314" s="54">
        <v>44605</v>
      </c>
      <c r="B314" s="44" t="s">
        <v>18</v>
      </c>
      <c r="C314" s="44" t="s">
        <v>18</v>
      </c>
      <c r="D314" s="44" t="s">
        <v>18</v>
      </c>
      <c r="E314" s="44" t="s">
        <v>18</v>
      </c>
      <c r="F314" s="44" t="s">
        <v>18</v>
      </c>
      <c r="G314" s="44" t="s">
        <v>18</v>
      </c>
    </row>
    <row r="315" spans="1:7">
      <c r="A315" s="54">
        <v>44606</v>
      </c>
      <c r="B315" s="44" t="s">
        <v>18</v>
      </c>
      <c r="C315" s="44" t="s">
        <v>18</v>
      </c>
      <c r="D315" s="44" t="s">
        <v>18</v>
      </c>
      <c r="E315" s="44" t="s">
        <v>18</v>
      </c>
      <c r="F315" s="44" t="s">
        <v>18</v>
      </c>
      <c r="G315" s="44" t="s">
        <v>18</v>
      </c>
    </row>
    <row r="316" spans="1:7">
      <c r="A316" s="54">
        <v>44607</v>
      </c>
      <c r="B316" s="44" t="s">
        <v>18</v>
      </c>
      <c r="C316" s="44" t="s">
        <v>18</v>
      </c>
      <c r="D316" s="44" t="s">
        <v>18</v>
      </c>
      <c r="E316" s="44" t="s">
        <v>18</v>
      </c>
      <c r="F316" s="44" t="s">
        <v>18</v>
      </c>
      <c r="G316" s="44" t="s">
        <v>18</v>
      </c>
    </row>
    <row r="317" spans="1:7">
      <c r="A317" s="54">
        <v>44608</v>
      </c>
      <c r="B317" s="44" t="s">
        <v>18</v>
      </c>
      <c r="C317" s="44" t="s">
        <v>18</v>
      </c>
      <c r="D317" s="44" t="s">
        <v>18</v>
      </c>
      <c r="E317" s="44" t="s">
        <v>18</v>
      </c>
      <c r="F317" s="44" t="s">
        <v>18</v>
      </c>
      <c r="G317" s="44" t="s">
        <v>18</v>
      </c>
    </row>
    <row r="318" spans="1:7">
      <c r="A318" s="54">
        <v>44609</v>
      </c>
      <c r="B318" s="44" t="s">
        <v>18</v>
      </c>
      <c r="C318" s="44" t="s">
        <v>18</v>
      </c>
      <c r="D318" s="44" t="s">
        <v>18</v>
      </c>
      <c r="E318" s="44" t="s">
        <v>18</v>
      </c>
      <c r="F318" s="44" t="s">
        <v>18</v>
      </c>
      <c r="G318" s="44" t="s">
        <v>18</v>
      </c>
    </row>
    <row r="319" spans="1:7">
      <c r="A319" s="54">
        <v>44610</v>
      </c>
      <c r="B319" s="44" t="s">
        <v>18</v>
      </c>
      <c r="C319" s="44" t="s">
        <v>18</v>
      </c>
      <c r="D319" s="44" t="s">
        <v>18</v>
      </c>
      <c r="E319" s="44" t="s">
        <v>18</v>
      </c>
      <c r="F319" s="44" t="s">
        <v>18</v>
      </c>
      <c r="G319" s="44" t="s">
        <v>18</v>
      </c>
    </row>
    <row r="320" spans="1:7">
      <c r="A320" s="54">
        <v>44611</v>
      </c>
      <c r="B320" s="44" t="s">
        <v>18</v>
      </c>
      <c r="C320" s="44" t="s">
        <v>18</v>
      </c>
      <c r="D320" s="44" t="s">
        <v>18</v>
      </c>
      <c r="E320" s="44" t="s">
        <v>18</v>
      </c>
      <c r="F320" s="44" t="s">
        <v>18</v>
      </c>
      <c r="G320" s="44" t="s">
        <v>18</v>
      </c>
    </row>
    <row r="321" spans="1:7">
      <c r="A321" s="54">
        <v>44612</v>
      </c>
      <c r="B321" s="44" t="s">
        <v>18</v>
      </c>
      <c r="C321" s="44" t="s">
        <v>18</v>
      </c>
      <c r="D321" s="44" t="s">
        <v>18</v>
      </c>
      <c r="E321" s="44" t="s">
        <v>18</v>
      </c>
      <c r="F321" s="44" t="s">
        <v>18</v>
      </c>
      <c r="G321" s="44" t="s">
        <v>18</v>
      </c>
    </row>
    <row r="322" spans="1:7">
      <c r="A322" s="54">
        <v>44613</v>
      </c>
      <c r="B322" s="44" t="s">
        <v>18</v>
      </c>
      <c r="C322" s="44" t="s">
        <v>18</v>
      </c>
      <c r="D322" s="44" t="s">
        <v>18</v>
      </c>
      <c r="E322" s="44" t="s">
        <v>18</v>
      </c>
      <c r="F322" s="44" t="s">
        <v>18</v>
      </c>
      <c r="G322" s="44" t="s">
        <v>18</v>
      </c>
    </row>
    <row r="323" spans="1:7">
      <c r="A323" s="54">
        <v>44614</v>
      </c>
      <c r="B323" s="44" t="s">
        <v>18</v>
      </c>
      <c r="C323" s="44" t="s">
        <v>18</v>
      </c>
      <c r="D323" s="44" t="s">
        <v>18</v>
      </c>
      <c r="E323" s="44" t="s">
        <v>18</v>
      </c>
      <c r="F323" s="44" t="s">
        <v>18</v>
      </c>
      <c r="G323" s="44" t="s">
        <v>18</v>
      </c>
    </row>
    <row r="324" spans="1:7">
      <c r="A324" s="54">
        <v>44615</v>
      </c>
      <c r="B324" s="44" t="s">
        <v>18</v>
      </c>
      <c r="C324" s="44" t="s">
        <v>18</v>
      </c>
      <c r="D324" s="44" t="s">
        <v>18</v>
      </c>
      <c r="E324" s="44" t="s">
        <v>18</v>
      </c>
      <c r="F324" s="44" t="s">
        <v>18</v>
      </c>
      <c r="G324" s="44" t="s">
        <v>18</v>
      </c>
    </row>
    <row r="325" spans="1:7">
      <c r="A325" s="54">
        <v>44616</v>
      </c>
      <c r="B325" s="44">
        <v>970.79</v>
      </c>
    </row>
    <row r="326" spans="1:7">
      <c r="A326" s="54">
        <v>45181</v>
      </c>
      <c r="B326" s="44">
        <v>232.92</v>
      </c>
      <c r="C326" s="45">
        <v>1294</v>
      </c>
      <c r="D326" s="43">
        <v>1</v>
      </c>
      <c r="E326" s="43">
        <v>34</v>
      </c>
      <c r="F326" s="43">
        <v>180</v>
      </c>
      <c r="G326" s="43">
        <v>2812</v>
      </c>
    </row>
    <row r="327" spans="1:7">
      <c r="A327" s="54">
        <v>45189</v>
      </c>
      <c r="B327" s="44">
        <v>221.94</v>
      </c>
      <c r="C327" s="45">
        <v>1233</v>
      </c>
      <c r="D327" s="43">
        <v>0</v>
      </c>
      <c r="E327" s="43">
        <v>30</v>
      </c>
      <c r="F327" s="43">
        <v>180</v>
      </c>
      <c r="G327" s="46">
        <v>2497</v>
      </c>
    </row>
    <row r="328" spans="1:7">
      <c r="A328" s="54">
        <v>45190</v>
      </c>
      <c r="B328" s="44">
        <v>498.96</v>
      </c>
      <c r="C328" s="45">
        <v>2772</v>
      </c>
      <c r="D328" s="43">
        <v>13</v>
      </c>
      <c r="E328" s="43">
        <v>29</v>
      </c>
      <c r="F328" s="43">
        <v>180</v>
      </c>
      <c r="G328" s="46">
        <v>6886</v>
      </c>
    </row>
    <row r="329" spans="1:7">
      <c r="A329" s="54">
        <v>45223</v>
      </c>
      <c r="B329" s="44">
        <v>493</v>
      </c>
      <c r="C329" s="45">
        <v>2741</v>
      </c>
      <c r="D329" s="43">
        <v>1</v>
      </c>
      <c r="E329" s="43">
        <v>29</v>
      </c>
      <c r="F329" s="43">
        <v>180</v>
      </c>
      <c r="G329" s="46">
        <v>1380</v>
      </c>
    </row>
    <row r="330" spans="1:7">
      <c r="A330" s="54">
        <v>45224</v>
      </c>
      <c r="B330" s="44">
        <v>500</v>
      </c>
      <c r="C330" s="45">
        <v>2778</v>
      </c>
      <c r="D330" s="43">
        <v>2</v>
      </c>
      <c r="E330" s="43">
        <v>27</v>
      </c>
      <c r="F330" s="43">
        <v>179.99</v>
      </c>
      <c r="G330" s="46">
        <v>806</v>
      </c>
    </row>
    <row r="331" spans="1:7">
      <c r="A331" s="54">
        <v>45229</v>
      </c>
      <c r="B331" s="44">
        <v>293.76</v>
      </c>
      <c r="C331" s="45">
        <v>1632</v>
      </c>
      <c r="D331" s="43">
        <v>2</v>
      </c>
      <c r="E331" s="43">
        <v>27</v>
      </c>
      <c r="F331" s="43">
        <v>180</v>
      </c>
      <c r="G331" s="46">
        <v>683</v>
      </c>
    </row>
    <row r="332" spans="1:7">
      <c r="A332" s="54">
        <v>45231</v>
      </c>
      <c r="B332" s="44">
        <v>449.5</v>
      </c>
      <c r="C332" s="43">
        <v>2775</v>
      </c>
      <c r="D332" s="43">
        <v>1</v>
      </c>
      <c r="E332" s="43">
        <v>26</v>
      </c>
      <c r="F332" s="43">
        <v>180</v>
      </c>
      <c r="G332" s="46">
        <v>636</v>
      </c>
    </row>
    <row r="333" spans="1:7">
      <c r="A333" s="54">
        <v>45239</v>
      </c>
      <c r="B333" s="44">
        <v>499.5</v>
      </c>
      <c r="C333" s="45">
        <v>2775</v>
      </c>
      <c r="D333" s="43">
        <v>5</v>
      </c>
      <c r="E333" s="43">
        <v>25</v>
      </c>
      <c r="F333" s="43">
        <v>180</v>
      </c>
      <c r="G333" s="46">
        <v>605</v>
      </c>
    </row>
    <row r="334" spans="1:7">
      <c r="A334" s="54">
        <v>45241</v>
      </c>
      <c r="B334" s="55">
        <v>499.68</v>
      </c>
      <c r="C334" s="56">
        <v>2776</v>
      </c>
      <c r="D334" s="43">
        <v>0</v>
      </c>
      <c r="E334" s="43">
        <v>25</v>
      </c>
      <c r="F334" s="43">
        <v>180</v>
      </c>
      <c r="G334" s="46">
        <v>668</v>
      </c>
    </row>
    <row r="335" spans="1:7">
      <c r="A335" s="54">
        <v>45272</v>
      </c>
      <c r="B335" s="44">
        <v>497.7</v>
      </c>
      <c r="C335" s="45">
        <v>2765</v>
      </c>
      <c r="D335" s="43">
        <v>0</v>
      </c>
      <c r="E335" s="43">
        <v>26</v>
      </c>
      <c r="F335" s="43">
        <v>180</v>
      </c>
      <c r="G335" s="46">
        <v>1197</v>
      </c>
    </row>
    <row r="336" spans="1:7">
      <c r="A336" s="54">
        <v>45273</v>
      </c>
    </row>
    <row r="337" spans="1:1">
      <c r="A337" s="54">
        <v>45274</v>
      </c>
    </row>
    <row r="338" spans="1:1">
      <c r="A338" s="54">
        <v>45275</v>
      </c>
    </row>
    <row r="339" spans="1:1">
      <c r="A339" s="54">
        <v>45276</v>
      </c>
    </row>
    <row r="340" spans="1:1">
      <c r="A340" s="54">
        <v>45277</v>
      </c>
    </row>
    <row r="341" spans="1:1">
      <c r="A341" s="54">
        <v>45278</v>
      </c>
    </row>
    <row r="342" spans="1:1">
      <c r="A342" s="54">
        <v>45279</v>
      </c>
    </row>
    <row r="343" spans="1:1">
      <c r="A343" s="54">
        <v>45280</v>
      </c>
    </row>
    <row r="344" spans="1:1">
      <c r="A344" s="54">
        <v>45281</v>
      </c>
    </row>
    <row r="345" spans="1:1">
      <c r="A345" s="54">
        <v>45282</v>
      </c>
    </row>
    <row r="346" spans="1:1">
      <c r="A346" s="54">
        <v>45283</v>
      </c>
    </row>
    <row r="347" spans="1:1">
      <c r="A347" s="54">
        <v>45284</v>
      </c>
    </row>
    <row r="348" spans="1:1">
      <c r="A348" s="54">
        <v>45285</v>
      </c>
    </row>
    <row r="349" spans="1:1">
      <c r="A349" s="54">
        <v>45286</v>
      </c>
    </row>
    <row r="350" spans="1:1">
      <c r="A350" s="54">
        <v>45287</v>
      </c>
    </row>
    <row r="351" spans="1:1">
      <c r="A351" s="54">
        <v>45288</v>
      </c>
    </row>
    <row r="352" spans="1:1">
      <c r="A352" s="54">
        <v>45289</v>
      </c>
    </row>
    <row r="353" spans="1:1">
      <c r="A353" s="54">
        <v>45290</v>
      </c>
    </row>
    <row r="354" spans="1:1">
      <c r="A354" s="54">
        <v>45291</v>
      </c>
    </row>
    <row r="355" spans="1:1">
      <c r="A355" s="54">
        <v>45292</v>
      </c>
    </row>
    <row r="356" spans="1:1">
      <c r="A356" s="54">
        <v>45293</v>
      </c>
    </row>
    <row r="357" spans="1:1">
      <c r="A357" s="54">
        <v>45294</v>
      </c>
    </row>
    <row r="358" spans="1:1">
      <c r="A358" s="54">
        <v>45295</v>
      </c>
    </row>
    <row r="359" spans="1:1">
      <c r="A359" s="54">
        <v>45296</v>
      </c>
    </row>
    <row r="360" spans="1:1">
      <c r="A360" s="54">
        <v>45297</v>
      </c>
    </row>
    <row r="361" spans="1:1">
      <c r="A361" s="54">
        <v>45298</v>
      </c>
    </row>
    <row r="362" spans="1:1">
      <c r="A362" s="54">
        <v>45299</v>
      </c>
    </row>
    <row r="363" spans="1:1">
      <c r="A363" s="54">
        <v>45300</v>
      </c>
    </row>
    <row r="364" spans="1:1">
      <c r="A364" s="54">
        <v>45301</v>
      </c>
    </row>
    <row r="365" spans="1:1">
      <c r="A365" s="54">
        <v>45302</v>
      </c>
    </row>
    <row r="366" spans="1:1">
      <c r="A366" s="54">
        <v>45303</v>
      </c>
    </row>
    <row r="367" spans="1:1">
      <c r="A367" s="54">
        <v>45304</v>
      </c>
    </row>
    <row r="368" spans="1:1">
      <c r="A368" s="54">
        <v>45305</v>
      </c>
    </row>
    <row r="369" spans="1:1">
      <c r="A369" s="54">
        <v>45306</v>
      </c>
    </row>
    <row r="370" spans="1:1">
      <c r="A370" s="54">
        <v>45307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55"/>
  <sheetViews>
    <sheetView workbookViewId="0">
      <pane xSplit="7" ySplit="12" topLeftCell="H442" activePane="bottomRight" state="frozen"/>
      <selection/>
      <selection pane="topRight"/>
      <selection pane="bottomLeft"/>
      <selection pane="bottomRight" activeCell="I1485" sqref="I1485"/>
    </sheetView>
  </sheetViews>
  <sheetFormatPr defaultColWidth="9" defaultRowHeight="13.8"/>
  <cols>
    <col min="1" max="1" width="24.3796296296296" customWidth="1"/>
    <col min="2" max="2" width="13.75" style="5" customWidth="1"/>
    <col min="3" max="3" width="12.25" style="12" customWidth="1"/>
    <col min="4" max="4" width="14.1296296296296" style="12" customWidth="1"/>
    <col min="5" max="5" width="8.75" customWidth="1"/>
    <col min="6" max="6" width="12.3796296296296" style="5" customWidth="1"/>
    <col min="7" max="7" width="10.1296296296296" customWidth="1"/>
    <col min="8" max="8" width="12.5185185185185" customWidth="1"/>
    <col min="9" max="9" width="10.5185185185185" customWidth="1"/>
    <col min="10" max="10" width="8.62962962962963" style="9"/>
    <col min="11" max="11" width="10.6296296296296" style="5" customWidth="1"/>
    <col min="12" max="12" width="9.12962962962963" style="5" customWidth="1"/>
    <col min="13" max="13" width="9" style="13"/>
    <col min="15" max="15" width="10" style="5" customWidth="1"/>
    <col min="16" max="16" width="11" style="5" customWidth="1"/>
    <col min="17" max="17" width="8.62962962962963" style="5"/>
  </cols>
  <sheetData>
    <row r="1" s="11" customFormat="1" ht="55.35" customHeight="1" spans="1:17">
      <c r="A1" s="14" t="s">
        <v>68</v>
      </c>
      <c r="B1" s="15" t="s">
        <v>1</v>
      </c>
      <c r="C1" s="16" t="s">
        <v>2</v>
      </c>
      <c r="D1" s="16" t="s">
        <v>3</v>
      </c>
      <c r="E1" s="17" t="s">
        <v>4</v>
      </c>
      <c r="F1" s="15" t="s">
        <v>5</v>
      </c>
      <c r="G1" s="17" t="s">
        <v>6</v>
      </c>
      <c r="H1" s="17" t="s">
        <v>7</v>
      </c>
      <c r="I1" s="17" t="s">
        <v>8</v>
      </c>
      <c r="J1" s="18" t="s">
        <v>9</v>
      </c>
      <c r="K1" s="15" t="s">
        <v>10</v>
      </c>
      <c r="L1" s="15" t="s">
        <v>11</v>
      </c>
      <c r="M1" s="19" t="s">
        <v>12</v>
      </c>
      <c r="N1" s="20" t="s">
        <v>13</v>
      </c>
      <c r="O1" s="15" t="s">
        <v>14</v>
      </c>
      <c r="P1" s="15" t="s">
        <v>15</v>
      </c>
      <c r="Q1" s="21" t="s">
        <v>16</v>
      </c>
    </row>
    <row r="2" spans="1:17">
      <c r="A2" s="22">
        <v>44197</v>
      </c>
      <c r="B2" s="23">
        <v>0</v>
      </c>
      <c r="C2" s="24">
        <v>0</v>
      </c>
      <c r="D2" s="24">
        <v>0</v>
      </c>
      <c r="E2" s="24">
        <v>0</v>
      </c>
      <c r="F2" s="23">
        <v>0</v>
      </c>
      <c r="G2" s="24">
        <v>0</v>
      </c>
      <c r="H2" s="24">
        <v>0</v>
      </c>
      <c r="I2" s="24">
        <v>0</v>
      </c>
      <c r="J2" s="25">
        <v>0</v>
      </c>
      <c r="K2" s="23">
        <v>0</v>
      </c>
      <c r="L2" s="23">
        <v>0</v>
      </c>
      <c r="M2" s="24">
        <v>0</v>
      </c>
      <c r="N2" s="24">
        <v>0</v>
      </c>
      <c r="O2" s="23">
        <v>0</v>
      </c>
      <c r="P2" s="23">
        <v>0</v>
      </c>
      <c r="Q2" s="23">
        <v>0</v>
      </c>
    </row>
    <row r="3" spans="1:17">
      <c r="A3" s="22">
        <v>44198</v>
      </c>
      <c r="B3" s="23">
        <v>0</v>
      </c>
      <c r="C3" s="24">
        <v>0</v>
      </c>
      <c r="D3" s="24">
        <v>0</v>
      </c>
      <c r="E3" s="24">
        <v>0</v>
      </c>
      <c r="F3" s="23">
        <v>0</v>
      </c>
      <c r="G3" s="24">
        <v>0</v>
      </c>
      <c r="H3" s="24">
        <v>0</v>
      </c>
      <c r="I3" s="24">
        <v>0</v>
      </c>
      <c r="J3" s="25">
        <v>0</v>
      </c>
      <c r="K3" s="23">
        <v>0</v>
      </c>
      <c r="L3" s="23">
        <v>0</v>
      </c>
      <c r="M3" s="24">
        <v>0</v>
      </c>
      <c r="N3" s="24">
        <v>0</v>
      </c>
      <c r="O3" s="23">
        <v>0</v>
      </c>
      <c r="P3" s="23">
        <v>0</v>
      </c>
      <c r="Q3" s="23">
        <v>0</v>
      </c>
    </row>
    <row r="4" spans="1:17">
      <c r="A4" s="22">
        <v>44199</v>
      </c>
      <c r="B4" s="23">
        <v>0</v>
      </c>
      <c r="C4" s="24">
        <v>0</v>
      </c>
      <c r="D4" s="24">
        <v>0</v>
      </c>
      <c r="E4" s="24">
        <v>0</v>
      </c>
      <c r="F4" s="23">
        <v>0</v>
      </c>
      <c r="G4" s="24">
        <v>0</v>
      </c>
      <c r="H4" s="24">
        <v>0</v>
      </c>
      <c r="I4" s="24">
        <v>0</v>
      </c>
      <c r="J4" s="25">
        <v>0</v>
      </c>
      <c r="K4" s="23">
        <v>0</v>
      </c>
      <c r="L4" s="23">
        <v>0</v>
      </c>
      <c r="M4" s="24">
        <v>0</v>
      </c>
      <c r="N4" s="24">
        <v>0</v>
      </c>
      <c r="O4" s="23">
        <v>0</v>
      </c>
      <c r="P4" s="23">
        <v>0</v>
      </c>
      <c r="Q4" s="23">
        <v>0</v>
      </c>
    </row>
    <row r="5" spans="1:17">
      <c r="A5" s="22">
        <v>44200</v>
      </c>
      <c r="B5" s="23">
        <v>0</v>
      </c>
      <c r="C5" s="24">
        <v>0</v>
      </c>
      <c r="D5" s="24">
        <v>0</v>
      </c>
      <c r="E5" s="24">
        <v>0</v>
      </c>
      <c r="F5" s="23">
        <v>0</v>
      </c>
      <c r="G5" s="24">
        <v>0</v>
      </c>
      <c r="H5" s="24">
        <v>0</v>
      </c>
      <c r="I5" s="24">
        <v>0</v>
      </c>
      <c r="J5" s="25">
        <v>0</v>
      </c>
      <c r="K5" s="23">
        <v>0</v>
      </c>
      <c r="L5" s="23">
        <v>0</v>
      </c>
      <c r="M5" s="24">
        <v>0</v>
      </c>
      <c r="N5" s="24">
        <v>0</v>
      </c>
      <c r="O5" s="23">
        <v>0</v>
      </c>
      <c r="P5" s="23">
        <v>0</v>
      </c>
      <c r="Q5" s="23">
        <v>0</v>
      </c>
    </row>
    <row r="6" spans="1:17">
      <c r="A6" s="22">
        <v>44201</v>
      </c>
      <c r="B6" s="23">
        <v>665.19</v>
      </c>
      <c r="C6" s="26">
        <v>48202</v>
      </c>
      <c r="D6" s="24">
        <v>94</v>
      </c>
      <c r="E6" s="24">
        <v>1</v>
      </c>
      <c r="F6" s="23">
        <v>6110</v>
      </c>
      <c r="G6" s="24">
        <v>1</v>
      </c>
      <c r="H6" s="24">
        <v>0</v>
      </c>
      <c r="I6" s="24">
        <v>0</v>
      </c>
      <c r="J6" s="25">
        <v>0.0019</v>
      </c>
      <c r="K6" s="23">
        <f>B6/D6</f>
        <v>7.07648936170213</v>
      </c>
      <c r="L6" s="23">
        <v>13.39</v>
      </c>
      <c r="M6" s="24">
        <v>9.19</v>
      </c>
      <c r="N6" s="27">
        <v>0.0106</v>
      </c>
      <c r="O6" s="23">
        <f>F6/E6</f>
        <v>6110</v>
      </c>
      <c r="P6" s="23">
        <f>B6/E6</f>
        <v>665.19</v>
      </c>
      <c r="Q6" s="23">
        <f>B6/G6</f>
        <v>665.19</v>
      </c>
    </row>
    <row r="7" spans="1:17">
      <c r="A7" s="22">
        <v>44202</v>
      </c>
      <c r="B7" s="23">
        <v>792.67</v>
      </c>
      <c r="C7" s="26">
        <v>69837</v>
      </c>
      <c r="D7" s="24">
        <v>144</v>
      </c>
      <c r="E7" s="24">
        <v>0</v>
      </c>
      <c r="F7" s="23">
        <v>0</v>
      </c>
      <c r="G7" s="24">
        <v>1</v>
      </c>
      <c r="H7" s="24">
        <v>0</v>
      </c>
      <c r="I7" s="24">
        <v>0</v>
      </c>
      <c r="J7" s="25">
        <v>0.002</v>
      </c>
      <c r="K7" s="23">
        <v>5.5</v>
      </c>
      <c r="L7" s="23">
        <v>10.94</v>
      </c>
      <c r="M7" s="24">
        <v>0</v>
      </c>
      <c r="N7" s="24">
        <v>0</v>
      </c>
      <c r="O7" s="23" t="e">
        <f t="shared" ref="O7:O13" si="0">F7/E7</f>
        <v>#DIV/0!</v>
      </c>
      <c r="P7" s="23" t="e">
        <f t="shared" ref="P7:P13" si="1">B7/E7</f>
        <v>#DIV/0!</v>
      </c>
      <c r="Q7" s="23">
        <f t="shared" ref="Q7:Q13" si="2">B7/G7</f>
        <v>792.67</v>
      </c>
    </row>
    <row r="8" spans="1:17">
      <c r="A8" s="22">
        <v>44203</v>
      </c>
      <c r="B8" s="23">
        <v>782.25</v>
      </c>
      <c r="C8" s="26">
        <v>64785</v>
      </c>
      <c r="D8" s="24">
        <v>151</v>
      </c>
      <c r="E8" s="24">
        <v>0</v>
      </c>
      <c r="F8" s="23">
        <v>0</v>
      </c>
      <c r="G8" s="24">
        <v>0</v>
      </c>
      <c r="H8" s="24">
        <v>0</v>
      </c>
      <c r="I8" s="24">
        <v>0</v>
      </c>
      <c r="J8" s="25">
        <v>0.0022</v>
      </c>
      <c r="K8" s="23">
        <v>5.18</v>
      </c>
      <c r="L8" s="23">
        <v>11.65</v>
      </c>
      <c r="M8" s="24">
        <v>0</v>
      </c>
      <c r="N8" s="24">
        <v>0</v>
      </c>
      <c r="O8" s="23" t="e">
        <f t="shared" si="0"/>
        <v>#DIV/0!</v>
      </c>
      <c r="P8" s="23" t="e">
        <f t="shared" si="1"/>
        <v>#DIV/0!</v>
      </c>
      <c r="Q8" s="23" t="e">
        <f t="shared" si="2"/>
        <v>#DIV/0!</v>
      </c>
    </row>
    <row r="9" spans="1:17">
      <c r="A9" s="22">
        <v>44204</v>
      </c>
      <c r="B9" s="23">
        <v>982.2</v>
      </c>
      <c r="C9" s="26">
        <v>88774</v>
      </c>
      <c r="D9" s="24">
        <v>324</v>
      </c>
      <c r="E9" s="24">
        <v>0</v>
      </c>
      <c r="F9" s="23">
        <v>0</v>
      </c>
      <c r="G9" s="24">
        <v>1</v>
      </c>
      <c r="H9" s="24">
        <v>0</v>
      </c>
      <c r="I9" s="24">
        <v>6</v>
      </c>
      <c r="J9" s="25">
        <v>0.0034</v>
      </c>
      <c r="K9" s="23">
        <v>3.03</v>
      </c>
      <c r="L9" s="23">
        <v>10.37</v>
      </c>
      <c r="M9" s="24">
        <v>0</v>
      </c>
      <c r="N9" s="24">
        <v>0</v>
      </c>
      <c r="O9" s="23" t="e">
        <f t="shared" si="0"/>
        <v>#DIV/0!</v>
      </c>
      <c r="P9" s="23" t="e">
        <f t="shared" si="1"/>
        <v>#DIV/0!</v>
      </c>
      <c r="Q9" s="23">
        <f t="shared" si="2"/>
        <v>982.2</v>
      </c>
    </row>
    <row r="10" spans="1:17">
      <c r="A10" s="22">
        <v>44205</v>
      </c>
      <c r="B10" s="23">
        <v>994.57</v>
      </c>
      <c r="C10" s="26">
        <v>80587</v>
      </c>
      <c r="D10" s="24">
        <v>369</v>
      </c>
      <c r="E10" s="24">
        <v>0</v>
      </c>
      <c r="F10" s="23">
        <v>0</v>
      </c>
      <c r="G10" s="24">
        <v>6</v>
      </c>
      <c r="H10" s="24">
        <v>2</v>
      </c>
      <c r="I10" s="24">
        <v>3</v>
      </c>
      <c r="J10" s="25">
        <v>0.0044</v>
      </c>
      <c r="K10" s="23">
        <v>2.7</v>
      </c>
      <c r="L10" s="23">
        <v>11.76</v>
      </c>
      <c r="M10" s="24">
        <v>0</v>
      </c>
      <c r="N10" s="24">
        <v>0</v>
      </c>
      <c r="O10" s="23" t="e">
        <f t="shared" si="0"/>
        <v>#DIV/0!</v>
      </c>
      <c r="P10" s="23" t="e">
        <f t="shared" si="1"/>
        <v>#DIV/0!</v>
      </c>
      <c r="Q10" s="23">
        <f t="shared" si="2"/>
        <v>165.761666666667</v>
      </c>
    </row>
    <row r="11" spans="1:17">
      <c r="A11" s="22">
        <v>44206</v>
      </c>
      <c r="B11" s="23">
        <v>970.36</v>
      </c>
      <c r="C11" s="26">
        <v>1</v>
      </c>
      <c r="D11" s="24">
        <v>411</v>
      </c>
      <c r="E11" s="24">
        <v>0</v>
      </c>
      <c r="F11" s="23">
        <v>0</v>
      </c>
      <c r="G11" s="24">
        <v>2</v>
      </c>
      <c r="H11" s="24">
        <v>0</v>
      </c>
      <c r="I11" s="24">
        <v>0</v>
      </c>
      <c r="J11" s="25">
        <v>0.0044</v>
      </c>
      <c r="K11" s="23">
        <v>2.36</v>
      </c>
      <c r="L11" s="23">
        <v>10.38</v>
      </c>
      <c r="M11" s="24">
        <v>0</v>
      </c>
      <c r="N11" s="24">
        <v>0</v>
      </c>
      <c r="O11" s="23" t="e">
        <f t="shared" si="0"/>
        <v>#DIV/0!</v>
      </c>
      <c r="P11" s="23" t="e">
        <f t="shared" si="1"/>
        <v>#DIV/0!</v>
      </c>
      <c r="Q11" s="23">
        <f t="shared" si="2"/>
        <v>485.18</v>
      </c>
    </row>
    <row r="12" spans="1:17">
      <c r="A12" s="22">
        <v>44207</v>
      </c>
      <c r="B12" s="23">
        <v>957.81</v>
      </c>
      <c r="C12" s="26">
        <v>88776</v>
      </c>
      <c r="D12" s="24">
        <v>409</v>
      </c>
      <c r="E12" s="24">
        <v>0</v>
      </c>
      <c r="F12" s="23">
        <v>0</v>
      </c>
      <c r="G12" s="24">
        <v>0</v>
      </c>
      <c r="H12" s="24">
        <v>0</v>
      </c>
      <c r="I12" s="24">
        <v>5</v>
      </c>
      <c r="J12" s="25">
        <v>0.0045</v>
      </c>
      <c r="K12" s="23">
        <v>2.34</v>
      </c>
      <c r="L12" s="28">
        <v>10.54</v>
      </c>
      <c r="M12" s="24">
        <v>0</v>
      </c>
      <c r="N12" s="24">
        <v>0</v>
      </c>
      <c r="O12" s="23" t="e">
        <f t="shared" si="0"/>
        <v>#DIV/0!</v>
      </c>
      <c r="P12" s="23" t="e">
        <f t="shared" si="1"/>
        <v>#DIV/0!</v>
      </c>
      <c r="Q12" s="23" t="e">
        <f t="shared" si="2"/>
        <v>#DIV/0!</v>
      </c>
    </row>
    <row r="13" spans="1:17">
      <c r="A13" s="22">
        <v>44208</v>
      </c>
      <c r="B13" s="5">
        <v>760.45</v>
      </c>
      <c r="C13" s="6">
        <v>69209</v>
      </c>
      <c r="D13" s="29">
        <v>382</v>
      </c>
      <c r="E13" s="24">
        <v>0</v>
      </c>
      <c r="F13" s="23">
        <v>0</v>
      </c>
      <c r="G13" s="29">
        <v>3</v>
      </c>
      <c r="H13" s="24">
        <v>0</v>
      </c>
      <c r="I13" s="29">
        <v>6</v>
      </c>
      <c r="J13" s="9">
        <f>D13/C13</f>
        <v>0.00551951335808927</v>
      </c>
      <c r="K13" s="5">
        <v>1.99</v>
      </c>
      <c r="L13" s="5">
        <v>10.47</v>
      </c>
      <c r="M13" s="24">
        <v>0</v>
      </c>
      <c r="N13" s="24">
        <v>0</v>
      </c>
      <c r="O13" s="23" t="e">
        <f t="shared" si="0"/>
        <v>#DIV/0!</v>
      </c>
      <c r="P13" s="23" t="e">
        <f t="shared" si="1"/>
        <v>#DIV/0!</v>
      </c>
      <c r="Q13" s="5">
        <f t="shared" si="2"/>
        <v>253.483333333333</v>
      </c>
    </row>
    <row r="14" spans="1:17">
      <c r="A14" s="22">
        <v>44209</v>
      </c>
      <c r="B14" s="5">
        <v>497.24</v>
      </c>
      <c r="C14" s="6">
        <v>43882</v>
      </c>
      <c r="D14" s="29">
        <v>353</v>
      </c>
      <c r="E14" s="29">
        <v>0</v>
      </c>
      <c r="G14" s="29">
        <v>1</v>
      </c>
      <c r="H14" s="29">
        <v>0</v>
      </c>
      <c r="I14" s="29">
        <v>4</v>
      </c>
      <c r="J14" s="9">
        <f>D14/C14</f>
        <v>0.00804430062440181</v>
      </c>
      <c r="K14" s="5">
        <v>1.41</v>
      </c>
      <c r="L14" s="5">
        <v>10.64</v>
      </c>
      <c r="M14" s="24">
        <v>0</v>
      </c>
      <c r="N14" s="24">
        <v>0</v>
      </c>
      <c r="O14" s="23" t="e">
        <f t="shared" ref="O14:O25" si="3">F14/E14</f>
        <v>#DIV/0!</v>
      </c>
      <c r="P14" s="23" t="e">
        <f t="shared" ref="P14:P25" si="4">B14/E14</f>
        <v>#DIV/0!</v>
      </c>
      <c r="Q14" s="5">
        <f t="shared" ref="Q14:Q25" si="5">B14/G14</f>
        <v>497.24</v>
      </c>
    </row>
    <row r="15" spans="1:17">
      <c r="A15" s="22">
        <v>44210</v>
      </c>
      <c r="B15" s="5">
        <v>498.7</v>
      </c>
      <c r="C15" s="6">
        <v>40861</v>
      </c>
      <c r="D15" s="29">
        <v>315</v>
      </c>
      <c r="E15" s="29">
        <v>0</v>
      </c>
      <c r="G15" s="29">
        <v>0</v>
      </c>
      <c r="H15" s="29">
        <v>0</v>
      </c>
      <c r="I15" s="29">
        <v>4</v>
      </c>
      <c r="J15" s="9">
        <f t="shared" ref="J15:J25" si="6">D15/C15</f>
        <v>0.00770906243116909</v>
      </c>
      <c r="K15" s="5">
        <v>1.58</v>
      </c>
      <c r="L15" s="5">
        <v>11.07</v>
      </c>
      <c r="M15" s="29">
        <v>0</v>
      </c>
      <c r="N15" s="29">
        <v>0</v>
      </c>
      <c r="O15" s="5" t="e">
        <f t="shared" si="3"/>
        <v>#DIV/0!</v>
      </c>
      <c r="P15" s="5" t="e">
        <f t="shared" si="4"/>
        <v>#DIV/0!</v>
      </c>
      <c r="Q15" s="5" t="e">
        <f t="shared" si="5"/>
        <v>#DIV/0!</v>
      </c>
    </row>
    <row r="16" spans="1:17">
      <c r="A16" s="22">
        <v>44211</v>
      </c>
      <c r="B16" s="5">
        <v>498.66</v>
      </c>
      <c r="C16" s="6">
        <v>38865</v>
      </c>
      <c r="D16" s="29">
        <v>296</v>
      </c>
      <c r="E16" s="29">
        <v>0</v>
      </c>
      <c r="F16" s="5">
        <v>0</v>
      </c>
      <c r="G16" s="29">
        <v>0</v>
      </c>
      <c r="H16" s="29">
        <v>1</v>
      </c>
      <c r="I16" s="29">
        <v>7</v>
      </c>
      <c r="J16" s="9">
        <f t="shared" si="6"/>
        <v>0.00761610703717998</v>
      </c>
      <c r="K16" s="5">
        <v>1.68</v>
      </c>
      <c r="L16" s="5">
        <v>11.95</v>
      </c>
      <c r="M16" s="29">
        <v>0</v>
      </c>
      <c r="N16" s="29">
        <v>0</v>
      </c>
      <c r="O16" s="5" t="e">
        <f t="shared" si="3"/>
        <v>#DIV/0!</v>
      </c>
      <c r="P16" s="5" t="e">
        <f t="shared" si="4"/>
        <v>#DIV/0!</v>
      </c>
      <c r="Q16" s="5" t="e">
        <f t="shared" si="5"/>
        <v>#DIV/0!</v>
      </c>
    </row>
    <row r="17" spans="1:17">
      <c r="A17" s="22">
        <v>44212</v>
      </c>
      <c r="B17" s="5">
        <v>500</v>
      </c>
      <c r="C17" s="6">
        <v>41206</v>
      </c>
      <c r="D17" s="29">
        <v>309</v>
      </c>
      <c r="E17" s="29">
        <v>0</v>
      </c>
      <c r="F17" s="5">
        <v>0</v>
      </c>
      <c r="G17" s="29">
        <v>1</v>
      </c>
      <c r="H17" s="29">
        <v>0</v>
      </c>
      <c r="I17" s="29">
        <v>1</v>
      </c>
      <c r="J17" s="9">
        <f t="shared" si="6"/>
        <v>0.00749890792603019</v>
      </c>
      <c r="K17" s="5">
        <v>1.62</v>
      </c>
      <c r="L17" s="5">
        <v>12.03</v>
      </c>
      <c r="M17" s="29">
        <v>0</v>
      </c>
      <c r="N17" s="29">
        <v>0</v>
      </c>
      <c r="O17" s="5" t="e">
        <f t="shared" si="3"/>
        <v>#DIV/0!</v>
      </c>
      <c r="P17" s="5" t="e">
        <f t="shared" si="4"/>
        <v>#DIV/0!</v>
      </c>
      <c r="Q17" s="5">
        <f t="shared" si="5"/>
        <v>500</v>
      </c>
    </row>
    <row r="18" spans="1:17">
      <c r="A18" s="22">
        <v>44213</v>
      </c>
      <c r="B18" s="5">
        <v>500</v>
      </c>
      <c r="C18" s="6">
        <v>30093</v>
      </c>
      <c r="D18" s="29">
        <v>228</v>
      </c>
      <c r="E18" s="29">
        <v>0</v>
      </c>
      <c r="F18" s="5">
        <v>0</v>
      </c>
      <c r="G18" s="29">
        <v>0</v>
      </c>
      <c r="H18" s="29">
        <v>2</v>
      </c>
      <c r="I18" s="29">
        <v>5</v>
      </c>
      <c r="J18" s="9">
        <f t="shared" si="6"/>
        <v>0.00757651281028811</v>
      </c>
      <c r="K18" s="5">
        <v>2.19</v>
      </c>
      <c r="L18" s="5">
        <v>15.85</v>
      </c>
      <c r="M18" s="29">
        <v>0</v>
      </c>
      <c r="N18" s="29">
        <v>0</v>
      </c>
      <c r="O18" s="5" t="e">
        <f t="shared" si="3"/>
        <v>#DIV/0!</v>
      </c>
      <c r="P18" s="5" t="e">
        <f t="shared" si="4"/>
        <v>#DIV/0!</v>
      </c>
      <c r="Q18" s="5" t="e">
        <f t="shared" si="5"/>
        <v>#DIV/0!</v>
      </c>
    </row>
    <row r="19" spans="1:17">
      <c r="A19" s="22">
        <v>44214</v>
      </c>
      <c r="B19" s="5">
        <v>498.6</v>
      </c>
      <c r="C19" s="6">
        <v>35152</v>
      </c>
      <c r="D19" s="29">
        <v>250</v>
      </c>
      <c r="E19" s="29">
        <v>0</v>
      </c>
      <c r="F19" s="5">
        <v>0</v>
      </c>
      <c r="G19" s="29">
        <v>3</v>
      </c>
      <c r="H19" s="29">
        <v>0</v>
      </c>
      <c r="I19" s="29">
        <v>7</v>
      </c>
      <c r="J19" s="9">
        <f t="shared" si="6"/>
        <v>0.00711197086936732</v>
      </c>
      <c r="K19" s="5">
        <f>B19/D19</f>
        <v>1.9944</v>
      </c>
      <c r="L19" s="5">
        <f>B19/(C19/1000)</f>
        <v>14.1841147018662</v>
      </c>
      <c r="M19" s="29">
        <v>0</v>
      </c>
      <c r="N19" s="29">
        <v>0</v>
      </c>
      <c r="O19" s="5" t="e">
        <f t="shared" si="3"/>
        <v>#DIV/0!</v>
      </c>
      <c r="P19" s="5" t="e">
        <f t="shared" si="4"/>
        <v>#DIV/0!</v>
      </c>
      <c r="Q19" s="5">
        <f t="shared" si="5"/>
        <v>166.2</v>
      </c>
    </row>
    <row r="20" spans="1:17">
      <c r="A20" s="22">
        <v>44215</v>
      </c>
      <c r="B20" s="5">
        <v>101.35</v>
      </c>
      <c r="C20" s="6">
        <v>4647</v>
      </c>
      <c r="D20" s="29">
        <v>31</v>
      </c>
      <c r="E20" s="29">
        <v>0</v>
      </c>
      <c r="F20" s="5">
        <v>0</v>
      </c>
      <c r="G20" s="29">
        <v>0</v>
      </c>
      <c r="H20" s="29">
        <v>0</v>
      </c>
      <c r="I20" s="29">
        <v>0</v>
      </c>
      <c r="J20" s="9">
        <f t="shared" si="6"/>
        <v>0.00667097051861416</v>
      </c>
      <c r="K20" s="5">
        <f t="shared" ref="K20:K25" si="7">B20/D20</f>
        <v>3.26935483870968</v>
      </c>
      <c r="L20" s="5">
        <f t="shared" ref="L20:L25" si="8">B20/(C20/1000)</f>
        <v>21.8097697439208</v>
      </c>
      <c r="M20" s="29">
        <v>0</v>
      </c>
      <c r="N20" s="29">
        <v>0</v>
      </c>
      <c r="O20" s="5" t="e">
        <f t="shared" si="3"/>
        <v>#DIV/0!</v>
      </c>
      <c r="P20" s="5" t="e">
        <f t="shared" si="4"/>
        <v>#DIV/0!</v>
      </c>
      <c r="Q20" s="5" t="e">
        <f t="shared" si="5"/>
        <v>#DIV/0!</v>
      </c>
    </row>
    <row r="21" spans="1:17">
      <c r="A21" s="22">
        <v>44216</v>
      </c>
      <c r="B21" s="5">
        <v>0</v>
      </c>
      <c r="C21" s="6">
        <v>0</v>
      </c>
      <c r="D21" s="29">
        <v>0</v>
      </c>
      <c r="E21" s="29">
        <v>0</v>
      </c>
      <c r="F21" s="5">
        <v>0</v>
      </c>
      <c r="G21" s="29">
        <v>0</v>
      </c>
      <c r="H21" s="29">
        <v>0</v>
      </c>
      <c r="I21" s="29">
        <v>0</v>
      </c>
      <c r="J21" s="9" t="e">
        <f t="shared" si="6"/>
        <v>#DIV/0!</v>
      </c>
      <c r="K21" s="5" t="e">
        <f t="shared" si="7"/>
        <v>#DIV/0!</v>
      </c>
      <c r="L21" s="5" t="e">
        <f t="shared" si="8"/>
        <v>#DIV/0!</v>
      </c>
      <c r="M21" s="29">
        <v>0</v>
      </c>
      <c r="N21" s="29">
        <v>0</v>
      </c>
      <c r="O21" s="5" t="e">
        <f t="shared" si="3"/>
        <v>#DIV/0!</v>
      </c>
      <c r="P21" s="5" t="e">
        <f t="shared" si="4"/>
        <v>#DIV/0!</v>
      </c>
      <c r="Q21" s="5" t="e">
        <f t="shared" si="5"/>
        <v>#DIV/0!</v>
      </c>
    </row>
    <row r="22" spans="1:17">
      <c r="A22" s="22">
        <v>44217</v>
      </c>
      <c r="B22" s="5">
        <v>0</v>
      </c>
      <c r="C22" s="6">
        <v>0</v>
      </c>
      <c r="D22" s="29">
        <v>0</v>
      </c>
      <c r="E22" s="29">
        <v>0</v>
      </c>
      <c r="F22" s="5">
        <v>0</v>
      </c>
      <c r="G22" s="29">
        <v>0</v>
      </c>
      <c r="H22" s="29">
        <v>0</v>
      </c>
      <c r="I22" s="29">
        <v>0</v>
      </c>
      <c r="J22" s="9" t="e">
        <f t="shared" si="6"/>
        <v>#DIV/0!</v>
      </c>
      <c r="K22" s="5" t="e">
        <f t="shared" si="7"/>
        <v>#DIV/0!</v>
      </c>
      <c r="L22" s="5" t="e">
        <f t="shared" si="8"/>
        <v>#DIV/0!</v>
      </c>
      <c r="M22" s="29">
        <v>0</v>
      </c>
      <c r="N22" s="29">
        <v>0</v>
      </c>
      <c r="O22" s="5" t="e">
        <f t="shared" si="3"/>
        <v>#DIV/0!</v>
      </c>
      <c r="P22" s="5" t="e">
        <f t="shared" si="4"/>
        <v>#DIV/0!</v>
      </c>
      <c r="Q22" s="5" t="e">
        <f t="shared" si="5"/>
        <v>#DIV/0!</v>
      </c>
    </row>
    <row r="23" spans="1:17">
      <c r="A23" s="22">
        <v>44218</v>
      </c>
      <c r="B23" s="5">
        <v>0</v>
      </c>
      <c r="C23" s="6">
        <v>0</v>
      </c>
      <c r="D23" s="29">
        <v>0</v>
      </c>
      <c r="E23" s="29">
        <v>0</v>
      </c>
      <c r="F23" s="5">
        <v>0</v>
      </c>
      <c r="G23" s="29">
        <v>0</v>
      </c>
      <c r="H23" s="29">
        <v>0</v>
      </c>
      <c r="I23" s="29">
        <v>0</v>
      </c>
      <c r="J23" s="9" t="e">
        <f t="shared" si="6"/>
        <v>#DIV/0!</v>
      </c>
      <c r="K23" s="5" t="e">
        <f t="shared" si="7"/>
        <v>#DIV/0!</v>
      </c>
      <c r="L23" s="5" t="e">
        <f t="shared" si="8"/>
        <v>#DIV/0!</v>
      </c>
      <c r="M23" s="29">
        <v>0</v>
      </c>
      <c r="N23" s="29">
        <v>0</v>
      </c>
      <c r="O23" s="5" t="e">
        <f t="shared" si="3"/>
        <v>#DIV/0!</v>
      </c>
      <c r="P23" s="5" t="e">
        <f t="shared" si="4"/>
        <v>#DIV/0!</v>
      </c>
      <c r="Q23" s="5" t="e">
        <f t="shared" si="5"/>
        <v>#DIV/0!</v>
      </c>
    </row>
    <row r="24" spans="1:17">
      <c r="A24" s="22">
        <v>44219</v>
      </c>
      <c r="B24" s="5">
        <v>0</v>
      </c>
      <c r="C24" s="6">
        <v>0</v>
      </c>
      <c r="D24" s="29">
        <v>0</v>
      </c>
      <c r="E24" s="29">
        <v>0</v>
      </c>
      <c r="F24" s="5">
        <v>0</v>
      </c>
      <c r="G24" s="29">
        <v>0</v>
      </c>
      <c r="H24" s="29">
        <v>0</v>
      </c>
      <c r="I24" s="29">
        <v>0</v>
      </c>
      <c r="J24" s="9" t="e">
        <f t="shared" si="6"/>
        <v>#DIV/0!</v>
      </c>
      <c r="K24" s="5" t="e">
        <f t="shared" si="7"/>
        <v>#DIV/0!</v>
      </c>
      <c r="L24" s="5" t="e">
        <f t="shared" si="8"/>
        <v>#DIV/0!</v>
      </c>
      <c r="M24" s="29">
        <v>0</v>
      </c>
      <c r="N24" s="29">
        <v>0</v>
      </c>
      <c r="O24" s="5" t="e">
        <f t="shared" si="3"/>
        <v>#DIV/0!</v>
      </c>
      <c r="P24" s="5" t="e">
        <f t="shared" si="4"/>
        <v>#DIV/0!</v>
      </c>
      <c r="Q24" s="5" t="e">
        <f t="shared" si="5"/>
        <v>#DIV/0!</v>
      </c>
    </row>
    <row r="25" spans="1:17">
      <c r="A25" s="22">
        <v>44220</v>
      </c>
      <c r="B25" s="5">
        <v>0</v>
      </c>
      <c r="C25">
        <v>0</v>
      </c>
      <c r="D25" s="29">
        <v>0</v>
      </c>
      <c r="E25" s="29">
        <v>0</v>
      </c>
      <c r="F25" s="5">
        <v>0</v>
      </c>
      <c r="G25" s="29">
        <v>0</v>
      </c>
      <c r="H25" s="29">
        <v>0</v>
      </c>
      <c r="I25" s="29">
        <v>0</v>
      </c>
      <c r="J25" s="9" t="e">
        <f t="shared" si="6"/>
        <v>#DIV/0!</v>
      </c>
      <c r="K25" s="5" t="e">
        <f t="shared" si="7"/>
        <v>#DIV/0!</v>
      </c>
      <c r="L25" s="5" t="e">
        <f t="shared" si="8"/>
        <v>#DIV/0!</v>
      </c>
      <c r="M25" s="29">
        <v>0</v>
      </c>
      <c r="N25" s="29">
        <v>0</v>
      </c>
      <c r="O25" s="5" t="e">
        <f t="shared" si="3"/>
        <v>#DIV/0!</v>
      </c>
      <c r="P25" s="5" t="e">
        <f t="shared" si="4"/>
        <v>#DIV/0!</v>
      </c>
      <c r="Q25" s="5" t="e">
        <f t="shared" si="5"/>
        <v>#DIV/0!</v>
      </c>
    </row>
    <row r="26" spans="1:17">
      <c r="A26" s="22">
        <v>44221</v>
      </c>
      <c r="B26" s="5">
        <v>0</v>
      </c>
      <c r="C26">
        <v>0</v>
      </c>
      <c r="D26" s="29">
        <v>0</v>
      </c>
      <c r="E26" s="29">
        <v>0</v>
      </c>
      <c r="F26" s="5">
        <v>0</v>
      </c>
      <c r="G26" s="29">
        <v>0</v>
      </c>
      <c r="H26" s="29">
        <v>0</v>
      </c>
      <c r="I26" s="29">
        <v>0</v>
      </c>
      <c r="J26" s="9" t="e">
        <f t="shared" ref="J26:J31" si="9">D26/C26</f>
        <v>#DIV/0!</v>
      </c>
      <c r="K26" s="5" t="e">
        <f t="shared" ref="K26:K31" si="10">B26/D26</f>
        <v>#DIV/0!</v>
      </c>
      <c r="L26" s="5" t="e">
        <f t="shared" ref="L26:L31" si="11">B26/(C26/1000)</f>
        <v>#DIV/0!</v>
      </c>
      <c r="M26" s="29">
        <v>0</v>
      </c>
      <c r="N26" s="29">
        <v>0</v>
      </c>
      <c r="O26" s="5" t="e">
        <f t="shared" ref="O26:O31" si="12">F26/E26</f>
        <v>#DIV/0!</v>
      </c>
      <c r="P26" s="5" t="e">
        <f t="shared" ref="P26:P31" si="13">B26/E26</f>
        <v>#DIV/0!</v>
      </c>
      <c r="Q26" s="5" t="e">
        <f t="shared" ref="Q26:Q31" si="14">B26/G26</f>
        <v>#DIV/0!</v>
      </c>
    </row>
    <row r="27" spans="1:17">
      <c r="A27" s="22">
        <v>44222</v>
      </c>
      <c r="B27" s="5">
        <v>0</v>
      </c>
      <c r="C27">
        <v>0</v>
      </c>
      <c r="D27" s="29">
        <v>0</v>
      </c>
      <c r="E27" s="29">
        <v>0</v>
      </c>
      <c r="F27" s="5">
        <v>0</v>
      </c>
      <c r="G27" s="29">
        <v>0</v>
      </c>
      <c r="H27" s="29">
        <v>0</v>
      </c>
      <c r="I27" s="29">
        <v>0</v>
      </c>
      <c r="J27" s="9" t="e">
        <f t="shared" si="9"/>
        <v>#DIV/0!</v>
      </c>
      <c r="K27" s="5" t="e">
        <f t="shared" si="10"/>
        <v>#DIV/0!</v>
      </c>
      <c r="L27" s="5" t="e">
        <f t="shared" si="11"/>
        <v>#DIV/0!</v>
      </c>
      <c r="M27" s="29">
        <v>0</v>
      </c>
      <c r="N27" s="29">
        <v>0</v>
      </c>
      <c r="O27" s="5" t="e">
        <f t="shared" si="12"/>
        <v>#DIV/0!</v>
      </c>
      <c r="P27" s="5" t="e">
        <f t="shared" si="13"/>
        <v>#DIV/0!</v>
      </c>
      <c r="Q27" s="5" t="e">
        <f t="shared" si="14"/>
        <v>#DIV/0!</v>
      </c>
    </row>
    <row r="28" spans="1:17">
      <c r="A28" s="22">
        <v>44223</v>
      </c>
      <c r="B28" s="5">
        <v>0</v>
      </c>
      <c r="C28">
        <v>0</v>
      </c>
      <c r="D28" s="29">
        <v>0</v>
      </c>
      <c r="E28" s="29">
        <v>0</v>
      </c>
      <c r="F28" s="5">
        <v>0</v>
      </c>
      <c r="G28" s="29">
        <v>0</v>
      </c>
      <c r="H28" s="29">
        <v>0</v>
      </c>
      <c r="I28" s="29">
        <v>0</v>
      </c>
      <c r="J28" s="9" t="e">
        <f t="shared" si="9"/>
        <v>#DIV/0!</v>
      </c>
      <c r="K28" s="5" t="e">
        <f t="shared" si="10"/>
        <v>#DIV/0!</v>
      </c>
      <c r="L28" s="5" t="e">
        <f t="shared" si="11"/>
        <v>#DIV/0!</v>
      </c>
      <c r="M28" s="29">
        <v>0</v>
      </c>
      <c r="N28" s="29">
        <v>0</v>
      </c>
      <c r="O28" s="5" t="e">
        <f t="shared" si="12"/>
        <v>#DIV/0!</v>
      </c>
      <c r="P28" s="5" t="e">
        <f t="shared" si="13"/>
        <v>#DIV/0!</v>
      </c>
      <c r="Q28" s="5" t="e">
        <f t="shared" si="14"/>
        <v>#DIV/0!</v>
      </c>
    </row>
    <row r="29" spans="1:17">
      <c r="A29" s="22">
        <v>44224</v>
      </c>
      <c r="B29" s="5">
        <v>500</v>
      </c>
      <c r="C29" s="6">
        <v>32703</v>
      </c>
      <c r="D29" s="29">
        <v>210</v>
      </c>
      <c r="E29" s="29">
        <v>0</v>
      </c>
      <c r="F29" s="5">
        <v>0</v>
      </c>
      <c r="G29" s="29">
        <v>0</v>
      </c>
      <c r="H29" s="29">
        <v>0</v>
      </c>
      <c r="I29" s="29">
        <v>8</v>
      </c>
      <c r="J29" s="9">
        <f t="shared" si="9"/>
        <v>0.00642142922667645</v>
      </c>
      <c r="K29" s="5">
        <f t="shared" si="10"/>
        <v>2.38095238095238</v>
      </c>
      <c r="L29" s="5">
        <f t="shared" si="11"/>
        <v>15.2891172063725</v>
      </c>
      <c r="M29" s="29">
        <v>0</v>
      </c>
      <c r="N29" s="29">
        <v>0</v>
      </c>
      <c r="O29" s="5" t="e">
        <f t="shared" si="12"/>
        <v>#DIV/0!</v>
      </c>
      <c r="P29" s="5" t="e">
        <f t="shared" si="13"/>
        <v>#DIV/0!</v>
      </c>
      <c r="Q29" s="5" t="e">
        <f t="shared" si="14"/>
        <v>#DIV/0!</v>
      </c>
    </row>
    <row r="30" spans="1:17">
      <c r="A30" s="22">
        <v>44225</v>
      </c>
      <c r="B30" s="5">
        <v>500</v>
      </c>
      <c r="C30" s="6">
        <v>34165</v>
      </c>
      <c r="D30" s="29">
        <v>219</v>
      </c>
      <c r="E30" s="29">
        <v>0</v>
      </c>
      <c r="F30" s="5">
        <v>0</v>
      </c>
      <c r="G30" s="29">
        <v>0</v>
      </c>
      <c r="H30" s="29">
        <v>1</v>
      </c>
      <c r="I30" s="29">
        <v>6</v>
      </c>
      <c r="J30" s="9">
        <f t="shared" si="9"/>
        <v>0.00641006878384311</v>
      </c>
      <c r="K30" s="5">
        <f t="shared" si="10"/>
        <v>2.28310502283105</v>
      </c>
      <c r="L30" s="5">
        <f t="shared" si="11"/>
        <v>14.6348602370847</v>
      </c>
      <c r="M30" s="29">
        <v>0</v>
      </c>
      <c r="N30" s="29">
        <v>0</v>
      </c>
      <c r="O30" s="5" t="e">
        <f t="shared" si="12"/>
        <v>#DIV/0!</v>
      </c>
      <c r="P30" s="5" t="e">
        <f t="shared" si="13"/>
        <v>#DIV/0!</v>
      </c>
      <c r="Q30" s="5" t="e">
        <f t="shared" si="14"/>
        <v>#DIV/0!</v>
      </c>
    </row>
    <row r="31" ht="16.35" customHeight="1" spans="1:17">
      <c r="A31" s="22">
        <v>44226</v>
      </c>
      <c r="B31" s="5">
        <v>297.01</v>
      </c>
      <c r="C31" s="6">
        <v>14940</v>
      </c>
      <c r="D31" s="29">
        <v>111</v>
      </c>
      <c r="E31" s="29">
        <v>0</v>
      </c>
      <c r="F31" s="5">
        <v>0</v>
      </c>
      <c r="G31" s="29">
        <v>0</v>
      </c>
      <c r="H31" s="29">
        <v>0</v>
      </c>
      <c r="I31" s="29">
        <v>4</v>
      </c>
      <c r="J31" s="9">
        <f t="shared" si="9"/>
        <v>0.00742971887550201</v>
      </c>
      <c r="K31" s="5">
        <f t="shared" si="10"/>
        <v>2.67576576576577</v>
      </c>
      <c r="L31" s="5">
        <f t="shared" si="11"/>
        <v>19.880187416332</v>
      </c>
      <c r="M31" s="29">
        <v>0</v>
      </c>
      <c r="N31" s="29">
        <v>0</v>
      </c>
      <c r="O31" s="5" t="e">
        <f t="shared" si="12"/>
        <v>#DIV/0!</v>
      </c>
      <c r="P31" s="5" t="e">
        <f t="shared" si="13"/>
        <v>#DIV/0!</v>
      </c>
      <c r="Q31" s="5" t="e">
        <f t="shared" si="14"/>
        <v>#DIV/0!</v>
      </c>
    </row>
    <row r="32" ht="15.6" customHeight="1" spans="1:17">
      <c r="A32" s="22">
        <v>44227</v>
      </c>
      <c r="B32" s="5">
        <v>0</v>
      </c>
      <c r="C32">
        <v>0</v>
      </c>
      <c r="D32" s="29">
        <v>0</v>
      </c>
      <c r="E32" s="29">
        <v>0</v>
      </c>
      <c r="F32" s="5">
        <v>0</v>
      </c>
      <c r="G32" s="29">
        <v>0</v>
      </c>
      <c r="H32" s="29">
        <v>0</v>
      </c>
      <c r="I32" s="29">
        <v>0</v>
      </c>
      <c r="J32" s="9" t="e">
        <f t="shared" ref="J32:J53" si="15">D32/C32</f>
        <v>#DIV/0!</v>
      </c>
      <c r="K32" s="5" t="e">
        <f t="shared" ref="K32:K53" si="16">B32/D32</f>
        <v>#DIV/0!</v>
      </c>
      <c r="L32" s="5" t="e">
        <f t="shared" ref="L32:L50" si="17">B32/(C32/1000)</f>
        <v>#DIV/0!</v>
      </c>
      <c r="M32" s="29">
        <v>0</v>
      </c>
      <c r="N32" s="29">
        <v>0</v>
      </c>
      <c r="O32" s="5" t="e">
        <f t="shared" ref="O32:O49" si="18">F32/E32</f>
        <v>#DIV/0!</v>
      </c>
      <c r="P32" s="5" t="e">
        <f t="shared" ref="P32:P49" si="19">B32/E32</f>
        <v>#DIV/0!</v>
      </c>
      <c r="Q32" s="5" t="e">
        <f t="shared" ref="Q32:Q49" si="20">B32/G32</f>
        <v>#DIV/0!</v>
      </c>
    </row>
    <row r="33" ht="14.45" customHeight="1" spans="1:17">
      <c r="A33" s="22">
        <f t="shared" ref="A33:A96" si="21">A32+1</f>
        <v>44228</v>
      </c>
      <c r="B33" s="5">
        <v>490.71</v>
      </c>
      <c r="C33" s="12">
        <v>51742</v>
      </c>
      <c r="D33" s="30">
        <v>250</v>
      </c>
      <c r="E33" s="29">
        <v>0</v>
      </c>
      <c r="F33" s="5">
        <v>0</v>
      </c>
      <c r="G33" s="29">
        <v>1</v>
      </c>
      <c r="H33" s="29">
        <v>1</v>
      </c>
      <c r="I33" s="29">
        <v>1</v>
      </c>
      <c r="J33" s="9">
        <f t="shared" si="15"/>
        <v>0.00483166479842294</v>
      </c>
      <c r="K33" s="5">
        <f t="shared" si="16"/>
        <v>1.96284</v>
      </c>
      <c r="L33" s="5">
        <f t="shared" si="17"/>
        <v>9.48378493293649</v>
      </c>
      <c r="M33" s="31">
        <f>F33/B33</f>
        <v>0</v>
      </c>
      <c r="N33" s="32">
        <f>E33/D33</f>
        <v>0</v>
      </c>
      <c r="O33" s="5" t="e">
        <f t="shared" si="18"/>
        <v>#DIV/0!</v>
      </c>
      <c r="P33" s="5" t="e">
        <f t="shared" si="19"/>
        <v>#DIV/0!</v>
      </c>
      <c r="Q33" s="5">
        <f t="shared" si="20"/>
        <v>490.71</v>
      </c>
    </row>
    <row r="34" ht="14.45" customHeight="1" spans="1:17">
      <c r="A34" s="22">
        <f t="shared" si="21"/>
        <v>44229</v>
      </c>
      <c r="B34" s="5">
        <v>799.63</v>
      </c>
      <c r="C34" s="12">
        <v>72663</v>
      </c>
      <c r="D34" s="30">
        <v>496</v>
      </c>
      <c r="E34" s="29">
        <v>0</v>
      </c>
      <c r="F34" s="5">
        <v>0</v>
      </c>
      <c r="G34" s="29">
        <v>8</v>
      </c>
      <c r="H34" s="29">
        <v>3</v>
      </c>
      <c r="I34" s="29">
        <v>6</v>
      </c>
      <c r="J34" s="9">
        <f t="shared" si="15"/>
        <v>0.00682603250622738</v>
      </c>
      <c r="K34" s="5">
        <f t="shared" si="16"/>
        <v>1.61215725806452</v>
      </c>
      <c r="L34" s="5">
        <f t="shared" si="17"/>
        <v>11.0046378486988</v>
      </c>
      <c r="M34" s="31">
        <f t="shared" ref="M34:M46" si="22">F34/B34</f>
        <v>0</v>
      </c>
      <c r="N34" s="32">
        <f t="shared" ref="N34:N46" si="23">E34/D34</f>
        <v>0</v>
      </c>
      <c r="O34" s="5" t="e">
        <f t="shared" si="18"/>
        <v>#DIV/0!</v>
      </c>
      <c r="P34" s="5" t="e">
        <f t="shared" si="19"/>
        <v>#DIV/0!</v>
      </c>
      <c r="Q34" s="5">
        <f t="shared" si="20"/>
        <v>99.95375</v>
      </c>
    </row>
    <row r="35" ht="15" customHeight="1" spans="1:17">
      <c r="A35" s="22">
        <f t="shared" si="21"/>
        <v>44230</v>
      </c>
      <c r="B35" s="5">
        <v>699.09</v>
      </c>
      <c r="C35" s="12">
        <v>65633</v>
      </c>
      <c r="D35" s="30">
        <v>423</v>
      </c>
      <c r="E35" s="29">
        <v>0</v>
      </c>
      <c r="F35" s="5">
        <v>0</v>
      </c>
      <c r="G35" s="29">
        <v>7</v>
      </c>
      <c r="H35" s="29">
        <v>1</v>
      </c>
      <c r="I35" s="29">
        <v>4</v>
      </c>
      <c r="J35" s="9">
        <f t="shared" si="15"/>
        <v>0.00644492861822559</v>
      </c>
      <c r="K35" s="5">
        <f t="shared" si="16"/>
        <v>1.65269503546099</v>
      </c>
      <c r="L35" s="5">
        <f t="shared" si="17"/>
        <v>10.6515015312419</v>
      </c>
      <c r="M35" s="31">
        <f t="shared" si="22"/>
        <v>0</v>
      </c>
      <c r="N35" s="32">
        <f t="shared" si="23"/>
        <v>0</v>
      </c>
      <c r="O35" s="5" t="e">
        <f t="shared" si="18"/>
        <v>#DIV/0!</v>
      </c>
      <c r="P35" s="5" t="e">
        <f t="shared" si="19"/>
        <v>#DIV/0!</v>
      </c>
      <c r="Q35" s="5">
        <f t="shared" si="20"/>
        <v>99.87</v>
      </c>
    </row>
    <row r="36" ht="16.9" customHeight="1" spans="1:17">
      <c r="A36" s="22">
        <f t="shared" si="21"/>
        <v>44231</v>
      </c>
      <c r="B36" s="5">
        <v>495.59</v>
      </c>
      <c r="C36" s="12">
        <v>40408</v>
      </c>
      <c r="D36" s="30">
        <v>115</v>
      </c>
      <c r="E36" s="29">
        <v>0</v>
      </c>
      <c r="F36" s="5">
        <v>0</v>
      </c>
      <c r="G36" s="29">
        <v>2</v>
      </c>
      <c r="H36" s="29">
        <v>0</v>
      </c>
      <c r="I36" s="29">
        <v>3</v>
      </c>
      <c r="J36" s="9">
        <f t="shared" si="15"/>
        <v>0.00284597109483271</v>
      </c>
      <c r="K36" s="5">
        <f t="shared" si="16"/>
        <v>4.30947826086957</v>
      </c>
      <c r="L36" s="5">
        <f t="shared" si="17"/>
        <v>12.2646505642447</v>
      </c>
      <c r="M36" s="31">
        <f t="shared" si="22"/>
        <v>0</v>
      </c>
      <c r="N36" s="32">
        <f t="shared" si="23"/>
        <v>0</v>
      </c>
      <c r="O36" s="5" t="e">
        <f t="shared" si="18"/>
        <v>#DIV/0!</v>
      </c>
      <c r="P36" s="5" t="e">
        <f t="shared" si="19"/>
        <v>#DIV/0!</v>
      </c>
      <c r="Q36" s="5">
        <f t="shared" si="20"/>
        <v>247.795</v>
      </c>
    </row>
    <row r="37" ht="16.35" customHeight="1" spans="1:17">
      <c r="A37" s="22">
        <f t="shared" si="21"/>
        <v>44232</v>
      </c>
      <c r="B37" s="5">
        <v>499.22</v>
      </c>
      <c r="C37" s="12">
        <v>32564</v>
      </c>
      <c r="D37" s="30">
        <v>191</v>
      </c>
      <c r="E37" s="29">
        <v>0</v>
      </c>
      <c r="F37" s="5">
        <v>0</v>
      </c>
      <c r="G37" s="29">
        <v>1</v>
      </c>
      <c r="H37" s="29">
        <v>0</v>
      </c>
      <c r="I37" s="29">
        <v>4</v>
      </c>
      <c r="J37" s="9">
        <f t="shared" si="15"/>
        <v>0.00586537280432379</v>
      </c>
      <c r="K37" s="5">
        <f t="shared" si="16"/>
        <v>2.61371727748691</v>
      </c>
      <c r="L37" s="5">
        <f t="shared" si="17"/>
        <v>15.330426237563</v>
      </c>
      <c r="M37" s="31">
        <f t="shared" si="22"/>
        <v>0</v>
      </c>
      <c r="N37" s="32">
        <f t="shared" si="23"/>
        <v>0</v>
      </c>
      <c r="O37" s="5" t="e">
        <f t="shared" si="18"/>
        <v>#DIV/0!</v>
      </c>
      <c r="P37" s="5" t="e">
        <f t="shared" si="19"/>
        <v>#DIV/0!</v>
      </c>
      <c r="Q37" s="5">
        <f t="shared" si="20"/>
        <v>499.22</v>
      </c>
    </row>
    <row r="38" ht="19.9" customHeight="1" spans="1:17">
      <c r="A38" s="22">
        <f t="shared" si="21"/>
        <v>44233</v>
      </c>
      <c r="B38" s="5">
        <v>500</v>
      </c>
      <c r="C38" s="12">
        <v>25670</v>
      </c>
      <c r="D38" s="30">
        <v>334</v>
      </c>
      <c r="E38" s="29">
        <v>0</v>
      </c>
      <c r="F38" s="5">
        <v>0</v>
      </c>
      <c r="G38" s="29">
        <v>4</v>
      </c>
      <c r="H38" s="29">
        <v>1</v>
      </c>
      <c r="I38" s="29">
        <v>4</v>
      </c>
      <c r="J38" s="9">
        <f t="shared" si="15"/>
        <v>0.0130112972341254</v>
      </c>
      <c r="K38" s="5">
        <f t="shared" si="16"/>
        <v>1.49700598802395</v>
      </c>
      <c r="L38" s="5">
        <f t="shared" si="17"/>
        <v>19.4779898714453</v>
      </c>
      <c r="M38" s="31">
        <f t="shared" si="22"/>
        <v>0</v>
      </c>
      <c r="N38" s="32">
        <f t="shared" si="23"/>
        <v>0</v>
      </c>
      <c r="O38" s="5" t="e">
        <f t="shared" si="18"/>
        <v>#DIV/0!</v>
      </c>
      <c r="P38" s="5" t="e">
        <f t="shared" si="19"/>
        <v>#DIV/0!</v>
      </c>
      <c r="Q38" s="5">
        <f t="shared" si="20"/>
        <v>125</v>
      </c>
    </row>
    <row r="39" ht="17.45" customHeight="1" spans="1:17">
      <c r="A39" s="22">
        <f t="shared" si="21"/>
        <v>44234</v>
      </c>
      <c r="B39" s="5">
        <v>499.09</v>
      </c>
      <c r="C39" s="12">
        <v>35250</v>
      </c>
      <c r="D39" s="30">
        <v>407</v>
      </c>
      <c r="E39" s="29">
        <v>0</v>
      </c>
      <c r="F39" s="5">
        <v>0</v>
      </c>
      <c r="G39" s="29">
        <v>3</v>
      </c>
      <c r="H39" s="29">
        <v>1</v>
      </c>
      <c r="I39" s="29">
        <v>2</v>
      </c>
      <c r="J39" s="9">
        <f t="shared" si="15"/>
        <v>0.0115460992907801</v>
      </c>
      <c r="K39" s="5">
        <f t="shared" si="16"/>
        <v>1.22626535626536</v>
      </c>
      <c r="L39" s="5">
        <f t="shared" si="17"/>
        <v>14.1585815602837</v>
      </c>
      <c r="M39" s="31">
        <f t="shared" si="22"/>
        <v>0</v>
      </c>
      <c r="N39" s="32">
        <f t="shared" si="23"/>
        <v>0</v>
      </c>
      <c r="O39" s="5" t="e">
        <f t="shared" si="18"/>
        <v>#DIV/0!</v>
      </c>
      <c r="P39" s="5" t="e">
        <f t="shared" si="19"/>
        <v>#DIV/0!</v>
      </c>
      <c r="Q39" s="5">
        <f t="shared" si="20"/>
        <v>166.363333333333</v>
      </c>
    </row>
    <row r="40" ht="19.9" customHeight="1" spans="1:17">
      <c r="A40" s="22">
        <f t="shared" si="21"/>
        <v>44235</v>
      </c>
      <c r="B40" s="5">
        <v>500</v>
      </c>
      <c r="C40" s="12">
        <v>28193</v>
      </c>
      <c r="D40" s="30">
        <v>454</v>
      </c>
      <c r="E40" s="29">
        <v>0</v>
      </c>
      <c r="F40" s="5">
        <v>0</v>
      </c>
      <c r="G40" s="29">
        <v>11</v>
      </c>
      <c r="H40" s="29">
        <v>1</v>
      </c>
      <c r="I40" s="29">
        <v>5</v>
      </c>
      <c r="J40" s="9">
        <f t="shared" si="15"/>
        <v>0.0161032880502252</v>
      </c>
      <c r="K40" s="5">
        <f t="shared" si="16"/>
        <v>1.10132158590308</v>
      </c>
      <c r="L40" s="5">
        <f t="shared" si="17"/>
        <v>17.7348987337282</v>
      </c>
      <c r="M40" s="31">
        <f t="shared" si="22"/>
        <v>0</v>
      </c>
      <c r="N40" s="32">
        <f t="shared" si="23"/>
        <v>0</v>
      </c>
      <c r="O40" s="5" t="e">
        <f t="shared" si="18"/>
        <v>#DIV/0!</v>
      </c>
      <c r="P40" s="5" t="e">
        <f t="shared" si="19"/>
        <v>#DIV/0!</v>
      </c>
      <c r="Q40" s="5">
        <f t="shared" si="20"/>
        <v>45.4545454545455</v>
      </c>
    </row>
    <row r="41" ht="22.35" customHeight="1" spans="1:17">
      <c r="A41" s="22">
        <f t="shared" si="21"/>
        <v>44236</v>
      </c>
      <c r="B41" s="5">
        <v>500</v>
      </c>
      <c r="C41" s="12">
        <v>28612</v>
      </c>
      <c r="D41" s="30">
        <v>355</v>
      </c>
      <c r="E41" s="29">
        <v>0</v>
      </c>
      <c r="F41" s="5">
        <v>0</v>
      </c>
      <c r="G41" s="29">
        <v>3</v>
      </c>
      <c r="H41" s="29">
        <v>1</v>
      </c>
      <c r="I41" s="29">
        <v>8</v>
      </c>
      <c r="J41" s="9">
        <f t="shared" si="15"/>
        <v>0.0124073815182441</v>
      </c>
      <c r="K41" s="5">
        <f t="shared" si="16"/>
        <v>1.40845070422535</v>
      </c>
      <c r="L41" s="5">
        <f t="shared" si="17"/>
        <v>17.4751852369635</v>
      </c>
      <c r="M41" s="31">
        <f t="shared" si="22"/>
        <v>0</v>
      </c>
      <c r="N41" s="32">
        <f t="shared" si="23"/>
        <v>0</v>
      </c>
      <c r="O41" s="5" t="e">
        <f t="shared" si="18"/>
        <v>#DIV/0!</v>
      </c>
      <c r="P41" s="5" t="e">
        <f t="shared" si="19"/>
        <v>#DIV/0!</v>
      </c>
      <c r="Q41" s="5">
        <f t="shared" si="20"/>
        <v>166.666666666667</v>
      </c>
    </row>
    <row r="42" ht="13.35" customHeight="1" spans="1:17">
      <c r="A42" s="22">
        <f t="shared" si="21"/>
        <v>44237</v>
      </c>
      <c r="B42" s="5">
        <v>500</v>
      </c>
      <c r="C42" s="12">
        <v>26037</v>
      </c>
      <c r="D42" s="30">
        <v>352</v>
      </c>
      <c r="E42" s="29">
        <v>0</v>
      </c>
      <c r="F42" s="5">
        <v>0</v>
      </c>
      <c r="G42" s="29">
        <v>8</v>
      </c>
      <c r="H42" s="29">
        <v>5</v>
      </c>
      <c r="I42" s="29">
        <v>11</v>
      </c>
      <c r="J42" s="9">
        <f t="shared" si="15"/>
        <v>0.0135192226446979</v>
      </c>
      <c r="K42" s="5">
        <f t="shared" si="16"/>
        <v>1.42045454545455</v>
      </c>
      <c r="L42" s="5">
        <f t="shared" si="17"/>
        <v>19.2034412566732</v>
      </c>
      <c r="M42" s="31">
        <f t="shared" si="22"/>
        <v>0</v>
      </c>
      <c r="N42" s="32">
        <f t="shared" si="23"/>
        <v>0</v>
      </c>
      <c r="O42" s="5" t="e">
        <f t="shared" si="18"/>
        <v>#DIV/0!</v>
      </c>
      <c r="P42" s="5" t="e">
        <f t="shared" si="19"/>
        <v>#DIV/0!</v>
      </c>
      <c r="Q42" s="5">
        <f t="shared" si="20"/>
        <v>62.5</v>
      </c>
    </row>
    <row r="43" ht="16.9" customHeight="1" spans="1:17">
      <c r="A43" s="22">
        <f t="shared" si="21"/>
        <v>44238</v>
      </c>
      <c r="B43" s="5">
        <v>25.74</v>
      </c>
      <c r="C43" s="12">
        <v>841</v>
      </c>
      <c r="D43" s="30">
        <v>6</v>
      </c>
      <c r="E43" s="29">
        <v>0</v>
      </c>
      <c r="F43" s="5">
        <v>0</v>
      </c>
      <c r="G43" s="29">
        <v>0</v>
      </c>
      <c r="H43" s="29">
        <v>0</v>
      </c>
      <c r="I43" s="29">
        <v>0</v>
      </c>
      <c r="J43" s="9">
        <f t="shared" si="15"/>
        <v>0.00713436385255648</v>
      </c>
      <c r="K43" s="5">
        <f t="shared" si="16"/>
        <v>4.29</v>
      </c>
      <c r="L43" s="5">
        <f t="shared" si="17"/>
        <v>30.6064209274673</v>
      </c>
      <c r="M43" s="31">
        <f t="shared" si="22"/>
        <v>0</v>
      </c>
      <c r="N43" s="32">
        <f t="shared" si="23"/>
        <v>0</v>
      </c>
      <c r="O43" s="5" t="e">
        <f t="shared" si="18"/>
        <v>#DIV/0!</v>
      </c>
      <c r="P43" s="5" t="e">
        <f t="shared" si="19"/>
        <v>#DIV/0!</v>
      </c>
      <c r="Q43" s="5" t="e">
        <f t="shared" si="20"/>
        <v>#DIV/0!</v>
      </c>
    </row>
    <row r="44" ht="16.9" customHeight="1" spans="1:17">
      <c r="A44" s="22">
        <f t="shared" si="21"/>
        <v>44239</v>
      </c>
      <c r="B44" s="5">
        <v>0</v>
      </c>
      <c r="C44" s="12">
        <v>0</v>
      </c>
      <c r="D44" s="30">
        <v>0</v>
      </c>
      <c r="E44" s="29">
        <v>0</v>
      </c>
      <c r="F44" s="5">
        <v>0</v>
      </c>
      <c r="G44" s="29">
        <v>0</v>
      </c>
      <c r="H44" s="29">
        <v>0</v>
      </c>
      <c r="I44" s="29">
        <v>0</v>
      </c>
      <c r="J44" s="9" t="e">
        <f t="shared" si="15"/>
        <v>#DIV/0!</v>
      </c>
      <c r="K44" s="5" t="e">
        <f t="shared" si="16"/>
        <v>#DIV/0!</v>
      </c>
      <c r="L44" s="5" t="e">
        <f t="shared" si="17"/>
        <v>#DIV/0!</v>
      </c>
      <c r="M44" s="31" t="e">
        <f t="shared" si="22"/>
        <v>#DIV/0!</v>
      </c>
      <c r="N44" s="32" t="e">
        <f t="shared" si="23"/>
        <v>#DIV/0!</v>
      </c>
      <c r="O44" s="5" t="e">
        <f t="shared" si="18"/>
        <v>#DIV/0!</v>
      </c>
      <c r="P44" s="5" t="e">
        <f t="shared" si="19"/>
        <v>#DIV/0!</v>
      </c>
      <c r="Q44" s="5" t="e">
        <f t="shared" si="20"/>
        <v>#DIV/0!</v>
      </c>
    </row>
    <row r="45" ht="12" customHeight="1" spans="1:17">
      <c r="A45" s="22">
        <f t="shared" si="21"/>
        <v>44240</v>
      </c>
      <c r="B45" s="5">
        <v>0</v>
      </c>
      <c r="C45" s="12">
        <v>0</v>
      </c>
      <c r="D45" s="30">
        <v>0</v>
      </c>
      <c r="E45" s="29">
        <v>0</v>
      </c>
      <c r="F45" s="5">
        <v>0</v>
      </c>
      <c r="G45" s="29">
        <v>0</v>
      </c>
      <c r="H45" s="29">
        <v>0</v>
      </c>
      <c r="I45" s="29">
        <v>0</v>
      </c>
      <c r="J45" s="9" t="e">
        <f t="shared" si="15"/>
        <v>#DIV/0!</v>
      </c>
      <c r="K45" s="5" t="e">
        <f t="shared" si="16"/>
        <v>#DIV/0!</v>
      </c>
      <c r="L45" s="5" t="e">
        <f t="shared" si="17"/>
        <v>#DIV/0!</v>
      </c>
      <c r="M45" s="31" t="e">
        <f t="shared" si="22"/>
        <v>#DIV/0!</v>
      </c>
      <c r="N45" s="32" t="e">
        <f t="shared" si="23"/>
        <v>#DIV/0!</v>
      </c>
      <c r="O45" s="5" t="e">
        <f t="shared" si="18"/>
        <v>#DIV/0!</v>
      </c>
      <c r="P45" s="5" t="e">
        <f t="shared" si="19"/>
        <v>#DIV/0!</v>
      </c>
      <c r="Q45" s="5" t="e">
        <f t="shared" si="20"/>
        <v>#DIV/0!</v>
      </c>
    </row>
    <row r="46" ht="15" customHeight="1" spans="1:17">
      <c r="A46" s="22">
        <f t="shared" si="21"/>
        <v>44241</v>
      </c>
      <c r="B46" s="5">
        <v>0</v>
      </c>
      <c r="C46" s="12">
        <v>0</v>
      </c>
      <c r="D46" s="30">
        <v>0</v>
      </c>
      <c r="E46" s="29">
        <v>0</v>
      </c>
      <c r="F46" s="5">
        <v>0</v>
      </c>
      <c r="G46" s="29">
        <v>0</v>
      </c>
      <c r="H46" s="29">
        <v>0</v>
      </c>
      <c r="I46" s="29">
        <v>0</v>
      </c>
      <c r="J46" s="9" t="e">
        <f t="shared" si="15"/>
        <v>#DIV/0!</v>
      </c>
      <c r="K46" s="5" t="e">
        <f t="shared" si="16"/>
        <v>#DIV/0!</v>
      </c>
      <c r="L46" s="5" t="e">
        <f t="shared" si="17"/>
        <v>#DIV/0!</v>
      </c>
      <c r="M46" s="31" t="e">
        <f t="shared" si="22"/>
        <v>#DIV/0!</v>
      </c>
      <c r="N46" s="32" t="e">
        <f t="shared" si="23"/>
        <v>#DIV/0!</v>
      </c>
      <c r="O46" s="5" t="e">
        <f t="shared" si="18"/>
        <v>#DIV/0!</v>
      </c>
      <c r="P46" s="5" t="e">
        <f t="shared" si="19"/>
        <v>#DIV/0!</v>
      </c>
      <c r="Q46" s="5" t="e">
        <f t="shared" si="20"/>
        <v>#DIV/0!</v>
      </c>
    </row>
    <row r="47" ht="15" customHeight="1" spans="1:17">
      <c r="A47" s="22">
        <f t="shared" si="21"/>
        <v>44242</v>
      </c>
      <c r="B47" s="5">
        <v>0</v>
      </c>
      <c r="C47" s="12">
        <v>0</v>
      </c>
      <c r="D47" s="30">
        <v>0</v>
      </c>
      <c r="E47" s="29">
        <v>0</v>
      </c>
      <c r="F47" s="5">
        <v>0</v>
      </c>
      <c r="G47" s="29">
        <v>0</v>
      </c>
      <c r="H47" s="29">
        <v>0</v>
      </c>
      <c r="I47" s="29">
        <v>0</v>
      </c>
      <c r="J47" s="9" t="e">
        <f t="shared" si="15"/>
        <v>#DIV/0!</v>
      </c>
      <c r="K47" s="5" t="e">
        <f t="shared" si="16"/>
        <v>#DIV/0!</v>
      </c>
      <c r="L47" s="5" t="e">
        <f t="shared" si="17"/>
        <v>#DIV/0!</v>
      </c>
      <c r="M47" s="31">
        <v>0</v>
      </c>
      <c r="N47" s="32">
        <v>0</v>
      </c>
      <c r="O47" s="5" t="e">
        <f t="shared" si="18"/>
        <v>#DIV/0!</v>
      </c>
      <c r="P47" s="5" t="e">
        <f t="shared" si="19"/>
        <v>#DIV/0!</v>
      </c>
      <c r="Q47" s="5" t="e">
        <f t="shared" si="20"/>
        <v>#DIV/0!</v>
      </c>
    </row>
    <row r="48" ht="15" customHeight="1" spans="1:17">
      <c r="A48" s="22">
        <f t="shared" si="21"/>
        <v>44243</v>
      </c>
      <c r="B48" s="5">
        <v>0</v>
      </c>
      <c r="C48" s="12">
        <v>0</v>
      </c>
      <c r="D48" s="30">
        <v>0</v>
      </c>
      <c r="E48" s="29">
        <v>0</v>
      </c>
      <c r="F48" s="5">
        <v>0</v>
      </c>
      <c r="G48" s="29">
        <v>0</v>
      </c>
      <c r="H48" s="29">
        <v>0</v>
      </c>
      <c r="I48" s="29">
        <v>0</v>
      </c>
      <c r="J48" s="9" t="e">
        <f t="shared" si="15"/>
        <v>#DIV/0!</v>
      </c>
      <c r="K48" s="5" t="e">
        <f t="shared" si="16"/>
        <v>#DIV/0!</v>
      </c>
      <c r="L48" s="5" t="e">
        <f t="shared" si="17"/>
        <v>#DIV/0!</v>
      </c>
      <c r="M48" s="31">
        <v>0</v>
      </c>
      <c r="N48" s="32">
        <v>0</v>
      </c>
      <c r="O48" s="5" t="e">
        <f t="shared" si="18"/>
        <v>#DIV/0!</v>
      </c>
      <c r="P48" s="5" t="e">
        <f t="shared" si="19"/>
        <v>#DIV/0!</v>
      </c>
      <c r="Q48" s="5" t="e">
        <f t="shared" si="20"/>
        <v>#DIV/0!</v>
      </c>
    </row>
    <row r="49" ht="18.6" customHeight="1" spans="1:17">
      <c r="A49" s="22">
        <f t="shared" si="21"/>
        <v>44244</v>
      </c>
      <c r="B49" s="5">
        <v>0</v>
      </c>
      <c r="C49" s="12">
        <v>0</v>
      </c>
      <c r="D49" s="30">
        <v>0</v>
      </c>
      <c r="E49" s="29">
        <v>0</v>
      </c>
      <c r="F49" s="5">
        <v>0</v>
      </c>
      <c r="G49" s="29">
        <v>0</v>
      </c>
      <c r="H49" s="29">
        <v>0</v>
      </c>
      <c r="I49" s="29">
        <v>0</v>
      </c>
      <c r="J49" s="9" t="e">
        <f t="shared" si="15"/>
        <v>#DIV/0!</v>
      </c>
      <c r="K49" s="5" t="e">
        <f t="shared" si="16"/>
        <v>#DIV/0!</v>
      </c>
      <c r="L49" s="5" t="e">
        <f t="shared" si="17"/>
        <v>#DIV/0!</v>
      </c>
      <c r="M49" s="31">
        <v>0</v>
      </c>
      <c r="N49" s="32">
        <v>0</v>
      </c>
      <c r="O49" s="5" t="e">
        <f t="shared" si="18"/>
        <v>#DIV/0!</v>
      </c>
      <c r="P49" s="5" t="e">
        <f t="shared" si="19"/>
        <v>#DIV/0!</v>
      </c>
      <c r="Q49" s="5" t="e">
        <f t="shared" si="20"/>
        <v>#DIV/0!</v>
      </c>
    </row>
    <row r="50" ht="12.6" customHeight="1" spans="1:17">
      <c r="A50" s="22">
        <f t="shared" si="21"/>
        <v>44245</v>
      </c>
      <c r="B50" s="5">
        <v>500</v>
      </c>
      <c r="C50" s="12">
        <v>29757</v>
      </c>
      <c r="D50" s="30">
        <v>142</v>
      </c>
      <c r="E50" s="29">
        <v>0</v>
      </c>
      <c r="F50" s="5">
        <v>0</v>
      </c>
      <c r="G50" s="29">
        <v>3</v>
      </c>
      <c r="H50" s="29">
        <v>1</v>
      </c>
      <c r="I50" s="29">
        <v>4</v>
      </c>
      <c r="J50" s="9">
        <f t="shared" si="15"/>
        <v>0.00477198642336257</v>
      </c>
      <c r="K50" s="5">
        <f t="shared" si="16"/>
        <v>3.52112676056338</v>
      </c>
      <c r="L50" s="5">
        <f t="shared" si="17"/>
        <v>16.8027690963471</v>
      </c>
      <c r="M50" s="31">
        <f t="shared" ref="M50:M67" si="24">F50/B50</f>
        <v>0</v>
      </c>
      <c r="N50" s="32">
        <f>E50/D50</f>
        <v>0</v>
      </c>
      <c r="O50" s="5" t="e">
        <f t="shared" ref="O50:O62" si="25">F50/E50</f>
        <v>#DIV/0!</v>
      </c>
      <c r="P50" s="5" t="e">
        <f t="shared" ref="P50:P62" si="26">B50/E50</f>
        <v>#DIV/0!</v>
      </c>
      <c r="Q50" s="5">
        <f t="shared" ref="Q50:Q87" si="27">B50/G50</f>
        <v>166.666666666667</v>
      </c>
    </row>
    <row r="51" ht="13.35" customHeight="1" spans="1:17">
      <c r="A51" s="22">
        <f t="shared" si="21"/>
        <v>44246</v>
      </c>
      <c r="B51" s="5">
        <v>497.55</v>
      </c>
      <c r="C51" s="12">
        <v>36628</v>
      </c>
      <c r="D51" s="30">
        <v>137</v>
      </c>
      <c r="E51" s="29" t="s">
        <v>18</v>
      </c>
      <c r="F51" s="5" t="s">
        <v>18</v>
      </c>
      <c r="G51" s="29">
        <v>3</v>
      </c>
      <c r="H51" s="29">
        <v>5</v>
      </c>
      <c r="I51" s="29">
        <v>2</v>
      </c>
      <c r="J51" s="9">
        <f t="shared" si="15"/>
        <v>0.00374030796112264</v>
      </c>
      <c r="K51" s="5">
        <f t="shared" si="16"/>
        <v>3.63175182481752</v>
      </c>
      <c r="L51" s="5">
        <v>13.58</v>
      </c>
      <c r="M51" s="31" t="e">
        <f t="shared" si="24"/>
        <v>#VALUE!</v>
      </c>
      <c r="N51" s="32" t="e">
        <f>E51/D51</f>
        <v>#VALUE!</v>
      </c>
      <c r="O51" s="5" t="e">
        <f t="shared" si="25"/>
        <v>#VALUE!</v>
      </c>
      <c r="P51" s="5" t="e">
        <f t="shared" si="26"/>
        <v>#VALUE!</v>
      </c>
      <c r="Q51" s="5">
        <f t="shared" si="27"/>
        <v>165.85</v>
      </c>
    </row>
    <row r="52" ht="17.45" customHeight="1" spans="1:17">
      <c r="A52" s="22">
        <f t="shared" si="21"/>
        <v>44247</v>
      </c>
      <c r="B52" s="5">
        <v>499.58</v>
      </c>
      <c r="C52" s="12">
        <v>30048</v>
      </c>
      <c r="D52" s="30">
        <v>222</v>
      </c>
      <c r="E52" s="29" t="s">
        <v>18</v>
      </c>
      <c r="F52" s="5" t="s">
        <v>18</v>
      </c>
      <c r="G52" s="29">
        <v>10</v>
      </c>
      <c r="H52" s="29">
        <v>3</v>
      </c>
      <c r="I52" s="29">
        <v>2</v>
      </c>
      <c r="J52" s="9">
        <f t="shared" si="15"/>
        <v>0.00738817891373802</v>
      </c>
      <c r="K52" s="5">
        <f t="shared" si="16"/>
        <v>2.25036036036036</v>
      </c>
      <c r="L52" s="5">
        <v>16.63</v>
      </c>
      <c r="M52" s="31" t="e">
        <f t="shared" si="24"/>
        <v>#VALUE!</v>
      </c>
      <c r="N52" s="32" t="e">
        <f>E52/D52</f>
        <v>#VALUE!</v>
      </c>
      <c r="O52" s="5" t="e">
        <f t="shared" si="25"/>
        <v>#VALUE!</v>
      </c>
      <c r="P52" s="5" t="e">
        <f t="shared" si="26"/>
        <v>#VALUE!</v>
      </c>
      <c r="Q52" s="5">
        <f t="shared" si="27"/>
        <v>49.958</v>
      </c>
    </row>
    <row r="53" ht="15.6" customHeight="1" spans="1:17">
      <c r="A53" s="22">
        <f t="shared" si="21"/>
        <v>44248</v>
      </c>
      <c r="B53" s="5">
        <v>901.95</v>
      </c>
      <c r="C53" s="12">
        <v>65181</v>
      </c>
      <c r="D53" s="30">
        <v>606</v>
      </c>
      <c r="E53" s="29">
        <v>2</v>
      </c>
      <c r="F53" s="5">
        <v>1</v>
      </c>
      <c r="G53" s="29">
        <v>8</v>
      </c>
      <c r="H53" s="29">
        <v>4</v>
      </c>
      <c r="I53" s="29">
        <v>8</v>
      </c>
      <c r="J53" s="9">
        <f t="shared" si="15"/>
        <v>0.00929718783080959</v>
      </c>
      <c r="K53" s="5">
        <f t="shared" si="16"/>
        <v>1.48836633663366</v>
      </c>
      <c r="L53" s="5">
        <v>13.84</v>
      </c>
      <c r="M53" s="31">
        <f t="shared" si="24"/>
        <v>0.00110870890847608</v>
      </c>
      <c r="N53" s="32">
        <f>E53/D53</f>
        <v>0.0033003300330033</v>
      </c>
      <c r="O53" s="5">
        <f t="shared" si="25"/>
        <v>0.5</v>
      </c>
      <c r="P53" s="5">
        <f t="shared" si="26"/>
        <v>450.975</v>
      </c>
      <c r="Q53" s="5">
        <f t="shared" si="27"/>
        <v>112.74375</v>
      </c>
    </row>
    <row r="54" ht="12.6" customHeight="1" spans="1:17">
      <c r="A54" s="22">
        <f t="shared" si="21"/>
        <v>44249</v>
      </c>
      <c r="B54" s="5">
        <v>618.02</v>
      </c>
      <c r="C54" s="12">
        <v>42365</v>
      </c>
      <c r="D54" s="30">
        <v>538</v>
      </c>
      <c r="E54" s="29">
        <v>1</v>
      </c>
      <c r="F54" s="5">
        <v>200</v>
      </c>
      <c r="G54" s="29">
        <v>14</v>
      </c>
      <c r="H54" s="29">
        <v>2</v>
      </c>
      <c r="I54" s="29">
        <v>9</v>
      </c>
      <c r="J54" s="9">
        <v>0.0127</v>
      </c>
      <c r="K54" s="5">
        <v>1.15</v>
      </c>
      <c r="L54" s="5">
        <v>14.59</v>
      </c>
      <c r="M54" s="31">
        <f t="shared" si="24"/>
        <v>0.323614122520307</v>
      </c>
      <c r="N54" s="32">
        <f t="shared" ref="N54:N62" si="28">E54/D54</f>
        <v>0.00185873605947955</v>
      </c>
      <c r="O54" s="5">
        <f t="shared" si="25"/>
        <v>200</v>
      </c>
      <c r="P54" s="5">
        <f t="shared" si="26"/>
        <v>618.02</v>
      </c>
      <c r="Q54" s="5">
        <f t="shared" si="27"/>
        <v>44.1442857142857</v>
      </c>
    </row>
    <row r="55" ht="13.9" customHeight="1" spans="1:17">
      <c r="A55" s="22">
        <f t="shared" si="21"/>
        <v>44250</v>
      </c>
      <c r="B55" s="5">
        <v>498.21</v>
      </c>
      <c r="C55" s="12">
        <v>32983</v>
      </c>
      <c r="D55" s="30">
        <v>467</v>
      </c>
      <c r="E55" s="29">
        <v>2</v>
      </c>
      <c r="F55" s="5">
        <v>0.02</v>
      </c>
      <c r="G55" s="29">
        <v>12</v>
      </c>
      <c r="H55" s="29" t="s">
        <v>18</v>
      </c>
      <c r="I55" s="29">
        <v>6</v>
      </c>
      <c r="J55" s="9">
        <v>0.0142</v>
      </c>
      <c r="K55" s="5">
        <v>1.07</v>
      </c>
      <c r="L55" s="5">
        <v>15.1</v>
      </c>
      <c r="M55" s="31">
        <f t="shared" si="24"/>
        <v>4.01437144979025e-5</v>
      </c>
      <c r="N55" s="32">
        <f t="shared" si="28"/>
        <v>0.00428265524625268</v>
      </c>
      <c r="O55" s="5">
        <f t="shared" si="25"/>
        <v>0.01</v>
      </c>
      <c r="P55" s="5">
        <f t="shared" si="26"/>
        <v>249.105</v>
      </c>
      <c r="Q55" s="5">
        <f t="shared" si="27"/>
        <v>41.5175</v>
      </c>
    </row>
    <row r="56" ht="19.35" customHeight="1" spans="1:17">
      <c r="A56" s="22">
        <f t="shared" si="21"/>
        <v>44251</v>
      </c>
      <c r="B56" s="5">
        <v>499.36</v>
      </c>
      <c r="C56" s="12">
        <v>27040</v>
      </c>
      <c r="D56" s="30">
        <v>477</v>
      </c>
      <c r="E56" s="29" t="s">
        <v>18</v>
      </c>
      <c r="F56" s="5" t="s">
        <v>18</v>
      </c>
      <c r="G56" s="29">
        <v>22</v>
      </c>
      <c r="H56" s="29">
        <v>5</v>
      </c>
      <c r="I56" s="29">
        <v>10</v>
      </c>
      <c r="J56" s="9">
        <v>0.0176</v>
      </c>
      <c r="K56" s="5">
        <v>1.05</v>
      </c>
      <c r="L56" s="5">
        <v>18.47</v>
      </c>
      <c r="M56" s="31" t="e">
        <f t="shared" si="24"/>
        <v>#VALUE!</v>
      </c>
      <c r="N56" s="32" t="e">
        <f t="shared" si="28"/>
        <v>#VALUE!</v>
      </c>
      <c r="O56" s="5" t="e">
        <f t="shared" si="25"/>
        <v>#VALUE!</v>
      </c>
      <c r="P56" s="5" t="e">
        <f t="shared" si="26"/>
        <v>#VALUE!</v>
      </c>
      <c r="Q56" s="5">
        <f t="shared" si="27"/>
        <v>22.6981818181818</v>
      </c>
    </row>
    <row r="57" ht="19.9" customHeight="1" spans="1:17">
      <c r="A57" s="22">
        <f t="shared" si="21"/>
        <v>44252</v>
      </c>
      <c r="B57" s="5">
        <v>499.83</v>
      </c>
      <c r="C57" s="12">
        <v>25251</v>
      </c>
      <c r="D57" s="30">
        <v>355</v>
      </c>
      <c r="E57" s="29" t="s">
        <v>18</v>
      </c>
      <c r="F57" s="5" t="s">
        <v>18</v>
      </c>
      <c r="G57" s="29">
        <v>13</v>
      </c>
      <c r="H57" s="29">
        <v>2</v>
      </c>
      <c r="I57" s="29">
        <v>5</v>
      </c>
      <c r="J57" s="9">
        <v>0.0141</v>
      </c>
      <c r="K57" s="5">
        <v>1.41</v>
      </c>
      <c r="L57" s="5">
        <v>19.79</v>
      </c>
      <c r="M57" s="31" t="e">
        <f t="shared" si="24"/>
        <v>#VALUE!</v>
      </c>
      <c r="N57" s="32" t="e">
        <f t="shared" si="28"/>
        <v>#VALUE!</v>
      </c>
      <c r="O57" s="5" t="e">
        <f t="shared" si="25"/>
        <v>#VALUE!</v>
      </c>
      <c r="P57" s="5" t="e">
        <f t="shared" si="26"/>
        <v>#VALUE!</v>
      </c>
      <c r="Q57" s="5">
        <f t="shared" si="27"/>
        <v>38.4484615384615</v>
      </c>
    </row>
    <row r="58" ht="16.9" customHeight="1" spans="1:17">
      <c r="A58" s="22">
        <f t="shared" si="21"/>
        <v>44253</v>
      </c>
      <c r="B58" s="5">
        <v>498.92</v>
      </c>
      <c r="C58" s="12">
        <v>21852</v>
      </c>
      <c r="D58" s="30">
        <v>317</v>
      </c>
      <c r="E58" s="29" t="s">
        <v>18</v>
      </c>
      <c r="F58" s="5" t="s">
        <v>18</v>
      </c>
      <c r="G58" s="29">
        <v>7</v>
      </c>
      <c r="H58" s="29">
        <v>8</v>
      </c>
      <c r="I58" s="29">
        <v>6</v>
      </c>
      <c r="J58" s="9">
        <v>0.0145</v>
      </c>
      <c r="K58" s="5">
        <v>1.57</v>
      </c>
      <c r="L58" s="5">
        <v>22.83</v>
      </c>
      <c r="M58" s="31" t="e">
        <f t="shared" si="24"/>
        <v>#VALUE!</v>
      </c>
      <c r="N58" s="32" t="e">
        <f t="shared" si="28"/>
        <v>#VALUE!</v>
      </c>
      <c r="O58" s="5" t="e">
        <f t="shared" si="25"/>
        <v>#VALUE!</v>
      </c>
      <c r="P58" s="5" t="e">
        <f t="shared" si="26"/>
        <v>#VALUE!</v>
      </c>
      <c r="Q58" s="5">
        <f t="shared" si="27"/>
        <v>71.2742857142857</v>
      </c>
    </row>
    <row r="59" ht="18" customHeight="1" spans="1:17">
      <c r="A59" s="22">
        <f t="shared" si="21"/>
        <v>44254</v>
      </c>
      <c r="B59" s="5">
        <v>499.72</v>
      </c>
      <c r="C59" s="12">
        <v>22238</v>
      </c>
      <c r="D59" s="30">
        <v>291</v>
      </c>
      <c r="E59" s="29">
        <v>2</v>
      </c>
      <c r="F59" s="5">
        <v>0.02</v>
      </c>
      <c r="G59" s="29">
        <v>14</v>
      </c>
      <c r="H59" s="29">
        <v>4</v>
      </c>
      <c r="I59" s="29">
        <v>6</v>
      </c>
      <c r="J59" s="9">
        <v>0.0131</v>
      </c>
      <c r="K59" s="5">
        <v>1.72</v>
      </c>
      <c r="L59" s="5">
        <v>22.47</v>
      </c>
      <c r="M59" s="31">
        <f t="shared" si="24"/>
        <v>4.00224125510286e-5</v>
      </c>
      <c r="N59" s="32">
        <f t="shared" si="28"/>
        <v>0.00687285223367698</v>
      </c>
      <c r="O59" s="5">
        <f t="shared" si="25"/>
        <v>0.01</v>
      </c>
      <c r="P59" s="5">
        <f t="shared" si="26"/>
        <v>249.86</v>
      </c>
      <c r="Q59" s="5">
        <f t="shared" si="27"/>
        <v>35.6942857142857</v>
      </c>
    </row>
    <row r="60" ht="20.45" customHeight="1" spans="1:17">
      <c r="A60" s="22">
        <f t="shared" si="21"/>
        <v>44255</v>
      </c>
      <c r="B60" s="5">
        <v>500</v>
      </c>
      <c r="C60" s="12">
        <v>22988</v>
      </c>
      <c r="D60" s="30">
        <v>315</v>
      </c>
      <c r="E60" s="29" t="s">
        <v>18</v>
      </c>
      <c r="F60" s="5" t="s">
        <v>18</v>
      </c>
      <c r="G60" s="29">
        <v>10</v>
      </c>
      <c r="H60" s="29">
        <v>11</v>
      </c>
      <c r="I60" s="29">
        <v>4</v>
      </c>
      <c r="J60" s="9">
        <v>0.0137</v>
      </c>
      <c r="K60" s="5">
        <v>1.59</v>
      </c>
      <c r="L60" s="5">
        <v>21.75</v>
      </c>
      <c r="M60" s="31" t="e">
        <f t="shared" si="24"/>
        <v>#VALUE!</v>
      </c>
      <c r="N60" s="32" t="e">
        <f t="shared" si="28"/>
        <v>#VALUE!</v>
      </c>
      <c r="O60" s="33" t="e">
        <f t="shared" si="25"/>
        <v>#VALUE!</v>
      </c>
      <c r="P60" s="5" t="e">
        <f t="shared" si="26"/>
        <v>#VALUE!</v>
      </c>
      <c r="Q60" s="5">
        <f t="shared" si="27"/>
        <v>50</v>
      </c>
    </row>
    <row r="61" spans="1:17">
      <c r="A61" s="22">
        <f t="shared" si="21"/>
        <v>44256</v>
      </c>
      <c r="B61" s="5">
        <v>819.57</v>
      </c>
      <c r="C61" s="12">
        <v>39972</v>
      </c>
      <c r="D61" s="30">
        <v>434</v>
      </c>
      <c r="E61" s="29">
        <v>2</v>
      </c>
      <c r="F61" s="5">
        <v>0.02</v>
      </c>
      <c r="G61" s="29">
        <v>15</v>
      </c>
      <c r="H61" s="29">
        <v>4</v>
      </c>
      <c r="I61" s="29">
        <v>5</v>
      </c>
      <c r="J61" s="9">
        <v>0.0109</v>
      </c>
      <c r="K61" s="5">
        <v>1.89</v>
      </c>
      <c r="L61" s="5">
        <v>20.5</v>
      </c>
      <c r="M61" s="31">
        <f t="shared" si="24"/>
        <v>2.44030406188611e-5</v>
      </c>
      <c r="N61" s="32">
        <f t="shared" si="28"/>
        <v>0.00460829493087558</v>
      </c>
      <c r="O61" s="5">
        <f t="shared" si="25"/>
        <v>0.01</v>
      </c>
      <c r="P61" s="5">
        <f t="shared" si="26"/>
        <v>409.785</v>
      </c>
      <c r="Q61" s="5">
        <f t="shared" si="27"/>
        <v>54.638</v>
      </c>
    </row>
    <row r="62" spans="1:17">
      <c r="A62" s="22">
        <f t="shared" si="21"/>
        <v>44257</v>
      </c>
      <c r="B62" s="5">
        <v>501.78</v>
      </c>
      <c r="C62" s="12">
        <v>25667</v>
      </c>
      <c r="D62" s="30">
        <v>290</v>
      </c>
      <c r="E62" s="29">
        <v>2</v>
      </c>
      <c r="F62" s="5">
        <v>0.02</v>
      </c>
      <c r="G62" s="29">
        <v>15</v>
      </c>
      <c r="H62" s="29">
        <v>4</v>
      </c>
      <c r="I62" s="29">
        <v>5</v>
      </c>
      <c r="J62" s="9">
        <v>0.0113</v>
      </c>
      <c r="K62" s="5">
        <v>1.73</v>
      </c>
      <c r="L62" s="5">
        <v>19.55</v>
      </c>
      <c r="M62" s="31">
        <f t="shared" si="24"/>
        <v>3.98581051456814e-5</v>
      </c>
      <c r="N62" s="34">
        <f t="shared" si="28"/>
        <v>0.00689655172413793</v>
      </c>
      <c r="O62" s="5">
        <f t="shared" si="25"/>
        <v>0.01</v>
      </c>
      <c r="P62" s="5">
        <f t="shared" si="26"/>
        <v>250.89</v>
      </c>
      <c r="Q62" s="5">
        <f t="shared" si="27"/>
        <v>33.452</v>
      </c>
    </row>
    <row r="63" spans="1:17">
      <c r="A63" s="22">
        <f t="shared" si="21"/>
        <v>44258</v>
      </c>
      <c r="B63" s="5">
        <v>505.73</v>
      </c>
      <c r="C63" s="12">
        <v>25354</v>
      </c>
      <c r="D63" s="30">
        <v>251</v>
      </c>
      <c r="E63" s="29">
        <v>1</v>
      </c>
      <c r="F63" s="5">
        <v>200</v>
      </c>
      <c r="G63" s="29">
        <v>9</v>
      </c>
      <c r="H63" s="29">
        <v>3</v>
      </c>
      <c r="I63" s="29">
        <v>1</v>
      </c>
      <c r="J63" s="9">
        <v>0.0099</v>
      </c>
      <c r="K63" s="5">
        <v>2.01</v>
      </c>
      <c r="L63" s="5">
        <v>19.95</v>
      </c>
      <c r="M63" s="31">
        <f t="shared" si="24"/>
        <v>0.395467937436972</v>
      </c>
      <c r="N63" s="34">
        <f t="shared" ref="N63:N180" si="29">E63/D63</f>
        <v>0.00398406374501992</v>
      </c>
      <c r="O63" s="5">
        <f t="shared" ref="O63:O180" si="30">F63/E63</f>
        <v>200</v>
      </c>
      <c r="P63" s="5">
        <f t="shared" ref="P63:P87" si="31">B63/E63</f>
        <v>505.73</v>
      </c>
      <c r="Q63" s="5">
        <f t="shared" si="27"/>
        <v>56.1922222222222</v>
      </c>
    </row>
    <row r="64" spans="1:17">
      <c r="A64" s="22">
        <f t="shared" si="21"/>
        <v>44259</v>
      </c>
      <c r="B64" s="5">
        <v>393.49</v>
      </c>
      <c r="C64" s="12">
        <v>17958</v>
      </c>
      <c r="D64" s="30">
        <v>180</v>
      </c>
      <c r="E64" s="29">
        <v>2</v>
      </c>
      <c r="F64" s="5">
        <v>1.01</v>
      </c>
      <c r="G64" s="29">
        <v>9</v>
      </c>
      <c r="H64" s="29">
        <v>1</v>
      </c>
      <c r="I64" s="29">
        <v>4</v>
      </c>
      <c r="J64" s="9">
        <v>0.01</v>
      </c>
      <c r="K64" s="5">
        <v>2.19</v>
      </c>
      <c r="L64" s="5">
        <v>21.91</v>
      </c>
      <c r="M64" s="31">
        <f t="shared" si="24"/>
        <v>0.00256677425093395</v>
      </c>
      <c r="N64" s="34">
        <f t="shared" si="29"/>
        <v>0.0111111111111111</v>
      </c>
      <c r="O64" s="5">
        <f t="shared" si="30"/>
        <v>0.505</v>
      </c>
      <c r="P64" s="5">
        <f t="shared" si="31"/>
        <v>196.745</v>
      </c>
      <c r="Q64" s="5">
        <f t="shared" si="27"/>
        <v>43.7211111111111</v>
      </c>
    </row>
    <row r="65" spans="1:17">
      <c r="A65" s="22">
        <f t="shared" si="21"/>
        <v>44260</v>
      </c>
      <c r="B65" s="5">
        <v>415.01</v>
      </c>
      <c r="C65" s="12">
        <v>15191</v>
      </c>
      <c r="D65" s="30">
        <v>200</v>
      </c>
      <c r="E65" s="29" t="s">
        <v>18</v>
      </c>
      <c r="F65" s="5" t="s">
        <v>18</v>
      </c>
      <c r="G65" s="29">
        <v>5</v>
      </c>
      <c r="H65" s="29">
        <v>2</v>
      </c>
      <c r="I65" s="29">
        <v>4</v>
      </c>
      <c r="J65" s="9">
        <v>0.0132</v>
      </c>
      <c r="K65" s="5">
        <v>2.08</v>
      </c>
      <c r="L65" s="5">
        <v>27.32</v>
      </c>
      <c r="M65" s="31" t="e">
        <f t="shared" si="24"/>
        <v>#VALUE!</v>
      </c>
      <c r="N65" s="34" t="e">
        <f t="shared" si="29"/>
        <v>#VALUE!</v>
      </c>
      <c r="O65" s="5" t="e">
        <f t="shared" si="30"/>
        <v>#VALUE!</v>
      </c>
      <c r="P65" s="5" t="e">
        <f t="shared" si="31"/>
        <v>#VALUE!</v>
      </c>
      <c r="Q65" s="5">
        <f t="shared" si="27"/>
        <v>83.002</v>
      </c>
    </row>
    <row r="66" spans="1:17">
      <c r="A66" s="22">
        <f t="shared" si="21"/>
        <v>44261</v>
      </c>
      <c r="B66" s="5">
        <v>422.43</v>
      </c>
      <c r="C66" s="12">
        <v>18045</v>
      </c>
      <c r="D66" s="30">
        <v>206</v>
      </c>
      <c r="E66" s="29" t="s">
        <v>18</v>
      </c>
      <c r="F66" s="5" t="s">
        <v>18</v>
      </c>
      <c r="G66" s="29">
        <v>3</v>
      </c>
      <c r="H66" s="29" t="s">
        <v>18</v>
      </c>
      <c r="I66" s="29" t="s">
        <v>18</v>
      </c>
      <c r="J66" s="9">
        <v>0.0114</v>
      </c>
      <c r="K66" s="5">
        <v>2.05</v>
      </c>
      <c r="L66" s="5">
        <v>23.41</v>
      </c>
      <c r="M66" s="31" t="e">
        <f t="shared" si="24"/>
        <v>#VALUE!</v>
      </c>
      <c r="N66" s="34" t="e">
        <f t="shared" si="29"/>
        <v>#VALUE!</v>
      </c>
      <c r="O66" s="5" t="e">
        <f t="shared" si="30"/>
        <v>#VALUE!</v>
      </c>
      <c r="P66" s="33" t="e">
        <f t="shared" si="31"/>
        <v>#VALUE!</v>
      </c>
      <c r="Q66" s="5">
        <f t="shared" si="27"/>
        <v>140.81</v>
      </c>
    </row>
    <row r="67" spans="1:17">
      <c r="A67" s="22">
        <f t="shared" si="21"/>
        <v>44262</v>
      </c>
      <c r="B67" s="5">
        <v>439.77</v>
      </c>
      <c r="C67" s="12">
        <v>16680</v>
      </c>
      <c r="D67" s="30">
        <v>243</v>
      </c>
      <c r="E67" s="29">
        <v>1</v>
      </c>
      <c r="F67" s="5">
        <v>0.01</v>
      </c>
      <c r="G67" s="29">
        <v>6</v>
      </c>
      <c r="H67" s="29" t="s">
        <v>18</v>
      </c>
      <c r="I67" s="29">
        <v>1</v>
      </c>
      <c r="J67" s="9">
        <v>0.0146</v>
      </c>
      <c r="K67" s="5">
        <v>1.81</v>
      </c>
      <c r="L67" s="5">
        <v>26.36</v>
      </c>
      <c r="M67" s="31">
        <f t="shared" si="24"/>
        <v>2.27391591058963e-5</v>
      </c>
      <c r="N67" s="34">
        <f t="shared" si="29"/>
        <v>0.00411522633744856</v>
      </c>
      <c r="O67" s="5">
        <f t="shared" si="30"/>
        <v>0.01</v>
      </c>
      <c r="P67" s="5">
        <f t="shared" si="31"/>
        <v>439.77</v>
      </c>
      <c r="Q67" s="5">
        <f t="shared" si="27"/>
        <v>73.295</v>
      </c>
    </row>
    <row r="68" spans="1:17">
      <c r="A68" s="22">
        <f t="shared" si="21"/>
        <v>44263</v>
      </c>
      <c r="B68" s="5">
        <v>419.7</v>
      </c>
      <c r="C68" s="12">
        <v>19273</v>
      </c>
      <c r="D68" s="12">
        <v>223</v>
      </c>
      <c r="E68" s="29">
        <v>3</v>
      </c>
      <c r="F68" s="5">
        <v>0.03</v>
      </c>
      <c r="G68" s="29">
        <v>5</v>
      </c>
      <c r="H68" s="29">
        <v>3</v>
      </c>
      <c r="I68" s="29">
        <v>2</v>
      </c>
      <c r="J68" s="9">
        <v>0.0116</v>
      </c>
      <c r="K68" s="5">
        <v>1.88</v>
      </c>
      <c r="L68" s="5">
        <v>21.78</v>
      </c>
      <c r="M68" s="13">
        <f t="shared" ref="M68:M83" si="32">F68/B68</f>
        <v>7.14796283059328e-5</v>
      </c>
      <c r="N68" s="34">
        <f t="shared" si="29"/>
        <v>0.0134529147982063</v>
      </c>
      <c r="O68" s="5">
        <f t="shared" si="30"/>
        <v>0.01</v>
      </c>
      <c r="P68" s="5">
        <f t="shared" si="31"/>
        <v>139.9</v>
      </c>
      <c r="Q68" s="5">
        <f t="shared" si="27"/>
        <v>83.94</v>
      </c>
    </row>
    <row r="69" spans="1:17">
      <c r="A69" s="22">
        <f t="shared" si="21"/>
        <v>44264</v>
      </c>
      <c r="B69" s="5">
        <v>500.27</v>
      </c>
      <c r="C69" s="12">
        <v>31309</v>
      </c>
      <c r="D69" s="12">
        <v>280</v>
      </c>
      <c r="E69" s="29">
        <v>1</v>
      </c>
      <c r="F69" s="5">
        <v>0.01</v>
      </c>
      <c r="G69" s="29">
        <v>5</v>
      </c>
      <c r="H69" s="29">
        <v>0</v>
      </c>
      <c r="I69" s="29">
        <v>5</v>
      </c>
      <c r="J69" s="9">
        <v>0.0089</v>
      </c>
      <c r="K69" s="5">
        <v>1.79</v>
      </c>
      <c r="L69" s="5">
        <v>15.98</v>
      </c>
      <c r="M69" s="13">
        <f t="shared" si="32"/>
        <v>1.99892058288524e-5</v>
      </c>
      <c r="N69" s="34">
        <f t="shared" si="29"/>
        <v>0.00357142857142857</v>
      </c>
      <c r="O69" s="5">
        <f t="shared" si="30"/>
        <v>0.01</v>
      </c>
      <c r="P69" s="5">
        <f t="shared" si="31"/>
        <v>500.27</v>
      </c>
      <c r="Q69" s="5">
        <f t="shared" si="27"/>
        <v>100.054</v>
      </c>
    </row>
    <row r="70" spans="1:17">
      <c r="A70" s="22">
        <f t="shared" si="21"/>
        <v>44265</v>
      </c>
      <c r="B70" s="5">
        <v>497.1</v>
      </c>
      <c r="C70" s="12">
        <v>29423</v>
      </c>
      <c r="D70" s="12">
        <v>301</v>
      </c>
      <c r="E70" s="29">
        <v>0</v>
      </c>
      <c r="F70" s="5">
        <v>0</v>
      </c>
      <c r="G70" s="29">
        <v>5</v>
      </c>
      <c r="H70" s="29">
        <v>3</v>
      </c>
      <c r="I70" s="29">
        <v>2</v>
      </c>
      <c r="J70" s="9">
        <v>0.0102</v>
      </c>
      <c r="K70" s="5">
        <v>1.65</v>
      </c>
      <c r="L70" s="5">
        <v>16.89</v>
      </c>
      <c r="M70" s="13">
        <f t="shared" si="32"/>
        <v>0</v>
      </c>
      <c r="N70" s="34">
        <f t="shared" si="29"/>
        <v>0</v>
      </c>
      <c r="O70" s="5" t="e">
        <f t="shared" si="30"/>
        <v>#DIV/0!</v>
      </c>
      <c r="P70" s="5" t="e">
        <f t="shared" si="31"/>
        <v>#DIV/0!</v>
      </c>
      <c r="Q70" s="5">
        <f t="shared" si="27"/>
        <v>99.42</v>
      </c>
    </row>
    <row r="71" spans="1:17">
      <c r="A71" s="22">
        <f t="shared" si="21"/>
        <v>44266</v>
      </c>
      <c r="B71" s="5">
        <v>493.08</v>
      </c>
      <c r="C71" s="12">
        <v>28753</v>
      </c>
      <c r="D71" s="12">
        <v>292</v>
      </c>
      <c r="E71" s="29">
        <v>1</v>
      </c>
      <c r="F71" s="5">
        <v>0.01</v>
      </c>
      <c r="G71" s="29">
        <v>6</v>
      </c>
      <c r="H71" s="29">
        <v>1</v>
      </c>
      <c r="I71" s="29">
        <v>4</v>
      </c>
      <c r="J71" s="9">
        <v>0.0102</v>
      </c>
      <c r="K71" s="5">
        <v>1.69</v>
      </c>
      <c r="L71" s="5">
        <v>17.15</v>
      </c>
      <c r="M71" s="13">
        <f t="shared" si="32"/>
        <v>2.02806846759147e-5</v>
      </c>
      <c r="N71" s="34">
        <f t="shared" si="29"/>
        <v>0.00342465753424658</v>
      </c>
      <c r="O71" s="5">
        <f t="shared" si="30"/>
        <v>0.01</v>
      </c>
      <c r="P71" s="5">
        <f t="shared" si="31"/>
        <v>493.08</v>
      </c>
      <c r="Q71" s="5">
        <f t="shared" si="27"/>
        <v>82.18</v>
      </c>
    </row>
    <row r="72" spans="1:17">
      <c r="A72" s="22">
        <f t="shared" si="21"/>
        <v>44267</v>
      </c>
      <c r="B72" s="5">
        <v>591.52</v>
      </c>
      <c r="C72" s="12">
        <v>36874</v>
      </c>
      <c r="D72" s="12">
        <v>332</v>
      </c>
      <c r="E72" s="29">
        <v>1</v>
      </c>
      <c r="F72" s="5">
        <v>0.01</v>
      </c>
      <c r="G72" s="29">
        <v>18</v>
      </c>
      <c r="H72" s="29">
        <v>0</v>
      </c>
      <c r="I72" s="29">
        <v>7</v>
      </c>
      <c r="J72" s="9">
        <v>0.009</v>
      </c>
      <c r="K72" s="5">
        <v>1.78</v>
      </c>
      <c r="L72" s="5">
        <v>16.04</v>
      </c>
      <c r="M72" s="13">
        <f t="shared" si="32"/>
        <v>1.69055991344333e-5</v>
      </c>
      <c r="N72" s="34">
        <f t="shared" si="29"/>
        <v>0.00301204819277108</v>
      </c>
      <c r="O72" s="5">
        <f t="shared" si="30"/>
        <v>0.01</v>
      </c>
      <c r="P72" s="5">
        <f t="shared" si="31"/>
        <v>591.52</v>
      </c>
      <c r="Q72" s="5">
        <f t="shared" si="27"/>
        <v>32.8622222222222</v>
      </c>
    </row>
    <row r="73" spans="1:17">
      <c r="A73" s="22">
        <f t="shared" si="21"/>
        <v>44268</v>
      </c>
      <c r="B73" s="5">
        <v>579</v>
      </c>
      <c r="C73" s="12">
        <v>35425</v>
      </c>
      <c r="D73" s="12">
        <v>335</v>
      </c>
      <c r="E73" s="29">
        <v>1</v>
      </c>
      <c r="F73" s="5">
        <v>0.01</v>
      </c>
      <c r="G73" s="29">
        <v>11</v>
      </c>
      <c r="H73" s="29">
        <v>2</v>
      </c>
      <c r="I73" s="29">
        <v>1</v>
      </c>
      <c r="J73" s="9">
        <v>0.0095</v>
      </c>
      <c r="K73" s="5">
        <v>1.73</v>
      </c>
      <c r="L73" s="5">
        <v>16.34</v>
      </c>
      <c r="M73" s="13">
        <f t="shared" si="32"/>
        <v>1.72711571675302e-5</v>
      </c>
      <c r="N73" s="34">
        <f t="shared" si="29"/>
        <v>0.00298507462686567</v>
      </c>
      <c r="O73" s="5">
        <f t="shared" si="30"/>
        <v>0.01</v>
      </c>
      <c r="P73" s="5">
        <f t="shared" si="31"/>
        <v>579</v>
      </c>
      <c r="Q73" s="5">
        <f t="shared" si="27"/>
        <v>52.6363636363636</v>
      </c>
    </row>
    <row r="74" spans="1:17">
      <c r="A74" s="22">
        <f t="shared" si="21"/>
        <v>44269</v>
      </c>
      <c r="B74" s="5">
        <v>641.67</v>
      </c>
      <c r="C74" s="12">
        <v>40764</v>
      </c>
      <c r="D74" s="12">
        <v>375</v>
      </c>
      <c r="E74" s="29">
        <v>2</v>
      </c>
      <c r="F74" s="5">
        <v>0.02</v>
      </c>
      <c r="G74" s="29">
        <v>17</v>
      </c>
      <c r="H74" s="29">
        <v>2</v>
      </c>
      <c r="I74" s="29">
        <v>5</v>
      </c>
      <c r="J74" s="9">
        <v>0.0092</v>
      </c>
      <c r="K74" s="5">
        <v>1.71</v>
      </c>
      <c r="L74" s="5">
        <v>15.74</v>
      </c>
      <c r="M74" s="13">
        <f t="shared" si="32"/>
        <v>3.11686692536662e-5</v>
      </c>
      <c r="N74" s="34">
        <f t="shared" si="29"/>
        <v>0.00533333333333333</v>
      </c>
      <c r="O74" s="5">
        <f t="shared" si="30"/>
        <v>0.01</v>
      </c>
      <c r="P74" s="5">
        <f t="shared" si="31"/>
        <v>320.835</v>
      </c>
      <c r="Q74" s="5">
        <f t="shared" si="27"/>
        <v>37.7452941176471</v>
      </c>
    </row>
    <row r="75" spans="1:17">
      <c r="A75" s="22">
        <f t="shared" si="21"/>
        <v>44270</v>
      </c>
      <c r="B75" s="5">
        <v>542.74</v>
      </c>
      <c r="C75" s="12">
        <v>33681</v>
      </c>
      <c r="D75" s="12">
        <v>346</v>
      </c>
      <c r="E75" s="29">
        <v>2</v>
      </c>
      <c r="F75" s="5">
        <v>1.01</v>
      </c>
      <c r="G75" s="29">
        <v>13</v>
      </c>
      <c r="H75" s="29">
        <v>9</v>
      </c>
      <c r="I75" s="29">
        <v>2</v>
      </c>
      <c r="J75" s="9">
        <v>0.01</v>
      </c>
      <c r="K75" s="5">
        <v>1.57</v>
      </c>
      <c r="L75" s="5">
        <v>16.11</v>
      </c>
      <c r="M75" s="13">
        <f t="shared" si="32"/>
        <v>0.00186092788443822</v>
      </c>
      <c r="N75" s="35">
        <f t="shared" si="29"/>
        <v>0.00578034682080925</v>
      </c>
      <c r="O75" s="5">
        <f t="shared" si="30"/>
        <v>0.505</v>
      </c>
      <c r="P75" s="5">
        <f t="shared" si="31"/>
        <v>271.37</v>
      </c>
      <c r="Q75" s="5">
        <f t="shared" si="27"/>
        <v>41.7492307692308</v>
      </c>
    </row>
    <row r="76" spans="1:17">
      <c r="A76" s="22">
        <f t="shared" si="21"/>
        <v>44271</v>
      </c>
      <c r="B76" s="5">
        <v>670.88</v>
      </c>
      <c r="C76" s="12">
        <v>24728</v>
      </c>
      <c r="D76" s="12">
        <v>182</v>
      </c>
      <c r="E76" s="29">
        <v>1</v>
      </c>
      <c r="F76" s="5">
        <v>0.01</v>
      </c>
      <c r="G76" s="29">
        <v>4</v>
      </c>
      <c r="H76" s="29">
        <v>3</v>
      </c>
      <c r="I76" s="29">
        <v>0</v>
      </c>
      <c r="J76" s="9">
        <v>0.0074</v>
      </c>
      <c r="K76" s="5">
        <v>3.69</v>
      </c>
      <c r="L76" s="5">
        <v>27.13</v>
      </c>
      <c r="M76" s="13">
        <f t="shared" si="32"/>
        <v>1.49057953732411e-5</v>
      </c>
      <c r="N76" s="35">
        <f t="shared" si="29"/>
        <v>0.00549450549450549</v>
      </c>
      <c r="O76" s="5">
        <f t="shared" si="30"/>
        <v>0.01</v>
      </c>
      <c r="P76" s="5">
        <f t="shared" si="31"/>
        <v>670.88</v>
      </c>
      <c r="Q76" s="5">
        <f t="shared" si="27"/>
        <v>167.72</v>
      </c>
    </row>
    <row r="77" spans="1:17">
      <c r="A77" s="22">
        <f t="shared" si="21"/>
        <v>44272</v>
      </c>
      <c r="B77" s="5">
        <v>695.56</v>
      </c>
      <c r="C77" s="12">
        <v>33321</v>
      </c>
      <c r="D77" s="12">
        <v>423</v>
      </c>
      <c r="E77" s="29">
        <v>1</v>
      </c>
      <c r="F77" s="5">
        <v>1</v>
      </c>
      <c r="G77" s="29">
        <v>10</v>
      </c>
      <c r="H77" s="29">
        <v>5</v>
      </c>
      <c r="I77" s="29">
        <v>2</v>
      </c>
      <c r="J77" s="9">
        <v>0.0127</v>
      </c>
      <c r="K77" s="5">
        <v>1.64</v>
      </c>
      <c r="L77" s="5">
        <v>20.87</v>
      </c>
      <c r="M77" s="13">
        <f t="shared" si="32"/>
        <v>0.00143769049399045</v>
      </c>
      <c r="N77" s="35">
        <f t="shared" si="29"/>
        <v>0.00236406619385343</v>
      </c>
      <c r="O77" s="5">
        <f t="shared" si="30"/>
        <v>1</v>
      </c>
      <c r="P77" s="5">
        <f t="shared" si="31"/>
        <v>695.56</v>
      </c>
      <c r="Q77" s="5">
        <f t="shared" si="27"/>
        <v>69.556</v>
      </c>
    </row>
    <row r="78" spans="1:17">
      <c r="A78" s="22">
        <f t="shared" si="21"/>
        <v>44273</v>
      </c>
      <c r="B78" s="5">
        <v>699.52</v>
      </c>
      <c r="C78" s="12">
        <v>35405</v>
      </c>
      <c r="D78" s="12">
        <v>598</v>
      </c>
      <c r="E78" s="29">
        <v>0</v>
      </c>
      <c r="F78" s="5">
        <v>0</v>
      </c>
      <c r="G78" s="29">
        <v>15</v>
      </c>
      <c r="H78" s="29">
        <v>8</v>
      </c>
      <c r="I78" s="29">
        <v>3</v>
      </c>
      <c r="J78" s="9">
        <v>0.0169</v>
      </c>
      <c r="K78" s="5">
        <v>1.17</v>
      </c>
      <c r="L78" s="5">
        <v>19.76</v>
      </c>
      <c r="M78" s="13">
        <f t="shared" si="32"/>
        <v>0</v>
      </c>
      <c r="N78" s="35">
        <f t="shared" si="29"/>
        <v>0</v>
      </c>
      <c r="O78" s="5" t="e">
        <f t="shared" si="30"/>
        <v>#DIV/0!</v>
      </c>
      <c r="P78" s="5" t="e">
        <f t="shared" si="31"/>
        <v>#DIV/0!</v>
      </c>
      <c r="Q78" s="5">
        <f t="shared" si="27"/>
        <v>46.6346666666667</v>
      </c>
    </row>
    <row r="79" spans="1:17">
      <c r="A79" s="22">
        <f t="shared" si="21"/>
        <v>44274</v>
      </c>
      <c r="B79" s="5">
        <v>1345.77</v>
      </c>
      <c r="C79" s="12">
        <v>164433</v>
      </c>
      <c r="D79" s="12">
        <v>430</v>
      </c>
      <c r="E79" s="29">
        <v>1</v>
      </c>
      <c r="F79" s="5">
        <v>0.01</v>
      </c>
      <c r="G79" s="29">
        <v>16</v>
      </c>
      <c r="H79" s="29">
        <v>4</v>
      </c>
      <c r="I79" s="29">
        <v>2</v>
      </c>
      <c r="J79" s="9">
        <v>0.0026</v>
      </c>
      <c r="K79" s="5">
        <v>3.13</v>
      </c>
      <c r="L79" s="5">
        <v>8.18</v>
      </c>
      <c r="M79" s="13">
        <f t="shared" si="32"/>
        <v>7.4306902368161e-6</v>
      </c>
      <c r="N79" s="35">
        <f t="shared" si="29"/>
        <v>0.00232558139534884</v>
      </c>
      <c r="O79" s="5">
        <f t="shared" si="30"/>
        <v>0.01</v>
      </c>
      <c r="P79" s="5">
        <f t="shared" si="31"/>
        <v>1345.77</v>
      </c>
      <c r="Q79" s="5">
        <f t="shared" si="27"/>
        <v>84.110625</v>
      </c>
    </row>
    <row r="80" spans="1:17">
      <c r="A80" s="22">
        <f t="shared" si="21"/>
        <v>44275</v>
      </c>
      <c r="B80" s="5">
        <v>946.98</v>
      </c>
      <c r="C80" s="12">
        <v>159441</v>
      </c>
      <c r="D80" s="12">
        <v>165</v>
      </c>
      <c r="E80" s="29">
        <v>0</v>
      </c>
      <c r="F80" s="5">
        <v>0</v>
      </c>
      <c r="G80" s="29">
        <v>1</v>
      </c>
      <c r="H80" s="29">
        <v>1</v>
      </c>
      <c r="I80" s="29">
        <v>0</v>
      </c>
      <c r="J80" s="9">
        <v>0.001</v>
      </c>
      <c r="K80" s="5">
        <v>5.74</v>
      </c>
      <c r="L80" s="5">
        <v>5.94</v>
      </c>
      <c r="M80" s="13">
        <f t="shared" si="32"/>
        <v>0</v>
      </c>
      <c r="N80" s="35">
        <f t="shared" si="29"/>
        <v>0</v>
      </c>
      <c r="O80" s="5" t="e">
        <f t="shared" si="30"/>
        <v>#DIV/0!</v>
      </c>
      <c r="P80" s="5" t="e">
        <f t="shared" si="31"/>
        <v>#DIV/0!</v>
      </c>
      <c r="Q80" s="5">
        <f t="shared" si="27"/>
        <v>946.98</v>
      </c>
    </row>
    <row r="81" spans="1:17">
      <c r="A81" s="22">
        <f t="shared" si="21"/>
        <v>44276</v>
      </c>
      <c r="B81" s="5">
        <v>945.81</v>
      </c>
      <c r="C81" s="12">
        <v>182541</v>
      </c>
      <c r="D81" s="12">
        <v>150</v>
      </c>
      <c r="E81" s="29">
        <v>0</v>
      </c>
      <c r="F81" s="5">
        <v>0</v>
      </c>
      <c r="G81" s="29">
        <v>2</v>
      </c>
      <c r="H81" s="29">
        <v>1</v>
      </c>
      <c r="I81" s="29">
        <v>0</v>
      </c>
      <c r="J81" s="9">
        <v>0.0008</v>
      </c>
      <c r="K81" s="5">
        <v>6.31</v>
      </c>
      <c r="L81" s="5">
        <v>5.18</v>
      </c>
      <c r="M81" s="13">
        <f t="shared" si="32"/>
        <v>0</v>
      </c>
      <c r="N81" s="35">
        <f t="shared" si="29"/>
        <v>0</v>
      </c>
      <c r="O81" s="5" t="e">
        <f t="shared" si="30"/>
        <v>#DIV/0!</v>
      </c>
      <c r="P81" s="5" t="e">
        <f t="shared" si="31"/>
        <v>#DIV/0!</v>
      </c>
      <c r="Q81" s="5">
        <f t="shared" si="27"/>
        <v>472.905</v>
      </c>
    </row>
    <row r="82" ht="13.35" customHeight="1" spans="1:17">
      <c r="A82" s="22">
        <f t="shared" si="21"/>
        <v>44277</v>
      </c>
      <c r="B82" s="5">
        <v>857.67</v>
      </c>
      <c r="C82" s="12">
        <v>195475</v>
      </c>
      <c r="D82" s="12">
        <v>129</v>
      </c>
      <c r="E82" s="29">
        <v>0</v>
      </c>
      <c r="F82" s="5">
        <v>0</v>
      </c>
      <c r="G82" s="29">
        <v>0</v>
      </c>
      <c r="H82" s="29">
        <v>0</v>
      </c>
      <c r="I82" s="29">
        <v>0</v>
      </c>
      <c r="J82" s="9">
        <v>0.0007</v>
      </c>
      <c r="K82" s="5">
        <v>6.65</v>
      </c>
      <c r="L82" s="5">
        <v>4.39</v>
      </c>
      <c r="M82" s="13">
        <f t="shared" si="32"/>
        <v>0</v>
      </c>
      <c r="N82" s="35">
        <f t="shared" si="29"/>
        <v>0</v>
      </c>
      <c r="O82" s="5" t="e">
        <f t="shared" si="30"/>
        <v>#DIV/0!</v>
      </c>
      <c r="P82" s="5" t="e">
        <f t="shared" si="31"/>
        <v>#DIV/0!</v>
      </c>
      <c r="Q82" s="5" t="e">
        <f t="shared" si="27"/>
        <v>#DIV/0!</v>
      </c>
    </row>
    <row r="83" spans="1:17">
      <c r="A83" s="22">
        <f t="shared" si="21"/>
        <v>44278</v>
      </c>
      <c r="B83" s="5">
        <v>1068.73</v>
      </c>
      <c r="C83" s="12">
        <v>191675</v>
      </c>
      <c r="D83" s="12">
        <v>275</v>
      </c>
      <c r="E83" s="29">
        <v>3</v>
      </c>
      <c r="F83" s="5">
        <v>1.02</v>
      </c>
      <c r="G83" s="29">
        <v>7</v>
      </c>
      <c r="H83" s="29">
        <v>1</v>
      </c>
      <c r="I83" s="29">
        <v>1</v>
      </c>
      <c r="J83" s="9">
        <v>0.0014</v>
      </c>
      <c r="K83" s="5">
        <v>3.89</v>
      </c>
      <c r="L83" s="5">
        <v>5.58</v>
      </c>
      <c r="M83" s="13">
        <f t="shared" si="32"/>
        <v>0.000954403825100821</v>
      </c>
      <c r="N83" s="35">
        <f t="shared" si="29"/>
        <v>0.0109090909090909</v>
      </c>
      <c r="O83" s="5">
        <f t="shared" si="30"/>
        <v>0.34</v>
      </c>
      <c r="P83" s="5">
        <f t="shared" si="31"/>
        <v>356.243333333333</v>
      </c>
      <c r="Q83" s="5">
        <f t="shared" si="27"/>
        <v>152.675714285714</v>
      </c>
    </row>
    <row r="84" spans="1:17">
      <c r="A84" s="22">
        <f t="shared" si="21"/>
        <v>44279</v>
      </c>
      <c r="B84" s="5">
        <v>494.97</v>
      </c>
      <c r="C84" s="12">
        <v>36127</v>
      </c>
      <c r="D84" s="12">
        <v>360</v>
      </c>
      <c r="E84" s="29">
        <v>1</v>
      </c>
      <c r="F84" s="5">
        <v>0.01</v>
      </c>
      <c r="G84" s="29">
        <v>8</v>
      </c>
      <c r="H84" s="29">
        <v>4</v>
      </c>
      <c r="I84" s="29">
        <v>0</v>
      </c>
      <c r="J84" s="9">
        <v>0.01</v>
      </c>
      <c r="K84" s="5">
        <v>1.37</v>
      </c>
      <c r="L84" s="5">
        <v>13.7</v>
      </c>
      <c r="M84" s="13">
        <f t="shared" ref="M84:M180" si="33">F84/B84</f>
        <v>2.02032446410894e-5</v>
      </c>
      <c r="N84" s="35">
        <f t="shared" si="29"/>
        <v>0.00277777777777778</v>
      </c>
      <c r="O84" s="5">
        <f t="shared" si="30"/>
        <v>0.01</v>
      </c>
      <c r="P84" s="5">
        <f t="shared" si="31"/>
        <v>494.97</v>
      </c>
      <c r="Q84" s="5">
        <f t="shared" si="27"/>
        <v>61.87125</v>
      </c>
    </row>
    <row r="85" spans="1:17">
      <c r="A85" s="22">
        <f t="shared" si="21"/>
        <v>44280</v>
      </c>
      <c r="B85" s="5">
        <v>493.34</v>
      </c>
      <c r="C85" s="12">
        <v>36213</v>
      </c>
      <c r="D85" s="12">
        <v>385</v>
      </c>
      <c r="E85" s="29">
        <v>0</v>
      </c>
      <c r="F85" s="5">
        <v>0</v>
      </c>
      <c r="G85" s="29">
        <v>3</v>
      </c>
      <c r="H85" s="29">
        <v>2</v>
      </c>
      <c r="I85" s="29">
        <v>0</v>
      </c>
      <c r="J85" s="9">
        <v>0.0106</v>
      </c>
      <c r="K85" s="5">
        <v>1.28</v>
      </c>
      <c r="L85" s="5">
        <v>13.62</v>
      </c>
      <c r="M85" s="13">
        <f t="shared" si="33"/>
        <v>0</v>
      </c>
      <c r="N85" s="35">
        <f t="shared" si="29"/>
        <v>0</v>
      </c>
      <c r="O85" s="5" t="e">
        <f t="shared" si="30"/>
        <v>#DIV/0!</v>
      </c>
      <c r="P85" s="5" t="e">
        <f t="shared" si="31"/>
        <v>#DIV/0!</v>
      </c>
      <c r="Q85" s="5">
        <f t="shared" si="27"/>
        <v>164.446666666667</v>
      </c>
    </row>
    <row r="86" spans="1:17">
      <c r="A86" s="22">
        <f t="shared" si="21"/>
        <v>44281</v>
      </c>
      <c r="B86" s="5">
        <v>497.24</v>
      </c>
      <c r="C86" s="12">
        <v>33943</v>
      </c>
      <c r="D86" s="12">
        <v>425</v>
      </c>
      <c r="E86" s="29">
        <v>0</v>
      </c>
      <c r="F86" s="5">
        <v>0</v>
      </c>
      <c r="G86" s="29">
        <v>6</v>
      </c>
      <c r="H86" s="29">
        <v>5</v>
      </c>
      <c r="I86" s="29">
        <v>1</v>
      </c>
      <c r="J86" s="9">
        <v>0.0125</v>
      </c>
      <c r="K86" s="5">
        <v>1.17</v>
      </c>
      <c r="L86" s="5">
        <v>14.65</v>
      </c>
      <c r="M86" s="13">
        <f t="shared" si="33"/>
        <v>0</v>
      </c>
      <c r="N86" s="35">
        <f t="shared" si="29"/>
        <v>0</v>
      </c>
      <c r="O86" s="5" t="e">
        <f t="shared" si="30"/>
        <v>#DIV/0!</v>
      </c>
      <c r="P86" s="5" t="e">
        <f t="shared" si="31"/>
        <v>#DIV/0!</v>
      </c>
      <c r="Q86" s="5">
        <f t="shared" si="27"/>
        <v>82.8733333333333</v>
      </c>
    </row>
    <row r="87" spans="1:17">
      <c r="A87" s="22">
        <f t="shared" si="21"/>
        <v>44282</v>
      </c>
      <c r="B87" s="5">
        <v>496.2</v>
      </c>
      <c r="C87" s="12">
        <v>37534</v>
      </c>
      <c r="D87" s="12">
        <v>413</v>
      </c>
      <c r="E87" s="29">
        <v>0</v>
      </c>
      <c r="F87" s="5">
        <v>0</v>
      </c>
      <c r="G87" s="29">
        <v>8</v>
      </c>
      <c r="H87" s="29">
        <v>5</v>
      </c>
      <c r="I87" s="29">
        <v>0</v>
      </c>
      <c r="J87" s="9">
        <v>0.011</v>
      </c>
      <c r="K87" s="5">
        <v>1.2</v>
      </c>
      <c r="L87" s="5">
        <v>13.22</v>
      </c>
      <c r="M87" s="13">
        <f t="shared" si="33"/>
        <v>0</v>
      </c>
      <c r="N87" s="35">
        <f t="shared" si="29"/>
        <v>0</v>
      </c>
      <c r="O87" s="5" t="e">
        <f t="shared" si="30"/>
        <v>#DIV/0!</v>
      </c>
      <c r="P87" s="5" t="e">
        <f t="shared" si="31"/>
        <v>#DIV/0!</v>
      </c>
      <c r="Q87" s="5">
        <f t="shared" si="27"/>
        <v>62.025</v>
      </c>
    </row>
    <row r="88" spans="1:17">
      <c r="A88" s="22">
        <f t="shared" si="21"/>
        <v>44283</v>
      </c>
      <c r="B88" s="5">
        <v>205.51</v>
      </c>
      <c r="C88" s="12">
        <v>11293</v>
      </c>
      <c r="D88" s="12">
        <v>160</v>
      </c>
      <c r="E88" s="29">
        <v>0</v>
      </c>
      <c r="F88" s="5">
        <v>0</v>
      </c>
      <c r="G88" s="29">
        <v>3</v>
      </c>
      <c r="H88" s="29">
        <v>1</v>
      </c>
      <c r="I88" s="29">
        <v>0</v>
      </c>
      <c r="J88" s="9">
        <v>0.0142</v>
      </c>
      <c r="K88" s="5">
        <v>1.28</v>
      </c>
      <c r="L88" s="5">
        <v>18.2</v>
      </c>
      <c r="M88" s="13">
        <f t="shared" si="33"/>
        <v>0</v>
      </c>
      <c r="N88" s="35">
        <f t="shared" si="29"/>
        <v>0</v>
      </c>
      <c r="O88" s="5" t="e">
        <f t="shared" si="30"/>
        <v>#DIV/0!</v>
      </c>
      <c r="P88" s="33" t="e">
        <f t="shared" ref="P88:P180" si="34">B88/E88</f>
        <v>#DIV/0!</v>
      </c>
      <c r="Q88" s="5">
        <f t="shared" ref="Q88:Q180" si="35">B88/G88</f>
        <v>68.5033333333333</v>
      </c>
    </row>
    <row r="89" spans="1:17">
      <c r="A89" s="22">
        <f t="shared" si="21"/>
        <v>44284</v>
      </c>
      <c r="B89" s="5">
        <v>496.62</v>
      </c>
      <c r="C89" s="12">
        <v>41446</v>
      </c>
      <c r="D89" s="12">
        <v>321</v>
      </c>
      <c r="E89" s="29">
        <v>0</v>
      </c>
      <c r="F89" s="5">
        <v>0</v>
      </c>
      <c r="G89" s="29">
        <v>4</v>
      </c>
      <c r="H89" s="29">
        <v>3</v>
      </c>
      <c r="I89" s="29">
        <v>0</v>
      </c>
      <c r="J89" s="9">
        <v>0.0077</v>
      </c>
      <c r="K89" s="5">
        <v>1.55</v>
      </c>
      <c r="L89" s="5">
        <v>11.98</v>
      </c>
      <c r="M89" s="13">
        <f t="shared" si="33"/>
        <v>0</v>
      </c>
      <c r="N89" s="35">
        <f t="shared" si="29"/>
        <v>0</v>
      </c>
      <c r="O89" s="5" t="e">
        <f t="shared" si="30"/>
        <v>#DIV/0!</v>
      </c>
      <c r="P89" s="5" t="e">
        <f t="shared" si="34"/>
        <v>#DIV/0!</v>
      </c>
      <c r="Q89" s="5">
        <f t="shared" si="35"/>
        <v>124.155</v>
      </c>
    </row>
    <row r="90" spans="1:17">
      <c r="A90" s="22">
        <f t="shared" si="21"/>
        <v>44285</v>
      </c>
      <c r="B90" s="5">
        <v>497.56</v>
      </c>
      <c r="C90" s="12">
        <v>40864</v>
      </c>
      <c r="D90" s="12">
        <v>332</v>
      </c>
      <c r="E90" s="29">
        <v>0</v>
      </c>
      <c r="F90" s="5">
        <v>0</v>
      </c>
      <c r="G90" s="29">
        <v>1</v>
      </c>
      <c r="H90" s="29">
        <v>1</v>
      </c>
      <c r="I90" s="29">
        <v>2</v>
      </c>
      <c r="J90" s="9">
        <v>0.0081</v>
      </c>
      <c r="K90" s="5">
        <v>1.5</v>
      </c>
      <c r="L90" s="5">
        <v>12.18</v>
      </c>
      <c r="M90" s="13">
        <f t="shared" si="33"/>
        <v>0</v>
      </c>
      <c r="N90" s="35">
        <f t="shared" si="29"/>
        <v>0</v>
      </c>
      <c r="O90" s="5" t="e">
        <f t="shared" si="30"/>
        <v>#DIV/0!</v>
      </c>
      <c r="P90" s="5" t="e">
        <f t="shared" si="34"/>
        <v>#DIV/0!</v>
      </c>
      <c r="Q90" s="5">
        <f t="shared" si="35"/>
        <v>497.56</v>
      </c>
    </row>
    <row r="91" spans="1:17">
      <c r="A91" s="22">
        <f t="shared" si="21"/>
        <v>44286</v>
      </c>
      <c r="B91" s="5">
        <v>495.95</v>
      </c>
      <c r="C91" s="12">
        <v>37720</v>
      </c>
      <c r="D91" s="12">
        <v>262</v>
      </c>
      <c r="E91" s="29">
        <v>0</v>
      </c>
      <c r="F91" s="5">
        <v>0</v>
      </c>
      <c r="G91" s="29">
        <v>8</v>
      </c>
      <c r="H91" s="29">
        <v>0</v>
      </c>
      <c r="I91" s="29">
        <v>1</v>
      </c>
      <c r="J91" s="9">
        <v>0.0069</v>
      </c>
      <c r="K91" s="5">
        <v>1.89</v>
      </c>
      <c r="L91" s="5">
        <v>13.15</v>
      </c>
      <c r="M91" s="13">
        <f t="shared" si="33"/>
        <v>0</v>
      </c>
      <c r="N91" s="35">
        <f t="shared" si="29"/>
        <v>0</v>
      </c>
      <c r="O91" s="5" t="e">
        <f t="shared" si="30"/>
        <v>#DIV/0!</v>
      </c>
      <c r="P91" s="5" t="e">
        <f t="shared" si="34"/>
        <v>#DIV/0!</v>
      </c>
      <c r="Q91" s="5">
        <f t="shared" si="35"/>
        <v>61.99375</v>
      </c>
    </row>
    <row r="92" spans="1:17">
      <c r="A92" s="22">
        <f t="shared" si="21"/>
        <v>44287</v>
      </c>
      <c r="B92" s="5">
        <v>992.77</v>
      </c>
      <c r="C92" s="12">
        <v>55898</v>
      </c>
      <c r="D92" s="12">
        <v>281</v>
      </c>
      <c r="E92" s="29">
        <v>0</v>
      </c>
      <c r="F92" s="5">
        <v>0</v>
      </c>
      <c r="G92" s="29">
        <v>4</v>
      </c>
      <c r="H92" s="29">
        <v>1</v>
      </c>
      <c r="I92" s="29">
        <v>2</v>
      </c>
      <c r="J92" s="9">
        <v>0.005</v>
      </c>
      <c r="K92" s="5">
        <v>3.53</v>
      </c>
      <c r="L92" s="5">
        <v>17.76</v>
      </c>
      <c r="M92" s="13">
        <f t="shared" si="33"/>
        <v>0</v>
      </c>
      <c r="N92" s="35">
        <f t="shared" si="29"/>
        <v>0</v>
      </c>
      <c r="O92" s="5" t="e">
        <f t="shared" si="30"/>
        <v>#DIV/0!</v>
      </c>
      <c r="P92" s="5" t="e">
        <f t="shared" si="34"/>
        <v>#DIV/0!</v>
      </c>
      <c r="Q92" s="5">
        <f t="shared" si="35"/>
        <v>248.1925</v>
      </c>
    </row>
    <row r="93" spans="1:17">
      <c r="A93" s="22">
        <f t="shared" si="21"/>
        <v>44288</v>
      </c>
      <c r="B93" s="5">
        <v>996.86</v>
      </c>
      <c r="C93" s="12">
        <v>54053</v>
      </c>
      <c r="D93" s="12">
        <v>350</v>
      </c>
      <c r="E93" s="29">
        <v>3</v>
      </c>
      <c r="F93" s="5">
        <v>1.02</v>
      </c>
      <c r="G93" s="29">
        <v>3</v>
      </c>
      <c r="H93" s="29">
        <v>2</v>
      </c>
      <c r="I93" s="29">
        <v>1</v>
      </c>
      <c r="J93" s="9">
        <v>0.0065</v>
      </c>
      <c r="K93" s="5">
        <v>2.85</v>
      </c>
      <c r="L93" s="5">
        <v>18.44</v>
      </c>
      <c r="M93" s="13">
        <f t="shared" si="33"/>
        <v>0.0010232128884698</v>
      </c>
      <c r="N93" s="35">
        <f t="shared" si="29"/>
        <v>0.00857142857142857</v>
      </c>
      <c r="O93" s="5">
        <f t="shared" si="30"/>
        <v>0.34</v>
      </c>
      <c r="P93" s="5">
        <f t="shared" si="34"/>
        <v>332.286666666667</v>
      </c>
      <c r="Q93" s="5">
        <f t="shared" si="35"/>
        <v>332.286666666667</v>
      </c>
    </row>
    <row r="94" spans="1:17">
      <c r="A94" s="22">
        <f t="shared" si="21"/>
        <v>44289</v>
      </c>
      <c r="B94" s="5">
        <v>986.25</v>
      </c>
      <c r="C94" s="12">
        <v>65363</v>
      </c>
      <c r="D94" s="12">
        <v>385</v>
      </c>
      <c r="E94" s="29">
        <v>1</v>
      </c>
      <c r="F94" s="5">
        <v>1</v>
      </c>
      <c r="G94" s="29">
        <v>4</v>
      </c>
      <c r="H94" s="29">
        <v>1</v>
      </c>
      <c r="I94" s="29">
        <v>0</v>
      </c>
      <c r="J94" s="9">
        <v>0.0059</v>
      </c>
      <c r="K94" s="5">
        <v>2.56</v>
      </c>
      <c r="L94" s="5">
        <v>15.09</v>
      </c>
      <c r="M94" s="13">
        <f t="shared" si="33"/>
        <v>0.00101394169835234</v>
      </c>
      <c r="N94" s="35">
        <f t="shared" si="29"/>
        <v>0.0025974025974026</v>
      </c>
      <c r="O94" s="5">
        <f t="shared" si="30"/>
        <v>1</v>
      </c>
      <c r="P94" s="5">
        <f t="shared" si="34"/>
        <v>986.25</v>
      </c>
      <c r="Q94" s="5">
        <f t="shared" si="35"/>
        <v>246.5625</v>
      </c>
    </row>
    <row r="95" spans="1:17">
      <c r="A95" s="22">
        <f t="shared" si="21"/>
        <v>44290</v>
      </c>
      <c r="B95" s="5">
        <v>996.15</v>
      </c>
      <c r="C95" s="12">
        <v>51819</v>
      </c>
      <c r="D95" s="12">
        <v>396</v>
      </c>
      <c r="E95" s="29">
        <v>2</v>
      </c>
      <c r="F95" s="5">
        <v>2</v>
      </c>
      <c r="G95" s="29">
        <v>6</v>
      </c>
      <c r="H95" s="29">
        <v>0</v>
      </c>
      <c r="I95" s="29">
        <v>2</v>
      </c>
      <c r="J95" s="9">
        <v>0.0076</v>
      </c>
      <c r="K95" s="5">
        <v>2.52</v>
      </c>
      <c r="L95" s="5">
        <v>19.22</v>
      </c>
      <c r="M95" s="13">
        <f t="shared" si="33"/>
        <v>0.00200772975957436</v>
      </c>
      <c r="N95" s="35">
        <f t="shared" si="29"/>
        <v>0.00505050505050505</v>
      </c>
      <c r="O95" s="5">
        <f t="shared" si="30"/>
        <v>1</v>
      </c>
      <c r="P95" s="5">
        <f t="shared" si="34"/>
        <v>498.075</v>
      </c>
      <c r="Q95" s="5">
        <f t="shared" si="35"/>
        <v>166.025</v>
      </c>
    </row>
    <row r="96" spans="1:17">
      <c r="A96" s="22">
        <f t="shared" si="21"/>
        <v>44291</v>
      </c>
      <c r="B96" s="5">
        <v>998.06</v>
      </c>
      <c r="C96" s="12">
        <v>54119</v>
      </c>
      <c r="D96" s="12">
        <v>396</v>
      </c>
      <c r="E96" s="29">
        <v>4</v>
      </c>
      <c r="F96" s="5">
        <v>6457.02</v>
      </c>
      <c r="G96" s="29">
        <v>3</v>
      </c>
      <c r="H96" s="29">
        <v>2</v>
      </c>
      <c r="I96" s="29">
        <v>2</v>
      </c>
      <c r="J96" s="9">
        <v>0.0073</v>
      </c>
      <c r="K96" s="5">
        <v>2.52</v>
      </c>
      <c r="L96" s="5">
        <v>18.44</v>
      </c>
      <c r="M96" s="13">
        <f t="shared" si="33"/>
        <v>6.46957096767729</v>
      </c>
      <c r="N96" s="35">
        <f t="shared" si="29"/>
        <v>0.0101010101010101</v>
      </c>
      <c r="O96" s="5">
        <f t="shared" si="30"/>
        <v>1614.255</v>
      </c>
      <c r="P96" s="5">
        <f t="shared" si="34"/>
        <v>249.515</v>
      </c>
      <c r="Q96" s="5">
        <f t="shared" si="35"/>
        <v>332.686666666667</v>
      </c>
    </row>
    <row r="97" spans="1:17">
      <c r="A97" s="22">
        <f t="shared" ref="A97:A123" si="36">A96+1</f>
        <v>44292</v>
      </c>
      <c r="B97" s="5">
        <v>998.93</v>
      </c>
      <c r="C97" s="12">
        <v>58600</v>
      </c>
      <c r="D97" s="12">
        <v>372</v>
      </c>
      <c r="E97" s="29">
        <v>3</v>
      </c>
      <c r="F97" s="5">
        <v>2.01</v>
      </c>
      <c r="G97" s="29">
        <v>9</v>
      </c>
      <c r="H97" s="29">
        <v>1</v>
      </c>
      <c r="I97" s="29">
        <v>3</v>
      </c>
      <c r="J97" s="9">
        <v>0.0063</v>
      </c>
      <c r="K97" s="5">
        <v>2.69</v>
      </c>
      <c r="L97" s="5">
        <v>17.05</v>
      </c>
      <c r="M97" s="13">
        <f t="shared" si="33"/>
        <v>0.00201215300371397</v>
      </c>
      <c r="N97" s="35">
        <f t="shared" si="29"/>
        <v>0.00806451612903226</v>
      </c>
      <c r="O97" s="5">
        <f t="shared" si="30"/>
        <v>0.67</v>
      </c>
      <c r="P97" s="5">
        <f t="shared" si="34"/>
        <v>332.976666666667</v>
      </c>
      <c r="Q97" s="5">
        <f t="shared" si="35"/>
        <v>110.992222222222</v>
      </c>
    </row>
    <row r="98" spans="1:17">
      <c r="A98" s="22">
        <f t="shared" si="36"/>
        <v>44293</v>
      </c>
      <c r="B98" s="5">
        <v>998.87</v>
      </c>
      <c r="C98" s="12">
        <v>50092</v>
      </c>
      <c r="D98" s="12">
        <v>273</v>
      </c>
      <c r="E98" s="29">
        <v>1</v>
      </c>
      <c r="F98" s="5">
        <v>0.01</v>
      </c>
      <c r="G98" s="29">
        <v>5</v>
      </c>
      <c r="H98" s="29">
        <v>1</v>
      </c>
      <c r="I98" s="29">
        <v>1</v>
      </c>
      <c r="J98" s="9">
        <v>0.0054</v>
      </c>
      <c r="K98" s="5">
        <v>3.66</v>
      </c>
      <c r="L98" s="5">
        <v>19.96</v>
      </c>
      <c r="M98" s="13">
        <f t="shared" si="33"/>
        <v>1.00113127834453e-5</v>
      </c>
      <c r="N98" s="35">
        <f t="shared" si="29"/>
        <v>0.00366300366300366</v>
      </c>
      <c r="O98" s="5">
        <f t="shared" si="30"/>
        <v>0.01</v>
      </c>
      <c r="P98" s="5">
        <f t="shared" si="34"/>
        <v>998.87</v>
      </c>
      <c r="Q98" s="5">
        <f t="shared" si="35"/>
        <v>199.774</v>
      </c>
    </row>
    <row r="99" spans="1:17">
      <c r="A99" s="22">
        <f t="shared" si="36"/>
        <v>44294</v>
      </c>
      <c r="B99" s="5">
        <v>1187.84</v>
      </c>
      <c r="C99" s="12">
        <v>88771</v>
      </c>
      <c r="D99" s="12">
        <v>838</v>
      </c>
      <c r="E99" s="29">
        <v>1</v>
      </c>
      <c r="F99" s="5">
        <v>0.01</v>
      </c>
      <c r="G99" s="29">
        <v>2</v>
      </c>
      <c r="H99" s="29">
        <v>1</v>
      </c>
      <c r="I99" s="29">
        <v>3</v>
      </c>
      <c r="J99" s="9">
        <v>0.0094</v>
      </c>
      <c r="K99" s="5">
        <v>1.42</v>
      </c>
      <c r="L99" s="5">
        <v>13.37</v>
      </c>
      <c r="M99" s="13">
        <f t="shared" si="33"/>
        <v>8.41864224137931e-6</v>
      </c>
      <c r="N99" s="35">
        <f t="shared" si="29"/>
        <v>0.00119331742243437</v>
      </c>
      <c r="O99" s="5">
        <f t="shared" si="30"/>
        <v>0.01</v>
      </c>
      <c r="P99" s="5">
        <f t="shared" si="34"/>
        <v>1187.84</v>
      </c>
      <c r="Q99" s="5">
        <f t="shared" si="35"/>
        <v>593.92</v>
      </c>
    </row>
    <row r="100" spans="1:17">
      <c r="A100" s="22">
        <f t="shared" si="36"/>
        <v>44295</v>
      </c>
      <c r="B100" s="5">
        <v>1186.98</v>
      </c>
      <c r="C100" s="12">
        <v>91828</v>
      </c>
      <c r="D100" s="12">
        <v>1048</v>
      </c>
      <c r="E100" s="29">
        <v>0</v>
      </c>
      <c r="F100" s="5">
        <v>0</v>
      </c>
      <c r="G100" s="29">
        <v>4</v>
      </c>
      <c r="H100" s="29">
        <v>0</v>
      </c>
      <c r="I100" s="29">
        <v>3</v>
      </c>
      <c r="J100" s="9">
        <v>0.0114</v>
      </c>
      <c r="K100" s="5">
        <v>1.13</v>
      </c>
      <c r="L100" s="5">
        <v>12.93</v>
      </c>
      <c r="M100" s="13">
        <f t="shared" si="33"/>
        <v>0</v>
      </c>
      <c r="N100" s="35">
        <f t="shared" si="29"/>
        <v>0</v>
      </c>
      <c r="O100" s="5" t="e">
        <f t="shared" si="30"/>
        <v>#DIV/0!</v>
      </c>
      <c r="P100" s="5" t="e">
        <f t="shared" si="34"/>
        <v>#DIV/0!</v>
      </c>
      <c r="Q100" s="5">
        <f t="shared" si="35"/>
        <v>296.745</v>
      </c>
    </row>
    <row r="101" spans="1:17">
      <c r="A101" s="22">
        <f t="shared" si="36"/>
        <v>44296</v>
      </c>
      <c r="B101" s="5">
        <v>1179.4</v>
      </c>
      <c r="C101" s="12">
        <v>93236</v>
      </c>
      <c r="D101" s="12">
        <v>991</v>
      </c>
      <c r="E101" s="29">
        <v>1</v>
      </c>
      <c r="F101" s="5">
        <v>0.01</v>
      </c>
      <c r="G101" s="29">
        <v>4</v>
      </c>
      <c r="H101" s="29">
        <v>1</v>
      </c>
      <c r="I101" s="29">
        <v>0</v>
      </c>
      <c r="J101" s="9">
        <v>0.0106</v>
      </c>
      <c r="K101" s="5">
        <v>1.19</v>
      </c>
      <c r="L101" s="5">
        <v>12.65</v>
      </c>
      <c r="M101" s="13">
        <f t="shared" si="33"/>
        <v>8.47888756995082e-6</v>
      </c>
      <c r="N101" s="35">
        <f t="shared" si="29"/>
        <v>0.00100908173562059</v>
      </c>
      <c r="O101" s="5">
        <f t="shared" si="30"/>
        <v>0.01</v>
      </c>
      <c r="P101" s="5">
        <f t="shared" si="34"/>
        <v>1179.4</v>
      </c>
      <c r="Q101" s="5">
        <f t="shared" si="35"/>
        <v>294.85</v>
      </c>
    </row>
    <row r="102" spans="1:17">
      <c r="A102" s="22">
        <f t="shared" si="36"/>
        <v>44297</v>
      </c>
      <c r="B102" s="5">
        <v>1189.41</v>
      </c>
      <c r="C102" s="12">
        <v>97508</v>
      </c>
      <c r="D102" s="12">
        <v>1163</v>
      </c>
      <c r="E102" s="29">
        <v>1</v>
      </c>
      <c r="F102" s="5">
        <v>0.1</v>
      </c>
      <c r="G102" s="29">
        <v>13</v>
      </c>
      <c r="H102" s="29">
        <v>0</v>
      </c>
      <c r="I102" s="29">
        <v>5</v>
      </c>
      <c r="J102" s="9">
        <v>0.0119</v>
      </c>
      <c r="K102" s="5">
        <v>1.02</v>
      </c>
      <c r="L102" s="5">
        <v>12.2</v>
      </c>
      <c r="M102" s="13">
        <f t="shared" si="33"/>
        <v>8.40752978367426e-5</v>
      </c>
      <c r="N102" s="35">
        <f t="shared" si="29"/>
        <v>0.000859845227858985</v>
      </c>
      <c r="O102" s="5">
        <f t="shared" si="30"/>
        <v>0.1</v>
      </c>
      <c r="P102" s="5">
        <f t="shared" si="34"/>
        <v>1189.41</v>
      </c>
      <c r="Q102" s="5">
        <f t="shared" si="35"/>
        <v>91.4930769230769</v>
      </c>
    </row>
    <row r="103" spans="1:17">
      <c r="A103" s="22">
        <f t="shared" si="36"/>
        <v>44298</v>
      </c>
      <c r="B103" s="5">
        <v>1186.62</v>
      </c>
      <c r="C103" s="12">
        <v>91216</v>
      </c>
      <c r="D103" s="12">
        <v>910</v>
      </c>
      <c r="E103" s="29">
        <v>0</v>
      </c>
      <c r="F103" s="5">
        <v>0</v>
      </c>
      <c r="G103" s="29">
        <v>4</v>
      </c>
      <c r="H103" s="29">
        <v>0</v>
      </c>
      <c r="I103" s="29">
        <v>5</v>
      </c>
      <c r="J103" s="9">
        <v>0.01</v>
      </c>
      <c r="K103" s="5">
        <v>1.3</v>
      </c>
      <c r="L103" s="5">
        <v>13.1</v>
      </c>
      <c r="M103" s="13">
        <f t="shared" si="33"/>
        <v>0</v>
      </c>
      <c r="N103" s="35">
        <f t="shared" si="29"/>
        <v>0</v>
      </c>
      <c r="O103" s="5" t="e">
        <f t="shared" si="30"/>
        <v>#DIV/0!</v>
      </c>
      <c r="P103" s="5" t="e">
        <f t="shared" si="34"/>
        <v>#DIV/0!</v>
      </c>
      <c r="Q103" s="5">
        <f t="shared" si="35"/>
        <v>296.655</v>
      </c>
    </row>
    <row r="104" spans="1:17">
      <c r="A104" s="22">
        <f t="shared" si="36"/>
        <v>44299</v>
      </c>
      <c r="B104" s="5">
        <v>1199.04</v>
      </c>
      <c r="C104" s="12">
        <v>87316</v>
      </c>
      <c r="D104" s="12">
        <v>1062</v>
      </c>
      <c r="E104" s="29">
        <v>1</v>
      </c>
      <c r="F104" s="5">
        <v>0.01</v>
      </c>
      <c r="G104" s="29">
        <v>6</v>
      </c>
      <c r="H104" s="29">
        <v>2</v>
      </c>
      <c r="I104" s="29">
        <v>9</v>
      </c>
      <c r="J104" s="9">
        <v>0.0122</v>
      </c>
      <c r="K104" s="5">
        <v>1.13</v>
      </c>
      <c r="L104" s="5">
        <v>13.73</v>
      </c>
      <c r="M104" s="13">
        <f t="shared" si="33"/>
        <v>8.34000533760342e-6</v>
      </c>
      <c r="N104" s="35">
        <f t="shared" si="29"/>
        <v>0.000941619585687382</v>
      </c>
      <c r="O104" s="5">
        <f t="shared" si="30"/>
        <v>0.01</v>
      </c>
      <c r="P104" s="5">
        <f t="shared" si="34"/>
        <v>1199.04</v>
      </c>
      <c r="Q104" s="5">
        <f t="shared" si="35"/>
        <v>199.84</v>
      </c>
    </row>
    <row r="105" spans="1:17">
      <c r="A105" s="22">
        <f t="shared" si="36"/>
        <v>44300</v>
      </c>
      <c r="B105" s="5">
        <v>998.56</v>
      </c>
      <c r="C105" s="12">
        <v>62873</v>
      </c>
      <c r="D105" s="12">
        <v>825</v>
      </c>
      <c r="E105" s="29">
        <v>1</v>
      </c>
      <c r="F105" s="5">
        <v>0.01</v>
      </c>
      <c r="G105" s="29">
        <v>6</v>
      </c>
      <c r="H105" s="29">
        <v>1</v>
      </c>
      <c r="I105" s="29">
        <v>6</v>
      </c>
      <c r="J105" s="9">
        <v>0.0131</v>
      </c>
      <c r="K105" s="5">
        <v>1.21</v>
      </c>
      <c r="L105" s="5">
        <v>15.88</v>
      </c>
      <c r="M105" s="13">
        <f t="shared" si="33"/>
        <v>1.00144207659029e-5</v>
      </c>
      <c r="N105" s="35">
        <f t="shared" si="29"/>
        <v>0.00121212121212121</v>
      </c>
      <c r="O105" s="5">
        <f t="shared" si="30"/>
        <v>0.01</v>
      </c>
      <c r="P105" s="5">
        <f t="shared" si="34"/>
        <v>998.56</v>
      </c>
      <c r="Q105" s="5">
        <f t="shared" si="35"/>
        <v>166.426666666667</v>
      </c>
    </row>
    <row r="106" spans="1:17">
      <c r="A106" s="22">
        <f t="shared" si="36"/>
        <v>44301</v>
      </c>
      <c r="B106" s="5">
        <v>997.84</v>
      </c>
      <c r="C106" s="12">
        <v>54804</v>
      </c>
      <c r="D106" s="12">
        <v>583</v>
      </c>
      <c r="E106" s="29">
        <v>0</v>
      </c>
      <c r="F106" s="5">
        <v>0</v>
      </c>
      <c r="G106" s="29">
        <v>22</v>
      </c>
      <c r="H106" s="29">
        <v>5</v>
      </c>
      <c r="I106" s="29">
        <v>3</v>
      </c>
      <c r="J106" s="9">
        <v>0.0106</v>
      </c>
      <c r="K106" s="5">
        <v>1.71</v>
      </c>
      <c r="L106" s="5">
        <v>18.21</v>
      </c>
      <c r="M106" s="13">
        <f t="shared" si="33"/>
        <v>0</v>
      </c>
      <c r="N106" s="35">
        <f t="shared" si="29"/>
        <v>0</v>
      </c>
      <c r="O106" s="5" t="e">
        <f t="shared" si="30"/>
        <v>#DIV/0!</v>
      </c>
      <c r="P106" s="5" t="e">
        <f t="shared" si="34"/>
        <v>#DIV/0!</v>
      </c>
      <c r="Q106" s="5">
        <f t="shared" si="35"/>
        <v>45.3563636363636</v>
      </c>
    </row>
    <row r="107" spans="1:17">
      <c r="A107" s="22">
        <f t="shared" si="36"/>
        <v>44302</v>
      </c>
      <c r="B107" s="5">
        <v>993.93</v>
      </c>
      <c r="C107" s="12">
        <v>56349</v>
      </c>
      <c r="D107" s="12">
        <v>554</v>
      </c>
      <c r="E107" s="29">
        <v>0</v>
      </c>
      <c r="F107" s="5">
        <v>0</v>
      </c>
      <c r="G107" s="29">
        <v>28</v>
      </c>
      <c r="H107" s="29">
        <v>5</v>
      </c>
      <c r="I107" s="29">
        <v>4</v>
      </c>
      <c r="J107" s="9">
        <v>0.0098</v>
      </c>
      <c r="K107" s="5">
        <v>1.79</v>
      </c>
      <c r="L107" s="5">
        <v>17</v>
      </c>
      <c r="M107" s="13">
        <f t="shared" si="33"/>
        <v>0</v>
      </c>
      <c r="N107" s="35">
        <f t="shared" si="29"/>
        <v>0</v>
      </c>
      <c r="O107" s="5" t="e">
        <f t="shared" si="30"/>
        <v>#DIV/0!</v>
      </c>
      <c r="P107" s="5" t="e">
        <f t="shared" si="34"/>
        <v>#DIV/0!</v>
      </c>
      <c r="Q107" s="5">
        <f t="shared" si="35"/>
        <v>35.4975</v>
      </c>
    </row>
    <row r="108" spans="1:17">
      <c r="A108" s="22">
        <f t="shared" si="36"/>
        <v>44303</v>
      </c>
      <c r="B108" s="5">
        <v>996.02</v>
      </c>
      <c r="C108" s="12">
        <v>56028</v>
      </c>
      <c r="D108" s="12">
        <v>652</v>
      </c>
      <c r="E108" s="29">
        <v>0</v>
      </c>
      <c r="F108" s="5">
        <v>0</v>
      </c>
      <c r="G108" s="29">
        <v>39</v>
      </c>
      <c r="H108" s="29">
        <v>8</v>
      </c>
      <c r="I108" s="29">
        <v>18</v>
      </c>
      <c r="J108" s="9">
        <v>0.0116</v>
      </c>
      <c r="K108" s="5">
        <v>1.53</v>
      </c>
      <c r="L108" s="5">
        <v>17.78</v>
      </c>
      <c r="M108" s="13">
        <f t="shared" si="33"/>
        <v>0</v>
      </c>
      <c r="N108" s="35">
        <f t="shared" si="29"/>
        <v>0</v>
      </c>
      <c r="O108" s="5" t="e">
        <f t="shared" si="30"/>
        <v>#DIV/0!</v>
      </c>
      <c r="P108" s="5" t="e">
        <f t="shared" si="34"/>
        <v>#DIV/0!</v>
      </c>
      <c r="Q108" s="5">
        <f t="shared" si="35"/>
        <v>25.5389743589744</v>
      </c>
    </row>
    <row r="109" spans="1:17">
      <c r="A109" s="22">
        <f t="shared" si="36"/>
        <v>44304</v>
      </c>
      <c r="B109" s="5">
        <v>995.75</v>
      </c>
      <c r="C109" s="12">
        <v>54570</v>
      </c>
      <c r="D109" s="12">
        <v>626</v>
      </c>
      <c r="E109" s="29">
        <v>1</v>
      </c>
      <c r="F109" s="5">
        <v>0.01</v>
      </c>
      <c r="G109" s="29">
        <v>13</v>
      </c>
      <c r="H109" s="29">
        <v>8</v>
      </c>
      <c r="I109" s="29">
        <v>19</v>
      </c>
      <c r="J109" s="9">
        <v>0.0115</v>
      </c>
      <c r="K109" s="5">
        <v>1.59</v>
      </c>
      <c r="L109" s="5">
        <v>18.25</v>
      </c>
      <c r="M109" s="13">
        <f t="shared" si="33"/>
        <v>1.00426813959327e-5</v>
      </c>
      <c r="N109" s="35">
        <f t="shared" si="29"/>
        <v>0.00159744408945687</v>
      </c>
      <c r="O109" s="5">
        <f t="shared" si="30"/>
        <v>0.01</v>
      </c>
      <c r="P109" s="5">
        <f t="shared" si="34"/>
        <v>995.75</v>
      </c>
      <c r="Q109" s="5">
        <f t="shared" si="35"/>
        <v>76.5961538461538</v>
      </c>
    </row>
    <row r="110" spans="1:17">
      <c r="A110" s="22">
        <f t="shared" si="36"/>
        <v>44305</v>
      </c>
      <c r="B110" s="5">
        <v>993.15</v>
      </c>
      <c r="C110" s="12">
        <v>54726</v>
      </c>
      <c r="D110" s="12">
        <v>562</v>
      </c>
      <c r="E110" s="29">
        <v>7</v>
      </c>
      <c r="F110" s="5">
        <v>15432.92</v>
      </c>
      <c r="G110" s="29">
        <v>23</v>
      </c>
      <c r="H110" s="29">
        <v>12</v>
      </c>
      <c r="I110" s="29">
        <v>16</v>
      </c>
      <c r="J110" s="9">
        <v>0.0125</v>
      </c>
      <c r="K110" s="5">
        <v>1.77</v>
      </c>
      <c r="L110" s="5">
        <v>18.15</v>
      </c>
      <c r="M110" s="13">
        <f t="shared" si="33"/>
        <v>15.5393646478377</v>
      </c>
      <c r="N110" s="35">
        <f t="shared" si="29"/>
        <v>0.0124555160142349</v>
      </c>
      <c r="O110" s="5">
        <f t="shared" si="30"/>
        <v>2204.70285714286</v>
      </c>
      <c r="P110" s="5">
        <f t="shared" si="34"/>
        <v>141.878571428571</v>
      </c>
      <c r="Q110" s="5">
        <f t="shared" si="35"/>
        <v>43.1804347826087</v>
      </c>
    </row>
    <row r="111" spans="1:17">
      <c r="A111" s="22">
        <f t="shared" si="36"/>
        <v>44306</v>
      </c>
      <c r="B111" s="5">
        <v>992.23</v>
      </c>
      <c r="C111" s="12">
        <v>52234</v>
      </c>
      <c r="D111" s="12">
        <v>578</v>
      </c>
      <c r="E111" s="29">
        <v>1</v>
      </c>
      <c r="F111" s="5">
        <v>0.01</v>
      </c>
      <c r="G111" s="29">
        <v>27</v>
      </c>
      <c r="H111" s="29">
        <v>7</v>
      </c>
      <c r="I111" s="29">
        <v>14</v>
      </c>
      <c r="J111" s="9">
        <v>0.0017</v>
      </c>
      <c r="K111" s="5">
        <v>1.72</v>
      </c>
      <c r="L111" s="5">
        <v>19</v>
      </c>
      <c r="M111" s="13">
        <f t="shared" si="33"/>
        <v>1.00783084567086e-5</v>
      </c>
      <c r="N111" s="35">
        <f t="shared" si="29"/>
        <v>0.00173010380622837</v>
      </c>
      <c r="O111" s="5">
        <f t="shared" si="30"/>
        <v>0.01</v>
      </c>
      <c r="P111" s="5">
        <f t="shared" si="34"/>
        <v>992.23</v>
      </c>
      <c r="Q111" s="5">
        <f t="shared" si="35"/>
        <v>36.7492592592593</v>
      </c>
    </row>
    <row r="112" spans="1:17">
      <c r="A112" s="22">
        <f t="shared" si="36"/>
        <v>44307</v>
      </c>
      <c r="B112" s="5">
        <v>994.79</v>
      </c>
      <c r="C112" s="12">
        <v>52930</v>
      </c>
      <c r="D112" s="12">
        <v>573</v>
      </c>
      <c r="E112" s="29">
        <v>1</v>
      </c>
      <c r="F112" s="5">
        <v>0.01</v>
      </c>
      <c r="G112" s="29">
        <v>10</v>
      </c>
      <c r="H112" s="29">
        <v>4</v>
      </c>
      <c r="I112" s="29">
        <v>7</v>
      </c>
      <c r="J112" s="9">
        <v>0.0017</v>
      </c>
      <c r="K112" s="5">
        <v>1.74</v>
      </c>
      <c r="L112" s="5">
        <v>18.79</v>
      </c>
      <c r="M112" s="13">
        <f t="shared" si="33"/>
        <v>1.00523728626142e-5</v>
      </c>
      <c r="N112" s="35">
        <f t="shared" si="29"/>
        <v>0.00174520069808028</v>
      </c>
      <c r="O112" s="5">
        <f t="shared" si="30"/>
        <v>0.01</v>
      </c>
      <c r="P112" s="5">
        <f t="shared" si="34"/>
        <v>994.79</v>
      </c>
      <c r="Q112" s="5">
        <f t="shared" si="35"/>
        <v>99.479</v>
      </c>
    </row>
    <row r="113" spans="1:17">
      <c r="A113" s="22">
        <f t="shared" si="36"/>
        <v>44308</v>
      </c>
      <c r="B113" s="5">
        <v>997.52</v>
      </c>
      <c r="C113" s="12">
        <v>50536</v>
      </c>
      <c r="D113" s="12">
        <v>569</v>
      </c>
      <c r="E113" s="29">
        <v>0</v>
      </c>
      <c r="F113" s="5">
        <v>0</v>
      </c>
      <c r="G113" s="29">
        <v>19</v>
      </c>
      <c r="H113" s="29">
        <v>2</v>
      </c>
      <c r="I113" s="29">
        <v>8</v>
      </c>
      <c r="J113" s="9">
        <v>0.0113</v>
      </c>
      <c r="K113" s="5">
        <v>1.75</v>
      </c>
      <c r="L113" s="5">
        <v>19.74</v>
      </c>
      <c r="M113" s="13">
        <f t="shared" si="33"/>
        <v>0</v>
      </c>
      <c r="N113" s="35">
        <f t="shared" si="29"/>
        <v>0</v>
      </c>
      <c r="O113" s="5" t="e">
        <f t="shared" si="30"/>
        <v>#DIV/0!</v>
      </c>
      <c r="P113" s="5" t="e">
        <f t="shared" si="34"/>
        <v>#DIV/0!</v>
      </c>
      <c r="Q113" s="5">
        <f t="shared" si="35"/>
        <v>52.5010526315789</v>
      </c>
    </row>
    <row r="114" spans="1:17">
      <c r="A114" s="22">
        <f t="shared" si="36"/>
        <v>44309</v>
      </c>
      <c r="B114" s="5">
        <v>795.03</v>
      </c>
      <c r="C114" s="12">
        <v>44120</v>
      </c>
      <c r="D114" s="12">
        <v>485</v>
      </c>
      <c r="E114" s="29">
        <v>0</v>
      </c>
      <c r="F114" s="5">
        <v>0</v>
      </c>
      <c r="G114" s="29">
        <v>19</v>
      </c>
      <c r="H114" s="29">
        <v>6</v>
      </c>
      <c r="I114" s="29">
        <v>4</v>
      </c>
      <c r="J114" s="9">
        <v>0.011</v>
      </c>
      <c r="K114" s="5">
        <v>1.64</v>
      </c>
      <c r="L114" s="5">
        <v>18.02</v>
      </c>
      <c r="M114" s="13">
        <f t="shared" si="33"/>
        <v>0</v>
      </c>
      <c r="N114" s="35">
        <f t="shared" si="29"/>
        <v>0</v>
      </c>
      <c r="O114" s="5" t="e">
        <f t="shared" si="30"/>
        <v>#DIV/0!</v>
      </c>
      <c r="P114" s="5" t="e">
        <f t="shared" si="34"/>
        <v>#DIV/0!</v>
      </c>
      <c r="Q114" s="5">
        <f t="shared" si="35"/>
        <v>41.8436842105263</v>
      </c>
    </row>
    <row r="115" spans="1:17">
      <c r="A115" s="22">
        <f t="shared" si="36"/>
        <v>44310</v>
      </c>
      <c r="B115" s="5">
        <v>248.42</v>
      </c>
      <c r="C115" s="12">
        <v>17154</v>
      </c>
      <c r="D115" s="12">
        <v>219</v>
      </c>
      <c r="E115" s="29">
        <v>0</v>
      </c>
      <c r="F115" s="5">
        <v>0</v>
      </c>
      <c r="G115" s="29">
        <v>11</v>
      </c>
      <c r="H115" s="29">
        <v>1</v>
      </c>
      <c r="I115" s="29">
        <v>1</v>
      </c>
      <c r="J115" s="9">
        <v>0.0128</v>
      </c>
      <c r="K115" s="5">
        <v>1.13</v>
      </c>
      <c r="L115" s="5">
        <v>14.48</v>
      </c>
      <c r="M115" s="13">
        <f t="shared" si="33"/>
        <v>0</v>
      </c>
      <c r="N115" s="35">
        <f t="shared" si="29"/>
        <v>0</v>
      </c>
      <c r="O115" s="5" t="e">
        <f t="shared" si="30"/>
        <v>#DIV/0!</v>
      </c>
      <c r="P115" s="5" t="e">
        <f t="shared" si="34"/>
        <v>#DIV/0!</v>
      </c>
      <c r="Q115" s="5">
        <f t="shared" si="35"/>
        <v>22.5836363636364</v>
      </c>
    </row>
    <row r="116" spans="1:17">
      <c r="A116" s="22">
        <f t="shared" si="36"/>
        <v>44311</v>
      </c>
      <c r="B116" s="5">
        <v>248.71</v>
      </c>
      <c r="C116" s="12">
        <v>18651</v>
      </c>
      <c r="D116" s="12">
        <v>228</v>
      </c>
      <c r="E116" s="29">
        <v>0</v>
      </c>
      <c r="F116" s="5">
        <v>0</v>
      </c>
      <c r="G116" s="29">
        <v>5</v>
      </c>
      <c r="H116" s="29">
        <v>4</v>
      </c>
      <c r="I116" s="29">
        <v>0</v>
      </c>
      <c r="J116" s="9">
        <v>0.0122</v>
      </c>
      <c r="K116" s="5">
        <v>1.09</v>
      </c>
      <c r="L116" s="5">
        <v>13.33</v>
      </c>
      <c r="M116" s="13">
        <f t="shared" si="33"/>
        <v>0</v>
      </c>
      <c r="N116" s="35">
        <f t="shared" si="29"/>
        <v>0</v>
      </c>
      <c r="O116" s="5" t="e">
        <f t="shared" si="30"/>
        <v>#DIV/0!</v>
      </c>
      <c r="P116" s="5" t="e">
        <f t="shared" si="34"/>
        <v>#DIV/0!</v>
      </c>
      <c r="Q116" s="5">
        <f t="shared" si="35"/>
        <v>49.742</v>
      </c>
    </row>
    <row r="117" spans="1:17">
      <c r="A117" s="22">
        <f t="shared" si="36"/>
        <v>44312</v>
      </c>
      <c r="B117" s="5">
        <v>248.49</v>
      </c>
      <c r="C117" s="12">
        <v>21409</v>
      </c>
      <c r="D117" s="12">
        <v>290</v>
      </c>
      <c r="E117" s="29">
        <v>0</v>
      </c>
      <c r="F117" s="5">
        <v>0</v>
      </c>
      <c r="G117" s="29">
        <v>21</v>
      </c>
      <c r="H117" s="29">
        <v>4</v>
      </c>
      <c r="I117" s="29">
        <v>3</v>
      </c>
      <c r="J117" s="9">
        <v>0.0135</v>
      </c>
      <c r="K117" s="5">
        <v>0.86</v>
      </c>
      <c r="L117" s="5">
        <v>11.61</v>
      </c>
      <c r="M117" s="13">
        <f t="shared" si="33"/>
        <v>0</v>
      </c>
      <c r="N117" s="35">
        <f t="shared" si="29"/>
        <v>0</v>
      </c>
      <c r="O117" s="5" t="e">
        <f t="shared" si="30"/>
        <v>#DIV/0!</v>
      </c>
      <c r="P117" s="5" t="e">
        <f t="shared" si="34"/>
        <v>#DIV/0!</v>
      </c>
      <c r="Q117" s="5">
        <f t="shared" si="35"/>
        <v>11.8328571428571</v>
      </c>
    </row>
    <row r="118" spans="1:17">
      <c r="A118" s="22">
        <f t="shared" si="36"/>
        <v>44313</v>
      </c>
      <c r="B118" s="5">
        <v>249.47</v>
      </c>
      <c r="C118" s="12">
        <v>22672</v>
      </c>
      <c r="D118" s="12">
        <v>275</v>
      </c>
      <c r="E118" s="29">
        <v>1</v>
      </c>
      <c r="F118" s="5">
        <v>0.01</v>
      </c>
      <c r="G118" s="29">
        <v>11</v>
      </c>
      <c r="H118" s="29">
        <v>4</v>
      </c>
      <c r="I118" s="29">
        <v>0</v>
      </c>
      <c r="J118" s="9">
        <v>0.0121</v>
      </c>
      <c r="K118" s="5">
        <v>0.91</v>
      </c>
      <c r="L118" s="5">
        <v>11</v>
      </c>
      <c r="M118" s="13">
        <f t="shared" si="33"/>
        <v>4.00849801579348e-5</v>
      </c>
      <c r="N118" s="35">
        <f t="shared" si="29"/>
        <v>0.00363636363636364</v>
      </c>
      <c r="O118" s="5">
        <f t="shared" si="30"/>
        <v>0.01</v>
      </c>
      <c r="P118" s="5">
        <f t="shared" si="34"/>
        <v>249.47</v>
      </c>
      <c r="Q118" s="5">
        <f t="shared" si="35"/>
        <v>22.6790909090909</v>
      </c>
    </row>
    <row r="119" spans="1:17">
      <c r="A119" s="22">
        <f t="shared" si="36"/>
        <v>44314</v>
      </c>
      <c r="B119" s="5">
        <v>247.69</v>
      </c>
      <c r="C119" s="12">
        <v>22493</v>
      </c>
      <c r="D119" s="12">
        <v>299</v>
      </c>
      <c r="E119" s="29">
        <v>0</v>
      </c>
      <c r="F119" s="5">
        <v>0</v>
      </c>
      <c r="G119" s="29">
        <v>16</v>
      </c>
      <c r="H119" s="29">
        <v>2</v>
      </c>
      <c r="I119" s="29">
        <v>0</v>
      </c>
      <c r="J119" s="9">
        <v>0.0133</v>
      </c>
      <c r="K119" s="5">
        <v>0.83</v>
      </c>
      <c r="L119" s="5">
        <v>11.01</v>
      </c>
      <c r="M119" s="13">
        <f t="shared" si="33"/>
        <v>0</v>
      </c>
      <c r="N119" s="35">
        <f t="shared" si="29"/>
        <v>0</v>
      </c>
      <c r="O119" s="5" t="e">
        <f t="shared" si="30"/>
        <v>#DIV/0!</v>
      </c>
      <c r="P119" s="5" t="e">
        <f t="shared" si="34"/>
        <v>#DIV/0!</v>
      </c>
      <c r="Q119" s="5">
        <f t="shared" si="35"/>
        <v>15.480625</v>
      </c>
    </row>
    <row r="120" spans="1:17">
      <c r="A120" s="22">
        <f t="shared" si="36"/>
        <v>44315</v>
      </c>
      <c r="B120" s="5">
        <v>247.09</v>
      </c>
      <c r="C120" s="12">
        <v>20948</v>
      </c>
      <c r="D120" s="12">
        <v>275</v>
      </c>
      <c r="E120" s="29">
        <v>0</v>
      </c>
      <c r="F120" s="5">
        <v>0</v>
      </c>
      <c r="G120" s="29">
        <v>7</v>
      </c>
      <c r="H120" s="29">
        <v>0</v>
      </c>
      <c r="I120" s="29">
        <v>1</v>
      </c>
      <c r="J120" s="9">
        <v>0.0131</v>
      </c>
      <c r="K120" s="5">
        <v>0.9</v>
      </c>
      <c r="L120" s="5">
        <v>11.8</v>
      </c>
      <c r="M120" s="13">
        <f t="shared" si="33"/>
        <v>0</v>
      </c>
      <c r="N120" s="35">
        <f t="shared" si="29"/>
        <v>0</v>
      </c>
      <c r="O120" s="5" t="e">
        <f t="shared" si="30"/>
        <v>#DIV/0!</v>
      </c>
      <c r="P120" s="5" t="e">
        <f t="shared" si="34"/>
        <v>#DIV/0!</v>
      </c>
      <c r="Q120" s="5">
        <f t="shared" si="35"/>
        <v>35.2985714285714</v>
      </c>
    </row>
    <row r="121" spans="1:17">
      <c r="A121" s="22">
        <f t="shared" si="36"/>
        <v>44316</v>
      </c>
      <c r="B121" s="5">
        <v>249.26</v>
      </c>
      <c r="C121" s="12">
        <v>19605</v>
      </c>
      <c r="D121" s="12">
        <v>276</v>
      </c>
      <c r="E121" s="29">
        <v>1</v>
      </c>
      <c r="F121" s="5">
        <v>16877</v>
      </c>
      <c r="G121" s="29">
        <v>9</v>
      </c>
      <c r="H121" s="29">
        <v>0</v>
      </c>
      <c r="I121" s="29">
        <v>1</v>
      </c>
      <c r="J121" s="9">
        <v>0.0141</v>
      </c>
      <c r="K121" s="5">
        <v>0.9</v>
      </c>
      <c r="L121" s="5">
        <v>12.71</v>
      </c>
      <c r="M121" s="13">
        <f t="shared" si="33"/>
        <v>67.7084169140656</v>
      </c>
      <c r="N121" s="35">
        <f t="shared" si="29"/>
        <v>0.0036231884057971</v>
      </c>
      <c r="O121" s="5">
        <f t="shared" si="30"/>
        <v>16877</v>
      </c>
      <c r="P121" s="5">
        <f t="shared" si="34"/>
        <v>249.26</v>
      </c>
      <c r="Q121" s="5">
        <f t="shared" si="35"/>
        <v>27.6955555555556</v>
      </c>
    </row>
    <row r="122" spans="1:17">
      <c r="A122" s="22">
        <f t="shared" si="36"/>
        <v>44317</v>
      </c>
      <c r="B122" s="5">
        <v>288.58</v>
      </c>
      <c r="C122" s="12">
        <v>16063</v>
      </c>
      <c r="D122" s="12">
        <v>147</v>
      </c>
      <c r="E122" s="29">
        <v>0</v>
      </c>
      <c r="F122" s="5">
        <v>0</v>
      </c>
      <c r="G122" s="29">
        <v>4</v>
      </c>
      <c r="H122" s="29">
        <v>0</v>
      </c>
      <c r="I122" s="29">
        <v>0</v>
      </c>
      <c r="J122" s="9">
        <v>0.0092</v>
      </c>
      <c r="K122" s="5">
        <v>1.96</v>
      </c>
      <c r="L122" s="5">
        <v>17.97</v>
      </c>
      <c r="M122" s="13">
        <f t="shared" si="33"/>
        <v>0</v>
      </c>
      <c r="N122" s="35">
        <f t="shared" si="29"/>
        <v>0</v>
      </c>
      <c r="O122" s="5" t="e">
        <f t="shared" si="30"/>
        <v>#DIV/0!</v>
      </c>
      <c r="P122" s="5" t="e">
        <f t="shared" si="34"/>
        <v>#DIV/0!</v>
      </c>
      <c r="Q122" s="5">
        <f t="shared" si="35"/>
        <v>72.145</v>
      </c>
    </row>
    <row r="123" spans="1:17">
      <c r="A123" s="22">
        <f t="shared" si="36"/>
        <v>44318</v>
      </c>
      <c r="B123" s="5">
        <v>294.79</v>
      </c>
      <c r="C123" s="12">
        <v>19164</v>
      </c>
      <c r="D123" s="12">
        <v>252</v>
      </c>
      <c r="E123" s="29">
        <v>0</v>
      </c>
      <c r="F123" s="5">
        <v>0</v>
      </c>
      <c r="G123" s="29">
        <v>4</v>
      </c>
      <c r="H123" s="29">
        <v>2</v>
      </c>
      <c r="I123" s="29">
        <v>0</v>
      </c>
      <c r="J123" s="9">
        <v>0.0131</v>
      </c>
      <c r="K123" s="5">
        <v>1.17</v>
      </c>
      <c r="L123" s="5">
        <v>15.38</v>
      </c>
      <c r="M123" s="13">
        <f t="shared" si="33"/>
        <v>0</v>
      </c>
      <c r="N123" s="35">
        <f t="shared" si="29"/>
        <v>0</v>
      </c>
      <c r="O123" s="5" t="e">
        <f t="shared" si="30"/>
        <v>#DIV/0!</v>
      </c>
      <c r="P123" s="5" t="e">
        <f t="shared" si="34"/>
        <v>#DIV/0!</v>
      </c>
      <c r="Q123" s="5">
        <f t="shared" si="35"/>
        <v>73.6975</v>
      </c>
    </row>
    <row r="124" spans="1:17">
      <c r="A124" s="22">
        <f t="shared" ref="A124:A130" si="37">A123+1</f>
        <v>44319</v>
      </c>
      <c r="B124" s="5">
        <v>299.53</v>
      </c>
      <c r="C124" s="12">
        <v>33498</v>
      </c>
      <c r="D124" s="12">
        <v>596</v>
      </c>
      <c r="E124" s="29">
        <v>0</v>
      </c>
      <c r="F124" s="5">
        <v>0</v>
      </c>
      <c r="G124" s="29">
        <v>3</v>
      </c>
      <c r="H124" s="29">
        <v>0</v>
      </c>
      <c r="I124" s="29">
        <v>0</v>
      </c>
      <c r="J124" s="9">
        <v>0.0178</v>
      </c>
      <c r="K124" s="5">
        <v>0.5</v>
      </c>
      <c r="L124" s="5">
        <v>8.94</v>
      </c>
      <c r="M124" s="13">
        <f t="shared" si="33"/>
        <v>0</v>
      </c>
      <c r="N124" s="35">
        <f t="shared" si="29"/>
        <v>0</v>
      </c>
      <c r="O124" s="5" t="e">
        <f t="shared" si="30"/>
        <v>#DIV/0!</v>
      </c>
      <c r="P124" s="5" t="e">
        <f t="shared" si="34"/>
        <v>#DIV/0!</v>
      </c>
      <c r="Q124" s="5">
        <f t="shared" si="35"/>
        <v>99.8433333333333</v>
      </c>
    </row>
    <row r="125" spans="1:17">
      <c r="A125" s="22">
        <f t="shared" si="37"/>
        <v>44320</v>
      </c>
      <c r="B125" s="5">
        <v>295.64</v>
      </c>
      <c r="C125" s="12">
        <v>31396</v>
      </c>
      <c r="D125" s="12">
        <v>493</v>
      </c>
      <c r="E125" s="29">
        <v>0</v>
      </c>
      <c r="F125" s="5">
        <v>0</v>
      </c>
      <c r="G125" s="29">
        <v>0</v>
      </c>
      <c r="H125" s="29">
        <v>0</v>
      </c>
      <c r="I125" s="29">
        <v>4</v>
      </c>
      <c r="J125" s="9">
        <v>0.0148</v>
      </c>
      <c r="K125" s="5">
        <v>0.6</v>
      </c>
      <c r="L125" s="5">
        <v>8.87</v>
      </c>
      <c r="M125" s="13">
        <f t="shared" si="33"/>
        <v>0</v>
      </c>
      <c r="N125" s="35">
        <f t="shared" si="29"/>
        <v>0</v>
      </c>
      <c r="O125" s="5" t="e">
        <f t="shared" si="30"/>
        <v>#DIV/0!</v>
      </c>
      <c r="P125" s="5" t="e">
        <f t="shared" si="34"/>
        <v>#DIV/0!</v>
      </c>
      <c r="Q125" s="5" t="e">
        <f t="shared" si="35"/>
        <v>#DIV/0!</v>
      </c>
    </row>
    <row r="126" spans="1:17">
      <c r="A126" s="22">
        <f t="shared" si="37"/>
        <v>44321</v>
      </c>
      <c r="B126" s="5">
        <v>296.6</v>
      </c>
      <c r="C126" s="12">
        <v>30019</v>
      </c>
      <c r="D126" s="12">
        <v>474</v>
      </c>
      <c r="E126" s="29">
        <v>0</v>
      </c>
      <c r="F126" s="5">
        <v>0</v>
      </c>
      <c r="G126" s="29">
        <v>0</v>
      </c>
      <c r="H126" s="29">
        <v>0</v>
      </c>
      <c r="I126" s="29">
        <v>6</v>
      </c>
      <c r="J126" s="9">
        <v>0.0158</v>
      </c>
      <c r="K126" s="5">
        <v>0.63</v>
      </c>
      <c r="L126" s="5">
        <v>9.88</v>
      </c>
      <c r="M126" s="13">
        <f t="shared" si="33"/>
        <v>0</v>
      </c>
      <c r="N126" s="35">
        <f t="shared" si="29"/>
        <v>0</v>
      </c>
      <c r="O126" s="5" t="e">
        <f t="shared" si="30"/>
        <v>#DIV/0!</v>
      </c>
      <c r="P126" s="5" t="e">
        <f t="shared" si="34"/>
        <v>#DIV/0!</v>
      </c>
      <c r="Q126" s="5" t="e">
        <f t="shared" si="35"/>
        <v>#DIV/0!</v>
      </c>
    </row>
    <row r="127" spans="1:17">
      <c r="A127" s="22">
        <f t="shared" si="37"/>
        <v>44322</v>
      </c>
      <c r="B127" s="5">
        <v>298.53</v>
      </c>
      <c r="C127" s="12">
        <v>36156</v>
      </c>
      <c r="D127" s="12">
        <v>610</v>
      </c>
      <c r="E127" s="29">
        <v>0</v>
      </c>
      <c r="F127" s="5">
        <v>0</v>
      </c>
      <c r="G127" s="29">
        <v>3</v>
      </c>
      <c r="H127" s="29">
        <v>1</v>
      </c>
      <c r="I127" s="29">
        <v>5</v>
      </c>
      <c r="J127" s="9">
        <v>0.0169</v>
      </c>
      <c r="K127" s="5">
        <v>0.49</v>
      </c>
      <c r="L127" s="5">
        <v>8.26</v>
      </c>
      <c r="M127" s="13">
        <f t="shared" si="33"/>
        <v>0</v>
      </c>
      <c r="N127" s="35">
        <f t="shared" si="29"/>
        <v>0</v>
      </c>
      <c r="O127" s="5" t="e">
        <f t="shared" si="30"/>
        <v>#DIV/0!</v>
      </c>
      <c r="P127" s="5" t="e">
        <f t="shared" si="34"/>
        <v>#DIV/0!</v>
      </c>
      <c r="Q127" s="5">
        <f t="shared" si="35"/>
        <v>99.51</v>
      </c>
    </row>
    <row r="128" spans="1:17">
      <c r="A128" s="22">
        <f t="shared" si="37"/>
        <v>44323</v>
      </c>
      <c r="B128" s="5">
        <v>299.01</v>
      </c>
      <c r="C128" s="12">
        <v>25757</v>
      </c>
      <c r="D128" s="12">
        <v>396</v>
      </c>
      <c r="E128" s="29">
        <v>0</v>
      </c>
      <c r="F128" s="5">
        <v>0</v>
      </c>
      <c r="G128" s="29">
        <v>4</v>
      </c>
      <c r="H128" s="29">
        <v>1</v>
      </c>
      <c r="I128" s="29">
        <v>3</v>
      </c>
      <c r="J128" s="9">
        <v>0.0153</v>
      </c>
      <c r="K128" s="5">
        <v>0.76</v>
      </c>
      <c r="L128" s="5">
        <v>11.61</v>
      </c>
      <c r="M128" s="13">
        <f t="shared" si="33"/>
        <v>0</v>
      </c>
      <c r="N128" s="35">
        <f t="shared" si="29"/>
        <v>0</v>
      </c>
      <c r="O128" s="5" t="e">
        <f t="shared" si="30"/>
        <v>#DIV/0!</v>
      </c>
      <c r="P128" s="5" t="e">
        <f t="shared" si="34"/>
        <v>#DIV/0!</v>
      </c>
      <c r="Q128" s="5">
        <f t="shared" si="35"/>
        <v>74.7525</v>
      </c>
    </row>
    <row r="129" spans="1:17">
      <c r="A129" s="22">
        <f t="shared" si="37"/>
        <v>44324</v>
      </c>
      <c r="B129" s="5">
        <v>245.87</v>
      </c>
      <c r="C129" s="12">
        <v>19442</v>
      </c>
      <c r="D129" s="12">
        <v>317</v>
      </c>
      <c r="E129" s="29">
        <v>0</v>
      </c>
      <c r="F129" s="5">
        <v>0</v>
      </c>
      <c r="G129" s="29">
        <v>7</v>
      </c>
      <c r="H129" s="29">
        <v>7</v>
      </c>
      <c r="I129" s="29">
        <v>1</v>
      </c>
      <c r="J129" s="9">
        <v>0.0163</v>
      </c>
      <c r="K129" s="5">
        <v>0.78</v>
      </c>
      <c r="L129" s="5">
        <v>12.65</v>
      </c>
      <c r="M129" s="13">
        <f t="shared" si="33"/>
        <v>0</v>
      </c>
      <c r="N129" s="35">
        <f t="shared" si="29"/>
        <v>0</v>
      </c>
      <c r="O129" s="5" t="e">
        <f t="shared" si="30"/>
        <v>#DIV/0!</v>
      </c>
      <c r="P129" s="5" t="e">
        <f t="shared" si="34"/>
        <v>#DIV/0!</v>
      </c>
      <c r="Q129" s="5">
        <f t="shared" si="35"/>
        <v>35.1242857142857</v>
      </c>
    </row>
    <row r="130" spans="1:17">
      <c r="A130" s="22">
        <f t="shared" si="37"/>
        <v>44325</v>
      </c>
      <c r="B130" s="5">
        <v>0</v>
      </c>
      <c r="C130" s="12">
        <v>0</v>
      </c>
      <c r="D130" s="12">
        <v>0</v>
      </c>
      <c r="E130" s="29">
        <v>0</v>
      </c>
      <c r="F130" s="5">
        <v>0</v>
      </c>
      <c r="G130" s="29">
        <v>0</v>
      </c>
      <c r="H130" s="29">
        <v>0</v>
      </c>
      <c r="I130" s="29">
        <v>0</v>
      </c>
      <c r="J130" s="9">
        <v>0</v>
      </c>
      <c r="K130" s="5">
        <v>0</v>
      </c>
      <c r="L130" s="5">
        <v>0</v>
      </c>
      <c r="M130" s="13" t="e">
        <f t="shared" si="33"/>
        <v>#DIV/0!</v>
      </c>
      <c r="N130" s="35" t="e">
        <f t="shared" si="29"/>
        <v>#DIV/0!</v>
      </c>
      <c r="O130" s="5" t="e">
        <f t="shared" si="30"/>
        <v>#DIV/0!</v>
      </c>
      <c r="P130" s="5" t="e">
        <f t="shared" si="34"/>
        <v>#DIV/0!</v>
      </c>
      <c r="Q130" s="5" t="e">
        <f t="shared" si="35"/>
        <v>#DIV/0!</v>
      </c>
    </row>
    <row r="131" spans="1:17">
      <c r="A131" s="22">
        <f t="shared" ref="A131:A137" si="38">A130+1</f>
        <v>44326</v>
      </c>
      <c r="B131" s="5">
        <v>282.23</v>
      </c>
      <c r="C131" s="12">
        <v>20828</v>
      </c>
      <c r="D131" s="12">
        <v>256</v>
      </c>
      <c r="E131" s="29">
        <v>0</v>
      </c>
      <c r="F131" s="5">
        <v>0</v>
      </c>
      <c r="G131" s="29">
        <v>2</v>
      </c>
      <c r="H131" s="29">
        <v>0</v>
      </c>
      <c r="I131" s="29">
        <v>0</v>
      </c>
      <c r="J131" s="9">
        <v>0.0123</v>
      </c>
      <c r="K131" s="5">
        <v>1.1</v>
      </c>
      <c r="L131" s="5">
        <v>13.55</v>
      </c>
      <c r="M131" s="13">
        <f t="shared" si="33"/>
        <v>0</v>
      </c>
      <c r="N131" s="35">
        <f t="shared" si="29"/>
        <v>0</v>
      </c>
      <c r="O131" s="5" t="e">
        <f t="shared" si="30"/>
        <v>#DIV/0!</v>
      </c>
      <c r="P131" s="5" t="e">
        <f t="shared" si="34"/>
        <v>#DIV/0!</v>
      </c>
      <c r="Q131" s="5">
        <f t="shared" si="35"/>
        <v>141.115</v>
      </c>
    </row>
    <row r="132" spans="1:17">
      <c r="A132" s="22">
        <f t="shared" si="38"/>
        <v>44327</v>
      </c>
      <c r="B132" s="5">
        <v>295.15</v>
      </c>
      <c r="C132" s="12">
        <v>30769</v>
      </c>
      <c r="D132" s="12">
        <v>532</v>
      </c>
      <c r="E132" s="29">
        <v>0</v>
      </c>
      <c r="F132" s="5">
        <v>0</v>
      </c>
      <c r="G132" s="29">
        <v>9</v>
      </c>
      <c r="H132" s="29">
        <v>4</v>
      </c>
      <c r="I132" s="29">
        <v>1</v>
      </c>
      <c r="J132" s="9">
        <v>0.0173</v>
      </c>
      <c r="K132" s="5">
        <v>0.55</v>
      </c>
      <c r="L132" s="5">
        <v>9.59</v>
      </c>
      <c r="M132" s="13">
        <f t="shared" si="33"/>
        <v>0</v>
      </c>
      <c r="N132" s="35">
        <f t="shared" si="29"/>
        <v>0</v>
      </c>
      <c r="O132" s="5" t="e">
        <f t="shared" si="30"/>
        <v>#DIV/0!</v>
      </c>
      <c r="P132" s="5" t="e">
        <f t="shared" si="34"/>
        <v>#DIV/0!</v>
      </c>
      <c r="Q132" s="5">
        <f t="shared" si="35"/>
        <v>32.7944444444444</v>
      </c>
    </row>
    <row r="133" spans="1:17">
      <c r="A133" s="22">
        <f t="shared" si="38"/>
        <v>44328</v>
      </c>
      <c r="B133" s="5">
        <v>284.96</v>
      </c>
      <c r="C133" s="12">
        <v>21727</v>
      </c>
      <c r="D133" s="12">
        <v>343</v>
      </c>
      <c r="E133" s="29">
        <v>2</v>
      </c>
      <c r="F133" s="5">
        <v>1.1</v>
      </c>
      <c r="G133" s="29">
        <v>4</v>
      </c>
      <c r="H133" s="29">
        <v>4</v>
      </c>
      <c r="I133" s="29">
        <v>1</v>
      </c>
      <c r="J133" s="9">
        <v>0.0158</v>
      </c>
      <c r="K133" s="5">
        <v>0.83</v>
      </c>
      <c r="L133" s="5">
        <v>13.12</v>
      </c>
      <c r="M133" s="13">
        <f t="shared" si="33"/>
        <v>0.00386019090398652</v>
      </c>
      <c r="N133" s="35">
        <f t="shared" si="29"/>
        <v>0.00583090379008746</v>
      </c>
      <c r="O133" s="5">
        <f t="shared" si="30"/>
        <v>0.55</v>
      </c>
      <c r="P133" s="5">
        <f t="shared" si="34"/>
        <v>142.48</v>
      </c>
      <c r="Q133" s="5">
        <f t="shared" si="35"/>
        <v>71.24</v>
      </c>
    </row>
    <row r="134" spans="1:17">
      <c r="A134" s="22">
        <f t="shared" si="38"/>
        <v>44329</v>
      </c>
      <c r="B134" s="5">
        <v>283.21</v>
      </c>
      <c r="C134" s="12">
        <v>25685</v>
      </c>
      <c r="D134" s="12">
        <v>357</v>
      </c>
      <c r="E134" s="29">
        <v>0</v>
      </c>
      <c r="F134" s="5">
        <v>0</v>
      </c>
      <c r="G134" s="29">
        <v>2</v>
      </c>
      <c r="H134" s="29">
        <v>3</v>
      </c>
      <c r="I134" s="29">
        <v>0</v>
      </c>
      <c r="J134" s="9">
        <v>0.0139</v>
      </c>
      <c r="K134" s="5">
        <v>0.79</v>
      </c>
      <c r="L134" s="5">
        <v>11.03</v>
      </c>
      <c r="M134" s="13">
        <f t="shared" si="33"/>
        <v>0</v>
      </c>
      <c r="N134" s="35">
        <f t="shared" si="29"/>
        <v>0</v>
      </c>
      <c r="O134" s="5" t="e">
        <f t="shared" si="30"/>
        <v>#DIV/0!</v>
      </c>
      <c r="P134" s="5" t="e">
        <f t="shared" si="34"/>
        <v>#DIV/0!</v>
      </c>
      <c r="Q134" s="5">
        <f t="shared" si="35"/>
        <v>141.605</v>
      </c>
    </row>
    <row r="135" spans="1:17">
      <c r="A135" s="22">
        <f t="shared" si="38"/>
        <v>44330</v>
      </c>
      <c r="B135" s="5">
        <v>279.84</v>
      </c>
      <c r="C135" s="12">
        <v>20135</v>
      </c>
      <c r="D135" s="12">
        <v>275</v>
      </c>
      <c r="E135" s="29">
        <v>0</v>
      </c>
      <c r="F135" s="5">
        <v>0</v>
      </c>
      <c r="G135" s="29">
        <v>6</v>
      </c>
      <c r="H135" s="29">
        <v>2</v>
      </c>
      <c r="I135" s="29">
        <v>1</v>
      </c>
      <c r="J135" s="9">
        <v>0.0137</v>
      </c>
      <c r="K135" s="5">
        <v>1.02</v>
      </c>
      <c r="L135" s="5">
        <v>13.9</v>
      </c>
      <c r="M135" s="13">
        <f t="shared" si="33"/>
        <v>0</v>
      </c>
      <c r="N135" s="35">
        <f t="shared" si="29"/>
        <v>0</v>
      </c>
      <c r="O135" s="5" t="e">
        <f t="shared" si="30"/>
        <v>#DIV/0!</v>
      </c>
      <c r="P135" s="5" t="e">
        <f t="shared" si="34"/>
        <v>#DIV/0!</v>
      </c>
      <c r="Q135" s="5">
        <f t="shared" si="35"/>
        <v>46.64</v>
      </c>
    </row>
    <row r="136" spans="1:17">
      <c r="A136" s="22">
        <f t="shared" si="38"/>
        <v>44331</v>
      </c>
      <c r="B136" s="5">
        <v>74.63</v>
      </c>
      <c r="C136" s="12">
        <v>3720</v>
      </c>
      <c r="D136" s="12">
        <v>59</v>
      </c>
      <c r="E136" s="29">
        <v>0</v>
      </c>
      <c r="F136" s="5">
        <v>0</v>
      </c>
      <c r="G136" s="29">
        <v>1</v>
      </c>
      <c r="H136" s="29">
        <v>0</v>
      </c>
      <c r="I136" s="29">
        <v>0</v>
      </c>
      <c r="J136" s="9">
        <v>0.0159</v>
      </c>
      <c r="K136" s="5">
        <v>1.26</v>
      </c>
      <c r="L136" s="5">
        <v>20.06</v>
      </c>
      <c r="M136" s="13">
        <f t="shared" si="33"/>
        <v>0</v>
      </c>
      <c r="N136" s="35">
        <f t="shared" si="29"/>
        <v>0</v>
      </c>
      <c r="O136" s="5" t="e">
        <f t="shared" si="30"/>
        <v>#DIV/0!</v>
      </c>
      <c r="P136" s="5" t="e">
        <f t="shared" si="34"/>
        <v>#DIV/0!</v>
      </c>
      <c r="Q136" s="5">
        <f t="shared" si="35"/>
        <v>74.63</v>
      </c>
    </row>
    <row r="137" spans="1:17">
      <c r="A137" s="22">
        <f t="shared" si="38"/>
        <v>44332</v>
      </c>
      <c r="B137" s="5">
        <v>0</v>
      </c>
      <c r="C137" s="12">
        <v>0</v>
      </c>
      <c r="D137" s="12">
        <v>0</v>
      </c>
      <c r="E137" s="29">
        <v>0</v>
      </c>
      <c r="F137" s="5">
        <v>0</v>
      </c>
      <c r="G137" s="29">
        <v>0</v>
      </c>
      <c r="H137" s="29">
        <v>0</v>
      </c>
      <c r="I137" s="29">
        <v>0</v>
      </c>
      <c r="J137" s="9">
        <v>0</v>
      </c>
      <c r="K137" s="5">
        <v>0</v>
      </c>
      <c r="L137" s="5">
        <v>0</v>
      </c>
      <c r="M137" s="13" t="e">
        <f t="shared" si="33"/>
        <v>#DIV/0!</v>
      </c>
      <c r="N137" s="35" t="e">
        <f t="shared" si="29"/>
        <v>#DIV/0!</v>
      </c>
      <c r="O137" s="5" t="e">
        <f t="shared" si="30"/>
        <v>#DIV/0!</v>
      </c>
      <c r="P137" s="5" t="e">
        <f t="shared" si="34"/>
        <v>#DIV/0!</v>
      </c>
      <c r="Q137" s="5" t="e">
        <f t="shared" si="35"/>
        <v>#DIV/0!</v>
      </c>
    </row>
    <row r="138" spans="1:17">
      <c r="A138" s="22">
        <f t="shared" ref="A138:A201" si="39">A137+1</f>
        <v>44333</v>
      </c>
      <c r="B138" s="5">
        <v>0</v>
      </c>
      <c r="C138" s="12">
        <v>0</v>
      </c>
      <c r="D138" s="12">
        <v>0</v>
      </c>
      <c r="E138" s="29">
        <v>0</v>
      </c>
      <c r="F138" s="5">
        <v>0</v>
      </c>
      <c r="G138" s="29">
        <v>0</v>
      </c>
      <c r="H138" s="29">
        <v>0</v>
      </c>
      <c r="I138" s="29">
        <v>0</v>
      </c>
      <c r="J138" s="9">
        <v>0</v>
      </c>
      <c r="K138" s="5">
        <v>0</v>
      </c>
      <c r="L138" s="5">
        <v>0</v>
      </c>
      <c r="M138" s="13" t="e">
        <f t="shared" si="33"/>
        <v>#DIV/0!</v>
      </c>
      <c r="N138" s="35" t="e">
        <f t="shared" si="29"/>
        <v>#DIV/0!</v>
      </c>
      <c r="O138" s="5" t="e">
        <f t="shared" si="30"/>
        <v>#DIV/0!</v>
      </c>
      <c r="P138" s="5" t="e">
        <f t="shared" si="34"/>
        <v>#DIV/0!</v>
      </c>
      <c r="Q138" s="5" t="e">
        <f t="shared" si="35"/>
        <v>#DIV/0!</v>
      </c>
    </row>
    <row r="139" spans="1:17">
      <c r="A139" s="22">
        <f t="shared" si="39"/>
        <v>44334</v>
      </c>
      <c r="B139" s="5">
        <v>293.56</v>
      </c>
      <c r="C139" s="12">
        <v>19661</v>
      </c>
      <c r="D139" s="12">
        <v>270</v>
      </c>
      <c r="E139" s="29">
        <v>0</v>
      </c>
      <c r="F139" s="5">
        <v>0</v>
      </c>
      <c r="G139" s="29">
        <v>2</v>
      </c>
      <c r="H139" s="29">
        <v>0</v>
      </c>
      <c r="I139" s="29">
        <v>0</v>
      </c>
      <c r="J139" s="9">
        <v>0.0137</v>
      </c>
      <c r="K139" s="5">
        <v>1.09</v>
      </c>
      <c r="L139" s="5">
        <v>14.93</v>
      </c>
      <c r="M139" s="13">
        <f t="shared" si="33"/>
        <v>0</v>
      </c>
      <c r="N139" s="35">
        <f t="shared" si="29"/>
        <v>0</v>
      </c>
      <c r="O139" s="5" t="e">
        <f t="shared" si="30"/>
        <v>#DIV/0!</v>
      </c>
      <c r="P139" s="5" t="e">
        <f t="shared" si="34"/>
        <v>#DIV/0!</v>
      </c>
      <c r="Q139" s="5">
        <f t="shared" si="35"/>
        <v>146.78</v>
      </c>
    </row>
    <row r="140" spans="1:17">
      <c r="A140" s="22">
        <f t="shared" si="39"/>
        <v>44335</v>
      </c>
      <c r="B140" s="5">
        <v>294.64</v>
      </c>
      <c r="C140" s="12">
        <v>26335</v>
      </c>
      <c r="D140" s="12">
        <v>375</v>
      </c>
      <c r="E140" s="29">
        <v>0</v>
      </c>
      <c r="F140" s="5">
        <v>0</v>
      </c>
      <c r="G140" s="29">
        <v>1</v>
      </c>
      <c r="H140" s="29">
        <v>5</v>
      </c>
      <c r="I140" s="29">
        <v>2</v>
      </c>
      <c r="J140" s="9">
        <v>0.0142</v>
      </c>
      <c r="K140" s="5">
        <v>0.79</v>
      </c>
      <c r="L140" s="5">
        <v>11.26</v>
      </c>
      <c r="M140" s="13">
        <f t="shared" si="33"/>
        <v>0</v>
      </c>
      <c r="N140" s="35">
        <f t="shared" si="29"/>
        <v>0</v>
      </c>
      <c r="O140" s="5" t="e">
        <f t="shared" si="30"/>
        <v>#DIV/0!</v>
      </c>
      <c r="P140" s="5" t="e">
        <f t="shared" si="34"/>
        <v>#DIV/0!</v>
      </c>
      <c r="Q140" s="5">
        <f t="shared" si="35"/>
        <v>294.64</v>
      </c>
    </row>
    <row r="141" spans="1:17">
      <c r="A141" s="22">
        <f t="shared" si="39"/>
        <v>44336</v>
      </c>
      <c r="B141" s="5">
        <v>295.75</v>
      </c>
      <c r="C141" s="12">
        <v>27584</v>
      </c>
      <c r="D141" s="12">
        <v>467</v>
      </c>
      <c r="E141" s="29">
        <v>0</v>
      </c>
      <c r="F141" s="5">
        <v>0</v>
      </c>
      <c r="G141" s="29">
        <v>6</v>
      </c>
      <c r="H141" s="29">
        <v>4</v>
      </c>
      <c r="I141" s="29">
        <v>0</v>
      </c>
      <c r="J141" s="9">
        <v>0.0169</v>
      </c>
      <c r="K141" s="5">
        <v>0.63</v>
      </c>
      <c r="L141" s="5">
        <v>10.72</v>
      </c>
      <c r="M141" s="13">
        <f t="shared" si="33"/>
        <v>0</v>
      </c>
      <c r="N141" s="35">
        <f t="shared" si="29"/>
        <v>0</v>
      </c>
      <c r="O141" s="5" t="e">
        <f t="shared" si="30"/>
        <v>#DIV/0!</v>
      </c>
      <c r="P141" s="5" t="e">
        <f t="shared" si="34"/>
        <v>#DIV/0!</v>
      </c>
      <c r="Q141" s="5">
        <f t="shared" si="35"/>
        <v>49.2916666666667</v>
      </c>
    </row>
    <row r="142" spans="1:17">
      <c r="A142" s="22">
        <f t="shared" si="39"/>
        <v>44337</v>
      </c>
      <c r="B142" s="5">
        <v>300</v>
      </c>
      <c r="C142" s="12">
        <v>15222</v>
      </c>
      <c r="D142" s="12">
        <v>208</v>
      </c>
      <c r="E142" s="29">
        <v>0</v>
      </c>
      <c r="F142" s="5">
        <v>0</v>
      </c>
      <c r="G142" s="29">
        <v>2</v>
      </c>
      <c r="H142" s="29">
        <v>0</v>
      </c>
      <c r="I142" s="29">
        <v>4</v>
      </c>
      <c r="J142" s="9">
        <v>0.0137</v>
      </c>
      <c r="K142" s="5">
        <v>1.44</v>
      </c>
      <c r="L142" s="5">
        <v>19.71</v>
      </c>
      <c r="M142" s="13">
        <f t="shared" si="33"/>
        <v>0</v>
      </c>
      <c r="N142" s="35">
        <f t="shared" si="29"/>
        <v>0</v>
      </c>
      <c r="O142" s="5" t="e">
        <f t="shared" si="30"/>
        <v>#DIV/0!</v>
      </c>
      <c r="P142" s="5" t="e">
        <f t="shared" si="34"/>
        <v>#DIV/0!</v>
      </c>
      <c r="Q142" s="5">
        <f t="shared" si="35"/>
        <v>150</v>
      </c>
    </row>
    <row r="143" spans="1:17">
      <c r="A143" s="22">
        <f t="shared" si="39"/>
        <v>44338</v>
      </c>
      <c r="B143" s="5">
        <v>296.76</v>
      </c>
      <c r="C143" s="12">
        <v>9623</v>
      </c>
      <c r="D143" s="12">
        <v>121</v>
      </c>
      <c r="E143" s="29">
        <v>0</v>
      </c>
      <c r="F143" s="5">
        <v>0</v>
      </c>
      <c r="G143" s="29">
        <v>1</v>
      </c>
      <c r="H143" s="29">
        <v>0</v>
      </c>
      <c r="I143" s="29">
        <v>3</v>
      </c>
      <c r="J143" s="9">
        <v>0.0126</v>
      </c>
      <c r="K143" s="5">
        <v>2.45</v>
      </c>
      <c r="L143" s="5">
        <v>30.84</v>
      </c>
      <c r="M143" s="13">
        <f t="shared" si="33"/>
        <v>0</v>
      </c>
      <c r="N143" s="35">
        <f t="shared" si="29"/>
        <v>0</v>
      </c>
      <c r="O143" s="5" t="e">
        <f t="shared" si="30"/>
        <v>#DIV/0!</v>
      </c>
      <c r="P143" s="5" t="e">
        <f t="shared" si="34"/>
        <v>#DIV/0!</v>
      </c>
      <c r="Q143" s="5">
        <f t="shared" si="35"/>
        <v>296.76</v>
      </c>
    </row>
    <row r="144" spans="1:17">
      <c r="A144" s="22">
        <f t="shared" si="39"/>
        <v>44339</v>
      </c>
      <c r="B144" s="5">
        <v>299.85</v>
      </c>
      <c r="C144" s="12">
        <v>11261</v>
      </c>
      <c r="D144" s="12">
        <v>132</v>
      </c>
      <c r="E144" s="29">
        <v>0</v>
      </c>
      <c r="F144" s="5">
        <v>0</v>
      </c>
      <c r="G144" s="29">
        <v>1</v>
      </c>
      <c r="H144" s="29">
        <v>2</v>
      </c>
      <c r="I144" s="29">
        <v>0</v>
      </c>
      <c r="J144" s="9">
        <v>0.0117</v>
      </c>
      <c r="K144" s="5">
        <v>2.27</v>
      </c>
      <c r="L144" s="5">
        <v>26.63</v>
      </c>
      <c r="M144" s="13">
        <f t="shared" si="33"/>
        <v>0</v>
      </c>
      <c r="N144" s="35">
        <f t="shared" si="29"/>
        <v>0</v>
      </c>
      <c r="O144" s="5" t="e">
        <f t="shared" si="30"/>
        <v>#DIV/0!</v>
      </c>
      <c r="P144" s="5" t="e">
        <f t="shared" si="34"/>
        <v>#DIV/0!</v>
      </c>
      <c r="Q144" s="5">
        <f t="shared" si="35"/>
        <v>299.85</v>
      </c>
    </row>
    <row r="145" spans="1:17">
      <c r="A145" s="22">
        <f t="shared" si="39"/>
        <v>44340</v>
      </c>
      <c r="B145" s="5">
        <v>800</v>
      </c>
      <c r="C145" s="12">
        <v>25911</v>
      </c>
      <c r="D145" s="12">
        <v>330</v>
      </c>
      <c r="E145" s="29">
        <v>0</v>
      </c>
      <c r="F145" s="5">
        <v>0</v>
      </c>
      <c r="G145" s="29">
        <v>4</v>
      </c>
      <c r="H145" s="29">
        <v>5</v>
      </c>
      <c r="I145" s="29">
        <v>3</v>
      </c>
      <c r="J145" s="9">
        <v>0.0127</v>
      </c>
      <c r="K145" s="5">
        <v>2.42</v>
      </c>
      <c r="L145" s="5">
        <v>30.87</v>
      </c>
      <c r="M145" s="13">
        <f t="shared" si="33"/>
        <v>0</v>
      </c>
      <c r="N145" s="35">
        <f t="shared" si="29"/>
        <v>0</v>
      </c>
      <c r="O145" s="5" t="e">
        <f t="shared" si="30"/>
        <v>#DIV/0!</v>
      </c>
      <c r="P145" s="5" t="e">
        <f t="shared" si="34"/>
        <v>#DIV/0!</v>
      </c>
      <c r="Q145" s="5">
        <f t="shared" si="35"/>
        <v>200</v>
      </c>
    </row>
    <row r="146" spans="1:17">
      <c r="A146" s="22">
        <f t="shared" si="39"/>
        <v>44341</v>
      </c>
      <c r="B146" s="5">
        <v>800</v>
      </c>
      <c r="C146" s="12">
        <v>23188</v>
      </c>
      <c r="D146" s="12">
        <v>265</v>
      </c>
      <c r="E146" s="29">
        <v>0</v>
      </c>
      <c r="F146" s="5">
        <v>0</v>
      </c>
      <c r="G146" s="29">
        <v>3</v>
      </c>
      <c r="H146" s="29">
        <v>3</v>
      </c>
      <c r="I146" s="29">
        <v>2</v>
      </c>
      <c r="J146" s="9">
        <v>0.0114</v>
      </c>
      <c r="K146" s="5">
        <v>3.02</v>
      </c>
      <c r="L146" s="5">
        <v>34.5</v>
      </c>
      <c r="M146" s="13">
        <f t="shared" si="33"/>
        <v>0</v>
      </c>
      <c r="N146" s="35">
        <f t="shared" si="29"/>
        <v>0</v>
      </c>
      <c r="O146" s="5" t="e">
        <f t="shared" si="30"/>
        <v>#DIV/0!</v>
      </c>
      <c r="P146" s="5" t="e">
        <f t="shared" si="34"/>
        <v>#DIV/0!</v>
      </c>
      <c r="Q146" s="5">
        <f t="shared" si="35"/>
        <v>266.666666666667</v>
      </c>
    </row>
    <row r="147" spans="1:17">
      <c r="A147" s="22">
        <f t="shared" si="39"/>
        <v>44342</v>
      </c>
      <c r="B147" s="5">
        <v>800</v>
      </c>
      <c r="C147" s="12">
        <v>24222</v>
      </c>
      <c r="D147" s="12">
        <v>270</v>
      </c>
      <c r="E147" s="29">
        <v>0</v>
      </c>
      <c r="F147" s="5">
        <v>0</v>
      </c>
      <c r="G147" s="29">
        <v>4</v>
      </c>
      <c r="H147" s="29">
        <v>4</v>
      </c>
      <c r="I147" s="29">
        <v>3</v>
      </c>
      <c r="J147" s="9">
        <v>0.0111</v>
      </c>
      <c r="K147" s="5">
        <v>2.96</v>
      </c>
      <c r="L147" s="5">
        <v>33.03</v>
      </c>
      <c r="M147" s="13">
        <f t="shared" si="33"/>
        <v>0</v>
      </c>
      <c r="N147" s="35">
        <f t="shared" si="29"/>
        <v>0</v>
      </c>
      <c r="O147" s="5" t="e">
        <f t="shared" si="30"/>
        <v>#DIV/0!</v>
      </c>
      <c r="P147" s="5" t="e">
        <f t="shared" si="34"/>
        <v>#DIV/0!</v>
      </c>
      <c r="Q147" s="5">
        <f t="shared" si="35"/>
        <v>200</v>
      </c>
    </row>
    <row r="148" spans="1:17">
      <c r="A148" s="22">
        <f t="shared" si="39"/>
        <v>44343</v>
      </c>
      <c r="B148" s="5">
        <v>800</v>
      </c>
      <c r="C148" s="12">
        <v>22250</v>
      </c>
      <c r="D148" s="12">
        <v>306</v>
      </c>
      <c r="E148" s="29">
        <v>0</v>
      </c>
      <c r="F148" s="5">
        <v>0</v>
      </c>
      <c r="G148" s="29">
        <v>4</v>
      </c>
      <c r="H148" s="29">
        <v>6</v>
      </c>
      <c r="I148" s="29">
        <v>3</v>
      </c>
      <c r="J148" s="9">
        <v>0.0138</v>
      </c>
      <c r="K148" s="5">
        <v>2.61</v>
      </c>
      <c r="L148" s="5">
        <v>35.96</v>
      </c>
      <c r="M148" s="13">
        <f t="shared" si="33"/>
        <v>0</v>
      </c>
      <c r="N148" s="35">
        <f t="shared" si="29"/>
        <v>0</v>
      </c>
      <c r="O148" s="5" t="e">
        <f t="shared" si="30"/>
        <v>#DIV/0!</v>
      </c>
      <c r="P148" s="5" t="e">
        <f t="shared" si="34"/>
        <v>#DIV/0!</v>
      </c>
      <c r="Q148" s="5">
        <f t="shared" si="35"/>
        <v>200</v>
      </c>
    </row>
    <row r="149" spans="1:17">
      <c r="A149" s="22">
        <f t="shared" si="39"/>
        <v>44344</v>
      </c>
      <c r="B149" s="5">
        <v>799.69</v>
      </c>
      <c r="C149" s="12">
        <v>22976</v>
      </c>
      <c r="D149" s="12">
        <v>242</v>
      </c>
      <c r="E149" s="29">
        <v>0</v>
      </c>
      <c r="F149" s="5">
        <v>0</v>
      </c>
      <c r="G149" s="29">
        <v>1</v>
      </c>
      <c r="H149" s="29">
        <v>3</v>
      </c>
      <c r="I149" s="29">
        <v>1</v>
      </c>
      <c r="J149" s="9">
        <v>0.0105</v>
      </c>
      <c r="K149" s="5">
        <v>3.3</v>
      </c>
      <c r="L149" s="5">
        <v>34.81</v>
      </c>
      <c r="M149" s="13">
        <f t="shared" si="33"/>
        <v>0</v>
      </c>
      <c r="N149" s="35">
        <f t="shared" si="29"/>
        <v>0</v>
      </c>
      <c r="O149" s="5" t="e">
        <f t="shared" si="30"/>
        <v>#DIV/0!</v>
      </c>
      <c r="P149" s="5" t="e">
        <f t="shared" si="34"/>
        <v>#DIV/0!</v>
      </c>
      <c r="Q149" s="5">
        <f t="shared" si="35"/>
        <v>799.69</v>
      </c>
    </row>
    <row r="150" spans="1:17">
      <c r="A150" s="22">
        <f t="shared" si="39"/>
        <v>44345</v>
      </c>
      <c r="B150" s="5">
        <v>800</v>
      </c>
      <c r="C150" s="12">
        <v>17971</v>
      </c>
      <c r="D150" s="12">
        <v>211</v>
      </c>
      <c r="E150" s="29">
        <v>0</v>
      </c>
      <c r="F150" s="5">
        <v>0</v>
      </c>
      <c r="G150" s="29">
        <v>1</v>
      </c>
      <c r="H150" s="29">
        <v>4</v>
      </c>
      <c r="I150" s="29">
        <v>4</v>
      </c>
      <c r="J150" s="9">
        <v>0.0117</v>
      </c>
      <c r="K150" s="5">
        <v>3.79</v>
      </c>
      <c r="L150" s="5">
        <v>44.52</v>
      </c>
      <c r="M150" s="13">
        <f t="shared" si="33"/>
        <v>0</v>
      </c>
      <c r="N150" s="35">
        <f t="shared" si="29"/>
        <v>0</v>
      </c>
      <c r="O150" s="5" t="e">
        <f t="shared" si="30"/>
        <v>#DIV/0!</v>
      </c>
      <c r="P150" s="5" t="e">
        <f t="shared" si="34"/>
        <v>#DIV/0!</v>
      </c>
      <c r="Q150" s="5">
        <f t="shared" si="35"/>
        <v>800</v>
      </c>
    </row>
    <row r="151" spans="1:17">
      <c r="A151" s="22">
        <f t="shared" si="39"/>
        <v>44346</v>
      </c>
      <c r="B151" s="5">
        <v>799.19</v>
      </c>
      <c r="C151" s="12">
        <v>16988</v>
      </c>
      <c r="D151" s="12">
        <v>208</v>
      </c>
      <c r="E151" s="29">
        <v>0</v>
      </c>
      <c r="F151" s="5">
        <v>0</v>
      </c>
      <c r="G151" s="29">
        <v>3</v>
      </c>
      <c r="H151" s="29">
        <v>4</v>
      </c>
      <c r="I151" s="29">
        <v>1</v>
      </c>
      <c r="J151" s="9">
        <v>0.0122</v>
      </c>
      <c r="K151" s="5">
        <v>3.84</v>
      </c>
      <c r="L151" s="5">
        <v>47.04</v>
      </c>
      <c r="M151" s="13">
        <f t="shared" si="33"/>
        <v>0</v>
      </c>
      <c r="N151" s="35">
        <f t="shared" si="29"/>
        <v>0</v>
      </c>
      <c r="O151" s="5" t="e">
        <f t="shared" si="30"/>
        <v>#DIV/0!</v>
      </c>
      <c r="P151" s="5" t="e">
        <f t="shared" si="34"/>
        <v>#DIV/0!</v>
      </c>
      <c r="Q151" s="5">
        <f t="shared" si="35"/>
        <v>266.396666666667</v>
      </c>
    </row>
    <row r="152" spans="1:17">
      <c r="A152" s="22">
        <f t="shared" si="39"/>
        <v>44347</v>
      </c>
      <c r="B152" s="5">
        <v>800</v>
      </c>
      <c r="C152" s="12">
        <v>17476</v>
      </c>
      <c r="D152" s="12">
        <v>208</v>
      </c>
      <c r="E152" s="29">
        <v>0</v>
      </c>
      <c r="F152" s="5">
        <v>0</v>
      </c>
      <c r="G152" s="29">
        <v>6</v>
      </c>
      <c r="H152" s="29">
        <v>4</v>
      </c>
      <c r="I152" s="29">
        <v>3</v>
      </c>
      <c r="J152" s="9">
        <v>0.0119</v>
      </c>
      <c r="K152" s="5">
        <v>3.85</v>
      </c>
      <c r="L152" s="5">
        <v>45.78</v>
      </c>
      <c r="M152" s="13">
        <f t="shared" si="33"/>
        <v>0</v>
      </c>
      <c r="N152" s="35">
        <f t="shared" si="29"/>
        <v>0</v>
      </c>
      <c r="O152" s="5" t="e">
        <f t="shared" si="30"/>
        <v>#DIV/0!</v>
      </c>
      <c r="P152" s="5" t="e">
        <f t="shared" si="34"/>
        <v>#DIV/0!</v>
      </c>
      <c r="Q152" s="5">
        <f t="shared" si="35"/>
        <v>133.333333333333</v>
      </c>
    </row>
    <row r="153" spans="1:17">
      <c r="A153" s="22">
        <f t="shared" si="39"/>
        <v>44348</v>
      </c>
      <c r="B153" s="5">
        <v>0.9</v>
      </c>
      <c r="C153" s="12">
        <v>66</v>
      </c>
      <c r="D153" s="12">
        <v>1</v>
      </c>
      <c r="E153" s="29">
        <v>0</v>
      </c>
      <c r="F153" s="5">
        <v>0</v>
      </c>
      <c r="G153" s="29">
        <v>1</v>
      </c>
      <c r="H153" s="29">
        <v>0</v>
      </c>
      <c r="I153" s="29">
        <v>1</v>
      </c>
      <c r="J153" s="9">
        <v>0.0152</v>
      </c>
      <c r="K153" s="5">
        <v>0.9</v>
      </c>
      <c r="L153" s="5">
        <v>13.62</v>
      </c>
      <c r="M153" s="13">
        <f t="shared" si="33"/>
        <v>0</v>
      </c>
      <c r="N153" s="35">
        <f t="shared" si="29"/>
        <v>0</v>
      </c>
      <c r="O153" s="5" t="e">
        <f t="shared" si="30"/>
        <v>#DIV/0!</v>
      </c>
      <c r="P153" s="5" t="e">
        <f t="shared" si="34"/>
        <v>#DIV/0!</v>
      </c>
      <c r="Q153" s="5">
        <f t="shared" si="35"/>
        <v>0.9</v>
      </c>
    </row>
    <row r="154" spans="1:17">
      <c r="A154" s="22">
        <f t="shared" si="39"/>
        <v>44349</v>
      </c>
      <c r="B154" s="5">
        <v>0.37</v>
      </c>
      <c r="C154" s="12">
        <v>44</v>
      </c>
      <c r="D154" s="12">
        <v>0</v>
      </c>
      <c r="E154" s="29">
        <v>0</v>
      </c>
      <c r="F154" s="5">
        <v>0</v>
      </c>
      <c r="G154" s="29">
        <v>0</v>
      </c>
      <c r="H154" s="29">
        <v>0</v>
      </c>
      <c r="I154" s="29">
        <v>0</v>
      </c>
      <c r="J154" s="9">
        <v>0</v>
      </c>
      <c r="K154" s="5">
        <v>0</v>
      </c>
      <c r="L154" s="5">
        <v>8.49</v>
      </c>
      <c r="M154" s="13">
        <f t="shared" si="33"/>
        <v>0</v>
      </c>
      <c r="N154" s="35" t="e">
        <f t="shared" si="29"/>
        <v>#DIV/0!</v>
      </c>
      <c r="O154" s="5" t="e">
        <f t="shared" si="30"/>
        <v>#DIV/0!</v>
      </c>
      <c r="P154" s="5" t="e">
        <f t="shared" si="34"/>
        <v>#DIV/0!</v>
      </c>
      <c r="Q154" s="5" t="e">
        <f t="shared" si="35"/>
        <v>#DIV/0!</v>
      </c>
    </row>
    <row r="155" spans="1:17">
      <c r="A155" s="22">
        <f t="shared" si="39"/>
        <v>44350</v>
      </c>
      <c r="B155" s="5">
        <v>1.7</v>
      </c>
      <c r="C155" s="12">
        <v>142</v>
      </c>
      <c r="D155" s="12">
        <v>3</v>
      </c>
      <c r="E155" s="29">
        <v>0</v>
      </c>
      <c r="F155" s="5">
        <v>0</v>
      </c>
      <c r="G155" s="29">
        <v>0</v>
      </c>
      <c r="H155" s="29">
        <v>0</v>
      </c>
      <c r="I155" s="29">
        <v>1</v>
      </c>
      <c r="J155" s="9">
        <v>0.0211</v>
      </c>
      <c r="K155" s="5">
        <v>0.57</v>
      </c>
      <c r="L155" s="5">
        <v>11.96</v>
      </c>
      <c r="M155" s="13">
        <f t="shared" si="33"/>
        <v>0</v>
      </c>
      <c r="N155" s="35">
        <f t="shared" si="29"/>
        <v>0</v>
      </c>
      <c r="O155" s="5" t="e">
        <f t="shared" si="30"/>
        <v>#DIV/0!</v>
      </c>
      <c r="P155" s="5" t="e">
        <f t="shared" si="34"/>
        <v>#DIV/0!</v>
      </c>
      <c r="Q155" s="5" t="e">
        <f t="shared" si="35"/>
        <v>#DIV/0!</v>
      </c>
    </row>
    <row r="156" spans="1:17">
      <c r="A156" s="22">
        <f t="shared" si="39"/>
        <v>44351</v>
      </c>
      <c r="B156" s="5">
        <v>19.43</v>
      </c>
      <c r="C156" s="12">
        <v>1027</v>
      </c>
      <c r="D156" s="12">
        <v>8</v>
      </c>
      <c r="E156" s="29">
        <v>0</v>
      </c>
      <c r="F156" s="5">
        <v>0</v>
      </c>
      <c r="G156" s="29">
        <v>0</v>
      </c>
      <c r="H156" s="29">
        <v>2</v>
      </c>
      <c r="I156" s="29">
        <v>0</v>
      </c>
      <c r="J156" s="9">
        <v>0.0078</v>
      </c>
      <c r="K156" s="5">
        <v>2.43</v>
      </c>
      <c r="L156" s="5">
        <v>18.92</v>
      </c>
      <c r="M156" s="13">
        <f t="shared" si="33"/>
        <v>0</v>
      </c>
      <c r="N156" s="35">
        <f t="shared" si="29"/>
        <v>0</v>
      </c>
      <c r="O156" s="5" t="e">
        <f t="shared" si="30"/>
        <v>#DIV/0!</v>
      </c>
      <c r="P156" s="5" t="e">
        <f t="shared" si="34"/>
        <v>#DIV/0!</v>
      </c>
      <c r="Q156" s="5" t="e">
        <f t="shared" si="35"/>
        <v>#DIV/0!</v>
      </c>
    </row>
    <row r="157" spans="1:17">
      <c r="A157" s="22">
        <f t="shared" si="39"/>
        <v>44352</v>
      </c>
      <c r="B157" s="5">
        <v>14.29</v>
      </c>
      <c r="C157" s="12">
        <v>821</v>
      </c>
      <c r="D157" s="12">
        <v>9</v>
      </c>
      <c r="E157" s="29">
        <v>0</v>
      </c>
      <c r="F157" s="5">
        <v>0</v>
      </c>
      <c r="G157" s="29">
        <v>0</v>
      </c>
      <c r="H157" s="29">
        <v>0</v>
      </c>
      <c r="I157" s="29">
        <v>2</v>
      </c>
      <c r="J157" s="9">
        <v>0.011</v>
      </c>
      <c r="K157" s="5">
        <v>1.59</v>
      </c>
      <c r="L157" s="5">
        <v>17.4</v>
      </c>
      <c r="M157" s="13">
        <f t="shared" si="33"/>
        <v>0</v>
      </c>
      <c r="N157" s="35">
        <f t="shared" si="29"/>
        <v>0</v>
      </c>
      <c r="O157" s="5" t="e">
        <f t="shared" si="30"/>
        <v>#DIV/0!</v>
      </c>
      <c r="P157" s="5" t="e">
        <f t="shared" si="34"/>
        <v>#DIV/0!</v>
      </c>
      <c r="Q157" s="5" t="e">
        <f t="shared" si="35"/>
        <v>#DIV/0!</v>
      </c>
    </row>
    <row r="158" spans="1:17">
      <c r="A158" s="22">
        <f t="shared" si="39"/>
        <v>44353</v>
      </c>
      <c r="B158" s="5">
        <v>17.55</v>
      </c>
      <c r="C158" s="12">
        <v>958</v>
      </c>
      <c r="D158" s="12">
        <v>11</v>
      </c>
      <c r="E158" s="29">
        <v>0</v>
      </c>
      <c r="F158" s="5">
        <v>0</v>
      </c>
      <c r="G158" s="29">
        <v>1</v>
      </c>
      <c r="H158" s="29">
        <v>0</v>
      </c>
      <c r="I158" s="29">
        <v>1</v>
      </c>
      <c r="J158" s="9">
        <v>0.0115</v>
      </c>
      <c r="K158" s="5">
        <v>1.6</v>
      </c>
      <c r="L158" s="5">
        <v>18.32</v>
      </c>
      <c r="M158" s="13">
        <f t="shared" si="33"/>
        <v>0</v>
      </c>
      <c r="N158" s="35">
        <f t="shared" si="29"/>
        <v>0</v>
      </c>
      <c r="O158" s="5" t="e">
        <f t="shared" si="30"/>
        <v>#DIV/0!</v>
      </c>
      <c r="P158" s="5" t="e">
        <f t="shared" si="34"/>
        <v>#DIV/0!</v>
      </c>
      <c r="Q158" s="5">
        <f t="shared" si="35"/>
        <v>17.55</v>
      </c>
    </row>
    <row r="159" spans="1:17">
      <c r="A159" s="22">
        <f t="shared" si="39"/>
        <v>44354</v>
      </c>
      <c r="B159" s="5">
        <v>28.94</v>
      </c>
      <c r="C159" s="12">
        <v>1441</v>
      </c>
      <c r="D159" s="12">
        <v>19</v>
      </c>
      <c r="E159" s="29">
        <v>0</v>
      </c>
      <c r="F159" s="5">
        <v>0</v>
      </c>
      <c r="G159" s="29">
        <v>1</v>
      </c>
      <c r="H159" s="29">
        <v>0</v>
      </c>
      <c r="I159" s="29">
        <v>1</v>
      </c>
      <c r="J159" s="9">
        <v>0.0132</v>
      </c>
      <c r="K159" s="5">
        <v>1.52</v>
      </c>
      <c r="L159" s="5">
        <v>20.08</v>
      </c>
      <c r="M159" s="13">
        <f t="shared" si="33"/>
        <v>0</v>
      </c>
      <c r="N159" s="35">
        <f t="shared" si="29"/>
        <v>0</v>
      </c>
      <c r="O159" s="5" t="e">
        <f t="shared" si="30"/>
        <v>#DIV/0!</v>
      </c>
      <c r="P159" s="5" t="e">
        <f t="shared" si="34"/>
        <v>#DIV/0!</v>
      </c>
      <c r="Q159" s="5">
        <f t="shared" si="35"/>
        <v>28.94</v>
      </c>
    </row>
    <row r="160" spans="1:17">
      <c r="A160" s="22">
        <f t="shared" si="39"/>
        <v>44355</v>
      </c>
      <c r="B160" s="5">
        <v>25.95</v>
      </c>
      <c r="C160" s="12">
        <v>1662</v>
      </c>
      <c r="D160" s="12">
        <v>9</v>
      </c>
      <c r="E160" s="29">
        <v>0</v>
      </c>
      <c r="F160" s="5">
        <v>0</v>
      </c>
      <c r="G160" s="29">
        <v>3</v>
      </c>
      <c r="H160" s="29">
        <v>0</v>
      </c>
      <c r="I160" s="29">
        <v>1</v>
      </c>
      <c r="J160" s="9">
        <v>0.0054</v>
      </c>
      <c r="K160" s="5">
        <v>2.88</v>
      </c>
      <c r="L160" s="5">
        <v>15.61</v>
      </c>
      <c r="M160" s="13">
        <f t="shared" si="33"/>
        <v>0</v>
      </c>
      <c r="N160" s="35">
        <f t="shared" si="29"/>
        <v>0</v>
      </c>
      <c r="O160" s="5" t="e">
        <f t="shared" si="30"/>
        <v>#DIV/0!</v>
      </c>
      <c r="P160" s="5" t="e">
        <f t="shared" si="34"/>
        <v>#DIV/0!</v>
      </c>
      <c r="Q160" s="5">
        <f t="shared" si="35"/>
        <v>8.65</v>
      </c>
    </row>
    <row r="161" spans="1:17">
      <c r="A161" s="22">
        <f t="shared" si="39"/>
        <v>44356</v>
      </c>
      <c r="B161" s="5">
        <v>20.49</v>
      </c>
      <c r="C161" s="12">
        <v>1801</v>
      </c>
      <c r="D161" s="12">
        <v>7</v>
      </c>
      <c r="E161" s="29">
        <v>0</v>
      </c>
      <c r="F161" s="5">
        <v>0</v>
      </c>
      <c r="G161" s="29">
        <v>0</v>
      </c>
      <c r="H161" s="29">
        <v>0</v>
      </c>
      <c r="I161" s="29">
        <v>0</v>
      </c>
      <c r="J161" s="9">
        <v>0.0039</v>
      </c>
      <c r="K161" s="5">
        <v>2.93</v>
      </c>
      <c r="L161" s="5">
        <v>11.37</v>
      </c>
      <c r="M161" s="13">
        <f t="shared" si="33"/>
        <v>0</v>
      </c>
      <c r="N161" s="35">
        <f t="shared" si="29"/>
        <v>0</v>
      </c>
      <c r="O161" s="5" t="e">
        <f t="shared" si="30"/>
        <v>#DIV/0!</v>
      </c>
      <c r="P161" s="5" t="e">
        <f t="shared" si="34"/>
        <v>#DIV/0!</v>
      </c>
      <c r="Q161" s="5" t="e">
        <f t="shared" si="35"/>
        <v>#DIV/0!</v>
      </c>
    </row>
    <row r="162" spans="1:17">
      <c r="A162" s="22">
        <f t="shared" si="39"/>
        <v>44357</v>
      </c>
      <c r="B162" s="5">
        <v>31.36</v>
      </c>
      <c r="C162" s="12">
        <v>3274</v>
      </c>
      <c r="D162" s="12">
        <v>16</v>
      </c>
      <c r="E162" s="29">
        <v>3</v>
      </c>
      <c r="F162" s="5">
        <v>6200</v>
      </c>
      <c r="G162" s="29">
        <v>1</v>
      </c>
      <c r="H162" s="29">
        <v>0</v>
      </c>
      <c r="I162" s="29">
        <v>1</v>
      </c>
      <c r="J162" s="9">
        <v>0.0049</v>
      </c>
      <c r="K162" s="5">
        <v>1.96</v>
      </c>
      <c r="L162" s="5">
        <v>9.58</v>
      </c>
      <c r="M162" s="13">
        <f t="shared" si="33"/>
        <v>197.704081632653</v>
      </c>
      <c r="N162" s="35">
        <f t="shared" si="29"/>
        <v>0.1875</v>
      </c>
      <c r="O162" s="5">
        <f t="shared" si="30"/>
        <v>2066.66666666667</v>
      </c>
      <c r="P162" s="5">
        <f t="shared" si="34"/>
        <v>10.4533333333333</v>
      </c>
      <c r="Q162" s="5">
        <f t="shared" si="35"/>
        <v>31.36</v>
      </c>
    </row>
    <row r="163" spans="1:17">
      <c r="A163" s="22">
        <f t="shared" si="39"/>
        <v>44358</v>
      </c>
      <c r="B163" s="5">
        <v>14.48</v>
      </c>
      <c r="C163" s="12">
        <v>1319</v>
      </c>
      <c r="D163" s="12">
        <v>6</v>
      </c>
      <c r="E163" s="29">
        <v>0</v>
      </c>
      <c r="F163" s="5">
        <v>0</v>
      </c>
      <c r="G163" s="29">
        <v>0</v>
      </c>
      <c r="H163" s="29">
        <v>0</v>
      </c>
      <c r="I163" s="29">
        <v>1</v>
      </c>
      <c r="J163" s="9">
        <v>0.0045</v>
      </c>
      <c r="K163" s="5">
        <v>2.41</v>
      </c>
      <c r="L163" s="5">
        <v>10.98</v>
      </c>
      <c r="M163" s="13">
        <f t="shared" si="33"/>
        <v>0</v>
      </c>
      <c r="N163" s="35">
        <f t="shared" si="29"/>
        <v>0</v>
      </c>
      <c r="O163" s="5" t="e">
        <f t="shared" si="30"/>
        <v>#DIV/0!</v>
      </c>
      <c r="P163" s="5" t="e">
        <f t="shared" si="34"/>
        <v>#DIV/0!</v>
      </c>
      <c r="Q163" s="5" t="e">
        <f t="shared" si="35"/>
        <v>#DIV/0!</v>
      </c>
    </row>
    <row r="164" spans="1:17">
      <c r="A164" s="22">
        <f t="shared" si="39"/>
        <v>44359</v>
      </c>
      <c r="B164" s="5">
        <v>5.36</v>
      </c>
      <c r="C164" s="12">
        <v>343</v>
      </c>
      <c r="D164" s="12">
        <v>5</v>
      </c>
      <c r="E164" s="29">
        <v>0</v>
      </c>
      <c r="F164" s="5">
        <v>0</v>
      </c>
      <c r="G164" s="29">
        <v>0</v>
      </c>
      <c r="H164" s="29">
        <v>0</v>
      </c>
      <c r="I164" s="29">
        <v>1</v>
      </c>
      <c r="J164" s="9">
        <v>0.0146</v>
      </c>
      <c r="K164" s="5">
        <v>1.07</v>
      </c>
      <c r="L164" s="5">
        <v>15.64</v>
      </c>
      <c r="M164" s="13">
        <f t="shared" si="33"/>
        <v>0</v>
      </c>
      <c r="N164" s="35">
        <f t="shared" si="29"/>
        <v>0</v>
      </c>
      <c r="O164" s="5" t="e">
        <f t="shared" si="30"/>
        <v>#DIV/0!</v>
      </c>
      <c r="P164" s="5" t="e">
        <f t="shared" si="34"/>
        <v>#DIV/0!</v>
      </c>
      <c r="Q164" s="5" t="e">
        <f t="shared" si="35"/>
        <v>#DIV/0!</v>
      </c>
    </row>
    <row r="165" spans="1:17">
      <c r="A165" s="22">
        <f t="shared" si="39"/>
        <v>44360</v>
      </c>
      <c r="B165" s="5">
        <v>6.15</v>
      </c>
      <c r="C165" s="12">
        <v>283</v>
      </c>
      <c r="D165" s="12">
        <v>6</v>
      </c>
      <c r="E165" s="29">
        <v>0</v>
      </c>
      <c r="F165" s="5">
        <v>0</v>
      </c>
      <c r="G165" s="29">
        <v>0</v>
      </c>
      <c r="H165" s="29">
        <v>0</v>
      </c>
      <c r="I165" s="29">
        <v>0</v>
      </c>
      <c r="J165" s="9">
        <v>0.0212</v>
      </c>
      <c r="K165" s="5">
        <v>1.03</v>
      </c>
      <c r="L165" s="5">
        <v>21.74</v>
      </c>
      <c r="M165" s="13">
        <f t="shared" si="33"/>
        <v>0</v>
      </c>
      <c r="N165" s="35">
        <f t="shared" si="29"/>
        <v>0</v>
      </c>
      <c r="O165" s="5" t="e">
        <f t="shared" si="30"/>
        <v>#DIV/0!</v>
      </c>
      <c r="P165" s="5" t="e">
        <f t="shared" si="34"/>
        <v>#DIV/0!</v>
      </c>
      <c r="Q165" s="5" t="e">
        <f t="shared" si="35"/>
        <v>#DIV/0!</v>
      </c>
    </row>
    <row r="166" spans="1:17">
      <c r="A166" s="22">
        <f t="shared" si="39"/>
        <v>44361</v>
      </c>
      <c r="B166" s="5">
        <v>2.28</v>
      </c>
      <c r="C166" s="12">
        <v>112</v>
      </c>
      <c r="D166" s="12">
        <v>1</v>
      </c>
      <c r="E166" s="29">
        <v>0</v>
      </c>
      <c r="F166" s="5">
        <v>0</v>
      </c>
      <c r="G166" s="29">
        <v>1</v>
      </c>
      <c r="H166" s="29">
        <v>0</v>
      </c>
      <c r="I166" s="29">
        <v>1</v>
      </c>
      <c r="J166" s="9">
        <v>0.0089</v>
      </c>
      <c r="K166" s="5">
        <v>2.28</v>
      </c>
      <c r="L166" s="5">
        <v>20.38</v>
      </c>
      <c r="M166" s="13">
        <f t="shared" si="33"/>
        <v>0</v>
      </c>
      <c r="N166" s="35">
        <f t="shared" si="29"/>
        <v>0</v>
      </c>
      <c r="O166" s="5" t="e">
        <f t="shared" si="30"/>
        <v>#DIV/0!</v>
      </c>
      <c r="P166" s="5" t="e">
        <f t="shared" si="34"/>
        <v>#DIV/0!</v>
      </c>
      <c r="Q166" s="5">
        <f t="shared" si="35"/>
        <v>2.28</v>
      </c>
    </row>
    <row r="167" spans="1:17">
      <c r="A167" s="22">
        <f t="shared" si="39"/>
        <v>44362</v>
      </c>
      <c r="B167" s="5">
        <v>2.09</v>
      </c>
      <c r="C167" s="12">
        <v>103</v>
      </c>
      <c r="D167" s="12">
        <v>4</v>
      </c>
      <c r="E167" s="29">
        <v>0</v>
      </c>
      <c r="F167" s="5">
        <v>0</v>
      </c>
      <c r="G167" s="29">
        <v>0</v>
      </c>
      <c r="H167" s="29">
        <v>0</v>
      </c>
      <c r="I167" s="29">
        <v>0</v>
      </c>
      <c r="J167" s="9">
        <v>0.0388</v>
      </c>
      <c r="K167" s="5">
        <v>0.52</v>
      </c>
      <c r="L167" s="5">
        <v>20.27</v>
      </c>
      <c r="M167" s="13">
        <f t="shared" si="33"/>
        <v>0</v>
      </c>
      <c r="N167" s="35">
        <f t="shared" si="29"/>
        <v>0</v>
      </c>
      <c r="O167" s="5" t="e">
        <f t="shared" si="30"/>
        <v>#DIV/0!</v>
      </c>
      <c r="P167" s="5" t="e">
        <f t="shared" si="34"/>
        <v>#DIV/0!</v>
      </c>
      <c r="Q167" s="5" t="e">
        <f t="shared" si="35"/>
        <v>#DIV/0!</v>
      </c>
    </row>
    <row r="168" spans="1:17">
      <c r="A168" s="22">
        <f t="shared" si="39"/>
        <v>44363</v>
      </c>
      <c r="B168" s="5">
        <v>8.42</v>
      </c>
      <c r="C168" s="12">
        <v>278</v>
      </c>
      <c r="D168" s="12">
        <v>3</v>
      </c>
      <c r="E168" s="29">
        <v>0</v>
      </c>
      <c r="F168" s="5">
        <v>0</v>
      </c>
      <c r="G168" s="29">
        <v>0</v>
      </c>
      <c r="H168" s="29">
        <v>0</v>
      </c>
      <c r="I168" s="29">
        <v>0</v>
      </c>
      <c r="J168" s="9">
        <v>0.0108</v>
      </c>
      <c r="K168" s="5">
        <v>2.81</v>
      </c>
      <c r="L168" s="5">
        <v>30.28</v>
      </c>
      <c r="M168" s="13">
        <f t="shared" si="33"/>
        <v>0</v>
      </c>
      <c r="N168" s="35">
        <f t="shared" si="29"/>
        <v>0</v>
      </c>
      <c r="O168" s="5" t="e">
        <f t="shared" si="30"/>
        <v>#DIV/0!</v>
      </c>
      <c r="P168" s="5" t="e">
        <f t="shared" si="34"/>
        <v>#DIV/0!</v>
      </c>
      <c r="Q168" s="5" t="e">
        <f t="shared" si="35"/>
        <v>#DIV/0!</v>
      </c>
    </row>
    <row r="169" spans="1:17">
      <c r="A169" s="22">
        <f t="shared" si="39"/>
        <v>44364</v>
      </c>
      <c r="B169" s="5">
        <v>11.48</v>
      </c>
      <c r="C169" s="12">
        <v>440</v>
      </c>
      <c r="D169" s="12">
        <v>3</v>
      </c>
      <c r="E169" s="29">
        <v>0</v>
      </c>
      <c r="F169" s="5">
        <v>0</v>
      </c>
      <c r="G169" s="29">
        <v>0</v>
      </c>
      <c r="H169" s="29">
        <v>0</v>
      </c>
      <c r="I169" s="29">
        <v>1</v>
      </c>
      <c r="J169" s="9">
        <v>0.0068</v>
      </c>
      <c r="K169" s="5">
        <v>3.83</v>
      </c>
      <c r="L169" s="5">
        <v>26.08</v>
      </c>
      <c r="M169" s="13">
        <f t="shared" si="33"/>
        <v>0</v>
      </c>
      <c r="N169" s="35">
        <f t="shared" si="29"/>
        <v>0</v>
      </c>
      <c r="O169" s="5" t="e">
        <f t="shared" si="30"/>
        <v>#DIV/0!</v>
      </c>
      <c r="P169" s="5" t="e">
        <f t="shared" si="34"/>
        <v>#DIV/0!</v>
      </c>
      <c r="Q169" s="5" t="e">
        <f t="shared" si="35"/>
        <v>#DIV/0!</v>
      </c>
    </row>
    <row r="170" spans="1:17">
      <c r="A170" s="22">
        <f t="shared" si="39"/>
        <v>44365</v>
      </c>
      <c r="B170" s="5">
        <v>7.96</v>
      </c>
      <c r="C170" s="12">
        <v>251</v>
      </c>
      <c r="D170" s="12">
        <v>1</v>
      </c>
      <c r="E170" s="29">
        <v>0</v>
      </c>
      <c r="F170" s="5">
        <v>0</v>
      </c>
      <c r="G170" s="29">
        <v>0</v>
      </c>
      <c r="H170" s="29">
        <v>0</v>
      </c>
      <c r="I170" s="29">
        <v>0</v>
      </c>
      <c r="J170" s="9">
        <v>0.004</v>
      </c>
      <c r="K170" s="5">
        <v>7.96</v>
      </c>
      <c r="L170" s="5">
        <v>31.71</v>
      </c>
      <c r="M170" s="13">
        <f t="shared" si="33"/>
        <v>0</v>
      </c>
      <c r="N170" s="35">
        <f t="shared" si="29"/>
        <v>0</v>
      </c>
      <c r="O170" s="5" t="e">
        <f t="shared" si="30"/>
        <v>#DIV/0!</v>
      </c>
      <c r="P170" s="5" t="e">
        <f t="shared" si="34"/>
        <v>#DIV/0!</v>
      </c>
      <c r="Q170" s="5" t="e">
        <f t="shared" si="35"/>
        <v>#DIV/0!</v>
      </c>
    </row>
    <row r="171" spans="1:17">
      <c r="A171" s="22">
        <f t="shared" si="39"/>
        <v>44366</v>
      </c>
      <c r="B171" s="5">
        <v>7.75</v>
      </c>
      <c r="C171" s="12">
        <v>258</v>
      </c>
      <c r="D171" s="12">
        <v>3</v>
      </c>
      <c r="E171" s="29">
        <v>0</v>
      </c>
      <c r="F171" s="5">
        <v>0</v>
      </c>
      <c r="G171" s="29">
        <v>0</v>
      </c>
      <c r="H171" s="29">
        <v>0</v>
      </c>
      <c r="I171" s="29">
        <v>0</v>
      </c>
      <c r="J171" s="9">
        <v>0.0116</v>
      </c>
      <c r="K171" s="5">
        <v>2.58</v>
      </c>
      <c r="L171" s="5">
        <v>30.04</v>
      </c>
      <c r="M171" s="13">
        <f t="shared" si="33"/>
        <v>0</v>
      </c>
      <c r="N171" s="35">
        <f t="shared" si="29"/>
        <v>0</v>
      </c>
      <c r="O171" s="5" t="e">
        <f t="shared" si="30"/>
        <v>#DIV/0!</v>
      </c>
      <c r="P171" s="5" t="e">
        <f t="shared" si="34"/>
        <v>#DIV/0!</v>
      </c>
      <c r="Q171" s="5" t="e">
        <f t="shared" si="35"/>
        <v>#DIV/0!</v>
      </c>
    </row>
    <row r="172" spans="1:17">
      <c r="A172" s="22">
        <f t="shared" si="39"/>
        <v>44367</v>
      </c>
      <c r="B172" s="5">
        <v>3.16</v>
      </c>
      <c r="C172" s="12">
        <v>164</v>
      </c>
      <c r="D172" s="12">
        <v>2</v>
      </c>
      <c r="E172" s="29">
        <v>0</v>
      </c>
      <c r="F172" s="5">
        <v>0</v>
      </c>
      <c r="G172" s="29">
        <v>0</v>
      </c>
      <c r="H172" s="29">
        <v>0</v>
      </c>
      <c r="I172" s="29">
        <v>0</v>
      </c>
      <c r="J172" s="9">
        <v>0.0122</v>
      </c>
      <c r="K172" s="5">
        <v>1.58</v>
      </c>
      <c r="L172" s="5">
        <v>19.28</v>
      </c>
      <c r="M172" s="13">
        <f t="shared" si="33"/>
        <v>0</v>
      </c>
      <c r="N172" s="35">
        <f t="shared" si="29"/>
        <v>0</v>
      </c>
      <c r="O172" s="5" t="e">
        <f t="shared" si="30"/>
        <v>#DIV/0!</v>
      </c>
      <c r="P172" s="5" t="e">
        <f t="shared" si="34"/>
        <v>#DIV/0!</v>
      </c>
      <c r="Q172" s="5" t="e">
        <f t="shared" si="35"/>
        <v>#DIV/0!</v>
      </c>
    </row>
    <row r="173" spans="1:17">
      <c r="A173" s="22">
        <f t="shared" si="39"/>
        <v>44368</v>
      </c>
      <c r="B173" s="5">
        <v>1249.71</v>
      </c>
      <c r="C173" s="12">
        <v>55576</v>
      </c>
      <c r="D173" s="12">
        <v>122</v>
      </c>
      <c r="E173" s="29">
        <v>0</v>
      </c>
      <c r="F173" s="5">
        <v>0</v>
      </c>
      <c r="G173" s="29">
        <v>2</v>
      </c>
      <c r="H173" s="29">
        <v>0</v>
      </c>
      <c r="I173" s="29">
        <v>4</v>
      </c>
      <c r="J173" s="9">
        <v>0.0022</v>
      </c>
      <c r="K173" s="5">
        <v>10.24</v>
      </c>
      <c r="L173" s="5">
        <v>22.49</v>
      </c>
      <c r="M173" s="13">
        <f t="shared" si="33"/>
        <v>0</v>
      </c>
      <c r="N173" s="35">
        <f t="shared" si="29"/>
        <v>0</v>
      </c>
      <c r="O173" s="5" t="e">
        <f t="shared" si="30"/>
        <v>#DIV/0!</v>
      </c>
      <c r="P173" s="5" t="e">
        <f t="shared" si="34"/>
        <v>#DIV/0!</v>
      </c>
      <c r="Q173" s="5">
        <f t="shared" si="35"/>
        <v>624.855</v>
      </c>
    </row>
    <row r="174" spans="1:17">
      <c r="A174" s="22">
        <f t="shared" si="39"/>
        <v>44369</v>
      </c>
      <c r="B174" s="5">
        <v>1050</v>
      </c>
      <c r="C174" s="12">
        <v>68010</v>
      </c>
      <c r="D174" s="12">
        <v>221</v>
      </c>
      <c r="E174" s="29">
        <v>0</v>
      </c>
      <c r="F174" s="5">
        <v>0</v>
      </c>
      <c r="G174" s="29">
        <v>3</v>
      </c>
      <c r="H174" s="29">
        <v>1</v>
      </c>
      <c r="I174" s="29">
        <v>3</v>
      </c>
      <c r="J174" s="9">
        <v>0.0032</v>
      </c>
      <c r="K174" s="5">
        <v>4.75</v>
      </c>
      <c r="L174" s="5">
        <v>15.44</v>
      </c>
      <c r="M174" s="13">
        <f t="shared" si="33"/>
        <v>0</v>
      </c>
      <c r="N174" s="35">
        <f t="shared" si="29"/>
        <v>0</v>
      </c>
      <c r="O174" s="5" t="e">
        <f t="shared" si="30"/>
        <v>#DIV/0!</v>
      </c>
      <c r="P174" s="5" t="e">
        <f t="shared" si="34"/>
        <v>#DIV/0!</v>
      </c>
      <c r="Q174" s="5">
        <f t="shared" si="35"/>
        <v>350</v>
      </c>
    </row>
    <row r="175" spans="1:17">
      <c r="A175" s="22">
        <f t="shared" si="39"/>
        <v>44370</v>
      </c>
      <c r="B175" s="5">
        <v>600.91</v>
      </c>
      <c r="C175" s="12">
        <v>19183</v>
      </c>
      <c r="D175" s="12">
        <v>85</v>
      </c>
      <c r="E175" s="29">
        <v>1</v>
      </c>
      <c r="F175" s="5">
        <v>3491</v>
      </c>
      <c r="G175" s="29">
        <v>1</v>
      </c>
      <c r="H175" s="29">
        <v>0</v>
      </c>
      <c r="I175" s="29">
        <v>1</v>
      </c>
      <c r="J175" s="9">
        <v>0.0044</v>
      </c>
      <c r="K175" s="5">
        <v>7.07</v>
      </c>
      <c r="L175" s="5">
        <v>31.33</v>
      </c>
      <c r="M175" s="13">
        <f t="shared" si="33"/>
        <v>5.80952222462598</v>
      </c>
      <c r="N175" s="35">
        <f t="shared" si="29"/>
        <v>0.0117647058823529</v>
      </c>
      <c r="O175" s="5">
        <f t="shared" si="30"/>
        <v>3491</v>
      </c>
      <c r="P175" s="5">
        <f t="shared" si="34"/>
        <v>600.91</v>
      </c>
      <c r="Q175" s="5">
        <f t="shared" si="35"/>
        <v>600.91</v>
      </c>
    </row>
    <row r="176" spans="1:17">
      <c r="A176" s="22">
        <f t="shared" si="39"/>
        <v>44371</v>
      </c>
      <c r="B176" s="5">
        <v>1027.99</v>
      </c>
      <c r="C176" s="12">
        <v>72818</v>
      </c>
      <c r="D176" s="12">
        <v>150</v>
      </c>
      <c r="E176" s="29">
        <v>0</v>
      </c>
      <c r="F176" s="5">
        <v>0</v>
      </c>
      <c r="G176" s="29">
        <v>6</v>
      </c>
      <c r="H176" s="29">
        <v>0</v>
      </c>
      <c r="I176" s="29">
        <v>8</v>
      </c>
      <c r="J176" s="9">
        <v>0.0021</v>
      </c>
      <c r="K176" s="5">
        <v>6.85</v>
      </c>
      <c r="L176" s="5">
        <v>14.12</v>
      </c>
      <c r="M176" s="13">
        <f t="shared" si="33"/>
        <v>0</v>
      </c>
      <c r="N176" s="35">
        <f t="shared" si="29"/>
        <v>0</v>
      </c>
      <c r="O176" s="5" t="e">
        <f t="shared" si="30"/>
        <v>#DIV/0!</v>
      </c>
      <c r="P176" s="5" t="e">
        <f t="shared" si="34"/>
        <v>#DIV/0!</v>
      </c>
      <c r="Q176" s="5">
        <f t="shared" si="35"/>
        <v>171.331666666667</v>
      </c>
    </row>
    <row r="177" spans="1:17">
      <c r="A177" s="22">
        <f t="shared" si="39"/>
        <v>44372</v>
      </c>
      <c r="B177" s="5">
        <v>600.1</v>
      </c>
      <c r="C177" s="12">
        <v>56244</v>
      </c>
      <c r="D177" s="12">
        <v>96</v>
      </c>
      <c r="E177" s="29">
        <v>0</v>
      </c>
      <c r="F177" s="5">
        <v>0</v>
      </c>
      <c r="G177" s="29">
        <v>3</v>
      </c>
      <c r="H177" s="29">
        <v>2</v>
      </c>
      <c r="I177" s="29">
        <v>6</v>
      </c>
      <c r="J177" s="9">
        <v>0.0017</v>
      </c>
      <c r="K177" s="5">
        <v>6.25</v>
      </c>
      <c r="L177" s="5">
        <v>10.67</v>
      </c>
      <c r="M177" s="13">
        <f t="shared" si="33"/>
        <v>0</v>
      </c>
      <c r="N177" s="35">
        <f t="shared" si="29"/>
        <v>0</v>
      </c>
      <c r="O177" s="5" t="e">
        <f t="shared" si="30"/>
        <v>#DIV/0!</v>
      </c>
      <c r="P177" s="5" t="e">
        <f t="shared" si="34"/>
        <v>#DIV/0!</v>
      </c>
      <c r="Q177" s="5">
        <f t="shared" si="35"/>
        <v>200.033333333333</v>
      </c>
    </row>
    <row r="178" spans="1:17">
      <c r="A178" s="22">
        <f t="shared" si="39"/>
        <v>44373</v>
      </c>
      <c r="B178" s="5">
        <v>600</v>
      </c>
      <c r="C178" s="12">
        <v>51923</v>
      </c>
      <c r="D178" s="12">
        <v>114</v>
      </c>
      <c r="E178" s="29">
        <v>0</v>
      </c>
      <c r="F178" s="5">
        <v>0</v>
      </c>
      <c r="G178" s="29">
        <v>2</v>
      </c>
      <c r="H178" s="29">
        <v>0</v>
      </c>
      <c r="I178" s="29">
        <v>8</v>
      </c>
      <c r="J178" s="9">
        <v>0.0022</v>
      </c>
      <c r="K178" s="5">
        <v>5.26</v>
      </c>
      <c r="L178" s="5">
        <v>11.56</v>
      </c>
      <c r="M178" s="13">
        <f t="shared" si="33"/>
        <v>0</v>
      </c>
      <c r="N178" s="35">
        <f t="shared" si="29"/>
        <v>0</v>
      </c>
      <c r="O178" s="5" t="e">
        <f t="shared" si="30"/>
        <v>#DIV/0!</v>
      </c>
      <c r="P178" s="5" t="e">
        <f t="shared" si="34"/>
        <v>#DIV/0!</v>
      </c>
      <c r="Q178" s="5">
        <f t="shared" si="35"/>
        <v>300</v>
      </c>
    </row>
    <row r="179" spans="1:17">
      <c r="A179" s="22">
        <f t="shared" si="39"/>
        <v>44374</v>
      </c>
      <c r="B179" s="5">
        <v>160.74</v>
      </c>
      <c r="C179" s="12">
        <v>11821</v>
      </c>
      <c r="D179" s="12">
        <v>24</v>
      </c>
      <c r="E179" s="29">
        <v>0</v>
      </c>
      <c r="F179" s="5">
        <v>0</v>
      </c>
      <c r="G179" s="29">
        <v>1</v>
      </c>
      <c r="H179" s="29">
        <v>1</v>
      </c>
      <c r="I179" s="29">
        <v>1</v>
      </c>
      <c r="J179" s="9">
        <v>0.002</v>
      </c>
      <c r="K179" s="5">
        <v>6.7</v>
      </c>
      <c r="L179" s="5">
        <v>13.6</v>
      </c>
      <c r="M179" s="13">
        <f t="shared" si="33"/>
        <v>0</v>
      </c>
      <c r="N179" s="35">
        <f t="shared" si="29"/>
        <v>0</v>
      </c>
      <c r="O179" s="5" t="e">
        <f t="shared" si="30"/>
        <v>#DIV/0!</v>
      </c>
      <c r="P179" s="5" t="e">
        <f t="shared" si="34"/>
        <v>#DIV/0!</v>
      </c>
      <c r="Q179" s="5">
        <f t="shared" si="35"/>
        <v>160.74</v>
      </c>
    </row>
    <row r="180" spans="1:17">
      <c r="A180" s="22">
        <f t="shared" si="39"/>
        <v>44375</v>
      </c>
      <c r="B180" s="5" t="s">
        <v>18</v>
      </c>
      <c r="C180" s="5" t="s">
        <v>18</v>
      </c>
      <c r="D180" s="5" t="s">
        <v>18</v>
      </c>
      <c r="E180" s="5" t="s">
        <v>18</v>
      </c>
      <c r="F180" s="5" t="s">
        <v>18</v>
      </c>
      <c r="G180" s="5" t="s">
        <v>18</v>
      </c>
      <c r="H180" s="5" t="s">
        <v>18</v>
      </c>
      <c r="I180" s="5" t="s">
        <v>18</v>
      </c>
      <c r="J180" s="5" t="s">
        <v>18</v>
      </c>
      <c r="K180" s="5" t="s">
        <v>18</v>
      </c>
      <c r="L180" s="5" t="s">
        <v>18</v>
      </c>
      <c r="M180" s="13" t="e">
        <f t="shared" si="33"/>
        <v>#VALUE!</v>
      </c>
      <c r="N180" s="35" t="e">
        <f t="shared" si="29"/>
        <v>#VALUE!</v>
      </c>
      <c r="O180" s="5" t="e">
        <f t="shared" si="30"/>
        <v>#VALUE!</v>
      </c>
      <c r="P180" s="5" t="e">
        <f t="shared" si="34"/>
        <v>#VALUE!</v>
      </c>
      <c r="Q180" s="5" t="e">
        <f t="shared" si="35"/>
        <v>#VALUE!</v>
      </c>
    </row>
    <row r="181" spans="1:17">
      <c r="A181" s="22">
        <f t="shared" si="39"/>
        <v>44376</v>
      </c>
      <c r="B181" s="5">
        <v>583.95</v>
      </c>
      <c r="C181" s="12">
        <v>68681</v>
      </c>
      <c r="D181" s="12">
        <v>116</v>
      </c>
      <c r="E181">
        <v>0</v>
      </c>
      <c r="F181" s="5">
        <v>0</v>
      </c>
      <c r="G181">
        <v>0</v>
      </c>
      <c r="H181">
        <v>0</v>
      </c>
      <c r="I181">
        <v>5</v>
      </c>
      <c r="J181" s="9">
        <v>0.0017</v>
      </c>
      <c r="K181" s="5">
        <v>5.03</v>
      </c>
      <c r="L181" s="5">
        <v>8.5</v>
      </c>
      <c r="M181" s="13">
        <f t="shared" ref="M181:M236" si="40">F181/B181</f>
        <v>0</v>
      </c>
      <c r="N181" s="35">
        <f t="shared" ref="N181:O196" si="41">E181/D181</f>
        <v>0</v>
      </c>
      <c r="O181" s="5" t="e">
        <f t="shared" si="41"/>
        <v>#DIV/0!</v>
      </c>
      <c r="P181" s="5" t="e">
        <f t="shared" ref="P181:P195" si="42">B181/E181</f>
        <v>#DIV/0!</v>
      </c>
      <c r="Q181" s="5" t="e">
        <f t="shared" ref="Q181:Q195" si="43">B181/G181</f>
        <v>#DIV/0!</v>
      </c>
    </row>
    <row r="182" spans="1:17">
      <c r="A182" s="22">
        <f t="shared" si="39"/>
        <v>44377</v>
      </c>
      <c r="B182" s="5">
        <v>614.67</v>
      </c>
      <c r="C182" s="12">
        <v>39682</v>
      </c>
      <c r="D182" s="12">
        <v>101</v>
      </c>
      <c r="E182">
        <v>0</v>
      </c>
      <c r="F182" s="5">
        <v>0</v>
      </c>
      <c r="G182">
        <v>0</v>
      </c>
      <c r="H182">
        <v>0</v>
      </c>
      <c r="I182">
        <v>5</v>
      </c>
      <c r="J182" s="9">
        <v>0.0025</v>
      </c>
      <c r="K182" s="5">
        <v>6.09</v>
      </c>
      <c r="L182" s="5">
        <v>15.49</v>
      </c>
      <c r="M182" s="13">
        <f t="shared" si="40"/>
        <v>0</v>
      </c>
      <c r="N182" s="35">
        <f t="shared" si="41"/>
        <v>0</v>
      </c>
      <c r="O182" s="5" t="e">
        <f t="shared" si="41"/>
        <v>#DIV/0!</v>
      </c>
      <c r="P182" s="5" t="e">
        <f t="shared" si="42"/>
        <v>#DIV/0!</v>
      </c>
      <c r="Q182" s="5" t="e">
        <f t="shared" si="43"/>
        <v>#DIV/0!</v>
      </c>
    </row>
    <row r="183" spans="1:17">
      <c r="A183" s="22">
        <f t="shared" si="39"/>
        <v>44378</v>
      </c>
      <c r="B183" s="5">
        <v>555.55</v>
      </c>
      <c r="C183" s="12">
        <v>51403</v>
      </c>
      <c r="D183" s="12">
        <v>96</v>
      </c>
      <c r="E183">
        <v>1</v>
      </c>
      <c r="F183" s="5">
        <v>600</v>
      </c>
      <c r="G183">
        <v>1</v>
      </c>
      <c r="H183">
        <v>1</v>
      </c>
      <c r="I183">
        <v>1</v>
      </c>
      <c r="J183" s="9">
        <v>0.0019</v>
      </c>
      <c r="K183" s="5">
        <v>5.79</v>
      </c>
      <c r="L183" s="5">
        <v>10.81</v>
      </c>
      <c r="M183" s="13">
        <f t="shared" si="40"/>
        <v>1.080010800108</v>
      </c>
      <c r="N183" s="35">
        <f t="shared" si="41"/>
        <v>0.0104166666666667</v>
      </c>
      <c r="O183" s="5">
        <f t="shared" si="41"/>
        <v>600</v>
      </c>
      <c r="P183" s="5">
        <f t="shared" si="42"/>
        <v>555.55</v>
      </c>
      <c r="Q183" s="5">
        <f t="shared" si="43"/>
        <v>555.55</v>
      </c>
    </row>
    <row r="184" spans="1:17">
      <c r="A184" s="22">
        <f t="shared" si="39"/>
        <v>44379</v>
      </c>
      <c r="B184" s="5">
        <v>281.22</v>
      </c>
      <c r="C184" s="12">
        <v>30400</v>
      </c>
      <c r="D184" s="12">
        <v>54</v>
      </c>
      <c r="E184">
        <v>0</v>
      </c>
      <c r="F184" s="5">
        <v>0</v>
      </c>
      <c r="G184">
        <v>0</v>
      </c>
      <c r="H184">
        <v>0</v>
      </c>
      <c r="I184">
        <v>1</v>
      </c>
      <c r="J184" s="9">
        <v>0.0018</v>
      </c>
      <c r="K184" s="5">
        <v>5.21</v>
      </c>
      <c r="L184" s="5">
        <v>9.25</v>
      </c>
      <c r="M184" s="13">
        <f t="shared" si="40"/>
        <v>0</v>
      </c>
      <c r="N184" s="35">
        <f t="shared" si="41"/>
        <v>0</v>
      </c>
      <c r="O184" s="5" t="e">
        <f t="shared" si="41"/>
        <v>#DIV/0!</v>
      </c>
      <c r="P184" s="5" t="e">
        <f t="shared" si="42"/>
        <v>#DIV/0!</v>
      </c>
      <c r="Q184" s="5" t="e">
        <f t="shared" si="43"/>
        <v>#DIV/0!</v>
      </c>
    </row>
    <row r="185" spans="1:17">
      <c r="A185" s="22">
        <f t="shared" si="39"/>
        <v>44380</v>
      </c>
      <c r="B185" s="5">
        <v>28.7</v>
      </c>
      <c r="C185" s="12">
        <v>2657</v>
      </c>
      <c r="D185" s="12">
        <v>7</v>
      </c>
      <c r="E185">
        <v>0</v>
      </c>
      <c r="F185" s="5">
        <v>0</v>
      </c>
      <c r="G185">
        <v>0</v>
      </c>
      <c r="H185">
        <v>0</v>
      </c>
      <c r="I185">
        <v>0</v>
      </c>
      <c r="J185" s="9">
        <v>0.0026</v>
      </c>
      <c r="K185" s="5">
        <v>4.1</v>
      </c>
      <c r="L185" s="5">
        <v>10.8</v>
      </c>
      <c r="M185" s="13">
        <f t="shared" si="40"/>
        <v>0</v>
      </c>
      <c r="N185" s="35">
        <f t="shared" si="41"/>
        <v>0</v>
      </c>
      <c r="O185" s="5" t="e">
        <f t="shared" si="41"/>
        <v>#DIV/0!</v>
      </c>
      <c r="P185" s="5" t="e">
        <f t="shared" si="42"/>
        <v>#DIV/0!</v>
      </c>
      <c r="Q185" s="5" t="e">
        <f t="shared" si="43"/>
        <v>#DIV/0!</v>
      </c>
    </row>
    <row r="186" spans="1:17">
      <c r="A186" s="22">
        <f t="shared" si="39"/>
        <v>44381</v>
      </c>
      <c r="B186" s="5">
        <v>77.02</v>
      </c>
      <c r="C186" s="12">
        <v>8377</v>
      </c>
      <c r="D186" s="12">
        <v>24</v>
      </c>
      <c r="E186">
        <v>0</v>
      </c>
      <c r="F186" s="5">
        <v>0</v>
      </c>
      <c r="G186">
        <v>1</v>
      </c>
      <c r="H186">
        <v>0</v>
      </c>
      <c r="I186">
        <v>1</v>
      </c>
      <c r="J186" s="9">
        <v>0.0029</v>
      </c>
      <c r="K186" s="5">
        <v>3.21</v>
      </c>
      <c r="L186" s="5">
        <v>9.19</v>
      </c>
      <c r="M186" s="13">
        <f t="shared" si="40"/>
        <v>0</v>
      </c>
      <c r="N186" s="35">
        <f t="shared" si="41"/>
        <v>0</v>
      </c>
      <c r="O186" s="5" t="e">
        <f t="shared" si="41"/>
        <v>#DIV/0!</v>
      </c>
      <c r="P186" s="5" t="e">
        <f t="shared" si="42"/>
        <v>#DIV/0!</v>
      </c>
      <c r="Q186" s="5">
        <f t="shared" si="43"/>
        <v>77.02</v>
      </c>
    </row>
    <row r="187" spans="1:17">
      <c r="A187" s="22">
        <f t="shared" si="39"/>
        <v>44382</v>
      </c>
      <c r="B187" s="5">
        <v>300</v>
      </c>
      <c r="C187" s="12">
        <v>47031</v>
      </c>
      <c r="D187" s="12">
        <v>56</v>
      </c>
      <c r="E187">
        <v>0</v>
      </c>
      <c r="F187" s="5">
        <v>0</v>
      </c>
      <c r="G187">
        <v>2</v>
      </c>
      <c r="H187">
        <v>1</v>
      </c>
      <c r="I187">
        <v>0</v>
      </c>
      <c r="J187" s="9">
        <v>0.0012</v>
      </c>
      <c r="K187" s="5">
        <v>5.36</v>
      </c>
      <c r="L187" s="5">
        <v>6.38</v>
      </c>
      <c r="M187" s="13">
        <f t="shared" si="40"/>
        <v>0</v>
      </c>
      <c r="N187" s="35">
        <f t="shared" si="41"/>
        <v>0</v>
      </c>
      <c r="O187" s="5" t="e">
        <f t="shared" si="41"/>
        <v>#DIV/0!</v>
      </c>
      <c r="P187" s="5" t="e">
        <f t="shared" si="42"/>
        <v>#DIV/0!</v>
      </c>
      <c r="Q187" s="5">
        <f t="shared" si="43"/>
        <v>150</v>
      </c>
    </row>
    <row r="188" spans="1:17">
      <c r="A188" s="22">
        <f t="shared" si="39"/>
        <v>44383</v>
      </c>
      <c r="B188" s="5">
        <v>299.64</v>
      </c>
      <c r="C188" s="12">
        <v>52242</v>
      </c>
      <c r="D188" s="12">
        <v>61</v>
      </c>
      <c r="E188">
        <v>0</v>
      </c>
      <c r="F188" s="5">
        <v>0</v>
      </c>
      <c r="G188">
        <v>0</v>
      </c>
      <c r="H188">
        <v>0</v>
      </c>
      <c r="I188">
        <v>0</v>
      </c>
      <c r="J188" s="9">
        <v>0.0008</v>
      </c>
      <c r="K188" s="5">
        <v>7.23</v>
      </c>
      <c r="L188" s="5">
        <v>6.11</v>
      </c>
      <c r="M188" s="13">
        <f t="shared" si="40"/>
        <v>0</v>
      </c>
      <c r="N188" s="35">
        <f t="shared" si="41"/>
        <v>0</v>
      </c>
      <c r="O188" s="5" t="e">
        <f t="shared" si="41"/>
        <v>#DIV/0!</v>
      </c>
      <c r="P188" s="5" t="e">
        <f t="shared" si="42"/>
        <v>#DIV/0!</v>
      </c>
      <c r="Q188" s="5" t="e">
        <f t="shared" si="43"/>
        <v>#DIV/0!</v>
      </c>
    </row>
    <row r="189" spans="1:17">
      <c r="A189" s="22">
        <f t="shared" si="39"/>
        <v>44384</v>
      </c>
      <c r="B189" s="5">
        <v>231.26</v>
      </c>
      <c r="C189" s="12">
        <v>37872</v>
      </c>
      <c r="D189" s="12">
        <v>32</v>
      </c>
      <c r="E189">
        <v>0</v>
      </c>
      <c r="F189" s="5">
        <v>0</v>
      </c>
      <c r="G189">
        <v>0</v>
      </c>
      <c r="H189">
        <v>0</v>
      </c>
      <c r="I189">
        <v>0</v>
      </c>
      <c r="J189" s="9">
        <v>0.0008</v>
      </c>
      <c r="K189" s="5">
        <v>7.23</v>
      </c>
      <c r="L189" s="5">
        <v>6.11</v>
      </c>
      <c r="M189" s="13">
        <f t="shared" si="40"/>
        <v>0</v>
      </c>
      <c r="N189" s="35">
        <f t="shared" si="41"/>
        <v>0</v>
      </c>
      <c r="O189" s="5" t="e">
        <f t="shared" si="41"/>
        <v>#DIV/0!</v>
      </c>
      <c r="P189" s="5" t="e">
        <f t="shared" si="42"/>
        <v>#DIV/0!</v>
      </c>
      <c r="Q189" s="5" t="e">
        <f t="shared" si="43"/>
        <v>#DIV/0!</v>
      </c>
    </row>
    <row r="190" spans="1:17">
      <c r="A190" s="22">
        <f t="shared" si="39"/>
        <v>44385</v>
      </c>
      <c r="B190" s="5">
        <v>299.7</v>
      </c>
      <c r="C190" s="12">
        <v>61183</v>
      </c>
      <c r="D190" s="12">
        <v>57</v>
      </c>
      <c r="E190">
        <v>0</v>
      </c>
      <c r="F190" s="5">
        <v>0</v>
      </c>
      <c r="G190">
        <v>0</v>
      </c>
      <c r="H190">
        <v>0</v>
      </c>
      <c r="I190">
        <v>0</v>
      </c>
      <c r="J190" s="9">
        <v>0.0009</v>
      </c>
      <c r="K190" s="5">
        <v>4.9</v>
      </c>
      <c r="L190" s="5">
        <v>5.26</v>
      </c>
      <c r="M190" s="13">
        <f t="shared" si="40"/>
        <v>0</v>
      </c>
      <c r="N190" s="35">
        <f t="shared" si="41"/>
        <v>0</v>
      </c>
      <c r="O190" s="5" t="e">
        <f t="shared" si="41"/>
        <v>#DIV/0!</v>
      </c>
      <c r="P190" s="5" t="e">
        <f t="shared" si="42"/>
        <v>#DIV/0!</v>
      </c>
      <c r="Q190" s="5" t="e">
        <f t="shared" si="43"/>
        <v>#DIV/0!</v>
      </c>
    </row>
    <row r="191" spans="1:17">
      <c r="A191" s="22">
        <f t="shared" si="39"/>
        <v>44386</v>
      </c>
      <c r="B191" s="5">
        <v>300</v>
      </c>
      <c r="C191" s="12">
        <v>53849</v>
      </c>
      <c r="D191" s="12">
        <v>61</v>
      </c>
      <c r="E191">
        <v>0</v>
      </c>
      <c r="F191" s="5">
        <v>0</v>
      </c>
      <c r="G191">
        <v>0</v>
      </c>
      <c r="H191">
        <v>0</v>
      </c>
      <c r="I191">
        <v>2</v>
      </c>
      <c r="J191" s="9">
        <v>0.0011</v>
      </c>
      <c r="K191" s="5">
        <v>4.92</v>
      </c>
      <c r="L191" s="5">
        <v>5.57</v>
      </c>
      <c r="M191" s="13">
        <f t="shared" si="40"/>
        <v>0</v>
      </c>
      <c r="N191" s="35">
        <f t="shared" si="41"/>
        <v>0</v>
      </c>
      <c r="O191" s="5" t="e">
        <f t="shared" si="41"/>
        <v>#DIV/0!</v>
      </c>
      <c r="P191" s="5" t="e">
        <f t="shared" si="42"/>
        <v>#DIV/0!</v>
      </c>
      <c r="Q191" s="5" t="e">
        <f t="shared" si="43"/>
        <v>#DIV/0!</v>
      </c>
    </row>
    <row r="192" spans="1:17">
      <c r="A192" s="22">
        <f t="shared" si="39"/>
        <v>44387</v>
      </c>
      <c r="B192" s="5">
        <v>299.99</v>
      </c>
      <c r="C192" s="12">
        <v>68728</v>
      </c>
      <c r="D192" s="12">
        <v>129</v>
      </c>
      <c r="E192">
        <v>0</v>
      </c>
      <c r="F192" s="5">
        <v>0</v>
      </c>
      <c r="G192">
        <v>0</v>
      </c>
      <c r="H192">
        <v>0</v>
      </c>
      <c r="I192">
        <v>0</v>
      </c>
      <c r="J192" s="9">
        <v>0.0009</v>
      </c>
      <c r="K192" s="5">
        <v>4.76</v>
      </c>
      <c r="L192" s="5">
        <v>4.36</v>
      </c>
      <c r="M192" s="13">
        <f t="shared" si="40"/>
        <v>0</v>
      </c>
      <c r="N192" s="35">
        <f t="shared" si="41"/>
        <v>0</v>
      </c>
      <c r="O192" s="5" t="e">
        <f t="shared" si="41"/>
        <v>#DIV/0!</v>
      </c>
      <c r="P192" s="5" t="e">
        <f t="shared" si="42"/>
        <v>#DIV/0!</v>
      </c>
      <c r="Q192" s="5" t="e">
        <f t="shared" si="43"/>
        <v>#DIV/0!</v>
      </c>
    </row>
    <row r="193" spans="1:17">
      <c r="A193" s="22">
        <f t="shared" si="39"/>
        <v>44388</v>
      </c>
      <c r="B193" s="5">
        <v>299.12</v>
      </c>
      <c r="C193" s="12">
        <v>68089</v>
      </c>
      <c r="D193" s="12">
        <v>66</v>
      </c>
      <c r="E193">
        <v>0</v>
      </c>
      <c r="F193" s="5">
        <v>0</v>
      </c>
      <c r="G193">
        <v>0</v>
      </c>
      <c r="H193">
        <v>0</v>
      </c>
      <c r="I193">
        <v>0</v>
      </c>
      <c r="J193" s="9">
        <v>0.001</v>
      </c>
      <c r="K193" s="5">
        <v>4.53</v>
      </c>
      <c r="L193" s="5">
        <v>4.39</v>
      </c>
      <c r="M193" s="13">
        <f t="shared" si="40"/>
        <v>0</v>
      </c>
      <c r="N193" s="35">
        <f t="shared" si="41"/>
        <v>0</v>
      </c>
      <c r="O193" s="5" t="e">
        <f t="shared" si="41"/>
        <v>#DIV/0!</v>
      </c>
      <c r="P193" s="5" t="e">
        <f t="shared" si="42"/>
        <v>#DIV/0!</v>
      </c>
      <c r="Q193" s="5" t="e">
        <f t="shared" si="43"/>
        <v>#DIV/0!</v>
      </c>
    </row>
    <row r="194" spans="1:17">
      <c r="A194" s="22">
        <f t="shared" si="39"/>
        <v>44389</v>
      </c>
      <c r="B194" s="5">
        <v>289.11</v>
      </c>
      <c r="C194" s="12">
        <v>71325</v>
      </c>
      <c r="D194" s="12">
        <v>62</v>
      </c>
      <c r="E194">
        <v>0</v>
      </c>
      <c r="F194" s="5">
        <v>0</v>
      </c>
      <c r="G194">
        <v>0</v>
      </c>
      <c r="H194">
        <v>0</v>
      </c>
      <c r="I194">
        <v>0</v>
      </c>
      <c r="J194" s="9">
        <v>0.0009</v>
      </c>
      <c r="K194" s="5">
        <v>4.66</v>
      </c>
      <c r="L194" s="5">
        <v>4.05</v>
      </c>
      <c r="M194" s="13">
        <f t="shared" si="40"/>
        <v>0</v>
      </c>
      <c r="N194" s="35">
        <f t="shared" si="41"/>
        <v>0</v>
      </c>
      <c r="O194" s="5" t="e">
        <f t="shared" si="41"/>
        <v>#DIV/0!</v>
      </c>
      <c r="P194" s="5" t="e">
        <f t="shared" si="42"/>
        <v>#DIV/0!</v>
      </c>
      <c r="Q194" s="5" t="e">
        <f t="shared" si="43"/>
        <v>#DIV/0!</v>
      </c>
    </row>
    <row r="195" spans="1:17">
      <c r="A195" s="22">
        <f t="shared" si="39"/>
        <v>44390</v>
      </c>
      <c r="B195" s="5">
        <v>298.99</v>
      </c>
      <c r="C195" s="12">
        <v>72083</v>
      </c>
      <c r="D195" s="12">
        <v>63</v>
      </c>
      <c r="E195">
        <v>0</v>
      </c>
      <c r="F195" s="5">
        <v>0</v>
      </c>
      <c r="G195">
        <v>0</v>
      </c>
      <c r="H195">
        <v>1</v>
      </c>
      <c r="I195">
        <v>0</v>
      </c>
      <c r="J195" s="9">
        <v>0.0009</v>
      </c>
      <c r="K195" s="5">
        <v>4.75</v>
      </c>
      <c r="L195" s="5">
        <v>4.15</v>
      </c>
      <c r="M195" s="13">
        <f t="shared" si="40"/>
        <v>0</v>
      </c>
      <c r="N195" s="35">
        <f t="shared" si="41"/>
        <v>0</v>
      </c>
      <c r="O195" s="5" t="e">
        <f t="shared" si="41"/>
        <v>#DIV/0!</v>
      </c>
      <c r="P195" s="5" t="e">
        <f t="shared" si="42"/>
        <v>#DIV/0!</v>
      </c>
      <c r="Q195" s="5" t="e">
        <f t="shared" si="43"/>
        <v>#DIV/0!</v>
      </c>
    </row>
    <row r="196" spans="1:17">
      <c r="A196" s="22">
        <f t="shared" si="39"/>
        <v>44391</v>
      </c>
      <c r="B196" s="5" t="s">
        <v>18</v>
      </c>
      <c r="C196" s="5" t="s">
        <v>18</v>
      </c>
      <c r="D196" s="5" t="s">
        <v>18</v>
      </c>
      <c r="E196" s="5" t="s">
        <v>18</v>
      </c>
      <c r="F196" s="5" t="s">
        <v>18</v>
      </c>
      <c r="G196" s="5" t="s">
        <v>18</v>
      </c>
      <c r="H196" s="5" t="s">
        <v>18</v>
      </c>
      <c r="I196" s="5" t="s">
        <v>18</v>
      </c>
      <c r="J196" s="5" t="s">
        <v>18</v>
      </c>
      <c r="K196" s="5" t="s">
        <v>18</v>
      </c>
      <c r="L196" s="5" t="s">
        <v>18</v>
      </c>
      <c r="M196" s="13" t="e">
        <f t="shared" si="40"/>
        <v>#VALUE!</v>
      </c>
      <c r="N196" s="35" t="e">
        <f t="shared" si="41"/>
        <v>#VALUE!</v>
      </c>
      <c r="O196" s="5" t="e">
        <f t="shared" ref="O196:O230" si="44">F196/E196</f>
        <v>#VALUE!</v>
      </c>
      <c r="P196" s="5" t="e">
        <f t="shared" ref="P196:P230" si="45">B196/E196</f>
        <v>#VALUE!</v>
      </c>
      <c r="Q196" s="5" t="e">
        <f t="shared" ref="Q196:Q230" si="46">B196/G196</f>
        <v>#VALUE!</v>
      </c>
    </row>
    <row r="197" spans="1:17">
      <c r="A197" s="22">
        <f t="shared" si="39"/>
        <v>44392</v>
      </c>
      <c r="B197" s="5" t="s">
        <v>18</v>
      </c>
      <c r="C197" s="5" t="s">
        <v>18</v>
      </c>
      <c r="D197" s="5" t="s">
        <v>18</v>
      </c>
      <c r="E197" s="5" t="s">
        <v>18</v>
      </c>
      <c r="F197" s="5" t="s">
        <v>18</v>
      </c>
      <c r="G197" s="5" t="s">
        <v>18</v>
      </c>
      <c r="H197" s="5" t="s">
        <v>18</v>
      </c>
      <c r="I197" s="5" t="s">
        <v>18</v>
      </c>
      <c r="J197" s="5" t="s">
        <v>18</v>
      </c>
      <c r="K197" s="5" t="s">
        <v>18</v>
      </c>
      <c r="L197" s="5" t="s">
        <v>18</v>
      </c>
      <c r="M197" s="13" t="e">
        <f t="shared" si="40"/>
        <v>#VALUE!</v>
      </c>
      <c r="N197" s="35" t="e">
        <f t="shared" ref="N197:N236" si="47">E197/D197</f>
        <v>#VALUE!</v>
      </c>
      <c r="O197" s="5" t="e">
        <f t="shared" si="44"/>
        <v>#VALUE!</v>
      </c>
      <c r="P197" s="5" t="e">
        <f t="shared" si="45"/>
        <v>#VALUE!</v>
      </c>
      <c r="Q197" s="5" t="e">
        <f t="shared" si="46"/>
        <v>#VALUE!</v>
      </c>
    </row>
    <row r="198" spans="1:17">
      <c r="A198" s="22">
        <f t="shared" si="39"/>
        <v>44393</v>
      </c>
      <c r="B198" s="5" t="s">
        <v>18</v>
      </c>
      <c r="C198" s="5" t="s">
        <v>18</v>
      </c>
      <c r="D198" s="5" t="s">
        <v>18</v>
      </c>
      <c r="E198" s="5" t="s">
        <v>18</v>
      </c>
      <c r="F198" s="5" t="s">
        <v>18</v>
      </c>
      <c r="G198" s="5" t="s">
        <v>18</v>
      </c>
      <c r="H198" s="5" t="s">
        <v>18</v>
      </c>
      <c r="I198" s="5" t="s">
        <v>18</v>
      </c>
      <c r="J198" s="5" t="s">
        <v>18</v>
      </c>
      <c r="K198" s="5" t="s">
        <v>18</v>
      </c>
      <c r="L198" s="5" t="s">
        <v>18</v>
      </c>
      <c r="M198" s="13" t="e">
        <f t="shared" si="40"/>
        <v>#VALUE!</v>
      </c>
      <c r="N198" s="35" t="e">
        <f t="shared" si="47"/>
        <v>#VALUE!</v>
      </c>
      <c r="O198" s="5" t="e">
        <f t="shared" si="44"/>
        <v>#VALUE!</v>
      </c>
      <c r="P198" s="5" t="e">
        <f t="shared" si="45"/>
        <v>#VALUE!</v>
      </c>
      <c r="Q198" s="5" t="e">
        <f t="shared" si="46"/>
        <v>#VALUE!</v>
      </c>
    </row>
    <row r="199" spans="1:17">
      <c r="A199" s="22">
        <f t="shared" si="39"/>
        <v>44394</v>
      </c>
      <c r="B199" s="5" t="s">
        <v>18</v>
      </c>
      <c r="C199" s="5" t="s">
        <v>18</v>
      </c>
      <c r="D199" s="5" t="s">
        <v>18</v>
      </c>
      <c r="E199" s="5" t="s">
        <v>18</v>
      </c>
      <c r="F199" s="5" t="s">
        <v>18</v>
      </c>
      <c r="G199" s="5" t="s">
        <v>18</v>
      </c>
      <c r="H199" s="5" t="s">
        <v>18</v>
      </c>
      <c r="I199" s="5" t="s">
        <v>18</v>
      </c>
      <c r="J199" s="5" t="s">
        <v>18</v>
      </c>
      <c r="K199" s="5" t="s">
        <v>18</v>
      </c>
      <c r="L199" s="5" t="s">
        <v>18</v>
      </c>
      <c r="M199" s="13" t="e">
        <f t="shared" si="40"/>
        <v>#VALUE!</v>
      </c>
      <c r="N199" s="35" t="e">
        <f t="shared" si="47"/>
        <v>#VALUE!</v>
      </c>
      <c r="O199" s="5" t="e">
        <f t="shared" si="44"/>
        <v>#VALUE!</v>
      </c>
      <c r="P199" s="5" t="e">
        <f t="shared" si="45"/>
        <v>#VALUE!</v>
      </c>
      <c r="Q199" s="5" t="e">
        <f t="shared" si="46"/>
        <v>#VALUE!</v>
      </c>
    </row>
    <row r="200" spans="1:17">
      <c r="A200" s="22">
        <f t="shared" si="39"/>
        <v>44395</v>
      </c>
      <c r="B200" s="5" t="s">
        <v>18</v>
      </c>
      <c r="C200" s="5" t="s">
        <v>18</v>
      </c>
      <c r="D200" s="5" t="s">
        <v>18</v>
      </c>
      <c r="E200" s="5" t="s">
        <v>18</v>
      </c>
      <c r="F200" s="5" t="s">
        <v>18</v>
      </c>
      <c r="G200" s="5" t="s">
        <v>18</v>
      </c>
      <c r="H200" s="5" t="s">
        <v>18</v>
      </c>
      <c r="I200" s="5" t="s">
        <v>18</v>
      </c>
      <c r="J200" s="5" t="s">
        <v>18</v>
      </c>
      <c r="K200" s="5" t="s">
        <v>18</v>
      </c>
      <c r="L200" s="5" t="s">
        <v>18</v>
      </c>
      <c r="M200" s="13" t="e">
        <f t="shared" si="40"/>
        <v>#VALUE!</v>
      </c>
      <c r="N200" s="35" t="e">
        <f t="shared" si="47"/>
        <v>#VALUE!</v>
      </c>
      <c r="O200" s="5" t="e">
        <f t="shared" si="44"/>
        <v>#VALUE!</v>
      </c>
      <c r="P200" s="5" t="e">
        <f t="shared" si="45"/>
        <v>#VALUE!</v>
      </c>
      <c r="Q200" s="5" t="e">
        <f t="shared" si="46"/>
        <v>#VALUE!</v>
      </c>
    </row>
    <row r="201" spans="1:17">
      <c r="A201" s="22">
        <f t="shared" si="39"/>
        <v>44396</v>
      </c>
      <c r="B201" s="5" t="s">
        <v>18</v>
      </c>
      <c r="C201" s="5" t="s">
        <v>18</v>
      </c>
      <c r="D201" s="5" t="s">
        <v>18</v>
      </c>
      <c r="E201" s="5" t="s">
        <v>18</v>
      </c>
      <c r="F201" s="5" t="s">
        <v>18</v>
      </c>
      <c r="G201" s="5" t="s">
        <v>18</v>
      </c>
      <c r="H201" s="5" t="s">
        <v>18</v>
      </c>
      <c r="I201" s="5" t="s">
        <v>18</v>
      </c>
      <c r="J201" s="5" t="s">
        <v>18</v>
      </c>
      <c r="K201" s="5" t="s">
        <v>18</v>
      </c>
      <c r="L201" s="5" t="s">
        <v>18</v>
      </c>
      <c r="M201" s="13" t="e">
        <f t="shared" si="40"/>
        <v>#VALUE!</v>
      </c>
      <c r="N201" s="35" t="e">
        <f t="shared" si="47"/>
        <v>#VALUE!</v>
      </c>
      <c r="O201" s="5" t="e">
        <f t="shared" si="44"/>
        <v>#VALUE!</v>
      </c>
      <c r="P201" s="5" t="e">
        <f t="shared" si="45"/>
        <v>#VALUE!</v>
      </c>
      <c r="Q201" s="5" t="e">
        <f t="shared" si="46"/>
        <v>#VALUE!</v>
      </c>
    </row>
    <row r="202" spans="1:17">
      <c r="A202" s="22">
        <f t="shared" ref="A202:A265" si="48">A201+1</f>
        <v>44397</v>
      </c>
      <c r="B202" s="5" t="s">
        <v>18</v>
      </c>
      <c r="C202" s="5" t="s">
        <v>18</v>
      </c>
      <c r="D202" s="5" t="s">
        <v>18</v>
      </c>
      <c r="E202" s="5" t="s">
        <v>18</v>
      </c>
      <c r="F202" s="5" t="s">
        <v>18</v>
      </c>
      <c r="G202" s="5" t="s">
        <v>18</v>
      </c>
      <c r="H202" s="5" t="s">
        <v>18</v>
      </c>
      <c r="I202" s="5" t="s">
        <v>18</v>
      </c>
      <c r="J202" s="5" t="s">
        <v>18</v>
      </c>
      <c r="K202" s="5" t="s">
        <v>18</v>
      </c>
      <c r="L202" s="5" t="s">
        <v>18</v>
      </c>
      <c r="M202" s="13" t="e">
        <f t="shared" si="40"/>
        <v>#VALUE!</v>
      </c>
      <c r="N202" s="35" t="e">
        <f t="shared" si="47"/>
        <v>#VALUE!</v>
      </c>
      <c r="O202" s="5" t="e">
        <f t="shared" si="44"/>
        <v>#VALUE!</v>
      </c>
      <c r="P202" s="5" t="e">
        <f t="shared" si="45"/>
        <v>#VALUE!</v>
      </c>
      <c r="Q202" s="5" t="e">
        <f t="shared" si="46"/>
        <v>#VALUE!</v>
      </c>
    </row>
    <row r="203" spans="1:17">
      <c r="A203" s="22">
        <f t="shared" si="48"/>
        <v>44398</v>
      </c>
      <c r="B203" s="5" t="s">
        <v>18</v>
      </c>
      <c r="C203" s="5" t="s">
        <v>18</v>
      </c>
      <c r="D203" s="5" t="s">
        <v>18</v>
      </c>
      <c r="E203" s="5" t="s">
        <v>18</v>
      </c>
      <c r="F203" s="5" t="s">
        <v>18</v>
      </c>
      <c r="G203" s="5" t="s">
        <v>18</v>
      </c>
      <c r="H203" s="5" t="s">
        <v>18</v>
      </c>
      <c r="I203" s="5" t="s">
        <v>18</v>
      </c>
      <c r="J203" s="5" t="s">
        <v>18</v>
      </c>
      <c r="K203" s="5" t="s">
        <v>18</v>
      </c>
      <c r="L203" s="5" t="s">
        <v>18</v>
      </c>
      <c r="M203" s="13" t="e">
        <f t="shared" si="40"/>
        <v>#VALUE!</v>
      </c>
      <c r="N203" s="35" t="e">
        <f t="shared" si="47"/>
        <v>#VALUE!</v>
      </c>
      <c r="O203" s="5" t="e">
        <f t="shared" si="44"/>
        <v>#VALUE!</v>
      </c>
      <c r="P203" s="5" t="e">
        <f t="shared" si="45"/>
        <v>#VALUE!</v>
      </c>
      <c r="Q203" s="5" t="e">
        <f t="shared" si="46"/>
        <v>#VALUE!</v>
      </c>
    </row>
    <row r="204" spans="1:17">
      <c r="A204" s="22">
        <f t="shared" si="48"/>
        <v>44399</v>
      </c>
      <c r="B204" s="5" t="s">
        <v>18</v>
      </c>
      <c r="C204" s="5" t="s">
        <v>18</v>
      </c>
      <c r="D204" s="5" t="s">
        <v>18</v>
      </c>
      <c r="E204" s="5" t="s">
        <v>18</v>
      </c>
      <c r="F204" s="5" t="s">
        <v>18</v>
      </c>
      <c r="G204" s="5" t="s">
        <v>18</v>
      </c>
      <c r="H204" s="5" t="s">
        <v>18</v>
      </c>
      <c r="I204" s="5" t="s">
        <v>18</v>
      </c>
      <c r="J204" s="5" t="s">
        <v>18</v>
      </c>
      <c r="K204" s="5" t="s">
        <v>18</v>
      </c>
      <c r="L204" s="5" t="s">
        <v>18</v>
      </c>
      <c r="M204" s="13" t="e">
        <f t="shared" si="40"/>
        <v>#VALUE!</v>
      </c>
      <c r="N204" s="35" t="e">
        <f t="shared" si="47"/>
        <v>#VALUE!</v>
      </c>
      <c r="O204" s="5" t="e">
        <f t="shared" si="44"/>
        <v>#VALUE!</v>
      </c>
      <c r="P204" s="5" t="e">
        <f t="shared" si="45"/>
        <v>#VALUE!</v>
      </c>
      <c r="Q204" s="5" t="e">
        <f t="shared" si="46"/>
        <v>#VALUE!</v>
      </c>
    </row>
    <row r="205" spans="1:17">
      <c r="A205" s="22">
        <f t="shared" si="48"/>
        <v>44400</v>
      </c>
      <c r="B205" s="5" t="s">
        <v>18</v>
      </c>
      <c r="C205" s="5" t="s">
        <v>18</v>
      </c>
      <c r="D205" s="5" t="s">
        <v>18</v>
      </c>
      <c r="E205" s="5" t="s">
        <v>18</v>
      </c>
      <c r="F205" s="5" t="s">
        <v>18</v>
      </c>
      <c r="G205" s="5" t="s">
        <v>18</v>
      </c>
      <c r="H205" s="5" t="s">
        <v>18</v>
      </c>
      <c r="I205" s="5" t="s">
        <v>18</v>
      </c>
      <c r="J205" s="5" t="s">
        <v>18</v>
      </c>
      <c r="K205" s="5" t="s">
        <v>18</v>
      </c>
      <c r="L205" s="5" t="s">
        <v>18</v>
      </c>
      <c r="M205" s="13" t="e">
        <f t="shared" si="40"/>
        <v>#VALUE!</v>
      </c>
      <c r="N205" s="35" t="e">
        <f t="shared" si="47"/>
        <v>#VALUE!</v>
      </c>
      <c r="O205" s="5" t="e">
        <f t="shared" si="44"/>
        <v>#VALUE!</v>
      </c>
      <c r="P205" s="5" t="e">
        <f t="shared" si="45"/>
        <v>#VALUE!</v>
      </c>
      <c r="Q205" s="5" t="e">
        <f t="shared" si="46"/>
        <v>#VALUE!</v>
      </c>
    </row>
    <row r="206" spans="1:17">
      <c r="A206" s="22">
        <f t="shared" si="48"/>
        <v>44401</v>
      </c>
      <c r="B206" s="5" t="s">
        <v>18</v>
      </c>
      <c r="C206" s="5" t="s">
        <v>18</v>
      </c>
      <c r="D206" s="5" t="s">
        <v>18</v>
      </c>
      <c r="E206" s="5" t="s">
        <v>18</v>
      </c>
      <c r="F206" s="5" t="s">
        <v>18</v>
      </c>
      <c r="G206" s="5" t="s">
        <v>18</v>
      </c>
      <c r="H206" s="5" t="s">
        <v>18</v>
      </c>
      <c r="I206" s="5" t="s">
        <v>18</v>
      </c>
      <c r="J206" s="5" t="s">
        <v>18</v>
      </c>
      <c r="K206" s="5" t="s">
        <v>18</v>
      </c>
      <c r="L206" s="5" t="s">
        <v>18</v>
      </c>
      <c r="M206" s="13" t="e">
        <f t="shared" si="40"/>
        <v>#VALUE!</v>
      </c>
      <c r="N206" s="35" t="e">
        <f t="shared" si="47"/>
        <v>#VALUE!</v>
      </c>
      <c r="O206" s="5" t="e">
        <f t="shared" si="44"/>
        <v>#VALUE!</v>
      </c>
      <c r="P206" s="5" t="e">
        <f t="shared" si="45"/>
        <v>#VALUE!</v>
      </c>
      <c r="Q206" s="5" t="e">
        <f t="shared" si="46"/>
        <v>#VALUE!</v>
      </c>
    </row>
    <row r="207" spans="1:17">
      <c r="A207" s="22">
        <f t="shared" si="48"/>
        <v>44402</v>
      </c>
      <c r="B207" s="5" t="s">
        <v>18</v>
      </c>
      <c r="C207" s="5" t="s">
        <v>18</v>
      </c>
      <c r="D207" s="5" t="s">
        <v>18</v>
      </c>
      <c r="E207" s="5" t="s">
        <v>18</v>
      </c>
      <c r="F207" s="5" t="s">
        <v>18</v>
      </c>
      <c r="G207" s="5" t="s">
        <v>18</v>
      </c>
      <c r="H207" s="5" t="s">
        <v>18</v>
      </c>
      <c r="I207" s="5" t="s">
        <v>18</v>
      </c>
      <c r="J207" s="5" t="s">
        <v>18</v>
      </c>
      <c r="K207" s="5" t="s">
        <v>18</v>
      </c>
      <c r="L207" s="5" t="s">
        <v>18</v>
      </c>
      <c r="M207" s="13" t="e">
        <f t="shared" si="40"/>
        <v>#VALUE!</v>
      </c>
      <c r="N207" s="35" t="e">
        <f t="shared" si="47"/>
        <v>#VALUE!</v>
      </c>
      <c r="O207" s="5" t="e">
        <f t="shared" si="44"/>
        <v>#VALUE!</v>
      </c>
      <c r="P207" s="5" t="e">
        <f t="shared" si="45"/>
        <v>#VALUE!</v>
      </c>
      <c r="Q207" s="5" t="e">
        <f t="shared" si="46"/>
        <v>#VALUE!</v>
      </c>
    </row>
    <row r="208" spans="1:17">
      <c r="A208" s="22">
        <f t="shared" si="48"/>
        <v>44403</v>
      </c>
      <c r="B208" s="5" t="s">
        <v>18</v>
      </c>
      <c r="C208" s="5" t="s">
        <v>18</v>
      </c>
      <c r="D208" s="5" t="s">
        <v>18</v>
      </c>
      <c r="E208" s="5" t="s">
        <v>18</v>
      </c>
      <c r="F208" s="5" t="s">
        <v>18</v>
      </c>
      <c r="G208" s="5" t="s">
        <v>18</v>
      </c>
      <c r="H208" s="5" t="s">
        <v>18</v>
      </c>
      <c r="I208" s="5" t="s">
        <v>18</v>
      </c>
      <c r="J208" s="5" t="s">
        <v>18</v>
      </c>
      <c r="K208" s="5" t="s">
        <v>18</v>
      </c>
      <c r="L208" s="5" t="s">
        <v>18</v>
      </c>
      <c r="M208" s="13" t="e">
        <f t="shared" si="40"/>
        <v>#VALUE!</v>
      </c>
      <c r="N208" s="35" t="e">
        <f t="shared" si="47"/>
        <v>#VALUE!</v>
      </c>
      <c r="O208" s="5" t="e">
        <f t="shared" si="44"/>
        <v>#VALUE!</v>
      </c>
      <c r="P208" s="5" t="e">
        <f t="shared" si="45"/>
        <v>#VALUE!</v>
      </c>
      <c r="Q208" s="5" t="e">
        <f t="shared" si="46"/>
        <v>#VALUE!</v>
      </c>
    </row>
    <row r="209" spans="1:18">
      <c r="A209" s="22">
        <f t="shared" si="48"/>
        <v>44404</v>
      </c>
      <c r="B209" s="5" t="s">
        <v>18</v>
      </c>
      <c r="C209" s="5" t="s">
        <v>18</v>
      </c>
      <c r="D209" s="5" t="s">
        <v>18</v>
      </c>
      <c r="E209" s="5" t="s">
        <v>18</v>
      </c>
      <c r="F209" s="5" t="s">
        <v>18</v>
      </c>
      <c r="G209" s="5" t="s">
        <v>18</v>
      </c>
      <c r="H209" s="5" t="s">
        <v>18</v>
      </c>
      <c r="I209" s="5" t="s">
        <v>18</v>
      </c>
      <c r="J209" s="5" t="s">
        <v>18</v>
      </c>
      <c r="K209" s="5" t="s">
        <v>18</v>
      </c>
      <c r="L209" s="5" t="s">
        <v>18</v>
      </c>
      <c r="M209" s="13" t="e">
        <f t="shared" si="40"/>
        <v>#VALUE!</v>
      </c>
      <c r="N209" s="35" t="e">
        <f t="shared" si="47"/>
        <v>#VALUE!</v>
      </c>
      <c r="O209" s="5" t="e">
        <f t="shared" si="44"/>
        <v>#VALUE!</v>
      </c>
      <c r="P209" s="5" t="e">
        <f t="shared" si="45"/>
        <v>#VALUE!</v>
      </c>
      <c r="Q209" s="5" t="e">
        <f t="shared" si="46"/>
        <v>#VALUE!</v>
      </c>
    </row>
    <row r="210" spans="1:18">
      <c r="A210" s="22">
        <f t="shared" si="48"/>
        <v>44405</v>
      </c>
      <c r="B210" s="5" t="s">
        <v>18</v>
      </c>
      <c r="C210" s="5" t="s">
        <v>18</v>
      </c>
      <c r="D210" s="5" t="s">
        <v>18</v>
      </c>
      <c r="E210" s="5" t="s">
        <v>18</v>
      </c>
      <c r="F210" s="5" t="s">
        <v>18</v>
      </c>
      <c r="G210" s="5" t="s">
        <v>18</v>
      </c>
      <c r="H210" s="5" t="s">
        <v>18</v>
      </c>
      <c r="I210" s="5" t="s">
        <v>18</v>
      </c>
      <c r="J210" s="5" t="s">
        <v>18</v>
      </c>
      <c r="K210" s="5" t="s">
        <v>18</v>
      </c>
      <c r="L210" s="5" t="s">
        <v>18</v>
      </c>
      <c r="M210" s="13" t="e">
        <f t="shared" si="40"/>
        <v>#VALUE!</v>
      </c>
      <c r="N210" s="35" t="e">
        <f t="shared" si="47"/>
        <v>#VALUE!</v>
      </c>
      <c r="O210" s="5" t="e">
        <f t="shared" si="44"/>
        <v>#VALUE!</v>
      </c>
      <c r="P210" s="5" t="e">
        <f t="shared" si="45"/>
        <v>#VALUE!</v>
      </c>
      <c r="Q210" s="5" t="e">
        <f t="shared" si="46"/>
        <v>#VALUE!</v>
      </c>
    </row>
    <row r="211" spans="1:18">
      <c r="A211" s="22">
        <f t="shared" si="48"/>
        <v>44406</v>
      </c>
      <c r="B211" s="5" t="s">
        <v>18</v>
      </c>
      <c r="C211" s="5" t="s">
        <v>18</v>
      </c>
      <c r="D211" s="5" t="s">
        <v>18</v>
      </c>
      <c r="E211" s="5" t="s">
        <v>18</v>
      </c>
      <c r="F211" s="5" t="s">
        <v>18</v>
      </c>
      <c r="G211" s="5" t="s">
        <v>18</v>
      </c>
      <c r="H211" s="5" t="s">
        <v>18</v>
      </c>
      <c r="I211" s="5" t="s">
        <v>18</v>
      </c>
      <c r="J211" s="5" t="s">
        <v>18</v>
      </c>
      <c r="K211" s="5" t="s">
        <v>18</v>
      </c>
      <c r="L211" s="5" t="s">
        <v>18</v>
      </c>
      <c r="M211" s="13" t="e">
        <f t="shared" si="40"/>
        <v>#VALUE!</v>
      </c>
      <c r="N211" s="35" t="e">
        <f t="shared" si="47"/>
        <v>#VALUE!</v>
      </c>
      <c r="O211" s="5" t="e">
        <f t="shared" si="44"/>
        <v>#VALUE!</v>
      </c>
      <c r="P211" s="5" t="e">
        <f t="shared" si="45"/>
        <v>#VALUE!</v>
      </c>
      <c r="Q211" s="5" t="e">
        <f t="shared" si="46"/>
        <v>#VALUE!</v>
      </c>
    </row>
    <row r="212" spans="1:18">
      <c r="A212" s="22">
        <f t="shared" si="48"/>
        <v>44407</v>
      </c>
      <c r="B212" s="5" t="s">
        <v>18</v>
      </c>
      <c r="C212" s="5" t="s">
        <v>18</v>
      </c>
      <c r="D212" s="5" t="s">
        <v>18</v>
      </c>
      <c r="E212" s="5" t="s">
        <v>18</v>
      </c>
      <c r="F212" s="5" t="s">
        <v>18</v>
      </c>
      <c r="G212" s="5" t="s">
        <v>18</v>
      </c>
      <c r="H212" s="5" t="s">
        <v>18</v>
      </c>
      <c r="I212" s="5" t="s">
        <v>18</v>
      </c>
      <c r="J212" s="5" t="s">
        <v>18</v>
      </c>
      <c r="K212" s="5" t="s">
        <v>18</v>
      </c>
      <c r="L212" s="5" t="s">
        <v>18</v>
      </c>
      <c r="M212" s="13" t="e">
        <f t="shared" si="40"/>
        <v>#VALUE!</v>
      </c>
      <c r="N212" s="35" t="e">
        <f t="shared" si="47"/>
        <v>#VALUE!</v>
      </c>
      <c r="O212" s="5" t="e">
        <f t="shared" si="44"/>
        <v>#VALUE!</v>
      </c>
      <c r="P212" s="5" t="e">
        <f t="shared" si="45"/>
        <v>#VALUE!</v>
      </c>
      <c r="Q212" s="5" t="e">
        <f t="shared" si="46"/>
        <v>#VALUE!</v>
      </c>
    </row>
    <row r="213" spans="1:18">
      <c r="A213" s="22">
        <f t="shared" si="48"/>
        <v>44408</v>
      </c>
      <c r="B213" s="5" t="s">
        <v>18</v>
      </c>
      <c r="C213" s="5" t="s">
        <v>18</v>
      </c>
      <c r="D213" s="5" t="s">
        <v>18</v>
      </c>
      <c r="E213" s="5" t="s">
        <v>18</v>
      </c>
      <c r="F213" s="5" t="s">
        <v>18</v>
      </c>
      <c r="G213" s="5" t="s">
        <v>18</v>
      </c>
      <c r="H213" s="5" t="s">
        <v>18</v>
      </c>
      <c r="I213" s="5" t="s">
        <v>18</v>
      </c>
      <c r="J213" s="5" t="s">
        <v>18</v>
      </c>
      <c r="K213" s="5" t="s">
        <v>18</v>
      </c>
      <c r="L213" s="5" t="s">
        <v>18</v>
      </c>
      <c r="M213" s="13" t="e">
        <f t="shared" si="40"/>
        <v>#VALUE!</v>
      </c>
      <c r="N213" s="35" t="e">
        <f t="shared" si="47"/>
        <v>#VALUE!</v>
      </c>
      <c r="O213" s="5" t="e">
        <f t="shared" si="44"/>
        <v>#VALUE!</v>
      </c>
      <c r="P213" s="5" t="e">
        <f t="shared" si="45"/>
        <v>#VALUE!</v>
      </c>
      <c r="Q213" s="5" t="e">
        <f t="shared" si="46"/>
        <v>#VALUE!</v>
      </c>
    </row>
    <row r="214" spans="1:18">
      <c r="A214" s="22">
        <f t="shared" si="48"/>
        <v>44409</v>
      </c>
      <c r="B214" s="5" t="s">
        <v>18</v>
      </c>
      <c r="C214" s="5" t="s">
        <v>18</v>
      </c>
      <c r="D214" s="5" t="s">
        <v>18</v>
      </c>
      <c r="E214" s="5" t="s">
        <v>18</v>
      </c>
      <c r="F214" s="5" t="s">
        <v>18</v>
      </c>
      <c r="G214" s="5" t="s">
        <v>18</v>
      </c>
      <c r="H214" s="5" t="s">
        <v>18</v>
      </c>
      <c r="I214" s="5" t="s">
        <v>18</v>
      </c>
      <c r="J214" s="5" t="s">
        <v>18</v>
      </c>
      <c r="K214" s="5" t="s">
        <v>18</v>
      </c>
      <c r="L214" s="5" t="s">
        <v>18</v>
      </c>
      <c r="M214" s="13" t="e">
        <f t="shared" si="40"/>
        <v>#VALUE!</v>
      </c>
      <c r="N214" s="35" t="e">
        <f t="shared" si="47"/>
        <v>#VALUE!</v>
      </c>
      <c r="O214" s="5" t="e">
        <f t="shared" si="44"/>
        <v>#VALUE!</v>
      </c>
      <c r="P214" s="5" t="e">
        <f t="shared" si="45"/>
        <v>#VALUE!</v>
      </c>
      <c r="Q214" s="5" t="e">
        <f t="shared" si="46"/>
        <v>#VALUE!</v>
      </c>
    </row>
    <row r="215" spans="1:18">
      <c r="A215" s="22">
        <f t="shared" si="48"/>
        <v>44410</v>
      </c>
      <c r="B215" s="5" t="s">
        <v>18</v>
      </c>
      <c r="C215" s="5" t="s">
        <v>18</v>
      </c>
      <c r="D215" s="5" t="s">
        <v>18</v>
      </c>
      <c r="E215" s="5" t="s">
        <v>18</v>
      </c>
      <c r="F215" s="5" t="s">
        <v>18</v>
      </c>
      <c r="G215" s="5" t="s">
        <v>18</v>
      </c>
      <c r="H215" s="5" t="s">
        <v>18</v>
      </c>
      <c r="I215" s="5" t="s">
        <v>18</v>
      </c>
      <c r="J215" s="5" t="s">
        <v>18</v>
      </c>
      <c r="K215" s="5" t="s">
        <v>18</v>
      </c>
      <c r="L215" s="5" t="s">
        <v>18</v>
      </c>
      <c r="M215" s="13" t="e">
        <f t="shared" si="40"/>
        <v>#VALUE!</v>
      </c>
      <c r="N215" s="35" t="e">
        <f t="shared" si="47"/>
        <v>#VALUE!</v>
      </c>
      <c r="O215" s="5" t="e">
        <f t="shared" si="44"/>
        <v>#VALUE!</v>
      </c>
      <c r="P215" s="5" t="e">
        <f t="shared" si="45"/>
        <v>#VALUE!</v>
      </c>
      <c r="Q215" s="5" t="e">
        <f t="shared" si="46"/>
        <v>#VALUE!</v>
      </c>
    </row>
    <row r="216" spans="1:18">
      <c r="A216" s="22">
        <f t="shared" si="48"/>
        <v>44411</v>
      </c>
      <c r="B216" s="5" t="s">
        <v>18</v>
      </c>
      <c r="C216" s="5" t="s">
        <v>18</v>
      </c>
      <c r="D216" s="5" t="s">
        <v>18</v>
      </c>
      <c r="E216" s="5" t="s">
        <v>18</v>
      </c>
      <c r="F216" s="5" t="s">
        <v>18</v>
      </c>
      <c r="G216" s="5" t="s">
        <v>18</v>
      </c>
      <c r="H216" s="5" t="s">
        <v>18</v>
      </c>
      <c r="I216" s="5" t="s">
        <v>18</v>
      </c>
      <c r="J216" s="5" t="s">
        <v>18</v>
      </c>
      <c r="K216" s="5" t="s">
        <v>18</v>
      </c>
      <c r="L216" s="5" t="s">
        <v>18</v>
      </c>
      <c r="M216" s="13" t="e">
        <f t="shared" si="40"/>
        <v>#VALUE!</v>
      </c>
      <c r="N216" s="35" t="e">
        <f t="shared" si="47"/>
        <v>#VALUE!</v>
      </c>
      <c r="O216" s="5" t="e">
        <f t="shared" si="44"/>
        <v>#VALUE!</v>
      </c>
      <c r="P216" s="5" t="e">
        <f t="shared" si="45"/>
        <v>#VALUE!</v>
      </c>
      <c r="Q216" s="5" t="e">
        <f t="shared" si="46"/>
        <v>#VALUE!</v>
      </c>
    </row>
    <row r="217" spans="1:18">
      <c r="A217" s="22">
        <f t="shared" si="48"/>
        <v>44412</v>
      </c>
      <c r="B217" s="5">
        <v>297.68</v>
      </c>
      <c r="C217" s="12">
        <v>43736</v>
      </c>
      <c r="D217" s="12">
        <v>45</v>
      </c>
      <c r="E217" s="5" t="s">
        <v>18</v>
      </c>
      <c r="F217" s="5" t="s">
        <v>18</v>
      </c>
      <c r="G217" s="5" t="s">
        <v>18</v>
      </c>
      <c r="H217" s="5" t="s">
        <v>18</v>
      </c>
      <c r="I217" s="5" t="s">
        <v>18</v>
      </c>
      <c r="J217" s="9">
        <v>0.001</v>
      </c>
      <c r="K217" s="5" t="s">
        <v>18</v>
      </c>
      <c r="L217" s="5" t="s">
        <v>18</v>
      </c>
      <c r="M217" s="13" t="e">
        <f t="shared" si="40"/>
        <v>#VALUE!</v>
      </c>
      <c r="N217" s="35" t="e">
        <f t="shared" si="47"/>
        <v>#VALUE!</v>
      </c>
      <c r="O217" s="5" t="e">
        <f t="shared" si="44"/>
        <v>#VALUE!</v>
      </c>
      <c r="P217" s="5" t="e">
        <f t="shared" si="45"/>
        <v>#VALUE!</v>
      </c>
      <c r="Q217" s="5" t="e">
        <f t="shared" si="46"/>
        <v>#VALUE!</v>
      </c>
    </row>
    <row r="218" spans="1:18">
      <c r="A218" s="22">
        <f t="shared" si="48"/>
        <v>44413</v>
      </c>
      <c r="B218" s="5" t="s">
        <v>18</v>
      </c>
      <c r="C218" s="5" t="s">
        <v>18</v>
      </c>
      <c r="D218" s="5" t="s">
        <v>18</v>
      </c>
      <c r="E218" s="5" t="s">
        <v>18</v>
      </c>
      <c r="F218" s="5" t="s">
        <v>18</v>
      </c>
      <c r="G218" s="5" t="s">
        <v>18</v>
      </c>
      <c r="H218" s="5" t="s">
        <v>18</v>
      </c>
      <c r="I218" s="5" t="s">
        <v>18</v>
      </c>
      <c r="J218" s="5" t="s">
        <v>18</v>
      </c>
      <c r="K218" s="5" t="s">
        <v>18</v>
      </c>
      <c r="L218" s="5" t="s">
        <v>18</v>
      </c>
      <c r="M218" s="13" t="e">
        <f t="shared" si="40"/>
        <v>#VALUE!</v>
      </c>
      <c r="N218" s="35" t="e">
        <f t="shared" si="47"/>
        <v>#VALUE!</v>
      </c>
      <c r="O218" s="5" t="e">
        <f t="shared" si="44"/>
        <v>#VALUE!</v>
      </c>
      <c r="P218" s="5" t="e">
        <f t="shared" si="45"/>
        <v>#VALUE!</v>
      </c>
      <c r="Q218" s="5" t="e">
        <f t="shared" si="46"/>
        <v>#VALUE!</v>
      </c>
    </row>
    <row r="219" spans="1:18">
      <c r="A219" s="22">
        <f t="shared" si="48"/>
        <v>44414</v>
      </c>
      <c r="B219" s="5">
        <v>295.01</v>
      </c>
      <c r="C219" s="12">
        <v>21773</v>
      </c>
      <c r="D219" s="12">
        <v>47</v>
      </c>
      <c r="E219" s="5" t="s">
        <v>18</v>
      </c>
      <c r="F219" s="5" t="s">
        <v>18</v>
      </c>
      <c r="G219" s="5" t="s">
        <v>18</v>
      </c>
      <c r="H219" s="5" t="s">
        <v>18</v>
      </c>
      <c r="I219" s="5" t="s">
        <v>18</v>
      </c>
      <c r="J219" s="9">
        <v>0.0022</v>
      </c>
      <c r="K219" s="5" t="s">
        <v>18</v>
      </c>
      <c r="L219" s="5" t="s">
        <v>18</v>
      </c>
      <c r="M219" s="13" t="e">
        <f t="shared" si="40"/>
        <v>#VALUE!</v>
      </c>
      <c r="N219" s="35" t="e">
        <f t="shared" si="47"/>
        <v>#VALUE!</v>
      </c>
      <c r="O219" s="5" t="e">
        <f t="shared" si="44"/>
        <v>#VALUE!</v>
      </c>
      <c r="P219" s="5" t="e">
        <f t="shared" si="45"/>
        <v>#VALUE!</v>
      </c>
      <c r="Q219" s="5" t="e">
        <f t="shared" si="46"/>
        <v>#VALUE!</v>
      </c>
    </row>
    <row r="220" spans="1:18">
      <c r="A220" s="22">
        <f t="shared" si="48"/>
        <v>44415</v>
      </c>
      <c r="B220" s="5" t="s">
        <v>18</v>
      </c>
      <c r="C220" s="5" t="s">
        <v>18</v>
      </c>
      <c r="D220" s="5" t="s">
        <v>18</v>
      </c>
      <c r="E220" s="5" t="s">
        <v>18</v>
      </c>
      <c r="F220" s="5" t="s">
        <v>18</v>
      </c>
      <c r="G220" s="5" t="s">
        <v>18</v>
      </c>
      <c r="H220" s="5" t="s">
        <v>18</v>
      </c>
      <c r="I220" s="5" t="s">
        <v>18</v>
      </c>
      <c r="J220" s="5" t="s">
        <v>18</v>
      </c>
      <c r="K220" s="5" t="s">
        <v>18</v>
      </c>
      <c r="L220" s="5" t="s">
        <v>18</v>
      </c>
      <c r="M220" s="13" t="e">
        <f t="shared" si="40"/>
        <v>#VALUE!</v>
      </c>
      <c r="N220" s="35" t="e">
        <f t="shared" si="47"/>
        <v>#VALUE!</v>
      </c>
      <c r="O220" s="5" t="e">
        <f t="shared" si="44"/>
        <v>#VALUE!</v>
      </c>
      <c r="P220" s="5" t="e">
        <f t="shared" si="45"/>
        <v>#VALUE!</v>
      </c>
      <c r="Q220" s="5" t="e">
        <f t="shared" si="46"/>
        <v>#VALUE!</v>
      </c>
    </row>
    <row r="221" spans="1:18">
      <c r="A221" s="22">
        <f t="shared" si="48"/>
        <v>44416</v>
      </c>
      <c r="B221" s="5" t="s">
        <v>18</v>
      </c>
      <c r="C221" s="5" t="s">
        <v>18</v>
      </c>
      <c r="D221" s="5" t="s">
        <v>18</v>
      </c>
      <c r="E221" s="5" t="s">
        <v>18</v>
      </c>
      <c r="F221" s="5" t="s">
        <v>18</v>
      </c>
      <c r="G221" s="5" t="s">
        <v>18</v>
      </c>
      <c r="H221" s="5" t="s">
        <v>18</v>
      </c>
      <c r="I221" s="5" t="s">
        <v>18</v>
      </c>
      <c r="J221" s="5" t="s">
        <v>18</v>
      </c>
      <c r="K221" s="5" t="s">
        <v>18</v>
      </c>
      <c r="L221" s="5" t="s">
        <v>18</v>
      </c>
      <c r="M221" s="13" t="e">
        <f t="shared" si="40"/>
        <v>#VALUE!</v>
      </c>
      <c r="N221" s="35" t="e">
        <f t="shared" si="47"/>
        <v>#VALUE!</v>
      </c>
      <c r="O221" s="5" t="e">
        <f t="shared" si="44"/>
        <v>#VALUE!</v>
      </c>
      <c r="P221" s="5" t="e">
        <f t="shared" si="45"/>
        <v>#VALUE!</v>
      </c>
      <c r="Q221" s="5" t="e">
        <f t="shared" si="46"/>
        <v>#VALUE!</v>
      </c>
    </row>
    <row r="222" spans="1:18">
      <c r="A222" s="22">
        <f t="shared" si="48"/>
        <v>44417</v>
      </c>
      <c r="B222" s="5">
        <v>298.57</v>
      </c>
      <c r="C222" s="12">
        <v>55418</v>
      </c>
      <c r="D222" s="12">
        <v>58</v>
      </c>
      <c r="E222" s="5" t="s">
        <v>18</v>
      </c>
      <c r="F222" s="5" t="s">
        <v>18</v>
      </c>
      <c r="G222" s="5" t="s">
        <v>18</v>
      </c>
      <c r="H222" s="5" t="s">
        <v>18</v>
      </c>
      <c r="I222" s="5" t="s">
        <v>18</v>
      </c>
      <c r="J222" s="9">
        <v>0.001</v>
      </c>
      <c r="K222" s="5">
        <v>5.15</v>
      </c>
      <c r="L222" s="5">
        <v>5.39</v>
      </c>
      <c r="M222" s="13" t="e">
        <f t="shared" si="40"/>
        <v>#VALUE!</v>
      </c>
      <c r="N222" s="35" t="e">
        <f t="shared" si="47"/>
        <v>#VALUE!</v>
      </c>
      <c r="O222" s="5" t="e">
        <f t="shared" si="44"/>
        <v>#VALUE!</v>
      </c>
      <c r="P222" s="5" t="e">
        <f t="shared" si="45"/>
        <v>#VALUE!</v>
      </c>
      <c r="Q222" s="5" t="e">
        <f t="shared" si="46"/>
        <v>#VALUE!</v>
      </c>
      <c r="R222" s="5"/>
    </row>
    <row r="223" spans="1:18">
      <c r="A223" s="22">
        <f t="shared" si="48"/>
        <v>44418</v>
      </c>
      <c r="B223" s="5">
        <v>298.05</v>
      </c>
      <c r="C223" s="12">
        <v>51646</v>
      </c>
      <c r="D223" s="12">
        <v>44</v>
      </c>
      <c r="E223" s="5" t="s">
        <v>18</v>
      </c>
      <c r="F223" s="5" t="s">
        <v>18</v>
      </c>
      <c r="G223" s="5" t="s">
        <v>18</v>
      </c>
      <c r="H223" s="5" t="s">
        <v>18</v>
      </c>
      <c r="I223" s="5" t="s">
        <v>18</v>
      </c>
      <c r="J223" s="9">
        <v>0.0009</v>
      </c>
      <c r="K223" s="5">
        <v>6.77</v>
      </c>
      <c r="L223" s="5">
        <v>5.77</v>
      </c>
      <c r="M223" s="13" t="e">
        <f t="shared" si="40"/>
        <v>#VALUE!</v>
      </c>
      <c r="N223" s="35" t="e">
        <f t="shared" si="47"/>
        <v>#VALUE!</v>
      </c>
      <c r="O223" s="5" t="e">
        <f t="shared" si="44"/>
        <v>#VALUE!</v>
      </c>
      <c r="P223" s="5" t="e">
        <f t="shared" si="45"/>
        <v>#VALUE!</v>
      </c>
      <c r="Q223" s="5" t="e">
        <f t="shared" si="46"/>
        <v>#VALUE!</v>
      </c>
    </row>
    <row r="224" spans="1:18">
      <c r="A224" s="22">
        <f t="shared" si="48"/>
        <v>44419</v>
      </c>
      <c r="B224" s="5">
        <v>596.41</v>
      </c>
      <c r="C224" s="12">
        <v>95493</v>
      </c>
      <c r="D224" s="12">
        <v>168</v>
      </c>
      <c r="E224" s="5" t="s">
        <v>18</v>
      </c>
      <c r="F224" s="5" t="s">
        <v>18</v>
      </c>
      <c r="G224" s="12">
        <v>3</v>
      </c>
      <c r="H224" s="5" t="s">
        <v>18</v>
      </c>
      <c r="I224" s="12">
        <v>1</v>
      </c>
      <c r="J224" s="9">
        <v>0.0018</v>
      </c>
      <c r="K224" s="5">
        <v>3.55</v>
      </c>
      <c r="L224" s="5">
        <v>6.25</v>
      </c>
      <c r="M224" s="13" t="e">
        <f t="shared" si="40"/>
        <v>#VALUE!</v>
      </c>
      <c r="N224" s="35" t="e">
        <f t="shared" si="47"/>
        <v>#VALUE!</v>
      </c>
      <c r="O224" s="5" t="e">
        <f t="shared" si="44"/>
        <v>#VALUE!</v>
      </c>
      <c r="P224" s="5" t="e">
        <f t="shared" si="45"/>
        <v>#VALUE!</v>
      </c>
      <c r="Q224" s="5">
        <f t="shared" si="46"/>
        <v>198.803333333333</v>
      </c>
    </row>
    <row r="225" spans="1:17">
      <c r="A225" s="22">
        <f t="shared" si="48"/>
        <v>44420</v>
      </c>
      <c r="B225" s="5">
        <v>215.89</v>
      </c>
      <c r="C225" s="12">
        <v>25878</v>
      </c>
      <c r="D225" s="12">
        <v>51</v>
      </c>
      <c r="E225" s="5" t="s">
        <v>18</v>
      </c>
      <c r="F225" s="5" t="s">
        <v>18</v>
      </c>
      <c r="G225" s="12">
        <v>1</v>
      </c>
      <c r="H225" s="5" t="s">
        <v>18</v>
      </c>
      <c r="I225" s="12">
        <v>1</v>
      </c>
      <c r="J225" s="9">
        <v>0.002</v>
      </c>
      <c r="K225" s="5">
        <v>4.23</v>
      </c>
      <c r="L225" s="5">
        <v>8.34</v>
      </c>
      <c r="M225" s="13" t="e">
        <f t="shared" si="40"/>
        <v>#VALUE!</v>
      </c>
      <c r="N225" s="35" t="e">
        <f t="shared" si="47"/>
        <v>#VALUE!</v>
      </c>
      <c r="O225" s="5" t="e">
        <f t="shared" si="44"/>
        <v>#VALUE!</v>
      </c>
      <c r="P225" s="5" t="e">
        <f t="shared" si="45"/>
        <v>#VALUE!</v>
      </c>
      <c r="Q225" s="5">
        <f t="shared" si="46"/>
        <v>215.89</v>
      </c>
    </row>
    <row r="226" spans="1:17">
      <c r="A226" s="22">
        <f t="shared" si="48"/>
        <v>44421</v>
      </c>
      <c r="B226" s="5" t="s">
        <v>18</v>
      </c>
      <c r="C226" s="5" t="s">
        <v>18</v>
      </c>
      <c r="D226" s="5" t="s">
        <v>18</v>
      </c>
      <c r="E226" s="5" t="s">
        <v>18</v>
      </c>
      <c r="F226" s="5" t="s">
        <v>18</v>
      </c>
      <c r="G226" s="5" t="s">
        <v>18</v>
      </c>
      <c r="H226" s="5" t="s">
        <v>18</v>
      </c>
      <c r="I226" s="5" t="s">
        <v>18</v>
      </c>
      <c r="J226" s="5" t="s">
        <v>18</v>
      </c>
      <c r="K226" s="5" t="s">
        <v>18</v>
      </c>
      <c r="L226" s="5" t="s">
        <v>18</v>
      </c>
      <c r="M226" s="13" t="e">
        <f t="shared" si="40"/>
        <v>#VALUE!</v>
      </c>
      <c r="N226" s="35" t="e">
        <f t="shared" si="47"/>
        <v>#VALUE!</v>
      </c>
      <c r="O226" s="5" t="e">
        <f t="shared" si="44"/>
        <v>#VALUE!</v>
      </c>
      <c r="P226" s="5" t="e">
        <f t="shared" si="45"/>
        <v>#VALUE!</v>
      </c>
      <c r="Q226" s="5" t="e">
        <f t="shared" si="46"/>
        <v>#VALUE!</v>
      </c>
    </row>
    <row r="227" spans="1:17">
      <c r="A227" s="22">
        <f t="shared" si="48"/>
        <v>44422</v>
      </c>
      <c r="B227" s="5" t="s">
        <v>18</v>
      </c>
      <c r="C227" s="5" t="s">
        <v>18</v>
      </c>
      <c r="D227" s="5" t="s">
        <v>18</v>
      </c>
      <c r="E227" s="5" t="s">
        <v>18</v>
      </c>
      <c r="F227" s="5" t="s">
        <v>18</v>
      </c>
      <c r="G227" s="5" t="s">
        <v>18</v>
      </c>
      <c r="H227" s="5" t="s">
        <v>18</v>
      </c>
      <c r="I227" s="5" t="s">
        <v>18</v>
      </c>
      <c r="J227" s="5" t="s">
        <v>18</v>
      </c>
      <c r="K227" s="5" t="s">
        <v>18</v>
      </c>
      <c r="L227" s="5" t="s">
        <v>18</v>
      </c>
      <c r="M227" s="13" t="e">
        <f t="shared" si="40"/>
        <v>#VALUE!</v>
      </c>
      <c r="N227" s="35" t="e">
        <f t="shared" si="47"/>
        <v>#VALUE!</v>
      </c>
      <c r="O227" s="5" t="e">
        <f t="shared" si="44"/>
        <v>#VALUE!</v>
      </c>
      <c r="P227" s="5" t="e">
        <f t="shared" si="45"/>
        <v>#VALUE!</v>
      </c>
      <c r="Q227" s="5" t="e">
        <f t="shared" si="46"/>
        <v>#VALUE!</v>
      </c>
    </row>
    <row r="228" ht="14.45" customHeight="1" spans="1:17">
      <c r="A228" s="22">
        <f t="shared" si="48"/>
        <v>44423</v>
      </c>
      <c r="B228" s="5" t="s">
        <v>18</v>
      </c>
      <c r="C228" s="5" t="s">
        <v>18</v>
      </c>
      <c r="D228" s="5" t="s">
        <v>18</v>
      </c>
      <c r="E228" s="5" t="s">
        <v>18</v>
      </c>
      <c r="F228" s="5" t="s">
        <v>18</v>
      </c>
      <c r="G228" s="5" t="s">
        <v>18</v>
      </c>
      <c r="H228" s="5" t="s">
        <v>18</v>
      </c>
      <c r="I228" s="5" t="s">
        <v>18</v>
      </c>
      <c r="J228" s="5" t="s">
        <v>18</v>
      </c>
      <c r="K228" s="5" t="s">
        <v>18</v>
      </c>
      <c r="L228" s="5" t="s">
        <v>18</v>
      </c>
      <c r="M228" s="13" t="e">
        <f t="shared" si="40"/>
        <v>#VALUE!</v>
      </c>
      <c r="N228" s="35" t="e">
        <f t="shared" si="47"/>
        <v>#VALUE!</v>
      </c>
      <c r="O228" s="5" t="e">
        <f t="shared" si="44"/>
        <v>#VALUE!</v>
      </c>
      <c r="P228" s="5" t="e">
        <f t="shared" si="45"/>
        <v>#VALUE!</v>
      </c>
      <c r="Q228" s="5" t="e">
        <f t="shared" si="46"/>
        <v>#VALUE!</v>
      </c>
    </row>
    <row r="229" ht="14.45" customHeight="1" spans="1:17">
      <c r="A229" s="22">
        <f t="shared" si="48"/>
        <v>44424</v>
      </c>
      <c r="B229" s="5" t="s">
        <v>18</v>
      </c>
      <c r="C229" s="5" t="s">
        <v>18</v>
      </c>
      <c r="D229" s="5" t="s">
        <v>18</v>
      </c>
      <c r="E229" s="5" t="s">
        <v>18</v>
      </c>
      <c r="F229" s="5" t="s">
        <v>18</v>
      </c>
      <c r="G229" s="5" t="s">
        <v>18</v>
      </c>
      <c r="H229" s="5" t="s">
        <v>18</v>
      </c>
      <c r="I229" s="5" t="s">
        <v>18</v>
      </c>
      <c r="J229" s="5" t="s">
        <v>18</v>
      </c>
      <c r="K229" s="5" t="s">
        <v>18</v>
      </c>
      <c r="L229" s="5" t="s">
        <v>18</v>
      </c>
      <c r="M229" s="13" t="e">
        <f t="shared" si="40"/>
        <v>#VALUE!</v>
      </c>
      <c r="N229" s="35" t="e">
        <f t="shared" si="47"/>
        <v>#VALUE!</v>
      </c>
      <c r="O229" s="5" t="e">
        <f t="shared" si="44"/>
        <v>#VALUE!</v>
      </c>
      <c r="P229" s="5" t="e">
        <f t="shared" si="45"/>
        <v>#VALUE!</v>
      </c>
      <c r="Q229" s="5" t="e">
        <f t="shared" si="46"/>
        <v>#VALUE!</v>
      </c>
    </row>
    <row r="230" ht="14.45" customHeight="1" spans="1:17">
      <c r="A230" s="22">
        <f t="shared" si="48"/>
        <v>44425</v>
      </c>
      <c r="B230" s="5" t="s">
        <v>18</v>
      </c>
      <c r="C230" s="5" t="s">
        <v>18</v>
      </c>
      <c r="D230" s="5" t="s">
        <v>18</v>
      </c>
      <c r="E230" s="5" t="s">
        <v>18</v>
      </c>
      <c r="F230" s="5" t="s">
        <v>18</v>
      </c>
      <c r="G230" s="5" t="s">
        <v>18</v>
      </c>
      <c r="H230" s="5" t="s">
        <v>18</v>
      </c>
      <c r="I230" s="5" t="s">
        <v>18</v>
      </c>
      <c r="J230" s="5" t="s">
        <v>18</v>
      </c>
      <c r="K230" s="5" t="s">
        <v>18</v>
      </c>
      <c r="L230" s="5" t="s">
        <v>18</v>
      </c>
      <c r="M230" s="13" t="e">
        <f t="shared" si="40"/>
        <v>#VALUE!</v>
      </c>
      <c r="N230" s="35" t="e">
        <f t="shared" si="47"/>
        <v>#VALUE!</v>
      </c>
      <c r="O230" s="5" t="e">
        <f t="shared" si="44"/>
        <v>#VALUE!</v>
      </c>
      <c r="P230" s="5" t="e">
        <f t="shared" si="45"/>
        <v>#VALUE!</v>
      </c>
      <c r="Q230" s="5" t="e">
        <f t="shared" si="46"/>
        <v>#VALUE!</v>
      </c>
    </row>
    <row r="231" ht="14.45" customHeight="1" spans="1:17">
      <c r="A231" s="22">
        <f t="shared" si="48"/>
        <v>44426</v>
      </c>
      <c r="B231" s="5">
        <v>292.99</v>
      </c>
      <c r="C231" s="12">
        <v>41067</v>
      </c>
      <c r="D231" s="12" t="s">
        <v>18</v>
      </c>
      <c r="E231" s="12" t="s">
        <v>18</v>
      </c>
      <c r="F231" s="12" t="s">
        <v>18</v>
      </c>
      <c r="G231" s="12" t="s">
        <v>18</v>
      </c>
      <c r="H231" s="12">
        <v>2</v>
      </c>
      <c r="I231" s="12">
        <v>2</v>
      </c>
      <c r="J231" s="9">
        <v>0.0022</v>
      </c>
      <c r="K231" s="5">
        <v>3.22</v>
      </c>
      <c r="L231" s="5">
        <v>7.13</v>
      </c>
      <c r="M231" s="13" t="e">
        <f t="shared" si="40"/>
        <v>#VALUE!</v>
      </c>
      <c r="N231" s="35" t="e">
        <f t="shared" si="47"/>
        <v>#VALUE!</v>
      </c>
      <c r="O231" s="5" t="e">
        <f t="shared" ref="O231:O236" si="49">F231/E231</f>
        <v>#VALUE!</v>
      </c>
      <c r="P231" s="5" t="e">
        <f t="shared" ref="P231:P236" si="50">B231/E231</f>
        <v>#VALUE!</v>
      </c>
      <c r="Q231" s="5" t="e">
        <f t="shared" ref="Q231:Q236" si="51">B231/G231</f>
        <v>#VALUE!</v>
      </c>
    </row>
    <row r="232" ht="14.45" customHeight="1" spans="1:17">
      <c r="A232" s="22">
        <f t="shared" si="48"/>
        <v>44427</v>
      </c>
      <c r="B232" s="5">
        <v>1.19</v>
      </c>
      <c r="C232" s="12">
        <v>119</v>
      </c>
      <c r="D232" s="12">
        <v>1</v>
      </c>
      <c r="E232" s="5" t="s">
        <v>18</v>
      </c>
      <c r="F232" s="5" t="s">
        <v>18</v>
      </c>
      <c r="G232" s="5" t="s">
        <v>18</v>
      </c>
      <c r="H232" s="5" t="s">
        <v>18</v>
      </c>
      <c r="I232" s="5" t="s">
        <v>18</v>
      </c>
      <c r="J232" s="9">
        <v>0.0084</v>
      </c>
      <c r="K232" s="5" t="s">
        <v>18</v>
      </c>
      <c r="L232" s="5" t="s">
        <v>18</v>
      </c>
      <c r="M232" s="13" t="e">
        <f t="shared" si="40"/>
        <v>#VALUE!</v>
      </c>
      <c r="N232" s="35" t="e">
        <f t="shared" si="47"/>
        <v>#VALUE!</v>
      </c>
      <c r="O232" s="5" t="e">
        <f t="shared" si="49"/>
        <v>#VALUE!</v>
      </c>
      <c r="P232" s="5" t="e">
        <f t="shared" si="50"/>
        <v>#VALUE!</v>
      </c>
      <c r="Q232" s="5" t="e">
        <f t="shared" si="51"/>
        <v>#VALUE!</v>
      </c>
    </row>
    <row r="233" ht="14.45" customHeight="1" spans="1:17">
      <c r="A233" s="22">
        <f t="shared" si="48"/>
        <v>44428</v>
      </c>
      <c r="B233" s="5">
        <v>299.69</v>
      </c>
      <c r="C233" s="12">
        <v>25259</v>
      </c>
      <c r="D233" s="12">
        <v>101</v>
      </c>
      <c r="E233" s="12">
        <v>1</v>
      </c>
      <c r="F233" s="5">
        <v>0.01</v>
      </c>
      <c r="G233" s="12">
        <v>4</v>
      </c>
      <c r="H233" s="12">
        <v>1</v>
      </c>
      <c r="I233" s="12" t="s">
        <v>18</v>
      </c>
      <c r="J233" s="9">
        <v>0.004</v>
      </c>
      <c r="K233" s="5">
        <v>2.97</v>
      </c>
      <c r="L233" s="5">
        <v>11.91</v>
      </c>
      <c r="M233" s="13">
        <f t="shared" si="40"/>
        <v>3.33678134071874e-5</v>
      </c>
      <c r="N233" s="35">
        <f t="shared" si="47"/>
        <v>0.0099009900990099</v>
      </c>
      <c r="O233" s="5">
        <f t="shared" si="49"/>
        <v>0.01</v>
      </c>
      <c r="P233" s="5">
        <f t="shared" si="50"/>
        <v>299.69</v>
      </c>
      <c r="Q233" s="5">
        <f t="shared" si="51"/>
        <v>74.9225</v>
      </c>
    </row>
    <row r="234" ht="14.45" customHeight="1" spans="1:17">
      <c r="A234" s="22">
        <f t="shared" si="48"/>
        <v>44429</v>
      </c>
      <c r="B234" s="5" t="s">
        <v>18</v>
      </c>
      <c r="C234" s="5" t="s">
        <v>18</v>
      </c>
      <c r="D234" s="5" t="s">
        <v>18</v>
      </c>
      <c r="E234" s="5" t="s">
        <v>18</v>
      </c>
      <c r="F234" s="5" t="s">
        <v>18</v>
      </c>
      <c r="G234" s="5" t="s">
        <v>18</v>
      </c>
      <c r="H234" s="5" t="s">
        <v>18</v>
      </c>
      <c r="I234" s="5" t="s">
        <v>18</v>
      </c>
      <c r="J234" s="5" t="s">
        <v>18</v>
      </c>
      <c r="K234" s="5" t="s">
        <v>18</v>
      </c>
      <c r="L234" s="5" t="s">
        <v>18</v>
      </c>
      <c r="M234" s="13" t="e">
        <f t="shared" si="40"/>
        <v>#VALUE!</v>
      </c>
      <c r="N234" s="35" t="e">
        <f t="shared" si="47"/>
        <v>#VALUE!</v>
      </c>
      <c r="O234" s="5" t="e">
        <f t="shared" si="49"/>
        <v>#VALUE!</v>
      </c>
      <c r="P234" s="5" t="e">
        <f t="shared" si="50"/>
        <v>#VALUE!</v>
      </c>
      <c r="Q234" s="5" t="e">
        <f t="shared" si="51"/>
        <v>#VALUE!</v>
      </c>
    </row>
    <row r="235" ht="14.45" customHeight="1" spans="1:17">
      <c r="A235" s="22">
        <f t="shared" si="48"/>
        <v>44430</v>
      </c>
      <c r="B235" s="5">
        <v>298.96</v>
      </c>
      <c r="C235" s="12">
        <v>28186</v>
      </c>
      <c r="D235" s="12">
        <v>94</v>
      </c>
      <c r="E235" s="12">
        <v>0</v>
      </c>
      <c r="F235" s="12">
        <v>0</v>
      </c>
      <c r="G235" s="12">
        <v>3</v>
      </c>
      <c r="H235" s="12">
        <v>2</v>
      </c>
      <c r="I235" s="12">
        <v>2</v>
      </c>
      <c r="J235" s="9">
        <v>0.0033</v>
      </c>
      <c r="K235" s="5">
        <v>3.18</v>
      </c>
      <c r="L235" s="5">
        <v>10.61</v>
      </c>
      <c r="M235" s="13">
        <f t="shared" si="40"/>
        <v>0</v>
      </c>
      <c r="N235" s="35">
        <f t="shared" si="47"/>
        <v>0</v>
      </c>
      <c r="O235" s="5" t="e">
        <f t="shared" si="49"/>
        <v>#DIV/0!</v>
      </c>
      <c r="P235" s="5" t="e">
        <f t="shared" si="50"/>
        <v>#DIV/0!</v>
      </c>
      <c r="Q235" s="5">
        <f t="shared" si="51"/>
        <v>99.6533333333333</v>
      </c>
    </row>
    <row r="236" ht="14.45" customHeight="1" spans="1:17">
      <c r="A236" s="22">
        <f t="shared" si="48"/>
        <v>44431</v>
      </c>
      <c r="B236" s="5">
        <v>1.02</v>
      </c>
      <c r="C236" s="12">
        <v>90</v>
      </c>
      <c r="D236" s="12">
        <v>1</v>
      </c>
      <c r="E236" s="12" t="s">
        <v>18</v>
      </c>
      <c r="F236" s="12" t="s">
        <v>18</v>
      </c>
      <c r="G236" s="12" t="s">
        <v>18</v>
      </c>
      <c r="H236" s="12" t="s">
        <v>18</v>
      </c>
      <c r="I236" s="12" t="s">
        <v>18</v>
      </c>
      <c r="J236" s="9">
        <v>0.0111</v>
      </c>
      <c r="K236" s="5">
        <v>1.02</v>
      </c>
      <c r="L236" s="5">
        <v>11.37</v>
      </c>
      <c r="M236" s="13" t="e">
        <f t="shared" si="40"/>
        <v>#VALUE!</v>
      </c>
      <c r="N236" s="35" t="e">
        <f t="shared" si="47"/>
        <v>#VALUE!</v>
      </c>
      <c r="O236" s="5" t="e">
        <f t="shared" si="49"/>
        <v>#VALUE!</v>
      </c>
      <c r="P236" s="5" t="e">
        <f t="shared" si="50"/>
        <v>#VALUE!</v>
      </c>
      <c r="Q236" s="5" t="e">
        <f t="shared" si="51"/>
        <v>#VALUE!</v>
      </c>
    </row>
    <row r="237" ht="14.45" customHeight="1" spans="1:17">
      <c r="A237" s="22">
        <f t="shared" si="48"/>
        <v>44432</v>
      </c>
      <c r="B237" s="5" t="s">
        <v>18</v>
      </c>
      <c r="C237" s="5" t="s">
        <v>18</v>
      </c>
      <c r="D237" s="5" t="s">
        <v>18</v>
      </c>
      <c r="E237" s="5" t="s">
        <v>18</v>
      </c>
      <c r="F237" s="5" t="s">
        <v>18</v>
      </c>
      <c r="G237" s="5" t="s">
        <v>18</v>
      </c>
      <c r="H237" s="5" t="s">
        <v>18</v>
      </c>
      <c r="I237" s="5" t="s">
        <v>18</v>
      </c>
      <c r="J237" s="5" t="s">
        <v>18</v>
      </c>
      <c r="K237" s="5" t="s">
        <v>18</v>
      </c>
      <c r="L237" s="5" t="s">
        <v>18</v>
      </c>
      <c r="M237" s="13" t="e">
        <f t="shared" ref="M237:M300" si="52">F237/B237</f>
        <v>#VALUE!</v>
      </c>
      <c r="N237" s="35" t="e">
        <f t="shared" ref="N237" si="53">E237/D237</f>
        <v>#VALUE!</v>
      </c>
      <c r="O237" s="5" t="e">
        <f t="shared" ref="O237" si="54">F237/E237</f>
        <v>#VALUE!</v>
      </c>
      <c r="P237" s="5" t="e">
        <f t="shared" ref="P237" si="55">B237/E237</f>
        <v>#VALUE!</v>
      </c>
      <c r="Q237" s="5" t="e">
        <f t="shared" ref="Q237" si="56">B237/G237</f>
        <v>#VALUE!</v>
      </c>
    </row>
    <row r="238" ht="14.45" customHeight="1" spans="1:17">
      <c r="A238" s="22">
        <f t="shared" si="48"/>
        <v>44433</v>
      </c>
      <c r="B238" s="5">
        <v>288.98</v>
      </c>
      <c r="C238" s="12">
        <v>22784</v>
      </c>
      <c r="D238" s="12">
        <v>107</v>
      </c>
      <c r="E238" s="12">
        <v>0</v>
      </c>
      <c r="F238" s="12">
        <v>0</v>
      </c>
      <c r="G238" s="12">
        <v>2</v>
      </c>
      <c r="H238" s="12">
        <v>0</v>
      </c>
      <c r="I238" s="12">
        <v>0</v>
      </c>
      <c r="J238" s="9">
        <v>0.0047</v>
      </c>
      <c r="K238" s="5">
        <v>2.7</v>
      </c>
      <c r="L238" s="5">
        <v>12.68</v>
      </c>
      <c r="M238" s="13">
        <f t="shared" si="52"/>
        <v>0</v>
      </c>
      <c r="N238" s="35">
        <f t="shared" ref="N238:N274" si="57">E238/D238</f>
        <v>0</v>
      </c>
      <c r="O238" s="5" t="e">
        <f t="shared" ref="O238:O274" si="58">F238/E238</f>
        <v>#DIV/0!</v>
      </c>
      <c r="P238" s="5" t="e">
        <f t="shared" ref="P238:P274" si="59">B238/E238</f>
        <v>#DIV/0!</v>
      </c>
      <c r="Q238" s="5">
        <f t="shared" ref="Q238:Q274" si="60">B238/G238</f>
        <v>144.49</v>
      </c>
    </row>
    <row r="239" ht="14.45" customHeight="1" spans="1:17">
      <c r="A239" s="22">
        <f t="shared" si="48"/>
        <v>44434</v>
      </c>
      <c r="B239" s="5">
        <v>2.12</v>
      </c>
      <c r="C239" s="12">
        <v>170</v>
      </c>
      <c r="D239" s="12">
        <v>3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9">
        <v>0.0176</v>
      </c>
      <c r="K239" s="5">
        <v>0.71</v>
      </c>
      <c r="L239" s="5">
        <v>12.44</v>
      </c>
      <c r="M239" s="13">
        <f t="shared" si="52"/>
        <v>0</v>
      </c>
      <c r="N239" s="35">
        <f t="shared" si="57"/>
        <v>0</v>
      </c>
      <c r="O239" s="5" t="e">
        <f t="shared" si="58"/>
        <v>#DIV/0!</v>
      </c>
      <c r="P239" s="5" t="e">
        <f t="shared" si="59"/>
        <v>#DIV/0!</v>
      </c>
      <c r="Q239" s="5" t="e">
        <f t="shared" si="60"/>
        <v>#DIV/0!</v>
      </c>
    </row>
    <row r="240" ht="14.45" customHeight="1" spans="1:17">
      <c r="A240" s="22">
        <f t="shared" si="48"/>
        <v>44435</v>
      </c>
      <c r="B240" s="5">
        <v>290.69</v>
      </c>
      <c r="C240" s="12">
        <v>23556</v>
      </c>
      <c r="D240" s="12">
        <v>88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9">
        <v>0.0037</v>
      </c>
      <c r="K240" s="5">
        <v>3.3</v>
      </c>
      <c r="L240" s="5">
        <v>12.34</v>
      </c>
      <c r="M240" s="13">
        <f t="shared" si="52"/>
        <v>0</v>
      </c>
      <c r="N240" s="35">
        <f t="shared" si="57"/>
        <v>0</v>
      </c>
      <c r="O240" s="5" t="e">
        <f t="shared" si="58"/>
        <v>#DIV/0!</v>
      </c>
      <c r="P240" s="5" t="e">
        <f t="shared" si="59"/>
        <v>#DIV/0!</v>
      </c>
      <c r="Q240" s="5" t="e">
        <f t="shared" si="60"/>
        <v>#DIV/0!</v>
      </c>
    </row>
    <row r="241" ht="14.45" customHeight="1" spans="1:17">
      <c r="A241" s="22">
        <f t="shared" si="48"/>
        <v>44436</v>
      </c>
      <c r="B241" s="5">
        <v>2.2</v>
      </c>
      <c r="C241" s="12">
        <v>180</v>
      </c>
      <c r="D241" s="12">
        <v>1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9">
        <v>0.0056</v>
      </c>
      <c r="K241" s="5">
        <v>2.2</v>
      </c>
      <c r="L241" s="5">
        <v>12.23</v>
      </c>
      <c r="M241" s="13">
        <f t="shared" si="52"/>
        <v>0</v>
      </c>
      <c r="N241" s="35">
        <f t="shared" si="57"/>
        <v>0</v>
      </c>
      <c r="O241" s="5" t="e">
        <f t="shared" si="58"/>
        <v>#DIV/0!</v>
      </c>
      <c r="P241" s="5" t="e">
        <f t="shared" si="59"/>
        <v>#DIV/0!</v>
      </c>
      <c r="Q241" s="5" t="e">
        <f t="shared" si="60"/>
        <v>#DIV/0!</v>
      </c>
    </row>
    <row r="242" ht="14.45" customHeight="1" spans="1:17">
      <c r="A242" s="22">
        <f t="shared" si="48"/>
        <v>44437</v>
      </c>
      <c r="B242" s="5">
        <v>295.71</v>
      </c>
      <c r="C242" s="12">
        <v>24137</v>
      </c>
      <c r="D242" s="12">
        <v>110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9">
        <v>0.0046</v>
      </c>
      <c r="K242" s="5">
        <v>2.69</v>
      </c>
      <c r="L242" s="5">
        <v>12.25</v>
      </c>
      <c r="M242" s="13">
        <f t="shared" si="52"/>
        <v>0</v>
      </c>
      <c r="N242" s="35">
        <f t="shared" si="57"/>
        <v>0</v>
      </c>
      <c r="O242" s="5" t="e">
        <f t="shared" si="58"/>
        <v>#DIV/0!</v>
      </c>
      <c r="P242" s="5" t="e">
        <f t="shared" si="59"/>
        <v>#DIV/0!</v>
      </c>
      <c r="Q242" s="5" t="e">
        <f t="shared" si="60"/>
        <v>#DIV/0!</v>
      </c>
    </row>
    <row r="243" ht="14.45" customHeight="1" spans="1:17">
      <c r="A243" s="22">
        <f t="shared" si="48"/>
        <v>44438</v>
      </c>
      <c r="B243" s="5">
        <v>0.88</v>
      </c>
      <c r="C243" s="12">
        <v>60</v>
      </c>
      <c r="D243" s="12">
        <v>0</v>
      </c>
      <c r="E243" s="12">
        <v>0</v>
      </c>
      <c r="F243" s="12">
        <v>0</v>
      </c>
      <c r="G243" s="12">
        <v>0</v>
      </c>
      <c r="H243" s="12">
        <v>0</v>
      </c>
      <c r="I243" s="12">
        <v>0</v>
      </c>
      <c r="J243" s="9">
        <v>0</v>
      </c>
      <c r="K243" s="5">
        <v>0</v>
      </c>
      <c r="L243" s="5">
        <v>0</v>
      </c>
      <c r="M243" s="13">
        <f t="shared" si="52"/>
        <v>0</v>
      </c>
      <c r="N243" s="35" t="e">
        <f t="shared" si="57"/>
        <v>#DIV/0!</v>
      </c>
      <c r="O243" s="5" t="e">
        <f t="shared" si="58"/>
        <v>#DIV/0!</v>
      </c>
      <c r="P243" s="5" t="e">
        <f t="shared" si="59"/>
        <v>#DIV/0!</v>
      </c>
      <c r="Q243" s="5" t="e">
        <f t="shared" si="60"/>
        <v>#DIV/0!</v>
      </c>
    </row>
    <row r="244" ht="14.45" customHeight="1" spans="1:17">
      <c r="A244" s="22">
        <f t="shared" si="48"/>
        <v>44439</v>
      </c>
      <c r="B244" s="5">
        <v>0</v>
      </c>
      <c r="C244" s="12">
        <v>0</v>
      </c>
      <c r="D244" s="12">
        <v>0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9">
        <v>0</v>
      </c>
      <c r="K244" s="5">
        <v>0</v>
      </c>
      <c r="L244" s="5">
        <v>0</v>
      </c>
      <c r="M244" s="13" t="e">
        <f t="shared" si="52"/>
        <v>#DIV/0!</v>
      </c>
      <c r="N244" s="35" t="e">
        <f t="shared" si="57"/>
        <v>#DIV/0!</v>
      </c>
      <c r="O244" s="5" t="e">
        <f t="shared" si="58"/>
        <v>#DIV/0!</v>
      </c>
      <c r="P244" s="5" t="e">
        <f t="shared" si="59"/>
        <v>#DIV/0!</v>
      </c>
      <c r="Q244" s="5" t="e">
        <f t="shared" si="60"/>
        <v>#DIV/0!</v>
      </c>
    </row>
    <row r="245" ht="14.45" customHeight="1" spans="1:17">
      <c r="A245" s="22">
        <f t="shared" si="48"/>
        <v>44440</v>
      </c>
      <c r="B245" s="5">
        <v>288.03</v>
      </c>
      <c r="C245" s="12">
        <v>36055</v>
      </c>
      <c r="D245" s="12">
        <v>40</v>
      </c>
      <c r="E245" s="12">
        <v>0</v>
      </c>
      <c r="F245" s="12">
        <v>0</v>
      </c>
      <c r="G245" s="12">
        <v>1</v>
      </c>
      <c r="H245" s="12">
        <v>1</v>
      </c>
      <c r="I245" s="12">
        <v>0</v>
      </c>
      <c r="J245" s="9">
        <v>0.0011</v>
      </c>
      <c r="K245" s="5">
        <v>7.2</v>
      </c>
      <c r="L245" s="5">
        <v>7.99</v>
      </c>
      <c r="M245" s="13">
        <f t="shared" si="52"/>
        <v>0</v>
      </c>
      <c r="N245" s="35">
        <f t="shared" si="57"/>
        <v>0</v>
      </c>
      <c r="O245" s="5" t="e">
        <f t="shared" si="58"/>
        <v>#DIV/0!</v>
      </c>
      <c r="P245" s="5" t="e">
        <f t="shared" si="59"/>
        <v>#DIV/0!</v>
      </c>
      <c r="Q245" s="5">
        <f t="shared" si="60"/>
        <v>288.03</v>
      </c>
    </row>
    <row r="246" ht="14.45" customHeight="1" spans="1:17">
      <c r="A246" s="22">
        <f t="shared" si="48"/>
        <v>44441</v>
      </c>
      <c r="B246" s="5">
        <v>2.47</v>
      </c>
      <c r="C246" s="12">
        <v>234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9">
        <v>0</v>
      </c>
      <c r="K246" s="5">
        <v>0</v>
      </c>
      <c r="L246" s="5">
        <v>10.53</v>
      </c>
      <c r="M246" s="13">
        <f t="shared" si="52"/>
        <v>0</v>
      </c>
      <c r="N246" s="35" t="e">
        <f t="shared" si="57"/>
        <v>#DIV/0!</v>
      </c>
      <c r="O246" s="5" t="e">
        <f t="shared" si="58"/>
        <v>#DIV/0!</v>
      </c>
      <c r="P246" s="5" t="e">
        <f t="shared" si="59"/>
        <v>#DIV/0!</v>
      </c>
      <c r="Q246" s="5" t="e">
        <f t="shared" si="60"/>
        <v>#DIV/0!</v>
      </c>
    </row>
    <row r="247" ht="14.45" customHeight="1" spans="1:17">
      <c r="A247" s="22">
        <f t="shared" si="48"/>
        <v>44442</v>
      </c>
      <c r="B247" s="5">
        <v>286.91</v>
      </c>
      <c r="C247" s="12">
        <v>31586</v>
      </c>
      <c r="D247" s="12">
        <v>34</v>
      </c>
      <c r="E247" s="12">
        <v>0</v>
      </c>
      <c r="F247" s="12">
        <v>0</v>
      </c>
      <c r="G247" s="12">
        <v>0</v>
      </c>
      <c r="H247" s="12">
        <v>1</v>
      </c>
      <c r="I247" s="12">
        <v>0</v>
      </c>
      <c r="J247" s="9">
        <v>0.0011</v>
      </c>
      <c r="K247" s="5">
        <v>8.44</v>
      </c>
      <c r="L247" s="5">
        <v>9.08</v>
      </c>
      <c r="M247" s="13">
        <f t="shared" si="52"/>
        <v>0</v>
      </c>
      <c r="N247" s="35">
        <f t="shared" si="57"/>
        <v>0</v>
      </c>
      <c r="O247" s="5" t="e">
        <f t="shared" si="58"/>
        <v>#DIV/0!</v>
      </c>
      <c r="P247" s="5" t="e">
        <f t="shared" si="59"/>
        <v>#DIV/0!</v>
      </c>
      <c r="Q247" s="5" t="e">
        <f t="shared" si="60"/>
        <v>#DIV/0!</v>
      </c>
    </row>
    <row r="248" ht="14.45" customHeight="1" spans="1:17">
      <c r="A248" s="22">
        <f t="shared" si="48"/>
        <v>44443</v>
      </c>
      <c r="B248" s="5">
        <v>2.9</v>
      </c>
      <c r="C248" s="12">
        <v>285</v>
      </c>
      <c r="D248" s="12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9">
        <v>0</v>
      </c>
      <c r="K248" s="5">
        <v>0</v>
      </c>
      <c r="L248" s="5">
        <v>10.16</v>
      </c>
      <c r="M248" s="13">
        <f t="shared" si="52"/>
        <v>0</v>
      </c>
      <c r="N248" s="35" t="e">
        <f t="shared" si="57"/>
        <v>#DIV/0!</v>
      </c>
      <c r="O248" s="5" t="e">
        <f t="shared" si="58"/>
        <v>#DIV/0!</v>
      </c>
      <c r="P248" s="5" t="e">
        <f t="shared" si="59"/>
        <v>#DIV/0!</v>
      </c>
      <c r="Q248" s="5" t="e">
        <f t="shared" si="60"/>
        <v>#DIV/0!</v>
      </c>
    </row>
    <row r="249" ht="14.45" customHeight="1" spans="1:17">
      <c r="A249" s="22">
        <f t="shared" si="48"/>
        <v>44444</v>
      </c>
      <c r="B249" s="5">
        <v>0</v>
      </c>
      <c r="C249" s="12">
        <v>0</v>
      </c>
      <c r="D249" s="12">
        <v>0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9">
        <v>0</v>
      </c>
      <c r="K249" s="5">
        <v>0</v>
      </c>
      <c r="L249" s="5">
        <v>0</v>
      </c>
      <c r="M249" s="13" t="e">
        <f t="shared" si="52"/>
        <v>#DIV/0!</v>
      </c>
      <c r="N249" s="35" t="e">
        <f t="shared" si="57"/>
        <v>#DIV/0!</v>
      </c>
      <c r="O249" s="5" t="e">
        <f t="shared" si="58"/>
        <v>#DIV/0!</v>
      </c>
      <c r="P249" s="5" t="e">
        <f t="shared" si="59"/>
        <v>#DIV/0!</v>
      </c>
      <c r="Q249" s="5" t="e">
        <f t="shared" si="60"/>
        <v>#DIV/0!</v>
      </c>
    </row>
    <row r="250" ht="14.45" customHeight="1" spans="1:17">
      <c r="A250" s="22">
        <f t="shared" si="48"/>
        <v>44445</v>
      </c>
      <c r="B250" s="5" t="s">
        <v>18</v>
      </c>
      <c r="C250" s="5" t="s">
        <v>18</v>
      </c>
      <c r="D250" s="5" t="s">
        <v>18</v>
      </c>
      <c r="E250" s="5" t="s">
        <v>18</v>
      </c>
      <c r="F250" s="5" t="s">
        <v>18</v>
      </c>
      <c r="G250" s="5" t="s">
        <v>18</v>
      </c>
      <c r="H250" s="5" t="s">
        <v>18</v>
      </c>
      <c r="I250" s="5" t="s">
        <v>18</v>
      </c>
      <c r="J250" s="5" t="s">
        <v>18</v>
      </c>
      <c r="K250" s="5" t="s">
        <v>18</v>
      </c>
      <c r="L250" s="5" t="s">
        <v>18</v>
      </c>
      <c r="M250" s="13" t="e">
        <f t="shared" si="52"/>
        <v>#VALUE!</v>
      </c>
      <c r="N250" s="35" t="e">
        <f t="shared" si="57"/>
        <v>#VALUE!</v>
      </c>
      <c r="O250" s="5" t="e">
        <f t="shared" si="58"/>
        <v>#VALUE!</v>
      </c>
      <c r="P250" s="5" t="e">
        <f t="shared" si="59"/>
        <v>#VALUE!</v>
      </c>
      <c r="Q250" s="5" t="e">
        <f t="shared" si="60"/>
        <v>#VALUE!</v>
      </c>
    </row>
    <row r="251" ht="14.45" customHeight="1" spans="1:17">
      <c r="A251" s="22">
        <f t="shared" si="48"/>
        <v>44446</v>
      </c>
      <c r="B251" s="5" t="s">
        <v>18</v>
      </c>
      <c r="C251" s="5" t="s">
        <v>18</v>
      </c>
      <c r="D251" s="5" t="s">
        <v>18</v>
      </c>
      <c r="E251" s="5" t="s">
        <v>18</v>
      </c>
      <c r="F251" s="5" t="s">
        <v>18</v>
      </c>
      <c r="G251" s="5" t="s">
        <v>18</v>
      </c>
      <c r="H251" s="5" t="s">
        <v>18</v>
      </c>
      <c r="I251" s="5" t="s">
        <v>18</v>
      </c>
      <c r="J251" s="5" t="s">
        <v>18</v>
      </c>
      <c r="K251" s="5" t="s">
        <v>18</v>
      </c>
      <c r="L251" s="5" t="s">
        <v>18</v>
      </c>
      <c r="M251" s="13" t="e">
        <f t="shared" si="52"/>
        <v>#VALUE!</v>
      </c>
      <c r="N251" s="35" t="e">
        <f t="shared" si="57"/>
        <v>#VALUE!</v>
      </c>
      <c r="O251" s="5" t="e">
        <f t="shared" si="58"/>
        <v>#VALUE!</v>
      </c>
      <c r="P251" s="5" t="e">
        <f t="shared" si="59"/>
        <v>#VALUE!</v>
      </c>
      <c r="Q251" s="5" t="e">
        <f t="shared" si="60"/>
        <v>#VALUE!</v>
      </c>
    </row>
    <row r="252" ht="14.45" customHeight="1" spans="1:17">
      <c r="A252" s="22">
        <f t="shared" si="48"/>
        <v>44447</v>
      </c>
      <c r="B252" s="5">
        <v>288.09</v>
      </c>
      <c r="C252" s="12">
        <v>35194</v>
      </c>
      <c r="D252" s="12">
        <v>40</v>
      </c>
      <c r="E252" s="12">
        <v>0</v>
      </c>
      <c r="F252" s="12">
        <v>0</v>
      </c>
      <c r="G252" s="12">
        <v>0</v>
      </c>
      <c r="H252" s="12">
        <v>1</v>
      </c>
      <c r="I252" s="12">
        <v>1</v>
      </c>
      <c r="J252" s="9">
        <v>0.0011</v>
      </c>
      <c r="K252" s="5">
        <v>7.2</v>
      </c>
      <c r="L252" s="5">
        <v>8.19</v>
      </c>
      <c r="M252" s="13">
        <f t="shared" si="52"/>
        <v>0</v>
      </c>
      <c r="N252" s="35">
        <f t="shared" si="57"/>
        <v>0</v>
      </c>
      <c r="O252" s="5" t="e">
        <f t="shared" si="58"/>
        <v>#DIV/0!</v>
      </c>
      <c r="P252" s="5" t="e">
        <f t="shared" si="59"/>
        <v>#DIV/0!</v>
      </c>
      <c r="Q252" s="5" t="e">
        <f t="shared" si="60"/>
        <v>#DIV/0!</v>
      </c>
    </row>
    <row r="253" ht="14.45" customHeight="1" spans="1:17">
      <c r="A253" s="22">
        <f t="shared" si="48"/>
        <v>44448</v>
      </c>
      <c r="B253" s="5">
        <v>5.53</v>
      </c>
      <c r="C253" s="12">
        <v>258</v>
      </c>
      <c r="D253" s="12">
        <v>1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9">
        <v>0</v>
      </c>
      <c r="K253" s="5">
        <v>5.53</v>
      </c>
      <c r="L253" s="5">
        <v>21.43</v>
      </c>
      <c r="M253" s="13">
        <f t="shared" si="52"/>
        <v>0</v>
      </c>
      <c r="N253" s="35">
        <f t="shared" si="57"/>
        <v>0</v>
      </c>
      <c r="O253" s="5" t="e">
        <f t="shared" si="58"/>
        <v>#DIV/0!</v>
      </c>
      <c r="P253" s="5" t="e">
        <f t="shared" si="59"/>
        <v>#DIV/0!</v>
      </c>
      <c r="Q253" s="5" t="e">
        <f t="shared" si="60"/>
        <v>#DIV/0!</v>
      </c>
    </row>
    <row r="254" ht="14.45" customHeight="1" spans="1:17">
      <c r="A254" s="22">
        <f t="shared" si="48"/>
        <v>44449</v>
      </c>
      <c r="B254" s="5">
        <v>296.06</v>
      </c>
      <c r="C254" s="12">
        <v>38088</v>
      </c>
      <c r="D254" s="12">
        <v>18</v>
      </c>
      <c r="E254" s="12">
        <v>0</v>
      </c>
      <c r="F254" s="12">
        <v>0</v>
      </c>
      <c r="G254" s="12">
        <v>1</v>
      </c>
      <c r="H254" s="12">
        <v>0</v>
      </c>
      <c r="I254" s="12">
        <v>0</v>
      </c>
      <c r="J254" s="9">
        <v>0</v>
      </c>
      <c r="K254" s="5">
        <v>16.45</v>
      </c>
      <c r="L254" s="5">
        <v>7.79</v>
      </c>
      <c r="M254" s="13">
        <f t="shared" si="52"/>
        <v>0</v>
      </c>
      <c r="N254" s="35">
        <f t="shared" si="57"/>
        <v>0</v>
      </c>
      <c r="O254" s="5" t="e">
        <f t="shared" si="58"/>
        <v>#DIV/0!</v>
      </c>
      <c r="P254" s="5" t="e">
        <f t="shared" si="59"/>
        <v>#DIV/0!</v>
      </c>
      <c r="Q254" s="5">
        <f t="shared" si="60"/>
        <v>296.06</v>
      </c>
    </row>
    <row r="255" ht="14.45" customHeight="1" spans="1:17">
      <c r="A255" s="22">
        <f t="shared" si="48"/>
        <v>44450</v>
      </c>
      <c r="B255" s="5">
        <v>6.11</v>
      </c>
      <c r="C255" s="12">
        <v>677</v>
      </c>
      <c r="D255" s="12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9">
        <v>0</v>
      </c>
      <c r="K255" s="5">
        <v>0</v>
      </c>
      <c r="L255" s="5">
        <v>9.02</v>
      </c>
      <c r="M255" s="13">
        <f t="shared" si="52"/>
        <v>0</v>
      </c>
      <c r="N255" s="35" t="e">
        <f t="shared" si="57"/>
        <v>#DIV/0!</v>
      </c>
      <c r="O255" s="5" t="e">
        <f t="shared" si="58"/>
        <v>#DIV/0!</v>
      </c>
      <c r="P255" s="5" t="e">
        <f t="shared" si="59"/>
        <v>#DIV/0!</v>
      </c>
      <c r="Q255" s="5" t="e">
        <f t="shared" si="60"/>
        <v>#DIV/0!</v>
      </c>
    </row>
    <row r="256" ht="14.45" customHeight="1" spans="1:17">
      <c r="A256" s="22">
        <f t="shared" si="48"/>
        <v>44451</v>
      </c>
      <c r="B256" s="5" t="s">
        <v>18</v>
      </c>
      <c r="C256" s="5" t="s">
        <v>18</v>
      </c>
      <c r="D256" s="5" t="s">
        <v>18</v>
      </c>
      <c r="E256" s="5" t="s">
        <v>18</v>
      </c>
      <c r="F256" s="5" t="s">
        <v>18</v>
      </c>
      <c r="G256" s="5" t="s">
        <v>18</v>
      </c>
      <c r="H256" s="5" t="s">
        <v>18</v>
      </c>
      <c r="I256" s="5" t="s">
        <v>18</v>
      </c>
      <c r="J256" s="5" t="s">
        <v>18</v>
      </c>
      <c r="K256" s="5" t="s">
        <v>18</v>
      </c>
      <c r="L256" s="5" t="s">
        <v>18</v>
      </c>
      <c r="M256" s="13" t="e">
        <f t="shared" si="52"/>
        <v>#VALUE!</v>
      </c>
      <c r="N256" s="35" t="e">
        <f t="shared" si="57"/>
        <v>#VALUE!</v>
      </c>
      <c r="O256" s="5" t="e">
        <f t="shared" si="58"/>
        <v>#VALUE!</v>
      </c>
      <c r="P256" s="5" t="e">
        <f t="shared" si="59"/>
        <v>#VALUE!</v>
      </c>
      <c r="Q256" s="5" t="e">
        <f t="shared" si="60"/>
        <v>#VALUE!</v>
      </c>
    </row>
    <row r="257" ht="14.45" customHeight="1" spans="1:17">
      <c r="A257" s="22">
        <f t="shared" si="48"/>
        <v>44452</v>
      </c>
      <c r="B257" s="5" t="s">
        <v>18</v>
      </c>
      <c r="C257" s="5" t="s">
        <v>18</v>
      </c>
      <c r="D257" s="5" t="s">
        <v>18</v>
      </c>
      <c r="E257" s="5" t="s">
        <v>18</v>
      </c>
      <c r="F257" s="5" t="s">
        <v>18</v>
      </c>
      <c r="G257" s="5" t="s">
        <v>18</v>
      </c>
      <c r="H257" s="5" t="s">
        <v>18</v>
      </c>
      <c r="I257" s="5" t="s">
        <v>18</v>
      </c>
      <c r="J257" s="5" t="s">
        <v>18</v>
      </c>
      <c r="K257" s="5" t="s">
        <v>18</v>
      </c>
      <c r="L257" s="5" t="s">
        <v>18</v>
      </c>
      <c r="M257" s="13" t="e">
        <f t="shared" si="52"/>
        <v>#VALUE!</v>
      </c>
      <c r="N257" s="35" t="e">
        <f t="shared" si="57"/>
        <v>#VALUE!</v>
      </c>
      <c r="O257" s="5" t="e">
        <f t="shared" si="58"/>
        <v>#VALUE!</v>
      </c>
      <c r="P257" s="5" t="e">
        <f t="shared" si="59"/>
        <v>#VALUE!</v>
      </c>
      <c r="Q257" s="5" t="e">
        <f t="shared" si="60"/>
        <v>#VALUE!</v>
      </c>
    </row>
    <row r="258" ht="14.45" customHeight="1" spans="1:17">
      <c r="A258" s="22">
        <f t="shared" si="48"/>
        <v>44453</v>
      </c>
      <c r="B258" s="5" t="s">
        <v>18</v>
      </c>
      <c r="C258" s="5" t="s">
        <v>18</v>
      </c>
      <c r="D258" s="5" t="s">
        <v>18</v>
      </c>
      <c r="E258" s="5" t="s">
        <v>18</v>
      </c>
      <c r="F258" s="5" t="s">
        <v>18</v>
      </c>
      <c r="G258" s="5" t="s">
        <v>18</v>
      </c>
      <c r="H258" s="5" t="s">
        <v>18</v>
      </c>
      <c r="I258" s="5" t="s">
        <v>18</v>
      </c>
      <c r="J258" s="5" t="s">
        <v>18</v>
      </c>
      <c r="K258" s="5" t="s">
        <v>18</v>
      </c>
      <c r="L258" s="5" t="s">
        <v>18</v>
      </c>
      <c r="M258" s="13" t="e">
        <f t="shared" si="52"/>
        <v>#VALUE!</v>
      </c>
      <c r="N258" s="35" t="e">
        <f t="shared" si="57"/>
        <v>#VALUE!</v>
      </c>
      <c r="O258" s="5" t="e">
        <f t="shared" si="58"/>
        <v>#VALUE!</v>
      </c>
      <c r="P258" s="5" t="e">
        <f t="shared" si="59"/>
        <v>#VALUE!</v>
      </c>
      <c r="Q258" s="5" t="e">
        <f t="shared" si="60"/>
        <v>#VALUE!</v>
      </c>
    </row>
    <row r="259" ht="14.45" customHeight="1" spans="1:17">
      <c r="A259" s="22">
        <f t="shared" si="48"/>
        <v>44454</v>
      </c>
      <c r="B259" s="5">
        <v>261.02</v>
      </c>
      <c r="C259" s="12">
        <v>17382</v>
      </c>
      <c r="D259" s="12">
        <v>60</v>
      </c>
      <c r="E259" s="12">
        <v>0</v>
      </c>
      <c r="F259" s="12">
        <v>0</v>
      </c>
      <c r="G259" s="12">
        <v>2</v>
      </c>
      <c r="H259" s="12">
        <v>1</v>
      </c>
      <c r="I259" s="12">
        <v>1</v>
      </c>
      <c r="J259" s="9">
        <v>0.0035</v>
      </c>
      <c r="K259" s="5">
        <v>4.35</v>
      </c>
      <c r="L259" s="5">
        <v>15.02</v>
      </c>
      <c r="M259" s="13">
        <f t="shared" si="52"/>
        <v>0</v>
      </c>
      <c r="N259" s="35">
        <f t="shared" si="57"/>
        <v>0</v>
      </c>
      <c r="O259" s="5" t="e">
        <f t="shared" si="58"/>
        <v>#DIV/0!</v>
      </c>
      <c r="P259" s="5" t="e">
        <f t="shared" si="59"/>
        <v>#DIV/0!</v>
      </c>
      <c r="Q259" s="5">
        <f t="shared" si="60"/>
        <v>130.51</v>
      </c>
    </row>
    <row r="260" ht="14.45" customHeight="1" spans="1:17">
      <c r="A260" s="22">
        <f t="shared" si="48"/>
        <v>44455</v>
      </c>
      <c r="B260" s="5">
        <v>13.59</v>
      </c>
      <c r="C260" s="12">
        <v>617</v>
      </c>
      <c r="D260" s="12">
        <v>2</v>
      </c>
      <c r="E260" s="12">
        <v>0</v>
      </c>
      <c r="F260" s="5">
        <v>0</v>
      </c>
      <c r="G260" s="12">
        <v>0</v>
      </c>
      <c r="H260" s="12">
        <v>0</v>
      </c>
      <c r="I260" s="12">
        <v>0</v>
      </c>
      <c r="J260" s="9">
        <v>0.0032</v>
      </c>
      <c r="K260" s="5">
        <v>6.8</v>
      </c>
      <c r="L260" s="5">
        <v>22.03</v>
      </c>
      <c r="M260" s="13">
        <f t="shared" si="52"/>
        <v>0</v>
      </c>
      <c r="N260" s="35">
        <f t="shared" si="57"/>
        <v>0</v>
      </c>
      <c r="O260" s="5" t="e">
        <f t="shared" si="58"/>
        <v>#DIV/0!</v>
      </c>
      <c r="P260" s="5" t="e">
        <f t="shared" si="59"/>
        <v>#DIV/0!</v>
      </c>
      <c r="Q260" s="5" t="e">
        <f t="shared" si="60"/>
        <v>#DIV/0!</v>
      </c>
    </row>
    <row r="261" ht="14.45" customHeight="1" spans="1:17">
      <c r="A261" s="22">
        <f t="shared" si="48"/>
        <v>44456</v>
      </c>
      <c r="B261" s="5">
        <v>287.59</v>
      </c>
      <c r="C261" s="12">
        <v>18591</v>
      </c>
      <c r="D261" s="12">
        <v>71</v>
      </c>
      <c r="E261" s="12">
        <v>1</v>
      </c>
      <c r="F261" s="5">
        <v>0.01</v>
      </c>
      <c r="G261" s="12">
        <v>0</v>
      </c>
      <c r="H261" s="12">
        <v>0</v>
      </c>
      <c r="I261" s="12">
        <v>5</v>
      </c>
      <c r="J261" s="9">
        <v>0.0038</v>
      </c>
      <c r="K261" s="5">
        <v>4.05</v>
      </c>
      <c r="L261" s="5">
        <v>15.47</v>
      </c>
      <c r="M261" s="13">
        <f t="shared" si="52"/>
        <v>3.47717236343406e-5</v>
      </c>
      <c r="N261" s="35">
        <f t="shared" si="57"/>
        <v>0.0140845070422535</v>
      </c>
      <c r="O261" s="5">
        <f t="shared" si="58"/>
        <v>0.01</v>
      </c>
      <c r="P261" s="5">
        <f t="shared" si="59"/>
        <v>287.59</v>
      </c>
      <c r="Q261" s="5" t="e">
        <f t="shared" si="60"/>
        <v>#DIV/0!</v>
      </c>
    </row>
    <row r="262" ht="14.45" customHeight="1" spans="1:17">
      <c r="A262" s="22">
        <f t="shared" si="48"/>
        <v>44457</v>
      </c>
      <c r="B262" s="5">
        <v>6.11</v>
      </c>
      <c r="C262" s="12">
        <v>372</v>
      </c>
      <c r="D262" s="12">
        <v>0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9">
        <v>0</v>
      </c>
      <c r="K262" s="5">
        <v>0</v>
      </c>
      <c r="L262" s="5">
        <v>16.43</v>
      </c>
      <c r="M262" s="13">
        <f t="shared" si="52"/>
        <v>0</v>
      </c>
      <c r="N262" s="35" t="e">
        <f t="shared" si="57"/>
        <v>#DIV/0!</v>
      </c>
      <c r="O262" s="5" t="e">
        <f t="shared" si="58"/>
        <v>#DIV/0!</v>
      </c>
      <c r="P262" s="5" t="e">
        <f t="shared" si="59"/>
        <v>#DIV/0!</v>
      </c>
      <c r="Q262" s="5" t="e">
        <f t="shared" si="60"/>
        <v>#DIV/0!</v>
      </c>
    </row>
    <row r="263" ht="14.45" customHeight="1" spans="1:17">
      <c r="A263" s="22">
        <f t="shared" si="48"/>
        <v>44458</v>
      </c>
      <c r="B263" s="5">
        <v>0</v>
      </c>
      <c r="C263" s="5" t="s">
        <v>18</v>
      </c>
      <c r="D263" s="5" t="s">
        <v>18</v>
      </c>
      <c r="E263" s="5" t="s">
        <v>18</v>
      </c>
      <c r="F263" s="5" t="s">
        <v>18</v>
      </c>
      <c r="G263" s="5" t="s">
        <v>18</v>
      </c>
      <c r="H263" s="5" t="s">
        <v>18</v>
      </c>
      <c r="I263" s="5" t="s">
        <v>18</v>
      </c>
      <c r="J263" s="5" t="s">
        <v>18</v>
      </c>
      <c r="K263" s="5" t="s">
        <v>18</v>
      </c>
      <c r="L263" s="5" t="s">
        <v>18</v>
      </c>
      <c r="M263" s="13" t="e">
        <f t="shared" si="52"/>
        <v>#VALUE!</v>
      </c>
      <c r="N263" s="35" t="e">
        <f t="shared" si="57"/>
        <v>#VALUE!</v>
      </c>
      <c r="O263" s="5" t="e">
        <f t="shared" si="58"/>
        <v>#VALUE!</v>
      </c>
      <c r="P263" s="5" t="e">
        <f t="shared" si="59"/>
        <v>#VALUE!</v>
      </c>
      <c r="Q263" s="5" t="e">
        <f t="shared" si="60"/>
        <v>#VALUE!</v>
      </c>
    </row>
    <row r="264" ht="14.45" customHeight="1" spans="1:17">
      <c r="A264" s="22">
        <f t="shared" si="48"/>
        <v>44459</v>
      </c>
      <c r="B264" s="5" t="s">
        <v>18</v>
      </c>
      <c r="C264" s="5" t="s">
        <v>18</v>
      </c>
      <c r="D264" s="5" t="s">
        <v>18</v>
      </c>
      <c r="E264" s="5" t="s">
        <v>18</v>
      </c>
      <c r="F264" s="5" t="s">
        <v>18</v>
      </c>
      <c r="G264" s="5" t="s">
        <v>18</v>
      </c>
      <c r="H264" s="5" t="s">
        <v>18</v>
      </c>
      <c r="I264" s="5" t="s">
        <v>18</v>
      </c>
      <c r="J264" s="5" t="s">
        <v>18</v>
      </c>
      <c r="K264" s="5" t="s">
        <v>18</v>
      </c>
      <c r="L264" s="5" t="s">
        <v>18</v>
      </c>
      <c r="M264" s="13" t="e">
        <f t="shared" si="52"/>
        <v>#VALUE!</v>
      </c>
      <c r="N264" s="35" t="e">
        <f t="shared" si="57"/>
        <v>#VALUE!</v>
      </c>
      <c r="O264" s="5" t="e">
        <f t="shared" si="58"/>
        <v>#VALUE!</v>
      </c>
      <c r="P264" s="5" t="e">
        <f t="shared" si="59"/>
        <v>#VALUE!</v>
      </c>
      <c r="Q264" s="5" t="e">
        <f t="shared" si="60"/>
        <v>#VALUE!</v>
      </c>
    </row>
    <row r="265" ht="14.45" customHeight="1" spans="1:17">
      <c r="A265" s="22">
        <f t="shared" si="48"/>
        <v>44460</v>
      </c>
      <c r="B265" s="5" t="s">
        <v>18</v>
      </c>
      <c r="C265" s="5" t="s">
        <v>18</v>
      </c>
      <c r="D265" s="5" t="s">
        <v>18</v>
      </c>
      <c r="E265" s="5" t="s">
        <v>18</v>
      </c>
      <c r="F265" s="5" t="s">
        <v>18</v>
      </c>
      <c r="G265" s="5" t="s">
        <v>18</v>
      </c>
      <c r="H265" s="5" t="s">
        <v>18</v>
      </c>
      <c r="I265" s="5" t="s">
        <v>18</v>
      </c>
      <c r="J265" s="5" t="s">
        <v>18</v>
      </c>
      <c r="K265" s="5" t="s">
        <v>18</v>
      </c>
      <c r="L265" s="5" t="s">
        <v>18</v>
      </c>
      <c r="M265" s="13" t="e">
        <f t="shared" si="52"/>
        <v>#VALUE!</v>
      </c>
      <c r="N265" s="35" t="e">
        <f t="shared" si="57"/>
        <v>#VALUE!</v>
      </c>
      <c r="O265" s="5" t="e">
        <f t="shared" si="58"/>
        <v>#VALUE!</v>
      </c>
      <c r="P265" s="5" t="e">
        <f t="shared" si="59"/>
        <v>#VALUE!</v>
      </c>
      <c r="Q265" s="5" t="e">
        <f t="shared" si="60"/>
        <v>#VALUE!</v>
      </c>
    </row>
    <row r="266" ht="14.45" customHeight="1" spans="1:17">
      <c r="A266" s="22">
        <f t="shared" ref="A266:A329" si="61">A265+1</f>
        <v>44461</v>
      </c>
      <c r="B266" s="5">
        <v>292.48</v>
      </c>
      <c r="C266" s="12">
        <v>18198</v>
      </c>
      <c r="D266" s="12">
        <v>68</v>
      </c>
      <c r="E266" s="12">
        <v>0</v>
      </c>
      <c r="F266" s="12">
        <v>0</v>
      </c>
      <c r="G266" s="12">
        <v>0</v>
      </c>
      <c r="H266" s="12">
        <v>0</v>
      </c>
      <c r="I266" s="12">
        <v>3</v>
      </c>
      <c r="J266" s="9">
        <v>0.0037</v>
      </c>
      <c r="K266" s="5">
        <v>4.3</v>
      </c>
      <c r="L266" s="5">
        <v>16.07</v>
      </c>
      <c r="M266" s="13">
        <f t="shared" si="52"/>
        <v>0</v>
      </c>
      <c r="N266" s="35">
        <f t="shared" si="57"/>
        <v>0</v>
      </c>
      <c r="O266" s="5" t="e">
        <f t="shared" si="58"/>
        <v>#DIV/0!</v>
      </c>
      <c r="P266" s="5" t="e">
        <f t="shared" si="59"/>
        <v>#DIV/0!</v>
      </c>
      <c r="Q266" s="5" t="e">
        <f t="shared" si="60"/>
        <v>#DIV/0!</v>
      </c>
    </row>
    <row r="267" ht="14.45" customHeight="1" spans="1:17">
      <c r="A267" s="22">
        <f t="shared" si="61"/>
        <v>44462</v>
      </c>
      <c r="B267" s="5">
        <v>5.31</v>
      </c>
      <c r="C267" s="12">
        <v>297</v>
      </c>
      <c r="D267" s="12">
        <v>0</v>
      </c>
      <c r="E267" s="12"/>
      <c r="F267" s="12">
        <v>0</v>
      </c>
      <c r="G267" s="12">
        <v>0</v>
      </c>
      <c r="H267" s="12">
        <v>0</v>
      </c>
      <c r="I267" s="12">
        <v>0</v>
      </c>
      <c r="J267" s="12">
        <v>0</v>
      </c>
      <c r="K267" s="5" t="s">
        <v>18</v>
      </c>
      <c r="L267" s="5">
        <v>17.86</v>
      </c>
      <c r="M267" s="13">
        <f t="shared" si="52"/>
        <v>0</v>
      </c>
      <c r="N267" s="35" t="e">
        <f t="shared" si="57"/>
        <v>#DIV/0!</v>
      </c>
      <c r="O267" s="5" t="e">
        <f t="shared" si="58"/>
        <v>#DIV/0!</v>
      </c>
      <c r="P267" s="5" t="e">
        <f t="shared" si="59"/>
        <v>#DIV/0!</v>
      </c>
      <c r="Q267" s="5" t="e">
        <f t="shared" si="60"/>
        <v>#DIV/0!</v>
      </c>
    </row>
    <row r="268" ht="14.45" customHeight="1" spans="1:17">
      <c r="A268" s="22">
        <f t="shared" si="61"/>
        <v>44463</v>
      </c>
      <c r="B268" s="5">
        <v>300</v>
      </c>
      <c r="C268" s="12">
        <v>28025</v>
      </c>
      <c r="D268" s="12">
        <v>71</v>
      </c>
      <c r="E268" s="12">
        <v>0</v>
      </c>
      <c r="F268" s="12">
        <v>0</v>
      </c>
      <c r="G268" s="12">
        <v>0</v>
      </c>
      <c r="H268" s="12">
        <v>0</v>
      </c>
      <c r="I268" s="12">
        <v>4</v>
      </c>
      <c r="J268" s="9">
        <v>0.0025</v>
      </c>
      <c r="K268" s="5" t="s">
        <v>18</v>
      </c>
      <c r="L268" s="5">
        <v>10.7</v>
      </c>
      <c r="M268" s="13">
        <f t="shared" si="52"/>
        <v>0</v>
      </c>
      <c r="N268" s="35">
        <f t="shared" si="57"/>
        <v>0</v>
      </c>
      <c r="O268" s="5" t="e">
        <f t="shared" si="58"/>
        <v>#DIV/0!</v>
      </c>
      <c r="P268" s="5" t="e">
        <f t="shared" si="59"/>
        <v>#DIV/0!</v>
      </c>
      <c r="Q268" s="5" t="e">
        <f t="shared" si="60"/>
        <v>#DIV/0!</v>
      </c>
    </row>
    <row r="269" ht="14.45" customHeight="1" spans="1:17">
      <c r="A269" s="22">
        <f t="shared" si="61"/>
        <v>44464</v>
      </c>
      <c r="B269" s="5">
        <v>4.5</v>
      </c>
      <c r="C269" s="12">
        <v>365</v>
      </c>
      <c r="D269" s="12">
        <v>1</v>
      </c>
      <c r="E269" s="12">
        <v>0</v>
      </c>
      <c r="F269" s="12">
        <v>0</v>
      </c>
      <c r="G269" s="12">
        <v>0</v>
      </c>
      <c r="H269" s="12"/>
      <c r="I269" s="12">
        <v>0</v>
      </c>
      <c r="J269" s="9">
        <v>0.0027</v>
      </c>
      <c r="K269" s="5">
        <v>4.5</v>
      </c>
      <c r="L269" s="5">
        <v>12.33</v>
      </c>
      <c r="M269" s="13">
        <f t="shared" si="52"/>
        <v>0</v>
      </c>
      <c r="N269" s="35">
        <f t="shared" si="57"/>
        <v>0</v>
      </c>
      <c r="O269" s="5" t="e">
        <f t="shared" si="58"/>
        <v>#DIV/0!</v>
      </c>
      <c r="P269" s="5" t="e">
        <f t="shared" si="59"/>
        <v>#DIV/0!</v>
      </c>
      <c r="Q269" s="5" t="e">
        <f t="shared" si="60"/>
        <v>#DIV/0!</v>
      </c>
    </row>
    <row r="270" ht="14.45" customHeight="1" spans="1:17">
      <c r="A270" s="22">
        <f t="shared" si="61"/>
        <v>44465</v>
      </c>
      <c r="B270" s="5" t="s">
        <v>18</v>
      </c>
      <c r="C270" s="5" t="s">
        <v>18</v>
      </c>
      <c r="D270" s="5" t="s">
        <v>18</v>
      </c>
      <c r="E270" s="5" t="s">
        <v>18</v>
      </c>
      <c r="F270" s="5" t="s">
        <v>18</v>
      </c>
      <c r="G270" s="5" t="s">
        <v>18</v>
      </c>
      <c r="H270" s="5" t="s">
        <v>18</v>
      </c>
      <c r="I270" s="5" t="s">
        <v>18</v>
      </c>
      <c r="J270" s="5" t="s">
        <v>18</v>
      </c>
      <c r="K270" s="5" t="s">
        <v>18</v>
      </c>
      <c r="L270" s="5" t="s">
        <v>18</v>
      </c>
      <c r="M270" s="13" t="e">
        <f t="shared" si="52"/>
        <v>#VALUE!</v>
      </c>
      <c r="N270" s="35" t="e">
        <f t="shared" si="57"/>
        <v>#VALUE!</v>
      </c>
      <c r="O270" s="5" t="e">
        <f t="shared" si="58"/>
        <v>#VALUE!</v>
      </c>
      <c r="P270" s="5" t="e">
        <f t="shared" si="59"/>
        <v>#VALUE!</v>
      </c>
      <c r="Q270" s="5" t="e">
        <f t="shared" si="60"/>
        <v>#VALUE!</v>
      </c>
    </row>
    <row r="271" ht="14.45" customHeight="1" spans="1:17">
      <c r="A271" s="22">
        <f t="shared" si="61"/>
        <v>44466</v>
      </c>
      <c r="B271" s="5" t="s">
        <v>18</v>
      </c>
      <c r="C271" s="5" t="s">
        <v>18</v>
      </c>
      <c r="D271" s="5" t="s">
        <v>18</v>
      </c>
      <c r="E271" s="5" t="s">
        <v>18</v>
      </c>
      <c r="F271" s="5" t="s">
        <v>18</v>
      </c>
      <c r="G271" s="5" t="s">
        <v>18</v>
      </c>
      <c r="H271" s="5" t="s">
        <v>18</v>
      </c>
      <c r="I271" s="5" t="s">
        <v>18</v>
      </c>
      <c r="J271" s="5" t="s">
        <v>18</v>
      </c>
      <c r="K271" s="5" t="s">
        <v>18</v>
      </c>
      <c r="L271" s="5" t="s">
        <v>18</v>
      </c>
      <c r="M271" s="13" t="e">
        <f t="shared" si="52"/>
        <v>#VALUE!</v>
      </c>
      <c r="N271" s="35" t="e">
        <f t="shared" si="57"/>
        <v>#VALUE!</v>
      </c>
      <c r="O271" s="5" t="e">
        <f t="shared" si="58"/>
        <v>#VALUE!</v>
      </c>
      <c r="P271" s="5" t="e">
        <f t="shared" si="59"/>
        <v>#VALUE!</v>
      </c>
      <c r="Q271" s="5" t="e">
        <f t="shared" si="60"/>
        <v>#VALUE!</v>
      </c>
    </row>
    <row r="272" ht="14.45" customHeight="1" spans="1:17">
      <c r="A272" s="22">
        <f t="shared" si="61"/>
        <v>44467</v>
      </c>
      <c r="B272" s="5" t="s">
        <v>18</v>
      </c>
      <c r="C272" s="5" t="s">
        <v>18</v>
      </c>
      <c r="D272" s="5" t="s">
        <v>18</v>
      </c>
      <c r="E272" s="5" t="s">
        <v>18</v>
      </c>
      <c r="F272" s="5" t="s">
        <v>18</v>
      </c>
      <c r="G272" s="5" t="s">
        <v>18</v>
      </c>
      <c r="H272" s="5" t="s">
        <v>18</v>
      </c>
      <c r="I272" s="5" t="s">
        <v>18</v>
      </c>
      <c r="J272" s="5" t="s">
        <v>18</v>
      </c>
      <c r="K272" s="5" t="s">
        <v>18</v>
      </c>
      <c r="L272" s="5" t="s">
        <v>18</v>
      </c>
      <c r="M272" s="13" t="e">
        <f t="shared" si="52"/>
        <v>#VALUE!</v>
      </c>
      <c r="N272" s="35" t="e">
        <f t="shared" si="57"/>
        <v>#VALUE!</v>
      </c>
      <c r="O272" s="5" t="e">
        <f t="shared" si="58"/>
        <v>#VALUE!</v>
      </c>
      <c r="P272" s="5" t="e">
        <f t="shared" si="59"/>
        <v>#VALUE!</v>
      </c>
      <c r="Q272" s="5" t="e">
        <f t="shared" si="60"/>
        <v>#VALUE!</v>
      </c>
    </row>
    <row r="273" ht="14.45" customHeight="1" spans="1:17">
      <c r="A273" s="22">
        <f t="shared" si="61"/>
        <v>44468</v>
      </c>
      <c r="B273" s="5">
        <v>326.71</v>
      </c>
      <c r="C273" s="12">
        <v>41985</v>
      </c>
      <c r="D273" s="12">
        <v>81</v>
      </c>
      <c r="E273" s="12">
        <v>1</v>
      </c>
      <c r="F273" s="5">
        <v>176</v>
      </c>
      <c r="G273" s="12">
        <v>1</v>
      </c>
      <c r="H273" s="12">
        <v>1</v>
      </c>
      <c r="I273" s="12">
        <v>2</v>
      </c>
      <c r="J273" s="9">
        <v>0.0019</v>
      </c>
      <c r="K273" s="5">
        <v>4.03</v>
      </c>
      <c r="L273" s="5">
        <v>7.78</v>
      </c>
      <c r="M273" s="13">
        <f t="shared" si="52"/>
        <v>0.538704049462826</v>
      </c>
      <c r="N273" s="35">
        <f t="shared" si="57"/>
        <v>0.0123456790123457</v>
      </c>
      <c r="O273" s="5">
        <f t="shared" si="58"/>
        <v>176</v>
      </c>
      <c r="P273" s="5">
        <f t="shared" si="59"/>
        <v>326.71</v>
      </c>
      <c r="Q273" s="5">
        <f t="shared" si="60"/>
        <v>326.71</v>
      </c>
    </row>
    <row r="274" ht="14.45" customHeight="1" spans="1:17">
      <c r="A274" s="22">
        <f t="shared" si="61"/>
        <v>44469</v>
      </c>
      <c r="B274" s="5">
        <v>6.52</v>
      </c>
      <c r="C274" s="12">
        <v>495</v>
      </c>
      <c r="D274" s="12">
        <v>1</v>
      </c>
      <c r="E274" s="12">
        <v>0</v>
      </c>
      <c r="F274" s="5">
        <v>0</v>
      </c>
      <c r="G274" s="12">
        <v>0</v>
      </c>
      <c r="H274" s="12">
        <v>0</v>
      </c>
      <c r="I274" s="12">
        <v>0</v>
      </c>
      <c r="J274" s="9">
        <v>0.002</v>
      </c>
      <c r="K274" s="5">
        <v>6.52</v>
      </c>
      <c r="L274" s="5">
        <v>13.18</v>
      </c>
      <c r="M274" s="13">
        <f t="shared" si="52"/>
        <v>0</v>
      </c>
      <c r="N274" s="35">
        <f t="shared" si="57"/>
        <v>0</v>
      </c>
      <c r="O274" s="5" t="e">
        <f t="shared" si="58"/>
        <v>#DIV/0!</v>
      </c>
      <c r="P274" s="5" t="e">
        <f t="shared" si="59"/>
        <v>#DIV/0!</v>
      </c>
      <c r="Q274" s="5" t="e">
        <f t="shared" si="60"/>
        <v>#DIV/0!</v>
      </c>
    </row>
    <row r="275" ht="14.45" customHeight="1" spans="1:17">
      <c r="A275" s="22">
        <f t="shared" si="61"/>
        <v>44470</v>
      </c>
      <c r="B275" s="5">
        <v>299.33</v>
      </c>
      <c r="C275" s="12">
        <v>43041</v>
      </c>
      <c r="D275" s="12">
        <v>74</v>
      </c>
      <c r="E275" s="12">
        <v>0</v>
      </c>
      <c r="F275" s="5">
        <v>0</v>
      </c>
      <c r="G275" s="12">
        <v>1</v>
      </c>
      <c r="H275" s="12">
        <v>0</v>
      </c>
      <c r="I275" s="12">
        <v>0</v>
      </c>
      <c r="J275" s="9">
        <v>0.0017</v>
      </c>
      <c r="K275" s="5">
        <v>4.04</v>
      </c>
      <c r="L275" s="5">
        <v>6.95</v>
      </c>
      <c r="M275" s="13">
        <f t="shared" si="52"/>
        <v>0</v>
      </c>
      <c r="N275" s="35">
        <f t="shared" ref="N275:N366" si="62">E275/D275</f>
        <v>0</v>
      </c>
      <c r="O275" s="5" t="e">
        <f t="shared" ref="O275:O346" si="63">F275/E275</f>
        <v>#DIV/0!</v>
      </c>
      <c r="P275" s="5" t="e">
        <f t="shared" ref="P275:P346" si="64">B275/E275</f>
        <v>#DIV/0!</v>
      </c>
      <c r="Q275" s="5">
        <f t="shared" ref="Q275:Q366" si="65">B275/G275</f>
        <v>299.33</v>
      </c>
    </row>
    <row r="276" ht="14.45" customHeight="1" spans="1:17">
      <c r="A276" s="22">
        <f t="shared" si="61"/>
        <v>44471</v>
      </c>
      <c r="B276" s="5">
        <v>3.7</v>
      </c>
      <c r="C276" s="12">
        <v>485</v>
      </c>
      <c r="D276" s="12">
        <v>1</v>
      </c>
      <c r="E276" s="12">
        <v>0</v>
      </c>
      <c r="F276" s="5">
        <v>0</v>
      </c>
      <c r="G276" s="12">
        <v>0</v>
      </c>
      <c r="H276" s="12">
        <v>0</v>
      </c>
      <c r="I276" s="12">
        <v>0</v>
      </c>
      <c r="J276" s="9">
        <v>0.0021</v>
      </c>
      <c r="K276" s="5">
        <v>3.7</v>
      </c>
      <c r="L276" s="5">
        <v>7.64</v>
      </c>
      <c r="M276" s="13">
        <f t="shared" si="52"/>
        <v>0</v>
      </c>
      <c r="N276" s="35">
        <f t="shared" si="62"/>
        <v>0</v>
      </c>
      <c r="O276" s="5" t="e">
        <f t="shared" si="63"/>
        <v>#DIV/0!</v>
      </c>
      <c r="P276" s="5" t="e">
        <f t="shared" si="64"/>
        <v>#DIV/0!</v>
      </c>
      <c r="Q276" s="5" t="e">
        <f t="shared" si="65"/>
        <v>#DIV/0!</v>
      </c>
    </row>
    <row r="277" ht="14.45" customHeight="1" spans="1:17">
      <c r="A277" s="22">
        <f t="shared" si="61"/>
        <v>44472</v>
      </c>
      <c r="B277" s="5" t="s">
        <v>18</v>
      </c>
      <c r="C277" s="5" t="s">
        <v>18</v>
      </c>
      <c r="D277" s="5" t="s">
        <v>18</v>
      </c>
      <c r="E277" s="5" t="s">
        <v>18</v>
      </c>
      <c r="F277" s="5" t="s">
        <v>18</v>
      </c>
      <c r="G277" s="5" t="s">
        <v>18</v>
      </c>
      <c r="H277" s="5" t="s">
        <v>18</v>
      </c>
      <c r="I277" s="5" t="s">
        <v>18</v>
      </c>
      <c r="J277" s="5" t="s">
        <v>18</v>
      </c>
      <c r="K277" s="5" t="s">
        <v>18</v>
      </c>
      <c r="L277" s="5" t="s">
        <v>18</v>
      </c>
      <c r="M277" s="13" t="e">
        <f t="shared" si="52"/>
        <v>#VALUE!</v>
      </c>
      <c r="N277" s="35" t="e">
        <f t="shared" si="62"/>
        <v>#VALUE!</v>
      </c>
      <c r="O277" s="5" t="e">
        <f t="shared" si="63"/>
        <v>#VALUE!</v>
      </c>
      <c r="P277" s="5" t="e">
        <f t="shared" si="64"/>
        <v>#VALUE!</v>
      </c>
      <c r="Q277" s="5" t="e">
        <f t="shared" si="65"/>
        <v>#VALUE!</v>
      </c>
    </row>
    <row r="278" ht="14.45" customHeight="1" spans="1:17">
      <c r="A278" s="22">
        <f t="shared" si="61"/>
        <v>44473</v>
      </c>
      <c r="B278" s="5" t="s">
        <v>18</v>
      </c>
      <c r="C278" s="5" t="s">
        <v>18</v>
      </c>
      <c r="D278" s="5" t="s">
        <v>18</v>
      </c>
      <c r="E278" s="5" t="s">
        <v>18</v>
      </c>
      <c r="F278" s="5" t="s">
        <v>18</v>
      </c>
      <c r="G278" s="5" t="s">
        <v>18</v>
      </c>
      <c r="H278" s="5" t="s">
        <v>18</v>
      </c>
      <c r="I278" s="5" t="s">
        <v>18</v>
      </c>
      <c r="J278" s="5" t="s">
        <v>18</v>
      </c>
      <c r="K278" s="5" t="s">
        <v>18</v>
      </c>
      <c r="L278" s="5" t="s">
        <v>18</v>
      </c>
      <c r="M278" s="13" t="e">
        <f t="shared" si="52"/>
        <v>#VALUE!</v>
      </c>
      <c r="N278" s="35" t="e">
        <f t="shared" si="62"/>
        <v>#VALUE!</v>
      </c>
      <c r="O278" s="5" t="e">
        <f t="shared" si="63"/>
        <v>#VALUE!</v>
      </c>
      <c r="P278" s="5" t="e">
        <f t="shared" si="64"/>
        <v>#VALUE!</v>
      </c>
      <c r="Q278" s="5" t="e">
        <f t="shared" si="65"/>
        <v>#VALUE!</v>
      </c>
    </row>
    <row r="279" ht="14.45" customHeight="1" spans="1:17">
      <c r="A279" s="22">
        <f t="shared" si="61"/>
        <v>44474</v>
      </c>
      <c r="B279" s="5" t="s">
        <v>18</v>
      </c>
      <c r="C279" s="5" t="s">
        <v>18</v>
      </c>
      <c r="D279" s="5" t="s">
        <v>18</v>
      </c>
      <c r="E279" s="5" t="s">
        <v>18</v>
      </c>
      <c r="F279" s="5" t="s">
        <v>18</v>
      </c>
      <c r="G279" s="5" t="s">
        <v>18</v>
      </c>
      <c r="H279" s="5" t="s">
        <v>18</v>
      </c>
      <c r="I279" s="5" t="s">
        <v>18</v>
      </c>
      <c r="J279" s="5" t="s">
        <v>18</v>
      </c>
      <c r="K279" s="5" t="s">
        <v>18</v>
      </c>
      <c r="L279" s="5" t="s">
        <v>18</v>
      </c>
      <c r="M279" s="13" t="e">
        <f t="shared" si="52"/>
        <v>#VALUE!</v>
      </c>
      <c r="N279" s="35" t="e">
        <f t="shared" si="62"/>
        <v>#VALUE!</v>
      </c>
      <c r="O279" s="5" t="e">
        <f t="shared" si="63"/>
        <v>#VALUE!</v>
      </c>
      <c r="P279" s="5" t="e">
        <f t="shared" si="64"/>
        <v>#VALUE!</v>
      </c>
      <c r="Q279" s="5" t="e">
        <f t="shared" si="65"/>
        <v>#VALUE!</v>
      </c>
    </row>
    <row r="280" ht="14.45" customHeight="1" spans="1:17">
      <c r="A280" s="22">
        <f t="shared" si="61"/>
        <v>44475</v>
      </c>
      <c r="B280" s="5">
        <v>294.68</v>
      </c>
      <c r="C280" s="12">
        <v>32673</v>
      </c>
      <c r="D280" s="12">
        <v>70</v>
      </c>
      <c r="E280" s="12">
        <v>1</v>
      </c>
      <c r="F280" s="5">
        <v>99</v>
      </c>
      <c r="G280" s="12">
        <v>2</v>
      </c>
      <c r="H280" s="12">
        <v>1</v>
      </c>
      <c r="I280" s="12">
        <v>0</v>
      </c>
      <c r="J280" s="9">
        <v>0.0021</v>
      </c>
      <c r="K280" s="5">
        <v>4.21</v>
      </c>
      <c r="L280" s="5">
        <v>9.02</v>
      </c>
      <c r="M280" s="13">
        <f t="shared" si="52"/>
        <v>0.33595764897516</v>
      </c>
      <c r="N280" s="35">
        <f t="shared" si="62"/>
        <v>0.0142857142857143</v>
      </c>
      <c r="O280" s="5">
        <f t="shared" si="63"/>
        <v>99</v>
      </c>
      <c r="P280" s="5">
        <f t="shared" si="64"/>
        <v>294.68</v>
      </c>
      <c r="Q280" s="5">
        <f t="shared" si="65"/>
        <v>147.34</v>
      </c>
    </row>
    <row r="281" ht="14.45" customHeight="1" spans="1:17">
      <c r="A281" s="22">
        <f t="shared" si="61"/>
        <v>44476</v>
      </c>
      <c r="B281" s="5">
        <v>4.64</v>
      </c>
      <c r="C281" s="12">
        <v>496</v>
      </c>
      <c r="D281" s="12">
        <v>1</v>
      </c>
      <c r="E281" s="12">
        <v>0</v>
      </c>
      <c r="F281" s="5">
        <v>0</v>
      </c>
      <c r="G281" s="12">
        <v>0</v>
      </c>
      <c r="H281" s="12">
        <v>0</v>
      </c>
      <c r="I281" s="12">
        <v>0</v>
      </c>
      <c r="J281" s="9">
        <v>0.002</v>
      </c>
      <c r="K281" s="5">
        <v>4.64</v>
      </c>
      <c r="L281" s="5">
        <v>9.32</v>
      </c>
      <c r="M281" s="13">
        <f t="shared" si="52"/>
        <v>0</v>
      </c>
      <c r="N281" s="35">
        <f t="shared" si="62"/>
        <v>0</v>
      </c>
      <c r="O281" s="5" t="e">
        <f t="shared" si="63"/>
        <v>#DIV/0!</v>
      </c>
      <c r="P281" s="5" t="e">
        <f t="shared" si="64"/>
        <v>#DIV/0!</v>
      </c>
      <c r="Q281" s="5" t="e">
        <f t="shared" si="65"/>
        <v>#DIV/0!</v>
      </c>
    </row>
    <row r="282" ht="14.45" customHeight="1" spans="1:17">
      <c r="A282" s="22">
        <f t="shared" si="61"/>
        <v>44477</v>
      </c>
      <c r="B282" s="5">
        <v>299.97</v>
      </c>
      <c r="C282" s="12">
        <v>29281</v>
      </c>
      <c r="D282" s="12">
        <v>102</v>
      </c>
      <c r="E282" s="12">
        <v>2</v>
      </c>
      <c r="F282" s="5">
        <v>287</v>
      </c>
      <c r="G282" s="12">
        <v>3</v>
      </c>
      <c r="H282" s="12">
        <v>0</v>
      </c>
      <c r="I282" s="12">
        <v>0</v>
      </c>
      <c r="J282" s="9">
        <v>0.0035</v>
      </c>
      <c r="K282" s="5">
        <v>2.94</v>
      </c>
      <c r="L282" s="5">
        <v>10.24</v>
      </c>
      <c r="M282" s="13">
        <f t="shared" si="52"/>
        <v>0.956762342900957</v>
      </c>
      <c r="N282" s="35">
        <f t="shared" si="62"/>
        <v>0.0196078431372549</v>
      </c>
      <c r="O282" s="5">
        <f t="shared" si="63"/>
        <v>143.5</v>
      </c>
      <c r="P282" s="5">
        <f t="shared" si="64"/>
        <v>149.985</v>
      </c>
      <c r="Q282" s="5">
        <f t="shared" si="65"/>
        <v>99.99</v>
      </c>
    </row>
    <row r="283" ht="14.45" customHeight="1" spans="1:17">
      <c r="A283" s="22">
        <f t="shared" si="61"/>
        <v>44478</v>
      </c>
      <c r="B283" s="5">
        <v>4.35</v>
      </c>
      <c r="C283" s="12">
        <v>254</v>
      </c>
      <c r="D283" s="12">
        <v>2</v>
      </c>
      <c r="E283" s="12">
        <v>0</v>
      </c>
      <c r="F283" s="5">
        <v>0</v>
      </c>
      <c r="G283" s="12">
        <v>0</v>
      </c>
      <c r="H283" s="12">
        <v>0</v>
      </c>
      <c r="I283" s="12">
        <v>0</v>
      </c>
      <c r="J283" s="9">
        <v>0.0079</v>
      </c>
      <c r="K283" s="5">
        <v>2.17</v>
      </c>
      <c r="L283" s="5">
        <v>17.11</v>
      </c>
      <c r="M283" s="13">
        <f t="shared" si="52"/>
        <v>0</v>
      </c>
      <c r="N283" s="35">
        <f t="shared" si="62"/>
        <v>0</v>
      </c>
      <c r="O283" s="5" t="e">
        <f t="shared" si="63"/>
        <v>#DIV/0!</v>
      </c>
      <c r="P283" s="5" t="e">
        <f t="shared" si="64"/>
        <v>#DIV/0!</v>
      </c>
      <c r="Q283" s="5" t="e">
        <f t="shared" si="65"/>
        <v>#DIV/0!</v>
      </c>
    </row>
    <row r="284" ht="14.45" customHeight="1" spans="1:17">
      <c r="A284" s="22">
        <f t="shared" si="61"/>
        <v>44479</v>
      </c>
      <c r="B284" s="5" t="s">
        <v>18</v>
      </c>
      <c r="C284" s="5" t="s">
        <v>18</v>
      </c>
      <c r="D284" s="5" t="s">
        <v>18</v>
      </c>
      <c r="E284" s="5" t="s">
        <v>18</v>
      </c>
      <c r="F284" s="5" t="s">
        <v>18</v>
      </c>
      <c r="G284" s="5" t="s">
        <v>18</v>
      </c>
      <c r="H284" s="5" t="s">
        <v>18</v>
      </c>
      <c r="I284" s="5" t="s">
        <v>18</v>
      </c>
      <c r="J284" s="5" t="s">
        <v>18</v>
      </c>
      <c r="K284" s="5" t="s">
        <v>18</v>
      </c>
      <c r="L284" s="5" t="s">
        <v>18</v>
      </c>
      <c r="M284" s="13" t="e">
        <f t="shared" si="52"/>
        <v>#VALUE!</v>
      </c>
      <c r="N284" s="35" t="e">
        <f t="shared" si="62"/>
        <v>#VALUE!</v>
      </c>
      <c r="O284" s="5" t="e">
        <f t="shared" si="63"/>
        <v>#VALUE!</v>
      </c>
      <c r="P284" s="5" t="e">
        <f t="shared" si="64"/>
        <v>#VALUE!</v>
      </c>
      <c r="Q284" s="5" t="e">
        <f t="shared" si="65"/>
        <v>#VALUE!</v>
      </c>
    </row>
    <row r="285" ht="14.45" customHeight="1" spans="1:17">
      <c r="A285" s="22">
        <f t="shared" si="61"/>
        <v>44480</v>
      </c>
      <c r="B285" s="5" t="s">
        <v>18</v>
      </c>
      <c r="C285" s="5" t="s">
        <v>18</v>
      </c>
      <c r="D285" s="5" t="s">
        <v>18</v>
      </c>
      <c r="E285" s="5" t="s">
        <v>18</v>
      </c>
      <c r="F285" s="5" t="s">
        <v>18</v>
      </c>
      <c r="G285" s="5" t="s">
        <v>18</v>
      </c>
      <c r="H285" s="5" t="s">
        <v>18</v>
      </c>
      <c r="I285" s="5" t="s">
        <v>18</v>
      </c>
      <c r="J285" s="5" t="s">
        <v>18</v>
      </c>
      <c r="K285" s="5" t="s">
        <v>18</v>
      </c>
      <c r="L285" s="5" t="s">
        <v>18</v>
      </c>
      <c r="M285" s="13" t="e">
        <f t="shared" si="52"/>
        <v>#VALUE!</v>
      </c>
      <c r="N285" s="35" t="e">
        <f t="shared" si="62"/>
        <v>#VALUE!</v>
      </c>
      <c r="O285" s="5" t="e">
        <f t="shared" si="63"/>
        <v>#VALUE!</v>
      </c>
      <c r="P285" s="5" t="e">
        <f t="shared" si="64"/>
        <v>#VALUE!</v>
      </c>
      <c r="Q285" s="5" t="e">
        <f t="shared" si="65"/>
        <v>#VALUE!</v>
      </c>
    </row>
    <row r="286" ht="14.45" customHeight="1" spans="1:17">
      <c r="A286" s="22">
        <f t="shared" si="61"/>
        <v>44481</v>
      </c>
      <c r="B286" s="5" t="s">
        <v>18</v>
      </c>
      <c r="C286" s="5" t="s">
        <v>18</v>
      </c>
      <c r="D286" s="5" t="s">
        <v>18</v>
      </c>
      <c r="E286" s="5" t="s">
        <v>18</v>
      </c>
      <c r="F286" s="5" t="s">
        <v>18</v>
      </c>
      <c r="G286" s="5" t="s">
        <v>18</v>
      </c>
      <c r="H286" s="5" t="s">
        <v>18</v>
      </c>
      <c r="I286" s="5" t="s">
        <v>18</v>
      </c>
      <c r="J286" s="5" t="s">
        <v>18</v>
      </c>
      <c r="K286" s="5" t="s">
        <v>18</v>
      </c>
      <c r="L286" s="5" t="s">
        <v>18</v>
      </c>
      <c r="M286" s="13" t="e">
        <f t="shared" si="52"/>
        <v>#VALUE!</v>
      </c>
      <c r="N286" s="35" t="e">
        <f t="shared" si="62"/>
        <v>#VALUE!</v>
      </c>
      <c r="O286" s="5" t="e">
        <f t="shared" si="63"/>
        <v>#VALUE!</v>
      </c>
      <c r="P286" s="5" t="e">
        <f t="shared" si="64"/>
        <v>#VALUE!</v>
      </c>
      <c r="Q286" s="5" t="e">
        <f t="shared" si="65"/>
        <v>#VALUE!</v>
      </c>
    </row>
    <row r="287" ht="14.45" customHeight="1" spans="1:17">
      <c r="A287" s="22">
        <f t="shared" si="61"/>
        <v>44482</v>
      </c>
      <c r="B287" s="5">
        <v>291.86</v>
      </c>
      <c r="C287" s="12">
        <v>20912</v>
      </c>
      <c r="D287" s="12">
        <v>92</v>
      </c>
      <c r="E287" s="12">
        <v>0</v>
      </c>
      <c r="F287" s="5">
        <v>0</v>
      </c>
      <c r="G287" s="12">
        <v>1</v>
      </c>
      <c r="H287" s="12">
        <v>1</v>
      </c>
      <c r="I287" s="12">
        <v>1</v>
      </c>
      <c r="J287" s="9">
        <v>0.0044</v>
      </c>
      <c r="K287" s="5">
        <v>3.17</v>
      </c>
      <c r="L287" s="5">
        <v>13.96</v>
      </c>
      <c r="M287" s="13">
        <f t="shared" si="52"/>
        <v>0</v>
      </c>
      <c r="N287" s="35">
        <f t="shared" si="62"/>
        <v>0</v>
      </c>
      <c r="O287" s="5" t="e">
        <f t="shared" si="63"/>
        <v>#DIV/0!</v>
      </c>
      <c r="P287" s="5" t="e">
        <f t="shared" si="64"/>
        <v>#DIV/0!</v>
      </c>
      <c r="Q287" s="5">
        <f t="shared" si="65"/>
        <v>291.86</v>
      </c>
    </row>
    <row r="288" ht="14.45" customHeight="1" spans="1:17">
      <c r="A288" s="22">
        <f t="shared" si="61"/>
        <v>44483</v>
      </c>
      <c r="B288" s="5">
        <v>479.47</v>
      </c>
      <c r="C288" s="12">
        <v>38036</v>
      </c>
      <c r="D288" s="12">
        <v>205</v>
      </c>
      <c r="E288" s="12">
        <v>1</v>
      </c>
      <c r="F288" s="5">
        <v>176</v>
      </c>
      <c r="G288" s="12">
        <v>3</v>
      </c>
      <c r="H288" s="12">
        <v>1</v>
      </c>
      <c r="I288" s="12">
        <v>0</v>
      </c>
      <c r="J288" s="9">
        <v>0.0054</v>
      </c>
      <c r="K288" s="5">
        <v>2.34</v>
      </c>
      <c r="L288" s="5">
        <v>12.61</v>
      </c>
      <c r="M288" s="13">
        <f t="shared" si="52"/>
        <v>0.367071975306067</v>
      </c>
      <c r="N288" s="35">
        <f t="shared" si="62"/>
        <v>0.0048780487804878</v>
      </c>
      <c r="O288" s="5">
        <f t="shared" si="63"/>
        <v>176</v>
      </c>
      <c r="P288" s="5">
        <f t="shared" si="64"/>
        <v>479.47</v>
      </c>
      <c r="Q288" s="5">
        <f t="shared" si="65"/>
        <v>159.823333333333</v>
      </c>
    </row>
    <row r="289" ht="14.45" customHeight="1" spans="1:17">
      <c r="A289" s="22">
        <f t="shared" si="61"/>
        <v>44484</v>
      </c>
      <c r="B289" s="5">
        <v>19.15</v>
      </c>
      <c r="C289" s="12">
        <v>1479</v>
      </c>
      <c r="D289" s="12">
        <v>6</v>
      </c>
      <c r="E289" s="12">
        <v>0</v>
      </c>
      <c r="F289" s="5">
        <v>0</v>
      </c>
      <c r="G289" s="12">
        <v>0</v>
      </c>
      <c r="H289" s="12">
        <v>0</v>
      </c>
      <c r="I289" s="12">
        <v>0</v>
      </c>
      <c r="J289" s="9">
        <v>0.0041</v>
      </c>
      <c r="K289" s="5">
        <v>3.19</v>
      </c>
      <c r="L289" s="5">
        <v>12.94</v>
      </c>
      <c r="M289" s="13">
        <f t="shared" si="52"/>
        <v>0</v>
      </c>
      <c r="N289" s="35">
        <f t="shared" si="62"/>
        <v>0</v>
      </c>
      <c r="O289" s="5" t="e">
        <f t="shared" si="63"/>
        <v>#DIV/0!</v>
      </c>
      <c r="P289" s="5" t="e">
        <f t="shared" si="64"/>
        <v>#DIV/0!</v>
      </c>
      <c r="Q289" s="5" t="e">
        <f t="shared" si="65"/>
        <v>#DIV/0!</v>
      </c>
    </row>
    <row r="290" ht="14.45" customHeight="1" spans="1:17">
      <c r="A290" s="22">
        <f t="shared" si="61"/>
        <v>44485</v>
      </c>
      <c r="B290" s="5" t="s">
        <v>18</v>
      </c>
      <c r="C290" s="5" t="s">
        <v>18</v>
      </c>
      <c r="D290" s="5" t="s">
        <v>18</v>
      </c>
      <c r="E290" s="5" t="s">
        <v>18</v>
      </c>
      <c r="F290" s="5" t="s">
        <v>18</v>
      </c>
      <c r="G290" s="5" t="s">
        <v>18</v>
      </c>
      <c r="H290" s="5" t="s">
        <v>18</v>
      </c>
      <c r="I290" s="5" t="s">
        <v>18</v>
      </c>
      <c r="J290" s="5" t="s">
        <v>18</v>
      </c>
      <c r="K290" s="5" t="s">
        <v>18</v>
      </c>
      <c r="L290" s="5" t="s">
        <v>18</v>
      </c>
      <c r="M290" s="13" t="e">
        <f t="shared" si="52"/>
        <v>#VALUE!</v>
      </c>
      <c r="N290" s="35" t="e">
        <f t="shared" si="62"/>
        <v>#VALUE!</v>
      </c>
      <c r="O290" s="5" t="e">
        <f t="shared" si="63"/>
        <v>#VALUE!</v>
      </c>
      <c r="P290" s="5" t="e">
        <f t="shared" si="64"/>
        <v>#VALUE!</v>
      </c>
      <c r="Q290" s="5" t="e">
        <f t="shared" si="65"/>
        <v>#VALUE!</v>
      </c>
    </row>
    <row r="291" ht="14.45" customHeight="1" spans="1:17">
      <c r="A291" s="22">
        <f t="shared" si="61"/>
        <v>44486</v>
      </c>
      <c r="B291" s="5" t="s">
        <v>18</v>
      </c>
      <c r="C291" s="5" t="s">
        <v>18</v>
      </c>
      <c r="D291" s="5" t="s">
        <v>18</v>
      </c>
      <c r="E291" s="5" t="s">
        <v>18</v>
      </c>
      <c r="F291" s="5" t="s">
        <v>18</v>
      </c>
      <c r="G291" s="5" t="s">
        <v>18</v>
      </c>
      <c r="H291" s="5" t="s">
        <v>18</v>
      </c>
      <c r="I291" s="5" t="s">
        <v>18</v>
      </c>
      <c r="J291" s="5" t="s">
        <v>18</v>
      </c>
      <c r="K291" s="5" t="s">
        <v>18</v>
      </c>
      <c r="L291" s="5" t="s">
        <v>18</v>
      </c>
      <c r="M291" s="13" t="e">
        <f t="shared" si="52"/>
        <v>#VALUE!</v>
      </c>
      <c r="N291" s="35" t="e">
        <f t="shared" si="62"/>
        <v>#VALUE!</v>
      </c>
      <c r="O291" s="5" t="e">
        <f t="shared" si="63"/>
        <v>#VALUE!</v>
      </c>
      <c r="P291" s="5" t="e">
        <f t="shared" si="64"/>
        <v>#VALUE!</v>
      </c>
      <c r="Q291" s="5" t="e">
        <f t="shared" si="65"/>
        <v>#VALUE!</v>
      </c>
    </row>
    <row r="292" ht="14.45" customHeight="1" spans="1:17">
      <c r="A292" s="22">
        <f t="shared" si="61"/>
        <v>44487</v>
      </c>
      <c r="B292" s="5" t="s">
        <v>18</v>
      </c>
      <c r="C292" s="5" t="s">
        <v>18</v>
      </c>
      <c r="D292" s="5" t="s">
        <v>18</v>
      </c>
      <c r="E292" s="5" t="s">
        <v>18</v>
      </c>
      <c r="F292" s="5" t="s">
        <v>18</v>
      </c>
      <c r="G292" s="5" t="s">
        <v>18</v>
      </c>
      <c r="H292" s="5" t="s">
        <v>18</v>
      </c>
      <c r="I292" s="5" t="s">
        <v>18</v>
      </c>
      <c r="J292" s="5" t="s">
        <v>18</v>
      </c>
      <c r="K292" s="5" t="s">
        <v>18</v>
      </c>
      <c r="L292" s="5" t="s">
        <v>18</v>
      </c>
      <c r="M292" s="13" t="e">
        <f t="shared" si="52"/>
        <v>#VALUE!</v>
      </c>
      <c r="N292" s="35" t="e">
        <f t="shared" si="62"/>
        <v>#VALUE!</v>
      </c>
      <c r="O292" s="5" t="e">
        <f t="shared" si="63"/>
        <v>#VALUE!</v>
      </c>
      <c r="P292" s="5" t="e">
        <f t="shared" si="64"/>
        <v>#VALUE!</v>
      </c>
      <c r="Q292" s="5" t="e">
        <f t="shared" si="65"/>
        <v>#VALUE!</v>
      </c>
    </row>
    <row r="293" ht="14.45" customHeight="1" spans="1:17">
      <c r="A293" s="22">
        <f t="shared" si="61"/>
        <v>44488</v>
      </c>
      <c r="B293" s="5" t="s">
        <v>18</v>
      </c>
      <c r="C293" s="5" t="s">
        <v>18</v>
      </c>
      <c r="D293" s="5" t="s">
        <v>18</v>
      </c>
      <c r="E293" s="5" t="s">
        <v>18</v>
      </c>
      <c r="F293" s="5" t="s">
        <v>18</v>
      </c>
      <c r="G293" s="5" t="s">
        <v>18</v>
      </c>
      <c r="H293" s="5" t="s">
        <v>18</v>
      </c>
      <c r="I293" s="5" t="s">
        <v>18</v>
      </c>
      <c r="J293" s="5" t="s">
        <v>18</v>
      </c>
      <c r="K293" s="5" t="s">
        <v>18</v>
      </c>
      <c r="L293" s="5" t="s">
        <v>18</v>
      </c>
      <c r="M293" s="13" t="e">
        <f t="shared" si="52"/>
        <v>#VALUE!</v>
      </c>
      <c r="N293" s="35" t="e">
        <f t="shared" si="62"/>
        <v>#VALUE!</v>
      </c>
      <c r="O293" s="5" t="e">
        <f t="shared" si="63"/>
        <v>#VALUE!</v>
      </c>
      <c r="P293" s="5" t="e">
        <f t="shared" si="64"/>
        <v>#VALUE!</v>
      </c>
      <c r="Q293" s="5" t="e">
        <f t="shared" si="65"/>
        <v>#VALUE!</v>
      </c>
    </row>
    <row r="294" ht="14.45" customHeight="1" spans="1:17">
      <c r="A294" s="22">
        <f t="shared" si="61"/>
        <v>44489</v>
      </c>
      <c r="B294" s="5">
        <v>859.94</v>
      </c>
      <c r="C294" s="12">
        <v>28410</v>
      </c>
      <c r="D294" s="12">
        <v>132</v>
      </c>
      <c r="E294" s="12">
        <v>1</v>
      </c>
      <c r="F294" s="5">
        <v>11</v>
      </c>
      <c r="G294" s="12">
        <v>0</v>
      </c>
      <c r="H294" s="12">
        <v>4</v>
      </c>
      <c r="I294" s="12">
        <v>4</v>
      </c>
      <c r="J294" s="9">
        <v>0.0046</v>
      </c>
      <c r="K294" s="5">
        <v>6.51</v>
      </c>
      <c r="L294" s="5">
        <v>30.27</v>
      </c>
      <c r="M294" s="13">
        <f t="shared" si="52"/>
        <v>0.012791590110938</v>
      </c>
      <c r="N294" s="35">
        <f t="shared" si="62"/>
        <v>0.00757575757575758</v>
      </c>
      <c r="O294" s="5">
        <f t="shared" si="63"/>
        <v>11</v>
      </c>
      <c r="P294" s="5">
        <f t="shared" si="64"/>
        <v>859.94</v>
      </c>
      <c r="Q294" s="5" t="e">
        <f t="shared" si="65"/>
        <v>#DIV/0!</v>
      </c>
    </row>
    <row r="295" ht="14.45" customHeight="1" spans="1:17">
      <c r="A295" s="22">
        <f t="shared" si="61"/>
        <v>44490</v>
      </c>
      <c r="B295" s="5">
        <v>671.76</v>
      </c>
      <c r="C295" s="12">
        <v>39966</v>
      </c>
      <c r="D295" s="12">
        <v>132</v>
      </c>
      <c r="E295" s="12">
        <v>3</v>
      </c>
      <c r="F295" s="5">
        <v>31.9</v>
      </c>
      <c r="G295" s="12">
        <v>1</v>
      </c>
      <c r="H295" s="12">
        <v>0</v>
      </c>
      <c r="I295" s="12">
        <v>1</v>
      </c>
      <c r="J295" s="9">
        <v>0.0033</v>
      </c>
      <c r="K295" s="5">
        <v>5.09</v>
      </c>
      <c r="L295" s="5">
        <v>16.81</v>
      </c>
      <c r="M295" s="13">
        <f t="shared" si="52"/>
        <v>0.0474871978087412</v>
      </c>
      <c r="N295" s="35">
        <f t="shared" si="62"/>
        <v>0.0227272727272727</v>
      </c>
      <c r="O295" s="5">
        <f t="shared" si="63"/>
        <v>10.6333333333333</v>
      </c>
      <c r="P295" s="5">
        <f t="shared" si="64"/>
        <v>223.92</v>
      </c>
      <c r="Q295" s="5">
        <f t="shared" si="65"/>
        <v>671.76</v>
      </c>
    </row>
    <row r="296" ht="14.45" customHeight="1" spans="1:17">
      <c r="A296" s="22">
        <f t="shared" si="61"/>
        <v>44491</v>
      </c>
      <c r="B296" s="5">
        <v>1149.85</v>
      </c>
      <c r="C296" s="12">
        <v>116462</v>
      </c>
      <c r="D296" s="12">
        <v>185</v>
      </c>
      <c r="E296" s="12">
        <v>1</v>
      </c>
      <c r="F296" s="5">
        <v>9.9</v>
      </c>
      <c r="G296" s="12">
        <v>0</v>
      </c>
      <c r="H296" s="12">
        <v>3</v>
      </c>
      <c r="I296" s="12">
        <v>0</v>
      </c>
      <c r="J296" s="9">
        <v>0.0016</v>
      </c>
      <c r="K296" s="5">
        <v>6.22</v>
      </c>
      <c r="L296" s="5">
        <v>9.87</v>
      </c>
      <c r="M296" s="13">
        <f t="shared" si="52"/>
        <v>0.0086098186720007</v>
      </c>
      <c r="N296" s="35">
        <f t="shared" si="62"/>
        <v>0.00540540540540541</v>
      </c>
      <c r="O296" s="5">
        <f t="shared" si="63"/>
        <v>9.9</v>
      </c>
      <c r="P296" s="5">
        <f t="shared" si="64"/>
        <v>1149.85</v>
      </c>
      <c r="Q296" s="5" t="e">
        <f t="shared" si="65"/>
        <v>#DIV/0!</v>
      </c>
    </row>
    <row r="297" ht="14.45" customHeight="1" spans="1:17">
      <c r="A297" s="22">
        <f t="shared" si="61"/>
        <v>44492</v>
      </c>
      <c r="B297" s="5">
        <v>856.31</v>
      </c>
      <c r="C297" s="12">
        <v>84618</v>
      </c>
      <c r="D297" s="12">
        <v>151</v>
      </c>
      <c r="E297" s="12">
        <v>0</v>
      </c>
      <c r="F297" s="5">
        <v>0</v>
      </c>
      <c r="G297" s="12">
        <v>0</v>
      </c>
      <c r="H297" s="12">
        <v>0</v>
      </c>
      <c r="I297" s="12">
        <v>0</v>
      </c>
      <c r="J297" s="9">
        <v>0.0018</v>
      </c>
      <c r="K297" s="5">
        <v>5.67</v>
      </c>
      <c r="L297" s="5">
        <v>10.12</v>
      </c>
      <c r="M297" s="13">
        <f t="shared" si="52"/>
        <v>0</v>
      </c>
      <c r="N297" s="35">
        <f t="shared" si="62"/>
        <v>0</v>
      </c>
      <c r="O297" s="5" t="e">
        <f t="shared" si="63"/>
        <v>#DIV/0!</v>
      </c>
      <c r="P297" s="5" t="e">
        <f t="shared" si="64"/>
        <v>#DIV/0!</v>
      </c>
      <c r="Q297" s="5" t="e">
        <f t="shared" si="65"/>
        <v>#DIV/0!</v>
      </c>
    </row>
    <row r="298" ht="14.45" customHeight="1" spans="1:17">
      <c r="A298" s="22">
        <f t="shared" si="61"/>
        <v>44493</v>
      </c>
      <c r="B298" s="5">
        <v>859.66</v>
      </c>
      <c r="C298" s="12">
        <v>90065</v>
      </c>
      <c r="D298" s="12">
        <v>118</v>
      </c>
      <c r="E298" s="12">
        <v>1</v>
      </c>
      <c r="F298" s="5">
        <v>11</v>
      </c>
      <c r="G298" s="12">
        <v>0</v>
      </c>
      <c r="H298" s="12">
        <v>1</v>
      </c>
      <c r="I298" s="12">
        <v>0</v>
      </c>
      <c r="J298" s="9">
        <v>0.0013</v>
      </c>
      <c r="K298" s="5">
        <v>7.29</v>
      </c>
      <c r="L298" s="5">
        <v>9.54</v>
      </c>
      <c r="M298" s="13">
        <f t="shared" si="52"/>
        <v>0.012795756461857</v>
      </c>
      <c r="N298" s="35">
        <f t="shared" si="62"/>
        <v>0.00847457627118644</v>
      </c>
      <c r="O298" s="5">
        <f t="shared" si="63"/>
        <v>11</v>
      </c>
      <c r="P298" s="5">
        <f t="shared" si="64"/>
        <v>859.66</v>
      </c>
      <c r="Q298" s="5" t="e">
        <f t="shared" si="65"/>
        <v>#DIV/0!</v>
      </c>
    </row>
    <row r="299" ht="14.45" customHeight="1" spans="1:17">
      <c r="A299" s="22">
        <f t="shared" si="61"/>
        <v>44494</v>
      </c>
      <c r="B299" s="5">
        <v>599.54</v>
      </c>
      <c r="C299" s="12">
        <v>59936</v>
      </c>
      <c r="D299" s="12">
        <v>87</v>
      </c>
      <c r="E299" s="12">
        <v>0</v>
      </c>
      <c r="F299" s="5">
        <v>0</v>
      </c>
      <c r="G299" s="12">
        <v>0</v>
      </c>
      <c r="H299" s="12">
        <v>1</v>
      </c>
      <c r="I299" s="12">
        <v>1</v>
      </c>
      <c r="J299" s="9">
        <v>0.0015</v>
      </c>
      <c r="K299" s="5">
        <v>6.89</v>
      </c>
      <c r="L299" s="5">
        <v>10</v>
      </c>
      <c r="M299" s="13">
        <f t="shared" si="52"/>
        <v>0</v>
      </c>
      <c r="N299" s="35">
        <f t="shared" si="62"/>
        <v>0</v>
      </c>
      <c r="O299" s="5" t="e">
        <f t="shared" si="63"/>
        <v>#DIV/0!</v>
      </c>
      <c r="P299" s="5" t="e">
        <f t="shared" si="64"/>
        <v>#DIV/0!</v>
      </c>
      <c r="Q299" s="5" t="e">
        <f t="shared" si="65"/>
        <v>#DIV/0!</v>
      </c>
    </row>
    <row r="300" ht="14.45" customHeight="1" spans="1:17">
      <c r="A300" s="22">
        <f t="shared" si="61"/>
        <v>44495</v>
      </c>
      <c r="B300" s="5">
        <v>393.85</v>
      </c>
      <c r="C300" s="12">
        <v>41360</v>
      </c>
      <c r="D300" s="12">
        <v>57</v>
      </c>
      <c r="E300" s="12">
        <v>0</v>
      </c>
      <c r="F300" s="5">
        <v>0</v>
      </c>
      <c r="G300" s="12">
        <v>1</v>
      </c>
      <c r="H300" s="12">
        <v>1</v>
      </c>
      <c r="I300" s="12">
        <v>1</v>
      </c>
      <c r="J300" s="9">
        <v>0.0014</v>
      </c>
      <c r="K300" s="5">
        <v>6.91</v>
      </c>
      <c r="L300" s="5">
        <v>9.52</v>
      </c>
      <c r="M300" s="13">
        <f t="shared" si="52"/>
        <v>0</v>
      </c>
      <c r="N300" s="35">
        <f t="shared" si="62"/>
        <v>0</v>
      </c>
      <c r="O300" s="5" t="e">
        <f t="shared" si="63"/>
        <v>#DIV/0!</v>
      </c>
      <c r="P300" s="5" t="e">
        <f t="shared" si="64"/>
        <v>#DIV/0!</v>
      </c>
      <c r="Q300" s="5">
        <f t="shared" si="65"/>
        <v>393.85</v>
      </c>
    </row>
    <row r="301" ht="14.45" customHeight="1" spans="1:17">
      <c r="A301" s="22">
        <f t="shared" si="61"/>
        <v>44496</v>
      </c>
      <c r="B301" s="5">
        <v>383.83</v>
      </c>
      <c r="C301" s="12">
        <v>61583</v>
      </c>
      <c r="D301" s="12">
        <v>40</v>
      </c>
      <c r="E301" s="12">
        <v>0</v>
      </c>
      <c r="F301" s="5">
        <v>0</v>
      </c>
      <c r="G301" s="12">
        <v>0</v>
      </c>
      <c r="H301" s="12">
        <v>3</v>
      </c>
      <c r="I301" s="12">
        <v>2</v>
      </c>
      <c r="J301" s="9">
        <v>0.0006</v>
      </c>
      <c r="K301" s="5">
        <v>9.6</v>
      </c>
      <c r="L301" s="5">
        <v>6.23</v>
      </c>
      <c r="M301" s="13">
        <f t="shared" ref="M301:M366" si="66">F301/B301</f>
        <v>0</v>
      </c>
      <c r="N301" s="35">
        <f t="shared" si="62"/>
        <v>0</v>
      </c>
      <c r="O301" s="5" t="e">
        <f t="shared" si="63"/>
        <v>#DIV/0!</v>
      </c>
      <c r="P301" s="5" t="e">
        <f t="shared" si="64"/>
        <v>#DIV/0!</v>
      </c>
      <c r="Q301" s="5" t="e">
        <f t="shared" si="65"/>
        <v>#DIV/0!</v>
      </c>
    </row>
    <row r="302" ht="14.45" customHeight="1" spans="1:17">
      <c r="A302" s="22">
        <f t="shared" si="61"/>
        <v>44497</v>
      </c>
      <c r="B302" s="5">
        <v>399.94</v>
      </c>
      <c r="C302" s="12">
        <v>84368</v>
      </c>
      <c r="D302" s="12">
        <v>34</v>
      </c>
      <c r="E302" s="12">
        <v>0</v>
      </c>
      <c r="F302" s="5">
        <v>0</v>
      </c>
      <c r="G302" s="12">
        <v>0</v>
      </c>
      <c r="H302" s="12">
        <v>0</v>
      </c>
      <c r="I302" s="12">
        <v>1</v>
      </c>
      <c r="J302" s="9">
        <v>0.0004</v>
      </c>
      <c r="K302" s="5">
        <v>11.76</v>
      </c>
      <c r="L302" s="5">
        <v>4.74</v>
      </c>
      <c r="M302" s="13">
        <f t="shared" si="66"/>
        <v>0</v>
      </c>
      <c r="N302" s="35">
        <f t="shared" si="62"/>
        <v>0</v>
      </c>
      <c r="O302" s="5" t="e">
        <f t="shared" si="63"/>
        <v>#DIV/0!</v>
      </c>
      <c r="P302" s="5" t="e">
        <f t="shared" si="64"/>
        <v>#DIV/0!</v>
      </c>
      <c r="Q302" s="5" t="e">
        <f t="shared" si="65"/>
        <v>#DIV/0!</v>
      </c>
    </row>
    <row r="303" ht="14.45" customHeight="1" spans="1:17">
      <c r="A303" s="22">
        <f t="shared" si="61"/>
        <v>44498</v>
      </c>
      <c r="B303" s="5">
        <v>359.87</v>
      </c>
      <c r="C303" s="12">
        <v>100999</v>
      </c>
      <c r="D303" s="12">
        <v>43</v>
      </c>
      <c r="E303" s="12">
        <v>0</v>
      </c>
      <c r="F303" s="5">
        <v>0</v>
      </c>
      <c r="G303" s="12">
        <v>0</v>
      </c>
      <c r="H303" s="12">
        <v>0</v>
      </c>
      <c r="I303" s="12">
        <v>0</v>
      </c>
      <c r="J303" s="9">
        <v>0.0004</v>
      </c>
      <c r="K303" s="5">
        <v>8.37</v>
      </c>
      <c r="L303" s="5">
        <v>3.56</v>
      </c>
      <c r="M303" s="13">
        <f t="shared" si="66"/>
        <v>0</v>
      </c>
      <c r="N303" s="35">
        <f t="shared" si="62"/>
        <v>0</v>
      </c>
      <c r="O303" s="5" t="e">
        <f t="shared" si="63"/>
        <v>#DIV/0!</v>
      </c>
      <c r="P303" s="5" t="e">
        <f t="shared" si="64"/>
        <v>#DIV/0!</v>
      </c>
      <c r="Q303" s="5" t="e">
        <f t="shared" si="65"/>
        <v>#DIV/0!</v>
      </c>
    </row>
    <row r="304" ht="14.45" customHeight="1" spans="1:17">
      <c r="A304" s="22">
        <f t="shared" si="61"/>
        <v>44499</v>
      </c>
      <c r="B304" s="5">
        <v>299.08</v>
      </c>
      <c r="C304" s="12">
        <v>82287</v>
      </c>
      <c r="D304" s="12">
        <v>25</v>
      </c>
      <c r="E304" s="12">
        <v>0</v>
      </c>
      <c r="F304" s="5">
        <v>0</v>
      </c>
      <c r="G304" s="12">
        <v>0</v>
      </c>
      <c r="H304" s="12">
        <v>0</v>
      </c>
      <c r="I304" s="12">
        <v>0</v>
      </c>
      <c r="J304" s="9">
        <v>0.0003</v>
      </c>
      <c r="K304" s="5">
        <v>11.96</v>
      </c>
      <c r="L304" s="5">
        <v>3.63</v>
      </c>
      <c r="M304" s="13">
        <f t="shared" si="66"/>
        <v>0</v>
      </c>
      <c r="N304" s="35">
        <f t="shared" si="62"/>
        <v>0</v>
      </c>
      <c r="O304" s="5" t="e">
        <f t="shared" si="63"/>
        <v>#DIV/0!</v>
      </c>
      <c r="P304" s="5" t="e">
        <f t="shared" si="64"/>
        <v>#DIV/0!</v>
      </c>
      <c r="Q304" s="5" t="e">
        <f t="shared" si="65"/>
        <v>#DIV/0!</v>
      </c>
    </row>
    <row r="305" ht="14.45" customHeight="1" spans="1:17">
      <c r="A305" s="22">
        <f t="shared" si="61"/>
        <v>44500</v>
      </c>
      <c r="B305" s="5">
        <v>517.97</v>
      </c>
      <c r="C305" s="12">
        <v>109451</v>
      </c>
      <c r="D305" s="12">
        <v>39</v>
      </c>
      <c r="E305" s="12">
        <v>0</v>
      </c>
      <c r="F305" s="5">
        <v>0</v>
      </c>
      <c r="G305" s="12">
        <v>0</v>
      </c>
      <c r="H305" s="12">
        <v>0</v>
      </c>
      <c r="I305" s="12">
        <v>0</v>
      </c>
      <c r="J305" s="9">
        <v>0.0004</v>
      </c>
      <c r="K305" s="5">
        <v>13.28</v>
      </c>
      <c r="L305" s="5">
        <v>4.73</v>
      </c>
      <c r="M305" s="13">
        <f t="shared" si="66"/>
        <v>0</v>
      </c>
      <c r="N305" s="35">
        <f t="shared" si="62"/>
        <v>0</v>
      </c>
      <c r="O305" s="5" t="e">
        <f t="shared" si="63"/>
        <v>#DIV/0!</v>
      </c>
      <c r="P305" s="5" t="e">
        <f t="shared" si="64"/>
        <v>#DIV/0!</v>
      </c>
      <c r="Q305" s="5" t="e">
        <f t="shared" si="65"/>
        <v>#DIV/0!</v>
      </c>
    </row>
    <row r="306" ht="14.45" customHeight="1" spans="1:17">
      <c r="A306" s="22">
        <f t="shared" si="61"/>
        <v>44501</v>
      </c>
      <c r="B306" s="5">
        <v>979.13</v>
      </c>
      <c r="C306" s="12">
        <v>181354</v>
      </c>
      <c r="D306" s="12">
        <v>53</v>
      </c>
      <c r="E306" s="12">
        <v>0</v>
      </c>
      <c r="F306" s="5">
        <v>0</v>
      </c>
      <c r="G306" s="12">
        <v>0</v>
      </c>
      <c r="H306" s="12">
        <v>0</v>
      </c>
      <c r="I306" s="12">
        <v>0</v>
      </c>
      <c r="J306" s="9">
        <v>0.0003</v>
      </c>
      <c r="K306" s="5">
        <v>18.47</v>
      </c>
      <c r="L306" s="5">
        <v>5.4</v>
      </c>
      <c r="M306" s="13">
        <f t="shared" si="66"/>
        <v>0</v>
      </c>
      <c r="N306" s="35">
        <f t="shared" si="62"/>
        <v>0</v>
      </c>
      <c r="O306" s="5" t="e">
        <f t="shared" si="63"/>
        <v>#DIV/0!</v>
      </c>
      <c r="P306" s="5" t="e">
        <f t="shared" si="64"/>
        <v>#DIV/0!</v>
      </c>
      <c r="Q306" s="5" t="e">
        <f t="shared" si="65"/>
        <v>#DIV/0!</v>
      </c>
    </row>
    <row r="307" ht="14.45" customHeight="1" spans="1:17">
      <c r="A307" s="22">
        <f t="shared" si="61"/>
        <v>44502</v>
      </c>
      <c r="B307" s="5">
        <v>980.88</v>
      </c>
      <c r="C307" s="12">
        <v>107830</v>
      </c>
      <c r="D307" s="12">
        <v>144</v>
      </c>
      <c r="E307" s="12">
        <v>0</v>
      </c>
      <c r="F307" s="5">
        <v>0</v>
      </c>
      <c r="G307" s="12">
        <v>0</v>
      </c>
      <c r="H307" s="12">
        <v>0</v>
      </c>
      <c r="I307" s="12">
        <v>1</v>
      </c>
      <c r="J307" s="9">
        <v>0.0013</v>
      </c>
      <c r="K307" s="5">
        <v>6.81</v>
      </c>
      <c r="L307" s="5">
        <v>9.13</v>
      </c>
      <c r="M307" s="13">
        <f t="shared" si="66"/>
        <v>0</v>
      </c>
      <c r="N307" s="35">
        <f t="shared" si="62"/>
        <v>0</v>
      </c>
      <c r="O307" s="5" t="e">
        <f t="shared" si="63"/>
        <v>#DIV/0!</v>
      </c>
      <c r="P307" s="5" t="e">
        <f t="shared" si="64"/>
        <v>#DIV/0!</v>
      </c>
      <c r="Q307" s="5" t="e">
        <f t="shared" si="65"/>
        <v>#DIV/0!</v>
      </c>
    </row>
    <row r="308" ht="14.45" customHeight="1" spans="1:17">
      <c r="A308" s="22">
        <f t="shared" si="61"/>
        <v>44503</v>
      </c>
      <c r="B308" s="5">
        <v>896.16</v>
      </c>
      <c r="C308" s="12">
        <v>92320</v>
      </c>
      <c r="D308" s="12">
        <v>118</v>
      </c>
      <c r="E308" s="12">
        <v>4</v>
      </c>
      <c r="F308" s="5">
        <v>5711.12</v>
      </c>
      <c r="G308" s="12">
        <v>1</v>
      </c>
      <c r="H308" s="12">
        <v>1</v>
      </c>
      <c r="I308" s="12">
        <v>2</v>
      </c>
      <c r="J308" s="9">
        <v>0.0013</v>
      </c>
      <c r="K308" s="5">
        <v>7.59</v>
      </c>
      <c r="L308" s="5">
        <v>9.71</v>
      </c>
      <c r="M308" s="13">
        <f t="shared" si="66"/>
        <v>6.3728798428852</v>
      </c>
      <c r="N308" s="35">
        <f t="shared" si="62"/>
        <v>0.0338983050847458</v>
      </c>
      <c r="O308" s="5">
        <f t="shared" si="63"/>
        <v>1427.78</v>
      </c>
      <c r="P308" s="5">
        <f t="shared" si="64"/>
        <v>224.04</v>
      </c>
      <c r="Q308" s="5">
        <f t="shared" si="65"/>
        <v>896.16</v>
      </c>
    </row>
    <row r="309" ht="14.45" customHeight="1" spans="1:17">
      <c r="A309" s="22">
        <f t="shared" si="61"/>
        <v>44504</v>
      </c>
      <c r="B309" s="5">
        <v>871.66</v>
      </c>
      <c r="C309" s="12">
        <v>107264</v>
      </c>
      <c r="D309" s="12">
        <v>117</v>
      </c>
      <c r="E309" s="12">
        <v>1</v>
      </c>
      <c r="F309" s="5">
        <v>111</v>
      </c>
      <c r="G309" s="12">
        <v>1</v>
      </c>
      <c r="H309" s="12">
        <v>1</v>
      </c>
      <c r="I309" s="12">
        <v>4</v>
      </c>
      <c r="J309" s="9">
        <v>0.0011</v>
      </c>
      <c r="K309" s="5">
        <v>7.45</v>
      </c>
      <c r="L309" s="5">
        <v>8.13</v>
      </c>
      <c r="M309" s="13">
        <f t="shared" si="66"/>
        <v>0.127343230158548</v>
      </c>
      <c r="N309" s="35">
        <f t="shared" si="62"/>
        <v>0.00854700854700855</v>
      </c>
      <c r="O309" s="5">
        <f t="shared" si="63"/>
        <v>111</v>
      </c>
      <c r="P309" s="5">
        <f t="shared" si="64"/>
        <v>871.66</v>
      </c>
      <c r="Q309" s="5">
        <f t="shared" si="65"/>
        <v>871.66</v>
      </c>
    </row>
    <row r="310" ht="14.45" customHeight="1" spans="1:17">
      <c r="A310" s="22">
        <f t="shared" si="61"/>
        <v>44505</v>
      </c>
      <c r="B310" s="5">
        <v>864.17</v>
      </c>
      <c r="C310" s="12">
        <v>133777</v>
      </c>
      <c r="D310" s="12">
        <v>108</v>
      </c>
      <c r="E310" s="12">
        <v>2</v>
      </c>
      <c r="F310" s="5">
        <v>3814</v>
      </c>
      <c r="G310" s="12">
        <v>1</v>
      </c>
      <c r="H310" s="12">
        <v>0</v>
      </c>
      <c r="I310" s="12">
        <v>1</v>
      </c>
      <c r="J310" s="9">
        <v>0.0008</v>
      </c>
      <c r="K310" s="5">
        <v>8</v>
      </c>
      <c r="L310" s="5">
        <v>6.46</v>
      </c>
      <c r="M310" s="13">
        <f t="shared" si="66"/>
        <v>4.41348345811588</v>
      </c>
      <c r="N310" s="35">
        <f t="shared" si="62"/>
        <v>0.0185185185185185</v>
      </c>
      <c r="O310" s="5">
        <f t="shared" si="63"/>
        <v>1907</v>
      </c>
      <c r="P310" s="5">
        <f t="shared" si="64"/>
        <v>432.085</v>
      </c>
      <c r="Q310" s="5">
        <f t="shared" si="65"/>
        <v>864.17</v>
      </c>
    </row>
    <row r="311" ht="14.45" customHeight="1" spans="1:17">
      <c r="A311" s="22">
        <f t="shared" si="61"/>
        <v>44506</v>
      </c>
      <c r="B311" s="5">
        <v>812.77</v>
      </c>
      <c r="C311" s="12">
        <v>128142</v>
      </c>
      <c r="D311" s="12">
        <v>99</v>
      </c>
      <c r="E311" s="12">
        <v>0</v>
      </c>
      <c r="F311" s="5">
        <v>0</v>
      </c>
      <c r="G311" s="12">
        <v>0</v>
      </c>
      <c r="H311" s="12">
        <v>0</v>
      </c>
      <c r="I311" s="12">
        <v>0</v>
      </c>
      <c r="J311" s="9">
        <v>0.0008</v>
      </c>
      <c r="K311" s="5">
        <v>8.21</v>
      </c>
      <c r="L311" s="5">
        <v>6.34</v>
      </c>
      <c r="M311" s="13">
        <f t="shared" si="66"/>
        <v>0</v>
      </c>
      <c r="N311" s="35">
        <f t="shared" si="62"/>
        <v>0</v>
      </c>
      <c r="O311" s="5" t="e">
        <f t="shared" si="63"/>
        <v>#DIV/0!</v>
      </c>
      <c r="P311" s="5" t="e">
        <f t="shared" si="64"/>
        <v>#DIV/0!</v>
      </c>
      <c r="Q311" s="5" t="e">
        <f t="shared" si="65"/>
        <v>#DIV/0!</v>
      </c>
    </row>
    <row r="312" ht="14.45" customHeight="1" spans="1:17">
      <c r="A312" s="22">
        <f t="shared" si="61"/>
        <v>44507</v>
      </c>
      <c r="B312" s="5">
        <v>1174.29</v>
      </c>
      <c r="C312" s="12">
        <v>130853</v>
      </c>
      <c r="D312" s="12">
        <v>101</v>
      </c>
      <c r="E312" s="12">
        <v>3</v>
      </c>
      <c r="F312" s="5">
        <v>2014</v>
      </c>
      <c r="G312" s="12">
        <v>2</v>
      </c>
      <c r="H312" s="12">
        <v>1</v>
      </c>
      <c r="I312" s="12">
        <v>3</v>
      </c>
      <c r="J312" s="9">
        <v>0.0008</v>
      </c>
      <c r="K312" s="5">
        <v>11.63</v>
      </c>
      <c r="L312" s="5">
        <v>8.97</v>
      </c>
      <c r="M312" s="13">
        <f t="shared" si="66"/>
        <v>1.71507889873881</v>
      </c>
      <c r="N312" s="35">
        <f t="shared" si="62"/>
        <v>0.0297029702970297</v>
      </c>
      <c r="O312" s="5">
        <f t="shared" si="63"/>
        <v>671.333333333333</v>
      </c>
      <c r="P312" s="5">
        <f t="shared" si="64"/>
        <v>391.43</v>
      </c>
      <c r="Q312" s="5">
        <f t="shared" si="65"/>
        <v>587.145</v>
      </c>
    </row>
    <row r="313" ht="14.45" customHeight="1" spans="1:17">
      <c r="A313" s="22">
        <f t="shared" si="61"/>
        <v>44508</v>
      </c>
      <c r="B313" s="5">
        <v>1151.73</v>
      </c>
      <c r="C313" s="12">
        <v>134780</v>
      </c>
      <c r="D313" s="12">
        <v>101</v>
      </c>
      <c r="E313" s="12">
        <v>1</v>
      </c>
      <c r="F313" s="5">
        <v>111</v>
      </c>
      <c r="G313" s="12">
        <v>1</v>
      </c>
      <c r="H313" s="12">
        <v>1</v>
      </c>
      <c r="I313" s="12">
        <v>0</v>
      </c>
      <c r="J313" s="9">
        <v>0.0007</v>
      </c>
      <c r="K313" s="5">
        <v>11.4</v>
      </c>
      <c r="L313" s="5">
        <v>8.55</v>
      </c>
      <c r="M313" s="13">
        <f t="shared" si="66"/>
        <v>0.0963767549686124</v>
      </c>
      <c r="N313" s="35">
        <f t="shared" si="62"/>
        <v>0.0099009900990099</v>
      </c>
      <c r="O313" s="5">
        <f t="shared" si="63"/>
        <v>111</v>
      </c>
      <c r="P313" s="5">
        <f t="shared" si="64"/>
        <v>1151.73</v>
      </c>
      <c r="Q313" s="5">
        <f t="shared" si="65"/>
        <v>1151.73</v>
      </c>
    </row>
    <row r="314" ht="14.45" customHeight="1" spans="1:17">
      <c r="A314" s="22">
        <f t="shared" si="61"/>
        <v>44509</v>
      </c>
      <c r="B314" s="5">
        <v>1174.96</v>
      </c>
      <c r="C314" s="12">
        <v>112588</v>
      </c>
      <c r="D314" s="12">
        <v>101</v>
      </c>
      <c r="E314" s="12">
        <v>4</v>
      </c>
      <c r="F314" s="5">
        <v>3963</v>
      </c>
      <c r="G314" s="12">
        <v>2</v>
      </c>
      <c r="H314" s="12">
        <v>2</v>
      </c>
      <c r="I314" s="12">
        <v>3</v>
      </c>
      <c r="J314" s="9">
        <v>0.0009</v>
      </c>
      <c r="K314" s="5">
        <v>11.63</v>
      </c>
      <c r="L314" s="5">
        <v>10.44</v>
      </c>
      <c r="M314" s="13">
        <f t="shared" si="66"/>
        <v>3.37288077892013</v>
      </c>
      <c r="N314" s="35">
        <f t="shared" si="62"/>
        <v>0.0396039603960396</v>
      </c>
      <c r="O314" s="5">
        <f t="shared" si="63"/>
        <v>990.75</v>
      </c>
      <c r="P314" s="5">
        <f t="shared" si="64"/>
        <v>293.74</v>
      </c>
      <c r="Q314" s="5">
        <f t="shared" si="65"/>
        <v>587.48</v>
      </c>
    </row>
    <row r="315" ht="14.45" customHeight="1" spans="1:17">
      <c r="A315" s="22">
        <f t="shared" si="61"/>
        <v>44510</v>
      </c>
      <c r="B315" s="5">
        <v>1232.78</v>
      </c>
      <c r="C315" s="12">
        <v>83090</v>
      </c>
      <c r="D315" s="12">
        <v>139</v>
      </c>
      <c r="E315" s="12">
        <v>14</v>
      </c>
      <c r="F315" s="5">
        <v>12402.03</v>
      </c>
      <c r="G315" s="12">
        <v>8</v>
      </c>
      <c r="H315" s="12">
        <v>4</v>
      </c>
      <c r="I315" s="12">
        <v>3</v>
      </c>
      <c r="J315" s="9">
        <v>0.0017</v>
      </c>
      <c r="K315" s="5">
        <v>8.87</v>
      </c>
      <c r="L315" s="5">
        <v>14.84</v>
      </c>
      <c r="M315" s="13">
        <f t="shared" si="66"/>
        <v>10.0602135011924</v>
      </c>
      <c r="N315" s="35">
        <f t="shared" si="62"/>
        <v>0.100719424460432</v>
      </c>
      <c r="O315" s="5">
        <f t="shared" si="63"/>
        <v>885.859285714286</v>
      </c>
      <c r="P315" s="5">
        <f t="shared" si="64"/>
        <v>88.0557142857143</v>
      </c>
      <c r="Q315" s="5">
        <f t="shared" si="65"/>
        <v>154.0975</v>
      </c>
    </row>
    <row r="316" ht="14.45" customHeight="1" spans="1:17">
      <c r="A316" s="22">
        <f t="shared" si="61"/>
        <v>44511</v>
      </c>
      <c r="B316" s="5">
        <v>1452.48</v>
      </c>
      <c r="C316" s="12">
        <v>66903</v>
      </c>
      <c r="D316" s="12">
        <v>213</v>
      </c>
      <c r="E316" s="12">
        <v>17</v>
      </c>
      <c r="F316" s="5">
        <v>9362.9</v>
      </c>
      <c r="G316" s="12">
        <v>12</v>
      </c>
      <c r="H316" s="12">
        <v>2</v>
      </c>
      <c r="I316" s="12">
        <v>4</v>
      </c>
      <c r="J316" s="9">
        <v>0.0032</v>
      </c>
      <c r="K316" s="5">
        <v>6.82</v>
      </c>
      <c r="L316" s="5">
        <v>21.71</v>
      </c>
      <c r="M316" s="13">
        <f t="shared" si="66"/>
        <v>6.44614727913637</v>
      </c>
      <c r="N316" s="35">
        <f t="shared" si="62"/>
        <v>0.07981220657277</v>
      </c>
      <c r="O316" s="5">
        <f t="shared" si="63"/>
        <v>550.758823529412</v>
      </c>
      <c r="P316" s="5">
        <f t="shared" si="64"/>
        <v>85.44</v>
      </c>
      <c r="Q316" s="5">
        <f t="shared" si="65"/>
        <v>121.04</v>
      </c>
    </row>
    <row r="317" ht="14.45" customHeight="1" spans="1:17">
      <c r="A317" s="22">
        <f t="shared" si="61"/>
        <v>44512</v>
      </c>
      <c r="B317" s="5">
        <v>769.6</v>
      </c>
      <c r="C317" s="12">
        <v>88541</v>
      </c>
      <c r="D317" s="12">
        <v>294</v>
      </c>
      <c r="E317" s="12">
        <v>1</v>
      </c>
      <c r="F317" s="5">
        <v>11</v>
      </c>
      <c r="G317" s="12">
        <v>0</v>
      </c>
      <c r="H317" s="12">
        <v>1</v>
      </c>
      <c r="I317" s="12">
        <v>5</v>
      </c>
      <c r="J317" s="9">
        <v>0.0033</v>
      </c>
      <c r="K317" s="5">
        <v>2.62</v>
      </c>
      <c r="L317" s="5">
        <v>8.69</v>
      </c>
      <c r="M317" s="13">
        <f t="shared" si="66"/>
        <v>0.0142931392931393</v>
      </c>
      <c r="N317" s="35">
        <f t="shared" si="62"/>
        <v>0.00340136054421769</v>
      </c>
      <c r="O317" s="5">
        <f t="shared" si="63"/>
        <v>11</v>
      </c>
      <c r="P317" s="5">
        <f t="shared" si="64"/>
        <v>769.6</v>
      </c>
      <c r="Q317" s="5" t="e">
        <f t="shared" si="65"/>
        <v>#DIV/0!</v>
      </c>
    </row>
    <row r="318" ht="14.45" customHeight="1" spans="1:17">
      <c r="A318" s="22">
        <f t="shared" si="61"/>
        <v>44513</v>
      </c>
      <c r="B318" s="5">
        <v>478.52</v>
      </c>
      <c r="C318" s="12">
        <v>80760</v>
      </c>
      <c r="D318" s="12">
        <v>187</v>
      </c>
      <c r="E318" s="12">
        <v>0</v>
      </c>
      <c r="F318" s="5">
        <v>0</v>
      </c>
      <c r="G318" s="12">
        <v>0</v>
      </c>
      <c r="H318" s="12">
        <v>1</v>
      </c>
      <c r="I318" s="12">
        <v>4</v>
      </c>
      <c r="J318" s="9">
        <v>0.0023</v>
      </c>
      <c r="K318" s="5">
        <v>2.56</v>
      </c>
      <c r="L318" s="5">
        <v>5.93</v>
      </c>
      <c r="M318" s="13">
        <f t="shared" si="66"/>
        <v>0</v>
      </c>
      <c r="N318" s="35">
        <f t="shared" si="62"/>
        <v>0</v>
      </c>
      <c r="O318" s="5" t="e">
        <f t="shared" si="63"/>
        <v>#DIV/0!</v>
      </c>
      <c r="P318" s="5" t="e">
        <f t="shared" si="64"/>
        <v>#DIV/0!</v>
      </c>
      <c r="Q318" s="5" t="e">
        <f t="shared" si="65"/>
        <v>#DIV/0!</v>
      </c>
    </row>
    <row r="319" ht="14.45" customHeight="1" spans="1:17">
      <c r="A319" s="22">
        <f t="shared" si="61"/>
        <v>44514</v>
      </c>
      <c r="B319" s="5">
        <v>477</v>
      </c>
      <c r="C319" s="12">
        <v>44059</v>
      </c>
      <c r="D319" s="12">
        <v>219</v>
      </c>
      <c r="E319" s="12">
        <v>0</v>
      </c>
      <c r="F319" s="5">
        <v>0</v>
      </c>
      <c r="G319" s="12">
        <v>0</v>
      </c>
      <c r="H319" s="12">
        <v>0</v>
      </c>
      <c r="I319" s="12">
        <v>2</v>
      </c>
      <c r="J319" s="9">
        <v>0.005</v>
      </c>
      <c r="K319" s="5">
        <v>2.18</v>
      </c>
      <c r="L319" s="5">
        <v>10.83</v>
      </c>
      <c r="M319" s="13">
        <f t="shared" si="66"/>
        <v>0</v>
      </c>
      <c r="N319" s="35">
        <f t="shared" si="62"/>
        <v>0</v>
      </c>
      <c r="O319" s="5" t="e">
        <f t="shared" si="63"/>
        <v>#DIV/0!</v>
      </c>
      <c r="P319" s="5" t="e">
        <f t="shared" si="64"/>
        <v>#DIV/0!</v>
      </c>
      <c r="Q319" s="5" t="e">
        <f t="shared" si="65"/>
        <v>#DIV/0!</v>
      </c>
    </row>
    <row r="320" ht="14.45" customHeight="1" spans="1:17">
      <c r="A320" s="22">
        <f t="shared" si="61"/>
        <v>44515</v>
      </c>
      <c r="B320" s="5">
        <v>296.98</v>
      </c>
      <c r="C320" s="12">
        <v>28891</v>
      </c>
      <c r="D320" s="12">
        <v>109</v>
      </c>
      <c r="E320" s="12">
        <v>1</v>
      </c>
      <c r="F320" s="5">
        <v>11</v>
      </c>
      <c r="G320" s="12">
        <v>1</v>
      </c>
      <c r="H320" s="12">
        <v>2</v>
      </c>
      <c r="I320" s="12">
        <v>4</v>
      </c>
      <c r="J320" s="9">
        <v>0.0038</v>
      </c>
      <c r="K320" s="5">
        <v>2.72</v>
      </c>
      <c r="L320" s="5">
        <v>10.28</v>
      </c>
      <c r="M320" s="13">
        <f t="shared" si="66"/>
        <v>0.0370395312815678</v>
      </c>
      <c r="N320" s="35">
        <f t="shared" si="62"/>
        <v>0.00917431192660551</v>
      </c>
      <c r="O320" s="5">
        <f t="shared" si="63"/>
        <v>11</v>
      </c>
      <c r="P320" s="5">
        <f t="shared" si="64"/>
        <v>296.98</v>
      </c>
      <c r="Q320" s="5">
        <f t="shared" si="65"/>
        <v>296.98</v>
      </c>
    </row>
    <row r="321" ht="14.45" customHeight="1" spans="1:17">
      <c r="A321" s="22">
        <f t="shared" si="61"/>
        <v>44516</v>
      </c>
      <c r="B321" s="5">
        <v>290.51</v>
      </c>
      <c r="C321" s="12">
        <v>28007</v>
      </c>
      <c r="D321" s="12">
        <v>164</v>
      </c>
      <c r="E321" s="12">
        <v>1</v>
      </c>
      <c r="F321" s="5">
        <v>11</v>
      </c>
      <c r="G321" s="12">
        <v>1</v>
      </c>
      <c r="H321" s="12">
        <v>1</v>
      </c>
      <c r="I321" s="12">
        <v>1</v>
      </c>
      <c r="J321" s="9">
        <v>0.0059</v>
      </c>
      <c r="K321" s="5">
        <v>1.77</v>
      </c>
      <c r="L321" s="5">
        <v>10.37</v>
      </c>
      <c r="M321" s="13">
        <f t="shared" si="66"/>
        <v>0.0378644452858766</v>
      </c>
      <c r="N321" s="35">
        <f t="shared" si="62"/>
        <v>0.00609756097560976</v>
      </c>
      <c r="O321" s="5">
        <f t="shared" si="63"/>
        <v>11</v>
      </c>
      <c r="P321" s="5">
        <f t="shared" si="64"/>
        <v>290.51</v>
      </c>
      <c r="Q321" s="5">
        <f t="shared" si="65"/>
        <v>290.51</v>
      </c>
    </row>
    <row r="322" ht="14.45" customHeight="1" spans="1:17">
      <c r="A322" s="22">
        <f t="shared" si="61"/>
        <v>44517</v>
      </c>
      <c r="B322" s="5">
        <v>5.57</v>
      </c>
      <c r="C322" s="12">
        <v>482</v>
      </c>
      <c r="D322" s="12">
        <v>1</v>
      </c>
      <c r="E322" s="12">
        <v>0</v>
      </c>
      <c r="F322" s="5">
        <v>0</v>
      </c>
      <c r="G322" s="12">
        <v>0</v>
      </c>
      <c r="H322" s="12">
        <v>0</v>
      </c>
      <c r="I322" s="12">
        <v>0</v>
      </c>
      <c r="J322" s="9">
        <v>0.0021</v>
      </c>
      <c r="K322" s="5">
        <v>5.57</v>
      </c>
      <c r="L322" s="5">
        <v>11.56</v>
      </c>
      <c r="M322" s="13">
        <f t="shared" si="66"/>
        <v>0</v>
      </c>
      <c r="N322" s="35">
        <f t="shared" si="62"/>
        <v>0</v>
      </c>
      <c r="O322" s="5" t="e">
        <f t="shared" si="63"/>
        <v>#DIV/0!</v>
      </c>
      <c r="P322" s="5" t="e">
        <f t="shared" si="64"/>
        <v>#DIV/0!</v>
      </c>
      <c r="Q322" s="5" t="e">
        <f t="shared" si="65"/>
        <v>#DIV/0!</v>
      </c>
    </row>
    <row r="323" ht="14.45" customHeight="1" spans="1:17">
      <c r="A323" s="22">
        <f t="shared" si="61"/>
        <v>44518</v>
      </c>
      <c r="B323" s="5">
        <v>0</v>
      </c>
      <c r="C323" s="12">
        <v>0</v>
      </c>
      <c r="D323" s="12">
        <v>0</v>
      </c>
      <c r="E323" s="12">
        <v>0</v>
      </c>
      <c r="F323" s="5">
        <v>0</v>
      </c>
      <c r="G323" s="12">
        <v>0</v>
      </c>
      <c r="H323" s="12">
        <v>0</v>
      </c>
      <c r="I323" s="12">
        <v>0</v>
      </c>
      <c r="J323" s="9">
        <v>0</v>
      </c>
      <c r="K323" s="5">
        <v>0</v>
      </c>
      <c r="L323" s="5">
        <v>0</v>
      </c>
      <c r="M323" s="13" t="e">
        <f t="shared" si="66"/>
        <v>#DIV/0!</v>
      </c>
      <c r="N323" s="35" t="e">
        <f t="shared" si="62"/>
        <v>#DIV/0!</v>
      </c>
      <c r="O323" s="5" t="e">
        <f t="shared" si="63"/>
        <v>#DIV/0!</v>
      </c>
      <c r="P323" s="5" t="e">
        <f t="shared" si="64"/>
        <v>#DIV/0!</v>
      </c>
      <c r="Q323" s="5" t="e">
        <f t="shared" si="65"/>
        <v>#DIV/0!</v>
      </c>
    </row>
    <row r="324" ht="14.45" customHeight="1" spans="1:17">
      <c r="A324" s="22">
        <f t="shared" si="61"/>
        <v>44519</v>
      </c>
      <c r="B324" s="5">
        <v>296.89</v>
      </c>
      <c r="C324" s="12">
        <v>27532</v>
      </c>
      <c r="D324" s="12">
        <v>138</v>
      </c>
      <c r="E324" s="12">
        <v>0</v>
      </c>
      <c r="F324" s="5">
        <v>0</v>
      </c>
      <c r="G324" s="12">
        <v>0</v>
      </c>
      <c r="H324" s="12">
        <v>2</v>
      </c>
      <c r="I324" s="12">
        <v>7</v>
      </c>
      <c r="J324" s="9">
        <v>0.005</v>
      </c>
      <c r="K324" s="5">
        <v>2.15</v>
      </c>
      <c r="L324" s="5">
        <v>10.78</v>
      </c>
      <c r="M324" s="13">
        <f t="shared" si="66"/>
        <v>0</v>
      </c>
      <c r="N324" s="35">
        <f t="shared" si="62"/>
        <v>0</v>
      </c>
      <c r="O324" s="5" t="e">
        <f t="shared" si="63"/>
        <v>#DIV/0!</v>
      </c>
      <c r="P324" s="5" t="e">
        <f t="shared" si="64"/>
        <v>#DIV/0!</v>
      </c>
      <c r="Q324" s="5" t="e">
        <f t="shared" si="65"/>
        <v>#DIV/0!</v>
      </c>
    </row>
    <row r="325" ht="14.45" customHeight="1" spans="1:17">
      <c r="A325" s="22">
        <f t="shared" si="61"/>
        <v>44520</v>
      </c>
      <c r="B325" s="5">
        <v>6.16</v>
      </c>
      <c r="C325" s="12">
        <v>482</v>
      </c>
      <c r="D325" s="12">
        <v>0</v>
      </c>
      <c r="E325" s="12">
        <v>0</v>
      </c>
      <c r="F325" s="5">
        <v>0</v>
      </c>
      <c r="G325" s="12">
        <v>0</v>
      </c>
      <c r="H325" s="12">
        <v>0</v>
      </c>
      <c r="I325" s="12">
        <v>0</v>
      </c>
      <c r="J325" s="9">
        <v>0</v>
      </c>
      <c r="K325" s="5">
        <v>0</v>
      </c>
      <c r="L325" s="5">
        <v>12.78</v>
      </c>
      <c r="M325" s="13">
        <f t="shared" si="66"/>
        <v>0</v>
      </c>
      <c r="N325" s="35" t="e">
        <f t="shared" si="62"/>
        <v>#DIV/0!</v>
      </c>
      <c r="O325" s="5" t="e">
        <f t="shared" si="63"/>
        <v>#DIV/0!</v>
      </c>
      <c r="P325" s="5" t="e">
        <f t="shared" si="64"/>
        <v>#DIV/0!</v>
      </c>
      <c r="Q325" s="5" t="e">
        <f t="shared" si="65"/>
        <v>#DIV/0!</v>
      </c>
    </row>
    <row r="326" ht="14.45" customHeight="1" spans="1:17">
      <c r="A326" s="22">
        <f t="shared" si="61"/>
        <v>44521</v>
      </c>
      <c r="B326" s="5">
        <v>0</v>
      </c>
      <c r="C326" s="12">
        <v>0</v>
      </c>
      <c r="D326" s="12">
        <v>0</v>
      </c>
      <c r="E326" s="12">
        <v>0</v>
      </c>
      <c r="F326" s="5">
        <v>0</v>
      </c>
      <c r="G326" s="12">
        <v>0</v>
      </c>
      <c r="H326" s="12">
        <v>0</v>
      </c>
      <c r="I326" s="12">
        <v>0</v>
      </c>
      <c r="J326" s="9">
        <v>0</v>
      </c>
      <c r="K326" s="5">
        <v>0</v>
      </c>
      <c r="L326" s="5">
        <v>0</v>
      </c>
      <c r="M326" s="13" t="e">
        <f t="shared" si="66"/>
        <v>#DIV/0!</v>
      </c>
      <c r="N326" s="35" t="e">
        <f t="shared" si="62"/>
        <v>#DIV/0!</v>
      </c>
      <c r="O326" s="5" t="e">
        <f t="shared" si="63"/>
        <v>#DIV/0!</v>
      </c>
      <c r="P326" s="5" t="e">
        <f t="shared" si="64"/>
        <v>#DIV/0!</v>
      </c>
      <c r="Q326" s="5" t="e">
        <f t="shared" si="65"/>
        <v>#DIV/0!</v>
      </c>
    </row>
    <row r="327" ht="14.45" customHeight="1" spans="1:17">
      <c r="A327" s="22">
        <f t="shared" si="61"/>
        <v>44522</v>
      </c>
      <c r="B327" s="5">
        <v>298.06</v>
      </c>
      <c r="C327" s="12">
        <v>23851</v>
      </c>
      <c r="D327" s="12">
        <v>107</v>
      </c>
      <c r="E327" s="12">
        <v>0</v>
      </c>
      <c r="F327" s="5">
        <v>0</v>
      </c>
      <c r="G327" s="12">
        <v>0</v>
      </c>
      <c r="H327" s="12">
        <v>0</v>
      </c>
      <c r="I327" s="12">
        <v>4</v>
      </c>
      <c r="J327" s="9">
        <v>0.0045</v>
      </c>
      <c r="K327" s="5">
        <v>2.79</v>
      </c>
      <c r="L327" s="5">
        <v>12.5</v>
      </c>
      <c r="M327" s="13">
        <f t="shared" si="66"/>
        <v>0</v>
      </c>
      <c r="N327" s="35">
        <f t="shared" si="62"/>
        <v>0</v>
      </c>
      <c r="O327" s="5" t="e">
        <f t="shared" si="63"/>
        <v>#DIV/0!</v>
      </c>
      <c r="P327" s="5" t="e">
        <f t="shared" si="64"/>
        <v>#DIV/0!</v>
      </c>
      <c r="Q327" s="5" t="e">
        <f t="shared" si="65"/>
        <v>#DIV/0!</v>
      </c>
    </row>
    <row r="328" ht="14.45" customHeight="1" spans="1:17">
      <c r="A328" s="22">
        <f t="shared" si="61"/>
        <v>44523</v>
      </c>
      <c r="B328" s="5">
        <v>6.31</v>
      </c>
      <c r="C328" s="12">
        <v>451</v>
      </c>
      <c r="D328" s="12">
        <v>2</v>
      </c>
      <c r="E328" s="12">
        <v>0</v>
      </c>
      <c r="F328" s="5">
        <v>0</v>
      </c>
      <c r="G328" s="12">
        <v>0</v>
      </c>
      <c r="H328" s="12">
        <v>0</v>
      </c>
      <c r="I328" s="12">
        <v>0</v>
      </c>
      <c r="J328" s="9">
        <v>0.0044</v>
      </c>
      <c r="K328" s="5">
        <v>3.15</v>
      </c>
      <c r="L328" s="5">
        <v>13.99</v>
      </c>
      <c r="M328" s="13">
        <f t="shared" si="66"/>
        <v>0</v>
      </c>
      <c r="N328" s="35">
        <f t="shared" si="62"/>
        <v>0</v>
      </c>
      <c r="O328" s="5" t="e">
        <f t="shared" si="63"/>
        <v>#DIV/0!</v>
      </c>
      <c r="P328" s="5" t="e">
        <f t="shared" si="64"/>
        <v>#DIV/0!</v>
      </c>
      <c r="Q328" s="5" t="e">
        <f t="shared" si="65"/>
        <v>#DIV/0!</v>
      </c>
    </row>
    <row r="329" ht="14.45" customHeight="1" spans="1:17">
      <c r="A329" s="22">
        <f t="shared" si="61"/>
        <v>44524</v>
      </c>
      <c r="B329" s="5">
        <v>300</v>
      </c>
      <c r="C329" s="12">
        <v>39046</v>
      </c>
      <c r="D329" s="12">
        <v>114</v>
      </c>
      <c r="E329" s="12">
        <v>1</v>
      </c>
      <c r="F329" s="5">
        <v>999</v>
      </c>
      <c r="G329" s="12">
        <v>1</v>
      </c>
      <c r="H329" s="12">
        <v>1</v>
      </c>
      <c r="I329" s="12">
        <v>8</v>
      </c>
      <c r="J329" s="9">
        <v>0.0029</v>
      </c>
      <c r="K329" s="5">
        <v>2.63</v>
      </c>
      <c r="L329" s="5">
        <v>7.68</v>
      </c>
      <c r="M329" s="13">
        <f t="shared" si="66"/>
        <v>3.33</v>
      </c>
      <c r="N329" s="35">
        <f t="shared" si="62"/>
        <v>0.0087719298245614</v>
      </c>
      <c r="O329" s="5">
        <f t="shared" si="63"/>
        <v>999</v>
      </c>
      <c r="P329" s="5">
        <f t="shared" si="64"/>
        <v>300</v>
      </c>
      <c r="Q329" s="5">
        <f t="shared" si="65"/>
        <v>300</v>
      </c>
    </row>
    <row r="330" ht="14.45" customHeight="1" spans="1:17">
      <c r="A330" s="22">
        <f t="shared" ref="A330:A368" si="67">A329+1</f>
        <v>44525</v>
      </c>
      <c r="B330" s="5">
        <v>4.12</v>
      </c>
      <c r="C330" s="12">
        <v>344</v>
      </c>
      <c r="D330" s="12">
        <v>0</v>
      </c>
      <c r="E330" s="12">
        <v>0</v>
      </c>
      <c r="F330" s="5">
        <v>0</v>
      </c>
      <c r="G330" s="12">
        <v>0</v>
      </c>
      <c r="H330" s="12">
        <v>0</v>
      </c>
      <c r="I330" s="12">
        <v>0</v>
      </c>
      <c r="J330" s="9">
        <v>0</v>
      </c>
      <c r="K330" s="5">
        <v>0</v>
      </c>
      <c r="L330" s="5">
        <v>11.99</v>
      </c>
      <c r="M330" s="13">
        <f t="shared" si="66"/>
        <v>0</v>
      </c>
      <c r="N330" s="35" t="e">
        <f t="shared" si="62"/>
        <v>#DIV/0!</v>
      </c>
      <c r="O330" s="5" t="e">
        <f t="shared" si="63"/>
        <v>#DIV/0!</v>
      </c>
      <c r="P330" s="5" t="e">
        <f t="shared" si="64"/>
        <v>#DIV/0!</v>
      </c>
      <c r="Q330" s="5" t="e">
        <f t="shared" si="65"/>
        <v>#DIV/0!</v>
      </c>
    </row>
    <row r="331" ht="14.45" customHeight="1" spans="1:17">
      <c r="A331" s="22">
        <f t="shared" si="67"/>
        <v>44526</v>
      </c>
      <c r="B331" s="5">
        <v>299.19</v>
      </c>
      <c r="C331" s="12">
        <v>38869</v>
      </c>
      <c r="D331" s="12">
        <v>93</v>
      </c>
      <c r="E331" s="12">
        <v>0</v>
      </c>
      <c r="F331" s="5">
        <v>0</v>
      </c>
      <c r="G331" s="12">
        <v>0</v>
      </c>
      <c r="H331" s="12">
        <v>1</v>
      </c>
      <c r="I331" s="12">
        <v>2</v>
      </c>
      <c r="J331" s="9">
        <v>0.0024</v>
      </c>
      <c r="K331" s="5">
        <v>3.22</v>
      </c>
      <c r="L331" s="5">
        <v>7.7</v>
      </c>
      <c r="M331" s="13">
        <f t="shared" si="66"/>
        <v>0</v>
      </c>
      <c r="N331" s="35">
        <f t="shared" si="62"/>
        <v>0</v>
      </c>
      <c r="O331" s="5" t="e">
        <f t="shared" si="63"/>
        <v>#DIV/0!</v>
      </c>
      <c r="P331" s="5" t="e">
        <f t="shared" si="64"/>
        <v>#DIV/0!</v>
      </c>
      <c r="Q331" s="5" t="e">
        <f t="shared" si="65"/>
        <v>#DIV/0!</v>
      </c>
    </row>
    <row r="332" ht="14.45" customHeight="1" spans="1:17">
      <c r="A332" s="22">
        <f t="shared" si="67"/>
        <v>44527</v>
      </c>
      <c r="B332" s="5">
        <v>5.82</v>
      </c>
      <c r="C332" s="12">
        <v>603</v>
      </c>
      <c r="D332" s="12">
        <v>3</v>
      </c>
      <c r="E332" s="12">
        <v>0</v>
      </c>
      <c r="F332" s="5">
        <v>0</v>
      </c>
      <c r="G332" s="12">
        <v>0</v>
      </c>
      <c r="H332" s="12">
        <v>0</v>
      </c>
      <c r="I332" s="12">
        <v>0</v>
      </c>
      <c r="J332" s="9">
        <v>0.005</v>
      </c>
      <c r="K332" s="5">
        <v>1.94</v>
      </c>
      <c r="L332" s="5">
        <v>9.65</v>
      </c>
      <c r="M332" s="13">
        <f t="shared" si="66"/>
        <v>0</v>
      </c>
      <c r="N332" s="35">
        <f t="shared" si="62"/>
        <v>0</v>
      </c>
      <c r="O332" s="5" t="e">
        <f t="shared" si="63"/>
        <v>#DIV/0!</v>
      </c>
      <c r="P332" s="5" t="e">
        <f t="shared" si="64"/>
        <v>#DIV/0!</v>
      </c>
      <c r="Q332" s="5" t="e">
        <f t="shared" si="65"/>
        <v>#DIV/0!</v>
      </c>
    </row>
    <row r="333" ht="14.45" customHeight="1" spans="1:17">
      <c r="A333" s="22">
        <f t="shared" si="67"/>
        <v>44528</v>
      </c>
      <c r="B333" s="5">
        <v>0</v>
      </c>
      <c r="C333" s="12">
        <v>0</v>
      </c>
      <c r="D333" s="12">
        <v>0</v>
      </c>
      <c r="E333" s="12">
        <v>0</v>
      </c>
      <c r="F333" s="5">
        <v>0</v>
      </c>
      <c r="G333" s="12">
        <v>0</v>
      </c>
      <c r="H333" s="12">
        <v>0</v>
      </c>
      <c r="I333" s="12">
        <v>0</v>
      </c>
      <c r="J333" s="9">
        <v>0</v>
      </c>
      <c r="K333" s="5">
        <v>0</v>
      </c>
      <c r="L333" s="5">
        <v>0</v>
      </c>
      <c r="M333" s="13" t="e">
        <f t="shared" si="66"/>
        <v>#DIV/0!</v>
      </c>
      <c r="N333" s="35" t="e">
        <f t="shared" si="62"/>
        <v>#DIV/0!</v>
      </c>
      <c r="O333" s="5" t="e">
        <f t="shared" si="63"/>
        <v>#DIV/0!</v>
      </c>
      <c r="P333" s="5" t="e">
        <f t="shared" si="64"/>
        <v>#DIV/0!</v>
      </c>
      <c r="Q333" s="5" t="e">
        <f t="shared" si="65"/>
        <v>#DIV/0!</v>
      </c>
    </row>
    <row r="334" ht="14.45" customHeight="1" spans="1:17">
      <c r="A334" s="22">
        <f t="shared" si="67"/>
        <v>44529</v>
      </c>
      <c r="B334" s="5">
        <v>299.3</v>
      </c>
      <c r="C334" s="12">
        <v>29157</v>
      </c>
      <c r="D334" s="12">
        <v>94</v>
      </c>
      <c r="E334" s="12">
        <v>1</v>
      </c>
      <c r="F334" s="5">
        <v>999</v>
      </c>
      <c r="G334" s="12">
        <v>0</v>
      </c>
      <c r="H334" s="12">
        <v>0</v>
      </c>
      <c r="I334" s="12">
        <v>4</v>
      </c>
      <c r="J334" s="9">
        <v>0.0032</v>
      </c>
      <c r="K334" s="5">
        <v>3.18</v>
      </c>
      <c r="L334" s="5">
        <v>10.26</v>
      </c>
      <c r="M334" s="13">
        <f t="shared" si="66"/>
        <v>3.33778817240227</v>
      </c>
      <c r="N334" s="35">
        <f t="shared" si="62"/>
        <v>0.0106382978723404</v>
      </c>
      <c r="O334" s="5">
        <f t="shared" si="63"/>
        <v>999</v>
      </c>
      <c r="P334" s="5">
        <f t="shared" si="64"/>
        <v>299.3</v>
      </c>
      <c r="Q334" s="5" t="e">
        <f t="shared" si="65"/>
        <v>#DIV/0!</v>
      </c>
    </row>
    <row r="335" ht="14.45" customHeight="1" spans="1:17">
      <c r="A335" s="22">
        <f t="shared" si="67"/>
        <v>44530</v>
      </c>
      <c r="B335" s="5">
        <v>6.35</v>
      </c>
      <c r="C335" s="12">
        <v>517</v>
      </c>
      <c r="D335" s="12">
        <v>0</v>
      </c>
      <c r="E335" s="12">
        <v>0</v>
      </c>
      <c r="F335" s="5">
        <v>0</v>
      </c>
      <c r="G335" s="12">
        <v>0</v>
      </c>
      <c r="H335" s="12">
        <v>0</v>
      </c>
      <c r="I335" s="12">
        <v>0</v>
      </c>
      <c r="J335" s="9">
        <v>0</v>
      </c>
      <c r="K335" s="5">
        <v>0</v>
      </c>
      <c r="L335" s="5">
        <v>12.17</v>
      </c>
      <c r="M335" s="13">
        <f t="shared" si="66"/>
        <v>0</v>
      </c>
      <c r="N335" s="35" t="e">
        <f t="shared" si="62"/>
        <v>#DIV/0!</v>
      </c>
      <c r="O335" s="5" t="e">
        <f t="shared" si="63"/>
        <v>#DIV/0!</v>
      </c>
      <c r="P335" s="5" t="e">
        <f t="shared" si="64"/>
        <v>#DIV/0!</v>
      </c>
      <c r="Q335" s="5" t="e">
        <f t="shared" si="65"/>
        <v>#DIV/0!</v>
      </c>
    </row>
    <row r="336" ht="14.45" customHeight="1" spans="1:17">
      <c r="A336" s="22">
        <f t="shared" si="67"/>
        <v>44531</v>
      </c>
      <c r="B336" s="5">
        <v>293.1</v>
      </c>
      <c r="C336" s="12">
        <v>62173</v>
      </c>
      <c r="D336" s="12">
        <v>88</v>
      </c>
      <c r="E336" s="12">
        <v>0</v>
      </c>
      <c r="F336" s="5">
        <v>0</v>
      </c>
      <c r="G336" s="12">
        <v>1</v>
      </c>
      <c r="H336" s="12">
        <v>0</v>
      </c>
      <c r="I336" s="12">
        <v>1</v>
      </c>
      <c r="J336" s="9">
        <v>0.0014</v>
      </c>
      <c r="K336" s="5">
        <v>3.33</v>
      </c>
      <c r="L336" s="5">
        <v>4.67</v>
      </c>
      <c r="M336" s="13">
        <f t="shared" si="66"/>
        <v>0</v>
      </c>
      <c r="N336" s="35">
        <f t="shared" si="62"/>
        <v>0</v>
      </c>
      <c r="O336" s="5" t="e">
        <f t="shared" si="63"/>
        <v>#DIV/0!</v>
      </c>
      <c r="P336" s="5" t="e">
        <f t="shared" si="64"/>
        <v>#DIV/0!</v>
      </c>
      <c r="Q336" s="5">
        <f t="shared" si="65"/>
        <v>293.1</v>
      </c>
    </row>
    <row r="337" ht="14.45" customHeight="1" spans="1:17">
      <c r="A337" s="22">
        <f t="shared" si="67"/>
        <v>44532</v>
      </c>
      <c r="B337" s="5">
        <v>296.64</v>
      </c>
      <c r="C337" s="12">
        <v>55526</v>
      </c>
      <c r="D337" s="12">
        <v>95</v>
      </c>
      <c r="E337" s="12">
        <v>0</v>
      </c>
      <c r="F337" s="5">
        <v>0</v>
      </c>
      <c r="G337" s="12">
        <v>0</v>
      </c>
      <c r="H337" s="12">
        <v>0</v>
      </c>
      <c r="I337" s="12">
        <v>6</v>
      </c>
      <c r="J337" s="9">
        <v>0.0017</v>
      </c>
      <c r="K337" s="5">
        <v>3.12</v>
      </c>
      <c r="L337" s="5">
        <v>5.34</v>
      </c>
      <c r="M337" s="13">
        <f t="shared" si="66"/>
        <v>0</v>
      </c>
      <c r="N337" s="35">
        <f t="shared" si="62"/>
        <v>0</v>
      </c>
      <c r="O337" s="5" t="e">
        <f t="shared" si="63"/>
        <v>#DIV/0!</v>
      </c>
      <c r="P337" s="5" t="e">
        <f t="shared" si="64"/>
        <v>#DIV/0!</v>
      </c>
      <c r="Q337" s="5" t="e">
        <f t="shared" si="65"/>
        <v>#DIV/0!</v>
      </c>
    </row>
    <row r="338" ht="14.45" customHeight="1" spans="1:17">
      <c r="A338" s="22">
        <f t="shared" si="67"/>
        <v>44533</v>
      </c>
      <c r="B338" s="5">
        <v>296.48</v>
      </c>
      <c r="C338" s="12">
        <v>83151</v>
      </c>
      <c r="D338" s="12">
        <v>94</v>
      </c>
      <c r="E338" s="12">
        <v>0</v>
      </c>
      <c r="F338" s="5">
        <v>0</v>
      </c>
      <c r="G338" s="12">
        <v>0</v>
      </c>
      <c r="H338" s="12">
        <v>5</v>
      </c>
      <c r="I338" s="12">
        <v>1</v>
      </c>
      <c r="J338" s="9">
        <v>0.0011</v>
      </c>
      <c r="K338" s="5">
        <v>3.15</v>
      </c>
      <c r="L338" s="5">
        <v>3.57</v>
      </c>
      <c r="M338" s="13">
        <f t="shared" si="66"/>
        <v>0</v>
      </c>
      <c r="N338" s="35">
        <f t="shared" si="62"/>
        <v>0</v>
      </c>
      <c r="O338" s="5" t="e">
        <f t="shared" si="63"/>
        <v>#DIV/0!</v>
      </c>
      <c r="P338" s="5" t="e">
        <f t="shared" si="64"/>
        <v>#DIV/0!</v>
      </c>
      <c r="Q338" s="5" t="e">
        <f t="shared" si="65"/>
        <v>#DIV/0!</v>
      </c>
    </row>
    <row r="339" ht="14.45" customHeight="1" spans="1:17">
      <c r="A339" s="22">
        <f t="shared" si="67"/>
        <v>44534</v>
      </c>
      <c r="B339" s="5">
        <v>282.25</v>
      </c>
      <c r="C339" s="12">
        <v>51160</v>
      </c>
      <c r="D339" s="12">
        <v>72</v>
      </c>
      <c r="E339" s="12">
        <v>0</v>
      </c>
      <c r="F339" s="5">
        <v>0</v>
      </c>
      <c r="G339" s="12">
        <v>0</v>
      </c>
      <c r="H339" s="12">
        <v>0</v>
      </c>
      <c r="I339" s="12">
        <v>4</v>
      </c>
      <c r="J339" s="9">
        <v>0.0014</v>
      </c>
      <c r="K339" s="5">
        <v>3.92</v>
      </c>
      <c r="L339" s="5">
        <v>3.92</v>
      </c>
      <c r="M339" s="13">
        <f t="shared" si="66"/>
        <v>0</v>
      </c>
      <c r="N339" s="35">
        <f t="shared" si="62"/>
        <v>0</v>
      </c>
      <c r="O339" s="5" t="e">
        <f t="shared" si="63"/>
        <v>#DIV/0!</v>
      </c>
      <c r="P339" s="5" t="e">
        <f t="shared" si="64"/>
        <v>#DIV/0!</v>
      </c>
      <c r="Q339" s="5" t="e">
        <f t="shared" si="65"/>
        <v>#DIV/0!</v>
      </c>
    </row>
    <row r="340" ht="14.45" customHeight="1" spans="1:17">
      <c r="A340" s="22">
        <f t="shared" si="67"/>
        <v>44535</v>
      </c>
      <c r="B340" s="5">
        <v>298.62</v>
      </c>
      <c r="C340" s="12">
        <v>36751</v>
      </c>
      <c r="D340" s="12">
        <v>99</v>
      </c>
      <c r="E340" s="12">
        <v>0</v>
      </c>
      <c r="F340" s="5">
        <v>0</v>
      </c>
      <c r="G340" s="12">
        <v>0</v>
      </c>
      <c r="H340" s="12">
        <v>0</v>
      </c>
      <c r="I340" s="12">
        <v>7</v>
      </c>
      <c r="J340" s="9">
        <v>0.0027</v>
      </c>
      <c r="K340" s="5">
        <v>3.02</v>
      </c>
      <c r="L340" s="5">
        <v>8.13</v>
      </c>
      <c r="M340" s="13">
        <f t="shared" si="66"/>
        <v>0</v>
      </c>
      <c r="N340" s="35">
        <f t="shared" si="62"/>
        <v>0</v>
      </c>
      <c r="O340" s="5" t="e">
        <f t="shared" si="63"/>
        <v>#DIV/0!</v>
      </c>
      <c r="P340" s="5" t="e">
        <f t="shared" si="64"/>
        <v>#DIV/0!</v>
      </c>
      <c r="Q340" s="5" t="e">
        <f t="shared" si="65"/>
        <v>#DIV/0!</v>
      </c>
    </row>
    <row r="341" ht="14.45" customHeight="1" spans="1:17">
      <c r="A341" s="22">
        <f t="shared" si="67"/>
        <v>44536</v>
      </c>
      <c r="B341" s="5">
        <v>296.64</v>
      </c>
      <c r="C341" s="12">
        <v>36432</v>
      </c>
      <c r="D341" s="12">
        <v>117</v>
      </c>
      <c r="E341" s="12">
        <v>0</v>
      </c>
      <c r="F341" s="5">
        <v>0</v>
      </c>
      <c r="G341" s="12">
        <v>1</v>
      </c>
      <c r="H341" s="12">
        <v>0</v>
      </c>
      <c r="I341" s="12">
        <v>2</v>
      </c>
      <c r="J341" s="9">
        <v>0.0032</v>
      </c>
      <c r="K341" s="5">
        <v>2.54</v>
      </c>
      <c r="L341" s="5">
        <v>8.14</v>
      </c>
      <c r="M341" s="13">
        <f t="shared" si="66"/>
        <v>0</v>
      </c>
      <c r="N341" s="35">
        <f t="shared" si="62"/>
        <v>0</v>
      </c>
      <c r="O341" s="5" t="e">
        <f t="shared" si="63"/>
        <v>#DIV/0!</v>
      </c>
      <c r="P341" s="5" t="e">
        <f t="shared" si="64"/>
        <v>#DIV/0!</v>
      </c>
      <c r="Q341" s="5">
        <f t="shared" si="65"/>
        <v>296.64</v>
      </c>
    </row>
    <row r="342" ht="14.45" customHeight="1" spans="1:17">
      <c r="A342" s="22">
        <f t="shared" si="67"/>
        <v>44537</v>
      </c>
      <c r="B342" s="5">
        <v>6.89</v>
      </c>
      <c r="C342" s="12">
        <v>506</v>
      </c>
      <c r="D342" s="12">
        <v>6</v>
      </c>
      <c r="E342" s="12">
        <v>0</v>
      </c>
      <c r="F342" s="5">
        <v>0</v>
      </c>
      <c r="G342" s="12">
        <v>0</v>
      </c>
      <c r="H342" s="12">
        <v>0</v>
      </c>
      <c r="I342" s="12">
        <v>0</v>
      </c>
      <c r="J342" s="9">
        <v>0.0119</v>
      </c>
      <c r="K342" s="5">
        <v>1.15</v>
      </c>
      <c r="L342" s="5">
        <v>13.61</v>
      </c>
      <c r="M342" s="13">
        <f t="shared" si="66"/>
        <v>0</v>
      </c>
      <c r="N342" s="35">
        <f t="shared" si="62"/>
        <v>0</v>
      </c>
      <c r="O342" s="5" t="e">
        <f t="shared" si="63"/>
        <v>#DIV/0!</v>
      </c>
      <c r="P342" s="5" t="e">
        <f t="shared" si="64"/>
        <v>#DIV/0!</v>
      </c>
      <c r="Q342" s="5" t="e">
        <f t="shared" si="65"/>
        <v>#DIV/0!</v>
      </c>
    </row>
    <row r="343" ht="14.45" customHeight="1" spans="1:17">
      <c r="A343" s="22">
        <f t="shared" si="67"/>
        <v>44538</v>
      </c>
      <c r="B343" s="5">
        <v>286.67</v>
      </c>
      <c r="C343" s="12">
        <v>27415</v>
      </c>
      <c r="D343" s="12">
        <v>119</v>
      </c>
      <c r="E343" s="12">
        <v>0</v>
      </c>
      <c r="F343" s="5">
        <v>0</v>
      </c>
      <c r="G343" s="12">
        <v>0</v>
      </c>
      <c r="H343" s="12">
        <v>0</v>
      </c>
      <c r="I343" s="12">
        <v>8</v>
      </c>
      <c r="J343" s="9">
        <v>0.0043</v>
      </c>
      <c r="K343" s="5">
        <v>2.41</v>
      </c>
      <c r="L343" s="5">
        <v>10.46</v>
      </c>
      <c r="M343" s="13">
        <f t="shared" si="66"/>
        <v>0</v>
      </c>
      <c r="N343" s="35">
        <f t="shared" si="62"/>
        <v>0</v>
      </c>
      <c r="O343" s="5" t="e">
        <f t="shared" si="63"/>
        <v>#DIV/0!</v>
      </c>
      <c r="P343" s="5" t="e">
        <f t="shared" si="64"/>
        <v>#DIV/0!</v>
      </c>
      <c r="Q343" s="5" t="e">
        <f t="shared" si="65"/>
        <v>#DIV/0!</v>
      </c>
    </row>
    <row r="344" ht="14.45" customHeight="1" spans="1:17">
      <c r="A344" s="22">
        <f t="shared" si="67"/>
        <v>44539</v>
      </c>
      <c r="B344" s="5">
        <v>6.42</v>
      </c>
      <c r="C344" s="12">
        <v>345</v>
      </c>
      <c r="D344" s="12">
        <v>1</v>
      </c>
      <c r="E344" s="12">
        <v>0</v>
      </c>
      <c r="F344" s="5">
        <v>0</v>
      </c>
      <c r="G344" s="12">
        <v>0</v>
      </c>
      <c r="H344" s="12">
        <v>0</v>
      </c>
      <c r="I344" s="12">
        <v>0</v>
      </c>
      <c r="J344" s="9">
        <v>0.0029</v>
      </c>
      <c r="K344" s="5">
        <v>6.42</v>
      </c>
      <c r="L344" s="5">
        <v>18.62</v>
      </c>
      <c r="M344" s="13">
        <f t="shared" si="66"/>
        <v>0</v>
      </c>
      <c r="N344" s="35">
        <f t="shared" si="62"/>
        <v>0</v>
      </c>
      <c r="O344" s="5" t="e">
        <f t="shared" si="63"/>
        <v>#DIV/0!</v>
      </c>
      <c r="P344" s="5" t="e">
        <f t="shared" si="64"/>
        <v>#DIV/0!</v>
      </c>
      <c r="Q344" s="5" t="e">
        <f t="shared" si="65"/>
        <v>#DIV/0!</v>
      </c>
    </row>
    <row r="345" ht="14.45" customHeight="1" spans="1:17">
      <c r="A345" s="22">
        <f t="shared" si="67"/>
        <v>44540</v>
      </c>
      <c r="B345" s="5">
        <v>288.15</v>
      </c>
      <c r="C345" s="12">
        <v>19871</v>
      </c>
      <c r="D345" s="12">
        <v>67</v>
      </c>
      <c r="E345" s="12">
        <v>0</v>
      </c>
      <c r="F345" s="5">
        <v>0</v>
      </c>
      <c r="G345" s="12">
        <v>1</v>
      </c>
      <c r="H345" s="12">
        <v>1</v>
      </c>
      <c r="I345" s="12">
        <v>1</v>
      </c>
      <c r="J345" s="9">
        <v>0.0034</v>
      </c>
      <c r="K345" s="5">
        <v>4.3</v>
      </c>
      <c r="L345" s="5">
        <v>14.5</v>
      </c>
      <c r="M345" s="13">
        <f t="shared" si="66"/>
        <v>0</v>
      </c>
      <c r="N345" s="35">
        <f t="shared" si="62"/>
        <v>0</v>
      </c>
      <c r="O345" s="5" t="e">
        <f t="shared" si="63"/>
        <v>#DIV/0!</v>
      </c>
      <c r="P345" s="5" t="e">
        <f t="shared" si="64"/>
        <v>#DIV/0!</v>
      </c>
      <c r="Q345" s="5">
        <f t="shared" si="65"/>
        <v>288.15</v>
      </c>
    </row>
    <row r="346" ht="14.45" customHeight="1" spans="1:17">
      <c r="A346" s="22">
        <f t="shared" si="67"/>
        <v>44541</v>
      </c>
      <c r="B346" s="5">
        <v>5.76</v>
      </c>
      <c r="C346" s="12">
        <v>327</v>
      </c>
      <c r="D346" s="12">
        <v>0</v>
      </c>
      <c r="E346" s="12">
        <v>0</v>
      </c>
      <c r="F346" s="5">
        <v>0</v>
      </c>
      <c r="G346" s="12">
        <v>0</v>
      </c>
      <c r="H346" s="12">
        <v>0</v>
      </c>
      <c r="I346" s="12">
        <v>0</v>
      </c>
      <c r="J346" s="9">
        <v>0</v>
      </c>
      <c r="K346" s="5">
        <v>0</v>
      </c>
      <c r="L346" s="5">
        <v>17.61</v>
      </c>
      <c r="M346" s="13">
        <f t="shared" si="66"/>
        <v>0</v>
      </c>
      <c r="N346" s="35" t="e">
        <f t="shared" si="62"/>
        <v>#DIV/0!</v>
      </c>
      <c r="O346" s="5" t="e">
        <f t="shared" si="63"/>
        <v>#DIV/0!</v>
      </c>
      <c r="P346" s="5" t="e">
        <f t="shared" si="64"/>
        <v>#DIV/0!</v>
      </c>
      <c r="Q346" s="5" t="e">
        <f t="shared" si="65"/>
        <v>#DIV/0!</v>
      </c>
    </row>
    <row r="347" ht="14.45" customHeight="1" spans="1:17">
      <c r="A347" s="22">
        <f t="shared" si="67"/>
        <v>44542</v>
      </c>
      <c r="B347" s="5">
        <v>0</v>
      </c>
      <c r="C347" s="12">
        <v>0</v>
      </c>
      <c r="D347" s="12">
        <v>0</v>
      </c>
      <c r="E347" s="12"/>
      <c r="F347" s="5">
        <v>0</v>
      </c>
      <c r="G347" s="12">
        <v>0</v>
      </c>
      <c r="H347" s="12">
        <v>0</v>
      </c>
      <c r="I347" s="12">
        <v>0</v>
      </c>
      <c r="J347" s="9">
        <v>0</v>
      </c>
      <c r="K347" s="5">
        <v>0</v>
      </c>
      <c r="L347" s="5">
        <v>0</v>
      </c>
      <c r="M347" s="13" t="e">
        <f t="shared" si="66"/>
        <v>#DIV/0!</v>
      </c>
      <c r="N347" s="35" t="e">
        <f t="shared" si="62"/>
        <v>#DIV/0!</v>
      </c>
      <c r="O347" s="5" t="e">
        <f t="shared" ref="O347:O366" si="68">F347/E347</f>
        <v>#DIV/0!</v>
      </c>
      <c r="P347" s="5" t="e">
        <f t="shared" ref="P347:P366" si="69">B347/E347</f>
        <v>#DIV/0!</v>
      </c>
      <c r="Q347" s="5" t="e">
        <f t="shared" si="65"/>
        <v>#DIV/0!</v>
      </c>
    </row>
    <row r="348" ht="14.45" customHeight="1" spans="1:17">
      <c r="A348" s="22">
        <f t="shared" si="67"/>
        <v>44543</v>
      </c>
      <c r="B348" s="5">
        <v>267.99</v>
      </c>
      <c r="C348" s="12">
        <v>35363</v>
      </c>
      <c r="D348" s="12">
        <v>119</v>
      </c>
      <c r="E348" s="12">
        <v>0</v>
      </c>
      <c r="F348" s="5">
        <v>0</v>
      </c>
      <c r="G348" s="12">
        <v>0</v>
      </c>
      <c r="H348" s="12">
        <v>0</v>
      </c>
      <c r="I348" s="12">
        <v>0</v>
      </c>
      <c r="J348" s="9">
        <v>0.0034</v>
      </c>
      <c r="K348" s="5">
        <v>2.25</v>
      </c>
      <c r="L348" s="5">
        <v>7.58</v>
      </c>
      <c r="M348" s="13">
        <f t="shared" si="66"/>
        <v>0</v>
      </c>
      <c r="N348" s="35">
        <f t="shared" si="62"/>
        <v>0</v>
      </c>
      <c r="O348" s="5" t="e">
        <f t="shared" si="68"/>
        <v>#DIV/0!</v>
      </c>
      <c r="P348" s="5" t="e">
        <f t="shared" si="69"/>
        <v>#DIV/0!</v>
      </c>
      <c r="Q348" s="5" t="e">
        <f t="shared" si="65"/>
        <v>#DIV/0!</v>
      </c>
    </row>
    <row r="349" ht="14.45" customHeight="1" spans="1:17">
      <c r="A349" s="22">
        <f t="shared" si="67"/>
        <v>44544</v>
      </c>
      <c r="B349" s="5">
        <v>54.94</v>
      </c>
      <c r="C349" s="12">
        <v>5581</v>
      </c>
      <c r="D349" s="12">
        <v>25</v>
      </c>
      <c r="E349" s="12">
        <v>0</v>
      </c>
      <c r="F349" s="5">
        <v>0</v>
      </c>
      <c r="G349" s="12">
        <v>0</v>
      </c>
      <c r="H349" s="12">
        <v>0</v>
      </c>
      <c r="I349" s="12">
        <v>0</v>
      </c>
      <c r="J349" s="9">
        <v>0.0045</v>
      </c>
      <c r="K349" s="5">
        <v>2.2</v>
      </c>
      <c r="L349" s="5">
        <v>9.84</v>
      </c>
      <c r="M349" s="13">
        <f t="shared" si="66"/>
        <v>0</v>
      </c>
      <c r="N349" s="35">
        <f t="shared" si="62"/>
        <v>0</v>
      </c>
      <c r="O349" s="5" t="e">
        <f t="shared" si="68"/>
        <v>#DIV/0!</v>
      </c>
      <c r="P349" s="5" t="e">
        <f t="shared" si="69"/>
        <v>#DIV/0!</v>
      </c>
      <c r="Q349" s="5" t="e">
        <f t="shared" si="65"/>
        <v>#DIV/0!</v>
      </c>
    </row>
    <row r="350" ht="14.45" customHeight="1" spans="1:17">
      <c r="A350" s="22">
        <f t="shared" si="67"/>
        <v>44545</v>
      </c>
      <c r="B350" s="5">
        <v>273.98</v>
      </c>
      <c r="C350" s="12">
        <v>42937</v>
      </c>
      <c r="D350" s="12">
        <v>118</v>
      </c>
      <c r="E350" s="12">
        <v>0</v>
      </c>
      <c r="F350" s="5">
        <v>0</v>
      </c>
      <c r="G350" s="12">
        <v>0</v>
      </c>
      <c r="H350" s="12">
        <v>1</v>
      </c>
      <c r="I350" s="12">
        <v>6</v>
      </c>
      <c r="J350" s="9">
        <v>0.0027</v>
      </c>
      <c r="K350" s="5">
        <v>2.32</v>
      </c>
      <c r="L350" s="5">
        <v>6.38</v>
      </c>
      <c r="M350" s="13">
        <f t="shared" si="66"/>
        <v>0</v>
      </c>
      <c r="N350" s="35">
        <f t="shared" si="62"/>
        <v>0</v>
      </c>
      <c r="O350" s="5" t="e">
        <f t="shared" si="68"/>
        <v>#DIV/0!</v>
      </c>
      <c r="P350" s="5" t="e">
        <f t="shared" si="69"/>
        <v>#DIV/0!</v>
      </c>
      <c r="Q350" s="5" t="e">
        <f t="shared" si="65"/>
        <v>#DIV/0!</v>
      </c>
    </row>
    <row r="351" ht="14.45" customHeight="1" spans="1:17">
      <c r="A351" s="22">
        <f t="shared" si="67"/>
        <v>44546</v>
      </c>
      <c r="B351" s="5">
        <v>62.13</v>
      </c>
      <c r="C351" s="12">
        <v>13805</v>
      </c>
      <c r="D351" s="12">
        <v>17</v>
      </c>
      <c r="E351" s="12">
        <v>0</v>
      </c>
      <c r="F351" s="5">
        <v>0</v>
      </c>
      <c r="G351" s="12">
        <v>0</v>
      </c>
      <c r="H351" s="12">
        <v>0</v>
      </c>
      <c r="I351" s="12">
        <v>1</v>
      </c>
      <c r="J351" s="9">
        <v>0.0013</v>
      </c>
      <c r="K351" s="5">
        <v>3.65</v>
      </c>
      <c r="L351" s="5">
        <v>4.75</v>
      </c>
      <c r="M351" s="13">
        <f t="shared" si="66"/>
        <v>0</v>
      </c>
      <c r="N351" s="35">
        <f t="shared" si="62"/>
        <v>0</v>
      </c>
      <c r="O351" s="5" t="e">
        <f t="shared" si="68"/>
        <v>#DIV/0!</v>
      </c>
      <c r="P351" s="5" t="e">
        <f t="shared" si="69"/>
        <v>#DIV/0!</v>
      </c>
      <c r="Q351" s="5" t="e">
        <f t="shared" si="65"/>
        <v>#DIV/0!</v>
      </c>
    </row>
    <row r="352" ht="14.45" customHeight="1" spans="1:17">
      <c r="A352" s="22">
        <f t="shared" si="67"/>
        <v>44547</v>
      </c>
      <c r="B352" s="5">
        <v>286.78</v>
      </c>
      <c r="C352" s="12">
        <v>56990</v>
      </c>
      <c r="D352" s="12">
        <v>101</v>
      </c>
      <c r="E352" s="12">
        <v>0</v>
      </c>
      <c r="F352" s="5">
        <v>0</v>
      </c>
      <c r="G352" s="12">
        <v>0</v>
      </c>
      <c r="H352" s="12">
        <v>0</v>
      </c>
      <c r="I352" s="12">
        <v>4</v>
      </c>
      <c r="J352" s="9">
        <v>0.0018</v>
      </c>
      <c r="K352" s="5">
        <v>2.84</v>
      </c>
      <c r="L352" s="5">
        <v>5.03</v>
      </c>
      <c r="M352" s="13">
        <f t="shared" si="66"/>
        <v>0</v>
      </c>
      <c r="N352" s="35">
        <f t="shared" si="62"/>
        <v>0</v>
      </c>
      <c r="O352" s="5" t="e">
        <f t="shared" si="68"/>
        <v>#DIV/0!</v>
      </c>
      <c r="P352" s="5" t="e">
        <f t="shared" si="69"/>
        <v>#DIV/0!</v>
      </c>
      <c r="Q352" s="5" t="e">
        <f t="shared" si="65"/>
        <v>#DIV/0!</v>
      </c>
    </row>
    <row r="353" ht="14.45" customHeight="1" spans="1:17">
      <c r="A353" s="22">
        <f t="shared" si="67"/>
        <v>44548</v>
      </c>
      <c r="B353" s="5">
        <v>7.49</v>
      </c>
      <c r="C353" s="12">
        <v>1081</v>
      </c>
      <c r="D353" s="12">
        <v>1</v>
      </c>
      <c r="E353" s="12">
        <v>0</v>
      </c>
      <c r="F353" s="5">
        <v>0</v>
      </c>
      <c r="G353" s="12">
        <v>0</v>
      </c>
      <c r="H353" s="12">
        <v>0</v>
      </c>
      <c r="I353" s="12">
        <v>0</v>
      </c>
      <c r="J353" s="9">
        <v>0.0009</v>
      </c>
      <c r="K353" s="5">
        <v>7.49</v>
      </c>
      <c r="L353" s="5">
        <v>6.93</v>
      </c>
      <c r="M353" s="13">
        <f t="shared" si="66"/>
        <v>0</v>
      </c>
      <c r="N353" s="35">
        <f t="shared" si="62"/>
        <v>0</v>
      </c>
      <c r="O353" s="5" t="e">
        <f t="shared" si="68"/>
        <v>#DIV/0!</v>
      </c>
      <c r="P353" s="5" t="e">
        <f t="shared" si="69"/>
        <v>#DIV/0!</v>
      </c>
      <c r="Q353" s="5" t="e">
        <f t="shared" si="65"/>
        <v>#DIV/0!</v>
      </c>
    </row>
    <row r="354" ht="14.45" customHeight="1" spans="1:17">
      <c r="A354" s="22">
        <f t="shared" si="67"/>
        <v>44549</v>
      </c>
      <c r="B354" s="5">
        <v>0</v>
      </c>
      <c r="C354" s="12">
        <v>0</v>
      </c>
      <c r="D354" s="12">
        <v>0</v>
      </c>
      <c r="E354" s="12">
        <v>0</v>
      </c>
      <c r="F354" s="5">
        <v>0</v>
      </c>
      <c r="G354" s="12">
        <v>0</v>
      </c>
      <c r="H354" s="12">
        <v>0</v>
      </c>
      <c r="I354" s="12">
        <v>0</v>
      </c>
      <c r="J354" s="9">
        <v>0</v>
      </c>
      <c r="K354" s="5">
        <v>0</v>
      </c>
      <c r="L354" s="5">
        <v>0</v>
      </c>
      <c r="M354" s="13" t="e">
        <f t="shared" si="66"/>
        <v>#DIV/0!</v>
      </c>
      <c r="N354" s="35" t="e">
        <f t="shared" si="62"/>
        <v>#DIV/0!</v>
      </c>
      <c r="O354" s="5" t="e">
        <f t="shared" si="68"/>
        <v>#DIV/0!</v>
      </c>
      <c r="P354" s="5" t="e">
        <f t="shared" si="69"/>
        <v>#DIV/0!</v>
      </c>
      <c r="Q354" s="5" t="e">
        <f t="shared" si="65"/>
        <v>#DIV/0!</v>
      </c>
    </row>
    <row r="355" ht="14.45" customHeight="1" spans="1:17">
      <c r="A355" s="22">
        <f t="shared" si="67"/>
        <v>44550</v>
      </c>
      <c r="B355" s="5">
        <v>269.41</v>
      </c>
      <c r="C355" s="12">
        <v>48266</v>
      </c>
      <c r="D355" s="12">
        <v>38</v>
      </c>
      <c r="E355" s="12">
        <v>0</v>
      </c>
      <c r="F355" s="5">
        <v>0</v>
      </c>
      <c r="G355" s="12">
        <v>0</v>
      </c>
      <c r="H355" s="12">
        <v>0</v>
      </c>
      <c r="I355" s="12">
        <v>3</v>
      </c>
      <c r="J355" s="9">
        <v>0.0008</v>
      </c>
      <c r="K355" s="5">
        <v>7.09</v>
      </c>
      <c r="L355" s="5">
        <v>5.58</v>
      </c>
      <c r="M355" s="13">
        <f t="shared" si="66"/>
        <v>0</v>
      </c>
      <c r="N355" s="35">
        <f t="shared" si="62"/>
        <v>0</v>
      </c>
      <c r="O355" s="5" t="e">
        <f t="shared" si="68"/>
        <v>#DIV/0!</v>
      </c>
      <c r="P355" s="5" t="e">
        <f t="shared" si="69"/>
        <v>#DIV/0!</v>
      </c>
      <c r="Q355" s="5" t="e">
        <f t="shared" si="65"/>
        <v>#DIV/0!</v>
      </c>
    </row>
    <row r="356" ht="14.45" customHeight="1" spans="1:17">
      <c r="A356" s="22">
        <f t="shared" si="67"/>
        <v>44551</v>
      </c>
      <c r="B356" s="5">
        <v>79.72</v>
      </c>
      <c r="C356" s="12">
        <v>16939</v>
      </c>
      <c r="D356" s="12">
        <v>11</v>
      </c>
      <c r="E356" s="12">
        <v>0</v>
      </c>
      <c r="F356" s="5">
        <v>0</v>
      </c>
      <c r="G356" s="12">
        <v>0</v>
      </c>
      <c r="H356" s="12">
        <v>0</v>
      </c>
      <c r="I356" s="12">
        <v>0</v>
      </c>
      <c r="J356" s="9">
        <v>0.0006</v>
      </c>
      <c r="K356" s="5">
        <v>7.25</v>
      </c>
      <c r="L356" s="5">
        <v>4.71</v>
      </c>
      <c r="M356" s="13">
        <f t="shared" si="66"/>
        <v>0</v>
      </c>
      <c r="N356" s="35">
        <f t="shared" si="62"/>
        <v>0</v>
      </c>
      <c r="O356" s="5" t="e">
        <f t="shared" si="68"/>
        <v>#DIV/0!</v>
      </c>
      <c r="P356" s="5" t="e">
        <f t="shared" si="69"/>
        <v>#DIV/0!</v>
      </c>
      <c r="Q356" s="5" t="e">
        <f t="shared" si="65"/>
        <v>#DIV/0!</v>
      </c>
    </row>
    <row r="357" ht="14.45" customHeight="1" spans="1:17">
      <c r="A357" s="22">
        <f t="shared" si="67"/>
        <v>44552</v>
      </c>
      <c r="B357" s="5">
        <v>274.54</v>
      </c>
      <c r="C357" s="12">
        <v>53092</v>
      </c>
      <c r="D357" s="12">
        <v>41</v>
      </c>
      <c r="E357" s="12">
        <v>0</v>
      </c>
      <c r="F357" s="5">
        <v>0</v>
      </c>
      <c r="G357" s="12">
        <v>0</v>
      </c>
      <c r="H357" s="12">
        <v>0</v>
      </c>
      <c r="I357" s="12">
        <v>1</v>
      </c>
      <c r="J357" s="9">
        <v>0.0008</v>
      </c>
      <c r="K357" s="5">
        <v>6.7</v>
      </c>
      <c r="L357" s="5">
        <v>5.17</v>
      </c>
      <c r="M357" s="13">
        <f t="shared" si="66"/>
        <v>0</v>
      </c>
      <c r="N357" s="35">
        <f t="shared" si="62"/>
        <v>0</v>
      </c>
      <c r="O357" s="5" t="e">
        <f t="shared" si="68"/>
        <v>#DIV/0!</v>
      </c>
      <c r="P357" s="5" t="e">
        <f t="shared" si="69"/>
        <v>#DIV/0!</v>
      </c>
      <c r="Q357" s="5" t="e">
        <f t="shared" si="65"/>
        <v>#DIV/0!</v>
      </c>
    </row>
    <row r="358" ht="14.45" customHeight="1" spans="1:17">
      <c r="A358" s="22">
        <f t="shared" si="67"/>
        <v>44553</v>
      </c>
      <c r="B358" s="5">
        <v>66.81</v>
      </c>
      <c r="C358" s="12">
        <v>14254</v>
      </c>
      <c r="D358" s="12">
        <v>14</v>
      </c>
      <c r="E358" s="12">
        <v>0</v>
      </c>
      <c r="F358" s="5">
        <v>0</v>
      </c>
      <c r="G358" s="12">
        <v>0</v>
      </c>
      <c r="H358" s="12">
        <v>0</v>
      </c>
      <c r="I358" s="12">
        <v>0</v>
      </c>
      <c r="J358" s="9">
        <v>0.001</v>
      </c>
      <c r="K358" s="5">
        <v>4.77</v>
      </c>
      <c r="L358" s="5">
        <v>4.69</v>
      </c>
      <c r="M358" s="13">
        <f t="shared" si="66"/>
        <v>0</v>
      </c>
      <c r="N358" s="35">
        <f t="shared" si="62"/>
        <v>0</v>
      </c>
      <c r="O358" s="5" t="e">
        <f t="shared" si="68"/>
        <v>#DIV/0!</v>
      </c>
      <c r="P358" s="5" t="e">
        <f t="shared" si="69"/>
        <v>#DIV/0!</v>
      </c>
      <c r="Q358" s="5" t="e">
        <f t="shared" si="65"/>
        <v>#DIV/0!</v>
      </c>
    </row>
    <row r="359" ht="14.45" customHeight="1" spans="1:17">
      <c r="A359" s="22">
        <f t="shared" si="67"/>
        <v>44554</v>
      </c>
      <c r="B359" s="5">
        <v>290.81</v>
      </c>
      <c r="C359" s="12">
        <v>37884</v>
      </c>
      <c r="D359" s="12">
        <v>75</v>
      </c>
      <c r="E359" s="12">
        <v>0</v>
      </c>
      <c r="F359" s="5">
        <v>0</v>
      </c>
      <c r="G359" s="12">
        <v>0</v>
      </c>
      <c r="H359" s="12">
        <v>0</v>
      </c>
      <c r="I359" s="12">
        <v>4</v>
      </c>
      <c r="J359" s="9">
        <v>0.002</v>
      </c>
      <c r="K359" s="5">
        <v>3.88</v>
      </c>
      <c r="L359" s="5">
        <v>7.68</v>
      </c>
      <c r="M359" s="13">
        <f t="shared" si="66"/>
        <v>0</v>
      </c>
      <c r="N359" s="35">
        <f t="shared" si="62"/>
        <v>0</v>
      </c>
      <c r="O359" s="5" t="e">
        <f t="shared" si="68"/>
        <v>#DIV/0!</v>
      </c>
      <c r="P359" s="5" t="e">
        <f t="shared" si="69"/>
        <v>#DIV/0!</v>
      </c>
      <c r="Q359" s="5" t="e">
        <f t="shared" si="65"/>
        <v>#DIV/0!</v>
      </c>
    </row>
    <row r="360" ht="14.45" customHeight="1" spans="1:17">
      <c r="A360" s="22">
        <f t="shared" si="67"/>
        <v>44555</v>
      </c>
      <c r="B360" s="5">
        <v>6.4</v>
      </c>
      <c r="C360" s="12">
        <v>507</v>
      </c>
      <c r="D360" s="12">
        <v>2</v>
      </c>
      <c r="E360" s="12">
        <v>0</v>
      </c>
      <c r="F360" s="5">
        <v>0</v>
      </c>
      <c r="G360" s="12">
        <v>0</v>
      </c>
      <c r="H360" s="12">
        <v>0</v>
      </c>
      <c r="I360" s="12">
        <v>0</v>
      </c>
      <c r="J360" s="9">
        <v>0.0039</v>
      </c>
      <c r="K360" s="5">
        <v>3.2</v>
      </c>
      <c r="L360" s="5">
        <v>12.63</v>
      </c>
      <c r="M360" s="13">
        <f t="shared" si="66"/>
        <v>0</v>
      </c>
      <c r="N360" s="35">
        <f t="shared" si="62"/>
        <v>0</v>
      </c>
      <c r="O360" s="5" t="e">
        <f t="shared" si="68"/>
        <v>#DIV/0!</v>
      </c>
      <c r="P360" s="5" t="e">
        <f t="shared" si="69"/>
        <v>#DIV/0!</v>
      </c>
      <c r="Q360" s="5" t="e">
        <f t="shared" si="65"/>
        <v>#DIV/0!</v>
      </c>
    </row>
    <row r="361" ht="14.45" customHeight="1" spans="1:17">
      <c r="A361" s="22">
        <f t="shared" si="67"/>
        <v>44556</v>
      </c>
      <c r="B361" s="5">
        <v>0</v>
      </c>
      <c r="C361" s="12">
        <v>0</v>
      </c>
      <c r="D361" s="12">
        <v>0</v>
      </c>
      <c r="E361" s="12">
        <v>0</v>
      </c>
      <c r="F361" s="5">
        <v>0</v>
      </c>
      <c r="G361" s="12">
        <v>0</v>
      </c>
      <c r="H361" s="12">
        <v>0</v>
      </c>
      <c r="I361" s="12">
        <v>0</v>
      </c>
      <c r="J361" s="9">
        <v>0</v>
      </c>
      <c r="K361" s="5">
        <v>0</v>
      </c>
      <c r="L361" s="5">
        <v>0</v>
      </c>
      <c r="M361" s="13" t="e">
        <f t="shared" si="66"/>
        <v>#DIV/0!</v>
      </c>
      <c r="N361" s="35" t="e">
        <f t="shared" si="62"/>
        <v>#DIV/0!</v>
      </c>
      <c r="O361" s="5" t="e">
        <f t="shared" si="68"/>
        <v>#DIV/0!</v>
      </c>
      <c r="P361" s="5" t="e">
        <f t="shared" si="69"/>
        <v>#DIV/0!</v>
      </c>
      <c r="Q361" s="5" t="e">
        <f t="shared" si="65"/>
        <v>#DIV/0!</v>
      </c>
    </row>
    <row r="362" ht="14.45" customHeight="1" spans="1:17">
      <c r="A362" s="22">
        <f t="shared" si="67"/>
        <v>44557</v>
      </c>
      <c r="B362" s="5">
        <v>286.96</v>
      </c>
      <c r="C362" s="12">
        <v>55020</v>
      </c>
      <c r="D362" s="12">
        <v>97</v>
      </c>
      <c r="E362" s="12">
        <v>0</v>
      </c>
      <c r="F362" s="5">
        <v>0</v>
      </c>
      <c r="G362" s="12">
        <v>1</v>
      </c>
      <c r="H362" s="12">
        <v>1</v>
      </c>
      <c r="I362" s="12">
        <v>2</v>
      </c>
      <c r="J362" s="9">
        <v>0.0018</v>
      </c>
      <c r="K362" s="5">
        <v>2.96</v>
      </c>
      <c r="L362" s="5">
        <v>5.22</v>
      </c>
      <c r="M362" s="13">
        <f t="shared" si="66"/>
        <v>0</v>
      </c>
      <c r="N362" s="35">
        <f t="shared" si="62"/>
        <v>0</v>
      </c>
      <c r="O362" s="5" t="e">
        <f t="shared" si="68"/>
        <v>#DIV/0!</v>
      </c>
      <c r="P362" s="5" t="e">
        <f t="shared" si="69"/>
        <v>#DIV/0!</v>
      </c>
      <c r="Q362" s="5">
        <f t="shared" si="65"/>
        <v>286.96</v>
      </c>
    </row>
    <row r="363" ht="14.45" customHeight="1" spans="1:17">
      <c r="A363" s="22">
        <f t="shared" si="67"/>
        <v>44558</v>
      </c>
      <c r="B363" s="5">
        <v>8.27</v>
      </c>
      <c r="C363" s="12">
        <v>1024</v>
      </c>
      <c r="D363" s="12">
        <v>1</v>
      </c>
      <c r="E363" s="12">
        <v>0</v>
      </c>
      <c r="F363" s="5">
        <v>0</v>
      </c>
      <c r="G363" s="12">
        <v>0</v>
      </c>
      <c r="H363" s="12">
        <v>0</v>
      </c>
      <c r="I363" s="12">
        <v>0</v>
      </c>
      <c r="J363" s="9">
        <v>0.001</v>
      </c>
      <c r="K363" s="5">
        <v>8.27</v>
      </c>
      <c r="L363" s="5">
        <v>8.08</v>
      </c>
      <c r="M363" s="13">
        <f t="shared" si="66"/>
        <v>0</v>
      </c>
      <c r="N363" s="35">
        <f t="shared" si="62"/>
        <v>0</v>
      </c>
      <c r="O363" s="5" t="e">
        <f t="shared" si="68"/>
        <v>#DIV/0!</v>
      </c>
      <c r="P363" s="5" t="e">
        <f t="shared" si="69"/>
        <v>#DIV/0!</v>
      </c>
      <c r="Q363" s="5" t="e">
        <f t="shared" si="65"/>
        <v>#DIV/0!</v>
      </c>
    </row>
    <row r="364" ht="14.45" customHeight="1" spans="1:17">
      <c r="A364" s="22">
        <f t="shared" si="67"/>
        <v>44559</v>
      </c>
      <c r="B364" s="5">
        <v>277.09</v>
      </c>
      <c r="C364" s="12">
        <v>63709</v>
      </c>
      <c r="D364" s="12">
        <v>75</v>
      </c>
      <c r="E364" s="12">
        <v>0</v>
      </c>
      <c r="F364" s="5">
        <v>0</v>
      </c>
      <c r="G364" s="12">
        <v>0</v>
      </c>
      <c r="H364" s="12">
        <v>0</v>
      </c>
      <c r="I364" s="12">
        <v>0</v>
      </c>
      <c r="J364" s="9">
        <v>0.0012</v>
      </c>
      <c r="K364" s="5">
        <v>3.69</v>
      </c>
      <c r="L364" s="5">
        <v>4.35</v>
      </c>
      <c r="M364" s="13">
        <f t="shared" si="66"/>
        <v>0</v>
      </c>
      <c r="N364" s="35">
        <f t="shared" si="62"/>
        <v>0</v>
      </c>
      <c r="O364" s="5" t="e">
        <f t="shared" si="68"/>
        <v>#DIV/0!</v>
      </c>
      <c r="P364" s="5" t="e">
        <f t="shared" si="69"/>
        <v>#DIV/0!</v>
      </c>
      <c r="Q364" s="5" t="e">
        <f t="shared" si="65"/>
        <v>#DIV/0!</v>
      </c>
    </row>
    <row r="365" ht="14.45" customHeight="1" spans="1:17">
      <c r="A365" s="22">
        <f t="shared" si="67"/>
        <v>44560</v>
      </c>
      <c r="B365" s="5">
        <v>8.18</v>
      </c>
      <c r="C365" s="12">
        <v>1389</v>
      </c>
      <c r="D365" s="12">
        <v>0</v>
      </c>
      <c r="E365" s="12">
        <v>0</v>
      </c>
      <c r="F365" s="5">
        <v>0</v>
      </c>
      <c r="G365" s="12">
        <v>0</v>
      </c>
      <c r="H365" s="12">
        <v>0</v>
      </c>
      <c r="I365" s="12">
        <v>0</v>
      </c>
      <c r="J365" s="9">
        <v>0</v>
      </c>
      <c r="K365" s="5">
        <v>0</v>
      </c>
      <c r="L365" s="5">
        <v>5.89</v>
      </c>
      <c r="M365" s="13">
        <f t="shared" si="66"/>
        <v>0</v>
      </c>
      <c r="N365" s="35" t="e">
        <f t="shared" si="62"/>
        <v>#DIV/0!</v>
      </c>
      <c r="O365" s="5" t="e">
        <f t="shared" si="68"/>
        <v>#DIV/0!</v>
      </c>
      <c r="P365" s="5" t="e">
        <f t="shared" si="69"/>
        <v>#DIV/0!</v>
      </c>
      <c r="Q365" s="5" t="e">
        <f t="shared" si="65"/>
        <v>#DIV/0!</v>
      </c>
    </row>
    <row r="366" ht="14.45" customHeight="1" spans="1:17">
      <c r="A366" s="22">
        <f t="shared" si="67"/>
        <v>44561</v>
      </c>
      <c r="B366" s="5">
        <v>279.59</v>
      </c>
      <c r="C366" s="12">
        <v>82961</v>
      </c>
      <c r="D366" s="12">
        <v>130</v>
      </c>
      <c r="E366" s="12">
        <v>0</v>
      </c>
      <c r="F366" s="5">
        <v>0</v>
      </c>
      <c r="G366" s="12">
        <v>0</v>
      </c>
      <c r="H366" s="12">
        <v>1</v>
      </c>
      <c r="I366" s="12">
        <v>0</v>
      </c>
      <c r="J366" s="9">
        <v>0.0016</v>
      </c>
      <c r="K366" s="5">
        <v>2.15</v>
      </c>
      <c r="L366" s="5">
        <v>3.37</v>
      </c>
      <c r="M366" s="13">
        <f t="shared" si="66"/>
        <v>0</v>
      </c>
      <c r="N366" s="35">
        <f t="shared" si="62"/>
        <v>0</v>
      </c>
      <c r="O366" s="5" t="e">
        <f t="shared" si="68"/>
        <v>#DIV/0!</v>
      </c>
      <c r="P366" s="5" t="e">
        <f t="shared" si="69"/>
        <v>#DIV/0!</v>
      </c>
      <c r="Q366" s="5" t="e">
        <f t="shared" si="65"/>
        <v>#DIV/0!</v>
      </c>
    </row>
    <row r="367" ht="14.45" customHeight="1" spans="1:17">
      <c r="A367" s="22">
        <f t="shared" si="67"/>
        <v>44562</v>
      </c>
      <c r="B367" s="5">
        <v>6.05</v>
      </c>
      <c r="C367" s="12">
        <v>1427</v>
      </c>
      <c r="D367" s="12">
        <v>1</v>
      </c>
      <c r="E367" s="12" t="s">
        <v>18</v>
      </c>
      <c r="F367" s="12" t="s">
        <v>18</v>
      </c>
      <c r="G367" s="12" t="s">
        <v>18</v>
      </c>
      <c r="H367" s="12" t="s">
        <v>18</v>
      </c>
      <c r="I367" s="12" t="s">
        <v>18</v>
      </c>
      <c r="J367" s="12" t="s">
        <v>18</v>
      </c>
      <c r="K367" s="12" t="s">
        <v>18</v>
      </c>
      <c r="L367" s="12" t="s">
        <v>18</v>
      </c>
      <c r="M367" s="12" t="s">
        <v>18</v>
      </c>
      <c r="N367" s="12" t="s">
        <v>18</v>
      </c>
      <c r="O367" s="12" t="s">
        <v>18</v>
      </c>
      <c r="P367" s="12" t="s">
        <v>18</v>
      </c>
      <c r="Q367" s="12" t="s">
        <v>18</v>
      </c>
    </row>
    <row r="368" spans="1:17">
      <c r="A368" s="22">
        <f t="shared" si="67"/>
        <v>44563</v>
      </c>
      <c r="D368" s="5"/>
      <c r="E368" s="5"/>
      <c r="G368" s="5"/>
      <c r="H368" s="5"/>
      <c r="I368" s="5"/>
      <c r="J368" s="5"/>
      <c r="M368" s="5"/>
      <c r="N368" s="5"/>
    </row>
    <row r="369" spans="1:14">
      <c r="A369" s="36"/>
      <c r="D369" s="5"/>
      <c r="E369" s="5"/>
      <c r="G369" s="5"/>
      <c r="H369" s="5"/>
      <c r="I369" s="5"/>
      <c r="J369" s="5"/>
      <c r="M369" s="5"/>
      <c r="N369" s="5"/>
    </row>
    <row r="370" spans="1:14">
      <c r="A370" s="36"/>
      <c r="D370" s="5"/>
      <c r="E370" s="5"/>
      <c r="G370" s="5"/>
      <c r="H370" s="5"/>
      <c r="I370" s="5"/>
      <c r="J370" s="5"/>
      <c r="M370" s="5"/>
      <c r="N370" s="5"/>
    </row>
    <row r="371" ht="14.55" spans="1:14">
      <c r="A371" s="36"/>
      <c r="N371" s="35"/>
    </row>
    <row r="372" ht="15.6" spans="1:14">
      <c r="A372" s="14" t="s">
        <v>85</v>
      </c>
      <c r="B372" s="14" t="s">
        <v>127</v>
      </c>
      <c r="C372" s="14" t="s">
        <v>128</v>
      </c>
      <c r="D372" s="14" t="s">
        <v>129</v>
      </c>
      <c r="E372" s="14" t="s">
        <v>130</v>
      </c>
      <c r="F372" s="14" t="s">
        <v>131</v>
      </c>
      <c r="G372" s="14" t="s">
        <v>132</v>
      </c>
    </row>
    <row r="373" ht="112.9" customHeight="1" spans="1:14">
      <c r="B373" s="37">
        <v>115.99</v>
      </c>
      <c r="C373" s="6">
        <v>12710</v>
      </c>
      <c r="D373" s="38">
        <v>9.13</v>
      </c>
      <c r="E373" s="37">
        <v>41</v>
      </c>
      <c r="F373" s="39">
        <v>0.0021</v>
      </c>
      <c r="G373" s="40">
        <v>2.83</v>
      </c>
    </row>
    <row r="374" spans="1:14">
      <c r="A374" s="37"/>
      <c r="B374" s="41" t="s">
        <v>133</v>
      </c>
      <c r="C374" s="42">
        <v>25539</v>
      </c>
      <c r="D374" s="42">
        <v>26.58</v>
      </c>
      <c r="E374" s="37">
        <v>137</v>
      </c>
      <c r="F374" s="39">
        <v>0.0054</v>
      </c>
      <c r="G374" s="40">
        <v>5.08</v>
      </c>
    </row>
    <row r="375" spans="1:14">
      <c r="A375" s="37"/>
      <c r="B375" s="41"/>
      <c r="C375" s="42"/>
      <c r="D375" s="42"/>
      <c r="E375" s="37"/>
      <c r="F375" s="39"/>
      <c r="G375" s="40"/>
    </row>
    <row r="376" spans="1:14">
      <c r="A376" s="37"/>
      <c r="B376" s="41"/>
      <c r="C376" s="42"/>
      <c r="D376" s="42"/>
      <c r="E376" s="37"/>
      <c r="F376" s="39"/>
      <c r="G376" s="40"/>
    </row>
    <row r="377" spans="1:14">
      <c r="A377" s="37"/>
      <c r="B377" s="41"/>
      <c r="C377" s="42"/>
      <c r="D377" s="42"/>
      <c r="E377" s="37"/>
      <c r="F377" s="39"/>
      <c r="G377" s="40"/>
    </row>
    <row r="378" spans="1:14">
      <c r="A378" s="37"/>
      <c r="B378" s="41"/>
      <c r="C378" s="42"/>
      <c r="D378" s="42"/>
      <c r="E378" s="37"/>
      <c r="F378" s="39"/>
      <c r="G378" s="40"/>
    </row>
    <row r="379" spans="1:14">
      <c r="A379" s="37"/>
      <c r="B379" s="41"/>
      <c r="C379" s="42"/>
      <c r="D379" s="42"/>
      <c r="E379" s="37"/>
      <c r="F379" s="39"/>
      <c r="G379" s="40"/>
    </row>
    <row r="380" ht="26.45" customHeight="1" spans="1:14">
      <c r="A380" s="37"/>
      <c r="B380" s="41"/>
      <c r="C380" s="42"/>
      <c r="D380" s="42"/>
      <c r="E380" s="37"/>
      <c r="F380" s="39"/>
      <c r="G380" s="40"/>
    </row>
    <row r="381" ht="113.45" customHeight="1" spans="1:14">
      <c r="B381" s="5" t="s">
        <v>134</v>
      </c>
      <c r="C381" s="12">
        <v>19312</v>
      </c>
      <c r="D381" s="12">
        <v>7.89</v>
      </c>
      <c r="E381">
        <v>30</v>
      </c>
      <c r="F381" s="7">
        <v>0.0015</v>
      </c>
      <c r="G381">
        <v>5.37</v>
      </c>
    </row>
    <row r="382" spans="1:14">
      <c r="F382" s="7"/>
    </row>
    <row r="383" spans="1:14">
      <c r="F383" s="7"/>
    </row>
    <row r="384" spans="1:14">
      <c r="F384" s="7"/>
    </row>
    <row r="385" spans="6:6">
      <c r="F385" s="7"/>
    </row>
    <row r="386" spans="6:6">
      <c r="F386" s="7"/>
    </row>
    <row r="387" spans="6:6">
      <c r="F387" s="7"/>
    </row>
    <row r="455" spans="9:9">
      <c r="I455" t="s">
        <v>135</v>
      </c>
    </row>
  </sheetData>
  <sheetProtection formatCells="0" insertHyperlinks="0" autoFilter="0"/>
  <autoFilter xmlns:etc="http://www.wps.cn/officeDocument/2017/etCustomData" ref="A1:Q368" etc:filterBottomFollowUsedRange="0">
    <extLst/>
  </autoFilter>
  <mergeCells count="7">
    <mergeCell ref="A374:A380"/>
    <mergeCell ref="B374:B380"/>
    <mergeCell ref="C374:C380"/>
    <mergeCell ref="D374:D380"/>
    <mergeCell ref="E374:E380"/>
    <mergeCell ref="F374:F380"/>
    <mergeCell ref="G374:G380"/>
  </mergeCells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opLeftCell="A4" workbookViewId="0">
      <selection activeCell="I1485" sqref="I1485"/>
    </sheetView>
  </sheetViews>
  <sheetFormatPr defaultColWidth="9" defaultRowHeight="13.8" outlineLevelRow="3"/>
  <sheetData>
    <row r="1" s="1" customFormat="1" ht="62.4" spans="1:18">
      <c r="A1" s="2" t="s">
        <v>85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9</v>
      </c>
      <c r="I1" s="2" t="s">
        <v>10</v>
      </c>
      <c r="O1" s="4"/>
    </row>
    <row r="2" ht="59.65" customHeight="1" spans="1:18">
      <c r="B2" s="5">
        <v>295.32</v>
      </c>
      <c r="C2" s="6">
        <v>64011</v>
      </c>
      <c r="D2">
        <v>447</v>
      </c>
      <c r="E2">
        <v>0</v>
      </c>
      <c r="F2" s="5">
        <v>0</v>
      </c>
      <c r="G2">
        <v>8</v>
      </c>
      <c r="H2" s="7">
        <v>0.007</v>
      </c>
      <c r="I2" s="8">
        <f>B2/D2</f>
        <v>0.660671140939597</v>
      </c>
      <c r="J2" s="9"/>
      <c r="K2" s="10"/>
      <c r="P2" s="5"/>
      <c r="Q2" s="5"/>
      <c r="R2" s="5"/>
    </row>
    <row r="3" ht="68.65" customHeight="1" spans="1:18">
      <c r="B3" s="5">
        <v>3914.26</v>
      </c>
      <c r="C3" s="6">
        <v>554401</v>
      </c>
      <c r="D3" s="6">
        <v>2077</v>
      </c>
      <c r="E3">
        <v>0</v>
      </c>
      <c r="F3" s="5">
        <v>0</v>
      </c>
      <c r="G3">
        <v>10</v>
      </c>
      <c r="H3" s="7">
        <v>0.0037</v>
      </c>
      <c r="I3" s="8">
        <f>B3/D3</f>
        <v>1.8845739046702</v>
      </c>
      <c r="J3" s="9"/>
      <c r="K3" s="10"/>
      <c r="P3" s="5"/>
      <c r="Q3" s="5"/>
      <c r="R3" s="5"/>
    </row>
    <row r="4" ht="68.65" customHeight="1" spans="1:18">
      <c r="B4" s="5">
        <v>46.79</v>
      </c>
      <c r="C4" s="6">
        <v>3167</v>
      </c>
      <c r="D4">
        <v>31</v>
      </c>
      <c r="E4">
        <v>0</v>
      </c>
      <c r="F4" s="5">
        <v>0</v>
      </c>
      <c r="G4">
        <v>0</v>
      </c>
      <c r="H4" s="7">
        <v>0.0098</v>
      </c>
      <c r="I4" s="8">
        <f>B4/D4</f>
        <v>1.50935483870968</v>
      </c>
      <c r="J4" s="9"/>
      <c r="K4" s="10"/>
      <c r="P4" s="5"/>
      <c r="Q4" s="5"/>
      <c r="R4" s="5"/>
    </row>
  </sheetData>
  <sheetProtection formatCells="0" insertHyperlinks="0" autoFilter="0"/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9F91F69C-6E8C-4246-BC25-297BFDC75D90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3F8FC9E7-9E3E-4D00-BC07-C2C84DFACBCF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月数据汇总</vt:lpstr>
      <vt:lpstr>月数据汇总-</vt:lpstr>
      <vt:lpstr>明星店铺</vt:lpstr>
      <vt:lpstr>直通车</vt:lpstr>
      <vt:lpstr>对比超品日</vt:lpstr>
      <vt:lpstr>对比前30天</vt:lpstr>
      <vt:lpstr>月度环比</vt:lpstr>
      <vt:lpstr>钻展素材</vt:lpstr>
      <vt:lpstr>明星店铺素材</vt:lpstr>
      <vt:lpstr>直通车素材</vt:lpstr>
      <vt:lpstr>引力魔方</vt:lpstr>
      <vt:lpstr>万相台</vt:lpstr>
      <vt:lpstr>万相台2</vt:lpstr>
      <vt:lpstr>阿里妈妈Raw Data</vt:lpstr>
      <vt:lpstr>超级互动城</vt:lpstr>
      <vt:lpstr> 钻展 </vt:lpstr>
      <vt:lpstr>超级推荐素材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梁欣怡</dc:creator>
  <cp:lastModifiedBy>L</cp:lastModifiedBy>
  <dcterms:created xsi:type="dcterms:W3CDTF">2021-01-11T22:04:00Z</dcterms:created>
  <dcterms:modified xsi:type="dcterms:W3CDTF">2026-05-11T01:37:05Z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4c5805f-d305-46e8-89c7-07ed0d88c99b_SetDate">
    <vt:lpwstr>2024-01-10T01:39:09Z</vt:lpwstr>
  </property>
  <property fmtid="{D5CDD505-2E9C-101B-9397-08002B2CF9AE}" pid="3" name="MSIP_Label_c4c5805f-d305-46e8-89c7-07ed0d88c99b_Name">
    <vt:lpwstr>General</vt:lpwstr>
  </property>
  <property fmtid="{D5CDD505-2E9C-101B-9397-08002B2CF9AE}" pid="4" name="MSIP_Label_c4c5805f-d305-46e8-89c7-07ed0d88c99b_SiteId">
    <vt:lpwstr>1caa43b8-bf09-48b6-9b3c-bd5a56fec019</vt:lpwstr>
  </property>
  <property fmtid="{D5CDD505-2E9C-101B-9397-08002B2CF9AE}" pid="5" name="MSIP_Label_c4c5805f-d305-46e8-89c7-07ed0d88c99b_ActionId">
    <vt:lpwstr>9bf3f735-f3ad-4761-b3ed-e0b73ac776a0</vt:lpwstr>
  </property>
  <property fmtid="{D5CDD505-2E9C-101B-9397-08002B2CF9AE}" pid="6" name="KSOReadingLayout">
    <vt:bool>true</vt:bool>
  </property>
  <property fmtid="{D5CDD505-2E9C-101B-9397-08002B2CF9AE}" pid="7" name="MSIP_Label_c4c5805f-d305-46e8-89c7-07ed0d88c99b_Enabled">
    <vt:lpwstr>true</vt:lpwstr>
  </property>
  <property fmtid="{D5CDD505-2E9C-101B-9397-08002B2CF9AE}" pid="8" name="MSIP_Label_c4c5805f-d305-46e8-89c7-07ed0d88c99b_ContentBits">
    <vt:lpwstr>0</vt:lpwstr>
  </property>
  <property fmtid="{D5CDD505-2E9C-101B-9397-08002B2CF9AE}" pid="9" name="MSIP_Label_c4c5805f-d305-46e8-89c7-07ed0d88c99b_Method">
    <vt:lpwstr>Standard</vt:lpwstr>
  </property>
  <property fmtid="{D5CDD505-2E9C-101B-9397-08002B2CF9AE}" pid="10" name="KSOProductBuildVer">
    <vt:lpwstr>2052-12.1.0.25865</vt:lpwstr>
  </property>
  <property fmtid="{D5CDD505-2E9C-101B-9397-08002B2CF9AE}" pid="11" name="ICV">
    <vt:lpwstr>9684800BF28A49C79F4B48A08AB279A8_13</vt:lpwstr>
  </property>
  <property fmtid="{D5CDD505-2E9C-101B-9397-08002B2CF9AE}" pid="12" name="CalculationRule">
    <vt:i4>0</vt:i4>
  </property>
</Properties>
</file>